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8.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9.xml" ContentType="application/vnd.openxmlformats-officedocument.drawing+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drawings/drawing10.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drawings/drawing11.xml" ContentType="application/vnd.openxmlformats-officedocument.drawing+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drawings/drawing12.xml" ContentType="application/vnd.openxmlformats-officedocument.drawing+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drawings/drawing13.xml" ContentType="application/vnd.openxmlformats-officedocument.drawing+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14.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harts/chart115.xml" ContentType="application/vnd.openxmlformats-officedocument.drawingml.chart+xml"/>
  <Override PartName="/xl/charts/chart116.xml" ContentType="application/vnd.openxmlformats-officedocument.drawingml.chart+xml"/>
  <Override PartName="/xl/drawings/drawing16.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harts/chart117.xml" ContentType="application/vnd.openxmlformats-officedocument.drawingml.chart+xml"/>
  <Override PartName="/xl/charts/chart118.xml" ContentType="application/vnd.openxmlformats-officedocument.drawingml.chart+xml"/>
  <Override PartName="/xl/drawings/drawing17.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harts/chart119.xml" ContentType="application/vnd.openxmlformats-officedocument.drawingml.chart+xml"/>
  <Override PartName="/xl/charts/chart120.xml" ContentType="application/vnd.openxmlformats-officedocument.drawingml.chart+xml"/>
  <Override PartName="/xl/drawings/drawing18.xml" ContentType="application/vnd.openxmlformats-officedocument.drawing+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harts/chart121.xml" ContentType="application/vnd.openxmlformats-officedocument.drawingml.chart+xml"/>
  <Override PartName="/xl/charts/chart1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03" codeName="{F3310B89-0DAA-6C43-5919-0D5897632BE8}"/>
  <workbookPr codeName="ThisWorkbook" defaultThemeVersion="124226"/>
  <mc:AlternateContent xmlns:mc="http://schemas.openxmlformats.org/markup-compatibility/2006">
    <mc:Choice Requires="x15">
      <x15ac:absPath xmlns:x15ac="http://schemas.microsoft.com/office/spreadsheetml/2010/11/ac" url="/Users/mriazanov/Downloads/"/>
    </mc:Choice>
  </mc:AlternateContent>
  <xr:revisionPtr revIDLastSave="0" documentId="13_ncr:1_{42307F4D-13C5-7846-A4AA-B029104A4449}" xr6:coauthVersionLast="47" xr6:coauthVersionMax="47" xr10:uidLastSave="{00000000-0000-0000-0000-000000000000}"/>
  <bookViews>
    <workbookView xWindow="1380" yWindow="720" windowWidth="29920" windowHeight="20420" tabRatio="920" activeTab="7" xr2:uid="{00000000-000D-0000-FFFF-FFFF00000000}"/>
  </bookViews>
  <sheets>
    <sheet name="Cover" sheetId="14" r:id="rId1"/>
    <sheet name="Assumptions - General" sheetId="29" r:id="rId2"/>
    <sheet name="Assumptions - Freight" sheetId="1" r:id="rId3"/>
    <sheet name="Assumptions - Passenger" sheetId="25" r:id="rId4"/>
    <sheet name="Assumptions - Infrastructure" sheetId="26" r:id="rId5"/>
    <sheet name="Assumptions - Consolidated" sheetId="27" state="hidden" r:id="rId6"/>
    <sheet name="Calculations" sheetId="7" r:id="rId7"/>
    <sheet name="Balance sheet" sheetId="2" r:id="rId8"/>
    <sheet name="Income statement" sheetId="5" r:id="rId9"/>
    <sheet name="Cash flow statement" sheetId="6" r:id="rId10"/>
    <sheet name="Charts - Consolidated" sheetId="10" r:id="rId11"/>
    <sheet name="Charts - Freight" sheetId="32" r:id="rId12"/>
    <sheet name="Charts - Passenger" sheetId="33" r:id="rId13"/>
    <sheet name="Charts - Infrastructure" sheetId="34" r:id="rId14"/>
    <sheet name="Results - Consolidated" sheetId="35" r:id="rId15"/>
    <sheet name="Results - Freight" sheetId="36" r:id="rId16"/>
    <sheet name="Results - Passenger" sheetId="37" r:id="rId17"/>
    <sheet name="Results - Infrastructure" sheetId="38" r:id="rId18"/>
    <sheet name="Scenarios - Consolidated" sheetId="17" r:id="rId19"/>
    <sheet name="Scenarios - Freight" sheetId="30" r:id="rId20"/>
    <sheet name="Scenarios - Passenger" sheetId="28" r:id="rId21"/>
    <sheet name="Scenarios - Infra" sheetId="31" r:id="rId22"/>
  </sheets>
  <externalReferences>
    <externalReference r:id="rId23"/>
  </externalReferences>
  <definedNames>
    <definedName name="Additional_non_operating_costs_of_Ruritania_Railways">'Assumptions - Consolidated'!$B$55</definedName>
    <definedName name="Additional_operating_costs_of_Ruritania_Railways">'Assumptions - Consolidated'!$B$23</definedName>
    <definedName name="allfreighttariffs">OFFSET('Charts - Consolidated'!$E$157,0,0,1,COUNT('Charts - Consolidated'!$E$157:$AH$157))</definedName>
    <definedName name="allpaxtariffs">OFFSET('Charts - Consolidated'!$E$158,0,0,1,COUNT('Charts - Consolidated'!$E$158:$AH$158))</definedName>
    <definedName name="AreaA" localSheetId="2">'Assumptions - Freight'!$A$24:$A$108</definedName>
    <definedName name="AreaA" localSheetId="4">'Assumptions - Infrastructure'!$A$28:$A$112</definedName>
    <definedName name="AreaA" localSheetId="3">'Assumptions - Passenger'!$A$24:$A$108</definedName>
    <definedName name="AreaA" localSheetId="6">Calculations!$A$23:$A$125</definedName>
    <definedName name="AreaB" localSheetId="2">'Assumptions - Freight'!$A$109:$A$140</definedName>
    <definedName name="AreaB" localSheetId="4">'Assumptions - Infrastructure'!$A$113:$A$336</definedName>
    <definedName name="AreaB" localSheetId="3">'Assumptions - Passenger'!$A$109:$A$131</definedName>
    <definedName name="AreaB" localSheetId="6">Calculations!$A$126:$A$202</definedName>
    <definedName name="AreaC" localSheetId="2">'Assumptions - Freight'!$A$141:$A$278</definedName>
    <definedName name="AreaC" localSheetId="4">'Assumptions - Infrastructure'!$A$337:$A$502</definedName>
    <definedName name="AreaC" localSheetId="3">'Assumptions - Passenger'!$A$132:$A$227</definedName>
    <definedName name="AreaC" localSheetId="6">Calculations!$A$203:$A$507</definedName>
    <definedName name="AreaD" localSheetId="2">'Assumptions - Freight'!$A$279:$A$292</definedName>
    <definedName name="AreaD" localSheetId="3">'Assumptions - Passenger'!$A$228:$A$241</definedName>
    <definedName name="AreaD" localSheetId="6">Calculations!$A$508:$A$610</definedName>
    <definedName name="AreaE" localSheetId="2">'Assumptions - Freight'!$A$293:$A$567</definedName>
    <definedName name="AreaE" localSheetId="3">'Assumptions - Passenger'!$A$242:$A$350</definedName>
    <definedName name="AreaE" localSheetId="6">Calculations!$A$611:$A$642</definedName>
    <definedName name="AreaF" localSheetId="3">'Assumptions - Passenger'!$A$351:$A$516</definedName>
    <definedName name="AreaF" localSheetId="6">Calculations!$A$643:$A$698</definedName>
    <definedName name="AreaG" localSheetId="6">Calculations!$A$699:$A$925</definedName>
    <definedName name="AreaH" localSheetId="6">Calculations!$A$926:$A$1028</definedName>
    <definedName name="AreaI" localSheetId="6">Calculations!$A$1029:$A$1106</definedName>
    <definedName name="AreaJ" localSheetId="6">Calculations!$A$1107:$A$1130</definedName>
    <definedName name="AreaK" localSheetId="6">Calculations!$A$1131:$A$1167</definedName>
    <definedName name="AreaL" localSheetId="6">Calculations!$A$1168:$A$1397</definedName>
    <definedName name="AreaM" localSheetId="6">Calculations!$A$1398:$A$1503</definedName>
    <definedName name="AreaN" localSheetId="4">'Assumptions - Infrastructure'!$210:$227</definedName>
    <definedName name="AreaO" localSheetId="3">'Assumptions - Passenger'!$210:$227</definedName>
    <definedName name="BalanceSheetAlwaysHide">'Balance sheet'!$A$9,'Balance sheet'!$A$54,'Balance sheet'!$A$99,'Balance sheet'!$A$144</definedName>
    <definedName name="BalanceSheetConsolidated">'Balance sheet'!$A$7:$A$51</definedName>
    <definedName name="BalanceSheetFreight">'Balance sheet'!$A$52:$A$96</definedName>
    <definedName name="BalanceSheetInfrastructure">'Balance sheet'!$A$142:$A$186</definedName>
    <definedName name="BalanceSheetPassenger">'Balance sheet'!$A$97:$A$141</definedName>
    <definedName name="Capex">OFFSET('Charts - Freight'!$E$216,0,0,1,COUNT('Charts - Freight'!$E$216:$AH$216))</definedName>
    <definedName name="capexall">OFFSET('Charts - Consolidated'!$E$192,0,0,1,COUNT('Charts - Consolidated'!$E$192:$AH$192))</definedName>
    <definedName name="capexinfra">OFFSET('Charts - Infrastructure'!$E$193,0,0,1,COUNT('Charts - Infrastructure'!$E$193:$AH$193))</definedName>
    <definedName name="capexpax">OFFSET('Charts - Passenger'!$E$202,0,0,1,COUNT('Charts - Passenger'!$E$202:$AH$202))</definedName>
    <definedName name="capitalsubsidyall">OFFSET('Charts - Consolidated'!$E$173,0,0,1,COUNT('Charts - Consolidated'!$E$173:$AH$173))</definedName>
    <definedName name="capitalsubsidyfreight">OFFSET('Charts - Freight'!$E$197,0,0,1,COUNT('Charts - Freight'!$E$197:$AH$197))</definedName>
    <definedName name="capitalsubsidyinfra">OFFSET('Charts - Infrastructure'!$E$175,0,0,1,COUNT('Charts - Infrastructure'!$E$175:$AH$175))</definedName>
    <definedName name="capitalsubsidypax">OFFSET('Charts - Passenger'!$E$184,0,0,1,COUNT('Charts - Passenger'!$E$184:$AH$184))</definedName>
    <definedName name="CashflowAlwaysHide">'Cash flow statement'!$A$9,'Cash flow statement'!$A$54,'Cash flow statement'!$A$99,'Cash flow statement'!$A$144</definedName>
    <definedName name="CashflowConsolidated">'Cash flow statement'!$A$7:$A$51</definedName>
    <definedName name="CashflowFreight">'Cash flow statement'!$A$52:$A$96</definedName>
    <definedName name="CashflowInfrastructure">'Cash flow statement'!$A$142:$A$186</definedName>
    <definedName name="CashflowPassenger">'Cash flow statement'!$A$97:$A$141</definedName>
    <definedName name="Currentassets">OFFSET('Charts - Freight'!$E$225,0,0,1,COUNT('Charts - Freight'!$E$225:$AH$225))</definedName>
    <definedName name="currentassetsall">OFFSET('Charts - Consolidated'!$E$201,0,0,1,COUNT('Charts - Consolidated'!$E$201:$AH$201))</definedName>
    <definedName name="currentassetsinfra">OFFSET('Charts - Infrastructure'!$E$202,0,0,1,COUNT('Charts - Infrastructure'!$E$202:$AH$202))</definedName>
    <definedName name="currentassetspax">OFFSET('Charts - Passenger'!$E$211,0,0,1,COUNT('Charts - Passenger'!$E$211:$AH$211))</definedName>
    <definedName name="Currentliabilities">OFFSET('Charts - Freight'!$E$226,0,0,1,COUNT('Charts - Freight'!$E$226:$AH$226))</definedName>
    <definedName name="currentliabilitiesall">OFFSET('Charts - Consolidated'!$E$202,0,0,1,COUNT('Charts - Consolidated'!$E$202:$AH$202))</definedName>
    <definedName name="currentliabilitiesinfra">OFFSET('Charts - Infrastructure'!$E$203,0,0,1,COUNT('Charts - Infrastructure'!$E$203:$AH$203))</definedName>
    <definedName name="currentliabilitiespax">OFFSET('Charts - Passenger'!$E$212,0,0,1,COUNT('Charts - Passenger'!$E$212:$AH$212))</definedName>
    <definedName name="Currentratio">OFFSET('Charts - Freight'!$E$227,0,0,1,COUNT('Charts - Freight'!$E$227:$AH$227))</definedName>
    <definedName name="currentratioall">OFFSET('Charts - Consolidated'!$E$203,0,0,1,COUNT('Charts - Consolidated'!$E$203:$AH$203))</definedName>
    <definedName name="currentratioinfra">OFFSET('Charts - Infrastructure'!$E$204,0,0,1,COUNT('Charts - Infrastructure'!$E$204:$AH$204))</definedName>
    <definedName name="currentratiopax">OFFSET('Charts - Passenger'!$E$213,0,0,1,COUNT('Charts - Passenger'!$E$213:$AH$213))</definedName>
    <definedName name="DE">OFFSET('Charts - Freight'!$E$221,0,0,1,COUNT('Charts - Freight'!$E$221:$AH$221))</definedName>
    <definedName name="debttoequityall">OFFSET('Charts - Consolidated'!$E$197,0,0,1,COUNT('Charts - Consolidated'!$E$197:$AH$197))</definedName>
    <definedName name="debttoequityinfra">OFFSET('Charts - Infrastructure'!$E$198,0,0,1,COUNT('Charts - Infrastructure'!$E$198:$AH$198))</definedName>
    <definedName name="debttoequitypax">OFFSET('Charts - Passenger'!$E$207,0,0,1,COUNT('Charts - Passenger'!$E$207:$AH$207))</definedName>
    <definedName name="Dividends">OFFSET('Charts - Freight'!$E$212,0,0,1,COUNT('Charts - Freight'!$E$212:$AH$212))</definedName>
    <definedName name="dividendsall">OFFSET('Charts - Consolidated'!$E$188,0,0,1,COUNT('Charts - Consolidated'!$E$188:$AH$188))</definedName>
    <definedName name="dividendsinfra">OFFSET('Charts - Infrastructure'!$E$189,0,0,1,COUNT('Charts - Infrastructure'!$E$189:$AH$189))</definedName>
    <definedName name="dividendspax">OFFSET('Charts - Passenger'!$E$198,0,0,1,COUNT('Charts - Passenger'!$E$198:$AH$198))</definedName>
    <definedName name="domesticgtkpax">OFFSET('Charts - Passenger'!$E$145,0,0,1,COUNT('Charts - Passenger'!$E$145:$AH$145))</definedName>
    <definedName name="domesticpkmpax">OFFSET('Charts - Passenger'!$E$160,0,0,1,COUNT('Charts - Passenger'!$E$160:$AH$160))</definedName>
    <definedName name="domestictariffpax">OFFSET('Charts - Passenger'!$E$167,0,0,1,COUNT('Charts - Passenger'!$E$167:$AH$167))</definedName>
    <definedName name="domestictrainkmpax">OFFSET('Charts - Passenger'!$E$153,0,0,1,COUNT('Charts - Passenger'!$E$153:$AH$153))</definedName>
    <definedName name="DSCR">OFFSET('Charts - Freight'!$F$220,0,0,1,COUNT('Charts - Freight'!$F$220:$AH$220))</definedName>
    <definedName name="dscrall">OFFSET('Charts - Consolidated'!$F$196,0,0,1,COUNT('Charts - Consolidated'!$F$196:$AH$196))</definedName>
    <definedName name="dscrinfra">OFFSET('Charts - Infrastructure'!$F$197,0,0,1,COUNT('Charts - Infrastructure'!$F$197:$AH$197))</definedName>
    <definedName name="dscrpax">OFFSET('Charts - Passenger'!$F$206,0,0,1,COUNT('Charts - Passenger'!$F$206:$AH$206))</definedName>
    <definedName name="Equity">OFFSET('Charts - Freight'!$E$210,0,0,1,COUNT('Charts - Freight'!$E$210:$AH$210))</definedName>
    <definedName name="equityall">OFFSET('Charts - Consolidated'!$E$186,0,0,1,COUNT('Charts - Consolidated'!$E$186:$AH$186))</definedName>
    <definedName name="equityinfra">OFFSET('Charts - Infrastructure'!$E$187,0,0,1,COUNT('Charts - Infrastructure'!$E$187:$AH$187))</definedName>
    <definedName name="equitypax">OFFSET('Charts - Passenger'!$E$196,0,0,1,COUNT('Charts - Passenger'!$E$196:$AH$196))</definedName>
    <definedName name="Financing_assumptions_for_Ruritania_Freight_Rail_Company">'Assumptions - Freight'!$B$445</definedName>
    <definedName name="Financing_assumptions_for_Ruritania_Passenger_Rail_Company">'Assumptions - Passenger'!$B$394</definedName>
    <definedName name="Financing_assumptions_for_Ruritania_Railway_Infrastructure_Company">'Assumptions - Infrastructure'!$B$380</definedName>
    <definedName name="Fixed_asset_assumptions_for_Ruritania_Freight_Rail_Company">'Assumptions - Freight'!$B$24</definedName>
    <definedName name="Fixed_asset_assumptions_for_Ruritania_Passenger_Rail_Company">'Assumptions - Passenger'!$B$24</definedName>
    <definedName name="Fixed_asset_assumptions_for_Ruritania_Railway_Infrastructure_Company">'Assumptions - Infrastructure'!$B$28</definedName>
    <definedName name="freighttacgtk">OFFSET('Charts - Infrastructure'!$E$160,0,0,1,COUNT('Charts - Infrastructure'!$E$160:$AH$160))</definedName>
    <definedName name="freighttacrevenue">OFFSET('Charts - Infrastructure'!$E$168,0,0,1,COUNT('Charts - Infrastructure'!$E$168:$AH$168))</definedName>
    <definedName name="freighttactrainkm">OFFSET('Charts - Infrastructure'!$E$161,0,0,1,COUNT('Charts - Infrastructure'!$E$161:$AH$161))</definedName>
    <definedName name="Freighttariff1">OFFSET('Charts - Freight'!$E$173,0,0,1,COUNT('Charts - Freight'!$E$173:$AH$173))</definedName>
    <definedName name="Freighttariff10">OFFSET('Charts - Freight'!$E$182,0,0,1,COUNT('Charts - Freight'!$E$182:$AH$182))</definedName>
    <definedName name="Freighttariff2">OFFSET('Charts - Freight'!$E$174,0,0,1,COUNT('Charts - Freight'!$E$174:$AH$174))</definedName>
    <definedName name="Freighttariff3">OFFSET('Charts - Freight'!$E$175,0,0,1,COUNT('Charts - Freight'!$E$175:$AH$175))</definedName>
    <definedName name="Freighttariff4">OFFSET('Charts - Freight'!$E$176,0,0,1,COUNT('Charts - Freight'!$E$176:$AH$176))</definedName>
    <definedName name="Freighttariff5">OFFSET('Charts - Freight'!$E$177,0,0,1,COUNT('Charts - Freight'!$E$177:$AH$177))</definedName>
    <definedName name="Freighttariff6">OFFSET('Charts - Freight'!$E$178,0,0,1,COUNT('Charts - Freight'!$E$178:$AH$178))</definedName>
    <definedName name="Freighttariff7">OFFSET('Charts - Freight'!$E$179,0,0,1,COUNT('Charts - Freight'!$E$179:$AH$179))</definedName>
    <definedName name="Freighttariff8">OFFSET('Charts - Freight'!$E$180,0,0,1,COUNT('Charts - Freight'!$E$180:$AH$180))</definedName>
    <definedName name="Freighttariff9">OFFSET('Charts - Freight'!$E$181,0,0,1,COUNT('Charts - Freight'!$E$181:$AH$181))</definedName>
    <definedName name="Freighttraffic1">OFFSET('Charts - Freight'!$E$144,0,0,1,COUNT('Charts - Freight'!$E$144:$AH$144))</definedName>
    <definedName name="Freighttraffic10">OFFSET('Charts - Freight'!$E$153,0,0,1,COUNT('Charts - Freight'!$E$153:$AH$153))</definedName>
    <definedName name="Freighttraffic2">OFFSET('Charts - Freight'!$E$145,0,0,1,COUNT('Charts - Freight'!$E$145:$AH$145))</definedName>
    <definedName name="Freighttraffic3">OFFSET('Charts - Freight'!$E$146,0,0,1,COUNT('Charts - Freight'!$E$146:$AH$146))</definedName>
    <definedName name="Freighttraffic4">OFFSET('Charts - Freight'!$E$147,0,0,1,COUNT('Charts - Freight'!$E$147:$AH$147))</definedName>
    <definedName name="Freighttraffic5">OFFSET('Charts - Freight'!$E$148,0,0,1,COUNT('Charts - Freight'!$E$148:$AH$148))</definedName>
    <definedName name="Freighttraffic6">OFFSET('Charts - Freight'!$E$149,0,0,1,COUNT('Charts - Freight'!$E$149:$AH$149))</definedName>
    <definedName name="Freighttraffic7">OFFSET('Charts - Freight'!$E$150,0,0,1,COUNT('Charts - Freight'!$E$150:$AH$150))</definedName>
    <definedName name="Freighttraffic8">OFFSET('Charts - Freight'!$E$151,0,0,1,COUNT('Charts - Freight'!$E$151:$AH$151))</definedName>
    <definedName name="Freighttraffic9">OFFSET('Charts - Freight'!$E$152,0,0,1,COUNT('Charts - Freight'!$E$152:$AH$152))</definedName>
    <definedName name="freighttrafficgtk">OFFSET('Charts - Infrastructure'!$E$145,0,0,1,COUNT('Charts - Infrastructure'!$E$145:$AH$145))</definedName>
    <definedName name="freighttraffictrafficunits">OFFSET('Charts - Infrastructure'!$E$152,0,0,1,COUNT('Charts - Infrastructure'!$E$152:$AH$152))</definedName>
    <definedName name="IncomeStatementAlwaysHide">'Income statement'!$A$9,'Income statement'!$A$53,'Income statement'!$A$97,'Income statement'!$A$141</definedName>
    <definedName name="IncomeStatementConsolidated">'Income statement'!$A$7:$A$50</definedName>
    <definedName name="IncomeStatementFreight">'Income statement'!$A$51:$A$94</definedName>
    <definedName name="IncomeStatementInfrastructure">'Income statement'!$A$139:$A$182</definedName>
    <definedName name="IncomeStatementPassenger">'Income statement'!$A$95:$A$138</definedName>
    <definedName name="internationalgtkpax">OFFSET('Charts - Passenger'!$E$146,0,0,1,COUNT('Charts - Passenger'!$E$146:$AH$146))</definedName>
    <definedName name="internationalpkmpax">OFFSET('Charts - Passenger'!$E$161,0,0,1,COUNT('Charts - Passenger'!$E$161:$AH$161))</definedName>
    <definedName name="internationaltariffpax">OFFSET('Charts - Passenger'!$E$168,0,0,1,COUNT('Charts - Passenger'!$E$168:$AH$168))</definedName>
    <definedName name="internationaltrainkmpax">OFFSET('Charts - Passenger'!$E$154,0,0,1,COUNT('Charts - Passenger'!$E$154:$AH$154))</definedName>
    <definedName name="Investing">OFFSET('Charts - Freight'!$E$207,0,0,1,COUNT('Charts - Freight'!$E$207:$AH$207))</definedName>
    <definedName name="investingcashflowall">OFFSET('Charts - Consolidated'!$E$183,0,0,1,COUNT('Charts - Consolidated'!$E$183:$AH$183))</definedName>
    <definedName name="investingcashflowinfra">OFFSET('Charts - Infrastructure'!$E$185,0,0,1,COUNT('Charts - Infrastructure'!$E$185:$AH$185))</definedName>
    <definedName name="investingcashflowpax">OFFSET('Charts - Passenger'!$E$194,0,0,1,COUNT('Charts - Passenger'!$E$194:$AH$194))</definedName>
    <definedName name="Loans">OFFSET('Charts - Freight'!$E$208,0,0,1,COUNT('Charts - Freight'!$E$208:$AH$208))</definedName>
    <definedName name="loansall">OFFSET('Charts - Consolidated'!$E$184,0,0,1,COUNT('Charts - Consolidated'!$E$184:$AH$184))</definedName>
    <definedName name="loansinfra">OFFSET('Charts - Infrastructure'!$E$186,0,0,1,COUNT('Charts - Infrastructure'!$E$186:$AH$186))</definedName>
    <definedName name="loanspax">OFFSET('Charts - Passenger'!$E$195,0,0,1,COUNT('Charts - Passenger'!$E$195:$AH$195))</definedName>
    <definedName name="Macroeconomic_assumptions" localSheetId="1">'Assumptions - General'!#REF!</definedName>
    <definedName name="Macroeconomic_assumptions">'Assumptions - General'!$B$31</definedName>
    <definedName name="Names__dates_and_timings">'Assumptions - General'!$B$8</definedName>
    <definedName name="Netcashflow">OFFSET('Charts - Freight'!$E$203,0,0,1,COUNT('Charts - Freight'!$E$203:$AH$203))</definedName>
    <definedName name="netcashflowall">OFFSET('Charts - Consolidated'!$E$179,0,0,1,COUNT('Charts - Consolidated'!$E$179:$AH$179))</definedName>
    <definedName name="netcashflowinfra">OFFSET('Charts - Infrastructure'!$E$181,0,0,1,COUNT('Charts - Infrastructure'!$E$181:$AH$181))</definedName>
    <definedName name="netcashflowpax">OFFSET('Charts - Passenger'!$E$190,0,0,1,COUNT('Charts - Passenger'!$E$190:$AH$190))</definedName>
    <definedName name="Netinterest">OFFSET('Charts - Freight'!$E$211,0,0,1,COUNT('Charts - Freight'!$E$211:$AH$211))</definedName>
    <definedName name="netinterestall">OFFSET('Charts - Consolidated'!$E$187,0,0,1,COUNT('Charts - Consolidated'!$E$187:$AH$187))</definedName>
    <definedName name="netinterestinfra">OFFSET('Charts - Infrastructure'!$E$188,0,0,1,COUNT('Charts - Infrastructure'!$E$188:$AH$188))</definedName>
    <definedName name="netinterestpax">OFFSET('Charts - Passenger'!$E$197,0,0,1,COUNT('Charts - Passenger'!$E$197:$AH$197))</definedName>
    <definedName name="Network_and_operational_assumptions_for_Ruritania_Freight_Rail_Company">'Assumptions - Freight'!$B$11</definedName>
    <definedName name="Network_and_operational_assumptions_for_Ruritania_Passenger_Rail_Company">'Assumptions - Passenger'!$B$11</definedName>
    <definedName name="Network_and_operational_assumptions_for_Ruritania_Railway_Infrastructure_Company">'Assumptions - Infrastructure'!$B$11</definedName>
    <definedName name="Network_and_operational_assumptions_for_Ruritania_Railways">'Assumptions - Consolidated'!$B$11</definedName>
    <definedName name="Non_operating_costs_of_Ruritania_Freight_Rail_Company">'Assumptions - Freight'!$B$366</definedName>
    <definedName name="Non_operating_costs_of_Ruritania_Passenger_Rail_Company">'Assumptions - Passenger'!$B$315</definedName>
    <definedName name="Non_operating_costs_of_Ruritania_Railway_Infrastructure_Company">'Assumptions - Infrastructure'!$B$301</definedName>
    <definedName name="Operating">OFFSET('Charts - Freight'!$E$206,0,0,1,COUNT('Charts - Freight'!$E$206:$AH$206))</definedName>
    <definedName name="Operating_costs_of_Ruritania_Freight_Rail_Company">'Assumptions - Freight'!$B$293</definedName>
    <definedName name="Operating_costs_of_Ruritania_Passenger_Rail_Company">'Assumptions - Passenger'!$B$242</definedName>
    <definedName name="Operating_costs_of_Ruritania_Railway_Infrastructure_Company">'Assumptions - Infrastructure'!$B$228</definedName>
    <definedName name="Operating_profit">OFFSET('Charts - Freight'!$E$140,0,0,1,COUNT('Charts - Freight'!$E$140:$AH$140))</definedName>
    <definedName name="operatingcashflowall">OFFSET('Charts - Consolidated'!$E$178,0,0,1,COUNT('Charts - Consolidated'!$E$178:$AH$178))</definedName>
    <definedName name="operatingcashflowinfra">OFFSET('Charts - Infrastructure'!$E$180,0,0,1,COUNT('Charts - Infrastructure'!$E$180:$AH$180))</definedName>
    <definedName name="operatingcashflowpax">OFFSET('Charts - Passenger'!$E$189,0,0,1,COUNT('Charts - Passenger'!$E$189:$AH$189))</definedName>
    <definedName name="Operatingcosts">OFFSET('Charts - Freight'!$E$139,0,0,1,COUNT('Charts - Freight'!$E$139:$AH$139))</definedName>
    <definedName name="operatingcostsall">OFFSET('Charts - Consolidated'!$E$139,0,0,1,COUNT('Charts - Consolidated'!$E$139:$AH$139))</definedName>
    <definedName name="operatingcostsinfra">OFFSET('Charts - Infrastructure'!$E$139,0,0,1,COUNT('Charts - Infrastructure'!$E$139:$AH$139))</definedName>
    <definedName name="operatingcostspax">OFFSET('Charts - Passenger'!$E$140,0,0,1,COUNT('Charts - Passenger'!$E$140:$AH$140))</definedName>
    <definedName name="operatingprofitall">OFFSET('Charts - Consolidated'!$E$140,0,0,1,COUNT('Charts - Consolidated'!$E$140:$AH$140))</definedName>
    <definedName name="operatingprofitinfra">OFFSET('Charts - Infrastructure'!$E$140,0,0,1,COUNT('Charts - Infrastructure'!$E$140:$AH$140))</definedName>
    <definedName name="operatingprofitpax">OFFSET('Charts - Passenger'!$E$141,0,0,1,COUNT('Charts - Passenger'!$E$141:$AH$141))</definedName>
    <definedName name="Operatingratio">OFFSET('Charts - Freight'!$E$236,0,0,1,COUNT('Charts - Freight'!$E$236:$AH$236))</definedName>
    <definedName name="operatingratioall">OFFSET('Charts - Consolidated'!$E$213,0,0,1,COUNT('Charts - Consolidated'!$E$213:$AH$213))</definedName>
    <definedName name="operatingratioinfra">OFFSET('Charts - Infrastructure'!$E$213,0,0,1,COUNT('Charts - Infrastructure'!$E$213:$AH$213))</definedName>
    <definedName name="operatingratiopax">OFFSET('Charts - Passenger'!$E$222,0,0,1,COUNT('Charts - Passenger'!$E$222:$AH$222))</definedName>
    <definedName name="Operatingrevenues">OFFSET('Charts - Freight'!$E$138,0,0,1,COUNT('Charts - Freight'!$E$138:$AH$138))</definedName>
    <definedName name="operatingrevenuesall">OFFSET('Charts - Consolidated'!$E$138,0,0,1,COUNT('Charts - Consolidated'!$E$138:$AH$138))</definedName>
    <definedName name="operatingrevenuesinfra">OFFSET('Charts - Infrastructure'!$E$138,0,0,1,COUNT('Charts - Infrastructure'!$E$138:$AH$138))</definedName>
    <definedName name="operatingrevenuespax">OFFSET('Charts - Passenger'!$E$139,0,0,1,COUNT('Charts - Passenger'!$E$139:$AH$139))</definedName>
    <definedName name="operatingsubsidyall">OFFSET('Charts - Consolidated'!$E$172,0,0,1,COUNT('Charts - Consolidated'!$E$172:$AH$172))</definedName>
    <definedName name="operatingsubsidyfreightreal">OFFSET('Charts - Freight'!$E$196,0,0,1,COUNT('Charts - Freight'!$E$196:$AH$196))</definedName>
    <definedName name="operatingsubsidyinfra">OFFSET('Charts - Infrastructure'!$E$174,0,0,1,COUNT('Charts - Infrastructure'!$E$174:$AH$174))</definedName>
    <definedName name="operatingsubsidypax">OFFSET('Charts - Passenger'!$E$183,0,0,1,COUNT('Charts - Passenger'!$E$183:$AH$183))</definedName>
    <definedName name="Other_long_term_assets_for_Ruritania_Freight_Rail_Company">'Assumptions - Freight'!$B$104</definedName>
    <definedName name="Other_long_term_assets_for_Ruritania_Passenger_Rail_Company">'Assumptions - Passenger'!$B$104</definedName>
    <definedName name="Other_long_term_assets_for_Ruritania_Railway_Infrastructure_Company">'Assumptions - Infrastructure'!$B$108</definedName>
    <definedName name="Other_long_term_liabilities_for_Ruritania_Freight_Rail_Company">'Assumptions - Freight'!$B$555</definedName>
    <definedName name="Other_long_term_liabilities_for_Ruritania_Passenger_Rail_Company">'Assumptions - Passenger'!$B$504</definedName>
    <definedName name="Other_long_term_liabilities_for_Ruritania_Railway_Infrastructure_Company">'Assumptions - Infrastructure'!$B$490</definedName>
    <definedName name="Other_revenue_for_Ruritania_Freight_Rail_Company">'Assumptions - Freight'!$B$207</definedName>
    <definedName name="Other_revenue_for_Ruritania_Passenger_Rail_Company">'Assumptions - Passenger'!$B$156</definedName>
    <definedName name="Other_revenue_for_Ruritania_Railway_Infrastructure_Company">'Assumptions - Infrastructure'!$B$156</definedName>
    <definedName name="paxtacgtk">OFFSET('Charts - Passenger'!$E$175,0,0,1,COUNT('Charts - Passenger'!$E$175:$AH$175))</definedName>
    <definedName name="paxtacrevenue">OFFSET('Charts - Infrastructure'!$E$169,0,0,1,COUNT('Charts - Infrastructure'!$E$169:$AH$169))</definedName>
    <definedName name="paxtactotal">OFFSET('Charts - Passenger'!$E$177,0,0,1,COUNT('Charts - Passenger'!$E$177:$AH$177))</definedName>
    <definedName name="paxtactrainkm">OFFSET('Charts - Passenger'!$E$176,0,0,1,COUNT('Charts - Passenger'!$E$176:$AH$176))</definedName>
    <definedName name="paxtrafficgtk">OFFSET('Charts - Infrastructure'!$E$146,0,0,1,COUNT('Charts - Infrastructure'!$E$146:$AH$146))</definedName>
    <definedName name="paxtraffictrafficunits">OFFSET('Charts - Infrastructure'!$E$153,0,0,1,COUNT('Charts - Infrastructure'!$E$153:$AH$153))</definedName>
    <definedName name="_xlnm.Print_Area" localSheetId="7">'Balance sheet'!$7:$186</definedName>
    <definedName name="_xlnm.Print_Area" localSheetId="9">'Cash flow statement'!$A$1:$AH$186</definedName>
    <definedName name="_xlnm.Print_Area" localSheetId="0">Cover!#REF!</definedName>
    <definedName name="_xlnm.Print_Area" localSheetId="8">'Income statement'!$A$1:$AH$182</definedName>
    <definedName name="_xlnm.Print_Titles" localSheetId="7">'Balance sheet'!$A:$D,'Balance sheet'!$1:$6</definedName>
    <definedName name="_xlnm.Print_Titles" localSheetId="9">'Cash flow statement'!$A:$D,'Cash flow statement'!$1:$6</definedName>
    <definedName name="_xlnm.Print_Titles" localSheetId="8">'Income statement'!$A:$D,'Income statement'!$1:$6</definedName>
    <definedName name="Public_subsidy_assumptions_for_Ruritania_Freight_Rail_Company">'Assumptions - Freight'!$B$248</definedName>
    <definedName name="Public_subsidy_assumptions_for_Ruritania_Passenger_Rail_Company">'Assumptions - Passenger'!$B$197</definedName>
    <definedName name="Public_subsidy_assumptions_for_Ruritania_Railway_Infrastructure_Company">'Assumptions - Infrastructure'!$B$197</definedName>
    <definedName name="ROA">OFFSET('Charts - Freight'!$E$232,0,0,1,COUNT('Charts - Freight'!$E$232:$AH$232))</definedName>
    <definedName name="roaall">OFFSET('Charts - Consolidated'!$E$209,0,0,1,COUNT('Charts - Consolidated'!$E$209:$AH$209))</definedName>
    <definedName name="roainfra">OFFSET('Charts - Infrastructure'!$E$209,0,0,1,COUNT('Charts - Infrastructure'!$E$209:$AH$209))</definedName>
    <definedName name="roapax">OFFSET('Charts - Passenger'!$E$218,0,0,1,COUNT('Charts - Passenger'!$E$218:$AH$218))</definedName>
    <definedName name="ROE">OFFSET('Charts - Freight'!$E$231,0,0,1,COUNT('Charts - Freight'!$E$231:$AH$231))</definedName>
    <definedName name="roeall">OFFSET('Charts - Consolidated'!$E$208,0,0,1,COUNT('Charts - Consolidated'!$E$208:$AH$208))</definedName>
    <definedName name="roeinfra">OFFSET('Charts - Infrastructure'!$E$208,0,0,1,COUNT('Charts - Infrastructure'!$E$208:$AH$208))</definedName>
    <definedName name="roepax">OFFSET('Charts - Passenger'!$E$217,0,0,1,COUNT('Charts - Passenger'!$E$217:$AH$217))</definedName>
    <definedName name="Staffpertrackkm">OFFSET('Charts - Freight'!$E$248,0,0,1,COUNT('Charts - Freight'!$E$248:$AH$248))</definedName>
    <definedName name="staffpertrackkmall">OFFSET('Charts - Consolidated'!$E$225,0,0,1,COUNT('Charts - Consolidated'!$E$225:$AH$225))</definedName>
    <definedName name="Staffpertrackkmbenchmark">OFFSET('Charts - Freight'!$E$249,0,0,1,COUNT('Charts - Freight'!$E$249:$AH$249))</definedName>
    <definedName name="staffpertrackkmeuall">OFFSET('Charts - Consolidated'!$E$226,0,0,1,COUNT('Charts - Consolidated'!$E$226:$AH$226))</definedName>
    <definedName name="staffpertrackkminfra">OFFSET('Charts - Infrastructure'!$E$225,0,0,1,COUNT('Charts - Infrastructure'!$E$225:$AH$225))</definedName>
    <definedName name="staffpertrackkminfraeu">OFFSET('Charts - Infrastructure'!$E$226,0,0,1,COUNT('Charts - Infrastructure'!$E$226:$AH$226))</definedName>
    <definedName name="staffpertrackkmpax">OFFSET('Charts - Passenger'!$E$234,0,0,1,COUNT('Charts - Passenger'!$E$234:$AH$234))</definedName>
    <definedName name="staffpertrackkmpaxeu">OFFSET('Charts - Passenger'!$E$235,0,0,1,COUNT('Charts - Passenger'!$E$235:$AH$235))</definedName>
    <definedName name="suburbangtkpax">OFFSET('Charts - Passenger'!$E$147,0,0,1,COUNT('Charts - Passenger'!$E$147:$AH$147))</definedName>
    <definedName name="suburbanpkmpax">OFFSET('Charts - Passenger'!$E$162,0,0,1,COUNT('Charts - Passenger'!$E$162:$AH$162))</definedName>
    <definedName name="suburbantariffpax">OFFSET('Charts - Passenger'!$E$169,0,0,1,COUNT('Charts - Passenger'!$E$169:$AH$169))</definedName>
    <definedName name="suburbantrainkmpax">OFFSET('Charts - Passenger'!$E$155,0,0,1,COUNT('Charts - Passenger'!$E$155:$AH$155))</definedName>
    <definedName name="tacchargesfreight">OFFSET('Charts - Freight'!$E$190,0,0,1,COUNT('Charts - Freight'!$E$190:$AH$190))</definedName>
    <definedName name="TACGTK">OFFSET('Charts - Freight'!$E$188,0,0,1,COUNT('Charts - Freight'!$E$188:$AH$188))</definedName>
    <definedName name="TACTrainkm">OFFSET('Charts - Freight'!$E$189,0,0,1,COUNT('Charts - Freight'!$E$189:$AH$189))</definedName>
    <definedName name="Tariff_assumptions___Freight">'Assumptions - Freight'!$B$141</definedName>
    <definedName name="Tariff_assumptions___Passenger">'Assumptions - Passenger'!$B$132</definedName>
    <definedName name="Taxes_and_dividends_for_Ruritania_Freight_Rail_Company">'Assumptions - Freight'!$B$402</definedName>
    <definedName name="Taxes_and_dividends_for_Ruritania_Passenger_Rail_Company">'Assumptions - Passenger'!$B$351</definedName>
    <definedName name="Taxes_and_dividends_for_Ruritania_Railway_Infrastructure_Company">'Assumptions - Infrastructure'!$B$337</definedName>
    <definedName name="Taxes_and_dividends_for_Ruritania_Railways">'Assumptions - Consolidated'!$B$91</definedName>
    <definedName name="Track_access_charge_assumptions">'Assumptions - Freight'!$B$279</definedName>
    <definedName name="Traffic_assumptions___Freight">'Assumptions - Freight'!$B$109</definedName>
    <definedName name="Traffic_assumptions___Passenger">'Assumptions - Passenger'!$B$109</definedName>
    <definedName name="trafficunitsperstaffall">OFFSET('Charts - Consolidated'!$E$218,0,0,1,COUNT('Charts - Consolidated'!$E$218:$AH$218))</definedName>
    <definedName name="trafficunitsperstaffeuall">OFFSET('Charts - Consolidated'!$E$219,0,0,1,COUNT('Charts - Consolidated'!$E$219:$AH$219))</definedName>
    <definedName name="trafficunitsperstaffinfra">OFFSET('Charts - Infrastructure'!$E$218,0,0,1,COUNT('Charts - Infrastructure'!$E$218:$AH$218))</definedName>
    <definedName name="trafficunitsperstaffinfraeu">OFFSET('Charts - Infrastructure'!$E$219,0,0,1,COUNT('Charts - Infrastructure'!$E$219:$AH$219))</definedName>
    <definedName name="trafficunitsperstaffpax">OFFSET('Charts - Passenger'!$E$227,0,0,1,COUNT('Charts - Passenger'!$E$227:$AH$227))</definedName>
    <definedName name="trafficunitsperstaffpaxeu">OFFSET('Charts - Passenger'!$E$228,0,0,1,COUNT('Charts - Passenger'!$E$228:$AH$228))</definedName>
    <definedName name="trafficunitspertrackkmall">OFFSET('Charts - Consolidated'!$E$232,0,0,1,COUNT('Charts - Consolidated'!$E$232:$AH$232))</definedName>
    <definedName name="trafficunitspertrackkmeuall">OFFSET('Charts - Consolidated'!$E$233,0,0,1,COUNT('Charts - Consolidated'!$E$233:$AH$233))</definedName>
    <definedName name="trafficunitspertrackkminfra">OFFSET('Charts - Infrastructure'!$E$232,0,0,1,COUNT('Charts - Infrastructure'!$E$232:$AH$232))</definedName>
    <definedName name="trafficunitspertrackkminfraeu">OFFSET('Charts - Infrastructure'!$E$233,0,0,1,COUNT('Charts - Infrastructure'!$E$233:$AH$233))</definedName>
    <definedName name="trafficunitspertrackkmpax">OFFSET('Charts - Passenger'!$E$241,0,0,1,COUNT('Charts - Passenger'!$E$241:$AH$241))</definedName>
    <definedName name="trafficunitspertrackkmpaxeu">OFFSET('Charts - Passenger'!$E$242,0,0,1,COUNT('Charts - Passenger'!$E$242:$AH$242))</definedName>
    <definedName name="tufreight">OFFSET('Charts - Consolidated'!$E$151,0,0,1,COUNT('Charts - Consolidated'!$E$151:$AH$151))</definedName>
    <definedName name="tupax">OFFSET('Charts - Consolidated'!$E$152,0,0,1,COUNT('Charts - Consolidated'!$E$152:$AH$152))</definedName>
    <definedName name="TUperstaff">OFFSET('Charts - Freight'!$E$241,0,0,1,COUNT('Charts - Freight'!$E$241:$AH$241))</definedName>
    <definedName name="TUperstaffbenchmark">OFFSET('Charts - Freight'!$E$242,0,0,1,COUNT('Charts - Freight'!$E$242:$AH$242))</definedName>
    <definedName name="TUpertrackkm">OFFSET('Charts - Freight'!$E$255,0,0,1,COUNT('Charts - Freight'!$E$255:$AH$255))</definedName>
    <definedName name="TUpertrackkmbenchmark">OFFSET('Charts - Freight'!$E$256,0,0,1,COUNT('Charts - Freight'!$E$256:$AH$256))</definedName>
    <definedName name="Working_capital_assumptions_for_Ruritania_Freight_Rail_Company">'Assumptions - Freight'!$B$410</definedName>
    <definedName name="Working_capital_assumptions_for_Ruritania_Passenger_Rail_Company">'Assumptions - Passenger'!$B$359</definedName>
    <definedName name="Working_capital_assumptions_for_Ruritania_Railway_Infrastructure_Company">'Assumptions - Infrastructure'!$B$345</definedName>
    <definedName name="Working_capital_assumptions_for_Ruritania_Railways">'Assumptions - Consolidated'!$B$96</definedName>
    <definedName name="Workingratio">OFFSET('Charts - Freight'!$E$237,0,0,1,COUNT('Charts - Freight'!$E$237:$AH$237))</definedName>
    <definedName name="workingratioall">OFFSET('Charts - Consolidated'!$E$214,0,0,1,COUNT('Charts - Consolidated'!$E$214:$AH$214))</definedName>
    <definedName name="workingratioinfra">OFFSET('Charts - Infrastructure'!$E$214,0,0,1,COUNT('Charts - Infrastructure'!$E$214:$AH$214))</definedName>
    <definedName name="workingratiopax">OFFSET('Charts - Passenger'!$E$223,0,0,1,COUNT('Charts - Passenger'!$E$223:$AH$223))</definedName>
    <definedName name="Year">OFFSET('Charts - Freight'!$E$137,0,0,1,COUNT('Charts - Freight'!$E$137:$AH$137))</definedName>
    <definedName name="Yeardscr">OFFSET('Charts - Freight'!$F$137,0,0,1,COUNT('Charts - Freight'!$F$137:$AH$137))</definedName>
  </definedNames>
  <calcPr calcId="191029" iterateDelta="9.9999999999999995E-8"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164" i="7" l="1"/>
  <c r="D1135" i="7"/>
  <c r="D277" i="7"/>
  <c r="D248" i="7"/>
  <c r="D1501" i="7"/>
  <c r="D1500" i="7"/>
  <c r="D1499" i="7"/>
  <c r="D506" i="7"/>
  <c r="D505" i="7"/>
  <c r="D504" i="7"/>
  <c r="D1396" i="7"/>
  <c r="D1395" i="7"/>
  <c r="D1394" i="7"/>
  <c r="D924" i="7"/>
  <c r="D923" i="7"/>
  <c r="D922" i="7"/>
  <c r="D666" i="7"/>
  <c r="D695" i="7"/>
  <c r="E205" i="26" l="1"/>
  <c r="E485" i="26"/>
  <c r="E467" i="26"/>
  <c r="E449" i="26"/>
  <c r="E431" i="26"/>
  <c r="E479" i="26"/>
  <c r="E461" i="26"/>
  <c r="E443" i="26"/>
  <c r="E425" i="26"/>
  <c r="E413" i="26"/>
  <c r="E401" i="26"/>
  <c r="E389" i="26"/>
  <c r="E368" i="26"/>
  <c r="E303" i="26"/>
  <c r="E230" i="26"/>
  <c r="E215" i="26"/>
  <c r="E203" i="26"/>
  <c r="E217" i="26"/>
  <c r="E211" i="26"/>
  <c r="E200" i="26"/>
  <c r="E163" i="26"/>
  <c r="E139" i="26"/>
  <c r="D149" i="26" s="1"/>
  <c r="E116" i="26"/>
  <c r="E101" i="26"/>
  <c r="E93" i="26"/>
  <c r="E85" i="26"/>
  <c r="E77" i="26"/>
  <c r="E69" i="26"/>
  <c r="E64" i="26"/>
  <c r="F469" i="25"/>
  <c r="E471" i="25" s="1"/>
  <c r="F451" i="25"/>
  <c r="E453" i="25" s="1"/>
  <c r="D455" i="25" s="1"/>
  <c r="E499" i="25"/>
  <c r="E481" i="25"/>
  <c r="E463" i="25"/>
  <c r="E445" i="25"/>
  <c r="E493" i="25"/>
  <c r="E475" i="25"/>
  <c r="E457" i="25"/>
  <c r="E439" i="25"/>
  <c r="E427" i="25"/>
  <c r="E415" i="25"/>
  <c r="E403" i="25"/>
  <c r="E217" i="25"/>
  <c r="E215" i="25"/>
  <c r="E205" i="25"/>
  <c r="E203" i="25"/>
  <c r="E382" i="25"/>
  <c r="E317" i="25"/>
  <c r="E244" i="25"/>
  <c r="E233" i="25"/>
  <c r="E211" i="25"/>
  <c r="E200" i="25"/>
  <c r="E163" i="25"/>
  <c r="E134" i="25"/>
  <c r="E111" i="25"/>
  <c r="E97" i="25"/>
  <c r="E89" i="25"/>
  <c r="E81" i="25"/>
  <c r="E73" i="25"/>
  <c r="E65" i="25"/>
  <c r="E60" i="25"/>
  <c r="E550" i="1"/>
  <c r="E470" i="7" s="1"/>
  <c r="E532" i="1"/>
  <c r="E439" i="7" s="1"/>
  <c r="E514" i="1"/>
  <c r="E409" i="7" s="1"/>
  <c r="E496" i="1"/>
  <c r="E544" i="1"/>
  <c r="E526" i="1"/>
  <c r="E508" i="1"/>
  <c r="E490" i="1"/>
  <c r="E478" i="1"/>
  <c r="E466" i="1"/>
  <c r="E454" i="1"/>
  <c r="E433" i="1"/>
  <c r="E368" i="1"/>
  <c r="E295" i="1"/>
  <c r="E284" i="1"/>
  <c r="E266" i="1"/>
  <c r="E254" i="1"/>
  <c r="E268" i="1"/>
  <c r="E256" i="1"/>
  <c r="E262" i="1"/>
  <c r="E251" i="1"/>
  <c r="E214" i="1"/>
  <c r="E143" i="1"/>
  <c r="E111" i="1"/>
  <c r="E97" i="1"/>
  <c r="E89" i="1"/>
  <c r="E81" i="1"/>
  <c r="E73" i="1"/>
  <c r="E65" i="1"/>
  <c r="E60" i="1"/>
  <c r="F496" i="7"/>
  <c r="E471" i="7"/>
  <c r="F435" i="7"/>
  <c r="G405" i="7"/>
  <c r="H405" i="7"/>
  <c r="I405" i="7"/>
  <c r="J405" i="7"/>
  <c r="K405" i="7"/>
  <c r="F405" i="7"/>
  <c r="E473" i="7" l="1"/>
  <c r="F441" i="7"/>
  <c r="K410" i="7"/>
  <c r="G410" i="7"/>
  <c r="F411" i="7"/>
  <c r="E411" i="7"/>
  <c r="I411" i="7"/>
  <c r="E410" i="7"/>
  <c r="H409" i="7"/>
  <c r="J411" i="7"/>
  <c r="D153" i="26"/>
  <c r="D151" i="26"/>
  <c r="E469" i="7"/>
  <c r="E472" i="7"/>
  <c r="E441" i="7"/>
  <c r="E440" i="7"/>
  <c r="L405" i="7"/>
  <c r="M405" i="7" s="1"/>
  <c r="N405" i="7" s="1"/>
  <c r="O405" i="7" s="1"/>
  <c r="P405" i="7" s="1"/>
  <c r="Q405" i="7" s="1"/>
  <c r="R405" i="7" s="1"/>
  <c r="S405" i="7" s="1"/>
  <c r="T405" i="7" s="1"/>
  <c r="U405" i="7" s="1"/>
  <c r="V405" i="7" s="1"/>
  <c r="W405" i="7" s="1"/>
  <c r="X405" i="7" s="1"/>
  <c r="Y405" i="7" s="1"/>
  <c r="Z405" i="7" s="1"/>
  <c r="AA405" i="7" s="1"/>
  <c r="AB405" i="7" s="1"/>
  <c r="AC405" i="7" s="1"/>
  <c r="AD405" i="7" s="1"/>
  <c r="AE405" i="7" s="1"/>
  <c r="AF405" i="7" s="1"/>
  <c r="AG405" i="7" s="1"/>
  <c r="AH405" i="7" s="1"/>
  <c r="AH410" i="7" s="1"/>
  <c r="K411" i="7"/>
  <c r="G411" i="7"/>
  <c r="H410" i="7"/>
  <c r="I409" i="7"/>
  <c r="F439" i="7"/>
  <c r="H411" i="7"/>
  <c r="I410" i="7"/>
  <c r="J409" i="7"/>
  <c r="F409" i="7"/>
  <c r="F440" i="7"/>
  <c r="J410" i="7"/>
  <c r="F410" i="7"/>
  <c r="K409" i="7"/>
  <c r="G409" i="7"/>
  <c r="F375" i="7"/>
  <c r="G375" i="7"/>
  <c r="H375" i="7"/>
  <c r="I375" i="7"/>
  <c r="J375" i="7"/>
  <c r="K375" i="7"/>
  <c r="L375" i="7" s="1"/>
  <c r="E375" i="7"/>
  <c r="E502" i="7"/>
  <c r="F465" i="7"/>
  <c r="P409" i="7" l="1"/>
  <c r="S410" i="7"/>
  <c r="W409" i="7"/>
  <c r="R410" i="7"/>
  <c r="N409" i="7"/>
  <c r="T409" i="7"/>
  <c r="W410" i="7"/>
  <c r="L409" i="7"/>
  <c r="O410" i="7"/>
  <c r="W412" i="7"/>
  <c r="S409" i="7"/>
  <c r="N410" i="7"/>
  <c r="X409" i="7"/>
  <c r="AA410" i="7"/>
  <c r="O409" i="7"/>
  <c r="M410" i="7"/>
  <c r="X411" i="7"/>
  <c r="R409" i="7"/>
  <c r="AE410" i="7"/>
  <c r="V410" i="7"/>
  <c r="L410" i="7"/>
  <c r="AF409" i="7"/>
  <c r="AF411" i="7"/>
  <c r="AD412" i="7"/>
  <c r="AB412" i="7"/>
  <c r="AB409" i="7"/>
  <c r="AB411" i="7"/>
  <c r="AE412" i="7"/>
  <c r="W411" i="7"/>
  <c r="M409" i="7"/>
  <c r="AA412" i="7"/>
  <c r="Z410" i="7"/>
  <c r="Z412" i="7"/>
  <c r="Z409" i="7"/>
  <c r="AG410" i="7"/>
  <c r="AA409" i="7"/>
  <c r="V412" i="7"/>
  <c r="V409" i="7"/>
  <c r="Q410" i="7"/>
  <c r="AG412" i="7"/>
  <c r="Q409" i="7"/>
  <c r="AE409" i="7"/>
  <c r="AA411" i="7"/>
  <c r="Y412" i="7"/>
  <c r="AD410" i="7"/>
  <c r="Y410" i="7"/>
  <c r="AD411" i="7"/>
  <c r="AG409" i="7"/>
  <c r="AB410" i="7"/>
  <c r="AG411" i="7"/>
  <c r="AE411" i="7"/>
  <c r="AH412" i="7"/>
  <c r="AD409" i="7"/>
  <c r="U410" i="7"/>
  <c r="V411" i="7"/>
  <c r="Y409" i="7"/>
  <c r="T410" i="7"/>
  <c r="Y411" i="7"/>
  <c r="AC410" i="7"/>
  <c r="Z411" i="7"/>
  <c r="AC412" i="7"/>
  <c r="AC409" i="7"/>
  <c r="P410" i="7"/>
  <c r="AF410" i="7"/>
  <c r="AC411" i="7"/>
  <c r="AF412" i="7"/>
  <c r="AH409" i="7"/>
  <c r="AH411" i="7"/>
  <c r="U409" i="7"/>
  <c r="X410" i="7"/>
  <c r="X412" i="7"/>
  <c r="M375" i="7"/>
  <c r="L380" i="7"/>
  <c r="L379" i="7"/>
  <c r="H380" i="7"/>
  <c r="H381" i="7"/>
  <c r="H379" i="7"/>
  <c r="E380" i="7"/>
  <c r="E381" i="7"/>
  <c r="I380" i="7"/>
  <c r="I379" i="7"/>
  <c r="I381" i="7"/>
  <c r="E379" i="7"/>
  <c r="J379" i="7"/>
  <c r="J381" i="7"/>
  <c r="J380" i="7"/>
  <c r="F379" i="7"/>
  <c r="F381" i="7"/>
  <c r="F380" i="7"/>
  <c r="K381" i="7"/>
  <c r="K380" i="7"/>
  <c r="K379" i="7"/>
  <c r="G381" i="7"/>
  <c r="G380" i="7"/>
  <c r="G379" i="7"/>
  <c r="F469" i="7"/>
  <c r="F472" i="7"/>
  <c r="F471" i="7"/>
  <c r="F470" i="7"/>
  <c r="B3" i="6"/>
  <c r="B3" i="5"/>
  <c r="B3" i="2"/>
  <c r="O15" i="38"/>
  <c r="N15" i="38"/>
  <c r="M15" i="38"/>
  <c r="L15" i="38"/>
  <c r="O15" i="37"/>
  <c r="N15" i="37"/>
  <c r="M15" i="37"/>
  <c r="L15" i="37"/>
  <c r="O15" i="36"/>
  <c r="N15" i="36"/>
  <c r="M15" i="36"/>
  <c r="L15" i="36"/>
  <c r="E1361" i="7"/>
  <c r="E1331" i="7"/>
  <c r="E1301" i="7"/>
  <c r="E1271" i="7"/>
  <c r="E889" i="7"/>
  <c r="E859" i="7"/>
  <c r="E829" i="7"/>
  <c r="E827" i="7"/>
  <c r="E828" i="7"/>
  <c r="E799" i="7"/>
  <c r="N375" i="7" l="1"/>
  <c r="M379" i="7"/>
  <c r="M380" i="7"/>
  <c r="D1193" i="7"/>
  <c r="D1192" i="7"/>
  <c r="D1191" i="7"/>
  <c r="O375" i="7" l="1"/>
  <c r="N379" i="7"/>
  <c r="N380" i="7"/>
  <c r="D63" i="26"/>
  <c r="D59" i="25"/>
  <c r="F30" i="26"/>
  <c r="F26" i="25"/>
  <c r="F26" i="1"/>
  <c r="D59" i="1"/>
  <c r="E64" i="1"/>
  <c r="P375" i="7" l="1"/>
  <c r="O380" i="7"/>
  <c r="O379" i="7"/>
  <c r="D1477" i="7"/>
  <c r="Q375" i="7" l="1"/>
  <c r="P380" i="7"/>
  <c r="P379" i="7"/>
  <c r="B1475" i="7"/>
  <c r="D1484" i="7"/>
  <c r="D1482" i="7"/>
  <c r="D1481" i="7"/>
  <c r="D1480" i="7"/>
  <c r="D1459" i="7"/>
  <c r="D1458" i="7"/>
  <c r="E105" i="27"/>
  <c r="E432" i="25"/>
  <c r="D106" i="27"/>
  <c r="D98" i="27"/>
  <c r="D1403" i="7"/>
  <c r="D1401" i="7"/>
  <c r="R375" i="7" l="1"/>
  <c r="Q379" i="7"/>
  <c r="Q380" i="7"/>
  <c r="J447" i="7"/>
  <c r="K447" i="7"/>
  <c r="L447" i="7"/>
  <c r="M447" i="7"/>
  <c r="N447" i="7"/>
  <c r="O447" i="7"/>
  <c r="P447" i="7"/>
  <c r="Q447" i="7"/>
  <c r="R447" i="7"/>
  <c r="S447" i="7"/>
  <c r="T447" i="7"/>
  <c r="U447" i="7"/>
  <c r="V447" i="7"/>
  <c r="W447" i="7"/>
  <c r="X447" i="7"/>
  <c r="Y447" i="7"/>
  <c r="Z447" i="7"/>
  <c r="AA447" i="7"/>
  <c r="AB447" i="7"/>
  <c r="AC447" i="7"/>
  <c r="AD447" i="7"/>
  <c r="AE447" i="7"/>
  <c r="AF447" i="7"/>
  <c r="AG447" i="7"/>
  <c r="AH447" i="7"/>
  <c r="E483" i="1"/>
  <c r="S375" i="7" l="1"/>
  <c r="R379" i="7"/>
  <c r="R380" i="7"/>
  <c r="G1355" i="7"/>
  <c r="H1355" i="7"/>
  <c r="I1355" i="7"/>
  <c r="J1355" i="7"/>
  <c r="K1355" i="7"/>
  <c r="F1355" i="7"/>
  <c r="G1325" i="7"/>
  <c r="H1325" i="7"/>
  <c r="I1325" i="7"/>
  <c r="J1325" i="7"/>
  <c r="K1325" i="7"/>
  <c r="F1325" i="7"/>
  <c r="G1295" i="7"/>
  <c r="H1295" i="7"/>
  <c r="I1295" i="7"/>
  <c r="J1295" i="7"/>
  <c r="K1295" i="7"/>
  <c r="F1295" i="7"/>
  <c r="G1265" i="7"/>
  <c r="H1265" i="7"/>
  <c r="I1265" i="7"/>
  <c r="J1265" i="7"/>
  <c r="K1265" i="7"/>
  <c r="F1265" i="7"/>
  <c r="G1269" i="7" l="1"/>
  <c r="G1271" i="7"/>
  <c r="G1270" i="7"/>
  <c r="G1331" i="7"/>
  <c r="G1330" i="7"/>
  <c r="G1329" i="7"/>
  <c r="J1270" i="7"/>
  <c r="J1269" i="7"/>
  <c r="J1271" i="7"/>
  <c r="F1301" i="7"/>
  <c r="F1300" i="7"/>
  <c r="F1299" i="7"/>
  <c r="H1299" i="7"/>
  <c r="H1301" i="7"/>
  <c r="H1300" i="7"/>
  <c r="J1329" i="7"/>
  <c r="J1331" i="7"/>
  <c r="J1330" i="7"/>
  <c r="F1361" i="7"/>
  <c r="F1360" i="7"/>
  <c r="F1359" i="7"/>
  <c r="H1359" i="7"/>
  <c r="H1361" i="7"/>
  <c r="H1360" i="7"/>
  <c r="T375" i="7"/>
  <c r="S380" i="7"/>
  <c r="S379" i="7"/>
  <c r="K1269" i="7"/>
  <c r="K1271" i="7"/>
  <c r="K1270" i="7"/>
  <c r="K1331" i="7"/>
  <c r="K1330" i="7"/>
  <c r="K1329" i="7"/>
  <c r="H1271" i="7"/>
  <c r="H1270" i="7"/>
  <c r="H1269" i="7"/>
  <c r="F1329" i="7"/>
  <c r="F1331" i="7"/>
  <c r="F1330" i="7"/>
  <c r="H1331" i="7"/>
  <c r="H1330" i="7"/>
  <c r="H1329" i="7"/>
  <c r="J1361" i="7"/>
  <c r="J1360" i="7"/>
  <c r="J1359" i="7"/>
  <c r="I1301" i="7"/>
  <c r="I1300" i="7"/>
  <c r="I1299" i="7"/>
  <c r="I1361" i="7"/>
  <c r="I1360" i="7"/>
  <c r="I1359" i="7"/>
  <c r="F1270" i="7"/>
  <c r="F1269" i="7"/>
  <c r="F1271" i="7"/>
  <c r="J1301" i="7"/>
  <c r="J1300" i="7"/>
  <c r="J1299" i="7"/>
  <c r="I1271" i="7"/>
  <c r="I1270" i="7"/>
  <c r="I1269" i="7"/>
  <c r="K1300" i="7"/>
  <c r="K1299" i="7"/>
  <c r="K1301" i="7"/>
  <c r="G1300" i="7"/>
  <c r="G1299" i="7"/>
  <c r="G1301" i="7"/>
  <c r="I1330" i="7"/>
  <c r="I1329" i="7"/>
  <c r="I1331" i="7"/>
  <c r="K1360" i="7"/>
  <c r="K1359" i="7"/>
  <c r="K1361" i="7"/>
  <c r="G1360" i="7"/>
  <c r="G1359" i="7"/>
  <c r="G1361" i="7"/>
  <c r="L1355" i="7"/>
  <c r="L1265" i="7"/>
  <c r="L1295" i="7"/>
  <c r="L1325" i="7"/>
  <c r="G883" i="7"/>
  <c r="H883" i="7"/>
  <c r="I883" i="7"/>
  <c r="I889" i="7" s="1"/>
  <c r="J883" i="7"/>
  <c r="J889" i="7" s="1"/>
  <c r="K883" i="7"/>
  <c r="F883" i="7"/>
  <c r="G853" i="7"/>
  <c r="H853" i="7"/>
  <c r="I853" i="7"/>
  <c r="J853" i="7"/>
  <c r="K853" i="7"/>
  <c r="F853" i="7"/>
  <c r="G823" i="7"/>
  <c r="H823" i="7"/>
  <c r="I823" i="7"/>
  <c r="J823" i="7"/>
  <c r="K823" i="7"/>
  <c r="F823" i="7"/>
  <c r="G793" i="7"/>
  <c r="H793" i="7"/>
  <c r="I793" i="7"/>
  <c r="J793" i="7"/>
  <c r="K793" i="7"/>
  <c r="F793" i="7"/>
  <c r="G465" i="7"/>
  <c r="G435" i="7"/>
  <c r="H435" i="7"/>
  <c r="I435" i="7"/>
  <c r="J435" i="7"/>
  <c r="J441" i="7" s="1"/>
  <c r="K435" i="7"/>
  <c r="K441" i="7" s="1"/>
  <c r="E1360" i="7"/>
  <c r="E1359" i="7"/>
  <c r="E1330" i="7"/>
  <c r="E1329" i="7"/>
  <c r="E1300" i="7"/>
  <c r="E1299" i="7"/>
  <c r="E1270" i="7"/>
  <c r="E1269" i="7"/>
  <c r="E888" i="7"/>
  <c r="E887" i="7"/>
  <c r="E858" i="7"/>
  <c r="E857" i="7"/>
  <c r="E798" i="7"/>
  <c r="E797" i="7"/>
  <c r="E122" i="25"/>
  <c r="E128" i="26"/>
  <c r="E127" i="1"/>
  <c r="I887" i="7" l="1"/>
  <c r="K797" i="7"/>
  <c r="K799" i="7"/>
  <c r="K798" i="7"/>
  <c r="I441" i="7"/>
  <c r="I439" i="7"/>
  <c r="I440" i="7"/>
  <c r="J798" i="7"/>
  <c r="J797" i="7"/>
  <c r="J799" i="7"/>
  <c r="F829" i="7"/>
  <c r="F828" i="7"/>
  <c r="F827" i="7"/>
  <c r="H827" i="7"/>
  <c r="H829" i="7"/>
  <c r="H828" i="7"/>
  <c r="J857" i="7"/>
  <c r="J859" i="7"/>
  <c r="J858" i="7"/>
  <c r="L1270" i="7"/>
  <c r="L1269" i="7"/>
  <c r="U375" i="7"/>
  <c r="T380" i="7"/>
  <c r="T379" i="7"/>
  <c r="G797" i="7"/>
  <c r="G799" i="7"/>
  <c r="G798" i="7"/>
  <c r="K859" i="7"/>
  <c r="K858" i="7"/>
  <c r="K857" i="7"/>
  <c r="L1299" i="7"/>
  <c r="L1300" i="7"/>
  <c r="G439" i="7"/>
  <c r="G440" i="7"/>
  <c r="G441" i="7"/>
  <c r="F798" i="7"/>
  <c r="F797" i="7"/>
  <c r="F799" i="7"/>
  <c r="H799" i="7"/>
  <c r="H798" i="7"/>
  <c r="H797" i="7"/>
  <c r="J829" i="7"/>
  <c r="J828" i="7"/>
  <c r="J827" i="7"/>
  <c r="F857" i="7"/>
  <c r="F859" i="7"/>
  <c r="F858" i="7"/>
  <c r="H859" i="7"/>
  <c r="H858" i="7"/>
  <c r="H857" i="7"/>
  <c r="L1330" i="7"/>
  <c r="L1329" i="7"/>
  <c r="I829" i="7"/>
  <c r="I828" i="7"/>
  <c r="I827" i="7"/>
  <c r="G859" i="7"/>
  <c r="G858" i="7"/>
  <c r="G857" i="7"/>
  <c r="H440" i="7"/>
  <c r="H441" i="7"/>
  <c r="H439" i="7"/>
  <c r="I799" i="7"/>
  <c r="I798" i="7"/>
  <c r="I797" i="7"/>
  <c r="K828" i="7"/>
  <c r="K827" i="7"/>
  <c r="K829" i="7"/>
  <c r="G828" i="7"/>
  <c r="G827" i="7"/>
  <c r="G829" i="7"/>
  <c r="I858" i="7"/>
  <c r="I857" i="7"/>
  <c r="I859" i="7"/>
  <c r="M1355" i="7"/>
  <c r="L1359" i="7"/>
  <c r="L1360" i="7"/>
  <c r="G472" i="7"/>
  <c r="G471" i="7"/>
  <c r="G470" i="7"/>
  <c r="G469" i="7"/>
  <c r="J438" i="7"/>
  <c r="H888" i="7"/>
  <c r="H889" i="7"/>
  <c r="F889" i="7"/>
  <c r="K889" i="7"/>
  <c r="G889" i="7"/>
  <c r="L435" i="7"/>
  <c r="L439" i="7" s="1"/>
  <c r="M1325" i="7"/>
  <c r="M1265" i="7"/>
  <c r="L793" i="7"/>
  <c r="L823" i="7"/>
  <c r="L853" i="7"/>
  <c r="L883" i="7"/>
  <c r="H465" i="7"/>
  <c r="M1295" i="7"/>
  <c r="J439" i="7"/>
  <c r="I888" i="7"/>
  <c r="J887" i="7"/>
  <c r="F887" i="7"/>
  <c r="J888" i="7"/>
  <c r="F888" i="7"/>
  <c r="K887" i="7"/>
  <c r="G887" i="7"/>
  <c r="K888" i="7"/>
  <c r="G888" i="7"/>
  <c r="H887" i="7"/>
  <c r="K438" i="7"/>
  <c r="J440" i="7"/>
  <c r="K439" i="7"/>
  <c r="K440" i="7"/>
  <c r="L858" i="7" l="1"/>
  <c r="L857" i="7"/>
  <c r="M1330" i="7"/>
  <c r="M1329" i="7"/>
  <c r="M1300" i="7"/>
  <c r="M1299" i="7"/>
  <c r="L827" i="7"/>
  <c r="L828" i="7"/>
  <c r="V375" i="7"/>
  <c r="U380" i="7"/>
  <c r="U379" i="7"/>
  <c r="M1270" i="7"/>
  <c r="M1269" i="7"/>
  <c r="N1355" i="7"/>
  <c r="M1360" i="7"/>
  <c r="M1359" i="7"/>
  <c r="L798" i="7"/>
  <c r="L797" i="7"/>
  <c r="H471" i="7"/>
  <c r="H470" i="7"/>
  <c r="H469" i="7"/>
  <c r="H472" i="7"/>
  <c r="L440" i="7"/>
  <c r="N1295" i="7"/>
  <c r="M853" i="7"/>
  <c r="M793" i="7"/>
  <c r="N1265" i="7"/>
  <c r="I465" i="7"/>
  <c r="M883" i="7"/>
  <c r="M823" i="7"/>
  <c r="N1325" i="7"/>
  <c r="M435" i="7"/>
  <c r="L888" i="7"/>
  <c r="L887" i="7"/>
  <c r="M828" i="7" l="1"/>
  <c r="M827" i="7"/>
  <c r="M798" i="7"/>
  <c r="M797" i="7"/>
  <c r="W375" i="7"/>
  <c r="V379" i="7"/>
  <c r="V381" i="7"/>
  <c r="V380" i="7"/>
  <c r="V382" i="7"/>
  <c r="N1270" i="7"/>
  <c r="N1269" i="7"/>
  <c r="N1300" i="7"/>
  <c r="N1299" i="7"/>
  <c r="N1329" i="7"/>
  <c r="N1330" i="7"/>
  <c r="M858" i="7"/>
  <c r="M857" i="7"/>
  <c r="O1355" i="7"/>
  <c r="N1360" i="7"/>
  <c r="N1359" i="7"/>
  <c r="I470" i="7"/>
  <c r="I471" i="7"/>
  <c r="I469" i="7"/>
  <c r="I472" i="7"/>
  <c r="N435" i="7"/>
  <c r="M440" i="7"/>
  <c r="M439" i="7"/>
  <c r="N823" i="7"/>
  <c r="J465" i="7"/>
  <c r="N853" i="7"/>
  <c r="O1295" i="7"/>
  <c r="O1325" i="7"/>
  <c r="N883" i="7"/>
  <c r="O1265" i="7"/>
  <c r="N793" i="7"/>
  <c r="M887" i="7"/>
  <c r="M888" i="7"/>
  <c r="O1269" i="7" l="1"/>
  <c r="O1270" i="7"/>
  <c r="N857" i="7"/>
  <c r="N858" i="7"/>
  <c r="N798" i="7"/>
  <c r="N797" i="7"/>
  <c r="O1300" i="7"/>
  <c r="O1299" i="7"/>
  <c r="O1330" i="7"/>
  <c r="O1329" i="7"/>
  <c r="N828" i="7"/>
  <c r="N827" i="7"/>
  <c r="X375" i="7"/>
  <c r="W380" i="7"/>
  <c r="W382" i="7"/>
  <c r="W379" i="7"/>
  <c r="W381" i="7"/>
  <c r="P1355" i="7"/>
  <c r="O1360" i="7"/>
  <c r="O1359" i="7"/>
  <c r="J469" i="7"/>
  <c r="J470" i="7"/>
  <c r="J472" i="7"/>
  <c r="J471" i="7"/>
  <c r="O793" i="7"/>
  <c r="O883" i="7"/>
  <c r="P1325" i="7"/>
  <c r="O853" i="7"/>
  <c r="O823" i="7"/>
  <c r="O435" i="7"/>
  <c r="N439" i="7"/>
  <c r="N440" i="7"/>
  <c r="P1265" i="7"/>
  <c r="P1295" i="7"/>
  <c r="K465" i="7"/>
  <c r="N888" i="7"/>
  <c r="N887" i="7"/>
  <c r="P1330" i="7" l="1"/>
  <c r="P1329" i="7"/>
  <c r="P1299" i="7"/>
  <c r="P1300" i="7"/>
  <c r="O858" i="7"/>
  <c r="O857" i="7"/>
  <c r="Y375" i="7"/>
  <c r="X380" i="7"/>
  <c r="X382" i="7"/>
  <c r="X379" i="7"/>
  <c r="X381" i="7"/>
  <c r="P1270" i="7"/>
  <c r="P1269" i="7"/>
  <c r="O828" i="7"/>
  <c r="O827" i="7"/>
  <c r="O797" i="7"/>
  <c r="O798" i="7"/>
  <c r="Q1355" i="7"/>
  <c r="P1359" i="7"/>
  <c r="P1360" i="7"/>
  <c r="K472" i="7"/>
  <c r="K469" i="7"/>
  <c r="K471" i="7"/>
  <c r="K470" i="7"/>
  <c r="Q1265" i="7"/>
  <c r="P823" i="7"/>
  <c r="P883" i="7"/>
  <c r="P793" i="7"/>
  <c r="L465" i="7"/>
  <c r="Q1295" i="7"/>
  <c r="P435" i="7"/>
  <c r="O439" i="7"/>
  <c r="O440" i="7"/>
  <c r="P853" i="7"/>
  <c r="Q1325" i="7"/>
  <c r="O888" i="7"/>
  <c r="O887" i="7"/>
  <c r="Q1330" i="7" l="1"/>
  <c r="Q1329" i="7"/>
  <c r="Q1270" i="7"/>
  <c r="Q1269" i="7"/>
  <c r="P858" i="7"/>
  <c r="P857" i="7"/>
  <c r="Q1300" i="7"/>
  <c r="Q1299" i="7"/>
  <c r="P827" i="7"/>
  <c r="P828" i="7"/>
  <c r="Z375" i="7"/>
  <c r="Y379" i="7"/>
  <c r="Y381" i="7"/>
  <c r="Y380" i="7"/>
  <c r="Y382" i="7"/>
  <c r="P798" i="7"/>
  <c r="P797" i="7"/>
  <c r="R1355" i="7"/>
  <c r="Q1360" i="7"/>
  <c r="Q1359" i="7"/>
  <c r="L471" i="7"/>
  <c r="L472" i="7"/>
  <c r="L470" i="7"/>
  <c r="L469" i="7"/>
  <c r="Q853" i="7"/>
  <c r="Q435" i="7"/>
  <c r="P439" i="7"/>
  <c r="P440" i="7"/>
  <c r="R1295" i="7"/>
  <c r="M465" i="7"/>
  <c r="Q793" i="7"/>
  <c r="Q823" i="7"/>
  <c r="R1325" i="7"/>
  <c r="Q883" i="7"/>
  <c r="R1265" i="7"/>
  <c r="P888" i="7"/>
  <c r="P887" i="7"/>
  <c r="R1270" i="7" l="1"/>
  <c r="R1269" i="7"/>
  <c r="R1300" i="7"/>
  <c r="R1299" i="7"/>
  <c r="AA375" i="7"/>
  <c r="Z379" i="7"/>
  <c r="Z381" i="7"/>
  <c r="Z380" i="7"/>
  <c r="Z382" i="7"/>
  <c r="Q828" i="7"/>
  <c r="Q827" i="7"/>
  <c r="Q798" i="7"/>
  <c r="Q797" i="7"/>
  <c r="R1329" i="7"/>
  <c r="R1330" i="7"/>
  <c r="Q858" i="7"/>
  <c r="Q857" i="7"/>
  <c r="S1355" i="7"/>
  <c r="R1360" i="7"/>
  <c r="R1359" i="7"/>
  <c r="M470" i="7"/>
  <c r="M469" i="7"/>
  <c r="M472" i="7"/>
  <c r="M471" i="7"/>
  <c r="S1265" i="7"/>
  <c r="S1325" i="7"/>
  <c r="R823" i="7"/>
  <c r="R793" i="7"/>
  <c r="N465" i="7"/>
  <c r="R853" i="7"/>
  <c r="R883" i="7"/>
  <c r="S1295" i="7"/>
  <c r="R435" i="7"/>
  <c r="Q440" i="7"/>
  <c r="Q439" i="7"/>
  <c r="Q887" i="7"/>
  <c r="Q888" i="7"/>
  <c r="R828" i="7" l="1"/>
  <c r="R827" i="7"/>
  <c r="S1300" i="7"/>
  <c r="S1299" i="7"/>
  <c r="S1269" i="7"/>
  <c r="S1270" i="7"/>
  <c r="R857" i="7"/>
  <c r="R858" i="7"/>
  <c r="S1330" i="7"/>
  <c r="S1329" i="7"/>
  <c r="AB375" i="7"/>
  <c r="AA380" i="7"/>
  <c r="AA382" i="7"/>
  <c r="AA379" i="7"/>
  <c r="AA381" i="7"/>
  <c r="R798" i="7"/>
  <c r="R797" i="7"/>
  <c r="T1355" i="7"/>
  <c r="S1360" i="7"/>
  <c r="S1359" i="7"/>
  <c r="N469" i="7"/>
  <c r="N472" i="7"/>
  <c r="N471" i="7"/>
  <c r="N470" i="7"/>
  <c r="T1295" i="7"/>
  <c r="S883" i="7"/>
  <c r="S823" i="7"/>
  <c r="T1325" i="7"/>
  <c r="T1265" i="7"/>
  <c r="S435" i="7"/>
  <c r="R439" i="7"/>
  <c r="R440" i="7"/>
  <c r="S853" i="7"/>
  <c r="O465" i="7"/>
  <c r="S793" i="7"/>
  <c r="R888" i="7"/>
  <c r="R887" i="7"/>
  <c r="S797" i="7" l="1"/>
  <c r="S798" i="7"/>
  <c r="AC375" i="7"/>
  <c r="AB380" i="7"/>
  <c r="AB382" i="7"/>
  <c r="AB379" i="7"/>
  <c r="AB381" i="7"/>
  <c r="T1330" i="7"/>
  <c r="T1329" i="7"/>
  <c r="S828" i="7"/>
  <c r="S827" i="7"/>
  <c r="S858" i="7"/>
  <c r="S857" i="7"/>
  <c r="T1270" i="7"/>
  <c r="T1269" i="7"/>
  <c r="T1299" i="7"/>
  <c r="T1300" i="7"/>
  <c r="U1355" i="7"/>
  <c r="T1359" i="7"/>
  <c r="T1360" i="7"/>
  <c r="O472" i="7"/>
  <c r="O469" i="7"/>
  <c r="O471" i="7"/>
  <c r="O470" i="7"/>
  <c r="T793" i="7"/>
  <c r="P465" i="7"/>
  <c r="T435" i="7"/>
  <c r="S440" i="7"/>
  <c r="S439" i="7"/>
  <c r="T823" i="7"/>
  <c r="U1295" i="7"/>
  <c r="T853" i="7"/>
  <c r="U1265" i="7"/>
  <c r="U1325" i="7"/>
  <c r="T883" i="7"/>
  <c r="S888" i="7"/>
  <c r="S887" i="7"/>
  <c r="U1300" i="7" l="1"/>
  <c r="U1299" i="7"/>
  <c r="U1330" i="7"/>
  <c r="U1329" i="7"/>
  <c r="T827" i="7"/>
  <c r="T828" i="7"/>
  <c r="AD375" i="7"/>
  <c r="AC379" i="7"/>
  <c r="AC381" i="7"/>
  <c r="AC380" i="7"/>
  <c r="AC382" i="7"/>
  <c r="T858" i="7"/>
  <c r="T857" i="7"/>
  <c r="U1270" i="7"/>
  <c r="U1269" i="7"/>
  <c r="T798" i="7"/>
  <c r="T797" i="7"/>
  <c r="V1355" i="7"/>
  <c r="U1360" i="7"/>
  <c r="U1359" i="7"/>
  <c r="P471" i="7"/>
  <c r="P470" i="7"/>
  <c r="P469" i="7"/>
  <c r="P472" i="7"/>
  <c r="U883" i="7"/>
  <c r="V1325" i="7"/>
  <c r="U853" i="7"/>
  <c r="U823" i="7"/>
  <c r="U435" i="7"/>
  <c r="T439" i="7"/>
  <c r="T440" i="7"/>
  <c r="V1265" i="7"/>
  <c r="V1295" i="7"/>
  <c r="Q465" i="7"/>
  <c r="U793" i="7"/>
  <c r="T888" i="7"/>
  <c r="T887" i="7"/>
  <c r="U858" i="7" l="1"/>
  <c r="U857" i="7"/>
  <c r="V1329" i="7"/>
  <c r="V1331" i="7"/>
  <c r="V1330" i="7"/>
  <c r="V1332" i="7"/>
  <c r="U828" i="7"/>
  <c r="U827" i="7"/>
  <c r="AE375" i="7"/>
  <c r="AD379" i="7"/>
  <c r="AD380" i="7"/>
  <c r="AD382" i="7"/>
  <c r="AD381" i="7"/>
  <c r="U798" i="7"/>
  <c r="U797" i="7"/>
  <c r="V1270" i="7"/>
  <c r="V1269" i="7"/>
  <c r="V1272" i="7"/>
  <c r="V1271" i="7"/>
  <c r="V1301" i="7"/>
  <c r="V1300" i="7"/>
  <c r="V1299" i="7"/>
  <c r="V1302" i="7"/>
  <c r="V1360" i="7"/>
  <c r="V1362" i="7"/>
  <c r="V1359" i="7"/>
  <c r="V1361" i="7"/>
  <c r="W1355" i="7"/>
  <c r="Q470" i="7"/>
  <c r="Q471" i="7"/>
  <c r="Q469" i="7"/>
  <c r="Q472" i="7"/>
  <c r="W1265" i="7"/>
  <c r="V823" i="7"/>
  <c r="V883" i="7"/>
  <c r="V793" i="7"/>
  <c r="R465" i="7"/>
  <c r="W1295" i="7"/>
  <c r="V435" i="7"/>
  <c r="U440" i="7"/>
  <c r="U439" i="7"/>
  <c r="V853" i="7"/>
  <c r="W1325" i="7"/>
  <c r="U887" i="7"/>
  <c r="U888" i="7"/>
  <c r="V857" i="7" l="1"/>
  <c r="V858" i="7"/>
  <c r="V829" i="7"/>
  <c r="V828" i="7"/>
  <c r="V827" i="7"/>
  <c r="V830" i="7"/>
  <c r="V798" i="7"/>
  <c r="V800" i="7"/>
  <c r="V797" i="7"/>
  <c r="V799" i="7"/>
  <c r="AF375" i="7"/>
  <c r="AE380" i="7"/>
  <c r="AE382" i="7"/>
  <c r="AE379" i="7"/>
  <c r="AE381" i="7"/>
  <c r="W1300" i="7"/>
  <c r="W1299" i="7"/>
  <c r="W1302" i="7"/>
  <c r="W1301" i="7"/>
  <c r="W1330" i="7"/>
  <c r="W1332" i="7"/>
  <c r="W1329" i="7"/>
  <c r="W1331" i="7"/>
  <c r="W1360" i="7"/>
  <c r="W1362" i="7"/>
  <c r="W1359" i="7"/>
  <c r="W1361" i="7"/>
  <c r="X1355" i="7"/>
  <c r="W1269" i="7"/>
  <c r="W1272" i="7"/>
  <c r="W1271" i="7"/>
  <c r="W1270" i="7"/>
  <c r="R469" i="7"/>
  <c r="R470" i="7"/>
  <c r="R472" i="7"/>
  <c r="R471" i="7"/>
  <c r="V889" i="7"/>
  <c r="V890" i="7"/>
  <c r="V441" i="7"/>
  <c r="V438" i="7" s="1"/>
  <c r="V442" i="7"/>
  <c r="W853" i="7"/>
  <c r="W435" i="7"/>
  <c r="V439" i="7"/>
  <c r="V440" i="7"/>
  <c r="X1295" i="7"/>
  <c r="S465" i="7"/>
  <c r="W793" i="7"/>
  <c r="W823" i="7"/>
  <c r="X1325" i="7"/>
  <c r="W883" i="7"/>
  <c r="X1265" i="7"/>
  <c r="V888" i="7"/>
  <c r="V887" i="7"/>
  <c r="W828" i="7" l="1"/>
  <c r="W827" i="7"/>
  <c r="W830" i="7"/>
  <c r="W829" i="7"/>
  <c r="X1330" i="7"/>
  <c r="X1332" i="7"/>
  <c r="X1329" i="7"/>
  <c r="X1331" i="7"/>
  <c r="X1299" i="7"/>
  <c r="X1302" i="7"/>
  <c r="X1301" i="7"/>
  <c r="X1300" i="7"/>
  <c r="W858" i="7"/>
  <c r="W857" i="7"/>
  <c r="AG375" i="7"/>
  <c r="AF380" i="7"/>
  <c r="AF382" i="7"/>
  <c r="AF379" i="7"/>
  <c r="AF381" i="7"/>
  <c r="X1272" i="7"/>
  <c r="X1271" i="7"/>
  <c r="X1270" i="7"/>
  <c r="X1269" i="7"/>
  <c r="W797" i="7"/>
  <c r="W799" i="7"/>
  <c r="W798" i="7"/>
  <c r="W800" i="7"/>
  <c r="X1359" i="7"/>
  <c r="X1361" i="7"/>
  <c r="X1360" i="7"/>
  <c r="X1362" i="7"/>
  <c r="Y1355" i="7"/>
  <c r="S472" i="7"/>
  <c r="S471" i="7"/>
  <c r="S470" i="7"/>
  <c r="S469" i="7"/>
  <c r="W890" i="7"/>
  <c r="W889" i="7"/>
  <c r="W442" i="7"/>
  <c r="W441" i="7"/>
  <c r="W438" i="7" s="1"/>
  <c r="X883" i="7"/>
  <c r="Y1325" i="7"/>
  <c r="X823" i="7"/>
  <c r="Y1295" i="7"/>
  <c r="X853" i="7"/>
  <c r="Y1265" i="7"/>
  <c r="X793" i="7"/>
  <c r="T465" i="7"/>
  <c r="X435" i="7"/>
  <c r="W440" i="7"/>
  <c r="W439" i="7"/>
  <c r="W888" i="7"/>
  <c r="W887" i="7"/>
  <c r="X858" i="7" l="1"/>
  <c r="X857" i="7"/>
  <c r="Y1271" i="7"/>
  <c r="Y1270" i="7"/>
  <c r="Y1269" i="7"/>
  <c r="Y1272" i="7"/>
  <c r="Y1330" i="7"/>
  <c r="Y1332" i="7"/>
  <c r="Y1329" i="7"/>
  <c r="Y1331" i="7"/>
  <c r="X798" i="7"/>
  <c r="X800" i="7"/>
  <c r="X797" i="7"/>
  <c r="X799" i="7"/>
  <c r="X827" i="7"/>
  <c r="X830" i="7"/>
  <c r="X829" i="7"/>
  <c r="X828" i="7"/>
  <c r="AH375" i="7"/>
  <c r="AG379" i="7"/>
  <c r="AG381" i="7"/>
  <c r="AG380" i="7"/>
  <c r="AG382" i="7"/>
  <c r="Y1302" i="7"/>
  <c r="Y1301" i="7"/>
  <c r="Y1300" i="7"/>
  <c r="Y1299" i="7"/>
  <c r="Y1360" i="7"/>
  <c r="Y1362" i="7"/>
  <c r="Y1359" i="7"/>
  <c r="Y1361" i="7"/>
  <c r="Z1355" i="7"/>
  <c r="T471" i="7"/>
  <c r="T472" i="7"/>
  <c r="T470" i="7"/>
  <c r="T469" i="7"/>
  <c r="X442" i="7"/>
  <c r="X441" i="7"/>
  <c r="X438" i="7" s="1"/>
  <c r="X889" i="7"/>
  <c r="X890" i="7"/>
  <c r="Y793" i="7"/>
  <c r="Y853" i="7"/>
  <c r="Y823" i="7"/>
  <c r="Y883" i="7"/>
  <c r="Y435" i="7"/>
  <c r="X440" i="7"/>
  <c r="X439" i="7"/>
  <c r="U465" i="7"/>
  <c r="Z1265" i="7"/>
  <c r="Z1295" i="7"/>
  <c r="Z1325" i="7"/>
  <c r="X888" i="7"/>
  <c r="X887" i="7"/>
  <c r="Z1301" i="7" l="1"/>
  <c r="Z1300" i="7"/>
  <c r="Z1299" i="7"/>
  <c r="Z1302" i="7"/>
  <c r="Y858" i="7"/>
  <c r="Y857" i="7"/>
  <c r="AH379" i="7"/>
  <c r="AH381" i="7"/>
  <c r="AH380" i="7"/>
  <c r="AH382" i="7"/>
  <c r="Z1270" i="7"/>
  <c r="Z1269" i="7"/>
  <c r="Z1272" i="7"/>
  <c r="Z1271" i="7"/>
  <c r="Y798" i="7"/>
  <c r="Y800" i="7"/>
  <c r="Y797" i="7"/>
  <c r="Y799" i="7"/>
  <c r="Z1329" i="7"/>
  <c r="Z1331" i="7"/>
  <c r="Z1330" i="7"/>
  <c r="Z1332" i="7"/>
  <c r="Y830" i="7"/>
  <c r="Y829" i="7"/>
  <c r="Y828" i="7"/>
  <c r="Y827" i="7"/>
  <c r="Z1360" i="7"/>
  <c r="Z1362" i="7"/>
  <c r="Z1359" i="7"/>
  <c r="Z1361" i="7"/>
  <c r="AA1355" i="7"/>
  <c r="U470" i="7"/>
  <c r="U469" i="7"/>
  <c r="U472" i="7"/>
  <c r="U471" i="7"/>
  <c r="Y889" i="7"/>
  <c r="Y890" i="7"/>
  <c r="Y441" i="7"/>
  <c r="Y438" i="7" s="1"/>
  <c r="Y442" i="7"/>
  <c r="AA1295" i="7"/>
  <c r="V465" i="7"/>
  <c r="Z883" i="7"/>
  <c r="Z853" i="7"/>
  <c r="Z793" i="7"/>
  <c r="AA1325" i="7"/>
  <c r="AA1265" i="7"/>
  <c r="Z435" i="7"/>
  <c r="Y439" i="7"/>
  <c r="Y440" i="7"/>
  <c r="Z823" i="7"/>
  <c r="Y887" i="7"/>
  <c r="Y888" i="7"/>
  <c r="AA1330" i="7" l="1"/>
  <c r="AA1332" i="7"/>
  <c r="AA1329" i="7"/>
  <c r="AA1331" i="7"/>
  <c r="Z829" i="7"/>
  <c r="Z828" i="7"/>
  <c r="Z827" i="7"/>
  <c r="Z830" i="7"/>
  <c r="AA1269" i="7"/>
  <c r="AA1272" i="7"/>
  <c r="AA1271" i="7"/>
  <c r="AA1270" i="7"/>
  <c r="Z857" i="7"/>
  <c r="Z858" i="7"/>
  <c r="AA1360" i="7"/>
  <c r="AA1362" i="7"/>
  <c r="AA1359" i="7"/>
  <c r="AA1361" i="7"/>
  <c r="AB1355" i="7"/>
  <c r="Z798" i="7"/>
  <c r="Z800" i="7"/>
  <c r="Z797" i="7"/>
  <c r="Z799" i="7"/>
  <c r="AA1300" i="7"/>
  <c r="AA1299" i="7"/>
  <c r="AA1302" i="7"/>
  <c r="AA1301" i="7"/>
  <c r="V469" i="7"/>
  <c r="V472" i="7"/>
  <c r="V471" i="7"/>
  <c r="V470" i="7"/>
  <c r="Z889" i="7"/>
  <c r="Z890" i="7"/>
  <c r="Z441" i="7"/>
  <c r="Z438" i="7" s="1"/>
  <c r="Z442" i="7"/>
  <c r="AA793" i="7"/>
  <c r="AA883" i="7"/>
  <c r="W465" i="7"/>
  <c r="AB1295" i="7"/>
  <c r="AA823" i="7"/>
  <c r="AB1265" i="7"/>
  <c r="AB1325" i="7"/>
  <c r="AA853" i="7"/>
  <c r="AA435" i="7"/>
  <c r="Z440" i="7"/>
  <c r="Z439" i="7"/>
  <c r="Z888" i="7"/>
  <c r="Z887" i="7"/>
  <c r="AB1330" i="7" l="1"/>
  <c r="AB1332" i="7"/>
  <c r="AB1329" i="7"/>
  <c r="AB1331" i="7"/>
  <c r="AB1299" i="7"/>
  <c r="AB1302" i="7"/>
  <c r="AB1301" i="7"/>
  <c r="AB1300" i="7"/>
  <c r="AB1359" i="7"/>
  <c r="AB1361" i="7"/>
  <c r="AB1360" i="7"/>
  <c r="AB1362" i="7"/>
  <c r="AC1355" i="7"/>
  <c r="AB1272" i="7"/>
  <c r="AB1271" i="7"/>
  <c r="AB1270" i="7"/>
  <c r="AB1269" i="7"/>
  <c r="AA858" i="7"/>
  <c r="AA857" i="7"/>
  <c r="AA828" i="7"/>
  <c r="AA827" i="7"/>
  <c r="AA830" i="7"/>
  <c r="AA829" i="7"/>
  <c r="AA797" i="7"/>
  <c r="AA799" i="7"/>
  <c r="AA798" i="7"/>
  <c r="AA800" i="7"/>
  <c r="W472" i="7"/>
  <c r="W469" i="7"/>
  <c r="W471" i="7"/>
  <c r="W470" i="7"/>
  <c r="AA442" i="7"/>
  <c r="AA441" i="7"/>
  <c r="AA438" i="7" s="1"/>
  <c r="AA890" i="7"/>
  <c r="AA889" i="7"/>
  <c r="AB435" i="7"/>
  <c r="AA440" i="7"/>
  <c r="AA439" i="7"/>
  <c r="AC1325" i="7"/>
  <c r="AB823" i="7"/>
  <c r="X465" i="7"/>
  <c r="AB793" i="7"/>
  <c r="AB853" i="7"/>
  <c r="AC1265" i="7"/>
  <c r="AC1295" i="7"/>
  <c r="AB883" i="7"/>
  <c r="AA888" i="7"/>
  <c r="AA887" i="7"/>
  <c r="AC1360" i="7" l="1"/>
  <c r="AC1362" i="7"/>
  <c r="AC1359" i="7"/>
  <c r="AC1361" i="7"/>
  <c r="AD1355" i="7"/>
  <c r="AB798" i="7"/>
  <c r="AB800" i="7"/>
  <c r="AB797" i="7"/>
  <c r="AB799" i="7"/>
  <c r="AC1302" i="7"/>
  <c r="AC1301" i="7"/>
  <c r="AC1300" i="7"/>
  <c r="AC1299" i="7"/>
  <c r="AB858" i="7"/>
  <c r="AB857" i="7"/>
  <c r="AC1330" i="7"/>
  <c r="AC1332" i="7"/>
  <c r="AC1329" i="7"/>
  <c r="AC1331" i="7"/>
  <c r="AC1271" i="7"/>
  <c r="AC1270" i="7"/>
  <c r="AC1269" i="7"/>
  <c r="AC1272" i="7"/>
  <c r="AB827" i="7"/>
  <c r="AB830" i="7"/>
  <c r="AB829" i="7"/>
  <c r="AB828" i="7"/>
  <c r="X471" i="7"/>
  <c r="X470" i="7"/>
  <c r="X469" i="7"/>
  <c r="X472" i="7"/>
  <c r="AB442" i="7"/>
  <c r="AB441" i="7"/>
  <c r="AB438" i="7" s="1"/>
  <c r="AB889" i="7"/>
  <c r="AB890" i="7"/>
  <c r="AC883" i="7"/>
  <c r="AD1265" i="7"/>
  <c r="Y465" i="7"/>
  <c r="AD1325" i="7"/>
  <c r="AC435" i="7"/>
  <c r="AB439" i="7"/>
  <c r="AB440" i="7"/>
  <c r="AD1295" i="7"/>
  <c r="AC853" i="7"/>
  <c r="AC793" i="7"/>
  <c r="AC823" i="7"/>
  <c r="AB888" i="7"/>
  <c r="AB887" i="7"/>
  <c r="AD1270" i="7" l="1"/>
  <c r="AD1269" i="7"/>
  <c r="AD1272" i="7"/>
  <c r="AD1271" i="7"/>
  <c r="AD1360" i="7"/>
  <c r="AD1362" i="7"/>
  <c r="AD1359" i="7"/>
  <c r="AD1361" i="7"/>
  <c r="AE1355" i="7"/>
  <c r="AC830" i="7"/>
  <c r="AC829" i="7"/>
  <c r="AC828" i="7"/>
  <c r="AC827" i="7"/>
  <c r="AC798" i="7"/>
  <c r="AC800" i="7"/>
  <c r="AC797" i="7"/>
  <c r="AC799" i="7"/>
  <c r="AD1301" i="7"/>
  <c r="AD1300" i="7"/>
  <c r="AD1299" i="7"/>
  <c r="AD1302" i="7"/>
  <c r="AD1329" i="7"/>
  <c r="AD1331" i="7"/>
  <c r="AD1330" i="7"/>
  <c r="AD1332" i="7"/>
  <c r="AC858" i="7"/>
  <c r="AC857" i="7"/>
  <c r="Y470" i="7"/>
  <c r="Y471" i="7"/>
  <c r="Y469" i="7"/>
  <c r="Y472" i="7"/>
  <c r="AC441" i="7"/>
  <c r="AC438" i="7" s="1"/>
  <c r="AC442" i="7"/>
  <c r="AC889" i="7"/>
  <c r="AC890" i="7"/>
  <c r="AD793" i="7"/>
  <c r="AE1295" i="7"/>
  <c r="AE1325" i="7"/>
  <c r="AD883" i="7"/>
  <c r="AD823" i="7"/>
  <c r="AD853" i="7"/>
  <c r="AD435" i="7"/>
  <c r="AC439" i="7"/>
  <c r="AC440" i="7"/>
  <c r="Z465" i="7"/>
  <c r="AE1265" i="7"/>
  <c r="AC887" i="7"/>
  <c r="AC888" i="7"/>
  <c r="AD857" i="7" l="1"/>
  <c r="AD858" i="7"/>
  <c r="AE1300" i="7"/>
  <c r="AE1299" i="7"/>
  <c r="AE1302" i="7"/>
  <c r="AE1301" i="7"/>
  <c r="AE1360" i="7"/>
  <c r="AE1362" i="7"/>
  <c r="AE1359" i="7"/>
  <c r="AE1361" i="7"/>
  <c r="AF1355" i="7"/>
  <c r="AE1269" i="7"/>
  <c r="AE1272" i="7"/>
  <c r="AE1271" i="7"/>
  <c r="AE1270" i="7"/>
  <c r="AE1330" i="7"/>
  <c r="AE1332" i="7"/>
  <c r="AE1329" i="7"/>
  <c r="AE1331" i="7"/>
  <c r="AD829" i="7"/>
  <c r="AD828" i="7"/>
  <c r="AD827" i="7"/>
  <c r="AD830" i="7"/>
  <c r="AD798" i="7"/>
  <c r="AD800" i="7"/>
  <c r="AD797" i="7"/>
  <c r="AD799" i="7"/>
  <c r="Z469" i="7"/>
  <c r="Z470" i="7"/>
  <c r="Z472" i="7"/>
  <c r="Z471" i="7"/>
  <c r="AD441" i="7"/>
  <c r="AD438" i="7" s="1"/>
  <c r="AD442" i="7"/>
  <c r="AD889" i="7"/>
  <c r="AD890" i="7"/>
  <c r="AF1265" i="7"/>
  <c r="AE435" i="7"/>
  <c r="AD439" i="7"/>
  <c r="AD440" i="7"/>
  <c r="AE823" i="7"/>
  <c r="AF1295" i="7"/>
  <c r="AA465" i="7"/>
  <c r="AE853" i="7"/>
  <c r="AE883" i="7"/>
  <c r="AF1325" i="7"/>
  <c r="AE793" i="7"/>
  <c r="AD888" i="7"/>
  <c r="AD887" i="7"/>
  <c r="AE828" i="7" l="1"/>
  <c r="AE827" i="7"/>
  <c r="AE830" i="7"/>
  <c r="AE829" i="7"/>
  <c r="AF1330" i="7"/>
  <c r="AF1332" i="7"/>
  <c r="AF1329" i="7"/>
  <c r="AF1331" i="7"/>
  <c r="AF1299" i="7"/>
  <c r="AF1302" i="7"/>
  <c r="AF1301" i="7"/>
  <c r="AF1300" i="7"/>
  <c r="AE797" i="7"/>
  <c r="AE799" i="7"/>
  <c r="AE798" i="7"/>
  <c r="AE800" i="7"/>
  <c r="AF1359" i="7"/>
  <c r="AF1361" i="7"/>
  <c r="AF1360" i="7"/>
  <c r="AF1362" i="7"/>
  <c r="AG1355" i="7"/>
  <c r="AE858" i="7"/>
  <c r="AE857" i="7"/>
  <c r="AF1272" i="7"/>
  <c r="AF1271" i="7"/>
  <c r="AF1270" i="7"/>
  <c r="AF1269" i="7"/>
  <c r="AA472" i="7"/>
  <c r="AA471" i="7"/>
  <c r="AA470" i="7"/>
  <c r="AA469" i="7"/>
  <c r="AE890" i="7"/>
  <c r="AE889" i="7"/>
  <c r="AE442" i="7"/>
  <c r="AE441" i="7"/>
  <c r="AE438" i="7" s="1"/>
  <c r="AF793" i="7"/>
  <c r="AF883" i="7"/>
  <c r="AB465" i="7"/>
  <c r="AG1295" i="7"/>
  <c r="AF823" i="7"/>
  <c r="AG1265" i="7"/>
  <c r="AG1325" i="7"/>
  <c r="AF853" i="7"/>
  <c r="AF435" i="7"/>
  <c r="AE439" i="7"/>
  <c r="AE440" i="7"/>
  <c r="AE888" i="7"/>
  <c r="AE887" i="7"/>
  <c r="AF859" i="7" l="1"/>
  <c r="AF858" i="7"/>
  <c r="AF860" i="7"/>
  <c r="AF857" i="7"/>
  <c r="AG1271" i="7"/>
  <c r="AG1270" i="7"/>
  <c r="AG1269" i="7"/>
  <c r="AG1272" i="7"/>
  <c r="AG1360" i="7"/>
  <c r="AG1362" i="7"/>
  <c r="AG1359" i="7"/>
  <c r="AG1361" i="7"/>
  <c r="AH1355" i="7"/>
  <c r="AG1330" i="7"/>
  <c r="AG1332" i="7"/>
  <c r="AG1329" i="7"/>
  <c r="AG1331" i="7"/>
  <c r="AG1302" i="7"/>
  <c r="AG1301" i="7"/>
  <c r="AG1300" i="7"/>
  <c r="AG1299" i="7"/>
  <c r="AF827" i="7"/>
  <c r="AF830" i="7"/>
  <c r="AF829" i="7"/>
  <c r="AF828" i="7"/>
  <c r="AF798" i="7"/>
  <c r="AF800" i="7"/>
  <c r="AF797" i="7"/>
  <c r="AF799" i="7"/>
  <c r="AB471" i="7"/>
  <c r="AB470" i="7"/>
  <c r="AB472" i="7"/>
  <c r="AB469" i="7"/>
  <c r="AF442" i="7"/>
  <c r="AF441" i="7"/>
  <c r="AF438" i="7" s="1"/>
  <c r="AF889" i="7"/>
  <c r="AF890" i="7"/>
  <c r="AG435" i="7"/>
  <c r="AF439" i="7"/>
  <c r="AF440" i="7"/>
  <c r="AH1325" i="7"/>
  <c r="AG823" i="7"/>
  <c r="AC465" i="7"/>
  <c r="AG793" i="7"/>
  <c r="AG853" i="7"/>
  <c r="AH1265" i="7"/>
  <c r="AH1295" i="7"/>
  <c r="AG883" i="7"/>
  <c r="AF888" i="7"/>
  <c r="AF887" i="7"/>
  <c r="AH1301" i="7" l="1"/>
  <c r="AH1300" i="7"/>
  <c r="AH1299" i="7"/>
  <c r="AH1302" i="7"/>
  <c r="AG858" i="7"/>
  <c r="AG860" i="7"/>
  <c r="AG857" i="7"/>
  <c r="AG859" i="7"/>
  <c r="AH1329" i="7"/>
  <c r="AH1331" i="7"/>
  <c r="AH1330" i="7"/>
  <c r="AH1332" i="7"/>
  <c r="AH1360" i="7"/>
  <c r="AH1362" i="7"/>
  <c r="AH1359" i="7"/>
  <c r="AH1361" i="7"/>
  <c r="AH1270" i="7"/>
  <c r="AH1269" i="7"/>
  <c r="AH1272" i="7"/>
  <c r="AH1271" i="7"/>
  <c r="AG830" i="7"/>
  <c r="AG829" i="7"/>
  <c r="AG828" i="7"/>
  <c r="AG827" i="7"/>
  <c r="AG798" i="7"/>
  <c r="AG800" i="7"/>
  <c r="AG797" i="7"/>
  <c r="AG799" i="7"/>
  <c r="AC470" i="7"/>
  <c r="AC469" i="7"/>
  <c r="AC472" i="7"/>
  <c r="AC471" i="7"/>
  <c r="AG441" i="7"/>
  <c r="AG438" i="7" s="1"/>
  <c r="AG442" i="7"/>
  <c r="AG889" i="7"/>
  <c r="AG890" i="7"/>
  <c r="AH883" i="7"/>
  <c r="AD465" i="7"/>
  <c r="AH435" i="7"/>
  <c r="AG440" i="7"/>
  <c r="AG439" i="7"/>
  <c r="AH853" i="7"/>
  <c r="AH793" i="7"/>
  <c r="AH823" i="7"/>
  <c r="AG887" i="7"/>
  <c r="AG888" i="7"/>
  <c r="AH857" i="7" l="1"/>
  <c r="AH859" i="7"/>
  <c r="AH858" i="7"/>
  <c r="AH860" i="7"/>
  <c r="AH798" i="7"/>
  <c r="AH800" i="7"/>
  <c r="AH797" i="7"/>
  <c r="AH799" i="7"/>
  <c r="AH829" i="7"/>
  <c r="AH828" i="7"/>
  <c r="AH827" i="7"/>
  <c r="AH830" i="7"/>
  <c r="AD469" i="7"/>
  <c r="AD470" i="7"/>
  <c r="AD472" i="7"/>
  <c r="AD471" i="7"/>
  <c r="AH441" i="7"/>
  <c r="AH438" i="7" s="1"/>
  <c r="AH442" i="7"/>
  <c r="AH889" i="7"/>
  <c r="AH890" i="7"/>
  <c r="AE465" i="7"/>
  <c r="AH440" i="7"/>
  <c r="AH439" i="7"/>
  <c r="AH888" i="7"/>
  <c r="AH887" i="7"/>
  <c r="AE472" i="7" l="1"/>
  <c r="AE471" i="7"/>
  <c r="AE469" i="7"/>
  <c r="AE470" i="7"/>
  <c r="AF465" i="7"/>
  <c r="G1386" i="7"/>
  <c r="H1386" i="7"/>
  <c r="I1386" i="7"/>
  <c r="J1386" i="7"/>
  <c r="K1386" i="7"/>
  <c r="L1386" i="7"/>
  <c r="M1386" i="7"/>
  <c r="N1386" i="7"/>
  <c r="O1386" i="7"/>
  <c r="P1386" i="7"/>
  <c r="Q1386" i="7"/>
  <c r="R1386" i="7"/>
  <c r="S1386" i="7"/>
  <c r="T1386" i="7"/>
  <c r="U1386" i="7"/>
  <c r="V1386" i="7"/>
  <c r="W1386" i="7"/>
  <c r="X1386" i="7"/>
  <c r="Y1386" i="7"/>
  <c r="Z1386" i="7"/>
  <c r="AA1386" i="7"/>
  <c r="AB1386" i="7"/>
  <c r="AC1386" i="7"/>
  <c r="AD1386" i="7"/>
  <c r="AE1386" i="7"/>
  <c r="AF1386" i="7"/>
  <c r="AG1386" i="7"/>
  <c r="AH1386" i="7"/>
  <c r="AF471" i="7" l="1"/>
  <c r="AF470" i="7"/>
  <c r="AF469" i="7"/>
  <c r="AF472" i="7"/>
  <c r="AG465" i="7"/>
  <c r="G496" i="7"/>
  <c r="H496" i="7"/>
  <c r="I496" i="7"/>
  <c r="J496" i="7"/>
  <c r="K496" i="7"/>
  <c r="L496" i="7"/>
  <c r="M496" i="7"/>
  <c r="N496" i="7"/>
  <c r="O496" i="7"/>
  <c r="P496" i="7"/>
  <c r="Q496" i="7"/>
  <c r="R496" i="7"/>
  <c r="S496" i="7"/>
  <c r="T496" i="7"/>
  <c r="U496" i="7"/>
  <c r="V496" i="7"/>
  <c r="W496" i="7"/>
  <c r="X496" i="7"/>
  <c r="Y496" i="7"/>
  <c r="Z496" i="7"/>
  <c r="AA496" i="7"/>
  <c r="AB496" i="7"/>
  <c r="AC496" i="7"/>
  <c r="AD496" i="7"/>
  <c r="AE496" i="7"/>
  <c r="AF496" i="7"/>
  <c r="AG496" i="7"/>
  <c r="AH496" i="7"/>
  <c r="G914" i="7"/>
  <c r="H914" i="7"/>
  <c r="I914" i="7"/>
  <c r="J914" i="7"/>
  <c r="K914" i="7"/>
  <c r="L914" i="7"/>
  <c r="M914" i="7"/>
  <c r="N914" i="7"/>
  <c r="O914" i="7"/>
  <c r="P914" i="7"/>
  <c r="Q914" i="7"/>
  <c r="R914" i="7"/>
  <c r="S914" i="7"/>
  <c r="T914" i="7"/>
  <c r="U914" i="7"/>
  <c r="V914" i="7"/>
  <c r="W914" i="7"/>
  <c r="X914" i="7"/>
  <c r="Y914" i="7"/>
  <c r="Z914" i="7"/>
  <c r="AA914" i="7"/>
  <c r="AB914" i="7"/>
  <c r="AC914" i="7"/>
  <c r="AD914" i="7"/>
  <c r="AE914" i="7"/>
  <c r="AF914" i="7"/>
  <c r="AG914" i="7"/>
  <c r="AH914" i="7"/>
  <c r="B81" i="35"/>
  <c r="B80" i="35"/>
  <c r="B79" i="35"/>
  <c r="Q61" i="35"/>
  <c r="Q60" i="35"/>
  <c r="Q59" i="35"/>
  <c r="Q56" i="35"/>
  <c r="B40" i="35"/>
  <c r="B39" i="35"/>
  <c r="O56" i="35" s="1"/>
  <c r="B38" i="35"/>
  <c r="F23" i="35"/>
  <c r="M17" i="35"/>
  <c r="C17" i="35"/>
  <c r="B3" i="35"/>
  <c r="B2" i="35"/>
  <c r="I1" i="35"/>
  <c r="G1" i="35"/>
  <c r="B1" i="35"/>
  <c r="B86" i="36"/>
  <c r="B85" i="36"/>
  <c r="Q66" i="36"/>
  <c r="Q65" i="36"/>
  <c r="Q64" i="36"/>
  <c r="Q61" i="36"/>
  <c r="B45" i="36"/>
  <c r="B44" i="36"/>
  <c r="O61" i="36" s="1"/>
  <c r="F31" i="36"/>
  <c r="J30" i="36"/>
  <c r="J29" i="35" s="1"/>
  <c r="F30" i="36"/>
  <c r="J29" i="36"/>
  <c r="J28" i="35" s="1"/>
  <c r="F29" i="36"/>
  <c r="J28" i="36"/>
  <c r="J27" i="35" s="1"/>
  <c r="F28" i="36"/>
  <c r="J27" i="36"/>
  <c r="J26" i="35" s="1"/>
  <c r="F27" i="36"/>
  <c r="J26" i="36"/>
  <c r="J25" i="35" s="1"/>
  <c r="F26" i="36"/>
  <c r="J25" i="36"/>
  <c r="J24" i="35" s="1"/>
  <c r="F25" i="36"/>
  <c r="F20" i="36"/>
  <c r="F19" i="36"/>
  <c r="F20" i="35" s="1"/>
  <c r="F18" i="36"/>
  <c r="F19" i="35" s="1"/>
  <c r="O17" i="36"/>
  <c r="N17" i="36"/>
  <c r="M17" i="36"/>
  <c r="L17" i="36"/>
  <c r="F17" i="36"/>
  <c r="F17" i="35" s="1"/>
  <c r="C17" i="36"/>
  <c r="O16" i="36"/>
  <c r="N16" i="36"/>
  <c r="M16" i="36"/>
  <c r="L16" i="36"/>
  <c r="F16" i="36"/>
  <c r="F16" i="35" s="1"/>
  <c r="O14" i="36"/>
  <c r="N14" i="36"/>
  <c r="M14" i="36"/>
  <c r="L14" i="36"/>
  <c r="O13" i="36"/>
  <c r="N13" i="36"/>
  <c r="M13" i="36"/>
  <c r="L13" i="36"/>
  <c r="O11" i="36"/>
  <c r="O12" i="36" s="1"/>
  <c r="N11" i="36"/>
  <c r="N12" i="36" s="1"/>
  <c r="M11" i="36"/>
  <c r="M12" i="36" s="1"/>
  <c r="L11" i="36"/>
  <c r="L12" i="36" s="1"/>
  <c r="O9" i="36"/>
  <c r="N9" i="36"/>
  <c r="M9" i="36"/>
  <c r="L9" i="36"/>
  <c r="O7" i="36"/>
  <c r="N7" i="36"/>
  <c r="M7" i="36"/>
  <c r="L7" i="36"/>
  <c r="B3" i="36"/>
  <c r="B2" i="36"/>
  <c r="I1" i="36"/>
  <c r="G1" i="36"/>
  <c r="B86" i="37"/>
  <c r="B85" i="37"/>
  <c r="Q66" i="37"/>
  <c r="Q65" i="37"/>
  <c r="Q64" i="37"/>
  <c r="Q61" i="37"/>
  <c r="B45" i="37"/>
  <c r="B44" i="37"/>
  <c r="O61" i="37" s="1"/>
  <c r="F31" i="37"/>
  <c r="J30" i="37"/>
  <c r="F30" i="37"/>
  <c r="J29" i="37"/>
  <c r="F29" i="37"/>
  <c r="J28" i="37"/>
  <c r="F28" i="37"/>
  <c r="J27" i="37"/>
  <c r="F27" i="37"/>
  <c r="J26" i="37"/>
  <c r="F26" i="37"/>
  <c r="J25" i="37"/>
  <c r="F25" i="37"/>
  <c r="F20" i="37"/>
  <c r="F19" i="37"/>
  <c r="F22" i="35" s="1"/>
  <c r="F18" i="37"/>
  <c r="F21" i="35" s="1"/>
  <c r="O17" i="37"/>
  <c r="N17" i="37"/>
  <c r="M17" i="37"/>
  <c r="L17" i="37"/>
  <c r="C17" i="37"/>
  <c r="O16" i="37"/>
  <c r="N16" i="37"/>
  <c r="M16" i="37"/>
  <c r="L16" i="37"/>
  <c r="F16" i="37"/>
  <c r="O14" i="37"/>
  <c r="N14" i="37"/>
  <c r="M14" i="37"/>
  <c r="L14" i="37"/>
  <c r="O13" i="37"/>
  <c r="N13" i="37"/>
  <c r="M13" i="37"/>
  <c r="L13" i="37"/>
  <c r="O11" i="37"/>
  <c r="O12" i="37" s="1"/>
  <c r="N11" i="37"/>
  <c r="N12" i="37" s="1"/>
  <c r="M11" i="37"/>
  <c r="M12" i="37" s="1"/>
  <c r="L11" i="37"/>
  <c r="L12" i="37" s="1"/>
  <c r="O9" i="37"/>
  <c r="N9" i="37"/>
  <c r="M9" i="37"/>
  <c r="L9" i="37"/>
  <c r="O7" i="37"/>
  <c r="N7" i="37"/>
  <c r="M7" i="37"/>
  <c r="L7" i="37"/>
  <c r="B3" i="37"/>
  <c r="B2" i="37"/>
  <c r="I1" i="37"/>
  <c r="G1" i="37"/>
  <c r="B89" i="38"/>
  <c r="B88" i="38"/>
  <c r="Q69" i="38"/>
  <c r="Q68" i="38"/>
  <c r="Q67" i="38"/>
  <c r="Q64" i="38"/>
  <c r="B48" i="38"/>
  <c r="B47" i="38"/>
  <c r="O64" i="38" s="1"/>
  <c r="F34" i="38"/>
  <c r="F33" i="38"/>
  <c r="F32" i="38"/>
  <c r="J30" i="38"/>
  <c r="F31" i="38"/>
  <c r="J29" i="38"/>
  <c r="F30" i="38"/>
  <c r="J28" i="38"/>
  <c r="F29" i="38"/>
  <c r="J27" i="38"/>
  <c r="F28" i="38"/>
  <c r="J26" i="38"/>
  <c r="J25" i="38"/>
  <c r="F21" i="38"/>
  <c r="F20" i="38"/>
  <c r="F19" i="38"/>
  <c r="F18" i="38"/>
  <c r="O17" i="38"/>
  <c r="N17" i="38"/>
  <c r="M17" i="38"/>
  <c r="L17" i="38"/>
  <c r="F17" i="38"/>
  <c r="O16" i="38"/>
  <c r="N16" i="38"/>
  <c r="M16" i="38"/>
  <c r="L16" i="38"/>
  <c r="F16" i="38"/>
  <c r="O14" i="38"/>
  <c r="N14" i="38"/>
  <c r="M14" i="38"/>
  <c r="L14" i="38"/>
  <c r="O13" i="38"/>
  <c r="N13" i="38"/>
  <c r="M13" i="38"/>
  <c r="L13" i="38"/>
  <c r="O11" i="38"/>
  <c r="O12" i="38" s="1"/>
  <c r="N11" i="38"/>
  <c r="N12" i="38" s="1"/>
  <c r="M11" i="38"/>
  <c r="M12" i="38" s="1"/>
  <c r="L11" i="38"/>
  <c r="L12" i="38" s="1"/>
  <c r="O9" i="38"/>
  <c r="N9" i="38"/>
  <c r="M9" i="38"/>
  <c r="L9" i="38"/>
  <c r="O7" i="38"/>
  <c r="N7" i="38"/>
  <c r="M7" i="38"/>
  <c r="L7" i="38"/>
  <c r="B3" i="38"/>
  <c r="B2" i="38"/>
  <c r="I1" i="38"/>
  <c r="G1" i="38"/>
  <c r="B219" i="34"/>
  <c r="B226" i="34" s="1"/>
  <c r="B233" i="34" s="1"/>
  <c r="B184" i="34"/>
  <c r="O158" i="34"/>
  <c r="K158" i="34"/>
  <c r="H158" i="34"/>
  <c r="F158" i="34"/>
  <c r="B158" i="34"/>
  <c r="B153" i="34"/>
  <c r="B152" i="34"/>
  <c r="E130" i="34"/>
  <c r="E131" i="34" s="1"/>
  <c r="B3" i="34"/>
  <c r="B2" i="34"/>
  <c r="B228" i="33"/>
  <c r="B235" i="33" s="1"/>
  <c r="B242" i="33" s="1"/>
  <c r="B193" i="33"/>
  <c r="B176" i="33"/>
  <c r="B175" i="33"/>
  <c r="I172" i="33"/>
  <c r="F172" i="33"/>
  <c r="E130" i="33"/>
  <c r="E131" i="33" s="1"/>
  <c r="F130" i="33" s="1"/>
  <c r="F131" i="33" s="1"/>
  <c r="G130" i="33" s="1"/>
  <c r="G131" i="33" s="1"/>
  <c r="H130" i="33" s="1"/>
  <c r="H131" i="33" s="1"/>
  <c r="I130" i="33" s="1"/>
  <c r="I131" i="33" s="1"/>
  <c r="J130" i="33" s="1"/>
  <c r="J131" i="33" s="1"/>
  <c r="K130" i="33" s="1"/>
  <c r="K131" i="33" s="1"/>
  <c r="L130" i="33" s="1"/>
  <c r="L131" i="33" s="1"/>
  <c r="M130" i="33" s="1"/>
  <c r="M131" i="33" s="1"/>
  <c r="N130" i="33" s="1"/>
  <c r="N131" i="33" s="1"/>
  <c r="O130" i="33" s="1"/>
  <c r="O131" i="33" s="1"/>
  <c r="P130" i="33" s="1"/>
  <c r="P131" i="33" s="1"/>
  <c r="Q130" i="33" s="1"/>
  <c r="Q131" i="33" s="1"/>
  <c r="R130" i="33" s="1"/>
  <c r="R131" i="33" s="1"/>
  <c r="S130" i="33" s="1"/>
  <c r="S131" i="33" s="1"/>
  <c r="T130" i="33" s="1"/>
  <c r="T131" i="33" s="1"/>
  <c r="U130" i="33" s="1"/>
  <c r="U131" i="33" s="1"/>
  <c r="V130" i="33" s="1"/>
  <c r="V131" i="33" s="1"/>
  <c r="W130" i="33" s="1"/>
  <c r="W131" i="33" s="1"/>
  <c r="X130" i="33" s="1"/>
  <c r="X131" i="33" s="1"/>
  <c r="Y130" i="33" s="1"/>
  <c r="Y131" i="33" s="1"/>
  <c r="Z130" i="33" s="1"/>
  <c r="Z131" i="33" s="1"/>
  <c r="AA130" i="33" s="1"/>
  <c r="AA131" i="33" s="1"/>
  <c r="AB130" i="33" s="1"/>
  <c r="AB131" i="33" s="1"/>
  <c r="AC130" i="33" s="1"/>
  <c r="AC131" i="33" s="1"/>
  <c r="AD130" i="33" s="1"/>
  <c r="AD131" i="33" s="1"/>
  <c r="AE130" i="33" s="1"/>
  <c r="AE131" i="33" s="1"/>
  <c r="AF130" i="33" s="1"/>
  <c r="AF131" i="33" s="1"/>
  <c r="AG130" i="33" s="1"/>
  <c r="AG131" i="33" s="1"/>
  <c r="AH130" i="33" s="1"/>
  <c r="AH131" i="33" s="1"/>
  <c r="B3" i="33"/>
  <c r="B2" i="33"/>
  <c r="B242" i="32"/>
  <c r="B249" i="32" s="1"/>
  <c r="B256" i="32" s="1"/>
  <c r="B206" i="32"/>
  <c r="B189" i="32"/>
  <c r="B188" i="32"/>
  <c r="F185" i="32"/>
  <c r="B153" i="32"/>
  <c r="B168" i="32" s="1"/>
  <c r="B182" i="32" s="1"/>
  <c r="B152" i="32"/>
  <c r="B167" i="32" s="1"/>
  <c r="B181" i="32" s="1"/>
  <c r="B151" i="32"/>
  <c r="B166" i="32" s="1"/>
  <c r="B180" i="32" s="1"/>
  <c r="B150" i="32"/>
  <c r="B165" i="32" s="1"/>
  <c r="B179" i="32" s="1"/>
  <c r="B149" i="32"/>
  <c r="B164" i="32" s="1"/>
  <c r="B178" i="32" s="1"/>
  <c r="B148" i="32"/>
  <c r="B163" i="32" s="1"/>
  <c r="B177" i="32" s="1"/>
  <c r="B147" i="32"/>
  <c r="B162" i="32" s="1"/>
  <c r="B176" i="32" s="1"/>
  <c r="B146" i="32"/>
  <c r="B161" i="32" s="1"/>
  <c r="B175" i="32" s="1"/>
  <c r="B145" i="32"/>
  <c r="B160" i="32" s="1"/>
  <c r="B174" i="32" s="1"/>
  <c r="B144" i="32"/>
  <c r="B159" i="32" s="1"/>
  <c r="B173" i="32" s="1"/>
  <c r="E130" i="32"/>
  <c r="E131" i="32" s="1"/>
  <c r="E224" i="34" s="1"/>
  <c r="B3" i="32"/>
  <c r="B2" i="32"/>
  <c r="E83" i="27"/>
  <c r="E74" i="27"/>
  <c r="E65" i="27"/>
  <c r="F107" i="1"/>
  <c r="G107" i="1" s="1"/>
  <c r="H107" i="1" s="1"/>
  <c r="I107" i="1" s="1"/>
  <c r="J107" i="1" s="1"/>
  <c r="K107" i="1" s="1"/>
  <c r="L107" i="1" s="1"/>
  <c r="M107" i="1" s="1"/>
  <c r="N107" i="1" s="1"/>
  <c r="O107" i="1" s="1"/>
  <c r="P107" i="1" s="1"/>
  <c r="Q107" i="1" s="1"/>
  <c r="R107" i="1" s="1"/>
  <c r="S107" i="1" s="1"/>
  <c r="T107" i="1" s="1"/>
  <c r="U107" i="1" s="1"/>
  <c r="V107" i="1" s="1"/>
  <c r="W107" i="1" s="1"/>
  <c r="X107" i="1" s="1"/>
  <c r="Y107" i="1" s="1"/>
  <c r="Z107" i="1" s="1"/>
  <c r="AA107" i="1" s="1"/>
  <c r="AB107" i="1" s="1"/>
  <c r="AC107" i="1" s="1"/>
  <c r="AD107" i="1" s="1"/>
  <c r="AE107" i="1" s="1"/>
  <c r="AF107" i="1" s="1"/>
  <c r="AG107" i="1" s="1"/>
  <c r="AH107" i="1" s="1"/>
  <c r="F107" i="25"/>
  <c r="G107" i="25" s="1"/>
  <c r="H107" i="25" s="1"/>
  <c r="I107" i="25" s="1"/>
  <c r="J107" i="25" s="1"/>
  <c r="K107" i="25" s="1"/>
  <c r="L107" i="25" s="1"/>
  <c r="M107" i="25" s="1"/>
  <c r="N107" i="25" s="1"/>
  <c r="O107" i="25" s="1"/>
  <c r="P107" i="25" s="1"/>
  <c r="Q107" i="25" s="1"/>
  <c r="R107" i="25" s="1"/>
  <c r="S107" i="25" s="1"/>
  <c r="T107" i="25" s="1"/>
  <c r="U107" i="25" s="1"/>
  <c r="V107" i="25" s="1"/>
  <c r="W107" i="25" s="1"/>
  <c r="X107" i="25" s="1"/>
  <c r="Y107" i="25" s="1"/>
  <c r="Z107" i="25" s="1"/>
  <c r="AA107" i="25" s="1"/>
  <c r="AB107" i="25" s="1"/>
  <c r="AC107" i="25" s="1"/>
  <c r="AD107" i="25" s="1"/>
  <c r="AE107" i="25" s="1"/>
  <c r="AF107" i="25" s="1"/>
  <c r="AG107" i="25" s="1"/>
  <c r="AH107" i="25" s="1"/>
  <c r="AG470" i="7" l="1"/>
  <c r="AG471" i="7"/>
  <c r="AG469" i="7"/>
  <c r="AG472" i="7"/>
  <c r="AH465" i="7"/>
  <c r="L18" i="35"/>
  <c r="F130" i="34"/>
  <c r="F131" i="34" s="1"/>
  <c r="E159" i="33"/>
  <c r="E166" i="33"/>
  <c r="E201" i="33"/>
  <c r="E240" i="33"/>
  <c r="E221" i="33"/>
  <c r="E210" i="33"/>
  <c r="E151" i="34"/>
  <c r="E167" i="34"/>
  <c r="E179" i="34"/>
  <c r="E183" i="34"/>
  <c r="E192" i="34"/>
  <c r="E201" i="34"/>
  <c r="E212" i="34"/>
  <c r="E174" i="33"/>
  <c r="E182" i="33"/>
  <c r="E231" i="34"/>
  <c r="E205" i="33"/>
  <c r="E216" i="33"/>
  <c r="E226" i="33"/>
  <c r="E144" i="34"/>
  <c r="E173" i="34"/>
  <c r="E196" i="34"/>
  <c r="E207" i="34"/>
  <c r="E217" i="34"/>
  <c r="E144" i="33"/>
  <c r="E152" i="33"/>
  <c r="E188" i="33"/>
  <c r="E192" i="33"/>
  <c r="E233" i="33"/>
  <c r="E159" i="34"/>
  <c r="E254" i="32"/>
  <c r="E235" i="32"/>
  <c r="E219" i="32"/>
  <c r="E215" i="32"/>
  <c r="E247" i="32"/>
  <c r="E240" i="32"/>
  <c r="E230" i="32"/>
  <c r="E224" i="32"/>
  <c r="E205" i="32"/>
  <c r="E187" i="32"/>
  <c r="E172" i="32"/>
  <c r="E201" i="32"/>
  <c r="E195" i="32"/>
  <c r="F130" i="32"/>
  <c r="F131" i="32" s="1"/>
  <c r="E158" i="32"/>
  <c r="E143" i="32"/>
  <c r="E871" i="7"/>
  <c r="D871" i="7"/>
  <c r="F841" i="7"/>
  <c r="G841" i="7"/>
  <c r="H841" i="7"/>
  <c r="I841" i="7"/>
  <c r="J841" i="7"/>
  <c r="K841" i="7"/>
  <c r="L841" i="7"/>
  <c r="M841" i="7"/>
  <c r="N841" i="7"/>
  <c r="O841" i="7"/>
  <c r="P841" i="7"/>
  <c r="Q841" i="7"/>
  <c r="R841" i="7"/>
  <c r="S841" i="7"/>
  <c r="T841" i="7"/>
  <c r="U841" i="7"/>
  <c r="V841" i="7"/>
  <c r="W841" i="7"/>
  <c r="X841" i="7"/>
  <c r="Y841" i="7"/>
  <c r="Z841" i="7"/>
  <c r="AA841" i="7"/>
  <c r="AB841" i="7"/>
  <c r="AC841" i="7"/>
  <c r="AD841" i="7"/>
  <c r="AE841" i="7"/>
  <c r="AF841" i="7"/>
  <c r="AG841" i="7"/>
  <c r="AH841" i="7"/>
  <c r="E841" i="7"/>
  <c r="D841" i="7"/>
  <c r="E48" i="27"/>
  <c r="E329" i="26"/>
  <c r="E320" i="26"/>
  <c r="E311" i="26"/>
  <c r="E394" i="1"/>
  <c r="E385" i="1"/>
  <c r="E376" i="1"/>
  <c r="E325" i="25"/>
  <c r="E334" i="25"/>
  <c r="E343" i="25"/>
  <c r="E355" i="1"/>
  <c r="E345" i="1"/>
  <c r="E308" i="1"/>
  <c r="E257" i="25"/>
  <c r="E294" i="25"/>
  <c r="E304" i="25"/>
  <c r="F485" i="1"/>
  <c r="D225" i="26"/>
  <c r="D225" i="25"/>
  <c r="D276" i="1"/>
  <c r="D221" i="26"/>
  <c r="B221" i="26"/>
  <c r="D221" i="25"/>
  <c r="B221" i="25"/>
  <c r="D272" i="1"/>
  <c r="D260" i="1"/>
  <c r="B272" i="1"/>
  <c r="E57" i="26"/>
  <c r="E53" i="25"/>
  <c r="E53" i="1"/>
  <c r="E48" i="1"/>
  <c r="B953" i="7"/>
  <c r="D953" i="7"/>
  <c r="D1026" i="7"/>
  <c r="D1024" i="7"/>
  <c r="D1023" i="7"/>
  <c r="D1022" i="7"/>
  <c r="D1021" i="7"/>
  <c r="D1020" i="7"/>
  <c r="D1019" i="7"/>
  <c r="D1010" i="7"/>
  <c r="D1008" i="7"/>
  <c r="D1007" i="7"/>
  <c r="D1006" i="7"/>
  <c r="D1005" i="7"/>
  <c r="D1004" i="7"/>
  <c r="D1003" i="7"/>
  <c r="D994" i="7"/>
  <c r="D992" i="7"/>
  <c r="D991" i="7"/>
  <c r="D990" i="7"/>
  <c r="D989" i="7"/>
  <c r="D988" i="7"/>
  <c r="D987" i="7"/>
  <c r="D978" i="7"/>
  <c r="D976" i="7"/>
  <c r="D975" i="7"/>
  <c r="D974" i="7"/>
  <c r="D973" i="7"/>
  <c r="D972" i="7"/>
  <c r="D971" i="7"/>
  <c r="D962" i="7"/>
  <c r="D960" i="7"/>
  <c r="D959" i="7"/>
  <c r="D958" i="7"/>
  <c r="D957" i="7"/>
  <c r="D956" i="7"/>
  <c r="D955" i="7"/>
  <c r="D940" i="7"/>
  <c r="D946" i="7"/>
  <c r="D944" i="7"/>
  <c r="D943" i="7"/>
  <c r="D942" i="7"/>
  <c r="D941" i="7"/>
  <c r="D939" i="7"/>
  <c r="D602" i="7"/>
  <c r="D586" i="7"/>
  <c r="D570" i="7"/>
  <c r="D532" i="7"/>
  <c r="D560" i="7"/>
  <c r="D558" i="7"/>
  <c r="D557" i="7"/>
  <c r="D556" i="7"/>
  <c r="D555" i="7"/>
  <c r="D554" i="7"/>
  <c r="D553" i="7"/>
  <c r="D538" i="7"/>
  <c r="D522" i="7"/>
  <c r="D608" i="7"/>
  <c r="D606" i="7"/>
  <c r="D605" i="7"/>
  <c r="D604" i="7"/>
  <c r="D603" i="7"/>
  <c r="D601" i="7"/>
  <c r="D592" i="7"/>
  <c r="D590" i="7"/>
  <c r="D589" i="7"/>
  <c r="D588" i="7"/>
  <c r="D587" i="7"/>
  <c r="D585" i="7"/>
  <c r="D576" i="7"/>
  <c r="D574" i="7"/>
  <c r="D573" i="7"/>
  <c r="D572" i="7"/>
  <c r="D571" i="7"/>
  <c r="D569" i="7"/>
  <c r="D544" i="7"/>
  <c r="D542" i="7"/>
  <c r="D541" i="7"/>
  <c r="D540" i="7"/>
  <c r="D539" i="7"/>
  <c r="D537" i="7"/>
  <c r="D528" i="7"/>
  <c r="D526" i="7"/>
  <c r="D525" i="7"/>
  <c r="D524" i="7"/>
  <c r="D523" i="7"/>
  <c r="D521" i="7"/>
  <c r="D101" i="7"/>
  <c r="D85" i="7"/>
  <c r="D69" i="7"/>
  <c r="D48" i="7"/>
  <c r="D53" i="7"/>
  <c r="D123" i="7"/>
  <c r="D121" i="7"/>
  <c r="D120" i="7"/>
  <c r="D119" i="7"/>
  <c r="D118" i="7"/>
  <c r="D117" i="7"/>
  <c r="D116" i="7"/>
  <c r="D107" i="7"/>
  <c r="D105" i="7"/>
  <c r="D104" i="7"/>
  <c r="D103" i="7"/>
  <c r="D102" i="7"/>
  <c r="D100" i="7"/>
  <c r="D91" i="7"/>
  <c r="D89" i="7"/>
  <c r="D88" i="7"/>
  <c r="D87" i="7"/>
  <c r="D86" i="7"/>
  <c r="D84" i="7"/>
  <c r="D75" i="7"/>
  <c r="D73" i="7"/>
  <c r="D72" i="7"/>
  <c r="D71" i="7"/>
  <c r="D70" i="7"/>
  <c r="D68" i="7"/>
  <c r="D59" i="7"/>
  <c r="D57" i="7"/>
  <c r="D56" i="7"/>
  <c r="D55" i="7"/>
  <c r="D54" i="7"/>
  <c r="D52" i="7"/>
  <c r="D43" i="7"/>
  <c r="D37" i="7"/>
  <c r="D38" i="7"/>
  <c r="D39" i="7"/>
  <c r="D40" i="7"/>
  <c r="D41" i="7"/>
  <c r="D36" i="7"/>
  <c r="AH469" i="7" l="1"/>
  <c r="AH472" i="7"/>
  <c r="AH471" i="7"/>
  <c r="AH470" i="7"/>
  <c r="F196" i="34"/>
  <c r="F201" i="33"/>
  <c r="F224" i="32"/>
  <c r="F192" i="34"/>
  <c r="F188" i="33"/>
  <c r="F219" i="32"/>
  <c r="F212" i="34"/>
  <c r="F179" i="34"/>
  <c r="F221" i="33"/>
  <c r="F207" i="34"/>
  <c r="F173" i="34"/>
  <c r="F205" i="33"/>
  <c r="F230" i="32"/>
  <c r="G130" i="34"/>
  <c r="G131" i="34" s="1"/>
  <c r="F187" i="32"/>
  <c r="F201" i="34"/>
  <c r="F183" i="34"/>
  <c r="F167" i="34"/>
  <c r="F151" i="34"/>
  <c r="F240" i="33"/>
  <c r="F210" i="33"/>
  <c r="F166" i="33"/>
  <c r="F159" i="33"/>
  <c r="F224" i="34"/>
  <c r="F159" i="34"/>
  <c r="F233" i="33"/>
  <c r="F192" i="33"/>
  <c r="F152" i="33"/>
  <c r="F144" i="33"/>
  <c r="F217" i="34"/>
  <c r="F144" i="34"/>
  <c r="F226" i="33"/>
  <c r="F216" i="33"/>
  <c r="F231" i="34"/>
  <c r="F174" i="33"/>
  <c r="F182" i="33"/>
  <c r="F240" i="32"/>
  <c r="F254" i="32"/>
  <c r="F235" i="32"/>
  <c r="F215" i="32"/>
  <c r="F247" i="32"/>
  <c r="F201" i="32"/>
  <c r="F195" i="32"/>
  <c r="F205" i="32"/>
  <c r="F172" i="32"/>
  <c r="G130" i="32"/>
  <c r="G131" i="32" s="1"/>
  <c r="F158" i="32"/>
  <c r="F143" i="32"/>
  <c r="B655" i="7"/>
  <c r="B653" i="7"/>
  <c r="B651" i="7"/>
  <c r="B643" i="7"/>
  <c r="G192" i="34" l="1"/>
  <c r="G188" i="33"/>
  <c r="G219" i="32"/>
  <c r="G212" i="34"/>
  <c r="G179" i="34"/>
  <c r="G221" i="33"/>
  <c r="G207" i="34"/>
  <c r="G173" i="34"/>
  <c r="G205" i="33"/>
  <c r="G230" i="32"/>
  <c r="G196" i="34"/>
  <c r="G201" i="33"/>
  <c r="G224" i="32"/>
  <c r="H130" i="34"/>
  <c r="H131" i="34" s="1"/>
  <c r="G187" i="32"/>
  <c r="G231" i="34"/>
  <c r="G182" i="33"/>
  <c r="G174" i="33"/>
  <c r="G201" i="34"/>
  <c r="G183" i="34"/>
  <c r="G167" i="34"/>
  <c r="G151" i="34"/>
  <c r="G240" i="33"/>
  <c r="G210" i="33"/>
  <c r="G166" i="33"/>
  <c r="G159" i="33"/>
  <c r="G224" i="34"/>
  <c r="G159" i="34"/>
  <c r="G233" i="33"/>
  <c r="G192" i="33"/>
  <c r="G152" i="33"/>
  <c r="G144" i="33"/>
  <c r="G217" i="34"/>
  <c r="G144" i="34"/>
  <c r="G226" i="33"/>
  <c r="G216" i="33"/>
  <c r="G247" i="32"/>
  <c r="G240" i="32"/>
  <c r="G254" i="32"/>
  <c r="G235" i="32"/>
  <c r="G215" i="32"/>
  <c r="G201" i="32"/>
  <c r="G195" i="32"/>
  <c r="G205" i="32"/>
  <c r="G172" i="32"/>
  <c r="G158" i="32"/>
  <c r="G143" i="32"/>
  <c r="H130" i="32"/>
  <c r="H131" i="32" s="1"/>
  <c r="H212" i="34" l="1"/>
  <c r="H179" i="34"/>
  <c r="H221" i="33"/>
  <c r="H230" i="32"/>
  <c r="H207" i="34"/>
  <c r="H173" i="34"/>
  <c r="H205" i="33"/>
  <c r="H196" i="34"/>
  <c r="H201" i="33"/>
  <c r="H224" i="32"/>
  <c r="H192" i="34"/>
  <c r="H188" i="33"/>
  <c r="H219" i="32"/>
  <c r="I130" i="34"/>
  <c r="I131" i="34" s="1"/>
  <c r="H187" i="32"/>
  <c r="H217" i="34"/>
  <c r="H144" i="34"/>
  <c r="H226" i="33"/>
  <c r="H216" i="33"/>
  <c r="H231" i="34"/>
  <c r="H182" i="33"/>
  <c r="H174" i="33"/>
  <c r="H201" i="34"/>
  <c r="H183" i="34"/>
  <c r="H167" i="34"/>
  <c r="H151" i="34"/>
  <c r="H240" i="33"/>
  <c r="H210" i="33"/>
  <c r="H166" i="33"/>
  <c r="H159" i="33"/>
  <c r="H224" i="34"/>
  <c r="H159" i="34"/>
  <c r="H233" i="33"/>
  <c r="H152" i="33"/>
  <c r="H144" i="33"/>
  <c r="H192" i="33"/>
  <c r="H254" i="32"/>
  <c r="H235" i="32"/>
  <c r="H215" i="32"/>
  <c r="H247" i="32"/>
  <c r="H240" i="32"/>
  <c r="H205" i="32"/>
  <c r="H172" i="32"/>
  <c r="H201" i="32"/>
  <c r="H195" i="32"/>
  <c r="H158" i="32"/>
  <c r="H143" i="32"/>
  <c r="I130" i="32"/>
  <c r="I131" i="32" s="1"/>
  <c r="D224" i="26"/>
  <c r="C261" i="1"/>
  <c r="D224" i="25"/>
  <c r="I207" i="34" l="1"/>
  <c r="I173" i="34"/>
  <c r="I205" i="33"/>
  <c r="I230" i="32"/>
  <c r="I196" i="34"/>
  <c r="I201" i="33"/>
  <c r="I224" i="32"/>
  <c r="I192" i="34"/>
  <c r="I188" i="33"/>
  <c r="I219" i="32"/>
  <c r="I212" i="34"/>
  <c r="I179" i="34"/>
  <c r="I221" i="33"/>
  <c r="J130" i="34"/>
  <c r="J131" i="34" s="1"/>
  <c r="I187" i="32"/>
  <c r="I224" i="34"/>
  <c r="I159" i="34"/>
  <c r="I233" i="33"/>
  <c r="I192" i="33"/>
  <c r="I152" i="33"/>
  <c r="I144" i="33"/>
  <c r="I210" i="33"/>
  <c r="I217" i="34"/>
  <c r="I144" i="34"/>
  <c r="I226" i="33"/>
  <c r="I216" i="33"/>
  <c r="I231" i="34"/>
  <c r="I182" i="33"/>
  <c r="I174" i="33"/>
  <c r="I201" i="34"/>
  <c r="I183" i="34"/>
  <c r="I167" i="34"/>
  <c r="I151" i="34"/>
  <c r="I240" i="33"/>
  <c r="I159" i="33"/>
  <c r="I166" i="33"/>
  <c r="I254" i="32"/>
  <c r="I235" i="32"/>
  <c r="I215" i="32"/>
  <c r="I247" i="32"/>
  <c r="I240" i="32"/>
  <c r="I205" i="32"/>
  <c r="I172" i="32"/>
  <c r="I201" i="32"/>
  <c r="I195" i="32"/>
  <c r="J130" i="32"/>
  <c r="J131" i="32" s="1"/>
  <c r="I158" i="32"/>
  <c r="I143" i="32"/>
  <c r="D213" i="26"/>
  <c r="D214" i="26" s="1"/>
  <c r="E210" i="26"/>
  <c r="E199" i="26"/>
  <c r="E199" i="25"/>
  <c r="E250" i="1"/>
  <c r="E261" i="1"/>
  <c r="D264" i="1"/>
  <c r="D214" i="25"/>
  <c r="D213" i="25"/>
  <c r="E210" i="25"/>
  <c r="D220" i="26"/>
  <c r="B220" i="26"/>
  <c r="E219" i="26"/>
  <c r="D219" i="26"/>
  <c r="B219" i="26"/>
  <c r="D217" i="26"/>
  <c r="B217" i="26"/>
  <c r="D215" i="26"/>
  <c r="B215" i="26"/>
  <c r="B214" i="26"/>
  <c r="B213" i="26"/>
  <c r="D220" i="25"/>
  <c r="B220" i="25"/>
  <c r="E219" i="25"/>
  <c r="D219" i="25"/>
  <c r="B219" i="25"/>
  <c r="D217" i="25"/>
  <c r="B217" i="25"/>
  <c r="D215" i="25"/>
  <c r="B215" i="25"/>
  <c r="B214" i="25"/>
  <c r="B213" i="25"/>
  <c r="D275" i="1"/>
  <c r="D1143" i="7"/>
  <c r="D1142" i="7"/>
  <c r="D674" i="7"/>
  <c r="D673" i="7"/>
  <c r="D918" i="7"/>
  <c r="D917" i="7"/>
  <c r="D916" i="7"/>
  <c r="D1390" i="7"/>
  <c r="D1389" i="7"/>
  <c r="D1388" i="7"/>
  <c r="D1493" i="7"/>
  <c r="D1494" i="7"/>
  <c r="D1495" i="7"/>
  <c r="D498" i="7"/>
  <c r="D499" i="7"/>
  <c r="D500" i="7"/>
  <c r="J196" i="34" l="1"/>
  <c r="J201" i="33"/>
  <c r="J224" i="32"/>
  <c r="J192" i="34"/>
  <c r="J188" i="33"/>
  <c r="J219" i="32"/>
  <c r="J212" i="34"/>
  <c r="J179" i="34"/>
  <c r="J221" i="33"/>
  <c r="J207" i="34"/>
  <c r="J173" i="34"/>
  <c r="J205" i="33"/>
  <c r="J230" i="32"/>
  <c r="K130" i="34"/>
  <c r="K131" i="34" s="1"/>
  <c r="J187" i="32"/>
  <c r="J201" i="34"/>
  <c r="J183" i="34"/>
  <c r="J167" i="34"/>
  <c r="J151" i="34"/>
  <c r="J240" i="33"/>
  <c r="J210" i="33"/>
  <c r="J166" i="33"/>
  <c r="J159" i="33"/>
  <c r="J224" i="34"/>
  <c r="J159" i="34"/>
  <c r="J233" i="33"/>
  <c r="J192" i="33"/>
  <c r="J152" i="33"/>
  <c r="J144" i="33"/>
  <c r="J217" i="34"/>
  <c r="J144" i="34"/>
  <c r="J226" i="33"/>
  <c r="J216" i="33"/>
  <c r="J231" i="34"/>
  <c r="J174" i="33"/>
  <c r="J182" i="33"/>
  <c r="J240" i="32"/>
  <c r="J254" i="32"/>
  <c r="J235" i="32"/>
  <c r="J215" i="32"/>
  <c r="J247" i="32"/>
  <c r="J201" i="32"/>
  <c r="J195" i="32"/>
  <c r="J205" i="32"/>
  <c r="J172" i="32"/>
  <c r="K130" i="32"/>
  <c r="K131" i="32" s="1"/>
  <c r="J158" i="32"/>
  <c r="J143" i="32"/>
  <c r="D256" i="7"/>
  <c r="D255" i="7"/>
  <c r="B265" i="1"/>
  <c r="B264" i="1"/>
  <c r="D271" i="1"/>
  <c r="B271" i="1"/>
  <c r="E270" i="1"/>
  <c r="D270" i="1"/>
  <c r="B270" i="1"/>
  <c r="D268" i="1"/>
  <c r="B268" i="1"/>
  <c r="D266" i="1"/>
  <c r="B266" i="1"/>
  <c r="D265" i="1"/>
  <c r="B53" i="26"/>
  <c r="B54" i="26"/>
  <c r="B55" i="26"/>
  <c r="B56" i="26"/>
  <c r="B57" i="26"/>
  <c r="B52" i="26"/>
  <c r="D1014" i="7"/>
  <c r="D998" i="7"/>
  <c r="D982" i="7"/>
  <c r="D966" i="7"/>
  <c r="D950" i="7"/>
  <c r="D934" i="7"/>
  <c r="D596" i="7"/>
  <c r="D580" i="7"/>
  <c r="D564" i="7"/>
  <c r="D548" i="7"/>
  <c r="D516" i="7"/>
  <c r="G58" i="26"/>
  <c r="F58" i="26"/>
  <c r="D58" i="26"/>
  <c r="D57" i="26"/>
  <c r="D56" i="26"/>
  <c r="D55" i="26"/>
  <c r="D54" i="26"/>
  <c r="D53" i="26"/>
  <c r="D52" i="26"/>
  <c r="D60" i="26"/>
  <c r="F50" i="26"/>
  <c r="D50" i="26"/>
  <c r="G54" i="25"/>
  <c r="F54" i="25"/>
  <c r="D54" i="25"/>
  <c r="D53" i="25"/>
  <c r="B53" i="25"/>
  <c r="D52" i="25"/>
  <c r="B52" i="25"/>
  <c r="P51" i="25"/>
  <c r="D51" i="25"/>
  <c r="B51" i="25"/>
  <c r="D50" i="25"/>
  <c r="B50" i="25"/>
  <c r="P49" i="25"/>
  <c r="D49" i="25"/>
  <c r="B49" i="25"/>
  <c r="D48" i="25"/>
  <c r="B48" i="25"/>
  <c r="F46" i="25"/>
  <c r="D111" i="7"/>
  <c r="D95" i="7"/>
  <c r="D79" i="7"/>
  <c r="D63" i="7"/>
  <c r="D47" i="7"/>
  <c r="D31" i="7"/>
  <c r="B48" i="1"/>
  <c r="B53" i="1"/>
  <c r="B52" i="1"/>
  <c r="B51" i="1"/>
  <c r="B50" i="1"/>
  <c r="B49" i="1"/>
  <c r="F54" i="1"/>
  <c r="D54" i="1"/>
  <c r="D53" i="1"/>
  <c r="D52" i="1"/>
  <c r="D51" i="1"/>
  <c r="D50" i="1"/>
  <c r="D49" i="1"/>
  <c r="D48" i="1"/>
  <c r="A562" i="7"/>
  <c r="A546" i="7"/>
  <c r="A109" i="7"/>
  <c r="K192" i="34" l="1"/>
  <c r="K188" i="33"/>
  <c r="K219" i="32"/>
  <c r="K212" i="34"/>
  <c r="K179" i="34"/>
  <c r="K221" i="33"/>
  <c r="K207" i="34"/>
  <c r="K173" i="34"/>
  <c r="K205" i="33"/>
  <c r="K196" i="34"/>
  <c r="K201" i="33"/>
  <c r="K224" i="32"/>
  <c r="K230" i="32"/>
  <c r="L130" i="34"/>
  <c r="L131" i="34" s="1"/>
  <c r="K187" i="32"/>
  <c r="K231" i="34"/>
  <c r="K182" i="33"/>
  <c r="K174" i="33"/>
  <c r="K201" i="34"/>
  <c r="K183" i="34"/>
  <c r="K167" i="34"/>
  <c r="K151" i="34"/>
  <c r="K240" i="33"/>
  <c r="K210" i="33"/>
  <c r="K166" i="33"/>
  <c r="K159" i="33"/>
  <c r="K224" i="34"/>
  <c r="K159" i="34"/>
  <c r="K233" i="33"/>
  <c r="K192" i="33"/>
  <c r="K152" i="33"/>
  <c r="K144" i="33"/>
  <c r="K226" i="33"/>
  <c r="K216" i="33"/>
  <c r="K217" i="34"/>
  <c r="K144" i="34"/>
  <c r="K247" i="32"/>
  <c r="K240" i="32"/>
  <c r="K254" i="32"/>
  <c r="K235" i="32"/>
  <c r="K215" i="32"/>
  <c r="K201" i="32"/>
  <c r="K195" i="32"/>
  <c r="K205" i="32"/>
  <c r="K172" i="32"/>
  <c r="K158" i="32"/>
  <c r="K143" i="32"/>
  <c r="L130" i="32"/>
  <c r="L131" i="32" s="1"/>
  <c r="E56" i="26"/>
  <c r="P52" i="25"/>
  <c r="E51" i="25"/>
  <c r="H54" i="25"/>
  <c r="P50" i="25"/>
  <c r="H58" i="26"/>
  <c r="G54" i="1"/>
  <c r="L212" i="34" l="1"/>
  <c r="L179" i="34"/>
  <c r="L221" i="33"/>
  <c r="L207" i="34"/>
  <c r="L173" i="34"/>
  <c r="L205" i="33"/>
  <c r="L196" i="34"/>
  <c r="L201" i="33"/>
  <c r="L224" i="32"/>
  <c r="L192" i="34"/>
  <c r="L188" i="33"/>
  <c r="L219" i="32"/>
  <c r="L230" i="32"/>
  <c r="M130" i="34"/>
  <c r="M131" i="34" s="1"/>
  <c r="L187" i="32"/>
  <c r="L217" i="34"/>
  <c r="L144" i="34"/>
  <c r="L226" i="33"/>
  <c r="L216" i="33"/>
  <c r="L231" i="34"/>
  <c r="L182" i="33"/>
  <c r="L174" i="33"/>
  <c r="L201" i="34"/>
  <c r="L183" i="34"/>
  <c r="L167" i="34"/>
  <c r="L151" i="34"/>
  <c r="L240" i="33"/>
  <c r="L210" i="33"/>
  <c r="L166" i="33"/>
  <c r="L159" i="33"/>
  <c r="L224" i="34"/>
  <c r="L159" i="34"/>
  <c r="L233" i="33"/>
  <c r="L192" i="33"/>
  <c r="L152" i="33"/>
  <c r="L144" i="33"/>
  <c r="L254" i="32"/>
  <c r="L235" i="32"/>
  <c r="L215" i="32"/>
  <c r="L247" i="32"/>
  <c r="L240" i="32"/>
  <c r="L205" i="32"/>
  <c r="L172" i="32"/>
  <c r="L201" i="32"/>
  <c r="L195" i="32"/>
  <c r="L158" i="32"/>
  <c r="L143" i="32"/>
  <c r="M130" i="32"/>
  <c r="M131" i="32" s="1"/>
  <c r="E54" i="26"/>
  <c r="E52" i="25"/>
  <c r="AA54" i="25"/>
  <c r="E50" i="25"/>
  <c r="E49" i="1"/>
  <c r="E50" i="1"/>
  <c r="E51" i="1"/>
  <c r="E52" i="1"/>
  <c r="I58" i="26"/>
  <c r="I54" i="25"/>
  <c r="H54" i="1"/>
  <c r="D1429" i="7"/>
  <c r="B1131" i="7"/>
  <c r="B1136" i="7"/>
  <c r="B1134" i="7"/>
  <c r="B1133" i="7"/>
  <c r="D1136" i="7"/>
  <c r="D1134" i="7"/>
  <c r="D1133" i="7"/>
  <c r="B156" i="25"/>
  <c r="B156" i="26"/>
  <c r="B161" i="26"/>
  <c r="D194" i="26"/>
  <c r="B194" i="26"/>
  <c r="D193" i="26"/>
  <c r="B193" i="26"/>
  <c r="D192" i="26"/>
  <c r="B192" i="26"/>
  <c r="E189" i="26"/>
  <c r="D189" i="26"/>
  <c r="E188" i="26"/>
  <c r="F185" i="26"/>
  <c r="G185" i="26" s="1"/>
  <c r="H185" i="26" s="1"/>
  <c r="I185" i="26" s="1"/>
  <c r="J185" i="26" s="1"/>
  <c r="K185" i="26" s="1"/>
  <c r="L185" i="26" s="1"/>
  <c r="M185" i="26" s="1"/>
  <c r="N185" i="26" s="1"/>
  <c r="O185" i="26" s="1"/>
  <c r="P185" i="26" s="1"/>
  <c r="Q185" i="26" s="1"/>
  <c r="R185" i="26" s="1"/>
  <c r="S185" i="26" s="1"/>
  <c r="T185" i="26" s="1"/>
  <c r="U185" i="26" s="1"/>
  <c r="V185" i="26" s="1"/>
  <c r="W185" i="26" s="1"/>
  <c r="X185" i="26" s="1"/>
  <c r="Y185" i="26" s="1"/>
  <c r="Z185" i="26" s="1"/>
  <c r="AA185" i="26" s="1"/>
  <c r="AB185" i="26" s="1"/>
  <c r="AC185" i="26" s="1"/>
  <c r="AD185" i="26" s="1"/>
  <c r="AE185" i="26" s="1"/>
  <c r="AF185" i="26" s="1"/>
  <c r="AG185" i="26" s="1"/>
  <c r="AH185" i="26" s="1"/>
  <c r="D184" i="26"/>
  <c r="E180" i="26"/>
  <c r="D180" i="26"/>
  <c r="E179" i="26"/>
  <c r="F176" i="26"/>
  <c r="G176" i="26" s="1"/>
  <c r="H176" i="26" s="1"/>
  <c r="I176" i="26" s="1"/>
  <c r="J176" i="26" s="1"/>
  <c r="K176" i="26" s="1"/>
  <c r="L176" i="26" s="1"/>
  <c r="M176" i="26" s="1"/>
  <c r="N176" i="26" s="1"/>
  <c r="O176" i="26" s="1"/>
  <c r="P176" i="26" s="1"/>
  <c r="Q176" i="26" s="1"/>
  <c r="R176" i="26" s="1"/>
  <c r="S176" i="26" s="1"/>
  <c r="T176" i="26" s="1"/>
  <c r="U176" i="26" s="1"/>
  <c r="V176" i="26" s="1"/>
  <c r="W176" i="26" s="1"/>
  <c r="X176" i="26" s="1"/>
  <c r="Y176" i="26" s="1"/>
  <c r="Z176" i="26" s="1"/>
  <c r="AA176" i="26" s="1"/>
  <c r="AB176" i="26" s="1"/>
  <c r="AC176" i="26" s="1"/>
  <c r="AD176" i="26" s="1"/>
  <c r="AE176" i="26" s="1"/>
  <c r="AF176" i="26" s="1"/>
  <c r="AG176" i="26" s="1"/>
  <c r="AH176" i="26" s="1"/>
  <c r="D175" i="26"/>
  <c r="E171" i="26"/>
  <c r="D171" i="26"/>
  <c r="E170" i="26"/>
  <c r="F167" i="26"/>
  <c r="G167" i="26" s="1"/>
  <c r="H167" i="26" s="1"/>
  <c r="I167" i="26" s="1"/>
  <c r="J167" i="26" s="1"/>
  <c r="K167" i="26" s="1"/>
  <c r="L167" i="26" s="1"/>
  <c r="M167" i="26" s="1"/>
  <c r="N167" i="26" s="1"/>
  <c r="O167" i="26" s="1"/>
  <c r="P167" i="26" s="1"/>
  <c r="Q167" i="26" s="1"/>
  <c r="R167" i="26" s="1"/>
  <c r="S167" i="26" s="1"/>
  <c r="T167" i="26" s="1"/>
  <c r="U167" i="26" s="1"/>
  <c r="V167" i="26" s="1"/>
  <c r="W167" i="26" s="1"/>
  <c r="X167" i="26" s="1"/>
  <c r="Y167" i="26" s="1"/>
  <c r="Z167" i="26" s="1"/>
  <c r="AA167" i="26" s="1"/>
  <c r="AB167" i="26" s="1"/>
  <c r="AC167" i="26" s="1"/>
  <c r="AD167" i="26" s="1"/>
  <c r="AE167" i="26" s="1"/>
  <c r="AF167" i="26" s="1"/>
  <c r="AG167" i="26" s="1"/>
  <c r="AH167" i="26" s="1"/>
  <c r="D166" i="26"/>
  <c r="B667" i="7"/>
  <c r="B665" i="7"/>
  <c r="B664" i="7"/>
  <c r="B662" i="7"/>
  <c r="D667" i="7"/>
  <c r="D665" i="7"/>
  <c r="D664" i="7"/>
  <c r="B161" i="25"/>
  <c r="D194" i="25"/>
  <c r="B194" i="25"/>
  <c r="D193" i="25"/>
  <c r="B193" i="25"/>
  <c r="D192" i="25"/>
  <c r="B192" i="25"/>
  <c r="E189" i="25"/>
  <c r="D189" i="25"/>
  <c r="E188" i="25"/>
  <c r="F185" i="25"/>
  <c r="G185" i="25" s="1"/>
  <c r="H185" i="25" s="1"/>
  <c r="I185" i="25" s="1"/>
  <c r="J185" i="25" s="1"/>
  <c r="K185" i="25" s="1"/>
  <c r="L185" i="25" s="1"/>
  <c r="M185" i="25" s="1"/>
  <c r="N185" i="25" s="1"/>
  <c r="O185" i="25" s="1"/>
  <c r="P185" i="25" s="1"/>
  <c r="Q185" i="25" s="1"/>
  <c r="R185" i="25" s="1"/>
  <c r="S185" i="25" s="1"/>
  <c r="T185" i="25" s="1"/>
  <c r="U185" i="25" s="1"/>
  <c r="V185" i="25" s="1"/>
  <c r="W185" i="25" s="1"/>
  <c r="X185" i="25" s="1"/>
  <c r="Y185" i="25" s="1"/>
  <c r="Z185" i="25" s="1"/>
  <c r="AA185" i="25" s="1"/>
  <c r="AB185" i="25" s="1"/>
  <c r="AC185" i="25" s="1"/>
  <c r="AD185" i="25" s="1"/>
  <c r="AE185" i="25" s="1"/>
  <c r="AF185" i="25" s="1"/>
  <c r="AG185" i="25" s="1"/>
  <c r="AH185" i="25" s="1"/>
  <c r="D184" i="25"/>
  <c r="E180" i="25"/>
  <c r="D180" i="25"/>
  <c r="E179" i="25"/>
  <c r="F176" i="25"/>
  <c r="G176" i="25" s="1"/>
  <c r="H176" i="25" s="1"/>
  <c r="I176" i="25" s="1"/>
  <c r="J176" i="25" s="1"/>
  <c r="K176" i="25" s="1"/>
  <c r="L176" i="25" s="1"/>
  <c r="M176" i="25" s="1"/>
  <c r="N176" i="25" s="1"/>
  <c r="O176" i="25" s="1"/>
  <c r="P176" i="25" s="1"/>
  <c r="Q176" i="25" s="1"/>
  <c r="R176" i="25" s="1"/>
  <c r="S176" i="25" s="1"/>
  <c r="T176" i="25" s="1"/>
  <c r="U176" i="25" s="1"/>
  <c r="V176" i="25" s="1"/>
  <c r="W176" i="25" s="1"/>
  <c r="X176" i="25" s="1"/>
  <c r="Y176" i="25" s="1"/>
  <c r="Z176" i="25" s="1"/>
  <c r="AA176" i="25" s="1"/>
  <c r="AB176" i="25" s="1"/>
  <c r="AC176" i="25" s="1"/>
  <c r="AD176" i="25" s="1"/>
  <c r="AE176" i="25" s="1"/>
  <c r="AF176" i="25" s="1"/>
  <c r="AG176" i="25" s="1"/>
  <c r="AH176" i="25" s="1"/>
  <c r="D175" i="25"/>
  <c r="E171" i="25"/>
  <c r="D171" i="25"/>
  <c r="E170" i="25"/>
  <c r="F167" i="25"/>
  <c r="G167" i="25" s="1"/>
  <c r="H167" i="25" s="1"/>
  <c r="I167" i="25" s="1"/>
  <c r="J167" i="25" s="1"/>
  <c r="K167" i="25" s="1"/>
  <c r="L167" i="25" s="1"/>
  <c r="M167" i="25" s="1"/>
  <c r="N167" i="25" s="1"/>
  <c r="O167" i="25" s="1"/>
  <c r="P167" i="25" s="1"/>
  <c r="Q167" i="25" s="1"/>
  <c r="R167" i="25" s="1"/>
  <c r="S167" i="25" s="1"/>
  <c r="T167" i="25" s="1"/>
  <c r="U167" i="25" s="1"/>
  <c r="V167" i="25" s="1"/>
  <c r="W167" i="25" s="1"/>
  <c r="X167" i="25" s="1"/>
  <c r="Y167" i="25" s="1"/>
  <c r="Z167" i="25" s="1"/>
  <c r="AA167" i="25" s="1"/>
  <c r="AB167" i="25" s="1"/>
  <c r="AC167" i="25" s="1"/>
  <c r="AD167" i="25" s="1"/>
  <c r="AE167" i="25" s="1"/>
  <c r="AF167" i="25" s="1"/>
  <c r="AG167" i="25" s="1"/>
  <c r="AH167" i="25" s="1"/>
  <c r="D166" i="25"/>
  <c r="B249" i="7"/>
  <c r="B247" i="7"/>
  <c r="B246" i="7"/>
  <c r="B244" i="7"/>
  <c r="D249" i="7"/>
  <c r="D247" i="7"/>
  <c r="D246" i="7"/>
  <c r="B207" i="1"/>
  <c r="B212" i="1"/>
  <c r="D245" i="1"/>
  <c r="B245" i="1"/>
  <c r="D244" i="1"/>
  <c r="B244" i="1"/>
  <c r="D243" i="1"/>
  <c r="B243" i="1"/>
  <c r="E240" i="1"/>
  <c r="D240" i="1"/>
  <c r="E239" i="1"/>
  <c r="F236" i="1"/>
  <c r="G236" i="1" s="1"/>
  <c r="H236" i="1" s="1"/>
  <c r="I236" i="1" s="1"/>
  <c r="J236" i="1" s="1"/>
  <c r="K236" i="1" s="1"/>
  <c r="L236" i="1" s="1"/>
  <c r="M236" i="1" s="1"/>
  <c r="N236" i="1" s="1"/>
  <c r="O236" i="1" s="1"/>
  <c r="P236" i="1" s="1"/>
  <c r="Q236" i="1" s="1"/>
  <c r="R236" i="1" s="1"/>
  <c r="S236" i="1" s="1"/>
  <c r="T236" i="1" s="1"/>
  <c r="U236" i="1" s="1"/>
  <c r="V236" i="1" s="1"/>
  <c r="W236" i="1" s="1"/>
  <c r="X236" i="1" s="1"/>
  <c r="Y236" i="1" s="1"/>
  <c r="Z236" i="1" s="1"/>
  <c r="AA236" i="1" s="1"/>
  <c r="AB236" i="1" s="1"/>
  <c r="AC236" i="1" s="1"/>
  <c r="AD236" i="1" s="1"/>
  <c r="AE236" i="1" s="1"/>
  <c r="AF236" i="1" s="1"/>
  <c r="AG236" i="1" s="1"/>
  <c r="AH236" i="1" s="1"/>
  <c r="D235" i="1"/>
  <c r="E231" i="1"/>
  <c r="D231" i="1"/>
  <c r="E230" i="1"/>
  <c r="F227" i="1"/>
  <c r="G227" i="1" s="1"/>
  <c r="H227" i="1" s="1"/>
  <c r="I227" i="1" s="1"/>
  <c r="J227" i="1" s="1"/>
  <c r="K227" i="1" s="1"/>
  <c r="L227" i="1" s="1"/>
  <c r="M227" i="1" s="1"/>
  <c r="N227" i="1" s="1"/>
  <c r="O227" i="1" s="1"/>
  <c r="P227" i="1" s="1"/>
  <c r="Q227" i="1" s="1"/>
  <c r="R227" i="1" s="1"/>
  <c r="S227" i="1" s="1"/>
  <c r="T227" i="1" s="1"/>
  <c r="U227" i="1" s="1"/>
  <c r="V227" i="1" s="1"/>
  <c r="W227" i="1" s="1"/>
  <c r="X227" i="1" s="1"/>
  <c r="Y227" i="1" s="1"/>
  <c r="Z227" i="1" s="1"/>
  <c r="AA227" i="1" s="1"/>
  <c r="AB227" i="1" s="1"/>
  <c r="AC227" i="1" s="1"/>
  <c r="AD227" i="1" s="1"/>
  <c r="AE227" i="1" s="1"/>
  <c r="AF227" i="1" s="1"/>
  <c r="AG227" i="1" s="1"/>
  <c r="AH227" i="1" s="1"/>
  <c r="D226" i="1"/>
  <c r="E222" i="1"/>
  <c r="D222" i="1"/>
  <c r="E221" i="1"/>
  <c r="F218" i="1"/>
  <c r="G218" i="1" s="1"/>
  <c r="H218" i="1" s="1"/>
  <c r="I218" i="1" s="1"/>
  <c r="J218" i="1" s="1"/>
  <c r="K218" i="1" s="1"/>
  <c r="L218" i="1" s="1"/>
  <c r="M218" i="1" s="1"/>
  <c r="N218" i="1" s="1"/>
  <c r="O218" i="1" s="1"/>
  <c r="P218" i="1" s="1"/>
  <c r="Q218" i="1" s="1"/>
  <c r="R218" i="1" s="1"/>
  <c r="S218" i="1" s="1"/>
  <c r="T218" i="1" s="1"/>
  <c r="U218" i="1" s="1"/>
  <c r="V218" i="1" s="1"/>
  <c r="W218" i="1" s="1"/>
  <c r="X218" i="1" s="1"/>
  <c r="Y218" i="1" s="1"/>
  <c r="Z218" i="1" s="1"/>
  <c r="AA218" i="1" s="1"/>
  <c r="AB218" i="1" s="1"/>
  <c r="AC218" i="1" s="1"/>
  <c r="AD218" i="1" s="1"/>
  <c r="AE218" i="1" s="1"/>
  <c r="AF218" i="1" s="1"/>
  <c r="AG218" i="1" s="1"/>
  <c r="AH218" i="1" s="1"/>
  <c r="D217" i="1"/>
  <c r="I25" i="31"/>
  <c r="H25" i="31"/>
  <c r="F25" i="31"/>
  <c r="D25" i="31"/>
  <c r="B3" i="31"/>
  <c r="B2" i="31"/>
  <c r="M207" i="34" l="1"/>
  <c r="M173" i="34"/>
  <c r="M205" i="33"/>
  <c r="M230" i="32"/>
  <c r="M196" i="34"/>
  <c r="M201" i="33"/>
  <c r="M224" i="32"/>
  <c r="M192" i="34"/>
  <c r="M188" i="33"/>
  <c r="M219" i="32"/>
  <c r="M212" i="34"/>
  <c r="M179" i="34"/>
  <c r="M221" i="33"/>
  <c r="Z58" i="26"/>
  <c r="Z54" i="25"/>
  <c r="N130" i="34"/>
  <c r="N131" i="34" s="1"/>
  <c r="M187" i="32"/>
  <c r="M224" i="34"/>
  <c r="M159" i="34"/>
  <c r="M233" i="33"/>
  <c r="M192" i="33"/>
  <c r="M152" i="33"/>
  <c r="M144" i="33"/>
  <c r="M217" i="34"/>
  <c r="M144" i="34"/>
  <c r="M226" i="33"/>
  <c r="M216" i="33"/>
  <c r="M210" i="33"/>
  <c r="M231" i="34"/>
  <c r="M182" i="33"/>
  <c r="M174" i="33"/>
  <c r="M201" i="34"/>
  <c r="M183" i="34"/>
  <c r="M167" i="34"/>
  <c r="M151" i="34"/>
  <c r="M240" i="33"/>
  <c r="M159" i="33"/>
  <c r="M166" i="33"/>
  <c r="M254" i="32"/>
  <c r="M235" i="32"/>
  <c r="M215" i="32"/>
  <c r="M247" i="32"/>
  <c r="M240" i="32"/>
  <c r="M205" i="32"/>
  <c r="M172" i="32"/>
  <c r="M201" i="32"/>
  <c r="M195" i="32"/>
  <c r="N130" i="32"/>
  <c r="N131" i="32" s="1"/>
  <c r="M158" i="32"/>
  <c r="M143" i="32"/>
  <c r="E55" i="26"/>
  <c r="AB54" i="25"/>
  <c r="AA58" i="26"/>
  <c r="J58" i="26"/>
  <c r="J54" i="25"/>
  <c r="I54" i="1"/>
  <c r="I25" i="28"/>
  <c r="H25" i="28"/>
  <c r="G25" i="28"/>
  <c r="F25" i="28"/>
  <c r="N196" i="34" l="1"/>
  <c r="N201" i="33"/>
  <c r="N224" i="32"/>
  <c r="N192" i="34"/>
  <c r="N188" i="33"/>
  <c r="N219" i="32"/>
  <c r="N212" i="34"/>
  <c r="N179" i="34"/>
  <c r="N221" i="33"/>
  <c r="N207" i="34"/>
  <c r="N173" i="34"/>
  <c r="N205" i="33"/>
  <c r="N230" i="32"/>
  <c r="AC54" i="25"/>
  <c r="O130" i="34"/>
  <c r="O131" i="34" s="1"/>
  <c r="N187" i="32"/>
  <c r="N201" i="34"/>
  <c r="N183" i="34"/>
  <c r="N167" i="34"/>
  <c r="N151" i="34"/>
  <c r="N240" i="33"/>
  <c r="N210" i="33"/>
  <c r="N166" i="33"/>
  <c r="N159" i="33"/>
  <c r="N224" i="34"/>
  <c r="N159" i="34"/>
  <c r="N233" i="33"/>
  <c r="N192" i="33"/>
  <c r="N152" i="33"/>
  <c r="N144" i="33"/>
  <c r="N217" i="34"/>
  <c r="N144" i="34"/>
  <c r="N226" i="33"/>
  <c r="N216" i="33"/>
  <c r="N231" i="34"/>
  <c r="N182" i="33"/>
  <c r="N174" i="33"/>
  <c r="N240" i="32"/>
  <c r="N254" i="32"/>
  <c r="N235" i="32"/>
  <c r="N215" i="32"/>
  <c r="N247" i="32"/>
  <c r="N201" i="32"/>
  <c r="N195" i="32"/>
  <c r="N205" i="32"/>
  <c r="N172" i="32"/>
  <c r="O130" i="32"/>
  <c r="O131" i="32" s="1"/>
  <c r="N158" i="32"/>
  <c r="N143" i="32"/>
  <c r="AB58" i="26"/>
  <c r="K58" i="26"/>
  <c r="K54" i="25"/>
  <c r="J54" i="1"/>
  <c r="D25" i="28"/>
  <c r="O192" i="34" l="1"/>
  <c r="O188" i="33"/>
  <c r="O219" i="32"/>
  <c r="O212" i="34"/>
  <c r="O179" i="34"/>
  <c r="O221" i="33"/>
  <c r="O207" i="34"/>
  <c r="O173" i="34"/>
  <c r="O205" i="33"/>
  <c r="O230" i="32"/>
  <c r="O196" i="34"/>
  <c r="O201" i="33"/>
  <c r="O224" i="32"/>
  <c r="P130" i="34"/>
  <c r="P131" i="34" s="1"/>
  <c r="O187" i="32"/>
  <c r="O231" i="34"/>
  <c r="O182" i="33"/>
  <c r="O174" i="33"/>
  <c r="O201" i="34"/>
  <c r="O183" i="34"/>
  <c r="O167" i="34"/>
  <c r="O151" i="34"/>
  <c r="O240" i="33"/>
  <c r="O210" i="33"/>
  <c r="O166" i="33"/>
  <c r="O159" i="33"/>
  <c r="O216" i="33"/>
  <c r="O224" i="34"/>
  <c r="O159" i="34"/>
  <c r="O233" i="33"/>
  <c r="O192" i="33"/>
  <c r="O152" i="33"/>
  <c r="O144" i="33"/>
  <c r="O217" i="34"/>
  <c r="O144" i="34"/>
  <c r="O226" i="33"/>
  <c r="O247" i="32"/>
  <c r="O240" i="32"/>
  <c r="O254" i="32"/>
  <c r="O235" i="32"/>
  <c r="O215" i="32"/>
  <c r="O201" i="32"/>
  <c r="O195" i="32"/>
  <c r="O205" i="32"/>
  <c r="O172" i="32"/>
  <c r="O158" i="32"/>
  <c r="O143" i="32"/>
  <c r="P130" i="32"/>
  <c r="P131" i="32" s="1"/>
  <c r="L58" i="26"/>
  <c r="AC58" i="26"/>
  <c r="L54" i="25"/>
  <c r="K54" i="1"/>
  <c r="B3" i="28"/>
  <c r="B2" i="28"/>
  <c r="I25" i="30"/>
  <c r="H25" i="30"/>
  <c r="F25" i="30"/>
  <c r="D25" i="30"/>
  <c r="B3" i="30"/>
  <c r="B2" i="30"/>
  <c r="I25" i="17"/>
  <c r="H25" i="17"/>
  <c r="F25" i="17"/>
  <c r="D25" i="17"/>
  <c r="B3" i="17"/>
  <c r="B2" i="17"/>
  <c r="AD54" i="25" l="1"/>
  <c r="P212" i="34"/>
  <c r="P179" i="34"/>
  <c r="P221" i="33"/>
  <c r="P207" i="34"/>
  <c r="P173" i="34"/>
  <c r="P205" i="33"/>
  <c r="P230" i="32"/>
  <c r="P196" i="34"/>
  <c r="P201" i="33"/>
  <c r="P224" i="32"/>
  <c r="P192" i="34"/>
  <c r="P188" i="33"/>
  <c r="P219" i="32"/>
  <c r="Q130" i="34"/>
  <c r="Q131" i="34" s="1"/>
  <c r="P187" i="32"/>
  <c r="P217" i="34"/>
  <c r="P144" i="34"/>
  <c r="P226" i="33"/>
  <c r="P216" i="33"/>
  <c r="P231" i="34"/>
  <c r="P182" i="33"/>
  <c r="P174" i="33"/>
  <c r="P201" i="34"/>
  <c r="P183" i="34"/>
  <c r="P167" i="34"/>
  <c r="P151" i="34"/>
  <c r="P240" i="33"/>
  <c r="P210" i="33"/>
  <c r="P166" i="33"/>
  <c r="P159" i="33"/>
  <c r="P224" i="34"/>
  <c r="P159" i="34"/>
  <c r="P233" i="33"/>
  <c r="P192" i="33"/>
  <c r="P152" i="33"/>
  <c r="P144" i="33"/>
  <c r="P254" i="32"/>
  <c r="P235" i="32"/>
  <c r="P215" i="32"/>
  <c r="P247" i="32"/>
  <c r="P240" i="32"/>
  <c r="P205" i="32"/>
  <c r="P172" i="32"/>
  <c r="P201" i="32"/>
  <c r="P195" i="32"/>
  <c r="P158" i="32"/>
  <c r="P143" i="32"/>
  <c r="Q130" i="32"/>
  <c r="Q131" i="32" s="1"/>
  <c r="M58" i="26"/>
  <c r="AD58" i="26"/>
  <c r="AE54" i="25"/>
  <c r="M54" i="25"/>
  <c r="L54" i="1"/>
  <c r="Q207" i="34" l="1"/>
  <c r="Q173" i="34"/>
  <c r="Q205" i="33"/>
  <c r="Q230" i="32"/>
  <c r="Q196" i="34"/>
  <c r="Q201" i="33"/>
  <c r="Q224" i="32"/>
  <c r="Q192" i="34"/>
  <c r="Q188" i="33"/>
  <c r="Q219" i="32"/>
  <c r="Q212" i="34"/>
  <c r="Q179" i="34"/>
  <c r="Q221" i="33"/>
  <c r="R130" i="34"/>
  <c r="R131" i="34" s="1"/>
  <c r="Q187" i="32"/>
  <c r="Q224" i="34"/>
  <c r="Q159" i="34"/>
  <c r="Q233" i="33"/>
  <c r="Q192" i="33"/>
  <c r="Q152" i="33"/>
  <c r="Q144" i="33"/>
  <c r="Q217" i="34"/>
  <c r="Q144" i="34"/>
  <c r="Q226" i="33"/>
  <c r="Q216" i="33"/>
  <c r="Q231" i="34"/>
  <c r="Q182" i="33"/>
  <c r="Q174" i="33"/>
  <c r="Q210" i="33"/>
  <c r="Q201" i="34"/>
  <c r="Q183" i="34"/>
  <c r="Q167" i="34"/>
  <c r="Q151" i="34"/>
  <c r="Q240" i="33"/>
  <c r="Q166" i="33"/>
  <c r="Q159" i="33"/>
  <c r="Q254" i="32"/>
  <c r="Q235" i="32"/>
  <c r="Q215" i="32"/>
  <c r="Q247" i="32"/>
  <c r="Q240" i="32"/>
  <c r="Q205" i="32"/>
  <c r="Q172" i="32"/>
  <c r="Q201" i="32"/>
  <c r="Q195" i="32"/>
  <c r="R130" i="32"/>
  <c r="R131" i="32" s="1"/>
  <c r="Q158" i="32"/>
  <c r="Q143" i="32"/>
  <c r="AE58" i="26"/>
  <c r="N58" i="26"/>
  <c r="AF54" i="25"/>
  <c r="N54" i="25"/>
  <c r="M54" i="1"/>
  <c r="R196" i="34" l="1"/>
  <c r="R201" i="33"/>
  <c r="R224" i="32"/>
  <c r="R192" i="34"/>
  <c r="R188" i="33"/>
  <c r="R219" i="32"/>
  <c r="R212" i="34"/>
  <c r="R179" i="34"/>
  <c r="R221" i="33"/>
  <c r="R207" i="34"/>
  <c r="R173" i="34"/>
  <c r="R205" i="33"/>
  <c r="R230" i="32"/>
  <c r="S130" i="34"/>
  <c r="S131" i="34" s="1"/>
  <c r="R187" i="32"/>
  <c r="R201" i="34"/>
  <c r="R183" i="34"/>
  <c r="R167" i="34"/>
  <c r="R151" i="34"/>
  <c r="R240" i="33"/>
  <c r="R210" i="33"/>
  <c r="R166" i="33"/>
  <c r="R159" i="33"/>
  <c r="R224" i="34"/>
  <c r="R159" i="34"/>
  <c r="R233" i="33"/>
  <c r="R192" i="33"/>
  <c r="R152" i="33"/>
  <c r="R144" i="33"/>
  <c r="R217" i="34"/>
  <c r="R144" i="34"/>
  <c r="R226" i="33"/>
  <c r="R216" i="33"/>
  <c r="R231" i="34"/>
  <c r="R182" i="33"/>
  <c r="R174" i="33"/>
  <c r="R240" i="32"/>
  <c r="R254" i="32"/>
  <c r="R235" i="32"/>
  <c r="R215" i="32"/>
  <c r="R247" i="32"/>
  <c r="R201" i="32"/>
  <c r="R195" i="32"/>
  <c r="R205" i="32"/>
  <c r="R172" i="32"/>
  <c r="S130" i="32"/>
  <c r="S131" i="32" s="1"/>
  <c r="R158" i="32"/>
  <c r="R143" i="32"/>
  <c r="O58" i="26"/>
  <c r="AF58" i="26"/>
  <c r="O54" i="25"/>
  <c r="P48" i="25"/>
  <c r="E49" i="25"/>
  <c r="AG54" i="25"/>
  <c r="N54" i="1"/>
  <c r="S192" i="34" l="1"/>
  <c r="S188" i="33"/>
  <c r="S219" i="32"/>
  <c r="S230" i="32"/>
  <c r="S212" i="34"/>
  <c r="S179" i="34"/>
  <c r="S221" i="33"/>
  <c r="S207" i="34"/>
  <c r="S173" i="34"/>
  <c r="S205" i="33"/>
  <c r="S196" i="34"/>
  <c r="S201" i="33"/>
  <c r="S224" i="32"/>
  <c r="T130" i="34"/>
  <c r="T131" i="34" s="1"/>
  <c r="S187" i="32"/>
  <c r="S231" i="34"/>
  <c r="S182" i="33"/>
  <c r="S174" i="33"/>
  <c r="S216" i="33"/>
  <c r="S201" i="34"/>
  <c r="S183" i="34"/>
  <c r="S167" i="34"/>
  <c r="S151" i="34"/>
  <c r="S240" i="33"/>
  <c r="S210" i="33"/>
  <c r="S166" i="33"/>
  <c r="S159" i="33"/>
  <c r="S224" i="34"/>
  <c r="S159" i="34"/>
  <c r="S233" i="33"/>
  <c r="S192" i="33"/>
  <c r="S152" i="33"/>
  <c r="S144" i="33"/>
  <c r="S226" i="33"/>
  <c r="S217" i="34"/>
  <c r="S144" i="34"/>
  <c r="S247" i="32"/>
  <c r="S240" i="32"/>
  <c r="S254" i="32"/>
  <c r="S235" i="32"/>
  <c r="S215" i="32"/>
  <c r="S201" i="32"/>
  <c r="S195" i="32"/>
  <c r="S205" i="32"/>
  <c r="S172" i="32"/>
  <c r="S158" i="32"/>
  <c r="S143" i="32"/>
  <c r="T130" i="32"/>
  <c r="T131" i="32" s="1"/>
  <c r="P58" i="26"/>
  <c r="E53" i="26"/>
  <c r="AG58" i="26"/>
  <c r="P54" i="25"/>
  <c r="AH54" i="25"/>
  <c r="O54" i="1"/>
  <c r="T212" i="34" l="1"/>
  <c r="T179" i="34"/>
  <c r="T221" i="33"/>
  <c r="T230" i="32"/>
  <c r="T207" i="34"/>
  <c r="T173" i="34"/>
  <c r="T205" i="33"/>
  <c r="T196" i="34"/>
  <c r="T201" i="33"/>
  <c r="T224" i="32"/>
  <c r="T192" i="34"/>
  <c r="T188" i="33"/>
  <c r="T219" i="32"/>
  <c r="U130" i="34"/>
  <c r="U131" i="34" s="1"/>
  <c r="T187" i="32"/>
  <c r="T217" i="34"/>
  <c r="T144" i="34"/>
  <c r="T226" i="33"/>
  <c r="T216" i="33"/>
  <c r="T231" i="34"/>
  <c r="T182" i="33"/>
  <c r="T174" i="33"/>
  <c r="T201" i="34"/>
  <c r="T183" i="34"/>
  <c r="T167" i="34"/>
  <c r="T151" i="34"/>
  <c r="T240" i="33"/>
  <c r="T210" i="33"/>
  <c r="T166" i="33"/>
  <c r="T159" i="33"/>
  <c r="T224" i="34"/>
  <c r="T159" i="34"/>
  <c r="T233" i="33"/>
  <c r="T152" i="33"/>
  <c r="T144" i="33"/>
  <c r="T192" i="33"/>
  <c r="T254" i="32"/>
  <c r="T235" i="32"/>
  <c r="T215" i="32"/>
  <c r="T247" i="32"/>
  <c r="T240" i="32"/>
  <c r="T205" i="32"/>
  <c r="T172" i="32"/>
  <c r="T201" i="32"/>
  <c r="T195" i="32"/>
  <c r="T158" i="32"/>
  <c r="T143" i="32"/>
  <c r="U130" i="32"/>
  <c r="U131" i="32" s="1"/>
  <c r="Q58" i="26"/>
  <c r="AH58" i="26"/>
  <c r="Q54" i="25"/>
  <c r="P54" i="1"/>
  <c r="U207" i="34" l="1"/>
  <c r="U173" i="34"/>
  <c r="U205" i="33"/>
  <c r="U230" i="32"/>
  <c r="U224" i="32"/>
  <c r="U196" i="34"/>
  <c r="U201" i="33"/>
  <c r="U192" i="34"/>
  <c r="U188" i="33"/>
  <c r="U219" i="32"/>
  <c r="U212" i="34"/>
  <c r="U179" i="34"/>
  <c r="U221" i="33"/>
  <c r="V130" i="34"/>
  <c r="V131" i="34" s="1"/>
  <c r="U187" i="32"/>
  <c r="U224" i="34"/>
  <c r="U159" i="34"/>
  <c r="U233" i="33"/>
  <c r="U192" i="33"/>
  <c r="U152" i="33"/>
  <c r="U144" i="33"/>
  <c r="U217" i="34"/>
  <c r="U144" i="34"/>
  <c r="U226" i="33"/>
  <c r="U216" i="33"/>
  <c r="U231" i="34"/>
  <c r="U182" i="33"/>
  <c r="U174" i="33"/>
  <c r="U240" i="33"/>
  <c r="U201" i="34"/>
  <c r="U183" i="34"/>
  <c r="U167" i="34"/>
  <c r="U151" i="34"/>
  <c r="U210" i="33"/>
  <c r="U159" i="33"/>
  <c r="U166" i="33"/>
  <c r="U254" i="32"/>
  <c r="U235" i="32"/>
  <c r="U215" i="32"/>
  <c r="U247" i="32"/>
  <c r="U240" i="32"/>
  <c r="U205" i="32"/>
  <c r="U172" i="32"/>
  <c r="U201" i="32"/>
  <c r="U195" i="32"/>
  <c r="V130" i="32"/>
  <c r="V131" i="32" s="1"/>
  <c r="U158" i="32"/>
  <c r="U143" i="32"/>
  <c r="R58" i="26"/>
  <c r="R54" i="25"/>
  <c r="Q54" i="1"/>
  <c r="V196" i="34" l="1"/>
  <c r="V201" i="33"/>
  <c r="V224" i="32"/>
  <c r="V192" i="34"/>
  <c r="V188" i="33"/>
  <c r="V219" i="32"/>
  <c r="V212" i="34"/>
  <c r="V179" i="34"/>
  <c r="V221" i="33"/>
  <c r="V207" i="34"/>
  <c r="V173" i="34"/>
  <c r="V205" i="33"/>
  <c r="V230" i="32"/>
  <c r="W130" i="34"/>
  <c r="W131" i="34" s="1"/>
  <c r="V187" i="32"/>
  <c r="V201" i="34"/>
  <c r="V183" i="34"/>
  <c r="V167" i="34"/>
  <c r="V151" i="34"/>
  <c r="V240" i="33"/>
  <c r="V210" i="33"/>
  <c r="V166" i="33"/>
  <c r="V159" i="33"/>
  <c r="V224" i="34"/>
  <c r="V159" i="34"/>
  <c r="V233" i="33"/>
  <c r="V192" i="33"/>
  <c r="V152" i="33"/>
  <c r="V144" i="33"/>
  <c r="V217" i="34"/>
  <c r="V144" i="34"/>
  <c r="V226" i="33"/>
  <c r="V216" i="33"/>
  <c r="V231" i="34"/>
  <c r="V174" i="33"/>
  <c r="V182" i="33"/>
  <c r="V240" i="32"/>
  <c r="V254" i="32"/>
  <c r="V235" i="32"/>
  <c r="V215" i="32"/>
  <c r="V247" i="32"/>
  <c r="V201" i="32"/>
  <c r="V195" i="32"/>
  <c r="V205" i="32"/>
  <c r="V172" i="32"/>
  <c r="W130" i="32"/>
  <c r="W131" i="32" s="1"/>
  <c r="V158" i="32"/>
  <c r="V143" i="32"/>
  <c r="S58" i="26"/>
  <c r="S54" i="25"/>
  <c r="R54" i="1"/>
  <c r="W192" i="34" l="1"/>
  <c r="W188" i="33"/>
  <c r="W219" i="32"/>
  <c r="W212" i="34"/>
  <c r="W179" i="34"/>
  <c r="W221" i="33"/>
  <c r="W207" i="34"/>
  <c r="W173" i="34"/>
  <c r="W205" i="33"/>
  <c r="W196" i="34"/>
  <c r="W201" i="33"/>
  <c r="W224" i="32"/>
  <c r="W230" i="32"/>
  <c r="X130" i="34"/>
  <c r="X131" i="34" s="1"/>
  <c r="W187" i="32"/>
  <c r="W231" i="34"/>
  <c r="W182" i="33"/>
  <c r="W174" i="33"/>
  <c r="W201" i="34"/>
  <c r="W183" i="34"/>
  <c r="W167" i="34"/>
  <c r="W151" i="34"/>
  <c r="W240" i="33"/>
  <c r="W210" i="33"/>
  <c r="W166" i="33"/>
  <c r="W159" i="33"/>
  <c r="W224" i="34"/>
  <c r="W159" i="34"/>
  <c r="W233" i="33"/>
  <c r="W192" i="33"/>
  <c r="W152" i="33"/>
  <c r="W144" i="33"/>
  <c r="W216" i="33"/>
  <c r="W217" i="34"/>
  <c r="W144" i="34"/>
  <c r="W226" i="33"/>
  <c r="W247" i="32"/>
  <c r="W240" i="32"/>
  <c r="W254" i="32"/>
  <c r="W235" i="32"/>
  <c r="W215" i="32"/>
  <c r="W201" i="32"/>
  <c r="W195" i="32"/>
  <c r="W205" i="32"/>
  <c r="W172" i="32"/>
  <c r="W158" i="32"/>
  <c r="W143" i="32"/>
  <c r="X130" i="32"/>
  <c r="X131" i="32" s="1"/>
  <c r="T58" i="26"/>
  <c r="T54" i="25"/>
  <c r="S54" i="1"/>
  <c r="X212" i="34" l="1"/>
  <c r="X179" i="34"/>
  <c r="X221" i="33"/>
  <c r="X207" i="34"/>
  <c r="X173" i="34"/>
  <c r="X205" i="33"/>
  <c r="X196" i="34"/>
  <c r="X201" i="33"/>
  <c r="X224" i="32"/>
  <c r="X192" i="34"/>
  <c r="X188" i="33"/>
  <c r="X219" i="32"/>
  <c r="X230" i="32"/>
  <c r="Y130" i="34"/>
  <c r="Y131" i="34" s="1"/>
  <c r="X187" i="32"/>
  <c r="X217" i="34"/>
  <c r="X144" i="34"/>
  <c r="X226" i="33"/>
  <c r="X216" i="33"/>
  <c r="X231" i="34"/>
  <c r="X182" i="33"/>
  <c r="X174" i="33"/>
  <c r="X201" i="34"/>
  <c r="X183" i="34"/>
  <c r="X167" i="34"/>
  <c r="X151" i="34"/>
  <c r="X240" i="33"/>
  <c r="X210" i="33"/>
  <c r="X166" i="33"/>
  <c r="X159" i="33"/>
  <c r="X224" i="34"/>
  <c r="X159" i="34"/>
  <c r="X233" i="33"/>
  <c r="X152" i="33"/>
  <c r="X144" i="33"/>
  <c r="X192" i="33"/>
  <c r="X254" i="32"/>
  <c r="X235" i="32"/>
  <c r="X215" i="32"/>
  <c r="X247" i="32"/>
  <c r="X240" i="32"/>
  <c r="X205" i="32"/>
  <c r="X172" i="32"/>
  <c r="X201" i="32"/>
  <c r="X195" i="32"/>
  <c r="X158" i="32"/>
  <c r="X143" i="32"/>
  <c r="Y130" i="32"/>
  <c r="Y131" i="32" s="1"/>
  <c r="U58" i="26"/>
  <c r="U54" i="25"/>
  <c r="T54" i="1"/>
  <c r="Y207" i="34" l="1"/>
  <c r="Y173" i="34"/>
  <c r="Y205" i="33"/>
  <c r="Y230" i="32"/>
  <c r="Y196" i="34"/>
  <c r="Y201" i="33"/>
  <c r="Y224" i="32"/>
  <c r="Y192" i="34"/>
  <c r="Y188" i="33"/>
  <c r="Y219" i="32"/>
  <c r="Y212" i="34"/>
  <c r="Y179" i="34"/>
  <c r="Y221" i="33"/>
  <c r="Z130" i="34"/>
  <c r="Z131" i="34" s="1"/>
  <c r="Y187" i="32"/>
  <c r="Y224" i="34"/>
  <c r="Y159" i="34"/>
  <c r="Y233" i="33"/>
  <c r="Y192" i="33"/>
  <c r="Y152" i="33"/>
  <c r="Y144" i="33"/>
  <c r="Y217" i="34"/>
  <c r="Y144" i="34"/>
  <c r="Y226" i="33"/>
  <c r="Y216" i="33"/>
  <c r="Y231" i="34"/>
  <c r="Y182" i="33"/>
  <c r="Y174" i="33"/>
  <c r="Y210" i="33"/>
  <c r="Y201" i="34"/>
  <c r="Y183" i="34"/>
  <c r="Y167" i="34"/>
  <c r="Y151" i="34"/>
  <c r="Y240" i="33"/>
  <c r="Y159" i="33"/>
  <c r="Y166" i="33"/>
  <c r="Y254" i="32"/>
  <c r="Y235" i="32"/>
  <c r="Y215" i="32"/>
  <c r="Y247" i="32"/>
  <c r="Y240" i="32"/>
  <c r="Y205" i="32"/>
  <c r="Y172" i="32"/>
  <c r="Y201" i="32"/>
  <c r="Y195" i="32"/>
  <c r="Z130" i="32"/>
  <c r="Z131" i="32" s="1"/>
  <c r="Y158" i="32"/>
  <c r="Y143" i="32"/>
  <c r="V58" i="26"/>
  <c r="V54" i="25"/>
  <c r="U54" i="1"/>
  <c r="Z196" i="34" l="1"/>
  <c r="Z201" i="33"/>
  <c r="Z224" i="32"/>
  <c r="Z192" i="34"/>
  <c r="Z188" i="33"/>
  <c r="Z219" i="32"/>
  <c r="Z212" i="34"/>
  <c r="Z179" i="34"/>
  <c r="Z221" i="33"/>
  <c r="Z207" i="34"/>
  <c r="Z173" i="34"/>
  <c r="Z205" i="33"/>
  <c r="Z230" i="32"/>
  <c r="AA130" i="34"/>
  <c r="AA131" i="34" s="1"/>
  <c r="Z187" i="32"/>
  <c r="Z201" i="34"/>
  <c r="Z183" i="34"/>
  <c r="Z167" i="34"/>
  <c r="Z151" i="34"/>
  <c r="Z240" i="33"/>
  <c r="Z210" i="33"/>
  <c r="Z166" i="33"/>
  <c r="Z159" i="33"/>
  <c r="Z224" i="34"/>
  <c r="Z159" i="34"/>
  <c r="Z233" i="33"/>
  <c r="Z192" i="33"/>
  <c r="Z152" i="33"/>
  <c r="Z144" i="33"/>
  <c r="Z217" i="34"/>
  <c r="Z144" i="34"/>
  <c r="Z226" i="33"/>
  <c r="Z216" i="33"/>
  <c r="Z231" i="34"/>
  <c r="Z174" i="33"/>
  <c r="Z182" i="33"/>
  <c r="Z240" i="32"/>
  <c r="Z254" i="32"/>
  <c r="Z235" i="32"/>
  <c r="Z215" i="32"/>
  <c r="Z247" i="32"/>
  <c r="Z201" i="32"/>
  <c r="Z195" i="32"/>
  <c r="Z205" i="32"/>
  <c r="Z172" i="32"/>
  <c r="AA130" i="32"/>
  <c r="AA131" i="32" s="1"/>
  <c r="Z158" i="32"/>
  <c r="Z143" i="32"/>
  <c r="W58" i="26"/>
  <c r="W54" i="25"/>
  <c r="V54" i="1"/>
  <c r="AA192" i="34" l="1"/>
  <c r="AA188" i="33"/>
  <c r="AA219" i="32"/>
  <c r="AA212" i="34"/>
  <c r="AA179" i="34"/>
  <c r="AA221" i="33"/>
  <c r="AA207" i="34"/>
  <c r="AA173" i="34"/>
  <c r="AA205" i="33"/>
  <c r="AA230" i="32"/>
  <c r="AA196" i="34"/>
  <c r="AA201" i="33"/>
  <c r="AA224" i="32"/>
  <c r="AB130" i="34"/>
  <c r="AB131" i="34" s="1"/>
  <c r="AA187" i="32"/>
  <c r="AA231" i="34"/>
  <c r="AA182" i="33"/>
  <c r="AA174" i="33"/>
  <c r="AA201" i="34"/>
  <c r="AA183" i="34"/>
  <c r="AA167" i="34"/>
  <c r="AA151" i="34"/>
  <c r="AA240" i="33"/>
  <c r="AA210" i="33"/>
  <c r="AA166" i="33"/>
  <c r="AA159" i="33"/>
  <c r="AA224" i="34"/>
  <c r="AA159" i="34"/>
  <c r="AA233" i="33"/>
  <c r="AA192" i="33"/>
  <c r="AA152" i="33"/>
  <c r="AA144" i="33"/>
  <c r="AA226" i="33"/>
  <c r="AA216" i="33"/>
  <c r="AA217" i="34"/>
  <c r="AA144" i="34"/>
  <c r="AA247" i="32"/>
  <c r="AA240" i="32"/>
  <c r="AA254" i="32"/>
  <c r="AA235" i="32"/>
  <c r="AA215" i="32"/>
  <c r="AA201" i="32"/>
  <c r="AA195" i="32"/>
  <c r="AA205" i="32"/>
  <c r="AA172" i="32"/>
  <c r="AA158" i="32"/>
  <c r="AA143" i="32"/>
  <c r="AB130" i="32"/>
  <c r="AB131" i="32" s="1"/>
  <c r="E52" i="26"/>
  <c r="X58" i="26"/>
  <c r="X54" i="25"/>
  <c r="E48" i="25"/>
  <c r="W54" i="1"/>
  <c r="AB212" i="34" l="1"/>
  <c r="AB179" i="34"/>
  <c r="AB221" i="33"/>
  <c r="AB207" i="34"/>
  <c r="AB173" i="34"/>
  <c r="AB205" i="33"/>
  <c r="AB196" i="34"/>
  <c r="AB201" i="33"/>
  <c r="AB224" i="32"/>
  <c r="AB192" i="34"/>
  <c r="AB188" i="33"/>
  <c r="AB219" i="32"/>
  <c r="AB230" i="32"/>
  <c r="AC130" i="34"/>
  <c r="AC131" i="34" s="1"/>
  <c r="AB187" i="32"/>
  <c r="AB217" i="34"/>
  <c r="AB144" i="34"/>
  <c r="AB226" i="33"/>
  <c r="AB216" i="33"/>
  <c r="AB231" i="34"/>
  <c r="AB182" i="33"/>
  <c r="AB174" i="33"/>
  <c r="AB201" i="34"/>
  <c r="AB183" i="34"/>
  <c r="AB167" i="34"/>
  <c r="AB151" i="34"/>
  <c r="AB240" i="33"/>
  <c r="AB210" i="33"/>
  <c r="AB166" i="33"/>
  <c r="AB159" i="33"/>
  <c r="AB224" i="34"/>
  <c r="AB159" i="34"/>
  <c r="AB233" i="33"/>
  <c r="AB192" i="33"/>
  <c r="AB152" i="33"/>
  <c r="AB144" i="33"/>
  <c r="AB254" i="32"/>
  <c r="AB235" i="32"/>
  <c r="AB215" i="32"/>
  <c r="AB247" i="32"/>
  <c r="AB240" i="32"/>
  <c r="AB205" i="32"/>
  <c r="AB172" i="32"/>
  <c r="AB201" i="32"/>
  <c r="AB195" i="32"/>
  <c r="AB158" i="32"/>
  <c r="AB143" i="32"/>
  <c r="AC130" i="32"/>
  <c r="AC131" i="32" s="1"/>
  <c r="Y58" i="26"/>
  <c r="Y54" i="25"/>
  <c r="X54" i="1"/>
  <c r="AC207" i="34" l="1"/>
  <c r="AC173" i="34"/>
  <c r="AC205" i="33"/>
  <c r="AC230" i="32"/>
  <c r="AC196" i="34"/>
  <c r="AC201" i="33"/>
  <c r="AC192" i="34"/>
  <c r="AC188" i="33"/>
  <c r="AC219" i="32"/>
  <c r="AC212" i="34"/>
  <c r="AC179" i="34"/>
  <c r="AC221" i="33"/>
  <c r="AC224" i="32"/>
  <c r="AD130" i="34"/>
  <c r="AD131" i="34" s="1"/>
  <c r="AC187" i="32"/>
  <c r="AC224" i="34"/>
  <c r="AC159" i="34"/>
  <c r="AC233" i="33"/>
  <c r="AC192" i="33"/>
  <c r="AC152" i="33"/>
  <c r="AC144" i="33"/>
  <c r="AC217" i="34"/>
  <c r="AC144" i="34"/>
  <c r="AC226" i="33"/>
  <c r="AC216" i="33"/>
  <c r="AC240" i="33"/>
  <c r="AC231" i="34"/>
  <c r="AC182" i="33"/>
  <c r="AC174" i="33"/>
  <c r="AC201" i="34"/>
  <c r="AC183" i="34"/>
  <c r="AC167" i="34"/>
  <c r="AC151" i="34"/>
  <c r="AC210" i="33"/>
  <c r="AC159" i="33"/>
  <c r="AC166" i="33"/>
  <c r="AC254" i="32"/>
  <c r="AC235" i="32"/>
  <c r="AC215" i="32"/>
  <c r="AC247" i="32"/>
  <c r="AC240" i="32"/>
  <c r="AC205" i="32"/>
  <c r="AC172" i="32"/>
  <c r="AC201" i="32"/>
  <c r="AC195" i="32"/>
  <c r="AD130" i="32"/>
  <c r="AD131" i="32" s="1"/>
  <c r="AC158" i="32"/>
  <c r="AC143" i="32"/>
  <c r="Y54" i="1"/>
  <c r="AD196" i="34" l="1"/>
  <c r="AD201" i="33"/>
  <c r="AD224" i="32"/>
  <c r="AD192" i="34"/>
  <c r="AD188" i="33"/>
  <c r="AD219" i="32"/>
  <c r="AD212" i="34"/>
  <c r="AD179" i="34"/>
  <c r="AD221" i="33"/>
  <c r="AD207" i="34"/>
  <c r="AD173" i="34"/>
  <c r="AD205" i="33"/>
  <c r="AD230" i="32"/>
  <c r="AE130" i="34"/>
  <c r="AE131" i="34" s="1"/>
  <c r="AD187" i="32"/>
  <c r="AD201" i="34"/>
  <c r="AD183" i="34"/>
  <c r="AD167" i="34"/>
  <c r="AD151" i="34"/>
  <c r="AD240" i="33"/>
  <c r="AD210" i="33"/>
  <c r="AD166" i="33"/>
  <c r="AD159" i="33"/>
  <c r="AD224" i="34"/>
  <c r="AD159" i="34"/>
  <c r="AD233" i="33"/>
  <c r="AD192" i="33"/>
  <c r="AD152" i="33"/>
  <c r="AD144" i="33"/>
  <c r="AD217" i="34"/>
  <c r="AD144" i="34"/>
  <c r="AD226" i="33"/>
  <c r="AD216" i="33"/>
  <c r="AD231" i="34"/>
  <c r="AD182" i="33"/>
  <c r="AD174" i="33"/>
  <c r="AD240" i="32"/>
  <c r="AD254" i="32"/>
  <c r="AD235" i="32"/>
  <c r="AD215" i="32"/>
  <c r="AD247" i="32"/>
  <c r="AD201" i="32"/>
  <c r="AD195" i="32"/>
  <c r="AD205" i="32"/>
  <c r="AD172" i="32"/>
  <c r="AE130" i="32"/>
  <c r="AE131" i="32" s="1"/>
  <c r="AD158" i="32"/>
  <c r="AD143" i="32"/>
  <c r="Z54" i="1"/>
  <c r="AE192" i="34" l="1"/>
  <c r="AE188" i="33"/>
  <c r="AE219" i="32"/>
  <c r="AE212" i="34"/>
  <c r="AE179" i="34"/>
  <c r="AE221" i="33"/>
  <c r="AE230" i="32"/>
  <c r="AE207" i="34"/>
  <c r="AE173" i="34"/>
  <c r="AE205" i="33"/>
  <c r="AE196" i="34"/>
  <c r="AE201" i="33"/>
  <c r="AE224" i="32"/>
  <c r="AF130" i="34"/>
  <c r="AF131" i="34" s="1"/>
  <c r="AE187" i="32"/>
  <c r="AE231" i="34"/>
  <c r="AE182" i="33"/>
  <c r="AE174" i="33"/>
  <c r="AE201" i="34"/>
  <c r="AE183" i="34"/>
  <c r="AE167" i="34"/>
  <c r="AE151" i="34"/>
  <c r="AE240" i="33"/>
  <c r="AE210" i="33"/>
  <c r="AE166" i="33"/>
  <c r="AE159" i="33"/>
  <c r="AE224" i="34"/>
  <c r="AE159" i="34"/>
  <c r="AE233" i="33"/>
  <c r="AE192" i="33"/>
  <c r="AE152" i="33"/>
  <c r="AE144" i="33"/>
  <c r="AE216" i="33"/>
  <c r="AE217" i="34"/>
  <c r="AE144" i="34"/>
  <c r="AE226" i="33"/>
  <c r="AE247" i="32"/>
  <c r="AE240" i="32"/>
  <c r="AE254" i="32"/>
  <c r="AE235" i="32"/>
  <c r="AE215" i="32"/>
  <c r="AE201" i="32"/>
  <c r="AE195" i="32"/>
  <c r="AE205" i="32"/>
  <c r="AE172" i="32"/>
  <c r="AE158" i="32"/>
  <c r="AE143" i="32"/>
  <c r="AF130" i="32"/>
  <c r="AF131" i="32" s="1"/>
  <c r="AA54" i="1"/>
  <c r="AF212" i="34" l="1"/>
  <c r="AF179" i="34"/>
  <c r="AF221" i="33"/>
  <c r="AF207" i="34"/>
  <c r="AF173" i="34"/>
  <c r="AF205" i="33"/>
  <c r="AF230" i="32"/>
  <c r="AF196" i="34"/>
  <c r="AF201" i="33"/>
  <c r="AF224" i="32"/>
  <c r="AF192" i="34"/>
  <c r="AF188" i="33"/>
  <c r="AF219" i="32"/>
  <c r="AG130" i="34"/>
  <c r="AG131" i="34" s="1"/>
  <c r="AF187" i="32"/>
  <c r="AF217" i="34"/>
  <c r="AF144" i="34"/>
  <c r="AF226" i="33"/>
  <c r="AF216" i="33"/>
  <c r="AF231" i="34"/>
  <c r="AF182" i="33"/>
  <c r="AF174" i="33"/>
  <c r="AF201" i="34"/>
  <c r="AF183" i="34"/>
  <c r="AF167" i="34"/>
  <c r="AF151" i="34"/>
  <c r="AF240" i="33"/>
  <c r="AF210" i="33"/>
  <c r="AF166" i="33"/>
  <c r="AF159" i="33"/>
  <c r="AF224" i="34"/>
  <c r="AF159" i="34"/>
  <c r="AF233" i="33"/>
  <c r="AF192" i="33"/>
  <c r="AF152" i="33"/>
  <c r="AF144" i="33"/>
  <c r="AF254" i="32"/>
  <c r="AF235" i="32"/>
  <c r="AF215" i="32"/>
  <c r="AF247" i="32"/>
  <c r="AF240" i="32"/>
  <c r="AF205" i="32"/>
  <c r="AF172" i="32"/>
  <c r="AF201" i="32"/>
  <c r="AF195" i="32"/>
  <c r="AF158" i="32"/>
  <c r="AF143" i="32"/>
  <c r="AG130" i="32"/>
  <c r="AG131" i="32" s="1"/>
  <c r="AB54" i="1"/>
  <c r="AG207" i="34" l="1"/>
  <c r="AG173" i="34"/>
  <c r="AG205" i="33"/>
  <c r="AG230" i="32"/>
  <c r="AG196" i="34"/>
  <c r="AG201" i="33"/>
  <c r="AG224" i="32"/>
  <c r="AG192" i="34"/>
  <c r="AG188" i="33"/>
  <c r="AG219" i="32"/>
  <c r="AG212" i="34"/>
  <c r="AG179" i="34"/>
  <c r="AG221" i="33"/>
  <c r="AH130" i="34"/>
  <c r="AH131" i="34" s="1"/>
  <c r="AG187" i="32"/>
  <c r="AG224" i="34"/>
  <c r="AG159" i="34"/>
  <c r="AG233" i="33"/>
  <c r="AG192" i="33"/>
  <c r="AG152" i="33"/>
  <c r="AG144" i="33"/>
  <c r="AG240" i="33"/>
  <c r="AG217" i="34"/>
  <c r="AG144" i="34"/>
  <c r="AG226" i="33"/>
  <c r="AG216" i="33"/>
  <c r="AG231" i="34"/>
  <c r="AG182" i="33"/>
  <c r="AG174" i="33"/>
  <c r="AG210" i="33"/>
  <c r="AG201" i="34"/>
  <c r="AG183" i="34"/>
  <c r="AG167" i="34"/>
  <c r="AG151" i="34"/>
  <c r="AG166" i="33"/>
  <c r="AG159" i="33"/>
  <c r="AG254" i="32"/>
  <c r="AG235" i="32"/>
  <c r="AG215" i="32"/>
  <c r="AG247" i="32"/>
  <c r="AG240" i="32"/>
  <c r="AG205" i="32"/>
  <c r="AG172" i="32"/>
  <c r="AG201" i="32"/>
  <c r="AG195" i="32"/>
  <c r="AH130" i="32"/>
  <c r="AH131" i="32" s="1"/>
  <c r="AG158" i="32"/>
  <c r="AG143" i="32"/>
  <c r="AC54" i="1"/>
  <c r="AH196" i="34" l="1"/>
  <c r="AH201" i="33"/>
  <c r="AH224" i="32"/>
  <c r="AH192" i="34"/>
  <c r="AH188" i="33"/>
  <c r="AH219" i="32"/>
  <c r="AH212" i="34"/>
  <c r="AH179" i="34"/>
  <c r="AH221" i="33"/>
  <c r="AH207" i="34"/>
  <c r="AH173" i="34"/>
  <c r="AH205" i="33"/>
  <c r="AH230" i="32"/>
  <c r="AH187" i="32"/>
  <c r="AH201" i="34"/>
  <c r="AH183" i="34"/>
  <c r="AH167" i="34"/>
  <c r="AH151" i="34"/>
  <c r="AH240" i="33"/>
  <c r="AH210" i="33"/>
  <c r="AH166" i="33"/>
  <c r="AH159" i="33"/>
  <c r="AH224" i="34"/>
  <c r="AH159" i="34"/>
  <c r="AH233" i="33"/>
  <c r="AH192" i="33"/>
  <c r="AH152" i="33"/>
  <c r="AH144" i="33"/>
  <c r="AH217" i="34"/>
  <c r="AH144" i="34"/>
  <c r="AH226" i="33"/>
  <c r="AH216" i="33"/>
  <c r="AH231" i="34"/>
  <c r="AH182" i="33"/>
  <c r="AH174" i="33"/>
  <c r="AH240" i="32"/>
  <c r="AH254" i="32"/>
  <c r="AH235" i="32"/>
  <c r="AH215" i="32"/>
  <c r="AH247" i="32"/>
  <c r="AH201" i="32"/>
  <c r="AH195" i="32"/>
  <c r="AH205" i="32"/>
  <c r="AH172" i="32"/>
  <c r="AH158" i="32"/>
  <c r="AH143" i="32"/>
  <c r="AD54" i="1"/>
  <c r="AE54" i="1" l="1"/>
  <c r="AF54" i="1" l="1"/>
  <c r="AG54" i="1" l="1"/>
  <c r="AH54" i="1" l="1"/>
  <c r="B219" i="10"/>
  <c r="B226" i="10" s="1"/>
  <c r="B182" i="10" l="1"/>
  <c r="B168" i="10" l="1"/>
  <c r="G161" i="10"/>
  <c r="F161" i="10"/>
  <c r="B161" i="10" s="1"/>
  <c r="B152" i="10" l="1"/>
  <c r="B151" i="10"/>
  <c r="E134" i="10" l="1"/>
  <c r="E130" i="10"/>
  <c r="B3" i="10"/>
  <c r="B2" i="10"/>
  <c r="E180" i="6" l="1"/>
  <c r="E159" i="6" l="1"/>
  <c r="B142" i="6" l="1"/>
  <c r="E135" i="6"/>
  <c r="E114" i="6" l="1"/>
  <c r="B97" i="6" l="1"/>
  <c r="E90" i="6"/>
  <c r="E69" i="6" l="1"/>
  <c r="B52" i="6" l="1"/>
  <c r="E45" i="6" l="1"/>
  <c r="E24" i="6" l="1"/>
  <c r="E5" i="6" l="1"/>
  <c r="B7" i="6"/>
  <c r="B139" i="5" l="1"/>
  <c r="B95" i="5" l="1"/>
  <c r="B51" i="5" l="1"/>
  <c r="E5" i="5" l="1"/>
  <c r="B7" i="5"/>
  <c r="B142" i="2" l="1"/>
  <c r="B97" i="2" l="1"/>
  <c r="B52" i="2" l="1"/>
  <c r="E5" i="2" l="1"/>
  <c r="B7" i="2"/>
  <c r="D1498" i="7"/>
  <c r="D1497" i="7" l="1"/>
  <c r="D1496" i="7" l="1"/>
  <c r="D1492" i="7"/>
  <c r="M19" i="35" s="1"/>
  <c r="D1491" i="7"/>
  <c r="D1490" i="7"/>
  <c r="D1489" i="7"/>
  <c r="B1487" i="7"/>
  <c r="D1472" i="7" l="1"/>
  <c r="D1470" i="7"/>
  <c r="D1469" i="7"/>
  <c r="D1467" i="7" l="1"/>
  <c r="D1465" i="7"/>
  <c r="D1463" i="7"/>
  <c r="D1462" i="7"/>
  <c r="B1455" i="7"/>
  <c r="D1452" i="7" l="1"/>
  <c r="D1450" i="7" l="1"/>
  <c r="D1448" i="7" l="1"/>
  <c r="D1447" i="7"/>
  <c r="B1445" i="7"/>
  <c r="D1443" i="7" l="1"/>
  <c r="D1442" i="7" l="1"/>
  <c r="D1441" i="7"/>
  <c r="D1438" i="7" l="1"/>
  <c r="D1437" i="7" l="1"/>
  <c r="B1435" i="7"/>
  <c r="D1432" i="7" l="1"/>
  <c r="D1431" i="7"/>
  <c r="D1430" i="7"/>
  <c r="D1425" i="7"/>
  <c r="B1425" i="7"/>
  <c r="D1424" i="7"/>
  <c r="B1424" i="7"/>
  <c r="D1423" i="7"/>
  <c r="B1423" i="7"/>
  <c r="B1420" i="7"/>
  <c r="D1417" i="7"/>
  <c r="D1415" i="7"/>
  <c r="D1413" i="7"/>
  <c r="D1411" i="7"/>
  <c r="D1409" i="7" l="1"/>
  <c r="D1407" i="7" l="1"/>
  <c r="B1398" i="7"/>
  <c r="D1393" i="7"/>
  <c r="E1392" i="7"/>
  <c r="D1392" i="7"/>
  <c r="D1391" i="7"/>
  <c r="D1387" i="7"/>
  <c r="F1386" i="7"/>
  <c r="D1386" i="7"/>
  <c r="D1385" i="7"/>
  <c r="B1384" i="7"/>
  <c r="D1382" i="7"/>
  <c r="D1381" i="7"/>
  <c r="D1380" i="7"/>
  <c r="D1379" i="7"/>
  <c r="D1378" i="7"/>
  <c r="D1377" i="7"/>
  <c r="D1376" i="7"/>
  <c r="D1375" i="7"/>
  <c r="D1374" i="7"/>
  <c r="B1354" i="7" l="1"/>
  <c r="B1372" i="7" s="1"/>
  <c r="D1352" i="7"/>
  <c r="D1351" i="7"/>
  <c r="D1350" i="7"/>
  <c r="D1349" i="7"/>
  <c r="D1348" i="7"/>
  <c r="D1347" i="7"/>
  <c r="D1346" i="7"/>
  <c r="D1345" i="7"/>
  <c r="D1344" i="7"/>
  <c r="B1324" i="7" l="1"/>
  <c r="B1342" i="7" s="1"/>
  <c r="D1322" i="7"/>
  <c r="D1321" i="7"/>
  <c r="D1320" i="7"/>
  <c r="D1319" i="7"/>
  <c r="D1318" i="7"/>
  <c r="D1317" i="7"/>
  <c r="D1316" i="7"/>
  <c r="D1315" i="7"/>
  <c r="D1314" i="7"/>
  <c r="B1294" i="7" l="1"/>
  <c r="B1312" i="7" s="1"/>
  <c r="D1292" i="7"/>
  <c r="D1291" i="7"/>
  <c r="D1290" i="7"/>
  <c r="D1289" i="7"/>
  <c r="D1288" i="7"/>
  <c r="D1287" i="7"/>
  <c r="D1286" i="7"/>
  <c r="D1285" i="7"/>
  <c r="D1284" i="7"/>
  <c r="B1264" i="7" l="1"/>
  <c r="D1262" i="7"/>
  <c r="D1261" i="7"/>
  <c r="D1260" i="7"/>
  <c r="D1259" i="7"/>
  <c r="D1258" i="7"/>
  <c r="B1248" i="7"/>
  <c r="D1246" i="7"/>
  <c r="D1245" i="7"/>
  <c r="D1244" i="7"/>
  <c r="D1243" i="7"/>
  <c r="D1242" i="7"/>
  <c r="B1232" i="7"/>
  <c r="D1230" i="7"/>
  <c r="D1229" i="7"/>
  <c r="D1228" i="7"/>
  <c r="D1227" i="7"/>
  <c r="D1226" i="7"/>
  <c r="B1216" i="7"/>
  <c r="B1214" i="7"/>
  <c r="D1211" i="7"/>
  <c r="B1282" i="7" l="1"/>
  <c r="B1224" i="7"/>
  <c r="B1240" i="7"/>
  <c r="B1256" i="7"/>
  <c r="D1209" i="7"/>
  <c r="D1208" i="7" l="1"/>
  <c r="D1207" i="7" l="1"/>
  <c r="B1205" i="7"/>
  <c r="D1201" i="7"/>
  <c r="D1200" i="7"/>
  <c r="D1199" i="7"/>
  <c r="D1197" i="7"/>
  <c r="D1196" i="7"/>
  <c r="D1195" i="7"/>
  <c r="D1194" i="7"/>
  <c r="D1190" i="7"/>
  <c r="B1188" i="7"/>
  <c r="D1185" i="7" l="1"/>
  <c r="D1183" i="7" l="1"/>
  <c r="D1181" i="7"/>
  <c r="D1180" i="7"/>
  <c r="B1178" i="7"/>
  <c r="D1176" i="7" l="1"/>
  <c r="D1175" i="7" l="1"/>
  <c r="D1174" i="7"/>
  <c r="D1171" i="7"/>
  <c r="D1170" i="7" l="1"/>
  <c r="B1168" i="7"/>
  <c r="D1165" i="7"/>
  <c r="B1165" i="7"/>
  <c r="D1163" i="7"/>
  <c r="B1163" i="7"/>
  <c r="D1162" i="7"/>
  <c r="B1162" i="7"/>
  <c r="B1160" i="7"/>
  <c r="D1157" i="7"/>
  <c r="D1155" i="7"/>
  <c r="D1153" i="7" l="1"/>
  <c r="D1151" i="7"/>
  <c r="D1149" i="7"/>
  <c r="D1147" i="7"/>
  <c r="B1145" i="7"/>
  <c r="D1141" i="7"/>
  <c r="B1139" i="7"/>
  <c r="D1129" i="7" l="1"/>
  <c r="D1128" i="7"/>
  <c r="D1127" i="7"/>
  <c r="D1126" i="7"/>
  <c r="D1125" i="7" l="1"/>
  <c r="D1121" i="7" l="1"/>
  <c r="F166" i="34" s="1"/>
  <c r="D1120" i="7"/>
  <c r="D1119" i="7"/>
  <c r="D1118" i="7"/>
  <c r="D1117" i="7"/>
  <c r="D1112" i="7" l="1"/>
  <c r="D1110" i="7"/>
  <c r="D1109" i="7"/>
  <c r="B1107" i="7"/>
  <c r="B1104" i="7"/>
  <c r="D1103" i="7"/>
  <c r="B1103" i="7"/>
  <c r="B1102" i="7" l="1"/>
  <c r="B1099" i="7"/>
  <c r="D1098" i="7"/>
  <c r="B1098" i="7"/>
  <c r="B1097" i="7"/>
  <c r="D1092" i="7"/>
  <c r="B1084" i="7" l="1"/>
  <c r="B1083" i="7"/>
  <c r="B1082" i="7"/>
  <c r="B1079" i="7"/>
  <c r="B1078" i="7"/>
  <c r="B1077" i="7"/>
  <c r="B1076" i="7"/>
  <c r="D1075" i="7"/>
  <c r="B1075" i="7"/>
  <c r="B1074" i="7"/>
  <c r="B1071" i="7"/>
  <c r="B1070" i="7"/>
  <c r="B1069" i="7"/>
  <c r="B1068" i="7"/>
  <c r="D1067" i="7"/>
  <c r="B1067" i="7"/>
  <c r="B1066" i="7"/>
  <c r="B1063" i="7"/>
  <c r="B1062" i="7"/>
  <c r="B1061" i="7"/>
  <c r="B1060" i="7"/>
  <c r="D1059" i="7"/>
  <c r="B1059" i="7"/>
  <c r="B1058" i="7"/>
  <c r="B1056" i="7"/>
  <c r="B1055" i="7"/>
  <c r="B1054" i="7"/>
  <c r="B1053" i="7"/>
  <c r="D1052" i="7"/>
  <c r="B1052" i="7"/>
  <c r="B1051" i="7"/>
  <c r="D1044" i="7"/>
  <c r="B1042" i="7"/>
  <c r="B1041" i="7"/>
  <c r="B1040" i="7"/>
  <c r="B1039" i="7"/>
  <c r="B1038" i="7"/>
  <c r="B1092" i="7" l="1"/>
  <c r="B1088" i="7"/>
  <c r="B1087" i="7"/>
  <c r="B1091" i="7"/>
  <c r="B1093" i="7"/>
  <c r="B1089" i="7"/>
  <c r="B1037" i="7"/>
  <c r="B1044" i="7" s="1"/>
  <c r="D1034" i="7"/>
  <c r="D1032" i="7"/>
  <c r="D1031" i="7"/>
  <c r="B1029" i="7"/>
  <c r="D1017" i="7"/>
  <c r="B1017" i="7"/>
  <c r="D1016" i="7"/>
  <c r="D1015" i="7"/>
  <c r="D1013" i="7"/>
  <c r="B1013" i="7"/>
  <c r="B1012" i="7"/>
  <c r="A1012" i="7"/>
  <c r="D1001" i="7"/>
  <c r="B1001" i="7"/>
  <c r="B1015" i="7" l="1"/>
  <c r="B1016" i="7"/>
  <c r="D1000" i="7"/>
  <c r="D999" i="7"/>
  <c r="D997" i="7"/>
  <c r="B997" i="7"/>
  <c r="B996" i="7"/>
  <c r="A996" i="7"/>
  <c r="D985" i="7"/>
  <c r="B985" i="7"/>
  <c r="D984" i="7"/>
  <c r="D983" i="7"/>
  <c r="D981" i="7"/>
  <c r="B981" i="7"/>
  <c r="B980" i="7"/>
  <c r="A980" i="7"/>
  <c r="B984" i="7" l="1"/>
  <c r="B1000" i="7"/>
  <c r="B983" i="7"/>
  <c r="B999" i="7"/>
  <c r="D969" i="7" l="1"/>
  <c r="B969" i="7"/>
  <c r="D968" i="7"/>
  <c r="D967" i="7"/>
  <c r="D965" i="7"/>
  <c r="B965" i="7"/>
  <c r="B964" i="7"/>
  <c r="A964" i="7"/>
  <c r="D952" i="7"/>
  <c r="D951" i="7"/>
  <c r="D949" i="7"/>
  <c r="B949" i="7"/>
  <c r="B948" i="7"/>
  <c r="A948" i="7"/>
  <c r="D937" i="7"/>
  <c r="B937" i="7"/>
  <c r="D936" i="7"/>
  <c r="D935" i="7"/>
  <c r="D933" i="7"/>
  <c r="B933" i="7"/>
  <c r="B932" i="7"/>
  <c r="A932" i="7"/>
  <c r="D928" i="7"/>
  <c r="B926" i="7"/>
  <c r="D921" i="7"/>
  <c r="D929" i="7" l="1"/>
  <c r="B935" i="7"/>
  <c r="B936" i="7"/>
  <c r="B951" i="7"/>
  <c r="B967" i="7"/>
  <c r="B952" i="7"/>
  <c r="B968" i="7"/>
  <c r="E920" i="7" l="1"/>
  <c r="D920" i="7"/>
  <c r="D919" i="7" l="1"/>
  <c r="D915" i="7"/>
  <c r="F914" i="7"/>
  <c r="D914" i="7"/>
  <c r="D913" i="7"/>
  <c r="B912" i="7"/>
  <c r="D910" i="7"/>
  <c r="D909" i="7"/>
  <c r="D908" i="7"/>
  <c r="D907" i="7"/>
  <c r="D906" i="7"/>
  <c r="D905" i="7"/>
  <c r="D904" i="7"/>
  <c r="D903" i="7"/>
  <c r="D902" i="7"/>
  <c r="B882" i="7" l="1"/>
  <c r="B900" i="7" s="1"/>
  <c r="D880" i="7"/>
  <c r="D879" i="7"/>
  <c r="D878" i="7"/>
  <c r="D877" i="7"/>
  <c r="D876" i="7"/>
  <c r="D875" i="7"/>
  <c r="D874" i="7"/>
  <c r="D873" i="7"/>
  <c r="D872" i="7"/>
  <c r="B852" i="7" l="1"/>
  <c r="B870" i="7" s="1"/>
  <c r="D850" i="7"/>
  <c r="D849" i="7"/>
  <c r="D848" i="7"/>
  <c r="D847" i="7"/>
  <c r="D846" i="7"/>
  <c r="D845" i="7"/>
  <c r="D844" i="7"/>
  <c r="D843" i="7"/>
  <c r="D842" i="7"/>
  <c r="B822" i="7" l="1"/>
  <c r="B840" i="7" s="1"/>
  <c r="D820" i="7"/>
  <c r="D819" i="7"/>
  <c r="D818" i="7"/>
  <c r="D817" i="7"/>
  <c r="D816" i="7"/>
  <c r="D815" i="7"/>
  <c r="D814" i="7"/>
  <c r="D813" i="7"/>
  <c r="D812" i="7"/>
  <c r="B792" i="7" l="1"/>
  <c r="D790" i="7"/>
  <c r="D789" i="7"/>
  <c r="D788" i="7"/>
  <c r="D787" i="7"/>
  <c r="D786" i="7"/>
  <c r="B776" i="7"/>
  <c r="D774" i="7"/>
  <c r="D773" i="7"/>
  <c r="D772" i="7"/>
  <c r="D771" i="7"/>
  <c r="D770" i="7"/>
  <c r="B760" i="7"/>
  <c r="D758" i="7"/>
  <c r="D757" i="7"/>
  <c r="D756" i="7"/>
  <c r="D755" i="7"/>
  <c r="D754" i="7"/>
  <c r="M19" i="37" s="1"/>
  <c r="M20" i="37" s="1"/>
  <c r="B744" i="7"/>
  <c r="B742" i="7"/>
  <c r="B752" i="7" l="1"/>
  <c r="B784" i="7"/>
  <c r="B810" i="7"/>
  <c r="B768" i="7"/>
  <c r="D739" i="7" l="1"/>
  <c r="D737" i="7"/>
  <c r="D736" i="7" l="1"/>
  <c r="D735" i="7" l="1"/>
  <c r="B733" i="7"/>
  <c r="D729" i="7" l="1"/>
  <c r="D728" i="7" l="1"/>
  <c r="D727" i="7" l="1"/>
  <c r="D725" i="7"/>
  <c r="D724" i="7" l="1"/>
  <c r="D723" i="7"/>
  <c r="D722" i="7" l="1"/>
  <c r="D721" i="7"/>
  <c r="B719" i="7"/>
  <c r="D716" i="7" l="1"/>
  <c r="D714" i="7" l="1"/>
  <c r="D712" i="7"/>
  <c r="D711" i="7" l="1"/>
  <c r="B709" i="7"/>
  <c r="D707" i="7" l="1"/>
  <c r="D706" i="7" l="1"/>
  <c r="D705" i="7" l="1"/>
  <c r="D702" i="7" l="1"/>
  <c r="D701" i="7" l="1"/>
  <c r="B699" i="7"/>
  <c r="D696" i="7"/>
  <c r="B696" i="7"/>
  <c r="D694" i="7"/>
  <c r="B694" i="7"/>
  <c r="D693" i="7"/>
  <c r="B693" i="7"/>
  <c r="B691" i="7"/>
  <c r="D688" i="7"/>
  <c r="D686" i="7" l="1"/>
  <c r="D684" i="7" l="1"/>
  <c r="D682" i="7" l="1"/>
  <c r="D680" i="7" l="1"/>
  <c r="D678" i="7"/>
  <c r="B676" i="7"/>
  <c r="D672" i="7" l="1"/>
  <c r="B670" i="7"/>
  <c r="D660" i="7"/>
  <c r="B660" i="7"/>
  <c r="D659" i="7"/>
  <c r="B659" i="7"/>
  <c r="D658" i="7"/>
  <c r="B658" i="7"/>
  <c r="D648" i="7" l="1"/>
  <c r="D646" i="7"/>
  <c r="D645" i="7"/>
  <c r="B640" i="7" l="1"/>
  <c r="D639" i="7"/>
  <c r="B639" i="7"/>
  <c r="B638" i="7"/>
  <c r="B635" i="7" l="1"/>
  <c r="D634" i="7"/>
  <c r="B634" i="7"/>
  <c r="B633" i="7"/>
  <c r="D629" i="7" l="1"/>
  <c r="B621" i="7"/>
  <c r="B630" i="7" s="1"/>
  <c r="B620" i="7"/>
  <c r="B629" i="7" s="1"/>
  <c r="B625" i="7" l="1"/>
  <c r="B626" i="7"/>
  <c r="B619" i="7"/>
  <c r="B628" i="7" s="1"/>
  <c r="D616" i="7"/>
  <c r="D614" i="7" l="1"/>
  <c r="D613" i="7"/>
  <c r="B611" i="7"/>
  <c r="D599" i="7"/>
  <c r="B599" i="7"/>
  <c r="D598" i="7"/>
  <c r="D597" i="7"/>
  <c r="D595" i="7"/>
  <c r="B595" i="7"/>
  <c r="B594" i="7"/>
  <c r="A594" i="7"/>
  <c r="D583" i="7"/>
  <c r="B583" i="7"/>
  <c r="B598" i="7" l="1"/>
  <c r="B597" i="7"/>
  <c r="D582" i="7"/>
  <c r="D581" i="7"/>
  <c r="D579" i="7"/>
  <c r="B579" i="7"/>
  <c r="B578" i="7"/>
  <c r="A578" i="7"/>
  <c r="D567" i="7"/>
  <c r="B567" i="7"/>
  <c r="D566" i="7"/>
  <c r="D565" i="7"/>
  <c r="D563" i="7"/>
  <c r="B563" i="7"/>
  <c r="B562" i="7"/>
  <c r="D551" i="7"/>
  <c r="B551" i="7"/>
  <c r="D550" i="7"/>
  <c r="D549" i="7"/>
  <c r="D547" i="7"/>
  <c r="B547" i="7"/>
  <c r="B546" i="7"/>
  <c r="B550" i="7"/>
  <c r="D535" i="7"/>
  <c r="B535" i="7"/>
  <c r="B566" i="7" l="1"/>
  <c r="B581" i="7"/>
  <c r="B549" i="7"/>
  <c r="B565" i="7"/>
  <c r="B582" i="7"/>
  <c r="D534" i="7"/>
  <c r="D533" i="7"/>
  <c r="D531" i="7"/>
  <c r="B531" i="7"/>
  <c r="B530" i="7"/>
  <c r="A530" i="7"/>
  <c r="B533" i="7" s="1"/>
  <c r="D519" i="7"/>
  <c r="B519" i="7"/>
  <c r="D518" i="7"/>
  <c r="D517" i="7"/>
  <c r="D515" i="7"/>
  <c r="B515" i="7"/>
  <c r="B514" i="7"/>
  <c r="A514" i="7"/>
  <c r="D511" i="7"/>
  <c r="D510" i="7"/>
  <c r="B518" i="7" l="1"/>
  <c r="D630" i="7"/>
  <c r="B517" i="7"/>
  <c r="B534" i="7"/>
  <c r="B508" i="7"/>
  <c r="D503" i="7"/>
  <c r="D502" i="7"/>
  <c r="D501" i="7"/>
  <c r="D497" i="7"/>
  <c r="D496" i="7"/>
  <c r="D495" i="7"/>
  <c r="E134" i="34" s="1"/>
  <c r="B494" i="7"/>
  <c r="B1489" i="7" s="1"/>
  <c r="D492" i="7" l="1"/>
  <c r="D491" i="7"/>
  <c r="D490" i="7" l="1"/>
  <c r="D489" i="7"/>
  <c r="D488" i="7" l="1"/>
  <c r="D487" i="7"/>
  <c r="D486" i="7"/>
  <c r="D485" i="7" l="1"/>
  <c r="D484" i="7"/>
  <c r="B464" i="7" l="1"/>
  <c r="B482" i="7" s="1"/>
  <c r="D462" i="7"/>
  <c r="D461" i="7"/>
  <c r="D460" i="7"/>
  <c r="D459" i="7"/>
  <c r="D458" i="7"/>
  <c r="D457" i="7"/>
  <c r="D456" i="7"/>
  <c r="D455" i="7"/>
  <c r="D454" i="7"/>
  <c r="B434" i="7" l="1"/>
  <c r="B452" i="7" s="1"/>
  <c r="D432" i="7"/>
  <c r="D431" i="7"/>
  <c r="D430" i="7"/>
  <c r="D429" i="7"/>
  <c r="D428" i="7" l="1"/>
  <c r="D427" i="7" l="1"/>
  <c r="D426" i="7"/>
  <c r="D425" i="7"/>
  <c r="D424" i="7"/>
  <c r="B404" i="7" l="1"/>
  <c r="B422" i="7" s="1"/>
  <c r="D402" i="7" l="1"/>
  <c r="D401" i="7"/>
  <c r="D400" i="7" l="1"/>
  <c r="D399" i="7"/>
  <c r="D398" i="7" l="1"/>
  <c r="D397" i="7"/>
  <c r="D396" i="7"/>
  <c r="D395" i="7" l="1"/>
  <c r="D394" i="7"/>
  <c r="B374" i="7" l="1"/>
  <c r="D372" i="7"/>
  <c r="D371" i="7"/>
  <c r="D370" i="7"/>
  <c r="D369" i="7"/>
  <c r="D368" i="7"/>
  <c r="B392" i="7" l="1"/>
  <c r="B358" i="7"/>
  <c r="B366" i="7" s="1"/>
  <c r="D356" i="7" l="1"/>
  <c r="D355" i="7"/>
  <c r="D354" i="7"/>
  <c r="D353" i="7" l="1"/>
  <c r="D352" i="7"/>
  <c r="B342" i="7" l="1"/>
  <c r="D340" i="7"/>
  <c r="D339" i="7"/>
  <c r="D338" i="7"/>
  <c r="D337" i="7"/>
  <c r="D336" i="7"/>
  <c r="M19" i="36" s="1"/>
  <c r="M16" i="35" s="1"/>
  <c r="B350" i="7" l="1"/>
  <c r="B326" i="7" l="1"/>
  <c r="B334" i="7" s="1"/>
  <c r="B324" i="7" l="1"/>
  <c r="D321" i="7" l="1"/>
  <c r="D319" i="7" l="1"/>
  <c r="D318" i="7" l="1"/>
  <c r="D317" i="7" l="1"/>
  <c r="B315" i="7" l="1"/>
  <c r="D311" i="7" l="1"/>
  <c r="D310" i="7"/>
  <c r="E135" i="33" s="1"/>
  <c r="D309" i="7"/>
  <c r="D307" i="7"/>
  <c r="D306" i="7"/>
  <c r="D305" i="7"/>
  <c r="D304" i="7"/>
  <c r="D303" i="7"/>
  <c r="B301" i="7"/>
  <c r="D298" i="7"/>
  <c r="D296" i="7" l="1"/>
  <c r="D294" i="7" l="1"/>
  <c r="D293" i="7"/>
  <c r="B291" i="7" l="1"/>
  <c r="D289" i="7" l="1"/>
  <c r="D288" i="7"/>
  <c r="D287" i="7"/>
  <c r="D284" i="7" l="1"/>
  <c r="D283" i="7" l="1"/>
  <c r="B281" i="7" l="1"/>
  <c r="D278" i="7"/>
  <c r="B278" i="7"/>
  <c r="D276" i="7"/>
  <c r="B276" i="7"/>
  <c r="D275" i="7"/>
  <c r="B275" i="7"/>
  <c r="B273" i="7"/>
  <c r="D270" i="7"/>
  <c r="D268" i="7"/>
  <c r="D266" i="7"/>
  <c r="D264" i="7" l="1"/>
  <c r="D262" i="7"/>
  <c r="D260" i="7" l="1"/>
  <c r="B258" i="7" l="1"/>
  <c r="D254" i="7"/>
  <c r="B252" i="7"/>
  <c r="D241" i="7"/>
  <c r="B241" i="7"/>
  <c r="D240" i="7"/>
  <c r="B240" i="7"/>
  <c r="D239" i="7"/>
  <c r="B239" i="7"/>
  <c r="D238" i="7"/>
  <c r="B238" i="7"/>
  <c r="D237" i="7"/>
  <c r="B237" i="7"/>
  <c r="D236" i="7"/>
  <c r="B236" i="7"/>
  <c r="D235" i="7"/>
  <c r="B235" i="7"/>
  <c r="D234" i="7"/>
  <c r="B234" i="7"/>
  <c r="D233" i="7"/>
  <c r="B233" i="7"/>
  <c r="D232" i="7"/>
  <c r="E134" i="32" s="1"/>
  <c r="M185" i="32" s="1"/>
  <c r="B232" i="7"/>
  <c r="B229" i="7" l="1"/>
  <c r="B227" i="7"/>
  <c r="B225" i="7" l="1"/>
  <c r="B223" i="7" l="1"/>
  <c r="B221" i="7" l="1"/>
  <c r="B219" i="7" l="1"/>
  <c r="B217" i="7" l="1"/>
  <c r="B215" i="7" l="1"/>
  <c r="B213" i="7"/>
  <c r="B211" i="7"/>
  <c r="D208" i="7"/>
  <c r="D206" i="7"/>
  <c r="D205" i="7"/>
  <c r="B203" i="7"/>
  <c r="B200" i="7"/>
  <c r="B199" i="7"/>
  <c r="B198" i="7"/>
  <c r="B197" i="7"/>
  <c r="B196" i="7"/>
  <c r="B195" i="7"/>
  <c r="B194" i="7"/>
  <c r="B193" i="7"/>
  <c r="D192" i="7"/>
  <c r="B192" i="7"/>
  <c r="B191" i="7"/>
  <c r="B188" i="7"/>
  <c r="B187" i="7"/>
  <c r="B186" i="7"/>
  <c r="B185" i="7"/>
  <c r="B184" i="7"/>
  <c r="B183" i="7"/>
  <c r="B182" i="7"/>
  <c r="B181" i="7"/>
  <c r="D180" i="7"/>
  <c r="B180" i="7"/>
  <c r="B179" i="7" l="1"/>
  <c r="B176" i="7"/>
  <c r="B175" i="7"/>
  <c r="B174" i="7"/>
  <c r="B173" i="7"/>
  <c r="B172" i="7"/>
  <c r="B171" i="7"/>
  <c r="B170" i="7"/>
  <c r="B169" i="7" l="1"/>
  <c r="D168" i="7"/>
  <c r="B168" i="7"/>
  <c r="B167" i="7" l="1"/>
  <c r="B165" i="7"/>
  <c r="B164" i="7"/>
  <c r="B163" i="7"/>
  <c r="B162" i="7"/>
  <c r="B161" i="7"/>
  <c r="B160" i="7"/>
  <c r="B159" i="7"/>
  <c r="B158" i="7"/>
  <c r="D157" i="7"/>
  <c r="B157" i="7"/>
  <c r="B156" i="7"/>
  <c r="D145" i="7"/>
  <c r="B143" i="7"/>
  <c r="B142" i="7"/>
  <c r="B141" i="7"/>
  <c r="B140" i="7"/>
  <c r="B139" i="7"/>
  <c r="B138" i="7"/>
  <c r="B137" i="7"/>
  <c r="B136" i="7"/>
  <c r="B135" i="7"/>
  <c r="B134" i="7"/>
  <c r="D131" i="7"/>
  <c r="D129" i="7"/>
  <c r="D128" i="7"/>
  <c r="B126" i="7"/>
  <c r="B145" i="7" l="1"/>
  <c r="D114" i="7"/>
  <c r="D113" i="7"/>
  <c r="B113" i="7"/>
  <c r="D112" i="7"/>
  <c r="B112" i="7"/>
  <c r="D110" i="7"/>
  <c r="B110" i="7"/>
  <c r="B109" i="7" l="1"/>
  <c r="D98" i="7" l="1"/>
  <c r="D97" i="7"/>
  <c r="D96" i="7"/>
  <c r="D94" i="7"/>
  <c r="B94" i="7"/>
  <c r="B93" i="7"/>
  <c r="A93" i="7"/>
  <c r="D82" i="7"/>
  <c r="B97" i="7" l="1"/>
  <c r="B96" i="7"/>
  <c r="D81" i="7" l="1"/>
  <c r="D80" i="7" l="1"/>
  <c r="D78" i="7"/>
  <c r="B77" i="7"/>
  <c r="A77" i="7"/>
  <c r="D66" i="7"/>
  <c r="D65" i="7"/>
  <c r="D64" i="7"/>
  <c r="D62" i="7"/>
  <c r="B62" i="7"/>
  <c r="B61" i="7"/>
  <c r="A61" i="7"/>
  <c r="D50" i="7"/>
  <c r="B81" i="7" l="1"/>
  <c r="B64" i="7"/>
  <c r="B65" i="7"/>
  <c r="B80" i="7"/>
  <c r="D49" i="7" l="1"/>
  <c r="D46" i="7"/>
  <c r="B46" i="7"/>
  <c r="B45" i="7"/>
  <c r="A45" i="7"/>
  <c r="B49" i="7" l="1"/>
  <c r="B48" i="7"/>
  <c r="D34" i="7"/>
  <c r="D33" i="7"/>
  <c r="D32" i="7"/>
  <c r="D30" i="7" l="1"/>
  <c r="B29" i="7"/>
  <c r="A29" i="7"/>
  <c r="D26" i="7"/>
  <c r="D25" i="7"/>
  <c r="B23" i="7"/>
  <c r="E15" i="7"/>
  <c r="D14" i="7"/>
  <c r="D12" i="7"/>
  <c r="B33" i="7" l="1"/>
  <c r="B32" i="7"/>
  <c r="E5" i="7"/>
  <c r="B3" i="7"/>
  <c r="D113" i="27"/>
  <c r="D112" i="27"/>
  <c r="D111" i="27"/>
  <c r="D102" i="27"/>
  <c r="B96" i="27"/>
  <c r="E94" i="27"/>
  <c r="E93" i="27"/>
  <c r="B91" i="27"/>
  <c r="D88" i="27"/>
  <c r="B88" i="27"/>
  <c r="D87" i="27"/>
  <c r="B87" i="27"/>
  <c r="D86" i="27"/>
  <c r="B86" i="27"/>
  <c r="D83" i="27"/>
  <c r="E82" i="27"/>
  <c r="F79" i="27"/>
  <c r="D78" i="27"/>
  <c r="D74" i="27"/>
  <c r="E73" i="27"/>
  <c r="F70" i="27"/>
  <c r="D69" i="27"/>
  <c r="D65" i="27"/>
  <c r="E64" i="27"/>
  <c r="F61" i="27"/>
  <c r="D60" i="27"/>
  <c r="B55" i="27"/>
  <c r="D52" i="27"/>
  <c r="B52" i="27"/>
  <c r="D51" i="27" l="1"/>
  <c r="B51" i="27"/>
  <c r="D48" i="27"/>
  <c r="E47" i="27"/>
  <c r="E45" i="27"/>
  <c r="F43" i="27" s="1"/>
  <c r="G43" i="27" s="1"/>
  <c r="H43" i="27" s="1"/>
  <c r="I43" i="27" s="1"/>
  <c r="J43" i="27" s="1"/>
  <c r="K43" i="27" s="1"/>
  <c r="L43" i="27" s="1"/>
  <c r="M43" i="27" s="1"/>
  <c r="N43" i="27" s="1"/>
  <c r="O43" i="27" s="1"/>
  <c r="P43" i="27" s="1"/>
  <c r="Q43" i="27" s="1"/>
  <c r="R43" i="27" s="1"/>
  <c r="S43" i="27" s="1"/>
  <c r="T43" i="27" s="1"/>
  <c r="U43" i="27" s="1"/>
  <c r="V43" i="27" s="1"/>
  <c r="W43" i="27" s="1"/>
  <c r="X43" i="27" s="1"/>
  <c r="Y43" i="27" s="1"/>
  <c r="Z43" i="27" s="1"/>
  <c r="AA43" i="27" s="1"/>
  <c r="AB43" i="27" s="1"/>
  <c r="AC43" i="27" s="1"/>
  <c r="AD43" i="27" s="1"/>
  <c r="AE43" i="27" s="1"/>
  <c r="AF43" i="27" s="1"/>
  <c r="AG43" i="27" s="1"/>
  <c r="AH43" i="27" s="1"/>
  <c r="D42" i="27"/>
  <c r="E38" i="27"/>
  <c r="D38" i="27"/>
  <c r="E37" i="27"/>
  <c r="E34" i="27"/>
  <c r="D32" i="27"/>
  <c r="D28" i="27" l="1"/>
  <c r="D27" i="27"/>
  <c r="B23" i="27"/>
  <c r="B17" i="27" l="1"/>
  <c r="B16" i="27"/>
  <c r="B15" i="27"/>
  <c r="B14" i="27"/>
  <c r="E13" i="27" l="1"/>
  <c r="E5" i="27"/>
  <c r="E11" i="27"/>
  <c r="B11" i="27"/>
  <c r="E8" i="27" l="1"/>
  <c r="B3" i="27"/>
  <c r="B2" i="27"/>
  <c r="E502" i="26"/>
  <c r="D502" i="26"/>
  <c r="D501" i="26"/>
  <c r="D500" i="26"/>
  <c r="D499" i="26"/>
  <c r="B495" i="26"/>
  <c r="D493" i="26"/>
  <c r="B490" i="26"/>
  <c r="D482" i="26"/>
  <c r="B482" i="26"/>
  <c r="D481" i="26"/>
  <c r="B481" i="26"/>
  <c r="E472" i="26"/>
  <c r="D464" i="26"/>
  <c r="B464" i="26"/>
  <c r="D463" i="26"/>
  <c r="B463" i="26"/>
  <c r="E454" i="26"/>
  <c r="D446" i="26"/>
  <c r="B446" i="26"/>
  <c r="D445" i="26"/>
  <c r="B445" i="26"/>
  <c r="E436" i="26"/>
  <c r="D428" i="26"/>
  <c r="B428" i="26"/>
  <c r="D427" i="26"/>
  <c r="B427" i="26"/>
  <c r="F421" i="26"/>
  <c r="F457" i="26" s="1"/>
  <c r="F420" i="26"/>
  <c r="F456" i="26" s="1"/>
  <c r="F419" i="26"/>
  <c r="E418" i="26"/>
  <c r="D416" i="26"/>
  <c r="B416" i="26"/>
  <c r="D415" i="26"/>
  <c r="B415" i="26"/>
  <c r="F409" i="26"/>
  <c r="F408" i="26"/>
  <c r="F407" i="26"/>
  <c r="E408" i="26" s="1"/>
  <c r="D1257" i="7" l="1"/>
  <c r="F1257" i="7"/>
  <c r="J1257" i="7"/>
  <c r="N1257" i="7"/>
  <c r="R1257" i="7"/>
  <c r="V1257" i="7"/>
  <c r="Z1257" i="7"/>
  <c r="AD1257" i="7"/>
  <c r="AH1257" i="7"/>
  <c r="L1257" i="7"/>
  <c r="X1257" i="7"/>
  <c r="I1257" i="7"/>
  <c r="M1257" i="7"/>
  <c r="Q1257" i="7"/>
  <c r="U1257" i="7"/>
  <c r="Y1257" i="7"/>
  <c r="AC1257" i="7"/>
  <c r="AG1257" i="7"/>
  <c r="H1257" i="7"/>
  <c r="T1257" i="7"/>
  <c r="AF1257" i="7"/>
  <c r="G1257" i="7"/>
  <c r="K1257" i="7"/>
  <c r="O1257" i="7"/>
  <c r="S1257" i="7"/>
  <c r="W1257" i="7"/>
  <c r="AA1257" i="7"/>
  <c r="AE1257" i="7"/>
  <c r="E1257" i="7"/>
  <c r="P1257" i="7"/>
  <c r="AB1257" i="7"/>
  <c r="E421" i="26"/>
  <c r="D423" i="26" s="1"/>
  <c r="L10" i="38" s="1"/>
  <c r="F437" i="26"/>
  <c r="F439" i="26"/>
  <c r="F438" i="26"/>
  <c r="E406" i="26"/>
  <c r="D404" i="26"/>
  <c r="B404" i="26"/>
  <c r="D403" i="26"/>
  <c r="B403" i="26"/>
  <c r="F397" i="26"/>
  <c r="F396" i="26"/>
  <c r="F395" i="26"/>
  <c r="E396" i="26" s="1"/>
  <c r="E394" i="26"/>
  <c r="D392" i="26"/>
  <c r="B392" i="26"/>
  <c r="D391" i="26"/>
  <c r="B391" i="26"/>
  <c r="F385" i="26"/>
  <c r="F384" i="26"/>
  <c r="F383" i="26"/>
  <c r="E382" i="26"/>
  <c r="B380" i="26"/>
  <c r="D377" i="26"/>
  <c r="D376" i="26"/>
  <c r="D375" i="26"/>
  <c r="D374" i="26"/>
  <c r="D373" i="26"/>
  <c r="D372" i="26"/>
  <c r="D367" i="26"/>
  <c r="D363" i="26"/>
  <c r="D359" i="26"/>
  <c r="D355" i="26"/>
  <c r="D351" i="26"/>
  <c r="D347" i="26"/>
  <c r="B345" i="26"/>
  <c r="E343" i="26"/>
  <c r="E341" i="26"/>
  <c r="E339" i="26"/>
  <c r="B337" i="26"/>
  <c r="D334" i="26"/>
  <c r="B334" i="26"/>
  <c r="D333" i="26"/>
  <c r="B333" i="26"/>
  <c r="D332" i="26"/>
  <c r="B332" i="26"/>
  <c r="D329" i="26"/>
  <c r="E328" i="26"/>
  <c r="F325" i="26"/>
  <c r="D324" i="26"/>
  <c r="D320" i="26"/>
  <c r="E319" i="26"/>
  <c r="F316" i="26"/>
  <c r="D315" i="26"/>
  <c r="D311" i="26"/>
  <c r="E310" i="26"/>
  <c r="F307" i="26"/>
  <c r="D306" i="26"/>
  <c r="B301" i="26"/>
  <c r="D298" i="26"/>
  <c r="B298" i="26"/>
  <c r="D297" i="26"/>
  <c r="B297" i="26"/>
  <c r="D296" i="26"/>
  <c r="B296" i="26"/>
  <c r="D295" i="26"/>
  <c r="B295" i="26"/>
  <c r="D294" i="26"/>
  <c r="B294" i="26"/>
  <c r="D293" i="26"/>
  <c r="B293" i="26"/>
  <c r="E384" i="26" l="1"/>
  <c r="D1225" i="7" s="1"/>
  <c r="E439" i="26"/>
  <c r="F455" i="26"/>
  <c r="H1241" i="7"/>
  <c r="L1241" i="7"/>
  <c r="P1241" i="7"/>
  <c r="T1241" i="7"/>
  <c r="X1241" i="7"/>
  <c r="AB1241" i="7"/>
  <c r="AF1241" i="7"/>
  <c r="J1241" i="7"/>
  <c r="V1241" i="7"/>
  <c r="AH1241" i="7"/>
  <c r="G1241" i="7"/>
  <c r="K1241" i="7"/>
  <c r="O1241" i="7"/>
  <c r="S1241" i="7"/>
  <c r="W1241" i="7"/>
  <c r="AA1241" i="7"/>
  <c r="AE1241" i="7"/>
  <c r="E1241" i="7"/>
  <c r="N1241" i="7"/>
  <c r="AD1241" i="7"/>
  <c r="I1241" i="7"/>
  <c r="M1241" i="7"/>
  <c r="Q1241" i="7"/>
  <c r="U1241" i="7"/>
  <c r="Y1241" i="7"/>
  <c r="AC1241" i="7"/>
  <c r="AG1241" i="7"/>
  <c r="F1241" i="7"/>
  <c r="R1241" i="7"/>
  <c r="Z1241" i="7"/>
  <c r="F1283" i="7"/>
  <c r="J1283" i="7"/>
  <c r="N1283" i="7"/>
  <c r="R1283" i="7"/>
  <c r="V1283" i="7"/>
  <c r="Z1283" i="7"/>
  <c r="AD1283" i="7"/>
  <c r="AH1283" i="7"/>
  <c r="H1283" i="7"/>
  <c r="P1283" i="7"/>
  <c r="AB1283" i="7"/>
  <c r="I1283" i="7"/>
  <c r="M1283" i="7"/>
  <c r="Q1283" i="7"/>
  <c r="U1283" i="7"/>
  <c r="Y1283" i="7"/>
  <c r="AC1283" i="7"/>
  <c r="AG1283" i="7"/>
  <c r="T1283" i="7"/>
  <c r="D1283" i="7"/>
  <c r="G1283" i="7"/>
  <c r="K1283" i="7"/>
  <c r="O1283" i="7"/>
  <c r="S1283" i="7"/>
  <c r="W1283" i="7"/>
  <c r="AA1283" i="7"/>
  <c r="AE1283" i="7"/>
  <c r="E1283" i="7"/>
  <c r="L1283" i="7"/>
  <c r="X1283" i="7"/>
  <c r="AF1283" i="7"/>
  <c r="D1267" i="7"/>
  <c r="D1268" i="7" s="1"/>
  <c r="D1269" i="7" s="1"/>
  <c r="D1270" i="7" s="1"/>
  <c r="D1271" i="7" s="1"/>
  <c r="D1273" i="7" s="1"/>
  <c r="D424" i="26"/>
  <c r="E290" i="26"/>
  <c r="D290" i="26"/>
  <c r="E289" i="26"/>
  <c r="E287" i="26"/>
  <c r="F285" i="26" s="1"/>
  <c r="G285" i="26" s="1"/>
  <c r="D284" i="26"/>
  <c r="E280" i="26"/>
  <c r="D280" i="26"/>
  <c r="E279" i="26"/>
  <c r="E277" i="26"/>
  <c r="F275" i="26" s="1"/>
  <c r="D274" i="26"/>
  <c r="D270" i="26"/>
  <c r="E269" i="26"/>
  <c r="E267" i="26"/>
  <c r="D265" i="26"/>
  <c r="D261" i="26"/>
  <c r="E260" i="26"/>
  <c r="E258" i="26"/>
  <c r="D256" i="26"/>
  <c r="G1225" i="7" l="1"/>
  <c r="I1225" i="7"/>
  <c r="E1225" i="7"/>
  <c r="H1225" i="7"/>
  <c r="F1225" i="7"/>
  <c r="D441" i="26"/>
  <c r="I1313" i="7"/>
  <c r="M1313" i="7"/>
  <c r="Q1313" i="7"/>
  <c r="U1313" i="7"/>
  <c r="Y1313" i="7"/>
  <c r="AC1313" i="7"/>
  <c r="AG1313" i="7"/>
  <c r="O1313" i="7"/>
  <c r="AE1313" i="7"/>
  <c r="H1313" i="7"/>
  <c r="L1313" i="7"/>
  <c r="P1313" i="7"/>
  <c r="T1313" i="7"/>
  <c r="X1313" i="7"/>
  <c r="AB1313" i="7"/>
  <c r="AF1313" i="7"/>
  <c r="D1313" i="7"/>
  <c r="K1313" i="7"/>
  <c r="W1313" i="7"/>
  <c r="E1313" i="7"/>
  <c r="F1313" i="7"/>
  <c r="J1313" i="7"/>
  <c r="N1313" i="7"/>
  <c r="R1313" i="7"/>
  <c r="V1313" i="7"/>
  <c r="Z1313" i="7"/>
  <c r="AD1313" i="7"/>
  <c r="AH1313" i="7"/>
  <c r="G1313" i="7"/>
  <c r="S1313" i="7"/>
  <c r="AA1313" i="7"/>
  <c r="F473" i="26"/>
  <c r="E475" i="26" s="1"/>
  <c r="E457" i="26"/>
  <c r="H285" i="26"/>
  <c r="G275" i="26"/>
  <c r="H275" i="26" s="1"/>
  <c r="I275" i="26" s="1"/>
  <c r="J275" i="26" s="1"/>
  <c r="K275" i="26" s="1"/>
  <c r="L275" i="26" s="1"/>
  <c r="M275" i="26" s="1"/>
  <c r="N275" i="26" s="1"/>
  <c r="O275" i="26" s="1"/>
  <c r="P275" i="26" s="1"/>
  <c r="Q275" i="26" s="1"/>
  <c r="R275" i="26" s="1"/>
  <c r="S275" i="26" s="1"/>
  <c r="T275" i="26" s="1"/>
  <c r="U275" i="26" s="1"/>
  <c r="V275" i="26" s="1"/>
  <c r="W275" i="26" s="1"/>
  <c r="X275" i="26" s="1"/>
  <c r="Y275" i="26" s="1"/>
  <c r="Z275" i="26" s="1"/>
  <c r="AA275" i="26" s="1"/>
  <c r="AB275" i="26" s="1"/>
  <c r="AC275" i="26" s="1"/>
  <c r="AD275" i="26" s="1"/>
  <c r="AE275" i="26" s="1"/>
  <c r="AF275" i="26" s="1"/>
  <c r="AG275" i="26" s="1"/>
  <c r="AH275" i="26" s="1"/>
  <c r="D1274" i="7"/>
  <c r="D1275" i="7" s="1"/>
  <c r="D1276" i="7" s="1"/>
  <c r="D1277" i="7" s="1"/>
  <c r="D1278" i="7" s="1"/>
  <c r="D1279" i="7" s="1"/>
  <c r="D1280" i="7" s="1"/>
  <c r="D252" i="26"/>
  <c r="E251" i="26"/>
  <c r="E249" i="26"/>
  <c r="D247" i="26"/>
  <c r="E243" i="26"/>
  <c r="D243" i="26"/>
  <c r="E242" i="26"/>
  <c r="E239" i="26"/>
  <c r="D237" i="26"/>
  <c r="F26" i="38" s="1"/>
  <c r="D233" i="26"/>
  <c r="D232" i="26"/>
  <c r="B228" i="26"/>
  <c r="D223" i="26"/>
  <c r="D209" i="26"/>
  <c r="B209" i="26"/>
  <c r="D208" i="26"/>
  <c r="B208" i="26"/>
  <c r="E207" i="26"/>
  <c r="D207" i="26"/>
  <c r="B207" i="26"/>
  <c r="D205" i="26"/>
  <c r="B205" i="26"/>
  <c r="D203" i="26"/>
  <c r="B203" i="26"/>
  <c r="D202" i="26"/>
  <c r="B202" i="26"/>
  <c r="B197" i="26"/>
  <c r="D159" i="26"/>
  <c r="B154" i="26"/>
  <c r="B153" i="26"/>
  <c r="B152" i="26"/>
  <c r="B151" i="26"/>
  <c r="B150" i="26"/>
  <c r="B149" i="26"/>
  <c r="E146" i="26"/>
  <c r="B136" i="26"/>
  <c r="B135" i="26"/>
  <c r="B134" i="26"/>
  <c r="B133" i="26"/>
  <c r="B132" i="26"/>
  <c r="D131" i="26"/>
  <c r="D1037" i="7" s="1"/>
  <c r="B131" i="26"/>
  <c r="E113" i="26"/>
  <c r="B113" i="26"/>
  <c r="D111" i="26"/>
  <c r="B108" i="26"/>
  <c r="D106" i="26"/>
  <c r="B106" i="26"/>
  <c r="D105" i="26"/>
  <c r="B105" i="26"/>
  <c r="D103" i="26"/>
  <c r="B103" i="26"/>
  <c r="E100" i="26"/>
  <c r="B100" i="26"/>
  <c r="D98" i="26"/>
  <c r="B98" i="26"/>
  <c r="D97" i="26"/>
  <c r="B97" i="26"/>
  <c r="D95" i="26"/>
  <c r="B95" i="26"/>
  <c r="E92" i="26"/>
  <c r="B92" i="26"/>
  <c r="D90" i="26"/>
  <c r="B90" i="26"/>
  <c r="D89" i="26"/>
  <c r="B89" i="26"/>
  <c r="D87" i="26"/>
  <c r="B87" i="26"/>
  <c r="E84" i="26"/>
  <c r="B84" i="26"/>
  <c r="D82" i="26"/>
  <c r="B82" i="26"/>
  <c r="D81" i="26"/>
  <c r="B81" i="26"/>
  <c r="D79" i="26"/>
  <c r="B79" i="26"/>
  <c r="E76" i="26"/>
  <c r="B76" i="26"/>
  <c r="D74" i="26"/>
  <c r="B74" i="26"/>
  <c r="D73" i="26"/>
  <c r="B73" i="26"/>
  <c r="D71" i="26"/>
  <c r="B71" i="26"/>
  <c r="E68" i="26"/>
  <c r="B68" i="26"/>
  <c r="D67" i="26"/>
  <c r="B67" i="26"/>
  <c r="D66" i="26"/>
  <c r="B66" i="26"/>
  <c r="E62" i="26"/>
  <c r="B62" i="26"/>
  <c r="D49" i="26"/>
  <c r="B49" i="26"/>
  <c r="D48" i="26"/>
  <c r="B48" i="26"/>
  <c r="D47" i="26"/>
  <c r="B47" i="26"/>
  <c r="D46" i="26"/>
  <c r="B46" i="26"/>
  <c r="D45" i="26"/>
  <c r="B45" i="26"/>
  <c r="D44" i="26"/>
  <c r="B44" i="26"/>
  <c r="D42" i="26"/>
  <c r="N30" i="38" s="1"/>
  <c r="N31" i="38" s="1"/>
  <c r="B42" i="26"/>
  <c r="D41" i="26"/>
  <c r="N29" i="38" s="1"/>
  <c r="B41" i="26"/>
  <c r="D40" i="26"/>
  <c r="N28" i="38" s="1"/>
  <c r="B40" i="26"/>
  <c r="D39" i="26"/>
  <c r="N27" i="38" s="1"/>
  <c r="B39" i="26"/>
  <c r="D38" i="26"/>
  <c r="N26" i="38" s="1"/>
  <c r="B38" i="26"/>
  <c r="D37" i="26"/>
  <c r="N25" i="38" s="1"/>
  <c r="B37" i="26"/>
  <c r="E28" i="26"/>
  <c r="B28" i="26"/>
  <c r="H1373" i="7" l="1"/>
  <c r="L1373" i="7"/>
  <c r="P1373" i="7"/>
  <c r="T1373" i="7"/>
  <c r="X1373" i="7"/>
  <c r="AB1373" i="7"/>
  <c r="AF1373" i="7"/>
  <c r="D1373" i="7"/>
  <c r="F1373" i="7"/>
  <c r="J1373" i="7"/>
  <c r="N1373" i="7"/>
  <c r="R1373" i="7"/>
  <c r="V1373" i="7"/>
  <c r="AD1373" i="7"/>
  <c r="AH1373" i="7"/>
  <c r="G1373" i="7"/>
  <c r="K1373" i="7"/>
  <c r="O1373" i="7"/>
  <c r="S1373" i="7"/>
  <c r="W1373" i="7"/>
  <c r="AA1373" i="7"/>
  <c r="AE1373" i="7"/>
  <c r="E1373" i="7"/>
  <c r="Z1373" i="7"/>
  <c r="M1373" i="7"/>
  <c r="Y1373" i="7"/>
  <c r="AG1373" i="7"/>
  <c r="I1373" i="7"/>
  <c r="Q1373" i="7"/>
  <c r="U1373" i="7"/>
  <c r="AC1373" i="7"/>
  <c r="D477" i="26"/>
  <c r="O10" i="38" s="1"/>
  <c r="H1343" i="7"/>
  <c r="L1343" i="7"/>
  <c r="P1343" i="7"/>
  <c r="T1343" i="7"/>
  <c r="X1343" i="7"/>
  <c r="AB1343" i="7"/>
  <c r="AF1343" i="7"/>
  <c r="D1343" i="7"/>
  <c r="AH1343" i="7"/>
  <c r="G1343" i="7"/>
  <c r="K1343" i="7"/>
  <c r="O1343" i="7"/>
  <c r="S1343" i="7"/>
  <c r="W1343" i="7"/>
  <c r="AA1343" i="7"/>
  <c r="AE1343" i="7"/>
  <c r="E1343" i="7"/>
  <c r="F1343" i="7"/>
  <c r="N1343" i="7"/>
  <c r="V1343" i="7"/>
  <c r="AD1343" i="7"/>
  <c r="I1343" i="7"/>
  <c r="M1343" i="7"/>
  <c r="Q1343" i="7"/>
  <c r="U1343" i="7"/>
  <c r="Y1343" i="7"/>
  <c r="AC1343" i="7"/>
  <c r="AG1343" i="7"/>
  <c r="J1343" i="7"/>
  <c r="R1343" i="7"/>
  <c r="Z1343" i="7"/>
  <c r="D459" i="26"/>
  <c r="N10" i="38" s="1"/>
  <c r="E240" i="26"/>
  <c r="I285" i="26"/>
  <c r="D132" i="26"/>
  <c r="D133" i="26" s="1"/>
  <c r="D134" i="26" s="1"/>
  <c r="D135" i="26" s="1"/>
  <c r="D136" i="26" s="1"/>
  <c r="G50" i="26"/>
  <c r="J285" i="26" l="1"/>
  <c r="E22" i="26"/>
  <c r="K285" i="26" l="1"/>
  <c r="F20" i="26"/>
  <c r="G20" i="26" s="1"/>
  <c r="E18" i="26"/>
  <c r="F16" i="26"/>
  <c r="G16" i="26" s="1"/>
  <c r="G18" i="26" s="1"/>
  <c r="F18" i="26" s="1"/>
  <c r="B14" i="26"/>
  <c r="E5" i="26"/>
  <c r="E11" i="26"/>
  <c r="B11" i="26"/>
  <c r="E8" i="26"/>
  <c r="B3" i="26"/>
  <c r="B2" i="26"/>
  <c r="E516" i="25"/>
  <c r="D516" i="25"/>
  <c r="D515" i="25"/>
  <c r="D514" i="25"/>
  <c r="D513" i="25"/>
  <c r="B509" i="25"/>
  <c r="D507" i="25"/>
  <c r="B504" i="25"/>
  <c r="D496" i="25"/>
  <c r="B496" i="25"/>
  <c r="D495" i="25"/>
  <c r="B495" i="25"/>
  <c r="E486" i="25"/>
  <c r="D478" i="25"/>
  <c r="B478" i="25"/>
  <c r="D477" i="25"/>
  <c r="B477" i="25"/>
  <c r="E468" i="25"/>
  <c r="D460" i="25"/>
  <c r="B460" i="25"/>
  <c r="D459" i="25"/>
  <c r="B459" i="25"/>
  <c r="E450" i="25"/>
  <c r="D442" i="25"/>
  <c r="B442" i="25"/>
  <c r="D441" i="25"/>
  <c r="B441" i="25"/>
  <c r="L285" i="26" l="1"/>
  <c r="G22" i="26"/>
  <c r="F22" i="26" s="1"/>
  <c r="H20" i="26"/>
  <c r="H16" i="26"/>
  <c r="F435" i="25"/>
  <c r="F434" i="25"/>
  <c r="F433" i="25"/>
  <c r="D430" i="25"/>
  <c r="B430" i="25"/>
  <c r="D429" i="25"/>
  <c r="B429" i="25"/>
  <c r="F423" i="25"/>
  <c r="F422" i="25"/>
  <c r="F421" i="25"/>
  <c r="E422" i="25" s="1"/>
  <c r="E420" i="25"/>
  <c r="D418" i="25"/>
  <c r="B418" i="25"/>
  <c r="D417" i="25"/>
  <c r="B417" i="25"/>
  <c r="F411" i="25"/>
  <c r="F410" i="25"/>
  <c r="F409" i="25"/>
  <c r="E408" i="25"/>
  <c r="D406" i="25"/>
  <c r="B406" i="25"/>
  <c r="D405" i="25"/>
  <c r="B405" i="25"/>
  <c r="F399" i="25"/>
  <c r="F398" i="25"/>
  <c r="F397" i="25"/>
  <c r="E396" i="25"/>
  <c r="B394" i="25"/>
  <c r="E398" i="25" l="1"/>
  <c r="D473" i="25"/>
  <c r="N10" i="37" s="1"/>
  <c r="G785" i="7"/>
  <c r="K785" i="7"/>
  <c r="O785" i="7"/>
  <c r="S785" i="7"/>
  <c r="W785" i="7"/>
  <c r="AA785" i="7"/>
  <c r="AE785" i="7"/>
  <c r="E785" i="7"/>
  <c r="I785" i="7"/>
  <c r="U785" i="7"/>
  <c r="F785" i="7"/>
  <c r="J785" i="7"/>
  <c r="N785" i="7"/>
  <c r="R785" i="7"/>
  <c r="V785" i="7"/>
  <c r="Z785" i="7"/>
  <c r="AD785" i="7"/>
  <c r="AH785" i="7"/>
  <c r="Q785" i="7"/>
  <c r="AC785" i="7"/>
  <c r="H785" i="7"/>
  <c r="L785" i="7"/>
  <c r="P785" i="7"/>
  <c r="T785" i="7"/>
  <c r="X785" i="7"/>
  <c r="AB785" i="7"/>
  <c r="AF785" i="7"/>
  <c r="D785" i="7"/>
  <c r="M785" i="7"/>
  <c r="Y785" i="7"/>
  <c r="AG785" i="7"/>
  <c r="F487" i="25"/>
  <c r="E489" i="25" s="1"/>
  <c r="E901" i="7" s="1"/>
  <c r="E435" i="25"/>
  <c r="D437" i="25" s="1"/>
  <c r="L10" i="37" s="1"/>
  <c r="E410" i="25"/>
  <c r="M285" i="26"/>
  <c r="H18" i="26"/>
  <c r="I16" i="26"/>
  <c r="H22" i="26"/>
  <c r="I20" i="26"/>
  <c r="F471" i="25"/>
  <c r="F453" i="25"/>
  <c r="D424" i="25"/>
  <c r="D426" i="25" s="1"/>
  <c r="F452" i="25"/>
  <c r="F470" i="25"/>
  <c r="D901" i="7" l="1"/>
  <c r="F811" i="7"/>
  <c r="J811" i="7"/>
  <c r="N811" i="7"/>
  <c r="R811" i="7"/>
  <c r="V811" i="7"/>
  <c r="Z811" i="7"/>
  <c r="AD811" i="7"/>
  <c r="AH811" i="7"/>
  <c r="H811" i="7"/>
  <c r="X811" i="7"/>
  <c r="AF811" i="7"/>
  <c r="I811" i="7"/>
  <c r="M811" i="7"/>
  <c r="Q811" i="7"/>
  <c r="U811" i="7"/>
  <c r="Y811" i="7"/>
  <c r="AC811" i="7"/>
  <c r="AG811" i="7"/>
  <c r="P811" i="7"/>
  <c r="D811" i="7"/>
  <c r="G811" i="7"/>
  <c r="K811" i="7"/>
  <c r="O811" i="7"/>
  <c r="S811" i="7"/>
  <c r="W811" i="7"/>
  <c r="AA811" i="7"/>
  <c r="AE811" i="7"/>
  <c r="E811" i="7"/>
  <c r="L811" i="7"/>
  <c r="T811" i="7"/>
  <c r="AB811" i="7"/>
  <c r="H769" i="7"/>
  <c r="D769" i="7"/>
  <c r="F769" i="7"/>
  <c r="E769" i="7"/>
  <c r="I769" i="7"/>
  <c r="I753" i="7"/>
  <c r="M753" i="7"/>
  <c r="Q753" i="7"/>
  <c r="U753" i="7"/>
  <c r="Y753" i="7"/>
  <c r="AC753" i="7"/>
  <c r="AG753" i="7"/>
  <c r="G753" i="7"/>
  <c r="S753" i="7"/>
  <c r="AA753" i="7"/>
  <c r="H753" i="7"/>
  <c r="L753" i="7"/>
  <c r="P753" i="7"/>
  <c r="T753" i="7"/>
  <c r="X753" i="7"/>
  <c r="AB753" i="7"/>
  <c r="AF753" i="7"/>
  <c r="D753" i="7"/>
  <c r="O753" i="7"/>
  <c r="AE753" i="7"/>
  <c r="F753" i="7"/>
  <c r="J753" i="7"/>
  <c r="N753" i="7"/>
  <c r="R753" i="7"/>
  <c r="V753" i="7"/>
  <c r="Z753" i="7"/>
  <c r="AD753" i="7"/>
  <c r="AH753" i="7"/>
  <c r="K753" i="7"/>
  <c r="W753" i="7"/>
  <c r="E753" i="7"/>
  <c r="D412" i="25"/>
  <c r="N285" i="26"/>
  <c r="I18" i="26"/>
  <c r="J16" i="26"/>
  <c r="I22" i="26"/>
  <c r="J20" i="26"/>
  <c r="D778" i="7"/>
  <c r="D779" i="7" s="1"/>
  <c r="D780" i="7" s="1"/>
  <c r="D781" i="7" s="1"/>
  <c r="D425" i="25"/>
  <c r="D795" i="7"/>
  <c r="D796" i="7" s="1"/>
  <c r="D797" i="7" s="1"/>
  <c r="D798" i="7" s="1"/>
  <c r="D799" i="7" s="1"/>
  <c r="D801" i="7" s="1"/>
  <c r="D438" i="25"/>
  <c r="D762" i="7" l="1"/>
  <c r="D763" i="7" s="1"/>
  <c r="D764" i="7" s="1"/>
  <c r="D765" i="7" s="1"/>
  <c r="D766" i="7" s="1"/>
  <c r="D414" i="25"/>
  <c r="D413" i="25"/>
  <c r="O285" i="26"/>
  <c r="J18" i="26"/>
  <c r="K16" i="26"/>
  <c r="J22" i="26"/>
  <c r="K20" i="26"/>
  <c r="D802" i="7"/>
  <c r="D803" i="7" s="1"/>
  <c r="D804" i="7" s="1"/>
  <c r="D805" i="7" s="1"/>
  <c r="D806" i="7" s="1"/>
  <c r="D807" i="7" s="1"/>
  <c r="D808" i="7" s="1"/>
  <c r="D782" i="7"/>
  <c r="P285" i="26" l="1"/>
  <c r="K18" i="26"/>
  <c r="L16" i="26"/>
  <c r="K22" i="26"/>
  <c r="L20" i="26"/>
  <c r="D391" i="25"/>
  <c r="D390" i="25"/>
  <c r="D389" i="25"/>
  <c r="D388" i="25"/>
  <c r="Q285" i="26" l="1"/>
  <c r="L18" i="26"/>
  <c r="M16" i="26"/>
  <c r="L22" i="26"/>
  <c r="M20" i="26"/>
  <c r="D387" i="25"/>
  <c r="D386" i="25"/>
  <c r="D381" i="25"/>
  <c r="D377" i="25"/>
  <c r="D373" i="25"/>
  <c r="D369" i="25"/>
  <c r="R285" i="26" l="1"/>
  <c r="M18" i="26"/>
  <c r="N16" i="26"/>
  <c r="M22" i="26"/>
  <c r="N20" i="26"/>
  <c r="D365" i="25"/>
  <c r="D361" i="25"/>
  <c r="B359" i="25"/>
  <c r="E357" i="25"/>
  <c r="E355" i="25"/>
  <c r="E353" i="25"/>
  <c r="B351" i="25"/>
  <c r="D348" i="25"/>
  <c r="B348" i="25"/>
  <c r="D347" i="25"/>
  <c r="B347" i="25"/>
  <c r="D346" i="25"/>
  <c r="B346" i="25"/>
  <c r="D343" i="25"/>
  <c r="E342" i="25"/>
  <c r="F339" i="25"/>
  <c r="D338" i="25"/>
  <c r="D334" i="25"/>
  <c r="E333" i="25"/>
  <c r="F330" i="25"/>
  <c r="D329" i="25"/>
  <c r="D325" i="25"/>
  <c r="E324" i="25"/>
  <c r="F321" i="25"/>
  <c r="D320" i="25"/>
  <c r="B315" i="25"/>
  <c r="D312" i="25"/>
  <c r="B312" i="25"/>
  <c r="D311" i="25"/>
  <c r="B311" i="25"/>
  <c r="S285" i="26" l="1"/>
  <c r="N18" i="26"/>
  <c r="O16" i="26"/>
  <c r="N22" i="26"/>
  <c r="O20" i="26"/>
  <c r="T285" i="26" l="1"/>
  <c r="O18" i="26"/>
  <c r="P16" i="26"/>
  <c r="O22" i="26"/>
  <c r="P20" i="26"/>
  <c r="D310" i="25"/>
  <c r="B310" i="25"/>
  <c r="D309" i="25"/>
  <c r="B309" i="25"/>
  <c r="D308" i="25"/>
  <c r="B308" i="25"/>
  <c r="D307" i="25"/>
  <c r="B307" i="25"/>
  <c r="D304" i="25"/>
  <c r="E303" i="25"/>
  <c r="E301" i="25"/>
  <c r="F299" i="25" s="1"/>
  <c r="G299" i="25" s="1"/>
  <c r="H299" i="25" s="1"/>
  <c r="I299" i="25" s="1"/>
  <c r="J299" i="25" s="1"/>
  <c r="K299" i="25" s="1"/>
  <c r="L299" i="25" s="1"/>
  <c r="M299" i="25" s="1"/>
  <c r="N299" i="25" s="1"/>
  <c r="O299" i="25" s="1"/>
  <c r="P299" i="25" s="1"/>
  <c r="Q299" i="25" s="1"/>
  <c r="R299" i="25" s="1"/>
  <c r="S299" i="25" s="1"/>
  <c r="T299" i="25" s="1"/>
  <c r="U299" i="25" s="1"/>
  <c r="V299" i="25" s="1"/>
  <c r="W299" i="25" s="1"/>
  <c r="X299" i="25" s="1"/>
  <c r="Y299" i="25" s="1"/>
  <c r="Z299" i="25" s="1"/>
  <c r="AA299" i="25" s="1"/>
  <c r="AB299" i="25" s="1"/>
  <c r="AC299" i="25" s="1"/>
  <c r="AD299" i="25" s="1"/>
  <c r="AE299" i="25" s="1"/>
  <c r="AF299" i="25" s="1"/>
  <c r="AG299" i="25" s="1"/>
  <c r="AH299" i="25" s="1"/>
  <c r="D298" i="25"/>
  <c r="D294" i="25"/>
  <c r="E293" i="25"/>
  <c r="E291" i="25"/>
  <c r="F289" i="25" s="1"/>
  <c r="G289" i="25" s="1"/>
  <c r="H289" i="25" s="1"/>
  <c r="I289" i="25" s="1"/>
  <c r="J289" i="25" s="1"/>
  <c r="K289" i="25" s="1"/>
  <c r="L289" i="25" s="1"/>
  <c r="M289" i="25" s="1"/>
  <c r="N289" i="25" s="1"/>
  <c r="O289" i="25" s="1"/>
  <c r="P289" i="25" s="1"/>
  <c r="Q289" i="25" s="1"/>
  <c r="R289" i="25" s="1"/>
  <c r="S289" i="25" s="1"/>
  <c r="T289" i="25" s="1"/>
  <c r="U289" i="25" s="1"/>
  <c r="V289" i="25" s="1"/>
  <c r="W289" i="25" s="1"/>
  <c r="X289" i="25" s="1"/>
  <c r="Y289" i="25" s="1"/>
  <c r="Z289" i="25" s="1"/>
  <c r="AA289" i="25" s="1"/>
  <c r="AB289" i="25" s="1"/>
  <c r="AC289" i="25" s="1"/>
  <c r="AD289" i="25" s="1"/>
  <c r="AE289" i="25" s="1"/>
  <c r="AF289" i="25" s="1"/>
  <c r="AG289" i="25" s="1"/>
  <c r="AH289" i="25" s="1"/>
  <c r="U285" i="26" l="1"/>
  <c r="P18" i="26"/>
  <c r="Q16" i="26"/>
  <c r="P22" i="26"/>
  <c r="Q20" i="26"/>
  <c r="D288" i="25"/>
  <c r="V285" i="26" l="1"/>
  <c r="Q18" i="26"/>
  <c r="R16" i="26"/>
  <c r="Q22" i="26"/>
  <c r="R20" i="26"/>
  <c r="D284" i="25"/>
  <c r="E283" i="25"/>
  <c r="E281" i="25"/>
  <c r="D279" i="25"/>
  <c r="D275" i="25"/>
  <c r="E274" i="25"/>
  <c r="E272" i="25"/>
  <c r="D270" i="25"/>
  <c r="D266" i="25"/>
  <c r="E265" i="25"/>
  <c r="E263" i="25"/>
  <c r="D261" i="25"/>
  <c r="D257" i="25"/>
  <c r="E256" i="25"/>
  <c r="E253" i="25"/>
  <c r="D251" i="25"/>
  <c r="F24" i="37" s="1"/>
  <c r="D247" i="25"/>
  <c r="D246" i="25"/>
  <c r="B242" i="25"/>
  <c r="W285" i="26" l="1"/>
  <c r="R18" i="26"/>
  <c r="S16" i="26"/>
  <c r="R22" i="26"/>
  <c r="S20" i="26"/>
  <c r="E235" i="25"/>
  <c r="D232" i="25"/>
  <c r="B163" i="34" s="1"/>
  <c r="D231" i="25"/>
  <c r="B162" i="34" s="1"/>
  <c r="E228" i="25"/>
  <c r="X285" i="26" l="1"/>
  <c r="S18" i="26"/>
  <c r="T16" i="26"/>
  <c r="S22" i="26"/>
  <c r="T20" i="26"/>
  <c r="Y285" i="26" l="1"/>
  <c r="T18" i="26"/>
  <c r="U16" i="26"/>
  <c r="T22" i="26"/>
  <c r="U20" i="26"/>
  <c r="D223" i="25"/>
  <c r="D209" i="25"/>
  <c r="B209" i="25"/>
  <c r="D208" i="25"/>
  <c r="B208" i="25"/>
  <c r="E207" i="25"/>
  <c r="D207" i="25"/>
  <c r="B207" i="25"/>
  <c r="D205" i="25"/>
  <c r="B205" i="25"/>
  <c r="D203" i="25"/>
  <c r="B203" i="25"/>
  <c r="D202" i="25"/>
  <c r="B202" i="25"/>
  <c r="B197" i="25"/>
  <c r="D159" i="25"/>
  <c r="Z285" i="26" l="1"/>
  <c r="U18" i="26"/>
  <c r="V16" i="26"/>
  <c r="U22" i="26"/>
  <c r="V20" i="26"/>
  <c r="E148" i="25"/>
  <c r="B146" i="25"/>
  <c r="B147" i="33" s="1"/>
  <c r="B155" i="33" s="1"/>
  <c r="E143" i="25"/>
  <c r="B141" i="25"/>
  <c r="B146" i="33" s="1"/>
  <c r="B154" i="33" s="1"/>
  <c r="E138" i="25"/>
  <c r="D137" i="25"/>
  <c r="B136" i="25"/>
  <c r="B145" i="33" s="1"/>
  <c r="B153" i="33" s="1"/>
  <c r="E132" i="25"/>
  <c r="B130" i="25"/>
  <c r="D129" i="25"/>
  <c r="B129" i="25"/>
  <c r="B128" i="25"/>
  <c r="D127" i="25"/>
  <c r="B127" i="25"/>
  <c r="B126" i="25"/>
  <c r="D125" i="25"/>
  <c r="B125" i="25"/>
  <c r="E119" i="25"/>
  <c r="E109" i="25"/>
  <c r="D107" i="25"/>
  <c r="B104" i="25"/>
  <c r="D102" i="25"/>
  <c r="B102" i="25"/>
  <c r="D101" i="25"/>
  <c r="B101" i="25"/>
  <c r="D99" i="25"/>
  <c r="B99" i="25"/>
  <c r="E96" i="25"/>
  <c r="B96" i="25"/>
  <c r="D94" i="25"/>
  <c r="B94" i="25"/>
  <c r="D93" i="25"/>
  <c r="B93" i="25"/>
  <c r="D91" i="25"/>
  <c r="B91" i="25"/>
  <c r="E88" i="25"/>
  <c r="B88" i="25"/>
  <c r="D86" i="25"/>
  <c r="B86" i="25"/>
  <c r="D85" i="25"/>
  <c r="B85" i="25"/>
  <c r="D83" i="25"/>
  <c r="B83" i="25"/>
  <c r="E80" i="25"/>
  <c r="B80" i="25"/>
  <c r="D78" i="25"/>
  <c r="B78" i="25"/>
  <c r="D77" i="25"/>
  <c r="B77" i="25"/>
  <c r="D75" i="25"/>
  <c r="B75" i="25"/>
  <c r="E72" i="25"/>
  <c r="B72" i="25"/>
  <c r="D70" i="25"/>
  <c r="B70" i="25"/>
  <c r="D69" i="25"/>
  <c r="B69" i="25"/>
  <c r="D67" i="25"/>
  <c r="B67" i="25"/>
  <c r="E64" i="25"/>
  <c r="B64" i="25"/>
  <c r="D63" i="25"/>
  <c r="B63" i="25"/>
  <c r="D62" i="25"/>
  <c r="B62" i="25"/>
  <c r="E58" i="25"/>
  <c r="B58" i="25"/>
  <c r="D56" i="25"/>
  <c r="D45" i="25"/>
  <c r="B45" i="25"/>
  <c r="D44" i="25"/>
  <c r="B44" i="25"/>
  <c r="D43" i="25"/>
  <c r="B43" i="25"/>
  <c r="D42" i="25"/>
  <c r="B42" i="25"/>
  <c r="D41" i="25"/>
  <c r="B41" i="25"/>
  <c r="D40" i="25"/>
  <c r="B40" i="25"/>
  <c r="D38" i="25"/>
  <c r="N30" i="37" s="1"/>
  <c r="N31" i="37" s="1"/>
  <c r="B38" i="25"/>
  <c r="D37" i="25"/>
  <c r="N29" i="37" s="1"/>
  <c r="B37" i="25"/>
  <c r="D36" i="25"/>
  <c r="N28" i="37" s="1"/>
  <c r="B36" i="25"/>
  <c r="D35" i="25"/>
  <c r="N27" i="37" s="1"/>
  <c r="B35" i="25"/>
  <c r="D34" i="25"/>
  <c r="N26" i="37" s="1"/>
  <c r="B34" i="25"/>
  <c r="D33" i="25"/>
  <c r="N25" i="37" s="1"/>
  <c r="B33" i="25"/>
  <c r="E24" i="25"/>
  <c r="B24" i="25"/>
  <c r="B160" i="33" l="1"/>
  <c r="B167" i="33"/>
  <c r="B161" i="33"/>
  <c r="B168" i="33"/>
  <c r="B169" i="33"/>
  <c r="B162" i="33"/>
  <c r="G46" i="25"/>
  <c r="B165" i="33"/>
  <c r="F165" i="33"/>
  <c r="H165" i="33" s="1"/>
  <c r="B152" i="25"/>
  <c r="B153" i="25"/>
  <c r="B151" i="25"/>
  <c r="AA285" i="26"/>
  <c r="V18" i="26"/>
  <c r="W16" i="26"/>
  <c r="V22" i="26"/>
  <c r="W20" i="26"/>
  <c r="B158" i="10"/>
  <c r="D651" i="7"/>
  <c r="D653" i="7" s="1"/>
  <c r="D655" i="7" s="1"/>
  <c r="D142" i="25"/>
  <c r="E18" i="25"/>
  <c r="F16" i="25"/>
  <c r="F18" i="25" s="1"/>
  <c r="B14" i="25"/>
  <c r="E5" i="25"/>
  <c r="E11" i="25"/>
  <c r="B11" i="25"/>
  <c r="B3" i="25"/>
  <c r="B2" i="25"/>
  <c r="E567" i="1"/>
  <c r="D567" i="1"/>
  <c r="D566" i="1"/>
  <c r="D565" i="1"/>
  <c r="D564" i="1"/>
  <c r="B560" i="1"/>
  <c r="D558" i="1"/>
  <c r="B555" i="1"/>
  <c r="D547" i="1"/>
  <c r="B547" i="1"/>
  <c r="D546" i="1"/>
  <c r="B546" i="1"/>
  <c r="F538" i="1"/>
  <c r="E537" i="1"/>
  <c r="D529" i="1"/>
  <c r="B529" i="1"/>
  <c r="D528" i="1"/>
  <c r="B528" i="1"/>
  <c r="F520" i="1"/>
  <c r="E519" i="1"/>
  <c r="D511" i="1"/>
  <c r="B511" i="1"/>
  <c r="D510" i="1"/>
  <c r="B510" i="1"/>
  <c r="E501" i="1"/>
  <c r="D493" i="1"/>
  <c r="B493" i="1"/>
  <c r="D492" i="1"/>
  <c r="B492" i="1"/>
  <c r="F486" i="1"/>
  <c r="F522" i="1" s="1"/>
  <c r="F521" i="1"/>
  <c r="F484" i="1"/>
  <c r="D481" i="1"/>
  <c r="B481" i="1"/>
  <c r="D480" i="1"/>
  <c r="B480" i="1"/>
  <c r="F474" i="1"/>
  <c r="F473" i="1"/>
  <c r="F472" i="1"/>
  <c r="E473" i="1" s="1"/>
  <c r="E471" i="1"/>
  <c r="D469" i="1"/>
  <c r="B469" i="1"/>
  <c r="D468" i="1"/>
  <c r="B468" i="1"/>
  <c r="F462" i="1"/>
  <c r="F461" i="1"/>
  <c r="F460" i="1"/>
  <c r="E459" i="1"/>
  <c r="D457" i="1"/>
  <c r="B457" i="1"/>
  <c r="D456" i="1"/>
  <c r="B456" i="1"/>
  <c r="F450" i="1"/>
  <c r="F449" i="1"/>
  <c r="F448" i="1"/>
  <c r="E447" i="1"/>
  <c r="B445" i="1"/>
  <c r="D442" i="1"/>
  <c r="D441" i="1"/>
  <c r="D440" i="1"/>
  <c r="D439" i="1"/>
  <c r="D438" i="1"/>
  <c r="D437" i="1"/>
  <c r="D432" i="1"/>
  <c r="D428" i="1"/>
  <c r="E461" i="1" l="1"/>
  <c r="E449" i="1"/>
  <c r="E367" i="7"/>
  <c r="D367" i="7"/>
  <c r="E522" i="1"/>
  <c r="D524" i="1" s="1"/>
  <c r="N10" i="36" s="1"/>
  <c r="E486" i="1"/>
  <c r="E540" i="1"/>
  <c r="E504" i="1"/>
  <c r="M19" i="38"/>
  <c r="M20" i="36"/>
  <c r="AB285" i="26"/>
  <c r="W18" i="26"/>
  <c r="X16" i="26"/>
  <c r="W22" i="26"/>
  <c r="X20" i="26"/>
  <c r="F503" i="1"/>
  <c r="D152" i="25"/>
  <c r="D147" i="25"/>
  <c r="F504" i="1"/>
  <c r="E483" i="7" l="1"/>
  <c r="E484" i="7" s="1"/>
  <c r="D483" i="7"/>
  <c r="E453" i="7"/>
  <c r="E454" i="7" s="1"/>
  <c r="D453" i="7"/>
  <c r="E423" i="7"/>
  <c r="E424" i="7" s="1"/>
  <c r="D423" i="7"/>
  <c r="E393" i="7"/>
  <c r="E394" i="7" s="1"/>
  <c r="D393" i="7"/>
  <c r="D525" i="1"/>
  <c r="D437" i="7"/>
  <c r="D438" i="7" s="1"/>
  <c r="D439" i="7" s="1"/>
  <c r="D440" i="7" s="1"/>
  <c r="D506" i="1"/>
  <c r="M10" i="36" s="1"/>
  <c r="AC285" i="26"/>
  <c r="X18" i="26"/>
  <c r="Y16" i="26"/>
  <c r="X22" i="26"/>
  <c r="Y20" i="26"/>
  <c r="D441" i="7" l="1"/>
  <c r="D443" i="7"/>
  <c r="D444" i="7" s="1"/>
  <c r="D445" i="7" s="1"/>
  <c r="D446" i="7" s="1"/>
  <c r="D447" i="7" s="1"/>
  <c r="D448" i="7" s="1"/>
  <c r="D449" i="7" s="1"/>
  <c r="D450" i="7" s="1"/>
  <c r="D407" i="7"/>
  <c r="D408" i="7" s="1"/>
  <c r="D409" i="7" s="1"/>
  <c r="D410" i="7" s="1"/>
  <c r="D507" i="1"/>
  <c r="AD285" i="26"/>
  <c r="Y18" i="26"/>
  <c r="Z16" i="26"/>
  <c r="Y22" i="26"/>
  <c r="Z20" i="26"/>
  <c r="D411" i="7" l="1"/>
  <c r="D413" i="7"/>
  <c r="D414" i="7" s="1"/>
  <c r="D415" i="7" s="1"/>
  <c r="D416" i="7" s="1"/>
  <c r="D417" i="7" s="1"/>
  <c r="D418" i="7" s="1"/>
  <c r="D419" i="7" s="1"/>
  <c r="D420" i="7" s="1"/>
  <c r="AE285" i="26"/>
  <c r="Z18" i="26"/>
  <c r="AA16" i="26"/>
  <c r="Z22" i="26"/>
  <c r="AA20" i="26"/>
  <c r="AF285" i="26" l="1"/>
  <c r="AA18" i="26"/>
  <c r="AB16" i="26"/>
  <c r="AA22" i="26"/>
  <c r="AB20" i="26"/>
  <c r="AG285" i="26" l="1"/>
  <c r="AB22" i="26"/>
  <c r="AC20" i="26"/>
  <c r="AB18" i="26"/>
  <c r="AC16" i="26"/>
  <c r="AH285" i="26" l="1"/>
  <c r="AC22" i="26"/>
  <c r="AD20" i="26"/>
  <c r="AC18" i="26"/>
  <c r="AD16" i="26"/>
  <c r="AD22" i="26" l="1"/>
  <c r="AE20" i="26"/>
  <c r="AD18" i="26"/>
  <c r="AE16" i="26"/>
  <c r="AE22" i="26" l="1"/>
  <c r="AF20" i="26"/>
  <c r="AE18" i="26"/>
  <c r="AF16" i="26"/>
  <c r="AF22" i="26" l="1"/>
  <c r="AG20" i="26"/>
  <c r="AF18" i="26"/>
  <c r="AG16" i="26"/>
  <c r="AG22" i="26" l="1"/>
  <c r="AH20" i="26"/>
  <c r="AH22" i="26" s="1"/>
  <c r="AG18" i="26"/>
  <c r="AH16" i="26"/>
  <c r="AH18" i="26" s="1"/>
  <c r="D424" i="1" l="1"/>
  <c r="D420" i="1"/>
  <c r="D416" i="1"/>
  <c r="D412" i="1"/>
  <c r="B410" i="1"/>
  <c r="E408" i="1"/>
  <c r="E406" i="1"/>
  <c r="E404" i="1"/>
  <c r="B402" i="1"/>
  <c r="D399" i="1"/>
  <c r="B399" i="1"/>
  <c r="D398" i="1"/>
  <c r="B398" i="1"/>
  <c r="D397" i="1"/>
  <c r="B397" i="1"/>
  <c r="D394" i="1"/>
  <c r="E393" i="1"/>
  <c r="F390" i="1"/>
  <c r="D389" i="1"/>
  <c r="D385" i="1"/>
  <c r="E384" i="1"/>
  <c r="F381" i="1"/>
  <c r="D380" i="1"/>
  <c r="D376" i="1"/>
  <c r="E375" i="1"/>
  <c r="F372" i="1"/>
  <c r="D371" i="1"/>
  <c r="B366" i="1"/>
  <c r="D363" i="1"/>
  <c r="B363" i="1"/>
  <c r="D362" i="1"/>
  <c r="B362" i="1"/>
  <c r="D361" i="1"/>
  <c r="B361" i="1"/>
  <c r="D360" i="1"/>
  <c r="B360" i="1"/>
  <c r="D359" i="1"/>
  <c r="B359" i="1"/>
  <c r="D358" i="1"/>
  <c r="B358" i="1"/>
  <c r="D355" i="1"/>
  <c r="E354" i="1"/>
  <c r="E352" i="1"/>
  <c r="F350" i="1" s="1"/>
  <c r="D349" i="1"/>
  <c r="D345" i="1"/>
  <c r="E344" i="1"/>
  <c r="E342" i="1"/>
  <c r="F340" i="1" s="1"/>
  <c r="D339" i="1"/>
  <c r="D335" i="1" l="1"/>
  <c r="E334" i="1"/>
  <c r="E332" i="1"/>
  <c r="D330" i="1"/>
  <c r="D326" i="1"/>
  <c r="E325" i="1"/>
  <c r="E323" i="1"/>
  <c r="D321" i="1"/>
  <c r="D317" i="1" l="1"/>
  <c r="E316" i="1"/>
  <c r="E314" i="1"/>
  <c r="D312" i="1"/>
  <c r="D308" i="1"/>
  <c r="E307" i="1"/>
  <c r="E304" i="1"/>
  <c r="D302" i="1"/>
  <c r="F24" i="36" s="1"/>
  <c r="F27" i="35" s="1"/>
  <c r="D298" i="1"/>
  <c r="D297" i="1"/>
  <c r="B293" i="1"/>
  <c r="E286" i="1"/>
  <c r="D283" i="1"/>
  <c r="B161" i="34" s="1"/>
  <c r="D282" i="1"/>
  <c r="E279" i="1"/>
  <c r="D274" i="1"/>
  <c r="B260" i="1"/>
  <c r="D259" i="1"/>
  <c r="B259" i="1"/>
  <c r="E258" i="1"/>
  <c r="D258" i="1"/>
  <c r="B258" i="1"/>
  <c r="D256" i="1"/>
  <c r="B256" i="1"/>
  <c r="D254" i="1"/>
  <c r="B254" i="1"/>
  <c r="D253" i="1"/>
  <c r="B253" i="1"/>
  <c r="B248" i="1"/>
  <c r="D210" i="1"/>
  <c r="D289" i="1" l="1"/>
  <c r="B160" i="34"/>
  <c r="D1124" i="7"/>
  <c r="D1116" i="7"/>
  <c r="D290" i="1"/>
  <c r="D1123" i="7"/>
  <c r="D1115" i="7"/>
  <c r="E192" i="1" l="1"/>
  <c r="B190" i="1"/>
  <c r="E187" i="1"/>
  <c r="B185" i="1"/>
  <c r="E182" i="1"/>
  <c r="B180" i="1"/>
  <c r="E177" i="1"/>
  <c r="B175" i="1"/>
  <c r="E172" i="1"/>
  <c r="B170" i="1"/>
  <c r="E167" i="1"/>
  <c r="B165" i="1"/>
  <c r="E162" i="1"/>
  <c r="B160" i="1"/>
  <c r="E157" i="1"/>
  <c r="B155" i="1"/>
  <c r="E152" i="1"/>
  <c r="B150" i="1"/>
  <c r="E147" i="1"/>
  <c r="D146" i="1"/>
  <c r="B145" i="1"/>
  <c r="E141" i="1"/>
  <c r="D139" i="1"/>
  <c r="B139" i="1"/>
  <c r="D138" i="1"/>
  <c r="B138" i="1"/>
  <c r="D137" i="1"/>
  <c r="B137" i="1"/>
  <c r="D136" i="1"/>
  <c r="B136" i="1"/>
  <c r="D135" i="1"/>
  <c r="B135" i="1"/>
  <c r="D134" i="1"/>
  <c r="B134" i="1"/>
  <c r="D133" i="1"/>
  <c r="B133" i="1"/>
  <c r="D132" i="1"/>
  <c r="B132" i="1"/>
  <c r="D131" i="1"/>
  <c r="B131" i="1"/>
  <c r="D130" i="1"/>
  <c r="D134" i="7" s="1"/>
  <c r="D135" i="7" s="1"/>
  <c r="B130" i="1"/>
  <c r="F127" i="1"/>
  <c r="G127" i="1" s="1"/>
  <c r="H127" i="1" s="1"/>
  <c r="I127" i="1" s="1"/>
  <c r="J127" i="1" s="1"/>
  <c r="K127" i="1" s="1"/>
  <c r="L127" i="1" s="1"/>
  <c r="M127" i="1" s="1"/>
  <c r="N127" i="1" s="1"/>
  <c r="O127" i="1" s="1"/>
  <c r="E109" i="1"/>
  <c r="D107" i="1"/>
  <c r="B104" i="1"/>
  <c r="D102" i="1"/>
  <c r="B102" i="1"/>
  <c r="D101" i="1"/>
  <c r="B101" i="1"/>
  <c r="D99" i="1"/>
  <c r="B99" i="1"/>
  <c r="E96" i="1"/>
  <c r="B96" i="1"/>
  <c r="D94" i="1"/>
  <c r="B94" i="1"/>
  <c r="D93" i="1"/>
  <c r="B93" i="1"/>
  <c r="D91" i="1"/>
  <c r="B91" i="1"/>
  <c r="E88" i="1"/>
  <c r="B88" i="1"/>
  <c r="D86" i="1"/>
  <c r="B86" i="1"/>
  <c r="D85" i="1"/>
  <c r="B85" i="1"/>
  <c r="D83" i="1"/>
  <c r="B83" i="1"/>
  <c r="E80" i="1"/>
  <c r="B80" i="1"/>
  <c r="D78" i="1"/>
  <c r="B78" i="1"/>
  <c r="D77" i="1"/>
  <c r="B77" i="1"/>
  <c r="D75" i="1"/>
  <c r="B75" i="1"/>
  <c r="E72" i="1"/>
  <c r="B72" i="1"/>
  <c r="D70" i="1"/>
  <c r="B70" i="1"/>
  <c r="D69" i="1"/>
  <c r="B69" i="1"/>
  <c r="D67" i="1"/>
  <c r="B67" i="1"/>
  <c r="B64" i="1"/>
  <c r="D63" i="1"/>
  <c r="B63" i="1"/>
  <c r="D62" i="1"/>
  <c r="B155" i="10" s="1"/>
  <c r="B62" i="1"/>
  <c r="B58" i="1"/>
  <c r="D56" i="1"/>
  <c r="F46" i="1"/>
  <c r="D46" i="1"/>
  <c r="D45" i="1"/>
  <c r="N30" i="36" s="1"/>
  <c r="B45" i="1"/>
  <c r="D44" i="1"/>
  <c r="N29" i="36" s="1"/>
  <c r="N28" i="35" s="1"/>
  <c r="B44" i="1"/>
  <c r="D43" i="1"/>
  <c r="N28" i="36" s="1"/>
  <c r="N27" i="35" s="1"/>
  <c r="B43" i="1"/>
  <c r="D42" i="1"/>
  <c r="N27" i="36" s="1"/>
  <c r="N26" i="35" s="1"/>
  <c r="B42" i="1"/>
  <c r="D41" i="1"/>
  <c r="N26" i="36" s="1"/>
  <c r="N25" i="35" s="1"/>
  <c r="B41" i="1"/>
  <c r="D40" i="1"/>
  <c r="N25" i="36" s="1"/>
  <c r="N24" i="35" s="1"/>
  <c r="B40" i="1"/>
  <c r="D38" i="1"/>
  <c r="B38" i="1"/>
  <c r="D37" i="1"/>
  <c r="B37" i="1"/>
  <c r="D36" i="1"/>
  <c r="B36" i="1"/>
  <c r="D35" i="1"/>
  <c r="B35" i="1"/>
  <c r="D34" i="1"/>
  <c r="B34" i="1"/>
  <c r="D33" i="1"/>
  <c r="B33" i="1"/>
  <c r="E24" i="1"/>
  <c r="B24" i="1"/>
  <c r="E18" i="1"/>
  <c r="F16" i="1"/>
  <c r="F18" i="1" s="1"/>
  <c r="B14" i="1"/>
  <c r="F13" i="27"/>
  <c r="N31" i="36" l="1"/>
  <c r="N30" i="35" s="1"/>
  <c r="N29" i="35"/>
  <c r="D195" i="1"/>
  <c r="B171" i="32"/>
  <c r="F171" i="32"/>
  <c r="H171" i="32" s="1"/>
  <c r="AH13" i="27"/>
  <c r="AG13" i="27" s="1"/>
  <c r="AF13" i="27" s="1"/>
  <c r="AE13" i="27" s="1"/>
  <c r="AD13" i="27" s="1"/>
  <c r="AC13" i="27" s="1"/>
  <c r="AB13" i="27" s="1"/>
  <c r="AA13" i="27" s="1"/>
  <c r="Z13" i="27" s="1"/>
  <c r="Y13" i="27" s="1"/>
  <c r="X13" i="27" s="1"/>
  <c r="W13" i="27" s="1"/>
  <c r="V13" i="27" s="1"/>
  <c r="U13" i="27" s="1"/>
  <c r="T13" i="27" s="1"/>
  <c r="S13" i="27" s="1"/>
  <c r="R13" i="27" s="1"/>
  <c r="Q13" i="27" s="1"/>
  <c r="P13" i="27" s="1"/>
  <c r="O13" i="27" s="1"/>
  <c r="N13" i="27" s="1"/>
  <c r="M13" i="27" s="1"/>
  <c r="L13" i="27" s="1"/>
  <c r="K13" i="27" s="1"/>
  <c r="J13" i="27" s="1"/>
  <c r="I13" i="27" s="1"/>
  <c r="H13" i="27" s="1"/>
  <c r="G13" i="27" s="1"/>
  <c r="B195" i="1"/>
  <c r="G46" i="1"/>
  <c r="G16" i="1"/>
  <c r="G18" i="1" s="1"/>
  <c r="D151" i="1"/>
  <c r="D156" i="1" s="1"/>
  <c r="D161" i="1" s="1"/>
  <c r="D166" i="1" s="1"/>
  <c r="D171" i="1" s="1"/>
  <c r="D176" i="1" s="1"/>
  <c r="D181" i="1" s="1"/>
  <c r="D186" i="1" s="1"/>
  <c r="D191" i="1" s="1"/>
  <c r="B157" i="10"/>
  <c r="D211" i="7"/>
  <c r="D213" i="7" s="1"/>
  <c r="D215" i="7" s="1"/>
  <c r="D217" i="7" s="1"/>
  <c r="D219" i="7" s="1"/>
  <c r="D221" i="7" s="1"/>
  <c r="D223" i="7" s="1"/>
  <c r="D225" i="7" s="1"/>
  <c r="E5" i="1" l="1"/>
  <c r="E6" i="1" s="1"/>
  <c r="F5" i="1" s="1"/>
  <c r="E11" i="1"/>
  <c r="B11" i="1"/>
  <c r="E8" i="1"/>
  <c r="B3" i="1"/>
  <c r="B2" i="1" l="1"/>
  <c r="F483" i="7" l="1"/>
  <c r="B42" i="29"/>
  <c r="B41" i="29"/>
  <c r="F37" i="29"/>
  <c r="E34" i="29"/>
  <c r="B23" i="29"/>
  <c r="F367" i="7" l="1"/>
  <c r="F453" i="7"/>
  <c r="F423" i="7"/>
  <c r="F393" i="7"/>
  <c r="F311" i="26"/>
  <c r="F329" i="26"/>
  <c r="F320" i="26"/>
  <c r="F290" i="26"/>
  <c r="F280" i="26"/>
  <c r="F243" i="26"/>
  <c r="F325" i="25"/>
  <c r="F343" i="25"/>
  <c r="F334" i="25"/>
  <c r="F294" i="25"/>
  <c r="F304" i="25"/>
  <c r="F257" i="25"/>
  <c r="F171" i="26"/>
  <c r="F180" i="26"/>
  <c r="F222" i="1"/>
  <c r="F240" i="1"/>
  <c r="F231" i="1"/>
  <c r="F180" i="25"/>
  <c r="F189" i="26"/>
  <c r="F189" i="25"/>
  <c r="F171" i="25"/>
  <c r="F83" i="27"/>
  <c r="F74" i="27"/>
  <c r="F65" i="27"/>
  <c r="F48" i="27"/>
  <c r="F38" i="27"/>
  <c r="F394" i="1"/>
  <c r="F385" i="1"/>
  <c r="F345" i="1"/>
  <c r="F355" i="1"/>
  <c r="F376" i="1"/>
  <c r="F308" i="1"/>
  <c r="F901" i="7"/>
  <c r="F871" i="7"/>
  <c r="I13" i="29"/>
  <c r="I11" i="29"/>
  <c r="I10" i="29"/>
  <c r="B3" i="29"/>
  <c r="I14" i="29" l="1"/>
  <c r="J25" i="29" s="1"/>
  <c r="E6" i="7"/>
  <c r="E12" i="7" s="1"/>
  <c r="E13" i="7" s="1"/>
  <c r="F6" i="1"/>
  <c r="G5" i="1" s="1"/>
  <c r="G6" i="1" s="1"/>
  <c r="H5" i="1" s="1"/>
  <c r="H6" i="1" s="1"/>
  <c r="I5" i="1" s="1"/>
  <c r="I6" i="1" s="1"/>
  <c r="J5" i="1" s="1"/>
  <c r="J6" i="1" s="1"/>
  <c r="K5" i="1" s="1"/>
  <c r="K6" i="1" s="1"/>
  <c r="L5" i="1" s="1"/>
  <c r="L6" i="1" s="1"/>
  <c r="M5" i="1" s="1"/>
  <c r="M6" i="1" s="1"/>
  <c r="N5" i="1" s="1"/>
  <c r="N6" i="1" s="1"/>
  <c r="O5" i="1" s="1"/>
  <c r="O6" i="1" s="1"/>
  <c r="P5" i="1" s="1"/>
  <c r="P6" i="1" s="1"/>
  <c r="Q5" i="1" s="1"/>
  <c r="Q6" i="1" s="1"/>
  <c r="R5" i="1" s="1"/>
  <c r="R6" i="1" s="1"/>
  <c r="S5" i="1" s="1"/>
  <c r="S6" i="1" s="1"/>
  <c r="T5" i="1" s="1"/>
  <c r="T6" i="1" s="1"/>
  <c r="U5" i="1" s="1"/>
  <c r="U6" i="1" s="1"/>
  <c r="V5" i="1" s="1"/>
  <c r="V6" i="1" s="1"/>
  <c r="W5" i="1" s="1"/>
  <c r="W6" i="1" s="1"/>
  <c r="X5" i="1" s="1"/>
  <c r="X6" i="1" s="1"/>
  <c r="Y5" i="1" s="1"/>
  <c r="Y6" i="1" s="1"/>
  <c r="Z5" i="1" s="1"/>
  <c r="Z6" i="1" s="1"/>
  <c r="AA5" i="1" s="1"/>
  <c r="AA6" i="1" s="1"/>
  <c r="AB5" i="1" s="1"/>
  <c r="AB6" i="1" s="1"/>
  <c r="AC5" i="1" s="1"/>
  <c r="AC6" i="1" s="1"/>
  <c r="AD5" i="1" s="1"/>
  <c r="AD6" i="1" s="1"/>
  <c r="AE5" i="1" s="1"/>
  <c r="AE6" i="1" s="1"/>
  <c r="AF5" i="1" s="1"/>
  <c r="AF6" i="1" s="1"/>
  <c r="AG5" i="1" s="1"/>
  <c r="AG6" i="1" s="1"/>
  <c r="AH5" i="1" s="1"/>
  <c r="AH6" i="1" s="1"/>
  <c r="P127" i="1"/>
  <c r="Q127" i="1" s="1"/>
  <c r="R127" i="1" s="1"/>
  <c r="S127" i="1" s="1"/>
  <c r="T127" i="1" s="1"/>
  <c r="U127" i="1" s="1"/>
  <c r="V127" i="1" s="1"/>
  <c r="W127" i="1" s="1"/>
  <c r="X127" i="1" s="1"/>
  <c r="Y127" i="1" s="1"/>
  <c r="Z127" i="1" s="1"/>
  <c r="AA127" i="1" s="1"/>
  <c r="AB127" i="1" s="1"/>
  <c r="AC127" i="1" s="1"/>
  <c r="AD127" i="1" s="1"/>
  <c r="AE127" i="1" s="1"/>
  <c r="AF127" i="1" s="1"/>
  <c r="AG127" i="1" s="1"/>
  <c r="AH127" i="1" s="1"/>
  <c r="D196" i="1"/>
  <c r="D197" i="1" s="1"/>
  <c r="D198" i="1" s="1"/>
  <c r="D199" i="1" s="1"/>
  <c r="D200" i="1" s="1"/>
  <c r="D201" i="1" s="1"/>
  <c r="D202" i="1" s="1"/>
  <c r="D203" i="1" s="1"/>
  <c r="D204" i="1" s="1"/>
  <c r="B196" i="1"/>
  <c r="B197" i="1"/>
  <c r="B198" i="1"/>
  <c r="B200" i="1"/>
  <c r="B199" i="1"/>
  <c r="B201" i="1"/>
  <c r="B202" i="1"/>
  <c r="B203" i="1"/>
  <c r="B204" i="1"/>
  <c r="E305" i="1"/>
  <c r="E6" i="25"/>
  <c r="F5" i="25" s="1"/>
  <c r="F6" i="25" s="1"/>
  <c r="G5" i="25" s="1"/>
  <c r="G6" i="25" s="1"/>
  <c r="H5" i="25" s="1"/>
  <c r="H6" i="25" s="1"/>
  <c r="I5" i="25" s="1"/>
  <c r="I6" i="25" s="1"/>
  <c r="J5" i="25" s="1"/>
  <c r="J6" i="25" s="1"/>
  <c r="K5" i="25" s="1"/>
  <c r="K6" i="25" s="1"/>
  <c r="L5" i="25" s="1"/>
  <c r="L6" i="25" s="1"/>
  <c r="M5" i="25" s="1"/>
  <c r="M6" i="25" s="1"/>
  <c r="N5" i="25" s="1"/>
  <c r="N6" i="25" s="1"/>
  <c r="O5" i="25" s="1"/>
  <c r="O6" i="25" s="1"/>
  <c r="P5" i="25" s="1"/>
  <c r="P6" i="25" s="1"/>
  <c r="Q5" i="25" s="1"/>
  <c r="Q6" i="25" s="1"/>
  <c r="R5" i="25" s="1"/>
  <c r="R6" i="25" s="1"/>
  <c r="S5" i="25" s="1"/>
  <c r="S6" i="25" s="1"/>
  <c r="T5" i="25" s="1"/>
  <c r="T6" i="25" s="1"/>
  <c r="U5" i="25" s="1"/>
  <c r="U6" i="25" s="1"/>
  <c r="V5" i="25" s="1"/>
  <c r="V6" i="25" s="1"/>
  <c r="W5" i="25" s="1"/>
  <c r="W6" i="25" s="1"/>
  <c r="X5" i="25" s="1"/>
  <c r="X6" i="25" s="1"/>
  <c r="Y5" i="25" s="1"/>
  <c r="Y6" i="25" s="1"/>
  <c r="Z5" i="25" s="1"/>
  <c r="Z6" i="25" s="1"/>
  <c r="AA5" i="25" s="1"/>
  <c r="AA6" i="25" s="1"/>
  <c r="AB5" i="25" s="1"/>
  <c r="AB6" i="25" s="1"/>
  <c r="AC5" i="25" s="1"/>
  <c r="AC6" i="25" s="1"/>
  <c r="AD5" i="25" s="1"/>
  <c r="AD6" i="25" s="1"/>
  <c r="AE5" i="25" s="1"/>
  <c r="AE6" i="25" s="1"/>
  <c r="AF5" i="25" s="1"/>
  <c r="AF6" i="25" s="1"/>
  <c r="AG5" i="25" s="1"/>
  <c r="AG6" i="25" s="1"/>
  <c r="AH5" i="25" s="1"/>
  <c r="AH6" i="25" s="1"/>
  <c r="F539" i="1"/>
  <c r="E120" i="25"/>
  <c r="F119" i="25" s="1"/>
  <c r="F120" i="25" s="1"/>
  <c r="G119" i="25" s="1"/>
  <c r="G120" i="25" s="1"/>
  <c r="H119" i="25" s="1"/>
  <c r="H120" i="25" s="1"/>
  <c r="I119" i="25" s="1"/>
  <c r="I120" i="25" s="1"/>
  <c r="J119" i="25" s="1"/>
  <c r="J120" i="25" s="1"/>
  <c r="K119" i="25" s="1"/>
  <c r="K120" i="25" s="1"/>
  <c r="L119" i="25" s="1"/>
  <c r="L120" i="25" s="1"/>
  <c r="M119" i="25" s="1"/>
  <c r="M120" i="25" s="1"/>
  <c r="N119" i="25" s="1"/>
  <c r="N120" i="25" s="1"/>
  <c r="O119" i="25" s="1"/>
  <c r="O120" i="25" s="1"/>
  <c r="P119" i="25" s="1"/>
  <c r="P120" i="25" s="1"/>
  <c r="Q119" i="25" s="1"/>
  <c r="Q120" i="25" s="1"/>
  <c r="R119" i="25" s="1"/>
  <c r="R120" i="25" s="1"/>
  <c r="S119" i="25" s="1"/>
  <c r="S120" i="25" s="1"/>
  <c r="T119" i="25" s="1"/>
  <c r="T120" i="25" s="1"/>
  <c r="U119" i="25" s="1"/>
  <c r="U120" i="25" s="1"/>
  <c r="V119" i="25" s="1"/>
  <c r="V120" i="25" s="1"/>
  <c r="W119" i="25" s="1"/>
  <c r="W120" i="25" s="1"/>
  <c r="X119" i="25" s="1"/>
  <c r="X120" i="25" s="1"/>
  <c r="Y119" i="25" s="1"/>
  <c r="Y120" i="25" s="1"/>
  <c r="Z119" i="25" s="1"/>
  <c r="Z120" i="25" s="1"/>
  <c r="AA119" i="25" s="1"/>
  <c r="AA120" i="25" s="1"/>
  <c r="AB119" i="25" s="1"/>
  <c r="AB120" i="25" s="1"/>
  <c r="AC119" i="25" s="1"/>
  <c r="AC120" i="25" s="1"/>
  <c r="AD119" i="25" s="1"/>
  <c r="AD120" i="25" s="1"/>
  <c r="AE119" i="25" s="1"/>
  <c r="AE120" i="25" s="1"/>
  <c r="AF119" i="25" s="1"/>
  <c r="AF120" i="25" s="1"/>
  <c r="AG119" i="25" s="1"/>
  <c r="AG120" i="25" s="1"/>
  <c r="AH119" i="25" s="1"/>
  <c r="AH120" i="25" s="1"/>
  <c r="E254" i="25"/>
  <c r="E6" i="26"/>
  <c r="F5" i="26" s="1"/>
  <c r="F6" i="26" s="1"/>
  <c r="G5" i="26" s="1"/>
  <c r="G6" i="26" s="1"/>
  <c r="H5" i="26" s="1"/>
  <c r="H6" i="26" s="1"/>
  <c r="I5" i="26" s="1"/>
  <c r="I6" i="26" s="1"/>
  <c r="J5" i="26" s="1"/>
  <c r="J6" i="26" s="1"/>
  <c r="K5" i="26" s="1"/>
  <c r="K6" i="26" s="1"/>
  <c r="L5" i="26" s="1"/>
  <c r="L6" i="26" s="1"/>
  <c r="M5" i="26" s="1"/>
  <c r="M6" i="26" s="1"/>
  <c r="N5" i="26" s="1"/>
  <c r="N6" i="26" s="1"/>
  <c r="O5" i="26" s="1"/>
  <c r="O6" i="26" s="1"/>
  <c r="P5" i="26" s="1"/>
  <c r="P6" i="26" s="1"/>
  <c r="Q5" i="26" s="1"/>
  <c r="Q6" i="26" s="1"/>
  <c r="R5" i="26" s="1"/>
  <c r="R6" i="26" s="1"/>
  <c r="S5" i="26" s="1"/>
  <c r="S6" i="26" s="1"/>
  <c r="T5" i="26" s="1"/>
  <c r="T6" i="26" s="1"/>
  <c r="U5" i="26" s="1"/>
  <c r="U6" i="26" s="1"/>
  <c r="V5" i="26" s="1"/>
  <c r="V6" i="26" s="1"/>
  <c r="W5" i="26" s="1"/>
  <c r="W6" i="26" s="1"/>
  <c r="X5" i="26" s="1"/>
  <c r="X6" i="26" s="1"/>
  <c r="Y5" i="26" s="1"/>
  <c r="Y6" i="26" s="1"/>
  <c r="Z5" i="26" s="1"/>
  <c r="Z6" i="26" s="1"/>
  <c r="AA5" i="26" s="1"/>
  <c r="AA6" i="26" s="1"/>
  <c r="AB5" i="26" s="1"/>
  <c r="AB6" i="26" s="1"/>
  <c r="AC5" i="26" s="1"/>
  <c r="AC6" i="26" s="1"/>
  <c r="AD5" i="26" s="1"/>
  <c r="AD6" i="26" s="1"/>
  <c r="AE5" i="26" s="1"/>
  <c r="AE6" i="26" s="1"/>
  <c r="AF5" i="26" s="1"/>
  <c r="AF6" i="26" s="1"/>
  <c r="AG5" i="26" s="1"/>
  <c r="AG6" i="26" s="1"/>
  <c r="AH5" i="26" s="1"/>
  <c r="AH6" i="26" s="1"/>
  <c r="E6" i="27"/>
  <c r="F5" i="27" s="1"/>
  <c r="F6" i="27" s="1"/>
  <c r="G5" i="27" s="1"/>
  <c r="G6" i="27" s="1"/>
  <c r="H5" i="27" s="1"/>
  <c r="H6" i="27" s="1"/>
  <c r="I5" i="27" s="1"/>
  <c r="I6" i="27" s="1"/>
  <c r="J5" i="27" s="1"/>
  <c r="J6" i="27" s="1"/>
  <c r="K5" i="27" s="1"/>
  <c r="K6" i="27" s="1"/>
  <c r="L5" i="27" s="1"/>
  <c r="L6" i="27" s="1"/>
  <c r="M5" i="27" s="1"/>
  <c r="M6" i="27" s="1"/>
  <c r="N5" i="27" s="1"/>
  <c r="N6" i="27" s="1"/>
  <c r="O5" i="27" s="1"/>
  <c r="O6" i="27" s="1"/>
  <c r="P5" i="27" s="1"/>
  <c r="P6" i="27" s="1"/>
  <c r="Q5" i="27" s="1"/>
  <c r="Q6" i="27" s="1"/>
  <c r="R5" i="27" s="1"/>
  <c r="R6" i="27" s="1"/>
  <c r="S5" i="27" s="1"/>
  <c r="S6" i="27" s="1"/>
  <c r="T5" i="27" s="1"/>
  <c r="T6" i="27" s="1"/>
  <c r="U5" i="27" s="1"/>
  <c r="U6" i="27" s="1"/>
  <c r="V5" i="27" s="1"/>
  <c r="V6" i="27" s="1"/>
  <c r="W5" i="27" s="1"/>
  <c r="W6" i="27" s="1"/>
  <c r="X5" i="27" s="1"/>
  <c r="X6" i="27" s="1"/>
  <c r="Y5" i="27" s="1"/>
  <c r="Y6" i="27" s="1"/>
  <c r="Z5" i="27" s="1"/>
  <c r="Z6" i="27" s="1"/>
  <c r="AA5" i="27" s="1"/>
  <c r="AA6" i="27" s="1"/>
  <c r="AB5" i="27" s="1"/>
  <c r="AB6" i="27" s="1"/>
  <c r="AC5" i="27" s="1"/>
  <c r="AC6" i="27" s="1"/>
  <c r="AD5" i="27" s="1"/>
  <c r="AD6" i="27" s="1"/>
  <c r="AE5" i="27" s="1"/>
  <c r="AE6" i="27" s="1"/>
  <c r="AF5" i="27" s="1"/>
  <c r="AF6" i="27" s="1"/>
  <c r="AG5" i="27" s="1"/>
  <c r="AG6" i="27" s="1"/>
  <c r="AH5" i="27" s="1"/>
  <c r="AH6" i="27" s="1"/>
  <c r="E35" i="27"/>
  <c r="D227" i="7"/>
  <c r="D229" i="7" s="1"/>
  <c r="D475" i="1"/>
  <c r="D488" i="1"/>
  <c r="D400" i="25"/>
  <c r="F488" i="25"/>
  <c r="D855" i="7"/>
  <c r="D856" i="7" s="1"/>
  <c r="D857" i="7" s="1"/>
  <c r="D858" i="7" s="1"/>
  <c r="F474" i="26"/>
  <c r="D386" i="26"/>
  <c r="D410" i="26"/>
  <c r="D398" i="26"/>
  <c r="D1327" i="7"/>
  <c r="D1328" i="7" s="1"/>
  <c r="D1329" i="7" s="1"/>
  <c r="D1330" i="7" s="1"/>
  <c r="D158" i="7"/>
  <c r="D159" i="7" s="1"/>
  <c r="D160" i="7" s="1"/>
  <c r="D161" i="7" s="1"/>
  <c r="D162" i="7" s="1"/>
  <c r="D163" i="7" s="1"/>
  <c r="D164" i="7" s="1"/>
  <c r="D165" i="7" s="1"/>
  <c r="D146" i="7"/>
  <c r="D147" i="7" s="1"/>
  <c r="D148" i="7" s="1"/>
  <c r="D149" i="7" s="1"/>
  <c r="D150" i="7" s="1"/>
  <c r="D151" i="7" s="1"/>
  <c r="D152" i="7" s="1"/>
  <c r="D153" i="7" s="1"/>
  <c r="D154" i="7" s="1"/>
  <c r="B147" i="7"/>
  <c r="D169" i="7"/>
  <c r="D170" i="7" s="1"/>
  <c r="D171" i="7" s="1"/>
  <c r="D172" i="7" s="1"/>
  <c r="D173" i="7" s="1"/>
  <c r="D174" i="7" s="1"/>
  <c r="D175" i="7" s="1"/>
  <c r="D176" i="7" s="1"/>
  <c r="D177" i="7" s="1"/>
  <c r="D181" i="7"/>
  <c r="D182" i="7" s="1"/>
  <c r="D183" i="7" s="1"/>
  <c r="D184" i="7" s="1"/>
  <c r="D185" i="7" s="1"/>
  <c r="D186" i="7" s="1"/>
  <c r="D187" i="7" s="1"/>
  <c r="D188" i="7" s="1"/>
  <c r="D189" i="7" s="1"/>
  <c r="D631" i="7"/>
  <c r="D635" i="7"/>
  <c r="D636" i="7" s="1"/>
  <c r="D640" i="7"/>
  <c r="D641" i="7" s="1"/>
  <c r="D1053" i="7"/>
  <c r="D1054" i="7" s="1"/>
  <c r="D1055" i="7" s="1"/>
  <c r="D1056" i="7" s="1"/>
  <c r="D1060" i="7"/>
  <c r="D1061" i="7" s="1"/>
  <c r="D1062" i="7" s="1"/>
  <c r="D1063" i="7" s="1"/>
  <c r="D1064" i="7" s="1"/>
  <c r="D1068" i="7"/>
  <c r="D1069" i="7" s="1"/>
  <c r="D1070" i="7" s="1"/>
  <c r="D1071" i="7" s="1"/>
  <c r="D1072" i="7" s="1"/>
  <c r="D1045" i="7"/>
  <c r="D1046" i="7" s="1"/>
  <c r="D1047" i="7" s="1"/>
  <c r="D1048" i="7" s="1"/>
  <c r="D1049" i="7" s="1"/>
  <c r="B1045" i="7"/>
  <c r="B1046" i="7"/>
  <c r="B1047" i="7"/>
  <c r="B1048" i="7"/>
  <c r="B1049" i="7"/>
  <c r="D1093" i="7"/>
  <c r="D1094" i="7" s="1"/>
  <c r="D1099" i="7"/>
  <c r="D1100" i="7" s="1"/>
  <c r="D1104" i="7"/>
  <c r="D1105" i="7" s="1"/>
  <c r="B146" i="7"/>
  <c r="B149" i="7"/>
  <c r="B151" i="7"/>
  <c r="B153" i="7"/>
  <c r="B148" i="7"/>
  <c r="B150" i="7"/>
  <c r="B152" i="7"/>
  <c r="B154" i="7"/>
  <c r="D1038" i="7"/>
  <c r="D1039" i="7" s="1"/>
  <c r="D1040" i="7" s="1"/>
  <c r="D1041" i="7" s="1"/>
  <c r="D1042" i="7" s="1"/>
  <c r="D193" i="7"/>
  <c r="D194" i="7" s="1"/>
  <c r="D195" i="7" s="1"/>
  <c r="D196" i="7" s="1"/>
  <c r="D197" i="7" s="1"/>
  <c r="D198" i="7" s="1"/>
  <c r="D199" i="7" s="1"/>
  <c r="D200" i="7" s="1"/>
  <c r="D201" i="7" s="1"/>
  <c r="D1076" i="7"/>
  <c r="D1077" i="7" s="1"/>
  <c r="D1078" i="7" s="1"/>
  <c r="D1079" i="7" s="1"/>
  <c r="D1080" i="7" s="1"/>
  <c r="E6" i="2"/>
  <c r="F5" i="2" s="1"/>
  <c r="F6" i="2" s="1"/>
  <c r="G5" i="2" s="1"/>
  <c r="G6" i="2" s="1"/>
  <c r="H5" i="2" s="1"/>
  <c r="H6" i="2" s="1"/>
  <c r="I5" i="2" s="1"/>
  <c r="I6" i="2" s="1"/>
  <c r="J5" i="2" s="1"/>
  <c r="J6" i="2" s="1"/>
  <c r="K5" i="2" s="1"/>
  <c r="K6" i="2" s="1"/>
  <c r="L5" i="2" s="1"/>
  <c r="L6" i="2" s="1"/>
  <c r="M5" i="2" s="1"/>
  <c r="M6" i="2" s="1"/>
  <c r="N5" i="2" s="1"/>
  <c r="N6" i="2" s="1"/>
  <c r="O5" i="2" s="1"/>
  <c r="O6" i="2" s="1"/>
  <c r="P5" i="2" s="1"/>
  <c r="P6" i="2" s="1"/>
  <c r="Q5" i="2" s="1"/>
  <c r="Q6" i="2" s="1"/>
  <c r="R5" i="2" s="1"/>
  <c r="R6" i="2" s="1"/>
  <c r="S5" i="2" s="1"/>
  <c r="S6" i="2" s="1"/>
  <c r="T5" i="2" s="1"/>
  <c r="T6" i="2" s="1"/>
  <c r="U5" i="2" s="1"/>
  <c r="U6" i="2" s="1"/>
  <c r="V5" i="2" s="1"/>
  <c r="V6" i="2" s="1"/>
  <c r="W5" i="2" s="1"/>
  <c r="W6" i="2" s="1"/>
  <c r="X5" i="2" s="1"/>
  <c r="X6" i="2" s="1"/>
  <c r="Y5" i="2" s="1"/>
  <c r="Y6" i="2" s="1"/>
  <c r="Z5" i="2" s="1"/>
  <c r="Z6" i="2" s="1"/>
  <c r="AA5" i="2" s="1"/>
  <c r="AA6" i="2" s="1"/>
  <c r="AB5" i="2" s="1"/>
  <c r="AB6" i="2" s="1"/>
  <c r="AC5" i="2" s="1"/>
  <c r="AC6" i="2" s="1"/>
  <c r="AD5" i="2" s="1"/>
  <c r="AD6" i="2" s="1"/>
  <c r="AE5" i="2" s="1"/>
  <c r="AE6" i="2" s="1"/>
  <c r="AF5" i="2" s="1"/>
  <c r="AF6" i="2" s="1"/>
  <c r="AG5" i="2" s="1"/>
  <c r="AG6" i="2" s="1"/>
  <c r="AH5" i="2" s="1"/>
  <c r="AH6" i="2" s="1"/>
  <c r="E6" i="5"/>
  <c r="F5" i="5" s="1"/>
  <c r="F6" i="5" s="1"/>
  <c r="G5" i="5" s="1"/>
  <c r="G6" i="5" s="1"/>
  <c r="H5" i="5" s="1"/>
  <c r="H6" i="5" s="1"/>
  <c r="I5" i="5" s="1"/>
  <c r="I6" i="5" s="1"/>
  <c r="J5" i="5" s="1"/>
  <c r="J6" i="5" s="1"/>
  <c r="K5" i="5" s="1"/>
  <c r="K6" i="5" s="1"/>
  <c r="L5" i="5" s="1"/>
  <c r="L6" i="5" s="1"/>
  <c r="M5" i="5" s="1"/>
  <c r="M6" i="5" s="1"/>
  <c r="N5" i="5" s="1"/>
  <c r="N6" i="5" s="1"/>
  <c r="O5" i="5" s="1"/>
  <c r="O6" i="5" s="1"/>
  <c r="P5" i="5" s="1"/>
  <c r="P6" i="5" s="1"/>
  <c r="Q5" i="5" s="1"/>
  <c r="Q6" i="5" s="1"/>
  <c r="R5" i="5" s="1"/>
  <c r="R6" i="5" s="1"/>
  <c r="S5" i="5" s="1"/>
  <c r="S6" i="5" s="1"/>
  <c r="T5" i="5" s="1"/>
  <c r="T6" i="5" s="1"/>
  <c r="U5" i="5" s="1"/>
  <c r="U6" i="5" s="1"/>
  <c r="V5" i="5" s="1"/>
  <c r="V6" i="5" s="1"/>
  <c r="W5" i="5" s="1"/>
  <c r="W6" i="5" s="1"/>
  <c r="X5" i="5" s="1"/>
  <c r="X6" i="5" s="1"/>
  <c r="Y5" i="5" s="1"/>
  <c r="Y6" i="5" s="1"/>
  <c r="Z5" i="5" s="1"/>
  <c r="Z6" i="5" s="1"/>
  <c r="AA5" i="5" s="1"/>
  <c r="AA6" i="5" s="1"/>
  <c r="AB5" i="5" s="1"/>
  <c r="AB6" i="5" s="1"/>
  <c r="AC5" i="5" s="1"/>
  <c r="AC6" i="5" s="1"/>
  <c r="AD5" i="5" s="1"/>
  <c r="AD6" i="5" s="1"/>
  <c r="AE5" i="5" s="1"/>
  <c r="AE6" i="5" s="1"/>
  <c r="AF5" i="5" s="1"/>
  <c r="AF6" i="5" s="1"/>
  <c r="AG5" i="5" s="1"/>
  <c r="AG6" i="5" s="1"/>
  <c r="AH5" i="5" s="1"/>
  <c r="AH6" i="5" s="1"/>
  <c r="E6" i="6"/>
  <c r="F5" i="6" s="1"/>
  <c r="F6" i="6" s="1"/>
  <c r="G5" i="6" s="1"/>
  <c r="G6" i="6" s="1"/>
  <c r="H5" i="6" s="1"/>
  <c r="H6" i="6" s="1"/>
  <c r="I5" i="6" s="1"/>
  <c r="I6" i="6" s="1"/>
  <c r="J5" i="6" s="1"/>
  <c r="J6" i="6" s="1"/>
  <c r="K5" i="6" s="1"/>
  <c r="K6" i="6" s="1"/>
  <c r="L5" i="6" s="1"/>
  <c r="L6" i="6" s="1"/>
  <c r="M5" i="6" s="1"/>
  <c r="M6" i="6" s="1"/>
  <c r="N5" i="6" s="1"/>
  <c r="N6" i="6" s="1"/>
  <c r="O5" i="6" s="1"/>
  <c r="O6" i="6" s="1"/>
  <c r="P5" i="6" s="1"/>
  <c r="P6" i="6" s="1"/>
  <c r="Q5" i="6" s="1"/>
  <c r="Q6" i="6" s="1"/>
  <c r="R5" i="6" s="1"/>
  <c r="R6" i="6" s="1"/>
  <c r="S5" i="6" s="1"/>
  <c r="S6" i="6" s="1"/>
  <c r="T5" i="6" s="1"/>
  <c r="T6" i="6" s="1"/>
  <c r="U5" i="6" s="1"/>
  <c r="U6" i="6" s="1"/>
  <c r="V5" i="6" s="1"/>
  <c r="V6" i="6" s="1"/>
  <c r="W5" i="6" s="1"/>
  <c r="W6" i="6" s="1"/>
  <c r="X5" i="6" s="1"/>
  <c r="X6" i="6" s="1"/>
  <c r="Y5" i="6" s="1"/>
  <c r="Y6" i="6" s="1"/>
  <c r="Z5" i="6" s="1"/>
  <c r="Z6" i="6" s="1"/>
  <c r="AA5" i="6" s="1"/>
  <c r="AA6" i="6" s="1"/>
  <c r="AB5" i="6" s="1"/>
  <c r="AB6" i="6" s="1"/>
  <c r="AC5" i="6" s="1"/>
  <c r="AC6" i="6" s="1"/>
  <c r="AD5" i="6" s="1"/>
  <c r="AD6" i="6" s="1"/>
  <c r="AE5" i="6" s="1"/>
  <c r="AE6" i="6" s="1"/>
  <c r="AF5" i="6" s="1"/>
  <c r="AF6" i="6" s="1"/>
  <c r="AG5" i="6" s="1"/>
  <c r="AG6" i="6" s="1"/>
  <c r="AH5" i="6" s="1"/>
  <c r="AH6" i="6" s="1"/>
  <c r="F540" i="1"/>
  <c r="F475" i="26"/>
  <c r="F489" i="25"/>
  <c r="B167" i="10"/>
  <c r="B166" i="10"/>
  <c r="B165" i="10"/>
  <c r="B164" i="10"/>
  <c r="E25" i="6"/>
  <c r="B233" i="10"/>
  <c r="E131" i="10"/>
  <c r="D136" i="7"/>
  <c r="D137" i="7" s="1"/>
  <c r="D138" i="7" s="1"/>
  <c r="D139" i="7" s="1"/>
  <c r="D140" i="7" s="1"/>
  <c r="D141" i="7" s="1"/>
  <c r="D142" i="7" s="1"/>
  <c r="D143" i="7" s="1"/>
  <c r="E70" i="6"/>
  <c r="B624" i="7"/>
  <c r="D151" i="25"/>
  <c r="D153" i="25"/>
  <c r="E115" i="6"/>
  <c r="D239" i="25"/>
  <c r="D238" i="25"/>
  <c r="E160" i="6"/>
  <c r="H161" i="10"/>
  <c r="E217" i="10"/>
  <c r="D26" i="30"/>
  <c r="D26" i="31"/>
  <c r="D1234" i="7" l="1"/>
  <c r="D1235" i="7" s="1"/>
  <c r="D1236" i="7" s="1"/>
  <c r="D1237" i="7" s="1"/>
  <c r="D1238" i="7" s="1"/>
  <c r="D399" i="26"/>
  <c r="D1218" i="7"/>
  <c r="D1219" i="7" s="1"/>
  <c r="D1220" i="7" s="1"/>
  <c r="D1221" i="7" s="1"/>
  <c r="D1222" i="7" s="1"/>
  <c r="D387" i="26"/>
  <c r="D1250" i="7"/>
  <c r="D1251" i="7" s="1"/>
  <c r="D1252" i="7" s="1"/>
  <c r="D1253" i="7" s="1"/>
  <c r="D1254" i="7" s="1"/>
  <c r="D411" i="26"/>
  <c r="J27" i="29"/>
  <c r="E20" i="7" s="1"/>
  <c r="J23" i="29"/>
  <c r="E19" i="7" s="1"/>
  <c r="J22" i="29"/>
  <c r="E17" i="7" s="1"/>
  <c r="J26" i="29"/>
  <c r="E18" i="7" s="1"/>
  <c r="D1331" i="7"/>
  <c r="D1333" i="7" s="1"/>
  <c r="D1334" i="7" s="1"/>
  <c r="D1335" i="7" s="1"/>
  <c r="D1336" i="7" s="1"/>
  <c r="D1337" i="7" s="1"/>
  <c r="D1338" i="7" s="1"/>
  <c r="D1339" i="7" s="1"/>
  <c r="D1340" i="7" s="1"/>
  <c r="D859" i="7"/>
  <c r="D861" i="7" s="1"/>
  <c r="D862" i="7" s="1"/>
  <c r="D863" i="7" s="1"/>
  <c r="D864" i="7" s="1"/>
  <c r="D865" i="7" s="1"/>
  <c r="D866" i="7" s="1"/>
  <c r="D867" i="7" s="1"/>
  <c r="D868" i="7" s="1"/>
  <c r="D383" i="7"/>
  <c r="D384" i="7"/>
  <c r="E701" i="7"/>
  <c r="E1170" i="7"/>
  <c r="J21" i="29"/>
  <c r="E16" i="7" s="1"/>
  <c r="D825" i="7"/>
  <c r="D826" i="7" s="1"/>
  <c r="D827" i="7" s="1"/>
  <c r="D828" i="7" s="1"/>
  <c r="M10" i="37"/>
  <c r="D377" i="7"/>
  <c r="D378" i="7" s="1"/>
  <c r="D379" i="7" s="1"/>
  <c r="D380" i="7" s="1"/>
  <c r="D381" i="7" s="1"/>
  <c r="L10" i="36"/>
  <c r="D442" i="26"/>
  <c r="F130" i="10"/>
  <c r="F131" i="10" s="1"/>
  <c r="E163" i="10"/>
  <c r="E14" i="29"/>
  <c r="D20" i="29" s="1"/>
  <c r="D16" i="29"/>
  <c r="D491" i="25"/>
  <c r="E177" i="10"/>
  <c r="D542" i="1"/>
  <c r="D489" i="1"/>
  <c r="J24" i="29"/>
  <c r="E21" i="7" s="1"/>
  <c r="E231" i="10"/>
  <c r="E191" i="10"/>
  <c r="E143" i="10"/>
  <c r="E207" i="10"/>
  <c r="E283" i="7"/>
  <c r="E224" i="10"/>
  <c r="E212" i="10"/>
  <c r="E200" i="10"/>
  <c r="E195" i="10"/>
  <c r="E181" i="10"/>
  <c r="E150" i="10"/>
  <c r="E156" i="10"/>
  <c r="E171" i="10"/>
  <c r="D388" i="26"/>
  <c r="E17" i="27"/>
  <c r="D746" i="7"/>
  <c r="D747" i="7" s="1"/>
  <c r="D748" i="7" s="1"/>
  <c r="D749" i="7" s="1"/>
  <c r="D750" i="7" s="1"/>
  <c r="D401" i="25"/>
  <c r="D360" i="7"/>
  <c r="D361" i="7" s="1"/>
  <c r="D362" i="7" s="1"/>
  <c r="D363" i="7" s="1"/>
  <c r="D364" i="7" s="1"/>
  <c r="D476" i="1"/>
  <c r="D477" i="1"/>
  <c r="D474" i="25"/>
  <c r="D460" i="26"/>
  <c r="D456" i="25"/>
  <c r="E14" i="7"/>
  <c r="F15" i="7" s="1"/>
  <c r="F5" i="7"/>
  <c r="F6" i="7" s="1"/>
  <c r="G5" i="7" s="1"/>
  <c r="D412" i="26"/>
  <c r="D402" i="25"/>
  <c r="D400" i="26"/>
  <c r="D1357" i="7"/>
  <c r="D1358" i="7" s="1"/>
  <c r="D1359" i="7" s="1"/>
  <c r="D1360" i="7" s="1"/>
  <c r="D478" i="26"/>
  <c r="E667" i="7" l="1"/>
  <c r="E194" i="25" s="1"/>
  <c r="E693" i="7"/>
  <c r="E346" i="25" s="1"/>
  <c r="E664" i="7"/>
  <c r="E696" i="7"/>
  <c r="E665" i="7"/>
  <c r="E694" i="7"/>
  <c r="E347" i="25" s="1"/>
  <c r="E254" i="7"/>
  <c r="E274" i="1" s="1"/>
  <c r="E1499" i="7"/>
  <c r="E1500" i="7"/>
  <c r="E1501" i="7"/>
  <c r="E120" i="5"/>
  <c r="E97" i="5"/>
  <c r="E132" i="33"/>
  <c r="E1190" i="7"/>
  <c r="E163" i="5"/>
  <c r="E141" i="5"/>
  <c r="E132" i="34"/>
  <c r="E189" i="34" s="1"/>
  <c r="E256" i="7"/>
  <c r="E1440" i="7"/>
  <c r="E1459" i="7"/>
  <c r="E112" i="27" s="1"/>
  <c r="E1424" i="7"/>
  <c r="E1403" i="7"/>
  <c r="E1423" i="7"/>
  <c r="E1425" i="7"/>
  <c r="E1458" i="7"/>
  <c r="E111" i="27" s="1"/>
  <c r="E1477" i="7"/>
  <c r="E1401" i="7"/>
  <c r="E1437" i="7"/>
  <c r="E1496" i="7"/>
  <c r="E1493" i="7"/>
  <c r="E1494" i="7"/>
  <c r="E1490" i="7"/>
  <c r="E1491" i="7"/>
  <c r="E1497" i="7"/>
  <c r="E319" i="7"/>
  <c r="E322" i="7" s="1"/>
  <c r="E1116" i="7"/>
  <c r="E249" i="7"/>
  <c r="E245" i="1" s="1"/>
  <c r="E229" i="7"/>
  <c r="E221" i="7"/>
  <c r="E213" i="7"/>
  <c r="E275" i="7"/>
  <c r="E397" i="1" s="1"/>
  <c r="E223" i="7"/>
  <c r="E215" i="7"/>
  <c r="E247" i="7"/>
  <c r="E244" i="1" s="1"/>
  <c r="E219" i="7"/>
  <c r="E276" i="7"/>
  <c r="E398" i="1" s="1"/>
  <c r="E246" i="7"/>
  <c r="E243" i="1" s="1"/>
  <c r="E225" i="7"/>
  <c r="E217" i="7"/>
  <c r="E1115" i="7"/>
  <c r="E278" i="7"/>
  <c r="E399" i="1" s="1"/>
  <c r="E227" i="7"/>
  <c r="E211" i="7"/>
  <c r="E448" i="7"/>
  <c r="E460" i="7" s="1"/>
  <c r="E474" i="7"/>
  <c r="E486" i="7" s="1"/>
  <c r="E497" i="7"/>
  <c r="E418" i="7"/>
  <c r="E430" i="7" s="1"/>
  <c r="E387" i="7"/>
  <c r="E399" i="7" s="1"/>
  <c r="E408" i="7"/>
  <c r="E425" i="7" s="1"/>
  <c r="E343" i="7"/>
  <c r="E328" i="7"/>
  <c r="E363" i="7"/>
  <c r="E371" i="7" s="1"/>
  <c r="E466" i="7"/>
  <c r="E477" i="7"/>
  <c r="E489" i="7" s="1"/>
  <c r="E406" i="7"/>
  <c r="E413" i="7" s="1"/>
  <c r="E447" i="7"/>
  <c r="E459" i="7" s="1"/>
  <c r="E468" i="7"/>
  <c r="E359" i="7"/>
  <c r="E344" i="7"/>
  <c r="E329" i="7"/>
  <c r="E361" i="7"/>
  <c r="E369" i="7" s="1"/>
  <c r="E500" i="7"/>
  <c r="E503" i="7"/>
  <c r="E417" i="7"/>
  <c r="E429" i="7" s="1"/>
  <c r="E384" i="7"/>
  <c r="E396" i="7" s="1"/>
  <c r="E478" i="7"/>
  <c r="E490" i="7" s="1"/>
  <c r="E376" i="7"/>
  <c r="E382" i="7" s="1"/>
  <c r="E360" i="7"/>
  <c r="E368" i="7" s="1"/>
  <c r="E345" i="7"/>
  <c r="E331" i="7"/>
  <c r="E414" i="7"/>
  <c r="E426" i="7" s="1"/>
  <c r="E436" i="7"/>
  <c r="E442" i="7" s="1"/>
  <c r="E444" i="7"/>
  <c r="E456" i="7" s="1"/>
  <c r="E388" i="7"/>
  <c r="E400" i="7" s="1"/>
  <c r="E438" i="7"/>
  <c r="E455" i="7" s="1"/>
  <c r="E327" i="7"/>
  <c r="E378" i="7"/>
  <c r="E395" i="7" s="1"/>
  <c r="E347" i="7"/>
  <c r="E1209" i="7"/>
  <c r="E1124" i="7"/>
  <c r="E1123" i="7"/>
  <c r="E737" i="7"/>
  <c r="E740" i="7" s="1"/>
  <c r="E625" i="7"/>
  <c r="E154" i="33" s="1"/>
  <c r="E626" i="7"/>
  <c r="E155" i="33" s="1"/>
  <c r="E149" i="33"/>
  <c r="E620" i="7"/>
  <c r="E161" i="33" s="1"/>
  <c r="E624" i="7"/>
  <c r="E153" i="33" s="1"/>
  <c r="E1364" i="7"/>
  <c r="E1376" i="7" s="1"/>
  <c r="E1337" i="7"/>
  <c r="E1349" i="7" s="1"/>
  <c r="E1304" i="7"/>
  <c r="E1316" i="7" s="1"/>
  <c r="E1367" i="7"/>
  <c r="E1379" i="7" s="1"/>
  <c r="E1338" i="7"/>
  <c r="E1350" i="7" s="1"/>
  <c r="E1326" i="7"/>
  <c r="E1307" i="7"/>
  <c r="E1319" i="7" s="1"/>
  <c r="E1296" i="7"/>
  <c r="E1334" i="7"/>
  <c r="E1346" i="7" s="1"/>
  <c r="E1298" i="7"/>
  <c r="E1268" i="7"/>
  <c r="E1249" i="7"/>
  <c r="E1234" i="7"/>
  <c r="E1217" i="7"/>
  <c r="E1368" i="7"/>
  <c r="E1380" i="7" s="1"/>
  <c r="E1356" i="7"/>
  <c r="E1308" i="7"/>
  <c r="E1320" i="7" s="1"/>
  <c r="E1274" i="7"/>
  <c r="E1286" i="7" s="1"/>
  <c r="E1253" i="7"/>
  <c r="E1250" i="7"/>
  <c r="E1235" i="7"/>
  <c r="E1243" i="7" s="1"/>
  <c r="E1218" i="7"/>
  <c r="E1277" i="7"/>
  <c r="E1289" i="7" s="1"/>
  <c r="E1266" i="7"/>
  <c r="E1251" i="7"/>
  <c r="E1259" i="7" s="1"/>
  <c r="E1233" i="7"/>
  <c r="E1219" i="7"/>
  <c r="E1227" i="7" s="1"/>
  <c r="E1221" i="7"/>
  <c r="E1278" i="7"/>
  <c r="E1290" i="7" s="1"/>
  <c r="E1237" i="7"/>
  <c r="E1358" i="7"/>
  <c r="E1328" i="7"/>
  <c r="E896" i="7"/>
  <c r="E908" i="7" s="1"/>
  <c r="E886" i="7"/>
  <c r="E866" i="7"/>
  <c r="E878" i="7" s="1"/>
  <c r="E854" i="7"/>
  <c r="E832" i="7"/>
  <c r="E844" i="7" s="1"/>
  <c r="E892" i="7"/>
  <c r="E904" i="7" s="1"/>
  <c r="E835" i="7"/>
  <c r="E847" i="7" s="1"/>
  <c r="E824" i="7"/>
  <c r="E884" i="7"/>
  <c r="E862" i="7"/>
  <c r="E874" i="7" s="1"/>
  <c r="E836" i="7"/>
  <c r="E848" i="7" s="1"/>
  <c r="E865" i="7"/>
  <c r="E877" i="7" s="1"/>
  <c r="E826" i="7"/>
  <c r="E806" i="7"/>
  <c r="E818" i="7" s="1"/>
  <c r="E794" i="7"/>
  <c r="E778" i="7"/>
  <c r="E761" i="7"/>
  <c r="E745" i="7"/>
  <c r="E779" i="7"/>
  <c r="E787" i="7" s="1"/>
  <c r="E765" i="7"/>
  <c r="E747" i="7"/>
  <c r="E755" i="7" s="1"/>
  <c r="E895" i="7"/>
  <c r="E907" i="7" s="1"/>
  <c r="E802" i="7"/>
  <c r="E814" i="7" s="1"/>
  <c r="E777" i="7"/>
  <c r="E762" i="7"/>
  <c r="E805" i="7"/>
  <c r="E817" i="7" s="1"/>
  <c r="E781" i="7"/>
  <c r="E746" i="7"/>
  <c r="E763" i="7"/>
  <c r="E771" i="7" s="1"/>
  <c r="E749" i="7"/>
  <c r="E796" i="7"/>
  <c r="E856" i="7"/>
  <c r="E1147" i="7"/>
  <c r="E1151" i="7"/>
  <c r="E1134" i="7"/>
  <c r="E193" i="26" s="1"/>
  <c r="E1087" i="7"/>
  <c r="E1040" i="7"/>
  <c r="E1163" i="7"/>
  <c r="E1155" i="7"/>
  <c r="E1141" i="7"/>
  <c r="E1142" i="7"/>
  <c r="E224" i="26" s="1"/>
  <c r="E1089" i="7"/>
  <c r="E1083" i="7"/>
  <c r="E1092" i="7" s="1"/>
  <c r="E1042" i="7"/>
  <c r="E1038" i="7"/>
  <c r="E1162" i="7"/>
  <c r="E1153" i="7"/>
  <c r="E1133" i="7"/>
  <c r="E192" i="26" s="1"/>
  <c r="E1165" i="7"/>
  <c r="E1157" i="7"/>
  <c r="E1149" i="7"/>
  <c r="E1084" i="7"/>
  <c r="E1093" i="7" s="1"/>
  <c r="E1039" i="7"/>
  <c r="E1136" i="7"/>
  <c r="E194" i="26" s="1"/>
  <c r="E1088" i="7"/>
  <c r="E1041" i="7"/>
  <c r="E1082" i="7"/>
  <c r="E1091" i="7" s="1"/>
  <c r="E1037" i="7"/>
  <c r="E673" i="7"/>
  <c r="E686" i="7"/>
  <c r="E311" i="25" s="1"/>
  <c r="E678" i="7"/>
  <c r="E192" i="25"/>
  <c r="E655" i="7"/>
  <c r="E672" i="7"/>
  <c r="E688" i="7"/>
  <c r="E312" i="25" s="1"/>
  <c r="E680" i="7"/>
  <c r="E193" i="25"/>
  <c r="E348" i="25"/>
  <c r="E684" i="7"/>
  <c r="E674" i="7"/>
  <c r="E225" i="25" s="1"/>
  <c r="E653" i="7"/>
  <c r="E682" i="7"/>
  <c r="E309" i="25" s="1"/>
  <c r="E651" i="7"/>
  <c r="E621" i="7"/>
  <c r="E162" i="33" s="1"/>
  <c r="E619" i="7"/>
  <c r="D385" i="7"/>
  <c r="D386" i="7" s="1"/>
  <c r="D387" i="7" s="1"/>
  <c r="D388" i="7" s="1"/>
  <c r="D389" i="7" s="1"/>
  <c r="D390" i="7" s="1"/>
  <c r="D1361" i="7"/>
  <c r="D1363" i="7" s="1"/>
  <c r="D1364" i="7" s="1"/>
  <c r="D1365" i="7" s="1"/>
  <c r="D1366" i="7" s="1"/>
  <c r="D1367" i="7" s="1"/>
  <c r="D1368" i="7" s="1"/>
  <c r="D1369" i="7" s="1"/>
  <c r="D1370" i="7" s="1"/>
  <c r="D829" i="7"/>
  <c r="D831" i="7" s="1"/>
  <c r="D832" i="7" s="1"/>
  <c r="D833" i="7" s="1"/>
  <c r="D834" i="7" s="1"/>
  <c r="D835" i="7" s="1"/>
  <c r="D836" i="7" s="1"/>
  <c r="D837" i="7" s="1"/>
  <c r="D838" i="7" s="1"/>
  <c r="E320" i="7"/>
  <c r="E321" i="7" s="1"/>
  <c r="E1210" i="7"/>
  <c r="E1211" i="7" s="1"/>
  <c r="E738" i="7"/>
  <c r="E739" i="7" s="1"/>
  <c r="E370" i="25"/>
  <c r="E356" i="26"/>
  <c r="E1143" i="7"/>
  <c r="E140" i="7"/>
  <c r="E421" i="1"/>
  <c r="E137" i="10"/>
  <c r="E137" i="34"/>
  <c r="E137" i="32"/>
  <c r="E138" i="33"/>
  <c r="E266" i="7"/>
  <c r="E262" i="7"/>
  <c r="E264" i="7"/>
  <c r="E260" i="7"/>
  <c r="E143" i="34"/>
  <c r="E1173" i="7"/>
  <c r="E1195" i="7"/>
  <c r="E1196" i="7"/>
  <c r="E1197" i="7"/>
  <c r="E1194" i="7"/>
  <c r="D492" i="25"/>
  <c r="M20" i="38"/>
  <c r="O10" i="37"/>
  <c r="D1297" i="7"/>
  <c r="D1298" i="7" s="1"/>
  <c r="D1299" i="7" s="1"/>
  <c r="D1300" i="7" s="1"/>
  <c r="M10" i="38"/>
  <c r="D543" i="1"/>
  <c r="O10" i="36"/>
  <c r="E186" i="32"/>
  <c r="E173" i="33"/>
  <c r="E1387" i="7"/>
  <c r="E1390" i="7"/>
  <c r="E1393" i="7"/>
  <c r="E921" i="7"/>
  <c r="E915" i="7"/>
  <c r="E918" i="7"/>
  <c r="E141" i="7"/>
  <c r="E137" i="7"/>
  <c r="E306" i="7"/>
  <c r="E440" i="1" s="1"/>
  <c r="E142" i="7"/>
  <c r="E138" i="7"/>
  <c r="E134" i="7"/>
  <c r="E286" i="7"/>
  <c r="E307" i="7"/>
  <c r="E441" i="1" s="1"/>
  <c r="E303" i="7"/>
  <c r="E437" i="1" s="1"/>
  <c r="E143" i="7"/>
  <c r="E139" i="7"/>
  <c r="E135" i="7"/>
  <c r="E304" i="7"/>
  <c r="E438" i="1" s="1"/>
  <c r="E136" i="7"/>
  <c r="E305" i="7"/>
  <c r="E439" i="1" s="1"/>
  <c r="E704" i="7"/>
  <c r="E722" i="7"/>
  <c r="E387" i="25" s="1"/>
  <c r="E723" i="7"/>
  <c r="E388" i="25" s="1"/>
  <c r="E724" i="7"/>
  <c r="E389" i="25" s="1"/>
  <c r="E725" i="7"/>
  <c r="E390" i="25" s="1"/>
  <c r="E721" i="7"/>
  <c r="E386" i="25" s="1"/>
  <c r="E132" i="32"/>
  <c r="G130" i="10"/>
  <c r="G131" i="10" s="1"/>
  <c r="F163" i="10"/>
  <c r="E937" i="7"/>
  <c r="E946" i="7" s="1"/>
  <c r="E519" i="7"/>
  <c r="E528" i="7" s="1"/>
  <c r="D885" i="7"/>
  <c r="D886" i="7" s="1"/>
  <c r="D887" i="7" s="1"/>
  <c r="D888" i="7" s="1"/>
  <c r="E270" i="7"/>
  <c r="E268" i="7"/>
  <c r="E255" i="7"/>
  <c r="E275" i="1" s="1"/>
  <c r="E953" i="7"/>
  <c r="E962" i="7" s="1"/>
  <c r="E583" i="7"/>
  <c r="E592" i="7" s="1"/>
  <c r="E535" i="7"/>
  <c r="E544" i="7" s="1"/>
  <c r="E599" i="7"/>
  <c r="E608" i="7" s="1"/>
  <c r="E551" i="7"/>
  <c r="E560" i="7" s="1"/>
  <c r="E567" i="7"/>
  <c r="E576" i="7" s="1"/>
  <c r="D467" i="7"/>
  <c r="D468" i="7" s="1"/>
  <c r="D469" i="7" s="1"/>
  <c r="D470" i="7" s="1"/>
  <c r="E1001" i="7"/>
  <c r="E1010" i="7" s="1"/>
  <c r="E985" i="7"/>
  <c r="E994" i="7" s="1"/>
  <c r="E969" i="7"/>
  <c r="E978" i="7" s="1"/>
  <c r="E1017" i="7"/>
  <c r="E1026" i="7" s="1"/>
  <c r="E144" i="6"/>
  <c r="E144" i="2"/>
  <c r="E99" i="6"/>
  <c r="E99" i="2"/>
  <c r="E131" i="2" s="1"/>
  <c r="E132" i="10"/>
  <c r="E9" i="6"/>
  <c r="E9" i="5"/>
  <c r="E9" i="2"/>
  <c r="E54" i="6"/>
  <c r="E53" i="5"/>
  <c r="E76" i="5" s="1"/>
  <c r="E54" i="2"/>
  <c r="F14" i="7"/>
  <c r="G15" i="7" s="1"/>
  <c r="F12" i="7"/>
  <c r="F13" i="7" s="1"/>
  <c r="F150" i="10"/>
  <c r="F181" i="10"/>
  <c r="F200" i="10"/>
  <c r="F217" i="10"/>
  <c r="F224" i="10"/>
  <c r="F171" i="10"/>
  <c r="F156" i="10"/>
  <c r="F143" i="10"/>
  <c r="F177" i="10"/>
  <c r="F191" i="10"/>
  <c r="F195" i="10"/>
  <c r="F207" i="10"/>
  <c r="F212" i="10"/>
  <c r="F231" i="10"/>
  <c r="G6" i="7"/>
  <c r="H5" i="7" s="1"/>
  <c r="E129" i="1"/>
  <c r="E34" i="7"/>
  <c r="E43" i="7" s="1"/>
  <c r="E50" i="7"/>
  <c r="E59" i="7" s="1"/>
  <c r="E66" i="7"/>
  <c r="E75" i="7" s="1"/>
  <c r="E114" i="7"/>
  <c r="E123" i="7" s="1"/>
  <c r="E82" i="7"/>
  <c r="E91" i="7" s="1"/>
  <c r="E98" i="7"/>
  <c r="E107" i="7" s="1"/>
  <c r="G195" i="10"/>
  <c r="E475" i="7" l="1"/>
  <c r="E1429" i="7"/>
  <c r="E1430" i="7"/>
  <c r="E159" i="5"/>
  <c r="E1498" i="7"/>
  <c r="E40" i="2" s="1"/>
  <c r="E41" i="2"/>
  <c r="E176" i="2"/>
  <c r="E86" i="2"/>
  <c r="E116" i="5"/>
  <c r="E1303" i="7"/>
  <c r="E1302" i="7"/>
  <c r="E1273" i="7"/>
  <c r="E1272" i="7"/>
  <c r="E831" i="7"/>
  <c r="E830" i="7"/>
  <c r="E276" i="1"/>
  <c r="E225" i="26"/>
  <c r="E118" i="6"/>
  <c r="E202" i="33" s="1"/>
  <c r="E133" i="6"/>
  <c r="E412" i="7"/>
  <c r="E383" i="7"/>
  <c r="E1431" i="7"/>
  <c r="E103" i="27" s="1"/>
  <c r="F10" i="37"/>
  <c r="F26" i="28" s="1"/>
  <c r="E160" i="33"/>
  <c r="E230" i="33" s="1"/>
  <c r="E332" i="7"/>
  <c r="E1415" i="7"/>
  <c r="E364" i="7"/>
  <c r="E372" i="7" s="1"/>
  <c r="E449" i="7"/>
  <c r="E461" i="7" s="1"/>
  <c r="E99" i="27"/>
  <c r="E479" i="7"/>
  <c r="E491" i="7" s="1"/>
  <c r="E346" i="7"/>
  <c r="E443" i="7"/>
  <c r="E1407" i="7"/>
  <c r="E362" i="7"/>
  <c r="E370" i="7" s="1"/>
  <c r="E1413" i="7"/>
  <c r="E1409" i="7"/>
  <c r="E1411" i="7"/>
  <c r="E1417" i="7"/>
  <c r="E1492" i="7"/>
  <c r="E38" i="2" s="1"/>
  <c r="E1495" i="7"/>
  <c r="E39" i="2" s="1"/>
  <c r="E1483" i="7"/>
  <c r="E1484" i="7" s="1"/>
  <c r="E429" i="1"/>
  <c r="E385" i="7"/>
  <c r="E397" i="7" s="1"/>
  <c r="E1482" i="7"/>
  <c r="E1465" i="7"/>
  <c r="E15" i="2" s="1"/>
  <c r="E1467" i="7"/>
  <c r="E1472" i="7"/>
  <c r="E28" i="2" s="1"/>
  <c r="E485" i="7"/>
  <c r="E415" i="7"/>
  <c r="E416" i="7" s="1"/>
  <c r="E389" i="7"/>
  <c r="E401" i="7" s="1"/>
  <c r="E348" i="7"/>
  <c r="E236" i="7"/>
  <c r="E1094" i="7"/>
  <c r="E1238" i="7"/>
  <c r="E1246" i="7" s="1"/>
  <c r="E330" i="7"/>
  <c r="E419" i="7"/>
  <c r="E431" i="7" s="1"/>
  <c r="E445" i="7"/>
  <c r="E837" i="7"/>
  <c r="E849" i="7" s="1"/>
  <c r="E867" i="7"/>
  <c r="E879" i="7" s="1"/>
  <c r="E897" i="7"/>
  <c r="E909" i="7" s="1"/>
  <c r="E166" i="32"/>
  <c r="E162" i="32"/>
  <c r="E167" i="32"/>
  <c r="E163" i="32"/>
  <c r="E159" i="32"/>
  <c r="E165" i="32"/>
  <c r="E168" i="32"/>
  <c r="E164" i="32"/>
  <c r="E160" i="32"/>
  <c r="E161" i="32"/>
  <c r="E378" i="25"/>
  <c r="E1309" i="7"/>
  <c r="E1321" i="7" s="1"/>
  <c r="E803" i="7"/>
  <c r="E813" i="7"/>
  <c r="E891" i="7"/>
  <c r="E890" i="7"/>
  <c r="E1275" i="7"/>
  <c r="E1285" i="7"/>
  <c r="E233" i="10"/>
  <c r="E219" i="10"/>
  <c r="E188" i="10"/>
  <c r="E184" i="10"/>
  <c r="E220" i="10"/>
  <c r="E227" i="10" s="1"/>
  <c r="E185" i="10"/>
  <c r="E228" i="10"/>
  <c r="E187" i="10"/>
  <c r="E173" i="10"/>
  <c r="E172" i="10"/>
  <c r="E186" i="10"/>
  <c r="E226" i="10"/>
  <c r="E179" i="10"/>
  <c r="E178" i="10"/>
  <c r="E182" i="10" s="1"/>
  <c r="E236" i="33"/>
  <c r="E228" i="33"/>
  <c r="E198" i="33"/>
  <c r="E184" i="33"/>
  <c r="E237" i="33"/>
  <c r="E229" i="33"/>
  <c r="E195" i="33"/>
  <c r="E167" i="33"/>
  <c r="E190" i="33"/>
  <c r="E242" i="33"/>
  <c r="E235" i="33"/>
  <c r="E197" i="33"/>
  <c r="E183" i="33"/>
  <c r="E169" i="33"/>
  <c r="E196" i="33"/>
  <c r="E189" i="33"/>
  <c r="E193" i="33" s="1"/>
  <c r="E168" i="33"/>
  <c r="E153" i="34"/>
  <c r="E152" i="34"/>
  <c r="E757" i="7"/>
  <c r="E750" i="7"/>
  <c r="E758" i="7" s="1"/>
  <c r="E786" i="7"/>
  <c r="E780" i="7"/>
  <c r="E1220" i="7"/>
  <c r="E1226" i="7"/>
  <c r="E807" i="7"/>
  <c r="E1279" i="7"/>
  <c r="E1291" i="7" s="1"/>
  <c r="E1369" i="7"/>
  <c r="E1381" i="7" s="1"/>
  <c r="E209" i="32"/>
  <c r="E196" i="32"/>
  <c r="E179" i="32"/>
  <c r="E175" i="32"/>
  <c r="E256" i="32"/>
  <c r="E249" i="32"/>
  <c r="E210" i="32"/>
  <c r="E197" i="32"/>
  <c r="E180" i="32"/>
  <c r="E176" i="32"/>
  <c r="E155" i="32"/>
  <c r="E251" i="32"/>
  <c r="E243" i="32"/>
  <c r="E212" i="32"/>
  <c r="E208" i="32"/>
  <c r="E182" i="32"/>
  <c r="E178" i="32"/>
  <c r="E174" i="32"/>
  <c r="E250" i="32"/>
  <c r="E177" i="32"/>
  <c r="E242" i="32"/>
  <c r="E211" i="32"/>
  <c r="E181" i="32"/>
  <c r="E173" i="32"/>
  <c r="E203" i="32"/>
  <c r="E202" i="32"/>
  <c r="E206" i="32" s="1"/>
  <c r="E863" i="7"/>
  <c r="E873" i="7"/>
  <c r="E754" i="7"/>
  <c r="E748" i="7"/>
  <c r="E766" i="7"/>
  <c r="E774" i="7" s="1"/>
  <c r="E773" i="7"/>
  <c r="E1365" i="7"/>
  <c r="E1375" i="7"/>
  <c r="E1258" i="7"/>
  <c r="E1252" i="7"/>
  <c r="E1362" i="7"/>
  <c r="E1363" i="7"/>
  <c r="E1339" i="7"/>
  <c r="E1351" i="7" s="1"/>
  <c r="E782" i="7"/>
  <c r="E790" i="7" s="1"/>
  <c r="E789" i="7"/>
  <c r="E833" i="7"/>
  <c r="E843" i="7"/>
  <c r="E860" i="7"/>
  <c r="E861" i="7"/>
  <c r="E1261" i="7"/>
  <c r="E1254" i="7"/>
  <c r="E1262" i="7" s="1"/>
  <c r="E1332" i="7"/>
  <c r="E1333" i="7"/>
  <c r="E227" i="34"/>
  <c r="E219" i="34"/>
  <c r="E228" i="34"/>
  <c r="E220" i="34"/>
  <c r="E233" i="34"/>
  <c r="E226" i="34"/>
  <c r="E188" i="34"/>
  <c r="E181" i="34"/>
  <c r="E174" i="34"/>
  <c r="E175" i="34"/>
  <c r="E187" i="34"/>
  <c r="E180" i="34"/>
  <c r="E184" i="34" s="1"/>
  <c r="E186" i="34"/>
  <c r="E476" i="7"/>
  <c r="F467" i="7"/>
  <c r="F473" i="7" s="1"/>
  <c r="E487" i="7"/>
  <c r="E770" i="7"/>
  <c r="E764" i="7"/>
  <c r="E801" i="7"/>
  <c r="E800" i="7"/>
  <c r="E893" i="7"/>
  <c r="E903" i="7"/>
  <c r="E1335" i="7"/>
  <c r="E1345" i="7"/>
  <c r="E1229" i="7"/>
  <c r="E1222" i="7"/>
  <c r="E1230" i="7" s="1"/>
  <c r="E1242" i="7"/>
  <c r="E1236" i="7"/>
  <c r="E1305" i="7"/>
  <c r="E1315" i="7"/>
  <c r="E1058" i="7"/>
  <c r="E1044" i="7"/>
  <c r="E1051" i="7"/>
  <c r="E1127" i="7"/>
  <c r="E1097" i="7"/>
  <c r="E1126" i="7"/>
  <c r="E1128" i="7"/>
  <c r="E1099" i="7"/>
  <c r="E1104" i="7" s="1"/>
  <c r="E1052" i="7"/>
  <c r="E1045" i="7"/>
  <c r="E1059" i="7"/>
  <c r="E1056" i="7"/>
  <c r="E1063" i="7"/>
  <c r="E1049" i="7"/>
  <c r="E1061" i="7"/>
  <c r="E1047" i="7"/>
  <c r="E1054" i="7"/>
  <c r="E1062" i="7"/>
  <c r="E1048" i="7"/>
  <c r="E1055" i="7"/>
  <c r="E1053" i="7"/>
  <c r="E1060" i="7"/>
  <c r="E1046" i="7"/>
  <c r="E1098" i="7"/>
  <c r="E1103" i="7" s="1"/>
  <c r="E629" i="7"/>
  <c r="E146" i="33" s="1"/>
  <c r="F18" i="7"/>
  <c r="F20" i="7"/>
  <c r="E630" i="7"/>
  <c r="E147" i="33" s="1"/>
  <c r="E628" i="7"/>
  <c r="E145" i="33" s="1"/>
  <c r="D471" i="7"/>
  <c r="D473" i="7"/>
  <c r="D474" i="7" s="1"/>
  <c r="D475" i="7" s="1"/>
  <c r="D476" i="7" s="1"/>
  <c r="D477" i="7" s="1"/>
  <c r="D478" i="7" s="1"/>
  <c r="D479" i="7" s="1"/>
  <c r="D480" i="7" s="1"/>
  <c r="D889" i="7"/>
  <c r="D891" i="7" s="1"/>
  <c r="D892" i="7" s="1"/>
  <c r="D893" i="7" s="1"/>
  <c r="D894" i="7" s="1"/>
  <c r="D895" i="7" s="1"/>
  <c r="D896" i="7" s="1"/>
  <c r="D897" i="7" s="1"/>
  <c r="D898" i="7" s="1"/>
  <c r="D1301" i="7"/>
  <c r="D1303" i="7" s="1"/>
  <c r="D1304" i="7" s="1"/>
  <c r="D1305" i="7" s="1"/>
  <c r="D1306" i="7" s="1"/>
  <c r="D1307" i="7" s="1"/>
  <c r="D1308" i="7" s="1"/>
  <c r="D1309" i="7" s="1"/>
  <c r="D1310" i="7" s="1"/>
  <c r="E1212" i="7"/>
  <c r="E51" i="27"/>
  <c r="E417" i="1"/>
  <c r="E364" i="26"/>
  <c r="E189" i="32"/>
  <c r="E158" i="7"/>
  <c r="E169" i="7"/>
  <c r="E146" i="32" s="1"/>
  <c r="E147" i="7"/>
  <c r="E176" i="7"/>
  <c r="E153" i="32" s="1"/>
  <c r="E154" i="7"/>
  <c r="E165" i="7"/>
  <c r="E167" i="7"/>
  <c r="E144" i="32" s="1"/>
  <c r="E156" i="7"/>
  <c r="E145" i="7"/>
  <c r="E159" i="7"/>
  <c r="E170" i="7"/>
  <c r="E147" i="32" s="1"/>
  <c r="E148" i="7"/>
  <c r="E162" i="7"/>
  <c r="E173" i="7"/>
  <c r="E150" i="32" s="1"/>
  <c r="E151" i="7"/>
  <c r="E172" i="7"/>
  <c r="E149" i="32" s="1"/>
  <c r="E150" i="7"/>
  <c r="E161" i="7"/>
  <c r="E168" i="7"/>
  <c r="E145" i="32" s="1"/>
  <c r="E146" i="7"/>
  <c r="E157" i="7"/>
  <c r="E164" i="7"/>
  <c r="E175" i="7"/>
  <c r="E152" i="32" s="1"/>
  <c r="E153" i="7"/>
  <c r="E188" i="32"/>
  <c r="E160" i="7"/>
  <c r="E171" i="7"/>
  <c r="E148" i="32" s="1"/>
  <c r="E149" i="7"/>
  <c r="E163" i="7"/>
  <c r="E174" i="7"/>
  <c r="E151" i="32" s="1"/>
  <c r="E152" i="7"/>
  <c r="E146" i="5"/>
  <c r="E145" i="5"/>
  <c r="E178" i="6"/>
  <c r="E163" i="6"/>
  <c r="E167" i="6" s="1"/>
  <c r="E1174" i="7" s="1"/>
  <c r="E173" i="2"/>
  <c r="E162" i="2"/>
  <c r="E154" i="2"/>
  <c r="E148" i="2"/>
  <c r="E174" i="2"/>
  <c r="E168" i="2"/>
  <c r="E163" i="2"/>
  <c r="E155" i="2"/>
  <c r="E149" i="2"/>
  <c r="E175" i="2"/>
  <c r="E29" i="6"/>
  <c r="E43" i="6"/>
  <c r="E30" i="6"/>
  <c r="L20" i="37"/>
  <c r="L20" i="38"/>
  <c r="F17" i="37"/>
  <c r="E658" i="7"/>
  <c r="D26" i="17"/>
  <c r="E659" i="7"/>
  <c r="E660" i="7"/>
  <c r="L20" i="36"/>
  <c r="E151" i="2"/>
  <c r="E150" i="2"/>
  <c r="E88" i="6"/>
  <c r="E73" i="6"/>
  <c r="E77" i="6" s="1"/>
  <c r="E207" i="32" s="1"/>
  <c r="E66" i="5"/>
  <c r="E63" i="5"/>
  <c r="E67" i="5"/>
  <c r="E64" i="5"/>
  <c r="E57" i="5"/>
  <c r="E72" i="5"/>
  <c r="E68" i="5"/>
  <c r="E58" i="5"/>
  <c r="E65" i="5"/>
  <c r="E61" i="2"/>
  <c r="E83" i="2"/>
  <c r="E58" i="2"/>
  <c r="E89" i="2" s="1"/>
  <c r="E84" i="2"/>
  <c r="E78" i="2"/>
  <c r="E72" i="2"/>
  <c r="E64" i="2"/>
  <c r="E59" i="2"/>
  <c r="E85" i="2"/>
  <c r="E73" i="2"/>
  <c r="E65" i="2"/>
  <c r="E60" i="2"/>
  <c r="E111" i="5"/>
  <c r="E107" i="5"/>
  <c r="E112" i="5"/>
  <c r="E108" i="5"/>
  <c r="E109" i="5"/>
  <c r="E102" i="5"/>
  <c r="E110" i="5"/>
  <c r="E104" i="2"/>
  <c r="E105" i="2"/>
  <c r="E106" i="2"/>
  <c r="E110" i="2"/>
  <c r="E103" i="2"/>
  <c r="E118" i="2"/>
  <c r="E123" i="2"/>
  <c r="E128" i="2"/>
  <c r="E129" i="2"/>
  <c r="E130" i="2"/>
  <c r="E117" i="2"/>
  <c r="E109" i="2"/>
  <c r="H130" i="10"/>
  <c r="H131" i="10" s="1"/>
  <c r="G163" i="10"/>
  <c r="E366" i="25"/>
  <c r="E372" i="26"/>
  <c r="E376" i="26"/>
  <c r="E374" i="26"/>
  <c r="E373" i="26"/>
  <c r="E375" i="26"/>
  <c r="G181" i="10"/>
  <c r="G150" i="10"/>
  <c r="G200" i="10"/>
  <c r="G212" i="10"/>
  <c r="G217" i="10"/>
  <c r="G177" i="10"/>
  <c r="G224" i="10"/>
  <c r="G143" i="10"/>
  <c r="G207" i="10"/>
  <c r="G156" i="10"/>
  <c r="G231" i="10"/>
  <c r="G191" i="10"/>
  <c r="G171" i="10"/>
  <c r="E310" i="25"/>
  <c r="E307" i="25"/>
  <c r="E308" i="25"/>
  <c r="E223" i="26"/>
  <c r="F19" i="7"/>
  <c r="F17" i="7"/>
  <c r="F16" i="7"/>
  <c r="F21" i="7"/>
  <c r="G14" i="7"/>
  <c r="H15" i="7" s="1"/>
  <c r="H171" i="10"/>
  <c r="H156" i="10"/>
  <c r="H143" i="10"/>
  <c r="H181" i="10"/>
  <c r="H200" i="10"/>
  <c r="H217" i="10"/>
  <c r="H150" i="10"/>
  <c r="H177" i="10"/>
  <c r="H191" i="10"/>
  <c r="H195" i="10"/>
  <c r="H207" i="10"/>
  <c r="H212" i="10"/>
  <c r="H231" i="10"/>
  <c r="H224" i="10"/>
  <c r="H6" i="7"/>
  <c r="I5" i="7" s="1"/>
  <c r="G12" i="7"/>
  <c r="G13" i="7" s="1"/>
  <c r="F1164" i="7" l="1"/>
  <c r="F667" i="7"/>
  <c r="F194" i="25" s="1"/>
  <c r="F695" i="7"/>
  <c r="F694" i="7" s="1"/>
  <c r="F693" i="7"/>
  <c r="F664" i="7"/>
  <c r="F696" i="7"/>
  <c r="F278" i="7"/>
  <c r="F399" i="1" s="1"/>
  <c r="F275" i="7"/>
  <c r="F249" i="7"/>
  <c r="F245" i="1" s="1"/>
  <c r="F246" i="7"/>
  <c r="E177" i="2"/>
  <c r="E42" i="2"/>
  <c r="E1450" i="7" s="1"/>
  <c r="E87" i="2"/>
  <c r="E296" i="7" s="1"/>
  <c r="F35" i="27"/>
  <c r="F504" i="7"/>
  <c r="F1394" i="7"/>
  <c r="E132" i="2"/>
  <c r="F922" i="7"/>
  <c r="F1019" i="7"/>
  <c r="F1003" i="7"/>
  <c r="F987" i="7"/>
  <c r="F971" i="7"/>
  <c r="F955" i="7"/>
  <c r="E122" i="6"/>
  <c r="E194" i="33" s="1"/>
  <c r="F939" i="7"/>
  <c r="F360" i="7"/>
  <c r="F368" i="7" s="1"/>
  <c r="F344" i="7"/>
  <c r="E152" i="2"/>
  <c r="E202" i="34" s="1"/>
  <c r="F141" i="5"/>
  <c r="F132" i="34"/>
  <c r="F240" i="26"/>
  <c r="F1147" i="7" s="1"/>
  <c r="F97" i="5"/>
  <c r="F132" i="33"/>
  <c r="F254" i="25"/>
  <c r="F678" i="7" s="1"/>
  <c r="E227" i="33"/>
  <c r="E386" i="7"/>
  <c r="E398" i="7" s="1"/>
  <c r="E158" i="10"/>
  <c r="E157" i="10"/>
  <c r="F377" i="7"/>
  <c r="F394" i="7" s="1"/>
  <c r="F407" i="7"/>
  <c r="F424" i="7" s="1"/>
  <c r="E1432" i="7"/>
  <c r="F1440" i="7"/>
  <c r="F1425" i="7"/>
  <c r="F1423" i="7"/>
  <c r="F1403" i="7"/>
  <c r="F1424" i="7"/>
  <c r="F1496" i="7"/>
  <c r="F1491" i="7"/>
  <c r="F1490" i="7"/>
  <c r="F1480" i="7"/>
  <c r="E152" i="10"/>
  <c r="F328" i="7"/>
  <c r="E427" i="7"/>
  <c r="E1120" i="7"/>
  <c r="E248" i="32"/>
  <c r="E335" i="1"/>
  <c r="E317" i="1"/>
  <c r="E326" i="1"/>
  <c r="E446" i="7"/>
  <c r="F437" i="7"/>
  <c r="F454" i="7" s="1"/>
  <c r="E457" i="7"/>
  <c r="F444" i="7"/>
  <c r="F456" i="7" s="1"/>
  <c r="F448" i="7"/>
  <c r="F305" i="1"/>
  <c r="E221" i="34"/>
  <c r="E232" i="34" s="1"/>
  <c r="E225" i="34"/>
  <c r="F149" i="33"/>
  <c r="E146" i="34"/>
  <c r="E145" i="10" s="1"/>
  <c r="F626" i="7"/>
  <c r="F155" i="33" s="1"/>
  <c r="F625" i="7"/>
  <c r="F154" i="33" s="1"/>
  <c r="F624" i="7"/>
  <c r="F153" i="33" s="1"/>
  <c r="E185" i="34"/>
  <c r="E234" i="33"/>
  <c r="E241" i="33"/>
  <c r="E145" i="34"/>
  <c r="E1306" i="7"/>
  <c r="E1310" i="7" s="1"/>
  <c r="F1297" i="7"/>
  <c r="E788" i="7"/>
  <c r="F778" i="7"/>
  <c r="E804" i="7"/>
  <c r="E808" i="7" s="1"/>
  <c r="F795" i="7"/>
  <c r="E216" i="32"/>
  <c r="E225" i="10"/>
  <c r="E488" i="7"/>
  <c r="E480" i="7"/>
  <c r="E492" i="7" s="1"/>
  <c r="E1228" i="7"/>
  <c r="F1218" i="7"/>
  <c r="F896" i="7"/>
  <c r="F836" i="7"/>
  <c r="F848" i="7" s="1"/>
  <c r="F895" i="7"/>
  <c r="F907" i="7" s="1"/>
  <c r="F856" i="7"/>
  <c r="F866" i="7"/>
  <c r="F878" i="7" s="1"/>
  <c r="F854" i="7"/>
  <c r="F860" i="7" s="1"/>
  <c r="F835" i="7"/>
  <c r="F847" i="7" s="1"/>
  <c r="F892" i="7"/>
  <c r="F865" i="7"/>
  <c r="F877" i="7" s="1"/>
  <c r="F832" i="7"/>
  <c r="F844" i="7" s="1"/>
  <c r="F824" i="7"/>
  <c r="F830" i="7" s="1"/>
  <c r="F826" i="7"/>
  <c r="F805" i="7"/>
  <c r="F817" i="7" s="1"/>
  <c r="F763" i="7"/>
  <c r="F771" i="7" s="1"/>
  <c r="F666" i="7" s="1"/>
  <c r="F665" i="7" s="1"/>
  <c r="F884" i="7"/>
  <c r="F890" i="7" s="1"/>
  <c r="F862" i="7"/>
  <c r="F874" i="7" s="1"/>
  <c r="F802" i="7"/>
  <c r="F814" i="7" s="1"/>
  <c r="F794" i="7"/>
  <c r="F761" i="7"/>
  <c r="F745" i="7"/>
  <c r="F779" i="7"/>
  <c r="F787" i="7" s="1"/>
  <c r="F747" i="7"/>
  <c r="F755" i="7" s="1"/>
  <c r="F777" i="7"/>
  <c r="F806" i="7"/>
  <c r="F818" i="7" s="1"/>
  <c r="F796" i="7"/>
  <c r="F886" i="7"/>
  <c r="E905" i="7"/>
  <c r="F885" i="7"/>
  <c r="E894" i="7"/>
  <c r="F484" i="7"/>
  <c r="E834" i="7"/>
  <c r="E838" i="7" s="1"/>
  <c r="E845" i="7"/>
  <c r="F825" i="7"/>
  <c r="E1260" i="7"/>
  <c r="F1250" i="7"/>
  <c r="E1366" i="7"/>
  <c r="F1357" i="7"/>
  <c r="E1377" i="7"/>
  <c r="E428" i="7"/>
  <c r="E420" i="7"/>
  <c r="E432" i="7" s="1"/>
  <c r="L19" i="37"/>
  <c r="L19" i="38"/>
  <c r="F1364" i="7"/>
  <c r="F1376" i="7" s="1"/>
  <c r="F1338" i="7"/>
  <c r="F1350" i="7" s="1"/>
  <c r="F1337" i="7"/>
  <c r="F1349" i="7" s="1"/>
  <c r="F1308" i="7"/>
  <c r="F1320" i="7" s="1"/>
  <c r="F1278" i="7"/>
  <c r="F1290" i="7" s="1"/>
  <c r="F1367" i="7"/>
  <c r="F1379" i="7" s="1"/>
  <c r="F1356" i="7"/>
  <c r="F1362" i="7" s="1"/>
  <c r="F1277" i="7"/>
  <c r="F1289" i="7" s="1"/>
  <c r="F1249" i="7"/>
  <c r="F1217" i="7"/>
  <c r="F1219" i="7"/>
  <c r="F1227" i="7" s="1"/>
  <c r="F1135" i="7" s="1"/>
  <c r="F1334" i="7"/>
  <c r="F1346" i="7" s="1"/>
  <c r="F1304" i="7"/>
  <c r="F1316" i="7" s="1"/>
  <c r="F1235" i="7"/>
  <c r="F1243" i="7" s="1"/>
  <c r="F1274" i="7"/>
  <c r="F1286" i="7" s="1"/>
  <c r="F1326" i="7"/>
  <c r="F1332" i="7" s="1"/>
  <c r="F1296" i="7"/>
  <c r="F1302" i="7" s="1"/>
  <c r="F1266" i="7"/>
  <c r="F1272" i="7" s="1"/>
  <c r="F1368" i="7"/>
  <c r="F1251" i="7"/>
  <c r="F1259" i="7" s="1"/>
  <c r="F1233" i="7"/>
  <c r="F1307" i="7"/>
  <c r="F1319" i="7" s="1"/>
  <c r="F1328" i="7"/>
  <c r="F1268" i="7"/>
  <c r="F1285" i="7" s="1"/>
  <c r="F1298" i="7"/>
  <c r="F1358" i="7"/>
  <c r="E1336" i="7"/>
  <c r="E1340" i="7" s="1"/>
  <c r="F1327" i="7"/>
  <c r="E1276" i="7"/>
  <c r="E1280" i="7" s="1"/>
  <c r="F1267" i="7"/>
  <c r="F474" i="7"/>
  <c r="F486" i="7" s="1"/>
  <c r="F447" i="7"/>
  <c r="F459" i="7" s="1"/>
  <c r="F418" i="7"/>
  <c r="F430" i="7" s="1"/>
  <c r="F384" i="7"/>
  <c r="F396" i="7" s="1"/>
  <c r="F468" i="7"/>
  <c r="F485" i="7" s="1"/>
  <c r="F466" i="7"/>
  <c r="F417" i="7"/>
  <c r="F429" i="7" s="1"/>
  <c r="F478" i="7"/>
  <c r="F490" i="7" s="1"/>
  <c r="F436" i="7"/>
  <c r="F414" i="7"/>
  <c r="F426" i="7" s="1"/>
  <c r="F406" i="7"/>
  <c r="F477" i="7"/>
  <c r="F489" i="7" s="1"/>
  <c r="F388" i="7"/>
  <c r="F400" i="7" s="1"/>
  <c r="F387" i="7"/>
  <c r="F399" i="7" s="1"/>
  <c r="F438" i="7"/>
  <c r="F455" i="7" s="1"/>
  <c r="F408" i="7"/>
  <c r="F378" i="7"/>
  <c r="F359" i="7"/>
  <c r="F343" i="7"/>
  <c r="F501" i="7"/>
  <c r="F376" i="7"/>
  <c r="F361" i="7"/>
  <c r="F369" i="7" s="1"/>
  <c r="F345" i="7"/>
  <c r="F329" i="7"/>
  <c r="F498" i="7"/>
  <c r="F495" i="7"/>
  <c r="F497" i="7" s="1"/>
  <c r="F327" i="7"/>
  <c r="E1245" i="7"/>
  <c r="E1244" i="7"/>
  <c r="F1234" i="7"/>
  <c r="E772" i="7"/>
  <c r="F762" i="7"/>
  <c r="E756" i="7"/>
  <c r="F746" i="7"/>
  <c r="E864" i="7"/>
  <c r="E868" i="7" s="1"/>
  <c r="E880" i="7" s="1"/>
  <c r="F855" i="7"/>
  <c r="E193" i="34"/>
  <c r="E1118" i="7"/>
  <c r="E1117" i="7"/>
  <c r="E1125" i="7"/>
  <c r="E374" i="25" s="1"/>
  <c r="F374" i="25" s="1"/>
  <c r="F1157" i="7"/>
  <c r="F1136" i="7"/>
  <c r="F1163" i="7"/>
  <c r="F1133" i="7"/>
  <c r="F1165" i="7"/>
  <c r="F1155" i="7"/>
  <c r="F297" i="26" s="1"/>
  <c r="F1162" i="7"/>
  <c r="E1066" i="7"/>
  <c r="E1074" i="7" s="1"/>
  <c r="E1064" i="7"/>
  <c r="F1141" i="7"/>
  <c r="E1069" i="7"/>
  <c r="E1077" i="7" s="1"/>
  <c r="E1068" i="7"/>
  <c r="E1076" i="7" s="1"/>
  <c r="E1070" i="7"/>
  <c r="E1078" i="7" s="1"/>
  <c r="E1100" i="7"/>
  <c r="F673" i="7"/>
  <c r="F688" i="7"/>
  <c r="F312" i="25" s="1"/>
  <c r="F686" i="7"/>
  <c r="F311" i="25" s="1"/>
  <c r="E1067" i="7"/>
  <c r="E1075" i="7" s="1"/>
  <c r="E1071" i="7"/>
  <c r="E1079" i="7" s="1"/>
  <c r="E1119" i="7"/>
  <c r="E1102" i="7"/>
  <c r="E1105" i="7" s="1"/>
  <c r="G20" i="7"/>
  <c r="G18" i="7"/>
  <c r="E635" i="7"/>
  <c r="E640" i="7" s="1"/>
  <c r="E634" i="7"/>
  <c r="E639" i="7" s="1"/>
  <c r="E633" i="7"/>
  <c r="E275" i="25"/>
  <c r="F275" i="25" s="1"/>
  <c r="E284" i="25"/>
  <c r="F284" i="25" s="1"/>
  <c r="E266" i="25"/>
  <c r="F266" i="25" s="1"/>
  <c r="E631" i="7"/>
  <c r="F1401" i="7"/>
  <c r="E16" i="2"/>
  <c r="E113" i="27"/>
  <c r="E1485" i="7"/>
  <c r="E13" i="2"/>
  <c r="F99" i="27"/>
  <c r="E187" i="7"/>
  <c r="E199" i="7" s="1"/>
  <c r="E180" i="7"/>
  <c r="E192" i="7" s="1"/>
  <c r="E188" i="7"/>
  <c r="E200" i="7" s="1"/>
  <c r="F417" i="1"/>
  <c r="E186" i="7"/>
  <c r="E198" i="7" s="1"/>
  <c r="E184" i="7"/>
  <c r="E196" i="7" s="1"/>
  <c r="F429" i="1"/>
  <c r="F364" i="26"/>
  <c r="E183" i="7"/>
  <c r="E195" i="7" s="1"/>
  <c r="E185" i="7"/>
  <c r="E197" i="7" s="1"/>
  <c r="E181" i="7"/>
  <c r="E193" i="7" s="1"/>
  <c r="F356" i="26"/>
  <c r="F421" i="1"/>
  <c r="E182" i="7"/>
  <c r="E194" i="7" s="1"/>
  <c r="E179" i="7"/>
  <c r="E191" i="7" s="1"/>
  <c r="F370" i="25"/>
  <c r="F137" i="34"/>
  <c r="F137" i="10"/>
  <c r="F138" i="33"/>
  <c r="F137" i="32"/>
  <c r="E20" i="2"/>
  <c r="E156" i="2"/>
  <c r="F143" i="34"/>
  <c r="L19" i="35"/>
  <c r="E111" i="2"/>
  <c r="E100" i="5"/>
  <c r="E13" i="5" s="1"/>
  <c r="F1391" i="7"/>
  <c r="F1388" i="7"/>
  <c r="F1173" i="7"/>
  <c r="F1385" i="7"/>
  <c r="F1387" i="7" s="1"/>
  <c r="E33" i="2"/>
  <c r="E19" i="2"/>
  <c r="E28" i="6"/>
  <c r="E192" i="10" s="1"/>
  <c r="E107" i="2"/>
  <c r="E211" i="33" s="1"/>
  <c r="F186" i="32"/>
  <c r="F173" i="33"/>
  <c r="F18" i="35"/>
  <c r="D26" i="28"/>
  <c r="E34" i="5"/>
  <c r="E66" i="2"/>
  <c r="E62" i="2"/>
  <c r="E225" i="32" s="1"/>
  <c r="E287" i="7"/>
  <c r="F286" i="7"/>
  <c r="E177" i="7"/>
  <c r="F704" i="7"/>
  <c r="F919" i="7"/>
  <c r="F916" i="7"/>
  <c r="F913" i="7"/>
  <c r="F915" i="7" s="1"/>
  <c r="F132" i="32"/>
  <c r="I130" i="10"/>
  <c r="I131" i="10" s="1"/>
  <c r="J130" i="10" s="1"/>
  <c r="J131" i="10" s="1"/>
  <c r="K130" i="10" s="1"/>
  <c r="K131" i="10" s="1"/>
  <c r="L130" i="10" s="1"/>
  <c r="L131" i="10" s="1"/>
  <c r="M130" i="10" s="1"/>
  <c r="M131" i="10" s="1"/>
  <c r="N130" i="10" s="1"/>
  <c r="N131" i="10" s="1"/>
  <c r="O130" i="10" s="1"/>
  <c r="O131" i="10" s="1"/>
  <c r="P130" i="10" s="1"/>
  <c r="P131" i="10" s="1"/>
  <c r="Q130" i="10" s="1"/>
  <c r="Q131" i="10" s="1"/>
  <c r="R130" i="10" s="1"/>
  <c r="R131" i="10" s="1"/>
  <c r="S130" i="10" s="1"/>
  <c r="S131" i="10" s="1"/>
  <c r="T130" i="10" s="1"/>
  <c r="T131" i="10" s="1"/>
  <c r="U130" i="10" s="1"/>
  <c r="U131" i="10" s="1"/>
  <c r="V130" i="10" s="1"/>
  <c r="V131" i="10" s="1"/>
  <c r="W130" i="10" s="1"/>
  <c r="W131" i="10" s="1"/>
  <c r="X130" i="10" s="1"/>
  <c r="X131" i="10" s="1"/>
  <c r="Y130" i="10" s="1"/>
  <c r="Y131" i="10" s="1"/>
  <c r="Z130" i="10" s="1"/>
  <c r="Z131" i="10" s="1"/>
  <c r="AA130" i="10" s="1"/>
  <c r="AA131" i="10" s="1"/>
  <c r="AB130" i="10" s="1"/>
  <c r="AB131" i="10" s="1"/>
  <c r="AC130" i="10" s="1"/>
  <c r="AC131" i="10" s="1"/>
  <c r="AD130" i="10" s="1"/>
  <c r="AD131" i="10" s="1"/>
  <c r="AE130" i="10" s="1"/>
  <c r="AE131" i="10" s="1"/>
  <c r="AF130" i="10" s="1"/>
  <c r="AF131" i="10" s="1"/>
  <c r="AG130" i="10" s="1"/>
  <c r="AG131" i="10" s="1"/>
  <c r="AH130" i="10" s="1"/>
  <c r="AH131" i="10" s="1"/>
  <c r="H163" i="10"/>
  <c r="F366" i="25"/>
  <c r="F378" i="25"/>
  <c r="F84" i="7"/>
  <c r="F116" i="7"/>
  <c r="F100" i="7"/>
  <c r="F68" i="7"/>
  <c r="F36" i="7"/>
  <c r="F52" i="7"/>
  <c r="F601" i="7"/>
  <c r="F537" i="7"/>
  <c r="F585" i="7"/>
  <c r="F569" i="7"/>
  <c r="F521" i="7"/>
  <c r="F553" i="7"/>
  <c r="F1207" i="7"/>
  <c r="F268" i="7"/>
  <c r="F270" i="7"/>
  <c r="E155" i="5"/>
  <c r="F1020" i="7"/>
  <c r="F1004" i="7"/>
  <c r="F988" i="7"/>
  <c r="F972" i="7"/>
  <c r="F956" i="7"/>
  <c r="F940" i="7"/>
  <c r="F602" i="7"/>
  <c r="F586" i="7"/>
  <c r="F570" i="7"/>
  <c r="F554" i="7"/>
  <c r="F522" i="7"/>
  <c r="F538" i="7"/>
  <c r="F117" i="7"/>
  <c r="F101" i="7"/>
  <c r="F85" i="7"/>
  <c r="F69" i="7"/>
  <c r="F53" i="7"/>
  <c r="F37" i="7"/>
  <c r="F1142" i="7"/>
  <c r="F255" i="7"/>
  <c r="F531" i="7"/>
  <c r="F532" i="7" s="1"/>
  <c r="F579" i="7"/>
  <c r="F580" i="7" s="1"/>
  <c r="F595" i="7"/>
  <c r="F563" i="7"/>
  <c r="F547" i="7"/>
  <c r="F515" i="7"/>
  <c r="E87" i="27"/>
  <c r="E88" i="27"/>
  <c r="E16" i="5"/>
  <c r="E1468" i="7" s="1"/>
  <c r="F78" i="7"/>
  <c r="F46" i="7"/>
  <c r="F47" i="7" s="1"/>
  <c r="F132" i="10"/>
  <c r="F9" i="6"/>
  <c r="F9" i="5"/>
  <c r="F9" i="2"/>
  <c r="F54" i="6"/>
  <c r="F53" i="5"/>
  <c r="F54" i="2"/>
  <c r="E138" i="6"/>
  <c r="E727" i="7"/>
  <c r="F1013" i="7"/>
  <c r="F1014" i="7" s="1"/>
  <c r="F949" i="7"/>
  <c r="F997" i="7"/>
  <c r="F998" i="7" s="1"/>
  <c r="F933" i="7"/>
  <c r="F981" i="7"/>
  <c r="F982" i="7" s="1"/>
  <c r="F965" i="7"/>
  <c r="F966" i="7" s="1"/>
  <c r="F144" i="6"/>
  <c r="F144" i="2"/>
  <c r="E309" i="7"/>
  <c r="E93" i="6"/>
  <c r="F735" i="7"/>
  <c r="F99" i="6"/>
  <c r="F99" i="2"/>
  <c r="E1199" i="7"/>
  <c r="E183" i="6"/>
  <c r="E179" i="2"/>
  <c r="G17" i="7"/>
  <c r="G16" i="7"/>
  <c r="G21" i="7"/>
  <c r="G19" i="7"/>
  <c r="F110" i="7"/>
  <c r="F111" i="7" s="1"/>
  <c r="F62" i="7"/>
  <c r="F63" i="7" s="1"/>
  <c r="F94" i="7"/>
  <c r="F317" i="7"/>
  <c r="F320" i="7" s="1"/>
  <c r="F30" i="7"/>
  <c r="F254" i="7"/>
  <c r="F129" i="1"/>
  <c r="I6" i="7"/>
  <c r="J5" i="7" s="1"/>
  <c r="I156" i="10"/>
  <c r="I177" i="10"/>
  <c r="I217" i="10"/>
  <c r="I231" i="10"/>
  <c r="I143" i="10"/>
  <c r="I163" i="10"/>
  <c r="I181" i="10"/>
  <c r="I195" i="10"/>
  <c r="I200" i="10"/>
  <c r="I212" i="10"/>
  <c r="I224" i="10"/>
  <c r="I171" i="10"/>
  <c r="I150" i="10"/>
  <c r="I191" i="10"/>
  <c r="I207" i="10"/>
  <c r="H12" i="7"/>
  <c r="H13" i="7" s="1"/>
  <c r="H14" i="7"/>
  <c r="I15" i="7" s="1"/>
  <c r="F801" i="7" l="1"/>
  <c r="G1135" i="7"/>
  <c r="F1134" i="7"/>
  <c r="F159" i="5" s="1"/>
  <c r="F1499" i="7"/>
  <c r="G35" i="27"/>
  <c r="F193" i="25"/>
  <c r="F831" i="7"/>
  <c r="F1303" i="7"/>
  <c r="F1273" i="7"/>
  <c r="F137" i="6"/>
  <c r="F47" i="6"/>
  <c r="F182" i="6"/>
  <c r="F92" i="6"/>
  <c r="E390" i="7"/>
  <c r="E402" i="7" s="1"/>
  <c r="F1458" i="7"/>
  <c r="F111" i="27" s="1"/>
  <c r="F1415" i="7"/>
  <c r="F25" i="5" s="1"/>
  <c r="G97" i="5"/>
  <c r="G132" i="33"/>
  <c r="E1183" i="7"/>
  <c r="E144" i="10"/>
  <c r="F10" i="38"/>
  <c r="G254" i="25"/>
  <c r="G240" i="26"/>
  <c r="G141" i="5"/>
  <c r="G132" i="34"/>
  <c r="E714" i="7"/>
  <c r="F1492" i="7"/>
  <c r="G1490" i="7" s="1"/>
  <c r="F1417" i="7"/>
  <c r="F26" i="5" s="1"/>
  <c r="F1493" i="7"/>
  <c r="F1431" i="7"/>
  <c r="G1440" i="7"/>
  <c r="G1491" i="7"/>
  <c r="F52" i="27"/>
  <c r="E458" i="7"/>
  <c r="E450" i="7"/>
  <c r="E462" i="7" s="1"/>
  <c r="G305" i="1"/>
  <c r="G444" i="7"/>
  <c r="E218" i="34"/>
  <c r="E148" i="34"/>
  <c r="G626" i="7"/>
  <c r="G155" i="33" s="1"/>
  <c r="G625" i="7"/>
  <c r="G154" i="33" s="1"/>
  <c r="G624" i="7"/>
  <c r="G153" i="33" s="1"/>
  <c r="F362" i="7"/>
  <c r="F370" i="7" s="1"/>
  <c r="F385" i="7"/>
  <c r="F386" i="7" s="1"/>
  <c r="F398" i="7" s="1"/>
  <c r="F1363" i="7"/>
  <c r="F837" i="7"/>
  <c r="F849" i="7" s="1"/>
  <c r="F425" i="7"/>
  <c r="F1375" i="7"/>
  <c r="F891" i="7"/>
  <c r="F902" i="7"/>
  <c r="E902" i="7" s="1"/>
  <c r="F893" i="7"/>
  <c r="F904" i="7"/>
  <c r="F126" i="6" s="1"/>
  <c r="F897" i="7"/>
  <c r="F909" i="7" s="1"/>
  <c r="F908" i="7"/>
  <c r="G466" i="7"/>
  <c r="G417" i="7"/>
  <c r="G436" i="7"/>
  <c r="G414" i="7"/>
  <c r="G406" i="7"/>
  <c r="G477" i="7"/>
  <c r="G447" i="7"/>
  <c r="G387" i="7"/>
  <c r="G384" i="7"/>
  <c r="G474" i="7"/>
  <c r="G438" i="7"/>
  <c r="G378" i="7"/>
  <c r="G408" i="7"/>
  <c r="G468" i="7"/>
  <c r="G376" i="7"/>
  <c r="G361" i="7"/>
  <c r="G345" i="7"/>
  <c r="G343" i="7"/>
  <c r="G329" i="7"/>
  <c r="G327" i="7"/>
  <c r="G359" i="7"/>
  <c r="F242" i="32"/>
  <c r="F243" i="32"/>
  <c r="F256" i="32"/>
  <c r="F155" i="32"/>
  <c r="F249" i="32"/>
  <c r="F250" i="32"/>
  <c r="F251" i="32"/>
  <c r="F196" i="32"/>
  <c r="F197" i="32"/>
  <c r="F748" i="7"/>
  <c r="F749" i="7" s="1"/>
  <c r="F754" i="7"/>
  <c r="F1236" i="7"/>
  <c r="F1237" i="7" s="1"/>
  <c r="F1242" i="7"/>
  <c r="F413" i="7"/>
  <c r="F412" i="7"/>
  <c r="F1315" i="7"/>
  <c r="F813" i="7"/>
  <c r="F873" i="7"/>
  <c r="F1220" i="7"/>
  <c r="F1221" i="7" s="1"/>
  <c r="F1226" i="7"/>
  <c r="F780" i="7"/>
  <c r="F781" i="7" s="1"/>
  <c r="F786" i="7"/>
  <c r="F415" i="7"/>
  <c r="F419" i="7"/>
  <c r="F431" i="7" s="1"/>
  <c r="F1279" i="7"/>
  <c r="F1291" i="7" s="1"/>
  <c r="F1309" i="7"/>
  <c r="F1321" i="7" s="1"/>
  <c r="F1339" i="7"/>
  <c r="F1351" i="7" s="1"/>
  <c r="F475" i="7"/>
  <c r="F807" i="7"/>
  <c r="F819" i="7" s="1"/>
  <c r="E819" i="7" s="1"/>
  <c r="F184" i="33"/>
  <c r="F235" i="33"/>
  <c r="F236" i="33"/>
  <c r="F237" i="33"/>
  <c r="F242" i="33"/>
  <c r="F229" i="33"/>
  <c r="F228" i="33"/>
  <c r="F1275" i="7"/>
  <c r="F1284" i="7"/>
  <c r="E1284" i="7" s="1"/>
  <c r="F1252" i="7"/>
  <c r="F1253" i="7" s="1"/>
  <c r="F1258" i="7"/>
  <c r="F903" i="7"/>
  <c r="G1337" i="7"/>
  <c r="G1349" i="7" s="1"/>
  <c r="G1334" i="7"/>
  <c r="G1346" i="7" s="1"/>
  <c r="G1326" i="7"/>
  <c r="G1332" i="7" s="1"/>
  <c r="G1307" i="7"/>
  <c r="G1319" i="7" s="1"/>
  <c r="G1296" i="7"/>
  <c r="G1302" i="7" s="1"/>
  <c r="G1277" i="7"/>
  <c r="G1289" i="7" s="1"/>
  <c r="G1364" i="7"/>
  <c r="G1376" i="7" s="1"/>
  <c r="G1356" i="7"/>
  <c r="G1362" i="7" s="1"/>
  <c r="G1219" i="7"/>
  <c r="G1227" i="7" s="1"/>
  <c r="G1164" i="7" s="1"/>
  <c r="G1304" i="7"/>
  <c r="G1316" i="7" s="1"/>
  <c r="G1235" i="7"/>
  <c r="G1243" i="7" s="1"/>
  <c r="G1367" i="7"/>
  <c r="G1379" i="7" s="1"/>
  <c r="G1274" i="7"/>
  <c r="G1286" i="7" s="1"/>
  <c r="G1266" i="7"/>
  <c r="G1272" i="7" s="1"/>
  <c r="G1251" i="7"/>
  <c r="G1259" i="7" s="1"/>
  <c r="G1233" i="7"/>
  <c r="G1249" i="7"/>
  <c r="G1217" i="7"/>
  <c r="G1328" i="7"/>
  <c r="G1358" i="7"/>
  <c r="G1268" i="7"/>
  <c r="G1285" i="7" s="1"/>
  <c r="G1298" i="7"/>
  <c r="F226" i="34"/>
  <c r="F227" i="34"/>
  <c r="F228" i="34"/>
  <c r="F219" i="34"/>
  <c r="F220" i="34"/>
  <c r="F233" i="34"/>
  <c r="F175" i="34"/>
  <c r="F174" i="34"/>
  <c r="F863" i="7"/>
  <c r="F872" i="7"/>
  <c r="E872" i="7" s="1"/>
  <c r="F764" i="7"/>
  <c r="F770" i="7"/>
  <c r="F395" i="7"/>
  <c r="F449" i="7"/>
  <c r="F461" i="7" s="1"/>
  <c r="F460" i="7"/>
  <c r="F443" i="7"/>
  <c r="F442" i="7"/>
  <c r="F1345" i="7"/>
  <c r="F1369" i="7"/>
  <c r="F1381" i="7" s="1"/>
  <c r="F1380" i="7"/>
  <c r="E1378" i="7"/>
  <c r="E1370" i="7"/>
  <c r="E1382" i="7" s="1"/>
  <c r="E906" i="7"/>
  <c r="E898" i="7"/>
  <c r="E910" i="7" s="1"/>
  <c r="F843" i="7"/>
  <c r="F803" i="7"/>
  <c r="F812" i="7"/>
  <c r="E812" i="7" s="1"/>
  <c r="F1305" i="7"/>
  <c r="F1314" i="7"/>
  <c r="E1314" i="7" s="1"/>
  <c r="F479" i="7"/>
  <c r="F491" i="7" s="1"/>
  <c r="F346" i="7"/>
  <c r="F861" i="7"/>
  <c r="F219" i="10"/>
  <c r="F228" i="10"/>
  <c r="F233" i="10"/>
  <c r="F226" i="10"/>
  <c r="F173" i="10"/>
  <c r="G895" i="7"/>
  <c r="G854" i="7"/>
  <c r="G860" i="7" s="1"/>
  <c r="G835" i="7"/>
  <c r="G847" i="7" s="1"/>
  <c r="G892" i="7"/>
  <c r="G865" i="7"/>
  <c r="G832" i="7"/>
  <c r="G844" i="7" s="1"/>
  <c r="G824" i="7"/>
  <c r="G830" i="7" s="1"/>
  <c r="G884" i="7"/>
  <c r="G862" i="7"/>
  <c r="G802" i="7"/>
  <c r="G814" i="7" s="1"/>
  <c r="G794" i="7"/>
  <c r="G761" i="7"/>
  <c r="G745" i="7"/>
  <c r="G779" i="7"/>
  <c r="G787" i="7" s="1"/>
  <c r="G747" i="7"/>
  <c r="G755" i="7" s="1"/>
  <c r="G777" i="7"/>
  <c r="G763" i="7"/>
  <c r="G805" i="7"/>
  <c r="G817" i="7" s="1"/>
  <c r="G856" i="7"/>
  <c r="G826" i="7"/>
  <c r="G796" i="7"/>
  <c r="G886" i="7"/>
  <c r="E44" i="2"/>
  <c r="F383" i="7"/>
  <c r="F382" i="7"/>
  <c r="F1344" i="7"/>
  <c r="E1344" i="7" s="1"/>
  <c r="F1335" i="7"/>
  <c r="F1365" i="7"/>
  <c r="F1374" i="7"/>
  <c r="E1374" i="7" s="1"/>
  <c r="F833" i="7"/>
  <c r="F834" i="7" s="1"/>
  <c r="F846" i="7" s="1"/>
  <c r="E846" i="7" s="1"/>
  <c r="F842" i="7"/>
  <c r="E842" i="7" s="1"/>
  <c r="F389" i="7"/>
  <c r="F401" i="7" s="1"/>
  <c r="F445" i="7"/>
  <c r="F1333" i="7"/>
  <c r="F867" i="7"/>
  <c r="F879" i="7" s="1"/>
  <c r="F800" i="7"/>
  <c r="F330" i="7"/>
  <c r="E1080" i="7"/>
  <c r="E636" i="7"/>
  <c r="E1072" i="7"/>
  <c r="E638" i="7"/>
  <c r="E641" i="7" s="1"/>
  <c r="H18" i="7"/>
  <c r="H20" i="7"/>
  <c r="E352" i="26"/>
  <c r="F352" i="26" s="1"/>
  <c r="G352" i="26" s="1"/>
  <c r="F31" i="7"/>
  <c r="F38" i="7" s="1"/>
  <c r="F39" i="7" s="1"/>
  <c r="F738" i="7"/>
  <c r="F739" i="7" s="1"/>
  <c r="F1210" i="7"/>
  <c r="F1211" i="7" s="1"/>
  <c r="G99" i="27"/>
  <c r="E52" i="27"/>
  <c r="F51" i="27"/>
  <c r="F17" i="27"/>
  <c r="F220" i="10" s="1"/>
  <c r="F227" i="10" s="1"/>
  <c r="E86" i="27"/>
  <c r="E21" i="2"/>
  <c r="E425" i="1"/>
  <c r="F425" i="1" s="1"/>
  <c r="G425" i="1" s="1"/>
  <c r="E150" i="5"/>
  <c r="E360" i="26"/>
  <c r="F360" i="26" s="1"/>
  <c r="G360" i="26" s="1"/>
  <c r="G370" i="25"/>
  <c r="G421" i="1"/>
  <c r="G374" i="25"/>
  <c r="G356" i="26"/>
  <c r="G429" i="1"/>
  <c r="G364" i="26"/>
  <c r="G417" i="1"/>
  <c r="E151" i="5"/>
  <c r="E32" i="6"/>
  <c r="F260" i="7"/>
  <c r="F63" i="5" s="1"/>
  <c r="G137" i="10"/>
  <c r="G138" i="33"/>
  <c r="G137" i="32"/>
  <c r="G137" i="34"/>
  <c r="E112" i="2"/>
  <c r="E716" i="7" s="1"/>
  <c r="E157" i="2"/>
  <c r="E1185" i="7" s="1"/>
  <c r="G143" i="34"/>
  <c r="F154" i="5"/>
  <c r="F145" i="5"/>
  <c r="F155" i="5"/>
  <c r="E24" i="5"/>
  <c r="F32" i="35" s="1"/>
  <c r="E153" i="5"/>
  <c r="E23" i="5"/>
  <c r="F31" i="35" s="1"/>
  <c r="E152" i="5"/>
  <c r="E25" i="5"/>
  <c r="F33" i="35" s="1"/>
  <c r="E154" i="5"/>
  <c r="G1173" i="7"/>
  <c r="G1385" i="7"/>
  <c r="G1387" i="7" s="1"/>
  <c r="F163" i="6"/>
  <c r="F193" i="34" s="1"/>
  <c r="F164" i="6"/>
  <c r="F171" i="6"/>
  <c r="F172" i="6"/>
  <c r="E62" i="5"/>
  <c r="F168" i="2"/>
  <c r="F173" i="6" s="1"/>
  <c r="F173" i="2"/>
  <c r="F174" i="6" s="1"/>
  <c r="F187" i="34" s="1"/>
  <c r="F155" i="2"/>
  <c r="F165" i="6" s="1"/>
  <c r="E705" i="7"/>
  <c r="G186" i="32"/>
  <c r="G173" i="33"/>
  <c r="E67" i="2"/>
  <c r="E298" i="7" s="1"/>
  <c r="E201" i="7"/>
  <c r="E189" i="7"/>
  <c r="E442" i="1"/>
  <c r="F82" i="6"/>
  <c r="F209" i="32" s="1"/>
  <c r="F74" i="6"/>
  <c r="F73" i="6"/>
  <c r="F216" i="32" s="1"/>
  <c r="F81" i="6"/>
  <c r="F57" i="5"/>
  <c r="F68" i="5"/>
  <c r="F67" i="5"/>
  <c r="G132" i="32"/>
  <c r="G495" i="7"/>
  <c r="G497" i="7" s="1"/>
  <c r="G286" i="7"/>
  <c r="F65" i="2"/>
  <c r="F75" i="6" s="1"/>
  <c r="F78" i="2"/>
  <c r="F83" i="6" s="1"/>
  <c r="F83" i="2"/>
  <c r="F84" i="6" s="1"/>
  <c r="F210" i="32" s="1"/>
  <c r="G913" i="7"/>
  <c r="G915" i="7" s="1"/>
  <c r="G704" i="7"/>
  <c r="F112" i="5"/>
  <c r="F107" i="5"/>
  <c r="F111" i="5"/>
  <c r="E101" i="5"/>
  <c r="F110" i="2"/>
  <c r="F120" i="6" s="1"/>
  <c r="F150" i="5"/>
  <c r="F118" i="6"/>
  <c r="F202" i="33" s="1"/>
  <c r="F119" i="6"/>
  <c r="F123" i="2"/>
  <c r="F128" i="6" s="1"/>
  <c r="F128" i="2"/>
  <c r="F129" i="6" s="1"/>
  <c r="F196" i="33" s="1"/>
  <c r="F10" i="36"/>
  <c r="E160" i="34"/>
  <c r="E164" i="10" s="1"/>
  <c r="E161" i="34"/>
  <c r="E165" i="10" s="1"/>
  <c r="E233" i="7"/>
  <c r="E1200" i="7"/>
  <c r="E176" i="33"/>
  <c r="E163" i="34"/>
  <c r="E167" i="10" s="1"/>
  <c r="E232" i="7"/>
  <c r="E175" i="33"/>
  <c r="E162" i="34"/>
  <c r="E166" i="10" s="1"/>
  <c r="E22" i="5"/>
  <c r="F934" i="7"/>
  <c r="F941" i="7" s="1"/>
  <c r="F942" i="7" s="1"/>
  <c r="F192" i="26"/>
  <c r="F950" i="7"/>
  <c r="F957" i="7" s="1"/>
  <c r="E45" i="2"/>
  <c r="G366" i="25"/>
  <c r="G378" i="25"/>
  <c r="F70" i="7"/>
  <c r="F71" i="7" s="1"/>
  <c r="F72" i="7" s="1"/>
  <c r="F95" i="7"/>
  <c r="F102" i="7" s="1"/>
  <c r="F103" i="7" s="1"/>
  <c r="F104" i="7" s="1"/>
  <c r="F79" i="7"/>
  <c r="F86" i="7" s="1"/>
  <c r="G85" i="7"/>
  <c r="G101" i="7"/>
  <c r="G117" i="7"/>
  <c r="G37" i="7"/>
  <c r="G53" i="7"/>
  <c r="G69" i="7"/>
  <c r="F118" i="7"/>
  <c r="F119" i="7" s="1"/>
  <c r="F120" i="7" s="1"/>
  <c r="F516" i="7"/>
  <c r="F523" i="7" s="1"/>
  <c r="F524" i="7" s="1"/>
  <c r="F596" i="7"/>
  <c r="F603" i="7" s="1"/>
  <c r="F604" i="7" s="1"/>
  <c r="F605" i="7" s="1"/>
  <c r="G1004" i="7"/>
  <c r="G1020" i="7"/>
  <c r="G972" i="7"/>
  <c r="G602" i="7"/>
  <c r="G554" i="7"/>
  <c r="G570" i="7"/>
  <c r="G522" i="7"/>
  <c r="G538" i="7"/>
  <c r="F539" i="7"/>
  <c r="F540" i="7" s="1"/>
  <c r="F541" i="7" s="1"/>
  <c r="F548" i="7"/>
  <c r="F555" i="7" s="1"/>
  <c r="F192" i="25"/>
  <c r="F564" i="7"/>
  <c r="F571" i="7" s="1"/>
  <c r="F332" i="26"/>
  <c r="F86" i="27"/>
  <c r="F333" i="26"/>
  <c r="F87" i="27"/>
  <c r="F88" i="27"/>
  <c r="F1021" i="7"/>
  <c r="E294" i="26"/>
  <c r="E293" i="26"/>
  <c r="E296" i="26"/>
  <c r="E295" i="26"/>
  <c r="E298" i="26"/>
  <c r="E297" i="26"/>
  <c r="F321" i="7"/>
  <c r="F346" i="25"/>
  <c r="F243" i="1"/>
  <c r="E358" i="1"/>
  <c r="E362" i="1"/>
  <c r="E223" i="25"/>
  <c r="E224" i="25"/>
  <c r="E363" i="1"/>
  <c r="E360" i="1"/>
  <c r="E359" i="1"/>
  <c r="E361" i="1"/>
  <c r="F224" i="26"/>
  <c r="F1005" i="7"/>
  <c r="F989" i="7"/>
  <c r="F973" i="7"/>
  <c r="F64" i="7"/>
  <c r="F587" i="7"/>
  <c r="F588" i="7" s="1"/>
  <c r="F112" i="7"/>
  <c r="G988" i="7"/>
  <c r="G956" i="7"/>
  <c r="G940" i="7"/>
  <c r="G586" i="7"/>
  <c r="F581" i="7"/>
  <c r="F583" i="7" s="1"/>
  <c r="F533" i="7"/>
  <c r="F535" i="7" s="1"/>
  <c r="G531" i="7" s="1"/>
  <c r="F54" i="7"/>
  <c r="F55" i="7" s="1"/>
  <c r="F56" i="7" s="1"/>
  <c r="F275" i="1"/>
  <c r="F277" i="1" s="1"/>
  <c r="E237" i="7"/>
  <c r="E240" i="7"/>
  <c r="F223" i="26"/>
  <c r="E334" i="26"/>
  <c r="E333" i="26"/>
  <c r="E332" i="26"/>
  <c r="F103" i="27"/>
  <c r="E239" i="7"/>
  <c r="E238" i="7"/>
  <c r="E48" i="6"/>
  <c r="E241" i="7"/>
  <c r="F362" i="1"/>
  <c r="F363" i="1"/>
  <c r="G54" i="6"/>
  <c r="G53" i="5"/>
  <c r="G54" i="2"/>
  <c r="G132" i="10"/>
  <c r="G9" i="6"/>
  <c r="G9" i="5"/>
  <c r="G9" i="2"/>
  <c r="E235" i="7"/>
  <c r="F397" i="1"/>
  <c r="E234" i="7"/>
  <c r="F194" i="26"/>
  <c r="F348" i="25"/>
  <c r="G144" i="6"/>
  <c r="G144" i="2"/>
  <c r="E310" i="7"/>
  <c r="E728" i="7"/>
  <c r="F334" i="26"/>
  <c r="G99" i="6"/>
  <c r="G99" i="2"/>
  <c r="E377" i="26"/>
  <c r="E391" i="25"/>
  <c r="F298" i="26"/>
  <c r="H16" i="7"/>
  <c r="H21" i="7"/>
  <c r="H19" i="7"/>
  <c r="H17" i="7"/>
  <c r="F274" i="1"/>
  <c r="J171" i="10"/>
  <c r="J156" i="10"/>
  <c r="J150" i="10"/>
  <c r="J195" i="10"/>
  <c r="J212" i="10"/>
  <c r="J231" i="10"/>
  <c r="J143" i="10"/>
  <c r="J163" i="10"/>
  <c r="J181" i="10"/>
  <c r="J200" i="10"/>
  <c r="J217" i="10"/>
  <c r="J224" i="10"/>
  <c r="J177" i="10"/>
  <c r="J191" i="10"/>
  <c r="J207" i="10"/>
  <c r="J6" i="7"/>
  <c r="K5" i="7" s="1"/>
  <c r="I12" i="7"/>
  <c r="I13" i="7" s="1"/>
  <c r="G129" i="1"/>
  <c r="I14" i="7"/>
  <c r="J15" i="7" s="1"/>
  <c r="H1135" i="7" l="1"/>
  <c r="G149" i="6"/>
  <c r="F149" i="6"/>
  <c r="F193" i="26"/>
  <c r="H35" i="27"/>
  <c r="F116" i="5"/>
  <c r="F104" i="6"/>
  <c r="F1022" i="7"/>
  <c r="F1024" i="7" s="1"/>
  <c r="G1019" i="7" s="1"/>
  <c r="F122" i="6"/>
  <c r="F194" i="33" s="1"/>
  <c r="F397" i="7"/>
  <c r="F1483" i="7"/>
  <c r="F1484" i="7" s="1"/>
  <c r="F1459" i="7"/>
  <c r="H141" i="5"/>
  <c r="H132" i="34"/>
  <c r="H254" i="25"/>
  <c r="H97" i="5"/>
  <c r="H132" i="33"/>
  <c r="H240" i="26"/>
  <c r="F525" i="7"/>
  <c r="F38" i="2"/>
  <c r="G1492" i="7"/>
  <c r="H1490" i="7" s="1"/>
  <c r="F1407" i="7"/>
  <c r="F21" i="5" s="1"/>
  <c r="H1440" i="7"/>
  <c r="H1491" i="7"/>
  <c r="E183" i="10"/>
  <c r="E1441" i="7"/>
  <c r="F30" i="35"/>
  <c r="E1466" i="7"/>
  <c r="H305" i="1"/>
  <c r="H444" i="7"/>
  <c r="G412" i="7"/>
  <c r="G382" i="7"/>
  <c r="G360" i="7"/>
  <c r="G362" i="7" s="1"/>
  <c r="H360" i="7" s="1"/>
  <c r="G442" i="7"/>
  <c r="F225" i="10"/>
  <c r="G800" i="7"/>
  <c r="G377" i="7"/>
  <c r="G385" i="7" s="1"/>
  <c r="H377" i="7" s="1"/>
  <c r="F125" i="6"/>
  <c r="F363" i="7"/>
  <c r="F371" i="7" s="1"/>
  <c r="H625" i="7"/>
  <c r="H154" i="33" s="1"/>
  <c r="H624" i="7"/>
  <c r="H153" i="33" s="1"/>
  <c r="H626" i="7"/>
  <c r="H155" i="33" s="1"/>
  <c r="E119" i="2"/>
  <c r="F225" i="34"/>
  <c r="F170" i="6"/>
  <c r="F186" i="34" s="1"/>
  <c r="E164" i="2"/>
  <c r="F248" i="32"/>
  <c r="F838" i="7"/>
  <c r="F850" i="7" s="1"/>
  <c r="E850" i="7" s="1"/>
  <c r="G843" i="7"/>
  <c r="G344" i="7"/>
  <c r="G346" i="7" s="1"/>
  <c r="H344" i="7" s="1"/>
  <c r="H892" i="7"/>
  <c r="H865" i="7"/>
  <c r="H832" i="7"/>
  <c r="H844" i="7" s="1"/>
  <c r="H824" i="7"/>
  <c r="H830" i="7" s="1"/>
  <c r="H884" i="7"/>
  <c r="H862" i="7"/>
  <c r="H779" i="7"/>
  <c r="H787" i="7" s="1"/>
  <c r="H747" i="7"/>
  <c r="H755" i="7" s="1"/>
  <c r="H777" i="7"/>
  <c r="H835" i="7"/>
  <c r="H847" i="7" s="1"/>
  <c r="H805" i="7"/>
  <c r="H817" i="7" s="1"/>
  <c r="H763" i="7"/>
  <c r="H771" i="7" s="1"/>
  <c r="H802" i="7"/>
  <c r="H814" i="7" s="1"/>
  <c r="H745" i="7"/>
  <c r="H895" i="7"/>
  <c r="H761" i="7"/>
  <c r="H794" i="7"/>
  <c r="H854" i="7"/>
  <c r="H860" i="7" s="1"/>
  <c r="H856" i="7"/>
  <c r="H826" i="7"/>
  <c r="H796" i="7"/>
  <c r="H886" i="7"/>
  <c r="G226" i="34"/>
  <c r="G227" i="34"/>
  <c r="G228" i="34"/>
  <c r="G219" i="34"/>
  <c r="G220" i="34"/>
  <c r="G233" i="34"/>
  <c r="G328" i="7"/>
  <c r="F1377" i="7"/>
  <c r="G1357" i="7"/>
  <c r="F1366" i="7"/>
  <c r="F1261" i="7"/>
  <c r="F1254" i="7"/>
  <c r="F1262" i="7" s="1"/>
  <c r="G1297" i="7"/>
  <c r="G1303" i="7" s="1"/>
  <c r="F1317" i="7"/>
  <c r="E1317" i="7" s="1"/>
  <c r="F1306" i="7"/>
  <c r="G762" i="7"/>
  <c r="F772" i="7"/>
  <c r="F1260" i="7"/>
  <c r="G1250" i="7"/>
  <c r="F427" i="7"/>
  <c r="G407" i="7"/>
  <c r="G413" i="7" s="1"/>
  <c r="F416" i="7"/>
  <c r="F1228" i="7"/>
  <c r="F1395" i="7" s="1"/>
  <c r="F1396" i="7" s="1"/>
  <c r="G1394" i="7" s="1"/>
  <c r="G1218" i="7"/>
  <c r="F756" i="7"/>
  <c r="G746" i="7"/>
  <c r="H436" i="7"/>
  <c r="H414" i="7"/>
  <c r="H406" i="7"/>
  <c r="H477" i="7"/>
  <c r="H447" i="7"/>
  <c r="H474" i="7"/>
  <c r="H384" i="7"/>
  <c r="H387" i="7"/>
  <c r="H417" i="7"/>
  <c r="H466" i="7"/>
  <c r="H468" i="7"/>
  <c r="H378" i="7"/>
  <c r="H408" i="7"/>
  <c r="H438" i="7"/>
  <c r="H327" i="7"/>
  <c r="H359" i="7"/>
  <c r="H376" i="7"/>
  <c r="H361" i="7"/>
  <c r="H345" i="7"/>
  <c r="H343" i="7"/>
  <c r="H329" i="7"/>
  <c r="G219" i="10"/>
  <c r="G228" i="10"/>
  <c r="G233" i="10"/>
  <c r="G226" i="10"/>
  <c r="F457" i="7"/>
  <c r="G437" i="7"/>
  <c r="G448" i="7" s="1"/>
  <c r="F446" i="7"/>
  <c r="E255" i="32"/>
  <c r="E244" i="32"/>
  <c r="G256" i="32"/>
  <c r="G155" i="32"/>
  <c r="G242" i="32"/>
  <c r="G243" i="32"/>
  <c r="G251" i="32"/>
  <c r="G250" i="32"/>
  <c r="G249" i="32"/>
  <c r="G825" i="7"/>
  <c r="G831" i="7" s="1"/>
  <c r="F845" i="7"/>
  <c r="G813" i="7"/>
  <c r="F789" i="7"/>
  <c r="F782" i="7"/>
  <c r="F790" i="7" s="1"/>
  <c r="G795" i="7"/>
  <c r="G801" i="7" s="1"/>
  <c r="F815" i="7"/>
  <c r="E815" i="7" s="1"/>
  <c r="F804" i="7"/>
  <c r="F864" i="7"/>
  <c r="G855" i="7"/>
  <c r="G861" i="7" s="1"/>
  <c r="F875" i="7"/>
  <c r="E875" i="7" s="1"/>
  <c r="G1345" i="7"/>
  <c r="F1287" i="7"/>
  <c r="E1287" i="7" s="1"/>
  <c r="G1267" i="7"/>
  <c r="G1273" i="7" s="1"/>
  <c r="F487" i="7"/>
  <c r="G467" i="7"/>
  <c r="G473" i="7" s="1"/>
  <c r="F476" i="7"/>
  <c r="F1238" i="7"/>
  <c r="F1246" i="7" s="1"/>
  <c r="F1245" i="7"/>
  <c r="G778" i="7"/>
  <c r="F788" i="7"/>
  <c r="G1234" i="7"/>
  <c r="F1244" i="7"/>
  <c r="F1276" i="7"/>
  <c r="F757" i="7"/>
  <c r="F750" i="7"/>
  <c r="F758" i="7" s="1"/>
  <c r="G1315" i="7"/>
  <c r="H1334" i="7"/>
  <c r="H1346" i="7" s="1"/>
  <c r="H1326" i="7"/>
  <c r="H1332" i="7" s="1"/>
  <c r="H1307" i="7"/>
  <c r="H1319" i="7" s="1"/>
  <c r="H1296" i="7"/>
  <c r="H1302" i="7" s="1"/>
  <c r="H1277" i="7"/>
  <c r="H1289" i="7" s="1"/>
  <c r="H1367" i="7"/>
  <c r="H1379" i="7" s="1"/>
  <c r="H1356" i="7"/>
  <c r="H1362" i="7" s="1"/>
  <c r="H1304" i="7"/>
  <c r="H1316" i="7" s="1"/>
  <c r="H1274" i="7"/>
  <c r="H1286" i="7" s="1"/>
  <c r="H1358" i="7"/>
  <c r="H1337" i="7"/>
  <c r="H1349" i="7" s="1"/>
  <c r="H1235" i="7"/>
  <c r="H1243" i="7" s="1"/>
  <c r="H1364" i="7"/>
  <c r="H1376" i="7" s="1"/>
  <c r="H1266" i="7"/>
  <c r="H1272" i="7" s="1"/>
  <c r="H1251" i="7"/>
  <c r="H1259" i="7" s="1"/>
  <c r="H1233" i="7"/>
  <c r="H1249" i="7"/>
  <c r="H1217" i="7"/>
  <c r="H1219" i="7"/>
  <c r="H1227" i="7" s="1"/>
  <c r="H1164" i="7" s="1"/>
  <c r="H1268" i="7"/>
  <c r="H1285" i="7" s="1"/>
  <c r="H1328" i="7"/>
  <c r="H1298" i="7"/>
  <c r="G235" i="33"/>
  <c r="G236" i="33"/>
  <c r="G237" i="33"/>
  <c r="G228" i="33"/>
  <c r="G229" i="33"/>
  <c r="G242" i="33"/>
  <c r="F1222" i="7"/>
  <c r="F1229" i="7"/>
  <c r="G1327" i="7"/>
  <c r="F1347" i="7"/>
  <c r="E1347" i="7" s="1"/>
  <c r="F1336" i="7"/>
  <c r="G1375" i="7"/>
  <c r="F894" i="7"/>
  <c r="G885" i="7"/>
  <c r="G891" i="7" s="1"/>
  <c r="F905" i="7"/>
  <c r="F765" i="7"/>
  <c r="F331" i="7"/>
  <c r="F390" i="7"/>
  <c r="F402" i="7" s="1"/>
  <c r="F234" i="33"/>
  <c r="F347" i="7"/>
  <c r="G890" i="7"/>
  <c r="I18" i="7"/>
  <c r="I20" i="7"/>
  <c r="F32" i="7"/>
  <c r="F935" i="7"/>
  <c r="F517" i="7"/>
  <c r="G103" i="27"/>
  <c r="F307" i="25"/>
  <c r="H99" i="27"/>
  <c r="G17" i="27"/>
  <c r="G220" i="10" s="1"/>
  <c r="G227" i="10" s="1"/>
  <c r="H364" i="26"/>
  <c r="H356" i="26"/>
  <c r="H417" i="1"/>
  <c r="H429" i="1"/>
  <c r="H360" i="26"/>
  <c r="H425" i="1"/>
  <c r="H370" i="25"/>
  <c r="H352" i="26"/>
  <c r="H374" i="25"/>
  <c r="H421" i="1"/>
  <c r="F1006" i="7"/>
  <c r="F1007" i="7" s="1"/>
  <c r="F990" i="7"/>
  <c r="F991" i="7" s="1"/>
  <c r="F974" i="7"/>
  <c r="F975" i="7" s="1"/>
  <c r="F358" i="1"/>
  <c r="H137" i="10"/>
  <c r="H138" i="33"/>
  <c r="H137" i="32"/>
  <c r="H137" i="34"/>
  <c r="H143" i="34"/>
  <c r="F951" i="7"/>
  <c r="F953" i="7" s="1"/>
  <c r="F167" i="6"/>
  <c r="F185" i="34" s="1"/>
  <c r="H1385" i="7"/>
  <c r="H1387" i="7" s="1"/>
  <c r="H1173" i="7"/>
  <c r="G171" i="6"/>
  <c r="G163" i="6"/>
  <c r="G193" i="34" s="1"/>
  <c r="G164" i="6"/>
  <c r="F28" i="6"/>
  <c r="F192" i="10" s="1"/>
  <c r="F36" i="6"/>
  <c r="G173" i="2"/>
  <c r="G174" i="6" s="1"/>
  <c r="G187" i="34" s="1"/>
  <c r="G155" i="2"/>
  <c r="G165" i="6" s="1"/>
  <c r="G168" i="2"/>
  <c r="G173" i="6" s="1"/>
  <c r="F29" i="6"/>
  <c r="F30" i="6"/>
  <c r="F20" i="2"/>
  <c r="F33" i="2"/>
  <c r="F38" i="6" s="1"/>
  <c r="F597" i="7"/>
  <c r="F599" i="7" s="1"/>
  <c r="G595" i="7" s="1"/>
  <c r="F549" i="7"/>
  <c r="F551" i="7" s="1"/>
  <c r="G547" i="7" s="1"/>
  <c r="G548" i="7" s="1"/>
  <c r="G555" i="7" s="1"/>
  <c r="H173" i="33"/>
  <c r="H186" i="32"/>
  <c r="F293" i="26"/>
  <c r="F77" i="6"/>
  <c r="F207" i="32" s="1"/>
  <c r="G73" i="6"/>
  <c r="G216" i="32" s="1"/>
  <c r="G74" i="6"/>
  <c r="H132" i="32"/>
  <c r="H495" i="7"/>
  <c r="H497" i="7" s="1"/>
  <c r="H286" i="7"/>
  <c r="G65" i="2"/>
  <c r="G75" i="6" s="1"/>
  <c r="G78" i="2"/>
  <c r="G83" i="6" s="1"/>
  <c r="G83" i="2"/>
  <c r="G84" i="6" s="1"/>
  <c r="G210" i="32" s="1"/>
  <c r="E56" i="5"/>
  <c r="E12" i="5" s="1"/>
  <c r="H913" i="7"/>
  <c r="H915" i="7" s="1"/>
  <c r="H704" i="7"/>
  <c r="G118" i="6"/>
  <c r="G202" i="33" s="1"/>
  <c r="G119" i="6"/>
  <c r="F127" i="6"/>
  <c r="F37" i="6" s="1"/>
  <c r="F185" i="10" s="1"/>
  <c r="G110" i="2"/>
  <c r="G120" i="6" s="1"/>
  <c r="E106" i="5"/>
  <c r="E113" i="5" s="1"/>
  <c r="G123" i="2"/>
  <c r="G128" i="6" s="1"/>
  <c r="G128" i="2"/>
  <c r="G129" i="6" s="1"/>
  <c r="G196" i="33" s="1"/>
  <c r="F96" i="7"/>
  <c r="F97" i="7" s="1"/>
  <c r="F10" i="35"/>
  <c r="F26" i="17" s="1"/>
  <c r="F224" i="25"/>
  <c r="F226" i="25" s="1"/>
  <c r="F80" i="7"/>
  <c r="F82" i="7" s="1"/>
  <c r="E1129" i="7"/>
  <c r="F944" i="7"/>
  <c r="G939" i="7" s="1"/>
  <c r="F958" i="7"/>
  <c r="F959" i="7" s="1"/>
  <c r="H378" i="25"/>
  <c r="H366" i="25"/>
  <c r="F26" i="30"/>
  <c r="F121" i="7"/>
  <c r="G116" i="7" s="1"/>
  <c r="F87" i="7"/>
  <c r="F105" i="7"/>
  <c r="G100" i="7" s="1"/>
  <c r="H85" i="7"/>
  <c r="H101" i="7"/>
  <c r="H37" i="7"/>
  <c r="H117" i="7"/>
  <c r="H69" i="7"/>
  <c r="F73" i="7"/>
  <c r="G68" i="7" s="1"/>
  <c r="F565" i="7"/>
  <c r="F567" i="7" s="1"/>
  <c r="G563" i="7" s="1"/>
  <c r="G564" i="7" s="1"/>
  <c r="G571" i="7" s="1"/>
  <c r="F57" i="7"/>
  <c r="G52" i="7" s="1"/>
  <c r="F41" i="7"/>
  <c r="G36" i="7" s="1"/>
  <c r="F572" i="7"/>
  <c r="F574" i="7" s="1"/>
  <c r="F556" i="7"/>
  <c r="F558" i="7" s="1"/>
  <c r="G532" i="7"/>
  <c r="G539" i="7" s="1"/>
  <c r="H554" i="7"/>
  <c r="H570" i="7"/>
  <c r="G579" i="7"/>
  <c r="F542" i="7"/>
  <c r="G537" i="7" s="1"/>
  <c r="F526" i="7"/>
  <c r="G521" i="7" s="1"/>
  <c r="F590" i="7"/>
  <c r="G585" i="7" s="1"/>
  <c r="H972" i="7"/>
  <c r="F606" i="7"/>
  <c r="G601" i="7" s="1"/>
  <c r="F1015" i="7"/>
  <c r="F1016" i="7" s="1"/>
  <c r="F326" i="1"/>
  <c r="F335" i="1"/>
  <c r="F317" i="1"/>
  <c r="E156" i="5"/>
  <c r="E21" i="5"/>
  <c r="E15" i="5"/>
  <c r="E103" i="5"/>
  <c r="E26" i="5"/>
  <c r="F34" i="35" s="1"/>
  <c r="F589" i="7"/>
  <c r="F983" i="7"/>
  <c r="F985" i="7" s="1"/>
  <c r="F967" i="7"/>
  <c r="F969" i="7" s="1"/>
  <c r="F999" i="7"/>
  <c r="H988" i="7"/>
  <c r="F582" i="7"/>
  <c r="F534" i="7"/>
  <c r="F65" i="7"/>
  <c r="F113" i="7"/>
  <c r="F114" i="7"/>
  <c r="F66" i="7"/>
  <c r="F40" i="7"/>
  <c r="F48" i="7"/>
  <c r="E252" i="26"/>
  <c r="F252" i="26" s="1"/>
  <c r="E270" i="26"/>
  <c r="F270" i="26" s="1"/>
  <c r="E261" i="26"/>
  <c r="F261" i="26" s="1"/>
  <c r="H144" i="6"/>
  <c r="H144" i="2"/>
  <c r="H99" i="6"/>
  <c r="H99" i="2"/>
  <c r="H54" i="6"/>
  <c r="H53" i="5"/>
  <c r="H54" i="2"/>
  <c r="H132" i="10"/>
  <c r="H9" i="6"/>
  <c r="H9" i="5"/>
  <c r="H9" i="2"/>
  <c r="I16" i="7"/>
  <c r="I21" i="7"/>
  <c r="I19" i="7"/>
  <c r="I17" i="7"/>
  <c r="K6" i="7"/>
  <c r="L5" i="7" s="1"/>
  <c r="K143" i="10"/>
  <c r="K163" i="10"/>
  <c r="K195" i="10"/>
  <c r="K171" i="10"/>
  <c r="K150" i="10"/>
  <c r="K177" i="10"/>
  <c r="K191" i="10"/>
  <c r="K207" i="10"/>
  <c r="K217" i="10"/>
  <c r="K231" i="10"/>
  <c r="K156" i="10"/>
  <c r="K181" i="10"/>
  <c r="K200" i="10"/>
  <c r="K212" i="10"/>
  <c r="K224" i="10"/>
  <c r="H129" i="1"/>
  <c r="J12" i="7"/>
  <c r="J13" i="7" s="1"/>
  <c r="J14" i="7"/>
  <c r="K15" i="7" s="1"/>
  <c r="I1135" i="7" l="1"/>
  <c r="F923" i="7"/>
  <c r="F924" i="7" s="1"/>
  <c r="F131" i="2" s="1"/>
  <c r="H149" i="6"/>
  <c r="F176" i="2"/>
  <c r="F1230" i="7"/>
  <c r="I35" i="27"/>
  <c r="F39" i="6"/>
  <c r="F186" i="10" s="1"/>
  <c r="F256" i="7"/>
  <c r="F499" i="7" s="1"/>
  <c r="F992" i="7"/>
  <c r="G987" i="7" s="1"/>
  <c r="F1143" i="7"/>
  <c r="F976" i="7"/>
  <c r="G971" i="7" s="1"/>
  <c r="F1008" i="7"/>
  <c r="G1003" i="7" s="1"/>
  <c r="F960" i="7"/>
  <c r="G955" i="7" s="1"/>
  <c r="F195" i="33"/>
  <c r="G122" i="6"/>
  <c r="E20" i="5"/>
  <c r="E27" i="5" s="1"/>
  <c r="H103" i="27"/>
  <c r="I103" i="27" s="1"/>
  <c r="H383" i="7"/>
  <c r="G443" i="7"/>
  <c r="I97" i="5"/>
  <c r="I132" i="33"/>
  <c r="E165" i="2"/>
  <c r="E1201" i="7" s="1"/>
  <c r="E120" i="2"/>
  <c r="E729" i="7" s="1"/>
  <c r="I240" i="26"/>
  <c r="I141" i="5"/>
  <c r="I132" i="34"/>
  <c r="E139" i="33"/>
  <c r="E223" i="33"/>
  <c r="E222" i="33"/>
  <c r="I254" i="25"/>
  <c r="F120" i="5"/>
  <c r="F106" i="6" s="1"/>
  <c r="F943" i="7"/>
  <c r="F163" i="5"/>
  <c r="F151" i="6" s="1"/>
  <c r="G386" i="7"/>
  <c r="G388" i="7"/>
  <c r="G389" i="7" s="1"/>
  <c r="F364" i="7"/>
  <c r="F372" i="7" s="1"/>
  <c r="G383" i="7"/>
  <c r="H388" i="7"/>
  <c r="H389" i="7" s="1"/>
  <c r="G347" i="7"/>
  <c r="G348" i="7" s="1"/>
  <c r="G38" i="2"/>
  <c r="H1492" i="7"/>
  <c r="I1490" i="7" s="1"/>
  <c r="G225" i="10"/>
  <c r="E241" i="32"/>
  <c r="E151" i="10"/>
  <c r="E221" i="10" s="1"/>
  <c r="I1491" i="7"/>
  <c r="H442" i="7"/>
  <c r="H412" i="7"/>
  <c r="I1440" i="7"/>
  <c r="F29" i="35"/>
  <c r="G248" i="32"/>
  <c r="H385" i="7"/>
  <c r="I377" i="7" s="1"/>
  <c r="I305" i="1"/>
  <c r="I444" i="7"/>
  <c r="H362" i="7"/>
  <c r="I360" i="7" s="1"/>
  <c r="G363" i="7"/>
  <c r="G364" i="7" s="1"/>
  <c r="G170" i="6"/>
  <c r="G186" i="34" s="1"/>
  <c r="H890" i="7"/>
  <c r="G225" i="34"/>
  <c r="G234" i="33"/>
  <c r="I624" i="7"/>
  <c r="I153" i="33" s="1"/>
  <c r="I626" i="7"/>
  <c r="I155" i="33" s="1"/>
  <c r="I625" i="7"/>
  <c r="I154" i="33" s="1"/>
  <c r="E167" i="2"/>
  <c r="E198" i="34" s="1"/>
  <c r="E122" i="2"/>
  <c r="E124" i="2" s="1"/>
  <c r="F773" i="7"/>
  <c r="F766" i="7"/>
  <c r="F774" i="7" s="1"/>
  <c r="F428" i="7"/>
  <c r="F420" i="7"/>
  <c r="F432" i="7" s="1"/>
  <c r="G1365" i="7"/>
  <c r="G1374" i="7"/>
  <c r="G1368" i="7"/>
  <c r="H813" i="7"/>
  <c r="I477" i="7"/>
  <c r="I447" i="7"/>
  <c r="I474" i="7"/>
  <c r="I478" i="7"/>
  <c r="I479" i="7" s="1"/>
  <c r="I466" i="7"/>
  <c r="I417" i="7"/>
  <c r="I406" i="7"/>
  <c r="I414" i="7"/>
  <c r="I384" i="7"/>
  <c r="I436" i="7"/>
  <c r="I387" i="7"/>
  <c r="I378" i="7"/>
  <c r="I468" i="7"/>
  <c r="I408" i="7"/>
  <c r="I438" i="7"/>
  <c r="I376" i="7"/>
  <c r="I359" i="7"/>
  <c r="I361" i="7"/>
  <c r="I343" i="7"/>
  <c r="I329" i="7"/>
  <c r="I327" i="7"/>
  <c r="I345" i="7"/>
  <c r="H226" i="10"/>
  <c r="H219" i="10"/>
  <c r="H233" i="10"/>
  <c r="H228" i="10"/>
  <c r="H219" i="34"/>
  <c r="H220" i="34"/>
  <c r="H233" i="34"/>
  <c r="H226" i="34"/>
  <c r="H227" i="34"/>
  <c r="H228" i="34"/>
  <c r="F348" i="7"/>
  <c r="G1335" i="7"/>
  <c r="G1336" i="7" s="1"/>
  <c r="G1344" i="7"/>
  <c r="G1338" i="7"/>
  <c r="H1345" i="7"/>
  <c r="G780" i="7"/>
  <c r="G786" i="7"/>
  <c r="G475" i="7"/>
  <c r="H467" i="7" s="1"/>
  <c r="H473" i="7" s="1"/>
  <c r="G478" i="7"/>
  <c r="G479" i="7" s="1"/>
  <c r="G863" i="7"/>
  <c r="H855" i="7" s="1"/>
  <c r="H861" i="7" s="1"/>
  <c r="G866" i="7"/>
  <c r="G867" i="7" s="1"/>
  <c r="G812" i="7"/>
  <c r="G803" i="7"/>
  <c r="G804" i="7" s="1"/>
  <c r="G806" i="7"/>
  <c r="F450" i="7"/>
  <c r="F462" i="7" s="1"/>
  <c r="F458" i="7"/>
  <c r="G415" i="7"/>
  <c r="H407" i="7" s="1"/>
  <c r="H413" i="7" s="1"/>
  <c r="G418" i="7"/>
  <c r="G419" i="7" s="1"/>
  <c r="G1314" i="7"/>
  <c r="G1305" i="7"/>
  <c r="G1306" i="7" s="1"/>
  <c r="G1308" i="7"/>
  <c r="H843" i="7"/>
  <c r="H346" i="7"/>
  <c r="I344" i="7" s="1"/>
  <c r="H249" i="32"/>
  <c r="H250" i="32"/>
  <c r="H251" i="32"/>
  <c r="H256" i="32"/>
  <c r="H243" i="32"/>
  <c r="H242" i="32"/>
  <c r="F906" i="7"/>
  <c r="F898" i="7"/>
  <c r="F910" i="7" s="1"/>
  <c r="H1375" i="7"/>
  <c r="F1280" i="7"/>
  <c r="F1292" i="7" s="1"/>
  <c r="E1292" i="7" s="1"/>
  <c r="F1288" i="7"/>
  <c r="E1288" i="7" s="1"/>
  <c r="F480" i="7"/>
  <c r="F492" i="7" s="1"/>
  <c r="F488" i="7"/>
  <c r="I1367" i="7"/>
  <c r="I1379" i="7" s="1"/>
  <c r="I1356" i="7"/>
  <c r="I1304" i="7"/>
  <c r="I1316" i="7" s="1"/>
  <c r="I1274" i="7"/>
  <c r="I1286" i="7" s="1"/>
  <c r="I1364" i="7"/>
  <c r="I1376" i="7" s="1"/>
  <c r="I1334" i="7"/>
  <c r="I1346" i="7" s="1"/>
  <c r="I1326" i="7"/>
  <c r="I1266" i="7"/>
  <c r="I1272" i="7" s="1"/>
  <c r="I1251" i="7"/>
  <c r="I1259" i="7" s="1"/>
  <c r="I1233" i="7"/>
  <c r="I1249" i="7"/>
  <c r="I1217" i="7"/>
  <c r="I1337" i="7"/>
  <c r="I1349" i="7" s="1"/>
  <c r="I1307" i="7"/>
  <c r="I1319" i="7" s="1"/>
  <c r="I1296" i="7"/>
  <c r="I1302" i="7" s="1"/>
  <c r="I1219" i="7"/>
  <c r="I1227" i="7" s="1"/>
  <c r="I1164" i="7" s="1"/>
  <c r="I1277" i="7"/>
  <c r="I1289" i="7" s="1"/>
  <c r="I1235" i="7"/>
  <c r="I1243" i="7" s="1"/>
  <c r="I1268" i="7"/>
  <c r="I1358" i="7"/>
  <c r="I1298" i="7"/>
  <c r="I1328" i="7"/>
  <c r="E139" i="34"/>
  <c r="E177" i="33"/>
  <c r="E169" i="34"/>
  <c r="F332" i="7"/>
  <c r="G893" i="7"/>
  <c r="H885" i="7" s="1"/>
  <c r="G896" i="7"/>
  <c r="G897" i="7" s="1"/>
  <c r="F1348" i="7"/>
  <c r="E1348" i="7" s="1"/>
  <c r="F1340" i="7"/>
  <c r="F1352" i="7" s="1"/>
  <c r="E1352" i="7" s="1"/>
  <c r="G1242" i="7"/>
  <c r="G1236" i="7"/>
  <c r="G1284" i="7"/>
  <c r="G1275" i="7"/>
  <c r="G1276" i="7" s="1"/>
  <c r="G1278" i="7"/>
  <c r="F816" i="7"/>
  <c r="E816" i="7" s="1"/>
  <c r="F808" i="7"/>
  <c r="F820" i="7" s="1"/>
  <c r="E820" i="7" s="1"/>
  <c r="E702" i="7" s="1"/>
  <c r="G833" i="7"/>
  <c r="G842" i="7"/>
  <c r="G836" i="7"/>
  <c r="G1258" i="7"/>
  <c r="G1252" i="7"/>
  <c r="F1318" i="7"/>
  <c r="E1318" i="7" s="1"/>
  <c r="F1310" i="7"/>
  <c r="F1322" i="7" s="1"/>
  <c r="E1322" i="7" s="1"/>
  <c r="F1378" i="7"/>
  <c r="F1370" i="7"/>
  <c r="F1382" i="7" s="1"/>
  <c r="G330" i="7"/>
  <c r="I1362" i="7"/>
  <c r="F164" i="2"/>
  <c r="G1333" i="7"/>
  <c r="H1315" i="7"/>
  <c r="G748" i="7"/>
  <c r="G754" i="7"/>
  <c r="I884" i="7"/>
  <c r="I862" i="7"/>
  <c r="I895" i="7"/>
  <c r="I854" i="7"/>
  <c r="I860" i="7" s="1"/>
  <c r="I835" i="7"/>
  <c r="I847" i="7" s="1"/>
  <c r="I777" i="7"/>
  <c r="I865" i="7"/>
  <c r="I832" i="7"/>
  <c r="I844" i="7" s="1"/>
  <c r="I805" i="7"/>
  <c r="I817" i="7" s="1"/>
  <c r="I763" i="7"/>
  <c r="I771" i="7" s="1"/>
  <c r="I892" i="7"/>
  <c r="I802" i="7"/>
  <c r="I814" i="7" s="1"/>
  <c r="I794" i="7"/>
  <c r="I761" i="7"/>
  <c r="I745" i="7"/>
  <c r="I747" i="7"/>
  <c r="I755" i="7" s="1"/>
  <c r="I824" i="7"/>
  <c r="I830" i="7" s="1"/>
  <c r="I779" i="7"/>
  <c r="I787" i="7" s="1"/>
  <c r="I826" i="7"/>
  <c r="I856" i="7"/>
  <c r="I796" i="7"/>
  <c r="I886" i="7"/>
  <c r="H228" i="33"/>
  <c r="H229" i="33"/>
  <c r="H242" i="33"/>
  <c r="H235" i="33"/>
  <c r="H236" i="33"/>
  <c r="H237" i="33"/>
  <c r="E140" i="33"/>
  <c r="F876" i="7"/>
  <c r="E876" i="7" s="1"/>
  <c r="F868" i="7"/>
  <c r="F880" i="7" s="1"/>
  <c r="G445" i="7"/>
  <c r="H437" i="7" s="1"/>
  <c r="G449" i="7"/>
  <c r="G1226" i="7"/>
  <c r="G1220" i="7"/>
  <c r="G764" i="7"/>
  <c r="G1363" i="7"/>
  <c r="H800" i="7"/>
  <c r="H382" i="7"/>
  <c r="F674" i="7"/>
  <c r="J18" i="7"/>
  <c r="J20" i="7"/>
  <c r="F34" i="7"/>
  <c r="G30" i="7" s="1"/>
  <c r="F76" i="5"/>
  <c r="F61" i="6" s="1"/>
  <c r="E362" i="25"/>
  <c r="F362" i="25" s="1"/>
  <c r="G362" i="25" s="1"/>
  <c r="H362" i="25" s="1"/>
  <c r="I362" i="25" s="1"/>
  <c r="E712" i="7"/>
  <c r="F112" i="27"/>
  <c r="I99" i="27"/>
  <c r="H17" i="27"/>
  <c r="H220" i="10" s="1"/>
  <c r="H227" i="10" s="1"/>
  <c r="E30" i="5"/>
  <c r="F952" i="7"/>
  <c r="F518" i="7"/>
  <c r="I352" i="26"/>
  <c r="I425" i="1"/>
  <c r="I417" i="1"/>
  <c r="I374" i="25"/>
  <c r="I364" i="26"/>
  <c r="F936" i="7"/>
  <c r="I421" i="1"/>
  <c r="I370" i="25"/>
  <c r="I429" i="1"/>
  <c r="I356" i="26"/>
  <c r="I360" i="26"/>
  <c r="I138" i="33"/>
  <c r="I137" i="32"/>
  <c r="I137" i="34"/>
  <c r="I137" i="10"/>
  <c r="F598" i="7"/>
  <c r="G167" i="6"/>
  <c r="G185" i="34" s="1"/>
  <c r="F1174" i="7"/>
  <c r="F98" i="7"/>
  <c r="F107" i="7" s="1"/>
  <c r="F81" i="7"/>
  <c r="I143" i="34"/>
  <c r="F550" i="7"/>
  <c r="F573" i="7"/>
  <c r="F26" i="31"/>
  <c r="I1385" i="7"/>
  <c r="I1387" i="7" s="1"/>
  <c r="I1173" i="7"/>
  <c r="H171" i="6"/>
  <c r="H164" i="6"/>
  <c r="F937" i="7"/>
  <c r="G933" i="7" s="1"/>
  <c r="F32" i="6"/>
  <c r="H155" i="2"/>
  <c r="H165" i="6" s="1"/>
  <c r="H168" i="2"/>
  <c r="H173" i="6" s="1"/>
  <c r="H173" i="2"/>
  <c r="H174" i="6" s="1"/>
  <c r="H187" i="34" s="1"/>
  <c r="G29" i="6"/>
  <c r="G30" i="6"/>
  <c r="G28" i="6"/>
  <c r="G192" i="10" s="1"/>
  <c r="G20" i="2"/>
  <c r="G33" i="2"/>
  <c r="G38" i="6" s="1"/>
  <c r="F566" i="7"/>
  <c r="F705" i="7"/>
  <c r="I173" i="33"/>
  <c r="I186" i="32"/>
  <c r="G77" i="6"/>
  <c r="G207" i="32" s="1"/>
  <c r="H65" i="2"/>
  <c r="H75" i="6" s="1"/>
  <c r="H78" i="2"/>
  <c r="H83" i="6" s="1"/>
  <c r="H83" i="2"/>
  <c r="H84" i="6" s="1"/>
  <c r="H210" i="32" s="1"/>
  <c r="H74" i="6"/>
  <c r="I132" i="32"/>
  <c r="I495" i="7"/>
  <c r="I497" i="7" s="1"/>
  <c r="I286" i="7"/>
  <c r="F287" i="7"/>
  <c r="H119" i="6"/>
  <c r="E118" i="5"/>
  <c r="E122" i="5" s="1"/>
  <c r="F519" i="7"/>
  <c r="H110" i="2"/>
  <c r="H120" i="6" s="1"/>
  <c r="I913" i="7"/>
  <c r="I915" i="7" s="1"/>
  <c r="I704" i="7"/>
  <c r="H128" i="2"/>
  <c r="H129" i="6" s="1"/>
  <c r="H196" i="33" s="1"/>
  <c r="H123" i="2"/>
  <c r="H128" i="6" s="1"/>
  <c r="F1000" i="7"/>
  <c r="F1023" i="7"/>
  <c r="F544" i="7"/>
  <c r="G981" i="7"/>
  <c r="G982" i="7" s="1"/>
  <c r="G989" i="7" s="1"/>
  <c r="F1017" i="7"/>
  <c r="G965" i="7"/>
  <c r="G966" i="7" s="1"/>
  <c r="G973" i="7" s="1"/>
  <c r="I378" i="25"/>
  <c r="I366" i="25"/>
  <c r="E1121" i="7"/>
  <c r="G553" i="7"/>
  <c r="G556" i="7" s="1"/>
  <c r="F560" i="7"/>
  <c r="F123" i="7"/>
  <c r="G110" i="7"/>
  <c r="F75" i="7"/>
  <c r="G62" i="7"/>
  <c r="F88" i="7"/>
  <c r="I101" i="7"/>
  <c r="I117" i="7"/>
  <c r="I37" i="7"/>
  <c r="F89" i="7"/>
  <c r="G84" i="7" s="1"/>
  <c r="G569" i="7"/>
  <c r="F576" i="7"/>
  <c r="G580" i="7"/>
  <c r="G581" i="7" s="1"/>
  <c r="G549" i="7"/>
  <c r="F557" i="7"/>
  <c r="F592" i="7"/>
  <c r="G565" i="7"/>
  <c r="G567" i="7" s="1"/>
  <c r="G540" i="7"/>
  <c r="G542" i="7" s="1"/>
  <c r="H537" i="7" s="1"/>
  <c r="F608" i="7"/>
  <c r="G533" i="7"/>
  <c r="G596" i="7"/>
  <c r="G603" i="7" s="1"/>
  <c r="F984" i="7"/>
  <c r="F968" i="7"/>
  <c r="F1001" i="7"/>
  <c r="G78" i="7"/>
  <c r="G949" i="7"/>
  <c r="G950" i="7" s="1"/>
  <c r="F50" i="7"/>
  <c r="F33" i="7"/>
  <c r="F49" i="7"/>
  <c r="E59" i="5"/>
  <c r="E69" i="5"/>
  <c r="I144" i="6"/>
  <c r="I144" i="2"/>
  <c r="I99" i="6"/>
  <c r="I99" i="2"/>
  <c r="I54" i="6"/>
  <c r="I53" i="5"/>
  <c r="I54" i="2"/>
  <c r="I132" i="10"/>
  <c r="I9" i="6"/>
  <c r="I9" i="5"/>
  <c r="I9" i="2"/>
  <c r="J19" i="7"/>
  <c r="J17" i="7"/>
  <c r="J16" i="7"/>
  <c r="J21" i="7"/>
  <c r="L171" i="10"/>
  <c r="L156" i="10"/>
  <c r="L143" i="10"/>
  <c r="L181" i="10"/>
  <c r="L200" i="10"/>
  <c r="L224" i="10"/>
  <c r="L150" i="10"/>
  <c r="L177" i="10"/>
  <c r="L191" i="10"/>
  <c r="L195" i="10"/>
  <c r="L207" i="10"/>
  <c r="L212" i="10"/>
  <c r="L231" i="10"/>
  <c r="L163" i="10"/>
  <c r="L217" i="10"/>
  <c r="L6" i="7"/>
  <c r="M5" i="7" s="1"/>
  <c r="I129" i="1"/>
  <c r="K12" i="7"/>
  <c r="K13" i="7" s="1"/>
  <c r="K14" i="7"/>
  <c r="L15" i="7" s="1"/>
  <c r="G922" i="7" l="1"/>
  <c r="I149" i="6"/>
  <c r="J35" i="27"/>
  <c r="G39" i="6"/>
  <c r="G186" i="10" s="1"/>
  <c r="F347" i="25"/>
  <c r="F725" i="7"/>
  <c r="E125" i="2"/>
  <c r="E133" i="2" s="1"/>
  <c r="E203" i="34"/>
  <c r="E204" i="34" s="1"/>
  <c r="I383" i="7"/>
  <c r="E212" i="33"/>
  <c r="E213" i="33" s="1"/>
  <c r="J141" i="5"/>
  <c r="J132" i="34"/>
  <c r="E14" i="5"/>
  <c r="E17" i="5" s="1"/>
  <c r="E141" i="33"/>
  <c r="J97" i="5"/>
  <c r="J132" i="33"/>
  <c r="J254" i="25"/>
  <c r="J240" i="26"/>
  <c r="E207" i="33"/>
  <c r="H38" i="2"/>
  <c r="I1492" i="7"/>
  <c r="J1490" i="7" s="1"/>
  <c r="I385" i="7"/>
  <c r="J377" i="7" s="1"/>
  <c r="I382" i="7"/>
  <c r="F500" i="7"/>
  <c r="E703" i="7"/>
  <c r="E206" i="33" s="1"/>
  <c r="J1491" i="7"/>
  <c r="F183" i="10"/>
  <c r="F1441" i="7"/>
  <c r="E218" i="10"/>
  <c r="E232" i="10"/>
  <c r="I412" i="7"/>
  <c r="J1440" i="7"/>
  <c r="F35" i="35"/>
  <c r="E1473" i="7"/>
  <c r="H386" i="7"/>
  <c r="I388" i="7"/>
  <c r="I389" i="7" s="1"/>
  <c r="H443" i="7"/>
  <c r="H448" i="7"/>
  <c r="H449" i="7" s="1"/>
  <c r="J444" i="7"/>
  <c r="E1203" i="7"/>
  <c r="E1202" i="7"/>
  <c r="J305" i="1"/>
  <c r="E731" i="7"/>
  <c r="E730" i="7"/>
  <c r="I362" i="7"/>
  <c r="J360" i="7" s="1"/>
  <c r="H363" i="7"/>
  <c r="H364" i="7" s="1"/>
  <c r="H225" i="10"/>
  <c r="G164" i="2"/>
  <c r="J626" i="7"/>
  <c r="J155" i="33" s="1"/>
  <c r="J625" i="7"/>
  <c r="J154" i="33" s="1"/>
  <c r="J624" i="7"/>
  <c r="J153" i="33" s="1"/>
  <c r="I800" i="7"/>
  <c r="G894" i="7"/>
  <c r="G898" i="7" s="1"/>
  <c r="G476" i="7"/>
  <c r="G480" i="7" s="1"/>
  <c r="E169" i="2"/>
  <c r="E170" i="2" s="1"/>
  <c r="E178" i="2" s="1"/>
  <c r="H170" i="6"/>
  <c r="H186" i="34" s="1"/>
  <c r="F124" i="5"/>
  <c r="G416" i="7"/>
  <c r="G420" i="7" s="1"/>
  <c r="G864" i="7"/>
  <c r="G868" i="7" s="1"/>
  <c r="F702" i="7"/>
  <c r="H347" i="7"/>
  <c r="H348" i="7" s="1"/>
  <c r="F167" i="5"/>
  <c r="F148" i="6" s="1"/>
  <c r="F175" i="6" s="1"/>
  <c r="F188" i="34" s="1"/>
  <c r="H248" i="32"/>
  <c r="J1364" i="7"/>
  <c r="J1376" i="7" s="1"/>
  <c r="J1337" i="7"/>
  <c r="J1349" i="7" s="1"/>
  <c r="J1367" i="7"/>
  <c r="J1379" i="7" s="1"/>
  <c r="J1356" i="7"/>
  <c r="J1362" i="7" s="1"/>
  <c r="J1304" i="7"/>
  <c r="J1316" i="7" s="1"/>
  <c r="J1249" i="7"/>
  <c r="J1217" i="7"/>
  <c r="J1334" i="7"/>
  <c r="J1346" i="7" s="1"/>
  <c r="J1307" i="7"/>
  <c r="J1319" i="7" s="1"/>
  <c r="J1296" i="7"/>
  <c r="J1302" i="7" s="1"/>
  <c r="J1274" i="7"/>
  <c r="J1286" i="7" s="1"/>
  <c r="J1219" i="7"/>
  <c r="J1326" i="7"/>
  <c r="J1277" i="7"/>
  <c r="J1289" i="7" s="1"/>
  <c r="J1235" i="7"/>
  <c r="J1243" i="7" s="1"/>
  <c r="J1266" i="7"/>
  <c r="J1272" i="7" s="1"/>
  <c r="J1251" i="7"/>
  <c r="J1259" i="7" s="1"/>
  <c r="J1233" i="7"/>
  <c r="J1358" i="7"/>
  <c r="J1328" i="7"/>
  <c r="J1298" i="7"/>
  <c r="J1268" i="7"/>
  <c r="H762" i="7"/>
  <c r="G765" i="7"/>
  <c r="G845" i="7"/>
  <c r="H825" i="7"/>
  <c r="H831" i="7" s="1"/>
  <c r="I233" i="34"/>
  <c r="I226" i="34"/>
  <c r="I227" i="34"/>
  <c r="I228" i="34"/>
  <c r="I219" i="34"/>
  <c r="I220" i="34"/>
  <c r="H1218" i="7"/>
  <c r="G1228" i="7"/>
  <c r="G1395" i="7" s="1"/>
  <c r="G1396" i="7" s="1"/>
  <c r="G1221" i="7"/>
  <c r="H445" i="7"/>
  <c r="I437" i="7" s="1"/>
  <c r="I813" i="7"/>
  <c r="F167" i="2"/>
  <c r="F169" i="2" s="1"/>
  <c r="G837" i="7"/>
  <c r="G849" i="7" s="1"/>
  <c r="G848" i="7"/>
  <c r="E706" i="7"/>
  <c r="H1267" i="7"/>
  <c r="H1273" i="7" s="1"/>
  <c r="G1287" i="7"/>
  <c r="H893" i="7"/>
  <c r="H896" i="7"/>
  <c r="H897" i="7" s="1"/>
  <c r="I1285" i="7"/>
  <c r="G1317" i="7"/>
  <c r="H1297" i="7"/>
  <c r="H1303" i="7" s="1"/>
  <c r="H415" i="7"/>
  <c r="I407" i="7" s="1"/>
  <c r="I413" i="7" s="1"/>
  <c r="H418" i="7"/>
  <c r="H419" i="7" s="1"/>
  <c r="G807" i="7"/>
  <c r="G819" i="7" s="1"/>
  <c r="G818" i="7"/>
  <c r="H475" i="7"/>
  <c r="I467" i="7" s="1"/>
  <c r="I473" i="7" s="1"/>
  <c r="H478" i="7"/>
  <c r="H479" i="7" s="1"/>
  <c r="H1327" i="7"/>
  <c r="G1347" i="7"/>
  <c r="H1357" i="7"/>
  <c r="G1377" i="7"/>
  <c r="H234" i="33"/>
  <c r="H891" i="7"/>
  <c r="I226" i="10"/>
  <c r="I228" i="10"/>
  <c r="I233" i="10"/>
  <c r="I219" i="10"/>
  <c r="G1318" i="7"/>
  <c r="J856" i="7"/>
  <c r="J895" i="7"/>
  <c r="J854" i="7"/>
  <c r="J835" i="7"/>
  <c r="J847" i="7" s="1"/>
  <c r="J892" i="7"/>
  <c r="J865" i="7"/>
  <c r="J826" i="7"/>
  <c r="J832" i="7"/>
  <c r="J844" i="7" s="1"/>
  <c r="J824" i="7"/>
  <c r="J830" i="7" s="1"/>
  <c r="J884" i="7"/>
  <c r="J862" i="7"/>
  <c r="J805" i="7"/>
  <c r="J817" i="7" s="1"/>
  <c r="J763" i="7"/>
  <c r="J802" i="7"/>
  <c r="J814" i="7" s="1"/>
  <c r="J794" i="7"/>
  <c r="J761" i="7"/>
  <c r="J745" i="7"/>
  <c r="J779" i="7"/>
  <c r="J787" i="7" s="1"/>
  <c r="J747" i="7"/>
  <c r="J755" i="7" s="1"/>
  <c r="J777" i="7"/>
  <c r="J796" i="7"/>
  <c r="J886" i="7"/>
  <c r="E294" i="7"/>
  <c r="E138" i="32"/>
  <c r="E139" i="10"/>
  <c r="I242" i="33"/>
  <c r="I228" i="33"/>
  <c r="I229" i="33"/>
  <c r="I236" i="33"/>
  <c r="I235" i="33"/>
  <c r="I237" i="33"/>
  <c r="I249" i="32"/>
  <c r="I250" i="32"/>
  <c r="I251" i="32"/>
  <c r="I242" i="32"/>
  <c r="I243" i="32"/>
  <c r="I256" i="32"/>
  <c r="I843" i="7"/>
  <c r="G756" i="7"/>
  <c r="H746" i="7"/>
  <c r="H1250" i="7"/>
  <c r="G1260" i="7"/>
  <c r="G1253" i="7"/>
  <c r="G1288" i="7"/>
  <c r="G1244" i="7"/>
  <c r="H1234" i="7"/>
  <c r="G1237" i="7"/>
  <c r="I1315" i="7"/>
  <c r="G1309" i="7"/>
  <c r="G1321" i="7" s="1"/>
  <c r="G1320" i="7"/>
  <c r="H778" i="7"/>
  <c r="G788" i="7"/>
  <c r="G781" i="7"/>
  <c r="G1348" i="7"/>
  <c r="G446" i="7"/>
  <c r="G450" i="7" s="1"/>
  <c r="I890" i="7"/>
  <c r="E1171" i="7"/>
  <c r="E1172" i="7" s="1"/>
  <c r="F1171" i="7"/>
  <c r="H225" i="34"/>
  <c r="G1366" i="7"/>
  <c r="G749" i="7"/>
  <c r="E190" i="32"/>
  <c r="E168" i="34"/>
  <c r="G1279" i="7"/>
  <c r="G1291" i="7" s="1"/>
  <c r="G1290" i="7"/>
  <c r="I1375" i="7"/>
  <c r="G816" i="7"/>
  <c r="J468" i="7"/>
  <c r="J474" i="7"/>
  <c r="J478" i="7"/>
  <c r="J479" i="7" s="1"/>
  <c r="J384" i="7"/>
  <c r="J466" i="7"/>
  <c r="J417" i="7"/>
  <c r="J436" i="7"/>
  <c r="J414" i="7"/>
  <c r="J406" i="7"/>
  <c r="J387" i="7"/>
  <c r="J477" i="7"/>
  <c r="J408" i="7"/>
  <c r="J378" i="7"/>
  <c r="J359" i="7"/>
  <c r="J327" i="7"/>
  <c r="J376" i="7"/>
  <c r="J361" i="7"/>
  <c r="J345" i="7"/>
  <c r="J343" i="7"/>
  <c r="J329" i="7"/>
  <c r="E139" i="32"/>
  <c r="E237" i="32"/>
  <c r="E236" i="32"/>
  <c r="H328" i="7"/>
  <c r="G331" i="7"/>
  <c r="I1345" i="7"/>
  <c r="H795" i="7"/>
  <c r="G815" i="7"/>
  <c r="H863" i="7"/>
  <c r="I855" i="7" s="1"/>
  <c r="I861" i="7" s="1"/>
  <c r="H866" i="7"/>
  <c r="H867" i="7" s="1"/>
  <c r="G1339" i="7"/>
  <c r="G1351" i="7" s="1"/>
  <c r="G1350" i="7"/>
  <c r="G1369" i="7"/>
  <c r="G1381" i="7" s="1"/>
  <c r="G1380" i="7"/>
  <c r="I442" i="7"/>
  <c r="G834" i="7"/>
  <c r="E124" i="5"/>
  <c r="E125" i="5" s="1"/>
  <c r="E167" i="5"/>
  <c r="I346" i="7"/>
  <c r="I1332" i="7"/>
  <c r="K20" i="7"/>
  <c r="K18" i="7"/>
  <c r="F43" i="7"/>
  <c r="G934" i="7"/>
  <c r="G935" i="7" s="1"/>
  <c r="J99" i="27"/>
  <c r="I17" i="27"/>
  <c r="I220" i="10" s="1"/>
  <c r="I227" i="10" s="1"/>
  <c r="G974" i="7"/>
  <c r="G976" i="7" s="1"/>
  <c r="F978" i="7"/>
  <c r="J103" i="27"/>
  <c r="F994" i="7"/>
  <c r="J421" i="1"/>
  <c r="J417" i="1"/>
  <c r="J360" i="26"/>
  <c r="J370" i="25"/>
  <c r="J374" i="25"/>
  <c r="J429" i="1"/>
  <c r="J352" i="26"/>
  <c r="J362" i="25"/>
  <c r="J356" i="26"/>
  <c r="J364" i="26"/>
  <c r="J425" i="1"/>
  <c r="E413" i="1"/>
  <c r="F413" i="1" s="1"/>
  <c r="G413" i="1" s="1"/>
  <c r="H413" i="1" s="1"/>
  <c r="I413" i="1" s="1"/>
  <c r="J413" i="1" s="1"/>
  <c r="J137" i="34"/>
  <c r="J137" i="10"/>
  <c r="J138" i="33"/>
  <c r="J137" i="32"/>
  <c r="G515" i="7"/>
  <c r="F528" i="7"/>
  <c r="F109" i="2" s="1"/>
  <c r="F111" i="2" s="1"/>
  <c r="G94" i="7"/>
  <c r="G95" i="7" s="1"/>
  <c r="G102" i="7" s="1"/>
  <c r="J143" i="34"/>
  <c r="H29" i="6"/>
  <c r="H30" i="6"/>
  <c r="I171" i="6"/>
  <c r="I164" i="6"/>
  <c r="F146" i="5"/>
  <c r="F152" i="6"/>
  <c r="F1389" i="7"/>
  <c r="F1390" i="7" s="1"/>
  <c r="E144" i="5"/>
  <c r="J1173" i="7"/>
  <c r="J1385" i="7"/>
  <c r="J1387" i="7" s="1"/>
  <c r="I168" i="2"/>
  <c r="I173" i="6" s="1"/>
  <c r="I173" i="2"/>
  <c r="I174" i="6" s="1"/>
  <c r="I187" i="34" s="1"/>
  <c r="I155" i="2"/>
  <c r="I165" i="6" s="1"/>
  <c r="G32" i="6"/>
  <c r="H33" i="2"/>
  <c r="H38" i="6" s="1"/>
  <c r="H20" i="2"/>
  <c r="J186" i="32"/>
  <c r="J173" i="33"/>
  <c r="I74" i="6"/>
  <c r="E74" i="5"/>
  <c r="E78" i="5" s="1"/>
  <c r="F276" i="1"/>
  <c r="F58" i="5"/>
  <c r="F62" i="6"/>
  <c r="J132" i="32"/>
  <c r="J495" i="7"/>
  <c r="J497" i="7" s="1"/>
  <c r="J286" i="7"/>
  <c r="I83" i="2"/>
  <c r="I84" i="6" s="1"/>
  <c r="I210" i="32" s="1"/>
  <c r="I65" i="2"/>
  <c r="I75" i="6" s="1"/>
  <c r="I78" i="2"/>
  <c r="I83" i="6" s="1"/>
  <c r="I119" i="6"/>
  <c r="F225" i="25"/>
  <c r="F102" i="5"/>
  <c r="F107" i="6"/>
  <c r="F917" i="7"/>
  <c r="F918" i="7" s="1"/>
  <c r="I110" i="2"/>
  <c r="I120" i="6" s="1"/>
  <c r="J704" i="7"/>
  <c r="J913" i="7"/>
  <c r="J915" i="7" s="1"/>
  <c r="I123" i="2"/>
  <c r="I128" i="6" s="1"/>
  <c r="I128" i="2"/>
  <c r="I129" i="6" s="1"/>
  <c r="I196" i="33" s="1"/>
  <c r="F946" i="7"/>
  <c r="F962" i="7"/>
  <c r="F1026" i="7"/>
  <c r="G1013" i="7"/>
  <c r="F1010" i="7"/>
  <c r="G997" i="7"/>
  <c r="J378" i="25"/>
  <c r="J366" i="25"/>
  <c r="E147" i="10"/>
  <c r="F91" i="7"/>
  <c r="J101" i="7"/>
  <c r="J117" i="7"/>
  <c r="J37" i="7"/>
  <c r="G111" i="7"/>
  <c r="G118" i="7" s="1"/>
  <c r="F59" i="7"/>
  <c r="G46" i="7"/>
  <c r="G79" i="7"/>
  <c r="G86" i="7" s="1"/>
  <c r="G63" i="7"/>
  <c r="G70" i="7" s="1"/>
  <c r="G31" i="7"/>
  <c r="G38" i="7" s="1"/>
  <c r="G39" i="7" s="1"/>
  <c r="G582" i="7"/>
  <c r="G572" i="7"/>
  <c r="G574" i="7" s="1"/>
  <c r="G604" i="7"/>
  <c r="G583" i="7"/>
  <c r="H563" i="7"/>
  <c r="G597" i="7"/>
  <c r="G599" i="7" s="1"/>
  <c r="G541" i="7"/>
  <c r="G566" i="7"/>
  <c r="G557" i="7"/>
  <c r="G535" i="7"/>
  <c r="G534" i="7"/>
  <c r="G558" i="7"/>
  <c r="H553" i="7" s="1"/>
  <c r="F225" i="26"/>
  <c r="G957" i="7"/>
  <c r="G587" i="7"/>
  <c r="G967" i="7"/>
  <c r="G969" i="7" s="1"/>
  <c r="G983" i="7"/>
  <c r="G985" i="7" s="1"/>
  <c r="G194" i="33"/>
  <c r="J132" i="10"/>
  <c r="J9" i="6"/>
  <c r="J9" i="5"/>
  <c r="J9" i="2"/>
  <c r="J99" i="6"/>
  <c r="J99" i="2"/>
  <c r="J144" i="6"/>
  <c r="J144" i="2"/>
  <c r="J54" i="6"/>
  <c r="J53" i="5"/>
  <c r="J54" i="2"/>
  <c r="K17" i="7"/>
  <c r="K16" i="7"/>
  <c r="K21" i="7"/>
  <c r="K19" i="7"/>
  <c r="M6" i="7"/>
  <c r="N5" i="7" s="1"/>
  <c r="L12" i="7"/>
  <c r="L13" i="7" s="1"/>
  <c r="M171" i="10"/>
  <c r="M177" i="10"/>
  <c r="M191" i="10"/>
  <c r="M207" i="10"/>
  <c r="M231" i="10"/>
  <c r="M156" i="10"/>
  <c r="M143" i="10"/>
  <c r="M163" i="10"/>
  <c r="M181" i="10"/>
  <c r="M195" i="10"/>
  <c r="M200" i="10"/>
  <c r="M212" i="10"/>
  <c r="M224" i="10"/>
  <c r="M150" i="10"/>
  <c r="M217" i="10"/>
  <c r="J129" i="1"/>
  <c r="L14" i="7"/>
  <c r="M15" i="7" s="1"/>
  <c r="F1197" i="7" l="1"/>
  <c r="H39" i="6"/>
  <c r="H186" i="10" s="1"/>
  <c r="K35" i="27"/>
  <c r="H1394" i="7"/>
  <c r="G176" i="2"/>
  <c r="F118" i="2"/>
  <c r="F113" i="6" s="1"/>
  <c r="F390" i="25"/>
  <c r="H971" i="7"/>
  <c r="E214" i="10"/>
  <c r="E1448" i="7"/>
  <c r="E213" i="10"/>
  <c r="E138" i="10"/>
  <c r="E140" i="10" s="1"/>
  <c r="E32" i="5"/>
  <c r="E36" i="5" s="1"/>
  <c r="K141" i="5"/>
  <c r="K132" i="34"/>
  <c r="F103" i="6"/>
  <c r="F130" i="6" s="1"/>
  <c r="K240" i="26"/>
  <c r="K254" i="25"/>
  <c r="K97" i="5"/>
  <c r="K132" i="33"/>
  <c r="E1193" i="7"/>
  <c r="E1192" i="7"/>
  <c r="E1191" i="7"/>
  <c r="E1463" i="7" s="1"/>
  <c r="I363" i="7"/>
  <c r="I364" i="7" s="1"/>
  <c r="J383" i="7"/>
  <c r="J388" i="7"/>
  <c r="J389" i="7" s="1"/>
  <c r="I386" i="7"/>
  <c r="I38" i="2"/>
  <c r="I225" i="10"/>
  <c r="G808" i="7"/>
  <c r="G820" i="7" s="1"/>
  <c r="K1491" i="7"/>
  <c r="J1492" i="7"/>
  <c r="K1490" i="7" s="1"/>
  <c r="F1495" i="7"/>
  <c r="F39" i="2" s="1"/>
  <c r="F1494" i="7"/>
  <c r="K1440" i="7"/>
  <c r="G183" i="10"/>
  <c r="I443" i="7"/>
  <c r="I448" i="7"/>
  <c r="I449" i="7" s="1"/>
  <c r="K444" i="7"/>
  <c r="K305" i="1"/>
  <c r="J1332" i="7"/>
  <c r="J442" i="7"/>
  <c r="J385" i="7"/>
  <c r="J386" i="7" s="1"/>
  <c r="I170" i="6"/>
  <c r="I186" i="34" s="1"/>
  <c r="J890" i="7"/>
  <c r="K626" i="7"/>
  <c r="K155" i="33" s="1"/>
  <c r="K625" i="7"/>
  <c r="K154" i="33" s="1"/>
  <c r="K624" i="7"/>
  <c r="K153" i="33" s="1"/>
  <c r="I248" i="32"/>
  <c r="H416" i="7"/>
  <c r="H420" i="7" s="1"/>
  <c r="H446" i="7"/>
  <c r="H450" i="7" s="1"/>
  <c r="H164" i="2"/>
  <c r="G167" i="2"/>
  <c r="G169" i="2" s="1"/>
  <c r="H864" i="7"/>
  <c r="H868" i="7" s="1"/>
  <c r="K1337" i="7"/>
  <c r="K1349" i="7" s="1"/>
  <c r="K1334" i="7"/>
  <c r="K1346" i="7" s="1"/>
  <c r="K1326" i="7"/>
  <c r="K1307" i="7"/>
  <c r="K1319" i="7" s="1"/>
  <c r="K1296" i="7"/>
  <c r="K1302" i="7" s="1"/>
  <c r="K1277" i="7"/>
  <c r="K1289" i="7" s="1"/>
  <c r="K1364" i="7"/>
  <c r="K1376" i="7" s="1"/>
  <c r="K1274" i="7"/>
  <c r="K1286" i="7" s="1"/>
  <c r="K1219" i="7"/>
  <c r="K1367" i="7"/>
  <c r="K1379" i="7" s="1"/>
  <c r="K1235" i="7"/>
  <c r="K1243" i="7" s="1"/>
  <c r="K1266" i="7"/>
  <c r="K1272" i="7" s="1"/>
  <c r="K1251" i="7"/>
  <c r="K1259" i="7" s="1"/>
  <c r="K1233" i="7"/>
  <c r="K1249" i="7"/>
  <c r="K1304" i="7"/>
  <c r="K1316" i="7" s="1"/>
  <c r="K1217" i="7"/>
  <c r="K1356" i="7"/>
  <c r="K1362" i="7" s="1"/>
  <c r="K1298" i="7"/>
  <c r="K1328" i="7"/>
  <c r="K1358" i="7"/>
  <c r="K1268" i="7"/>
  <c r="K1285" i="7" s="1"/>
  <c r="I347" i="7"/>
  <c r="I348" i="7" s="1"/>
  <c r="J344" i="7"/>
  <c r="J346" i="7" s="1"/>
  <c r="G332" i="7"/>
  <c r="E197" i="34"/>
  <c r="E1175" i="7"/>
  <c r="H1344" i="7"/>
  <c r="H1335" i="7"/>
  <c r="H1336" i="7" s="1"/>
  <c r="H1338" i="7"/>
  <c r="H1333" i="7"/>
  <c r="I415" i="7"/>
  <c r="J407" i="7" s="1"/>
  <c r="I418" i="7"/>
  <c r="I419" i="7" s="1"/>
  <c r="H1284" i="7"/>
  <c r="H1275" i="7"/>
  <c r="H1278" i="7"/>
  <c r="H764" i="7"/>
  <c r="H765" i="7" s="1"/>
  <c r="H770" i="7"/>
  <c r="J1285" i="7"/>
  <c r="I225" i="34"/>
  <c r="H812" i="7"/>
  <c r="H803" i="7"/>
  <c r="H804" i="7" s="1"/>
  <c r="H806" i="7"/>
  <c r="H801" i="7"/>
  <c r="G1378" i="7"/>
  <c r="G1370" i="7"/>
  <c r="G1382" i="7" s="1"/>
  <c r="G782" i="7"/>
  <c r="G790" i="7" s="1"/>
  <c r="G789" i="7"/>
  <c r="H1242" i="7"/>
  <c r="H1236" i="7"/>
  <c r="H1237" i="7" s="1"/>
  <c r="G1261" i="7"/>
  <c r="G1254" i="7"/>
  <c r="G1262" i="7" s="1"/>
  <c r="J843" i="7"/>
  <c r="I475" i="7"/>
  <c r="J467" i="7" s="1"/>
  <c r="J473" i="7" s="1"/>
  <c r="G1222" i="7"/>
  <c r="G1229" i="7"/>
  <c r="G766" i="7"/>
  <c r="J1375" i="7"/>
  <c r="E140" i="32"/>
  <c r="J800" i="7"/>
  <c r="J362" i="7"/>
  <c r="J860" i="7"/>
  <c r="K895" i="7"/>
  <c r="K854" i="7"/>
  <c r="K835" i="7"/>
  <c r="K847" i="7" s="1"/>
  <c r="K892" i="7"/>
  <c r="K865" i="7"/>
  <c r="K832" i="7"/>
  <c r="K844" i="7" s="1"/>
  <c r="K824" i="7"/>
  <c r="K830" i="7" s="1"/>
  <c r="K884" i="7"/>
  <c r="K862" i="7"/>
  <c r="K802" i="7"/>
  <c r="K814" i="7" s="1"/>
  <c r="K794" i="7"/>
  <c r="K761" i="7"/>
  <c r="K745" i="7"/>
  <c r="K779" i="7"/>
  <c r="K787" i="7" s="1"/>
  <c r="K747" i="7"/>
  <c r="K755" i="7" s="1"/>
  <c r="K777" i="7"/>
  <c r="K805" i="7"/>
  <c r="K817" i="7" s="1"/>
  <c r="K763" i="7"/>
  <c r="K796" i="7"/>
  <c r="K856" i="7"/>
  <c r="K826" i="7"/>
  <c r="K886" i="7"/>
  <c r="G846" i="7"/>
  <c r="G838" i="7"/>
  <c r="G850" i="7" s="1"/>
  <c r="H330" i="7"/>
  <c r="G750" i="7"/>
  <c r="G758" i="7" s="1"/>
  <c r="G757" i="7"/>
  <c r="G1238" i="7"/>
  <c r="G1246" i="7" s="1"/>
  <c r="G1245" i="7"/>
  <c r="H754" i="7"/>
  <c r="H748" i="7"/>
  <c r="H1365" i="7"/>
  <c r="H1366" i="7" s="1"/>
  <c r="H1374" i="7"/>
  <c r="H1368" i="7"/>
  <c r="H1363" i="7"/>
  <c r="H894" i="7"/>
  <c r="H898" i="7" s="1"/>
  <c r="I885" i="7"/>
  <c r="I445" i="7"/>
  <c r="J437" i="7" s="1"/>
  <c r="J448" i="7" s="1"/>
  <c r="J1345" i="7"/>
  <c r="G1280" i="7"/>
  <c r="G1292" i="7" s="1"/>
  <c r="G1310" i="7"/>
  <c r="G1322" i="7" s="1"/>
  <c r="E707" i="7"/>
  <c r="K466" i="7"/>
  <c r="K417" i="7"/>
  <c r="K414" i="7"/>
  <c r="K406" i="7"/>
  <c r="K477" i="7"/>
  <c r="K436" i="7"/>
  <c r="K478" i="7"/>
  <c r="K479" i="7" s="1"/>
  <c r="K384" i="7"/>
  <c r="K387" i="7"/>
  <c r="K474" i="7"/>
  <c r="K408" i="7"/>
  <c r="K468" i="7"/>
  <c r="K378" i="7"/>
  <c r="K376" i="7"/>
  <c r="K361" i="7"/>
  <c r="K345" i="7"/>
  <c r="K343" i="7"/>
  <c r="K329" i="7"/>
  <c r="K359" i="7"/>
  <c r="K327" i="7"/>
  <c r="I863" i="7"/>
  <c r="I866" i="7"/>
  <c r="I867" i="7" s="1"/>
  <c r="H780" i="7"/>
  <c r="H781" i="7" s="1"/>
  <c r="H786" i="7"/>
  <c r="H1258" i="7"/>
  <c r="H1252" i="7"/>
  <c r="J813" i="7"/>
  <c r="H1314" i="7"/>
  <c r="H1305" i="7"/>
  <c r="H1308" i="7"/>
  <c r="H1220" i="7"/>
  <c r="H1226" i="7"/>
  <c r="H833" i="7"/>
  <c r="H842" i="7"/>
  <c r="H836" i="7"/>
  <c r="J1315" i="7"/>
  <c r="J412" i="7"/>
  <c r="G1340" i="7"/>
  <c r="G1352" i="7" s="1"/>
  <c r="I234" i="33"/>
  <c r="J382" i="7"/>
  <c r="H476" i="7"/>
  <c r="H480" i="7" s="1"/>
  <c r="L18" i="7"/>
  <c r="L20" i="7"/>
  <c r="E147" i="5"/>
  <c r="G32" i="7"/>
  <c r="G516" i="7"/>
  <c r="G523" i="7" s="1"/>
  <c r="G524" i="7" s="1"/>
  <c r="K99" i="27"/>
  <c r="F1195" i="7"/>
  <c r="F151" i="2" s="1"/>
  <c r="F156" i="6" s="1"/>
  <c r="F723" i="7"/>
  <c r="F106" i="2" s="1"/>
  <c r="F111" i="6" s="1"/>
  <c r="J250" i="32"/>
  <c r="G975" i="7"/>
  <c r="K103" i="27"/>
  <c r="K364" i="26"/>
  <c r="K421" i="1"/>
  <c r="K425" i="1"/>
  <c r="K429" i="1"/>
  <c r="K360" i="26"/>
  <c r="K417" i="1"/>
  <c r="K362" i="25"/>
  <c r="K370" i="25"/>
  <c r="K413" i="1"/>
  <c r="K356" i="26"/>
  <c r="K352" i="26"/>
  <c r="K374" i="25"/>
  <c r="J233" i="34"/>
  <c r="J219" i="34"/>
  <c r="J226" i="34"/>
  <c r="J249" i="32"/>
  <c r="J242" i="32"/>
  <c r="J256" i="32"/>
  <c r="J251" i="32"/>
  <c r="J243" i="32"/>
  <c r="J228" i="33"/>
  <c r="J235" i="33"/>
  <c r="J242" i="33"/>
  <c r="K137" i="10"/>
  <c r="K138" i="33"/>
  <c r="K137" i="32"/>
  <c r="K137" i="34"/>
  <c r="K143" i="34"/>
  <c r="K1173" i="7"/>
  <c r="K1385" i="7"/>
  <c r="K1387" i="7" s="1"/>
  <c r="G1388" i="7"/>
  <c r="F174" i="2"/>
  <c r="J171" i="6"/>
  <c r="J164" i="6"/>
  <c r="F154" i="2"/>
  <c r="F156" i="2" s="1"/>
  <c r="J168" i="2"/>
  <c r="J173" i="6" s="1"/>
  <c r="J173" i="2"/>
  <c r="J174" i="6" s="1"/>
  <c r="J187" i="34" s="1"/>
  <c r="J155" i="2"/>
  <c r="J165" i="6" s="1"/>
  <c r="I29" i="6"/>
  <c r="F17" i="6"/>
  <c r="I30" i="6"/>
  <c r="I20" i="2"/>
  <c r="I33" i="2"/>
  <c r="I38" i="6" s="1"/>
  <c r="K186" i="32"/>
  <c r="K173" i="33"/>
  <c r="F64" i="2"/>
  <c r="J65" i="2"/>
  <c r="J75" i="6" s="1"/>
  <c r="J78" i="2"/>
  <c r="J83" i="6" s="1"/>
  <c r="J83" i="2"/>
  <c r="J84" i="6" s="1"/>
  <c r="J210" i="32" s="1"/>
  <c r="J74" i="6"/>
  <c r="G498" i="7"/>
  <c r="F84" i="2"/>
  <c r="K132" i="32"/>
  <c r="K495" i="7"/>
  <c r="K497" i="7" s="1"/>
  <c r="K286" i="7"/>
  <c r="J119" i="6"/>
  <c r="J110" i="2"/>
  <c r="J120" i="6" s="1"/>
  <c r="K913" i="7"/>
  <c r="K915" i="7" s="1"/>
  <c r="K704" i="7"/>
  <c r="F129" i="2"/>
  <c r="G916" i="7"/>
  <c r="E127" i="5"/>
  <c r="E711" i="7" s="1"/>
  <c r="J123" i="2"/>
  <c r="J128" i="6" s="1"/>
  <c r="J128" i="2"/>
  <c r="J129" i="6" s="1"/>
  <c r="J196" i="33" s="1"/>
  <c r="G958" i="7"/>
  <c r="H965" i="7"/>
  <c r="H966" i="7" s="1"/>
  <c r="H973" i="7" s="1"/>
  <c r="G978" i="7"/>
  <c r="H981" i="7"/>
  <c r="G1014" i="7"/>
  <c r="G1021" i="7" s="1"/>
  <c r="G998" i="7"/>
  <c r="G1005" i="7" s="1"/>
  <c r="K378" i="25"/>
  <c r="K366" i="25"/>
  <c r="G64" i="7"/>
  <c r="G66" i="7" s="1"/>
  <c r="G87" i="7"/>
  <c r="G89" i="7" s="1"/>
  <c r="H84" i="7" s="1"/>
  <c r="G47" i="7"/>
  <c r="G54" i="7" s="1"/>
  <c r="K101" i="7"/>
  <c r="K117" i="7"/>
  <c r="K37" i="7"/>
  <c r="G41" i="7"/>
  <c r="G112" i="7"/>
  <c r="G114" i="7" s="1"/>
  <c r="G119" i="7"/>
  <c r="G71" i="7"/>
  <c r="G73" i="7" s="1"/>
  <c r="H68" i="7" s="1"/>
  <c r="G80" i="7"/>
  <c r="G103" i="7"/>
  <c r="G105" i="7" s="1"/>
  <c r="H100" i="7" s="1"/>
  <c r="G96" i="7"/>
  <c r="H569" i="7"/>
  <c r="G576" i="7"/>
  <c r="H595" i="7"/>
  <c r="G544" i="7"/>
  <c r="H531" i="7"/>
  <c r="G598" i="7"/>
  <c r="G605" i="7"/>
  <c r="G573" i="7"/>
  <c r="G588" i="7"/>
  <c r="H564" i="7"/>
  <c r="H571" i="7" s="1"/>
  <c r="H579" i="7"/>
  <c r="G606" i="7"/>
  <c r="H601" i="7" s="1"/>
  <c r="G968" i="7"/>
  <c r="G984" i="7"/>
  <c r="G550" i="7"/>
  <c r="G941" i="7"/>
  <c r="G942" i="7" s="1"/>
  <c r="G951" i="7"/>
  <c r="G953" i="7" s="1"/>
  <c r="J219" i="10"/>
  <c r="G990" i="7"/>
  <c r="G551" i="7"/>
  <c r="F16" i="5"/>
  <c r="J226" i="10"/>
  <c r="J233" i="10"/>
  <c r="J228" i="10"/>
  <c r="K99" i="6"/>
  <c r="K99" i="2"/>
  <c r="K144" i="6"/>
  <c r="K144" i="2"/>
  <c r="K54" i="6"/>
  <c r="K53" i="5"/>
  <c r="K54" i="2"/>
  <c r="K132" i="10"/>
  <c r="K9" i="6"/>
  <c r="K9" i="5"/>
  <c r="K9" i="2"/>
  <c r="L16" i="7"/>
  <c r="L21" i="7"/>
  <c r="L19" i="7"/>
  <c r="L17" i="7"/>
  <c r="N171" i="10"/>
  <c r="N156" i="10"/>
  <c r="N150" i="10"/>
  <c r="N191" i="10"/>
  <c r="N207" i="10"/>
  <c r="N212" i="10"/>
  <c r="N143" i="10"/>
  <c r="N163" i="10"/>
  <c r="N181" i="10"/>
  <c r="N200" i="10"/>
  <c r="N217" i="10"/>
  <c r="N224" i="10"/>
  <c r="N177" i="10"/>
  <c r="N195" i="10"/>
  <c r="N231" i="10"/>
  <c r="M14" i="7"/>
  <c r="N15" i="7" s="1"/>
  <c r="N6" i="7"/>
  <c r="O5" i="7" s="1"/>
  <c r="K129" i="1"/>
  <c r="M12" i="7"/>
  <c r="M13" i="7" s="1"/>
  <c r="F163" i="2" l="1"/>
  <c r="F158" i="6" s="1"/>
  <c r="F376" i="26"/>
  <c r="G1230" i="7"/>
  <c r="G1171" i="7" s="1"/>
  <c r="L35" i="27"/>
  <c r="I39" i="6"/>
  <c r="I186" i="10" s="1"/>
  <c r="H974" i="7"/>
  <c r="H976" i="7" s="1"/>
  <c r="I971" i="7" s="1"/>
  <c r="G959" i="7"/>
  <c r="G960" i="7"/>
  <c r="H955" i="7" s="1"/>
  <c r="G992" i="7"/>
  <c r="H987" i="7" s="1"/>
  <c r="F197" i="33"/>
  <c r="J38" i="2"/>
  <c r="K890" i="7"/>
  <c r="L97" i="5"/>
  <c r="L132" i="33"/>
  <c r="L254" i="25"/>
  <c r="L240" i="26"/>
  <c r="L141" i="5"/>
  <c r="L132" i="34"/>
  <c r="G526" i="7"/>
  <c r="H521" i="7" s="1"/>
  <c r="E1470" i="7"/>
  <c r="E1469" i="7" s="1"/>
  <c r="E1471" i="7" s="1"/>
  <c r="E1462" i="7"/>
  <c r="E1464" i="7" s="1"/>
  <c r="K1332" i="7"/>
  <c r="K442" i="7"/>
  <c r="G1493" i="7"/>
  <c r="K377" i="7"/>
  <c r="K388" i="7" s="1"/>
  <c r="K389" i="7" s="1"/>
  <c r="L1440" i="7"/>
  <c r="J443" i="7"/>
  <c r="K1492" i="7"/>
  <c r="L1490" i="7" s="1"/>
  <c r="L1491" i="7"/>
  <c r="L444" i="7"/>
  <c r="E715" i="7"/>
  <c r="E217" i="33" s="1"/>
  <c r="E717" i="7"/>
  <c r="E218" i="33" s="1"/>
  <c r="E713" i="7"/>
  <c r="L305" i="1"/>
  <c r="K382" i="7"/>
  <c r="K412" i="7"/>
  <c r="L625" i="7"/>
  <c r="L154" i="33" s="1"/>
  <c r="L624" i="7"/>
  <c r="L153" i="33" s="1"/>
  <c r="L626" i="7"/>
  <c r="L155" i="33" s="1"/>
  <c r="K800" i="7"/>
  <c r="H1245" i="7"/>
  <c r="H1238" i="7"/>
  <c r="H1246" i="7" s="1"/>
  <c r="H1348" i="7"/>
  <c r="H789" i="7"/>
  <c r="H782" i="7"/>
  <c r="H790" i="7" s="1"/>
  <c r="H834" i="7"/>
  <c r="I825" i="7"/>
  <c r="I831" i="7" s="1"/>
  <c r="H845" i="7"/>
  <c r="H1309" i="7"/>
  <c r="H1321" i="7" s="1"/>
  <c r="H1320" i="7"/>
  <c r="I864" i="7"/>
  <c r="I868" i="7" s="1"/>
  <c r="J855" i="7"/>
  <c r="I795" i="7"/>
  <c r="H815" i="7"/>
  <c r="K1345" i="7"/>
  <c r="I446" i="7"/>
  <c r="I450" i="7" s="1"/>
  <c r="K860" i="7"/>
  <c r="I476" i="7"/>
  <c r="I480" i="7" s="1"/>
  <c r="L1334" i="7"/>
  <c r="L1346" i="7" s="1"/>
  <c r="L1326" i="7"/>
  <c r="L1307" i="7"/>
  <c r="L1319" i="7" s="1"/>
  <c r="L1296" i="7"/>
  <c r="L1302" i="7" s="1"/>
  <c r="L1277" i="7"/>
  <c r="L1289" i="7" s="1"/>
  <c r="L1367" i="7"/>
  <c r="L1379" i="7" s="1"/>
  <c r="L1356" i="7"/>
  <c r="L1362" i="7" s="1"/>
  <c r="L1304" i="7"/>
  <c r="L1316" i="7" s="1"/>
  <c r="L1274" i="7"/>
  <c r="L1286" i="7" s="1"/>
  <c r="L1337" i="7"/>
  <c r="L1349" i="7" s="1"/>
  <c r="L1364" i="7"/>
  <c r="L1376" i="7" s="1"/>
  <c r="L1235" i="7"/>
  <c r="L1243" i="7" s="1"/>
  <c r="L1266" i="7"/>
  <c r="L1272" i="7" s="1"/>
  <c r="L1251" i="7"/>
  <c r="L1259" i="7" s="1"/>
  <c r="L1233" i="7"/>
  <c r="L1249" i="7"/>
  <c r="L1217" i="7"/>
  <c r="L1219" i="7"/>
  <c r="H1228" i="7"/>
  <c r="H1395" i="7" s="1"/>
  <c r="H1396" i="7" s="1"/>
  <c r="I1218" i="7"/>
  <c r="I893" i="7"/>
  <c r="J885" i="7" s="1"/>
  <c r="I896" i="7"/>
  <c r="I897" i="7" s="1"/>
  <c r="I891" i="7"/>
  <c r="H756" i="7"/>
  <c r="I746" i="7"/>
  <c r="I328" i="7"/>
  <c r="J415" i="7"/>
  <c r="K407" i="7" s="1"/>
  <c r="K413" i="7" s="1"/>
  <c r="J418" i="7"/>
  <c r="J419" i="7" s="1"/>
  <c r="K1375" i="7"/>
  <c r="L892" i="7"/>
  <c r="L865" i="7"/>
  <c r="L832" i="7"/>
  <c r="L844" i="7" s="1"/>
  <c r="L824" i="7"/>
  <c r="L830" i="7" s="1"/>
  <c r="L884" i="7"/>
  <c r="L862" i="7"/>
  <c r="L779" i="7"/>
  <c r="L787" i="7" s="1"/>
  <c r="L747" i="7"/>
  <c r="L755" i="7" s="1"/>
  <c r="L835" i="7"/>
  <c r="L847" i="7" s="1"/>
  <c r="L777" i="7"/>
  <c r="L895" i="7"/>
  <c r="L854" i="7"/>
  <c r="L805" i="7"/>
  <c r="L817" i="7" s="1"/>
  <c r="L763" i="7"/>
  <c r="L794" i="7"/>
  <c r="L761" i="7"/>
  <c r="L802" i="7"/>
  <c r="L814" i="7" s="1"/>
  <c r="L745" i="7"/>
  <c r="H837" i="7"/>
  <c r="H849" i="7" s="1"/>
  <c r="H848" i="7"/>
  <c r="I1250" i="7"/>
  <c r="H1260" i="7"/>
  <c r="I778" i="7"/>
  <c r="H788" i="7"/>
  <c r="J449" i="7"/>
  <c r="J445" i="7"/>
  <c r="H1378" i="7"/>
  <c r="J363" i="7"/>
  <c r="J364" i="7" s="1"/>
  <c r="K360" i="7"/>
  <c r="K362" i="7" s="1"/>
  <c r="H807" i="7"/>
  <c r="H819" i="7" s="1"/>
  <c r="H818" i="7"/>
  <c r="H1279" i="7"/>
  <c r="H1291" i="7" s="1"/>
  <c r="H1290" i="7"/>
  <c r="H749" i="7"/>
  <c r="J413" i="7"/>
  <c r="H1369" i="7"/>
  <c r="H1381" i="7" s="1"/>
  <c r="H1380" i="7"/>
  <c r="K843" i="7"/>
  <c r="I1234" i="7"/>
  <c r="H1244" i="7"/>
  <c r="H816" i="7"/>
  <c r="H766" i="7"/>
  <c r="H774" i="7" s="1"/>
  <c r="H773" i="7"/>
  <c r="H1276" i="7"/>
  <c r="H1287" i="7"/>
  <c r="I1267" i="7"/>
  <c r="I1273" i="7" s="1"/>
  <c r="H1347" i="7"/>
  <c r="I1327" i="7"/>
  <c r="L414" i="7"/>
  <c r="L406" i="7"/>
  <c r="L477" i="7"/>
  <c r="L436" i="7"/>
  <c r="L474" i="7"/>
  <c r="L478" i="7"/>
  <c r="L384" i="7"/>
  <c r="L387" i="7"/>
  <c r="L466" i="7"/>
  <c r="L417" i="7"/>
  <c r="L468" i="7"/>
  <c r="L376" i="7"/>
  <c r="L361" i="7"/>
  <c r="L345" i="7"/>
  <c r="L343" i="7"/>
  <c r="L329" i="7"/>
  <c r="L359" i="7"/>
  <c r="L327" i="7"/>
  <c r="E161" i="5"/>
  <c r="E165" i="5" s="1"/>
  <c r="E138" i="34"/>
  <c r="E140" i="34" s="1"/>
  <c r="E213" i="34"/>
  <c r="E214" i="34"/>
  <c r="H1306" i="7"/>
  <c r="I1297" i="7"/>
  <c r="I1303" i="7" s="1"/>
  <c r="H1317" i="7"/>
  <c r="H1377" i="7"/>
  <c r="I1357" i="7"/>
  <c r="K813" i="7"/>
  <c r="J475" i="7"/>
  <c r="K467" i="7" s="1"/>
  <c r="K473" i="7" s="1"/>
  <c r="I762" i="7"/>
  <c r="H772" i="7"/>
  <c r="H1339" i="7"/>
  <c r="H1351" i="7" s="1"/>
  <c r="H1350" i="7"/>
  <c r="J347" i="7"/>
  <c r="J348" i="7" s="1"/>
  <c r="K344" i="7"/>
  <c r="K346" i="7" s="1"/>
  <c r="L344" i="7" s="1"/>
  <c r="K1315" i="7"/>
  <c r="H1221" i="7"/>
  <c r="H1253" i="7"/>
  <c r="H331" i="7"/>
  <c r="I416" i="7"/>
  <c r="I420" i="7" s="1"/>
  <c r="E1176" i="7"/>
  <c r="M18" i="7"/>
  <c r="M20" i="7"/>
  <c r="E348" i="26"/>
  <c r="F348" i="26" s="1"/>
  <c r="G348" i="26" s="1"/>
  <c r="H348" i="26" s="1"/>
  <c r="I348" i="26" s="1"/>
  <c r="J348" i="26" s="1"/>
  <c r="K348" i="26" s="1"/>
  <c r="L348" i="26" s="1"/>
  <c r="E1181" i="7"/>
  <c r="G517" i="7"/>
  <c r="G120" i="5" s="1"/>
  <c r="G106" i="6" s="1"/>
  <c r="F388" i="25"/>
  <c r="L99" i="27"/>
  <c r="K250" i="32"/>
  <c r="J248" i="32"/>
  <c r="L103" i="27"/>
  <c r="L356" i="26"/>
  <c r="L425" i="1"/>
  <c r="L421" i="1"/>
  <c r="L352" i="26"/>
  <c r="L370" i="25"/>
  <c r="L429" i="1"/>
  <c r="L364" i="26"/>
  <c r="L374" i="25"/>
  <c r="L360" i="26"/>
  <c r="L413" i="1"/>
  <c r="L362" i="25"/>
  <c r="L417" i="1"/>
  <c r="K256" i="32"/>
  <c r="K251" i="32"/>
  <c r="K243" i="32"/>
  <c r="K249" i="32"/>
  <c r="K242" i="32"/>
  <c r="K228" i="33"/>
  <c r="K235" i="33"/>
  <c r="K242" i="33"/>
  <c r="K233" i="34"/>
  <c r="K219" i="34"/>
  <c r="K226" i="34"/>
  <c r="L137" i="10"/>
  <c r="L138" i="33"/>
  <c r="L137" i="32"/>
  <c r="L137" i="34"/>
  <c r="L143" i="34"/>
  <c r="L1385" i="7"/>
  <c r="L1387" i="7" s="1"/>
  <c r="L1173" i="7"/>
  <c r="K171" i="6"/>
  <c r="K164" i="6"/>
  <c r="G937" i="7"/>
  <c r="H933" i="7" s="1"/>
  <c r="J20" i="2"/>
  <c r="J33" i="2"/>
  <c r="J38" i="6" s="1"/>
  <c r="K173" i="2"/>
  <c r="K174" i="6" s="1"/>
  <c r="K187" i="34" s="1"/>
  <c r="K155" i="2"/>
  <c r="K165" i="6" s="1"/>
  <c r="K168" i="2"/>
  <c r="K173" i="6" s="1"/>
  <c r="J29" i="6"/>
  <c r="J30" i="6"/>
  <c r="F66" i="2"/>
  <c r="L173" i="33"/>
  <c r="L186" i="32"/>
  <c r="G65" i="7"/>
  <c r="K74" i="6"/>
  <c r="G34" i="7"/>
  <c r="H30" i="7" s="1"/>
  <c r="K65" i="2"/>
  <c r="K75" i="6" s="1"/>
  <c r="K78" i="2"/>
  <c r="K83" i="6" s="1"/>
  <c r="K83" i="2"/>
  <c r="K84" i="6" s="1"/>
  <c r="K210" i="32" s="1"/>
  <c r="L132" i="32"/>
  <c r="L495" i="7"/>
  <c r="L497" i="7" s="1"/>
  <c r="L286" i="7"/>
  <c r="L913" i="7"/>
  <c r="L915" i="7" s="1"/>
  <c r="L704" i="7"/>
  <c r="K119" i="6"/>
  <c r="K110" i="2"/>
  <c r="K120" i="6" s="1"/>
  <c r="K123" i="2"/>
  <c r="K128" i="6" s="1"/>
  <c r="K128" i="2"/>
  <c r="K129" i="6" s="1"/>
  <c r="K196" i="33" s="1"/>
  <c r="G33" i="7"/>
  <c r="G999" i="7"/>
  <c r="G1000" i="7" s="1"/>
  <c r="H949" i="7"/>
  <c r="H950" i="7" s="1"/>
  <c r="H957" i="7" s="1"/>
  <c r="G1006" i="7"/>
  <c r="H982" i="7"/>
  <c r="H983" i="7" s="1"/>
  <c r="H985" i="7" s="1"/>
  <c r="G1015" i="7"/>
  <c r="G944" i="7"/>
  <c r="H939" i="7" s="1"/>
  <c r="G1022" i="7"/>
  <c r="L378" i="25"/>
  <c r="L366" i="25"/>
  <c r="G88" i="7"/>
  <c r="G48" i="7"/>
  <c r="G50" i="7" s="1"/>
  <c r="H36" i="7"/>
  <c r="L101" i="7"/>
  <c r="L37" i="7"/>
  <c r="L117" i="7"/>
  <c r="G104" i="7"/>
  <c r="G81" i="7"/>
  <c r="G120" i="7"/>
  <c r="G55" i="7"/>
  <c r="G57" i="7" s="1"/>
  <c r="H52" i="7" s="1"/>
  <c r="G97" i="7"/>
  <c r="G75" i="7"/>
  <c r="H62" i="7"/>
  <c r="G121" i="7"/>
  <c r="H116" i="7" s="1"/>
  <c r="G82" i="7"/>
  <c r="G91" i="7" s="1"/>
  <c r="H110" i="7"/>
  <c r="G72" i="7"/>
  <c r="G113" i="7"/>
  <c r="G40" i="7"/>
  <c r="G98" i="7"/>
  <c r="G560" i="7"/>
  <c r="H547" i="7"/>
  <c r="G525" i="7"/>
  <c r="H572" i="7"/>
  <c r="H574" i="7" s="1"/>
  <c r="I569" i="7" s="1"/>
  <c r="H565" i="7"/>
  <c r="H567" i="7" s="1"/>
  <c r="G589" i="7"/>
  <c r="G590" i="7"/>
  <c r="G608" i="7"/>
  <c r="H580" i="7"/>
  <c r="H581" i="7" s="1"/>
  <c r="H532" i="7"/>
  <c r="H539" i="7" s="1"/>
  <c r="H596" i="7"/>
  <c r="H603" i="7" s="1"/>
  <c r="G936" i="7"/>
  <c r="F374" i="26"/>
  <c r="G952" i="7"/>
  <c r="H967" i="7"/>
  <c r="H968" i="7" s="1"/>
  <c r="G991" i="7"/>
  <c r="K228" i="10"/>
  <c r="K226" i="10"/>
  <c r="L144" i="6"/>
  <c r="L144" i="2"/>
  <c r="L99" i="6"/>
  <c r="L99" i="2"/>
  <c r="K219" i="10"/>
  <c r="L54" i="6"/>
  <c r="L53" i="5"/>
  <c r="L54" i="2"/>
  <c r="L132" i="10"/>
  <c r="L9" i="6"/>
  <c r="L9" i="5"/>
  <c r="L9" i="2"/>
  <c r="K233" i="10"/>
  <c r="M16" i="7"/>
  <c r="M21" i="7"/>
  <c r="M19" i="7"/>
  <c r="M17" i="7"/>
  <c r="O6" i="7"/>
  <c r="P5" i="7" s="1"/>
  <c r="N12" i="7"/>
  <c r="N13" i="7" s="1"/>
  <c r="O156" i="10"/>
  <c r="O181" i="10"/>
  <c r="O200" i="10"/>
  <c r="O224" i="10"/>
  <c r="O171" i="10"/>
  <c r="O150" i="10"/>
  <c r="O177" i="10"/>
  <c r="O191" i="10"/>
  <c r="O207" i="10"/>
  <c r="O217" i="10"/>
  <c r="O231" i="10"/>
  <c r="O143" i="10"/>
  <c r="O163" i="10"/>
  <c r="O195" i="10"/>
  <c r="O212" i="10"/>
  <c r="L129" i="1"/>
  <c r="N14" i="7"/>
  <c r="O15" i="7" s="1"/>
  <c r="J39" i="6" l="1"/>
  <c r="J186" i="10" s="1"/>
  <c r="M35" i="27"/>
  <c r="I1394" i="7"/>
  <c r="H176" i="2"/>
  <c r="G994" i="7"/>
  <c r="H975" i="7"/>
  <c r="G1008" i="7"/>
  <c r="H1003" i="7" s="1"/>
  <c r="G1024" i="7"/>
  <c r="H1019" i="7" s="1"/>
  <c r="M240" i="26"/>
  <c r="M254" i="25"/>
  <c r="M141" i="5"/>
  <c r="M132" i="34"/>
  <c r="M97" i="5"/>
  <c r="M132" i="33"/>
  <c r="G163" i="5"/>
  <c r="G151" i="6" s="1"/>
  <c r="L800" i="7"/>
  <c r="L442" i="7"/>
  <c r="K38" i="2"/>
  <c r="L1492" i="7"/>
  <c r="M1490" i="7" s="1"/>
  <c r="K385" i="7"/>
  <c r="L377" i="7" s="1"/>
  <c r="L383" i="7" s="1"/>
  <c r="L346" i="7"/>
  <c r="M344" i="7" s="1"/>
  <c r="K383" i="7"/>
  <c r="E27" i="2"/>
  <c r="M1440" i="7"/>
  <c r="M1491" i="7"/>
  <c r="M305" i="1"/>
  <c r="M444" i="7"/>
  <c r="M448" i="7"/>
  <c r="M449" i="7" s="1"/>
  <c r="L412" i="7"/>
  <c r="M624" i="7"/>
  <c r="M153" i="33" s="1"/>
  <c r="M626" i="7"/>
  <c r="M155" i="33" s="1"/>
  <c r="M625" i="7"/>
  <c r="M154" i="33" s="1"/>
  <c r="H808" i="7"/>
  <c r="H820" i="7" s="1"/>
  <c r="J416" i="7"/>
  <c r="J420" i="7" s="1"/>
  <c r="I894" i="7"/>
  <c r="I898" i="7" s="1"/>
  <c r="H1370" i="7"/>
  <c r="H1382" i="7" s="1"/>
  <c r="H1261" i="7"/>
  <c r="H1254" i="7"/>
  <c r="H1262" i="7" s="1"/>
  <c r="M1367" i="7"/>
  <c r="M1379" i="7" s="1"/>
  <c r="M1356" i="7"/>
  <c r="M1362" i="7" s="1"/>
  <c r="M1304" i="7"/>
  <c r="M1316" i="7" s="1"/>
  <c r="M1308" i="7"/>
  <c r="M1320" i="7" s="1"/>
  <c r="M1274" i="7"/>
  <c r="M1286" i="7" s="1"/>
  <c r="M1278" i="7"/>
  <c r="M1290" i="7" s="1"/>
  <c r="M1364" i="7"/>
  <c r="M1376" i="7" s="1"/>
  <c r="M1368" i="7"/>
  <c r="M1380" i="7" s="1"/>
  <c r="M1334" i="7"/>
  <c r="M1346" i="7" s="1"/>
  <c r="M1338" i="7"/>
  <c r="M1350" i="7" s="1"/>
  <c r="M1326" i="7"/>
  <c r="M1307" i="7"/>
  <c r="M1319" i="7" s="1"/>
  <c r="M1296" i="7"/>
  <c r="M1302" i="7" s="1"/>
  <c r="M1266" i="7"/>
  <c r="M1272" i="7" s="1"/>
  <c r="M1251" i="7"/>
  <c r="M1259" i="7" s="1"/>
  <c r="M1233" i="7"/>
  <c r="M1337" i="7"/>
  <c r="M1349" i="7" s="1"/>
  <c r="M1277" i="7"/>
  <c r="M1289" i="7" s="1"/>
  <c r="M1249" i="7"/>
  <c r="M1217" i="7"/>
  <c r="M1219" i="7"/>
  <c r="M1235" i="7"/>
  <c r="M1243" i="7" s="1"/>
  <c r="H332" i="7"/>
  <c r="H1229" i="7"/>
  <c r="H1222" i="7"/>
  <c r="I1344" i="7"/>
  <c r="I1335" i="7"/>
  <c r="I1338" i="7"/>
  <c r="I1333" i="7"/>
  <c r="H1280" i="7"/>
  <c r="H1292" i="7" s="1"/>
  <c r="H1288" i="7"/>
  <c r="I786" i="7"/>
  <c r="I780" i="7"/>
  <c r="I754" i="7"/>
  <c r="I748" i="7"/>
  <c r="I803" i="7"/>
  <c r="I812" i="7"/>
  <c r="I806" i="7"/>
  <c r="I801" i="7"/>
  <c r="L382" i="7"/>
  <c r="L860" i="7"/>
  <c r="M884" i="7"/>
  <c r="M862" i="7"/>
  <c r="M866" i="7"/>
  <c r="M867" i="7" s="1"/>
  <c r="M895" i="7"/>
  <c r="M854" i="7"/>
  <c r="M835" i="7"/>
  <c r="M847" i="7" s="1"/>
  <c r="M896" i="7"/>
  <c r="M897" i="7" s="1"/>
  <c r="M865" i="7"/>
  <c r="M832" i="7"/>
  <c r="M844" i="7" s="1"/>
  <c r="M777" i="7"/>
  <c r="M892" i="7"/>
  <c r="M805" i="7"/>
  <c r="M817" i="7" s="1"/>
  <c r="M763" i="7"/>
  <c r="M824" i="7"/>
  <c r="M830" i="7" s="1"/>
  <c r="M802" i="7"/>
  <c r="M814" i="7" s="1"/>
  <c r="M806" i="7"/>
  <c r="M818" i="7" s="1"/>
  <c r="M794" i="7"/>
  <c r="M761" i="7"/>
  <c r="M745" i="7"/>
  <c r="M836" i="7"/>
  <c r="M848" i="7" s="1"/>
  <c r="M779" i="7"/>
  <c r="M787" i="7" s="1"/>
  <c r="M747" i="7"/>
  <c r="M755" i="7" s="1"/>
  <c r="I330" i="7"/>
  <c r="I331" i="7" s="1"/>
  <c r="H846" i="7"/>
  <c r="H838" i="7"/>
  <c r="H850" i="7" s="1"/>
  <c r="M477" i="7"/>
  <c r="M436" i="7"/>
  <c r="M474" i="7"/>
  <c r="M478" i="7"/>
  <c r="M466" i="7"/>
  <c r="M417" i="7"/>
  <c r="M414" i="7"/>
  <c r="M388" i="7"/>
  <c r="M389" i="7" s="1"/>
  <c r="M418" i="7"/>
  <c r="M419" i="7" s="1"/>
  <c r="M406" i="7"/>
  <c r="M384" i="7"/>
  <c r="M387" i="7"/>
  <c r="M468" i="7"/>
  <c r="M361" i="7"/>
  <c r="M345" i="7"/>
  <c r="M343" i="7"/>
  <c r="M359" i="7"/>
  <c r="M327" i="7"/>
  <c r="M376" i="7"/>
  <c r="M329" i="7"/>
  <c r="I1374" i="7"/>
  <c r="I1365" i="7"/>
  <c r="I1368" i="7"/>
  <c r="I1363" i="7"/>
  <c r="H1318" i="7"/>
  <c r="H1310" i="7"/>
  <c r="H1322" i="7" s="1"/>
  <c r="L479" i="7"/>
  <c r="I1275" i="7"/>
  <c r="I1276" i="7" s="1"/>
  <c r="I1284" i="7"/>
  <c r="I1278" i="7"/>
  <c r="I1236" i="7"/>
  <c r="I1237" i="7" s="1"/>
  <c r="I1242" i="7"/>
  <c r="H750" i="7"/>
  <c r="H758" i="7" s="1"/>
  <c r="H757" i="7"/>
  <c r="I1258" i="7"/>
  <c r="I1252" i="7"/>
  <c r="I1220" i="7"/>
  <c r="I1226" i="7"/>
  <c r="I833" i="7"/>
  <c r="I842" i="7"/>
  <c r="I836" i="7"/>
  <c r="H167" i="2"/>
  <c r="J476" i="7"/>
  <c r="J480" i="7" s="1"/>
  <c r="L1332" i="7"/>
  <c r="K475" i="7"/>
  <c r="L467" i="7" s="1"/>
  <c r="L473" i="7" s="1"/>
  <c r="I764" i="7"/>
  <c r="I770" i="7"/>
  <c r="I1305" i="7"/>
  <c r="I1314" i="7"/>
  <c r="I1308" i="7"/>
  <c r="K363" i="7"/>
  <c r="K364" i="7" s="1"/>
  <c r="L360" i="7"/>
  <c r="L362" i="7" s="1"/>
  <c r="J446" i="7"/>
  <c r="J450" i="7" s="1"/>
  <c r="K437" i="7"/>
  <c r="K448" i="7" s="1"/>
  <c r="K415" i="7"/>
  <c r="L407" i="7" s="1"/>
  <c r="L413" i="7" s="1"/>
  <c r="K418" i="7"/>
  <c r="K419" i="7" s="1"/>
  <c r="J893" i="7"/>
  <c r="K885" i="7" s="1"/>
  <c r="J896" i="7"/>
  <c r="J897" i="7" s="1"/>
  <c r="J891" i="7"/>
  <c r="J863" i="7"/>
  <c r="J866" i="7"/>
  <c r="J867" i="7" s="1"/>
  <c r="J861" i="7"/>
  <c r="K347" i="7"/>
  <c r="K348" i="7" s="1"/>
  <c r="L890" i="7"/>
  <c r="H1340" i="7"/>
  <c r="H1352" i="7" s="1"/>
  <c r="N18" i="7"/>
  <c r="N20" i="7"/>
  <c r="G519" i="7"/>
  <c r="G528" i="7" s="1"/>
  <c r="G943" i="7"/>
  <c r="G76" i="5"/>
  <c r="G61" i="6" s="1"/>
  <c r="G518" i="7"/>
  <c r="E14" i="2"/>
  <c r="E17" i="2" s="1"/>
  <c r="E201" i="10" s="1"/>
  <c r="H934" i="7"/>
  <c r="H941" i="7" s="1"/>
  <c r="H31" i="7"/>
  <c r="H38" i="7" s="1"/>
  <c r="H39" i="7" s="1"/>
  <c r="M99" i="27"/>
  <c r="L250" i="32"/>
  <c r="K248" i="32"/>
  <c r="M103" i="27"/>
  <c r="M417" i="1"/>
  <c r="M374" i="25"/>
  <c r="M364" i="26"/>
  <c r="M356" i="26"/>
  <c r="M348" i="26"/>
  <c r="M360" i="26"/>
  <c r="M352" i="26"/>
  <c r="M413" i="1"/>
  <c r="M370" i="25"/>
  <c r="M425" i="1"/>
  <c r="M362" i="25"/>
  <c r="M429" i="1"/>
  <c r="M421" i="1"/>
  <c r="H984" i="7"/>
  <c r="L228" i="33"/>
  <c r="L235" i="33"/>
  <c r="L242" i="33"/>
  <c r="L226" i="34"/>
  <c r="L233" i="34"/>
  <c r="L219" i="34"/>
  <c r="L256" i="32"/>
  <c r="L251" i="32"/>
  <c r="L243" i="32"/>
  <c r="L249" i="32"/>
  <c r="L242" i="32"/>
  <c r="M138" i="33"/>
  <c r="M137" i="32"/>
  <c r="M137" i="34"/>
  <c r="M137" i="10"/>
  <c r="G962" i="7"/>
  <c r="G1001" i="7"/>
  <c r="H997" i="7" s="1"/>
  <c r="M143" i="34"/>
  <c r="G43" i="7"/>
  <c r="E168" i="5"/>
  <c r="M1385" i="7"/>
  <c r="M1387" i="7" s="1"/>
  <c r="M1173" i="7"/>
  <c r="L171" i="6"/>
  <c r="L164" i="6"/>
  <c r="K20" i="2"/>
  <c r="K29" i="6"/>
  <c r="L155" i="2"/>
  <c r="L165" i="6" s="1"/>
  <c r="L168" i="2"/>
  <c r="L173" i="6" s="1"/>
  <c r="L173" i="2"/>
  <c r="L174" i="6" s="1"/>
  <c r="L187" i="34" s="1"/>
  <c r="K30" i="6"/>
  <c r="K33" i="2"/>
  <c r="K38" i="6" s="1"/>
  <c r="M173" i="33"/>
  <c r="M186" i="32"/>
  <c r="M132" i="32"/>
  <c r="M495" i="7"/>
  <c r="M497" i="7" s="1"/>
  <c r="M286" i="7"/>
  <c r="L74" i="6"/>
  <c r="L65" i="2"/>
  <c r="L75" i="6" s="1"/>
  <c r="L78" i="2"/>
  <c r="L83" i="6" s="1"/>
  <c r="L83" i="2"/>
  <c r="L84" i="6" s="1"/>
  <c r="L210" i="32" s="1"/>
  <c r="M913" i="7"/>
  <c r="M915" i="7" s="1"/>
  <c r="M704" i="7"/>
  <c r="L119" i="6"/>
  <c r="L110" i="2"/>
  <c r="L120" i="6" s="1"/>
  <c r="L128" i="2"/>
  <c r="L129" i="6" s="1"/>
  <c r="L196" i="33" s="1"/>
  <c r="L123" i="2"/>
  <c r="L128" i="6" s="1"/>
  <c r="H989" i="7"/>
  <c r="H990" i="7" s="1"/>
  <c r="G1007" i="7"/>
  <c r="G1023" i="7"/>
  <c r="G1016" i="7"/>
  <c r="G1017" i="7"/>
  <c r="I981" i="7"/>
  <c r="I982" i="7" s="1"/>
  <c r="I989" i="7" s="1"/>
  <c r="G49" i="7"/>
  <c r="M378" i="25"/>
  <c r="M366" i="25"/>
  <c r="G123" i="7"/>
  <c r="H111" i="7"/>
  <c r="H118" i="7" s="1"/>
  <c r="G107" i="7"/>
  <c r="H94" i="7"/>
  <c r="G56" i="7"/>
  <c r="M101" i="7"/>
  <c r="M117" i="7"/>
  <c r="M37" i="7"/>
  <c r="G59" i="7"/>
  <c r="H46" i="7"/>
  <c r="H63" i="7"/>
  <c r="H70" i="7" s="1"/>
  <c r="H533" i="7"/>
  <c r="H535" i="7" s="1"/>
  <c r="H585" i="7"/>
  <c r="G592" i="7"/>
  <c r="H576" i="7"/>
  <c r="I563" i="7"/>
  <c r="H582" i="7"/>
  <c r="H566" i="7"/>
  <c r="H548" i="7"/>
  <c r="H555" i="7" s="1"/>
  <c r="H597" i="7"/>
  <c r="H599" i="7" s="1"/>
  <c r="H573" i="7"/>
  <c r="H583" i="7"/>
  <c r="H587" i="7"/>
  <c r="H78" i="7"/>
  <c r="H969" i="7"/>
  <c r="H951" i="7"/>
  <c r="H953" i="7" s="1"/>
  <c r="L233" i="10"/>
  <c r="L226" i="10"/>
  <c r="M144" i="6"/>
  <c r="M144" i="2"/>
  <c r="L228" i="10"/>
  <c r="M99" i="6"/>
  <c r="M99" i="2"/>
  <c r="M54" i="6"/>
  <c r="M53" i="5"/>
  <c r="M54" i="2"/>
  <c r="L219" i="10"/>
  <c r="M132" i="10"/>
  <c r="M9" i="6"/>
  <c r="M9" i="5"/>
  <c r="M9" i="2"/>
  <c r="N19" i="7"/>
  <c r="N17" i="7"/>
  <c r="N16" i="7"/>
  <c r="N21" i="7"/>
  <c r="O14" i="7"/>
  <c r="P15" i="7" s="1"/>
  <c r="M129" i="1"/>
  <c r="P171" i="10"/>
  <c r="P156" i="10"/>
  <c r="P163" i="10"/>
  <c r="P181" i="10"/>
  <c r="P200" i="10"/>
  <c r="P150" i="10"/>
  <c r="P177" i="10"/>
  <c r="P191" i="10"/>
  <c r="P195" i="10"/>
  <c r="P207" i="10"/>
  <c r="P212" i="10"/>
  <c r="P231" i="10"/>
  <c r="P143" i="10"/>
  <c r="P217" i="10"/>
  <c r="P224" i="10"/>
  <c r="P6" i="7"/>
  <c r="Q5" i="7" s="1"/>
  <c r="O12" i="7"/>
  <c r="O13" i="7" s="1"/>
  <c r="H1230" i="7" l="1"/>
  <c r="K39" i="6"/>
  <c r="K186" i="10" s="1"/>
  <c r="N35" i="27"/>
  <c r="H992" i="7"/>
  <c r="I987" i="7" s="1"/>
  <c r="M1332" i="7"/>
  <c r="L347" i="7"/>
  <c r="L348" i="7" s="1"/>
  <c r="N240" i="26"/>
  <c r="N141" i="5"/>
  <c r="N132" i="34"/>
  <c r="N97" i="5"/>
  <c r="N132" i="33"/>
  <c r="N254" i="25"/>
  <c r="M412" i="7"/>
  <c r="K386" i="7"/>
  <c r="L38" i="2"/>
  <c r="N1440" i="7"/>
  <c r="N1491" i="7"/>
  <c r="M1492" i="7"/>
  <c r="N1490" i="7" s="1"/>
  <c r="M890" i="7"/>
  <c r="N305" i="1"/>
  <c r="N444" i="7"/>
  <c r="N448" i="7"/>
  <c r="N449" i="7" s="1"/>
  <c r="K416" i="7"/>
  <c r="K420" i="7" s="1"/>
  <c r="K476" i="7"/>
  <c r="K480" i="7" s="1"/>
  <c r="N626" i="7"/>
  <c r="N155" i="33" s="1"/>
  <c r="N625" i="7"/>
  <c r="N154" i="33" s="1"/>
  <c r="N624" i="7"/>
  <c r="N153" i="33" s="1"/>
  <c r="M807" i="7"/>
  <c r="M819" i="7" s="1"/>
  <c r="M1279" i="7"/>
  <c r="M1291" i="7" s="1"/>
  <c r="M382" i="7"/>
  <c r="M346" i="7"/>
  <c r="M347" i="7" s="1"/>
  <c r="M348" i="7" s="1"/>
  <c r="M837" i="7"/>
  <c r="M849" i="7" s="1"/>
  <c r="H169" i="2"/>
  <c r="I807" i="7"/>
  <c r="I819" i="7" s="1"/>
  <c r="I818" i="7"/>
  <c r="N1364" i="7"/>
  <c r="N1376" i="7" s="1"/>
  <c r="N1368" i="7"/>
  <c r="N1337" i="7"/>
  <c r="N1349" i="7" s="1"/>
  <c r="N1367" i="7"/>
  <c r="N1379" i="7" s="1"/>
  <c r="N1356" i="7"/>
  <c r="N1362" i="7" s="1"/>
  <c r="N1334" i="7"/>
  <c r="N1346" i="7" s="1"/>
  <c r="N1308" i="7"/>
  <c r="N1320" i="7" s="1"/>
  <c r="N1277" i="7"/>
  <c r="N1289" i="7" s="1"/>
  <c r="N1249" i="7"/>
  <c r="N1217" i="7"/>
  <c r="N1326" i="7"/>
  <c r="N1278" i="7"/>
  <c r="N1290" i="7" s="1"/>
  <c r="N1219" i="7"/>
  <c r="N1304" i="7"/>
  <c r="N1316" i="7" s="1"/>
  <c r="N1235" i="7"/>
  <c r="N1243" i="7" s="1"/>
  <c r="N1338" i="7"/>
  <c r="N1350" i="7" s="1"/>
  <c r="N1296" i="7"/>
  <c r="N1302" i="7" s="1"/>
  <c r="N1251" i="7"/>
  <c r="N1259" i="7" s="1"/>
  <c r="N1233" i="7"/>
  <c r="N1307" i="7"/>
  <c r="N1319" i="7" s="1"/>
  <c r="N1274" i="7"/>
  <c r="N1286" i="7" s="1"/>
  <c r="N1266" i="7"/>
  <c r="N1272" i="7" s="1"/>
  <c r="N895" i="7"/>
  <c r="N854" i="7"/>
  <c r="N835" i="7"/>
  <c r="N847" i="7" s="1"/>
  <c r="N892" i="7"/>
  <c r="N896" i="7"/>
  <c r="N897" i="7" s="1"/>
  <c r="N865" i="7"/>
  <c r="N832" i="7"/>
  <c r="N844" i="7" s="1"/>
  <c r="N836" i="7"/>
  <c r="N848" i="7" s="1"/>
  <c r="N824" i="7"/>
  <c r="N830" i="7" s="1"/>
  <c r="N805" i="7"/>
  <c r="N817" i="7" s="1"/>
  <c r="N763" i="7"/>
  <c r="N802" i="7"/>
  <c r="N814" i="7" s="1"/>
  <c r="N806" i="7"/>
  <c r="N818" i="7" s="1"/>
  <c r="N794" i="7"/>
  <c r="N761" i="7"/>
  <c r="N745" i="7"/>
  <c r="N866" i="7"/>
  <c r="N867" i="7" s="1"/>
  <c r="N779" i="7"/>
  <c r="N787" i="7" s="1"/>
  <c r="N747" i="7"/>
  <c r="N755" i="7" s="1"/>
  <c r="N777" i="7"/>
  <c r="N884" i="7"/>
  <c r="N862" i="7"/>
  <c r="L363" i="7"/>
  <c r="L364" i="7" s="1"/>
  <c r="M360" i="7"/>
  <c r="M362" i="7" s="1"/>
  <c r="N360" i="7" s="1"/>
  <c r="I1306" i="7"/>
  <c r="J1297" i="7"/>
  <c r="J1303" i="7" s="1"/>
  <c r="I1317" i="7"/>
  <c r="L475" i="7"/>
  <c r="M467" i="7" s="1"/>
  <c r="M473" i="7" s="1"/>
  <c r="I837" i="7"/>
  <c r="I849" i="7" s="1"/>
  <c r="I848" i="7"/>
  <c r="I1244" i="7"/>
  <c r="J1234" i="7"/>
  <c r="I1287" i="7"/>
  <c r="J1267" i="7"/>
  <c r="J1273" i="7" s="1"/>
  <c r="I332" i="7"/>
  <c r="I1339" i="7"/>
  <c r="I1351" i="7" s="1"/>
  <c r="I1350" i="7"/>
  <c r="J894" i="7"/>
  <c r="J898" i="7" s="1"/>
  <c r="M479" i="7"/>
  <c r="M1369" i="7"/>
  <c r="M1381" i="7" s="1"/>
  <c r="I1366" i="7"/>
  <c r="J1357" i="7"/>
  <c r="I1377" i="7"/>
  <c r="J746" i="7"/>
  <c r="I756" i="7"/>
  <c r="J864" i="7"/>
  <c r="J868" i="7" s="1"/>
  <c r="K855" i="7"/>
  <c r="K893" i="7"/>
  <c r="L885" i="7" s="1"/>
  <c r="K896" i="7"/>
  <c r="K897" i="7" s="1"/>
  <c r="K891" i="7"/>
  <c r="K449" i="7"/>
  <c r="K445" i="7"/>
  <c r="L437" i="7" s="1"/>
  <c r="L448" i="7" s="1"/>
  <c r="K443" i="7"/>
  <c r="I1309" i="7"/>
  <c r="I1321" i="7" s="1"/>
  <c r="I1320" i="7"/>
  <c r="I765" i="7"/>
  <c r="I772" i="7"/>
  <c r="J762" i="7"/>
  <c r="I834" i="7"/>
  <c r="J825" i="7"/>
  <c r="J831" i="7" s="1"/>
  <c r="I845" i="7"/>
  <c r="I1253" i="7"/>
  <c r="J1250" i="7"/>
  <c r="I1260" i="7"/>
  <c r="I1245" i="7"/>
  <c r="I1238" i="7"/>
  <c r="I1246" i="7" s="1"/>
  <c r="I1279" i="7"/>
  <c r="I1291" i="7" s="1"/>
  <c r="I1290" i="7"/>
  <c r="I1369" i="7"/>
  <c r="I1381" i="7" s="1"/>
  <c r="I1380" i="7"/>
  <c r="J328" i="7"/>
  <c r="L388" i="7"/>
  <c r="L389" i="7" s="1"/>
  <c r="M800" i="7"/>
  <c r="I749" i="7"/>
  <c r="M1309" i="7"/>
  <c r="M1321" i="7" s="1"/>
  <c r="N474" i="7"/>
  <c r="N478" i="7"/>
  <c r="N384" i="7"/>
  <c r="N466" i="7"/>
  <c r="N417" i="7"/>
  <c r="N414" i="7"/>
  <c r="N418" i="7"/>
  <c r="N419" i="7" s="1"/>
  <c r="N406" i="7"/>
  <c r="N468" i="7"/>
  <c r="N436" i="7"/>
  <c r="N388" i="7"/>
  <c r="N389" i="7" s="1"/>
  <c r="N477" i="7"/>
  <c r="N387" i="7"/>
  <c r="N359" i="7"/>
  <c r="N327" i="7"/>
  <c r="N376" i="7"/>
  <c r="N361" i="7"/>
  <c r="N345" i="7"/>
  <c r="N343" i="7"/>
  <c r="N329" i="7"/>
  <c r="J1218" i="7"/>
  <c r="I1228" i="7"/>
  <c r="I1395" i="7" s="1"/>
  <c r="I1396" i="7" s="1"/>
  <c r="L418" i="7"/>
  <c r="L419" i="7" s="1"/>
  <c r="I1288" i="7"/>
  <c r="I804" i="7"/>
  <c r="I815" i="7"/>
  <c r="J795" i="7"/>
  <c r="I781" i="7"/>
  <c r="J778" i="7"/>
  <c r="I788" i="7"/>
  <c r="I1336" i="7"/>
  <c r="J1327" i="7"/>
  <c r="I1347" i="7"/>
  <c r="I1221" i="7"/>
  <c r="M860" i="7"/>
  <c r="M442" i="7"/>
  <c r="H1171" i="7"/>
  <c r="M1339" i="7"/>
  <c r="M1351" i="7" s="1"/>
  <c r="O20" i="7"/>
  <c r="O18" i="7"/>
  <c r="G109" i="2"/>
  <c r="G111" i="2" s="1"/>
  <c r="H515" i="7"/>
  <c r="H516" i="7" s="1"/>
  <c r="H523" i="7" s="1"/>
  <c r="G1010" i="7"/>
  <c r="E22" i="2"/>
  <c r="E1452" i="7" s="1"/>
  <c r="H32" i="7"/>
  <c r="H935" i="7"/>
  <c r="N99" i="27"/>
  <c r="L248" i="32"/>
  <c r="M250" i="32"/>
  <c r="N103" i="27"/>
  <c r="N348" i="26"/>
  <c r="N374" i="25"/>
  <c r="N429" i="1"/>
  <c r="N370" i="25"/>
  <c r="N360" i="26"/>
  <c r="N364" i="26"/>
  <c r="N421" i="1"/>
  <c r="N425" i="1"/>
  <c r="N352" i="26"/>
  <c r="N362" i="25"/>
  <c r="N413" i="1"/>
  <c r="N356" i="26"/>
  <c r="N417" i="1"/>
  <c r="M228" i="33"/>
  <c r="M235" i="33"/>
  <c r="M242" i="33"/>
  <c r="M251" i="32"/>
  <c r="M243" i="32"/>
  <c r="M249" i="32"/>
  <c r="M242" i="32"/>
  <c r="M256" i="32"/>
  <c r="M226" i="34"/>
  <c r="M233" i="34"/>
  <c r="M219" i="34"/>
  <c r="N137" i="34"/>
  <c r="N137" i="10"/>
  <c r="N138" i="33"/>
  <c r="N137" i="32"/>
  <c r="N143" i="34"/>
  <c r="I983" i="7"/>
  <c r="I984" i="7" s="1"/>
  <c r="N1173" i="7"/>
  <c r="N1385" i="7"/>
  <c r="N1387" i="7" s="1"/>
  <c r="M171" i="6"/>
  <c r="M164" i="6"/>
  <c r="E170" i="5"/>
  <c r="E1180" i="7" s="1"/>
  <c r="M168" i="2"/>
  <c r="M173" i="6" s="1"/>
  <c r="M173" i="2"/>
  <c r="M174" i="6" s="1"/>
  <c r="M187" i="34" s="1"/>
  <c r="M155" i="2"/>
  <c r="M165" i="6" s="1"/>
  <c r="L29" i="6"/>
  <c r="L30" i="6"/>
  <c r="F19" i="2"/>
  <c r="F21" i="2" s="1"/>
  <c r="L33" i="2"/>
  <c r="L38" i="6" s="1"/>
  <c r="L20" i="2"/>
  <c r="N186" i="32"/>
  <c r="N173" i="33"/>
  <c r="G64" i="2"/>
  <c r="N132" i="32"/>
  <c r="N495" i="7"/>
  <c r="N497" i="7" s="1"/>
  <c r="N286" i="7"/>
  <c r="M83" i="2"/>
  <c r="M84" i="6" s="1"/>
  <c r="M210" i="32" s="1"/>
  <c r="M65" i="2"/>
  <c r="M78" i="2"/>
  <c r="M83" i="6" s="1"/>
  <c r="M74" i="6"/>
  <c r="N704" i="7"/>
  <c r="N913" i="7"/>
  <c r="N915" i="7" s="1"/>
  <c r="M110" i="2"/>
  <c r="M120" i="6" s="1"/>
  <c r="M119" i="6"/>
  <c r="M123" i="2"/>
  <c r="M128" i="6" s="1"/>
  <c r="M128" i="2"/>
  <c r="M129" i="6" s="1"/>
  <c r="M196" i="33" s="1"/>
  <c r="G946" i="7"/>
  <c r="G1026" i="7"/>
  <c r="H1013" i="7"/>
  <c r="H998" i="7"/>
  <c r="H1005" i="7" s="1"/>
  <c r="I965" i="7"/>
  <c r="I966" i="7" s="1"/>
  <c r="I973" i="7" s="1"/>
  <c r="H978" i="7"/>
  <c r="N378" i="25"/>
  <c r="N366" i="25"/>
  <c r="H40" i="7"/>
  <c r="N101" i="7"/>
  <c r="N117" i="7"/>
  <c r="N37" i="7"/>
  <c r="H79" i="7"/>
  <c r="H86" i="7" s="1"/>
  <c r="H71" i="7"/>
  <c r="H73" i="7" s="1"/>
  <c r="I68" i="7" s="1"/>
  <c r="H95" i="7"/>
  <c r="H102" i="7" s="1"/>
  <c r="H41" i="7"/>
  <c r="I36" i="7" s="1"/>
  <c r="H47" i="7"/>
  <c r="H54" i="7" s="1"/>
  <c r="H64" i="7"/>
  <c r="H119" i="7"/>
  <c r="H112" i="7"/>
  <c r="H534" i="7"/>
  <c r="I595" i="7"/>
  <c r="H549" i="7"/>
  <c r="H550" i="7" s="1"/>
  <c r="I579" i="7"/>
  <c r="H556" i="7"/>
  <c r="H558" i="7" s="1"/>
  <c r="I553" i="7" s="1"/>
  <c r="I564" i="7"/>
  <c r="I571" i="7" s="1"/>
  <c r="H598" i="7"/>
  <c r="I531" i="7"/>
  <c r="H952" i="7"/>
  <c r="H991" i="7"/>
  <c r="M226" i="10"/>
  <c r="M219" i="10"/>
  <c r="M228" i="10"/>
  <c r="M233" i="10"/>
  <c r="N99" i="6"/>
  <c r="N99" i="2"/>
  <c r="N54" i="6"/>
  <c r="N53" i="5"/>
  <c r="N54" i="2"/>
  <c r="N132" i="10"/>
  <c r="N9" i="6"/>
  <c r="N9" i="5"/>
  <c r="N9" i="2"/>
  <c r="N144" i="6"/>
  <c r="N144" i="2"/>
  <c r="O17" i="7"/>
  <c r="O16" i="7"/>
  <c r="O21" i="7"/>
  <c r="O19" i="7"/>
  <c r="Q6" i="7"/>
  <c r="R5" i="7" s="1"/>
  <c r="Q171" i="10"/>
  <c r="Q177" i="10"/>
  <c r="Q217" i="10"/>
  <c r="Q156" i="10"/>
  <c r="Q143" i="10"/>
  <c r="Q163" i="10"/>
  <c r="Q181" i="10"/>
  <c r="Q195" i="10"/>
  <c r="Q200" i="10"/>
  <c r="Q212" i="10"/>
  <c r="Q224" i="10"/>
  <c r="Q150" i="10"/>
  <c r="Q191" i="10"/>
  <c r="Q207" i="10"/>
  <c r="Q231" i="10"/>
  <c r="N129" i="1"/>
  <c r="P12" i="7"/>
  <c r="P13" i="7" s="1"/>
  <c r="P14" i="7"/>
  <c r="Q15" i="7" s="1"/>
  <c r="O35" i="27" l="1"/>
  <c r="L39" i="6"/>
  <c r="L186" i="10" s="1"/>
  <c r="J1394" i="7"/>
  <c r="I176" i="2"/>
  <c r="H994" i="7"/>
  <c r="N1332" i="7"/>
  <c r="N412" i="7"/>
  <c r="O97" i="5"/>
  <c r="O132" i="33"/>
  <c r="O254" i="25"/>
  <c r="O240" i="26"/>
  <c r="O141" i="5"/>
  <c r="O132" i="34"/>
  <c r="M38" i="2"/>
  <c r="N860" i="7"/>
  <c r="N1492" i="7"/>
  <c r="O1490" i="7" s="1"/>
  <c r="O1440" i="7"/>
  <c r="O1491" i="7"/>
  <c r="N382" i="7"/>
  <c r="N837" i="7"/>
  <c r="N849" i="7" s="1"/>
  <c r="E1182" i="7"/>
  <c r="E1186" i="7"/>
  <c r="E209" i="34" s="1"/>
  <c r="E1184" i="7"/>
  <c r="E208" i="34" s="1"/>
  <c r="O305" i="1"/>
  <c r="N362" i="7"/>
  <c r="O360" i="7" s="1"/>
  <c r="O448" i="7"/>
  <c r="O449" i="7" s="1"/>
  <c r="O444" i="7"/>
  <c r="I1280" i="7"/>
  <c r="I1292" i="7" s="1"/>
  <c r="N442" i="7"/>
  <c r="N344" i="7"/>
  <c r="N346" i="7" s="1"/>
  <c r="O344" i="7" s="1"/>
  <c r="N800" i="7"/>
  <c r="O626" i="7"/>
  <c r="O155" i="33" s="1"/>
  <c r="O625" i="7"/>
  <c r="O154" i="33" s="1"/>
  <c r="O624" i="7"/>
  <c r="O153" i="33" s="1"/>
  <c r="N807" i="7"/>
  <c r="N819" i="7" s="1"/>
  <c r="I757" i="7"/>
  <c r="I750" i="7"/>
  <c r="I758" i="7" s="1"/>
  <c r="O466" i="7"/>
  <c r="O417" i="7"/>
  <c r="O414" i="7"/>
  <c r="O418" i="7"/>
  <c r="O419" i="7" s="1"/>
  <c r="O406" i="7"/>
  <c r="O477" i="7"/>
  <c r="O436" i="7"/>
  <c r="O384" i="7"/>
  <c r="O474" i="7"/>
  <c r="O387" i="7"/>
  <c r="O478" i="7"/>
  <c r="O388" i="7"/>
  <c r="O389" i="7" s="1"/>
  <c r="O468" i="7"/>
  <c r="O376" i="7"/>
  <c r="O361" i="7"/>
  <c r="O345" i="7"/>
  <c r="O343" i="7"/>
  <c r="O329" i="7"/>
  <c r="O359" i="7"/>
  <c r="O327" i="7"/>
  <c r="I1229" i="7"/>
  <c r="I1222" i="7"/>
  <c r="I1348" i="7"/>
  <c r="I1340" i="7"/>
  <c r="I1352" i="7" s="1"/>
  <c r="J812" i="7"/>
  <c r="J803" i="7"/>
  <c r="J804" i="7" s="1"/>
  <c r="J806" i="7"/>
  <c r="J801" i="7"/>
  <c r="J1220" i="7"/>
  <c r="J1221" i="7" s="1"/>
  <c r="K863" i="7"/>
  <c r="L855" i="7" s="1"/>
  <c r="K866" i="7"/>
  <c r="K867" i="7" s="1"/>
  <c r="K861" i="7"/>
  <c r="J1242" i="7"/>
  <c r="J1236" i="7"/>
  <c r="I1318" i="7"/>
  <c r="I1310" i="7"/>
  <c r="I1322" i="7" s="1"/>
  <c r="L476" i="7"/>
  <c r="N1339" i="7"/>
  <c r="N1351" i="7" s="1"/>
  <c r="N1279" i="7"/>
  <c r="N1291" i="7" s="1"/>
  <c r="M363" i="7"/>
  <c r="M364" i="7" s="1"/>
  <c r="I782" i="7"/>
  <c r="I790" i="7" s="1"/>
  <c r="I789" i="7"/>
  <c r="I1254" i="7"/>
  <c r="I1262" i="7" s="1"/>
  <c r="I1261" i="7"/>
  <c r="J764" i="7"/>
  <c r="J765" i="7" s="1"/>
  <c r="L896" i="7"/>
  <c r="L897" i="7" s="1"/>
  <c r="L891" i="7"/>
  <c r="J748" i="7"/>
  <c r="J754" i="7"/>
  <c r="J1305" i="7"/>
  <c r="J1314" i="7"/>
  <c r="J1308" i="7"/>
  <c r="O1337" i="7"/>
  <c r="O1349" i="7" s="1"/>
  <c r="O1334" i="7"/>
  <c r="O1346" i="7" s="1"/>
  <c r="O1338" i="7"/>
  <c r="O1350" i="7" s="1"/>
  <c r="O1326" i="7"/>
  <c r="O1307" i="7"/>
  <c r="O1319" i="7" s="1"/>
  <c r="O1296" i="7"/>
  <c r="O1302" i="7" s="1"/>
  <c r="O1277" i="7"/>
  <c r="O1289" i="7" s="1"/>
  <c r="O1364" i="7"/>
  <c r="O1376" i="7" s="1"/>
  <c r="O1368" i="7"/>
  <c r="O1380" i="7" s="1"/>
  <c r="O1367" i="7"/>
  <c r="O1379" i="7" s="1"/>
  <c r="O1278" i="7"/>
  <c r="O1290" i="7" s="1"/>
  <c r="O1219" i="7"/>
  <c r="O1304" i="7"/>
  <c r="O1316" i="7" s="1"/>
  <c r="O1235" i="7"/>
  <c r="O1243" i="7" s="1"/>
  <c r="O1356" i="7"/>
  <c r="O1362" i="7" s="1"/>
  <c r="O1274" i="7"/>
  <c r="O1286" i="7" s="1"/>
  <c r="O1266" i="7"/>
  <c r="O1272" i="7" s="1"/>
  <c r="O1251" i="7"/>
  <c r="O1259" i="7" s="1"/>
  <c r="O1233" i="7"/>
  <c r="O1217" i="7"/>
  <c r="O1308" i="7"/>
  <c r="O1320" i="7" s="1"/>
  <c r="O1249" i="7"/>
  <c r="J786" i="7"/>
  <c r="J780" i="7"/>
  <c r="I816" i="7"/>
  <c r="I808" i="7"/>
  <c r="I820" i="7" s="1"/>
  <c r="J330" i="7"/>
  <c r="J331" i="7" s="1"/>
  <c r="J1252" i="7"/>
  <c r="J1258" i="7"/>
  <c r="I846" i="7"/>
  <c r="I838" i="7"/>
  <c r="I850" i="7" s="1"/>
  <c r="I1378" i="7"/>
  <c r="I1370" i="7"/>
  <c r="I1382" i="7" s="1"/>
  <c r="J1284" i="7"/>
  <c r="J1275" i="7"/>
  <c r="J1276" i="7" s="1"/>
  <c r="J1278" i="7"/>
  <c r="N1369" i="7"/>
  <c r="N1381" i="7" s="1"/>
  <c r="N1380" i="7"/>
  <c r="N479" i="7"/>
  <c r="K446" i="7"/>
  <c r="K450" i="7" s="1"/>
  <c r="N890" i="7"/>
  <c r="J1335" i="7"/>
  <c r="J1336" i="7" s="1"/>
  <c r="J1344" i="7"/>
  <c r="J1338" i="7"/>
  <c r="J1333" i="7"/>
  <c r="O895" i="7"/>
  <c r="O854" i="7"/>
  <c r="O835" i="7"/>
  <c r="O847" i="7" s="1"/>
  <c r="O892" i="7"/>
  <c r="O896" i="7"/>
  <c r="O897" i="7" s="1"/>
  <c r="O865" i="7"/>
  <c r="O832" i="7"/>
  <c r="O844" i="7" s="1"/>
  <c r="O836" i="7"/>
  <c r="O848" i="7" s="1"/>
  <c r="O824" i="7"/>
  <c r="O830" i="7" s="1"/>
  <c r="O884" i="7"/>
  <c r="O862" i="7"/>
  <c r="O866" i="7"/>
  <c r="O867" i="7" s="1"/>
  <c r="O802" i="7"/>
  <c r="O814" i="7" s="1"/>
  <c r="O806" i="7"/>
  <c r="O818" i="7" s="1"/>
  <c r="O794" i="7"/>
  <c r="O761" i="7"/>
  <c r="O745" i="7"/>
  <c r="O779" i="7"/>
  <c r="O787" i="7" s="1"/>
  <c r="O747" i="7"/>
  <c r="O755" i="7" s="1"/>
  <c r="O777" i="7"/>
  <c r="O763" i="7"/>
  <c r="O805" i="7"/>
  <c r="O817" i="7" s="1"/>
  <c r="J842" i="7"/>
  <c r="J833" i="7"/>
  <c r="J834" i="7" s="1"/>
  <c r="J836" i="7"/>
  <c r="I773" i="7"/>
  <c r="I766" i="7"/>
  <c r="I774" i="7" s="1"/>
  <c r="L449" i="7"/>
  <c r="L443" i="7"/>
  <c r="J1374" i="7"/>
  <c r="J1365" i="7"/>
  <c r="J1366" i="7" s="1"/>
  <c r="J1368" i="7"/>
  <c r="J1363" i="7"/>
  <c r="M475" i="7"/>
  <c r="N467" i="7" s="1"/>
  <c r="N473" i="7" s="1"/>
  <c r="K894" i="7"/>
  <c r="K898" i="7" s="1"/>
  <c r="N1309" i="7"/>
  <c r="N1321" i="7" s="1"/>
  <c r="P18" i="7"/>
  <c r="P20" i="7"/>
  <c r="H33" i="7"/>
  <c r="H937" i="7"/>
  <c r="H936" i="7"/>
  <c r="H517" i="7"/>
  <c r="H34" i="7"/>
  <c r="H43" i="7" s="1"/>
  <c r="O99" i="27"/>
  <c r="N250" i="32"/>
  <c r="M248" i="32"/>
  <c r="O103" i="27"/>
  <c r="O413" i="1"/>
  <c r="O429" i="1"/>
  <c r="O352" i="26"/>
  <c r="O370" i="25"/>
  <c r="O348" i="26"/>
  <c r="O356" i="26"/>
  <c r="O421" i="1"/>
  <c r="O360" i="26"/>
  <c r="O374" i="25"/>
  <c r="O417" i="1"/>
  <c r="O362" i="25"/>
  <c r="O425" i="1"/>
  <c r="O364" i="26"/>
  <c r="N249" i="32"/>
  <c r="N242" i="32"/>
  <c r="N256" i="32"/>
  <c r="N251" i="32"/>
  <c r="N243" i="32"/>
  <c r="N228" i="33"/>
  <c r="N235" i="33"/>
  <c r="N242" i="33"/>
  <c r="N233" i="34"/>
  <c r="N219" i="34"/>
  <c r="N226" i="34"/>
  <c r="O137" i="10"/>
  <c r="O138" i="33"/>
  <c r="O137" i="32"/>
  <c r="O137" i="34"/>
  <c r="I985" i="7"/>
  <c r="O143" i="34"/>
  <c r="G154" i="2"/>
  <c r="G156" i="2" s="1"/>
  <c r="O1173" i="7"/>
  <c r="O1385" i="7"/>
  <c r="O1387" i="7" s="1"/>
  <c r="N171" i="6"/>
  <c r="N164" i="6"/>
  <c r="N168" i="2"/>
  <c r="N173" i="6" s="1"/>
  <c r="N173" i="2"/>
  <c r="N174" i="6" s="1"/>
  <c r="N187" i="34" s="1"/>
  <c r="N155" i="2"/>
  <c r="N165" i="6" s="1"/>
  <c r="M20" i="2"/>
  <c r="M29" i="6"/>
  <c r="G66" i="2"/>
  <c r="M33" i="2"/>
  <c r="M38" i="6" s="1"/>
  <c r="M75" i="6"/>
  <c r="M30" i="6" s="1"/>
  <c r="O186" i="32"/>
  <c r="O173" i="33"/>
  <c r="N74" i="6"/>
  <c r="N65" i="2"/>
  <c r="N75" i="6" s="1"/>
  <c r="N78" i="2"/>
  <c r="N83" i="6" s="1"/>
  <c r="N83" i="2"/>
  <c r="O132" i="32"/>
  <c r="O495" i="7"/>
  <c r="O497" i="7" s="1"/>
  <c r="O286" i="7"/>
  <c r="O913" i="7"/>
  <c r="O915" i="7" s="1"/>
  <c r="O704" i="7"/>
  <c r="N110" i="2"/>
  <c r="N120" i="6" s="1"/>
  <c r="N119" i="6"/>
  <c r="N123" i="2"/>
  <c r="N128" i="6" s="1"/>
  <c r="N128" i="2"/>
  <c r="N129" i="6" s="1"/>
  <c r="N196" i="33" s="1"/>
  <c r="H1014" i="7"/>
  <c r="H1021" i="7" s="1"/>
  <c r="H999" i="7"/>
  <c r="I565" i="7"/>
  <c r="I566" i="7" s="1"/>
  <c r="O366" i="25"/>
  <c r="O378" i="25"/>
  <c r="H48" i="7"/>
  <c r="H96" i="7"/>
  <c r="H98" i="7" s="1"/>
  <c r="I94" i="7" s="1"/>
  <c r="H120" i="7"/>
  <c r="H103" i="7"/>
  <c r="H105" i="7" s="1"/>
  <c r="I100" i="7" s="1"/>
  <c r="H80" i="7"/>
  <c r="H121" i="7"/>
  <c r="I116" i="7" s="1"/>
  <c r="H113" i="7"/>
  <c r="H72" i="7"/>
  <c r="O101" i="7"/>
  <c r="O117" i="7"/>
  <c r="O37" i="7"/>
  <c r="H65" i="7"/>
  <c r="H66" i="7"/>
  <c r="H87" i="7"/>
  <c r="H114" i="7"/>
  <c r="H557" i="7"/>
  <c r="I596" i="7"/>
  <c r="I603" i="7" s="1"/>
  <c r="I532" i="7"/>
  <c r="I539" i="7" s="1"/>
  <c r="I580" i="7"/>
  <c r="H551" i="7"/>
  <c r="N233" i="10"/>
  <c r="I967" i="7"/>
  <c r="I968" i="7" s="1"/>
  <c r="N228" i="10"/>
  <c r="N226" i="10"/>
  <c r="N219" i="10"/>
  <c r="O54" i="6"/>
  <c r="O53" i="5"/>
  <c r="O54" i="2"/>
  <c r="O132" i="10"/>
  <c r="O9" i="6"/>
  <c r="O9" i="5"/>
  <c r="O9" i="2"/>
  <c r="O144" i="6"/>
  <c r="O144" i="2"/>
  <c r="O99" i="6"/>
  <c r="O99" i="2"/>
  <c r="P16" i="7"/>
  <c r="P21" i="7"/>
  <c r="P19" i="7"/>
  <c r="P17" i="7"/>
  <c r="Q14" i="7"/>
  <c r="R15" i="7" s="1"/>
  <c r="R6" i="7"/>
  <c r="S5" i="7" s="1"/>
  <c r="O129" i="1"/>
  <c r="Q12" i="7"/>
  <c r="Q13" i="7" s="1"/>
  <c r="R171" i="10"/>
  <c r="R156" i="10"/>
  <c r="R177" i="10"/>
  <c r="R143" i="10"/>
  <c r="R163" i="10"/>
  <c r="R181" i="10"/>
  <c r="R200" i="10"/>
  <c r="R217" i="10"/>
  <c r="R224" i="10"/>
  <c r="R150" i="10"/>
  <c r="R191" i="10"/>
  <c r="R195" i="10"/>
  <c r="R207" i="10"/>
  <c r="R212" i="10"/>
  <c r="R231" i="10"/>
  <c r="I1230" i="7" l="1"/>
  <c r="I1171" i="7" s="1"/>
  <c r="P35" i="27"/>
  <c r="M39" i="6"/>
  <c r="M186" i="10" s="1"/>
  <c r="O1332" i="7"/>
  <c r="O1369" i="7"/>
  <c r="O1381" i="7" s="1"/>
  <c r="O412" i="7"/>
  <c r="P97" i="5"/>
  <c r="P132" i="33"/>
  <c r="P141" i="5"/>
  <c r="P132" i="34"/>
  <c r="P240" i="26"/>
  <c r="P254" i="25"/>
  <c r="N38" i="2"/>
  <c r="N363" i="7"/>
  <c r="N364" i="7" s="1"/>
  <c r="O807" i="7"/>
  <c r="O819" i="7" s="1"/>
  <c r="O382" i="7"/>
  <c r="O1492" i="7"/>
  <c r="P1490" i="7" s="1"/>
  <c r="N347" i="7"/>
  <c r="N348" i="7" s="1"/>
  <c r="P1491" i="7"/>
  <c r="P1440" i="7"/>
  <c r="P305" i="1"/>
  <c r="P448" i="7"/>
  <c r="P449" i="7" s="1"/>
  <c r="P444" i="7"/>
  <c r="O800" i="7"/>
  <c r="P625" i="7"/>
  <c r="P154" i="33" s="1"/>
  <c r="P624" i="7"/>
  <c r="P153" i="33" s="1"/>
  <c r="P626" i="7"/>
  <c r="P155" i="33" s="1"/>
  <c r="O837" i="7"/>
  <c r="O849" i="7" s="1"/>
  <c r="O1339" i="7"/>
  <c r="O1351" i="7" s="1"/>
  <c r="O1279" i="7"/>
  <c r="O1291" i="7" s="1"/>
  <c r="P414" i="7"/>
  <c r="P418" i="7"/>
  <c r="P419" i="7" s="1"/>
  <c r="P406" i="7"/>
  <c r="P477" i="7"/>
  <c r="P436" i="7"/>
  <c r="P474" i="7"/>
  <c r="P478" i="7"/>
  <c r="P466" i="7"/>
  <c r="P417" i="7"/>
  <c r="P387" i="7"/>
  <c r="P384" i="7"/>
  <c r="P388" i="7"/>
  <c r="P389" i="7" s="1"/>
  <c r="P468" i="7"/>
  <c r="P359" i="7"/>
  <c r="P327" i="7"/>
  <c r="P376" i="7"/>
  <c r="P361" i="7"/>
  <c r="P345" i="7"/>
  <c r="P343" i="7"/>
  <c r="P329" i="7"/>
  <c r="N475" i="7"/>
  <c r="O467" i="7" s="1"/>
  <c r="O473" i="7" s="1"/>
  <c r="J1348" i="7"/>
  <c r="L866" i="7"/>
  <c r="L867" i="7" s="1"/>
  <c r="L861" i="7"/>
  <c r="P892" i="7"/>
  <c r="P896" i="7"/>
  <c r="P897" i="7" s="1"/>
  <c r="P865" i="7"/>
  <c r="P832" i="7"/>
  <c r="P844" i="7" s="1"/>
  <c r="P836" i="7"/>
  <c r="P824" i="7"/>
  <c r="P830" i="7" s="1"/>
  <c r="P884" i="7"/>
  <c r="P862" i="7"/>
  <c r="P866" i="7"/>
  <c r="P867" i="7" s="1"/>
  <c r="P835" i="7"/>
  <c r="P847" i="7" s="1"/>
  <c r="P779" i="7"/>
  <c r="P787" i="7" s="1"/>
  <c r="P747" i="7"/>
  <c r="P755" i="7" s="1"/>
  <c r="P895" i="7"/>
  <c r="P854" i="7"/>
  <c r="P777" i="7"/>
  <c r="P805" i="7"/>
  <c r="P817" i="7" s="1"/>
  <c r="P763" i="7"/>
  <c r="P761" i="7"/>
  <c r="P806" i="7"/>
  <c r="P818" i="7" s="1"/>
  <c r="P794" i="7"/>
  <c r="P802" i="7"/>
  <c r="P814" i="7" s="1"/>
  <c r="P745" i="7"/>
  <c r="J1377" i="7"/>
  <c r="K1357" i="7"/>
  <c r="K825" i="7"/>
  <c r="K831" i="7" s="1"/>
  <c r="J845" i="7"/>
  <c r="J1339" i="7"/>
  <c r="J1351" i="7" s="1"/>
  <c r="J1350" i="7"/>
  <c r="K1267" i="7"/>
  <c r="K1273" i="7" s="1"/>
  <c r="J1287" i="7"/>
  <c r="J1260" i="7"/>
  <c r="K1250" i="7"/>
  <c r="K1297" i="7"/>
  <c r="K1303" i="7" s="1"/>
  <c r="J1317" i="7"/>
  <c r="J1222" i="7"/>
  <c r="J816" i="7"/>
  <c r="O890" i="7"/>
  <c r="O442" i="7"/>
  <c r="P442" i="7" s="1"/>
  <c r="O479" i="7"/>
  <c r="J1288" i="7"/>
  <c r="J766" i="7"/>
  <c r="J1369" i="7"/>
  <c r="J1381" i="7" s="1"/>
  <c r="J1380" i="7"/>
  <c r="J846" i="7"/>
  <c r="K1327" i="7"/>
  <c r="J1347" i="7"/>
  <c r="J1279" i="7"/>
  <c r="J1291" i="7" s="1"/>
  <c r="J1290" i="7"/>
  <c r="K328" i="7"/>
  <c r="J781" i="7"/>
  <c r="J788" i="7"/>
  <c r="K778" i="7"/>
  <c r="J1237" i="7"/>
  <c r="K1234" i="7"/>
  <c r="J1244" i="7"/>
  <c r="J815" i="7"/>
  <c r="K795" i="7"/>
  <c r="M476" i="7"/>
  <c r="M480" i="7" s="1"/>
  <c r="J1253" i="7"/>
  <c r="O1309" i="7"/>
  <c r="O1321" i="7" s="1"/>
  <c r="J1306" i="7"/>
  <c r="J1378" i="7"/>
  <c r="J837" i="7"/>
  <c r="J849" i="7" s="1"/>
  <c r="J848" i="7"/>
  <c r="K746" i="7"/>
  <c r="J756" i="7"/>
  <c r="P1334" i="7"/>
  <c r="P1346" i="7" s="1"/>
  <c r="P1338" i="7"/>
  <c r="P1350" i="7" s="1"/>
  <c r="P1326" i="7"/>
  <c r="P1332" i="7" s="1"/>
  <c r="P1307" i="7"/>
  <c r="P1319" i="7" s="1"/>
  <c r="P1296" i="7"/>
  <c r="P1302" i="7" s="1"/>
  <c r="P1277" i="7"/>
  <c r="P1289" i="7" s="1"/>
  <c r="P1367" i="7"/>
  <c r="P1379" i="7" s="1"/>
  <c r="P1356" i="7"/>
  <c r="P1362" i="7" s="1"/>
  <c r="P1304" i="7"/>
  <c r="P1316" i="7" s="1"/>
  <c r="P1308" i="7"/>
  <c r="P1320" i="7" s="1"/>
  <c r="P1274" i="7"/>
  <c r="P1286" i="7" s="1"/>
  <c r="P1278" i="7"/>
  <c r="P1290" i="7" s="1"/>
  <c r="P1337" i="7"/>
  <c r="P1349" i="7" s="1"/>
  <c r="P1235" i="7"/>
  <c r="P1243" i="7" s="1"/>
  <c r="P1266" i="7"/>
  <c r="P1272" i="7" s="1"/>
  <c r="P1251" i="7"/>
  <c r="P1259" i="7" s="1"/>
  <c r="P1233" i="7"/>
  <c r="P1368" i="7"/>
  <c r="P1380" i="7" s="1"/>
  <c r="P1249" i="7"/>
  <c r="P1217" i="7"/>
  <c r="P1219" i="7"/>
  <c r="P1364" i="7"/>
  <c r="P1376" i="7" s="1"/>
  <c r="J332" i="7"/>
  <c r="J1309" i="7"/>
  <c r="J1321" i="7" s="1"/>
  <c r="J1320" i="7"/>
  <c r="K762" i="7"/>
  <c r="L480" i="7"/>
  <c r="K1218" i="7"/>
  <c r="J807" i="7"/>
  <c r="J819" i="7" s="1"/>
  <c r="J818" i="7"/>
  <c r="O860" i="7"/>
  <c r="J749" i="7"/>
  <c r="K864" i="7"/>
  <c r="K868" i="7" s="1"/>
  <c r="Q18" i="7"/>
  <c r="Q20" i="7"/>
  <c r="H519" i="7"/>
  <c r="I515" i="7" s="1"/>
  <c r="H518" i="7"/>
  <c r="P99" i="27"/>
  <c r="N248" i="32"/>
  <c r="P103" i="27"/>
  <c r="P362" i="25"/>
  <c r="P360" i="26"/>
  <c r="P352" i="26"/>
  <c r="P425" i="1"/>
  <c r="P374" i="25"/>
  <c r="P370" i="25"/>
  <c r="P429" i="1"/>
  <c r="H50" i="7"/>
  <c r="I46" i="7" s="1"/>
  <c r="P364" i="26"/>
  <c r="P356" i="26"/>
  <c r="P348" i="26"/>
  <c r="P417" i="1"/>
  <c r="P421" i="1"/>
  <c r="P413" i="1"/>
  <c r="O250" i="32"/>
  <c r="O233" i="34"/>
  <c r="O219" i="34"/>
  <c r="O226" i="34"/>
  <c r="O256" i="32"/>
  <c r="O251" i="32"/>
  <c r="O243" i="32"/>
  <c r="O249" i="32"/>
  <c r="O242" i="32"/>
  <c r="O228" i="33"/>
  <c r="O235" i="33"/>
  <c r="O242" i="33"/>
  <c r="P137" i="10"/>
  <c r="P138" i="33"/>
  <c r="P137" i="32"/>
  <c r="P137" i="34"/>
  <c r="P143" i="34"/>
  <c r="N29" i="6"/>
  <c r="P1385" i="7"/>
  <c r="P1387" i="7" s="1"/>
  <c r="P1173" i="7"/>
  <c r="O171" i="6"/>
  <c r="O164" i="6"/>
  <c r="O173" i="2"/>
  <c r="O174" i="6" s="1"/>
  <c r="O187" i="34" s="1"/>
  <c r="O155" i="2"/>
  <c r="O165" i="6" s="1"/>
  <c r="O168" i="2"/>
  <c r="O173" i="6" s="1"/>
  <c r="N30" i="6"/>
  <c r="G19" i="2"/>
  <c r="G21" i="2" s="1"/>
  <c r="N20" i="2"/>
  <c r="N33" i="2"/>
  <c r="N38" i="6" s="1"/>
  <c r="P173" i="33"/>
  <c r="P186" i="32"/>
  <c r="P132" i="32"/>
  <c r="P495" i="7"/>
  <c r="P497" i="7" s="1"/>
  <c r="P286" i="7"/>
  <c r="O65" i="2"/>
  <c r="O75" i="6" s="1"/>
  <c r="O78" i="2"/>
  <c r="O83" i="2"/>
  <c r="O84" i="6" s="1"/>
  <c r="O210" i="32" s="1"/>
  <c r="N84" i="6"/>
  <c r="N210" i="32" s="1"/>
  <c r="O74" i="6"/>
  <c r="H49" i="7"/>
  <c r="O119" i="6"/>
  <c r="O110" i="2"/>
  <c r="O120" i="6" s="1"/>
  <c r="P913" i="7"/>
  <c r="P915" i="7" s="1"/>
  <c r="P704" i="7"/>
  <c r="O123" i="2"/>
  <c r="O128" i="6" s="1"/>
  <c r="O128" i="2"/>
  <c r="O129" i="6" s="1"/>
  <c r="O196" i="33" s="1"/>
  <c r="H1015" i="7"/>
  <c r="H1017" i="7" s="1"/>
  <c r="H1000" i="7"/>
  <c r="H1001" i="7"/>
  <c r="I567" i="7"/>
  <c r="J563" i="7" s="1"/>
  <c r="P378" i="25"/>
  <c r="P366" i="25"/>
  <c r="H97" i="7"/>
  <c r="H123" i="7"/>
  <c r="I110" i="7"/>
  <c r="P101" i="7"/>
  <c r="P37" i="7"/>
  <c r="P117" i="7"/>
  <c r="H81" i="7"/>
  <c r="H82" i="7"/>
  <c r="I78" i="7" s="1"/>
  <c r="H88" i="7"/>
  <c r="H104" i="7"/>
  <c r="H107" i="7"/>
  <c r="H75" i="7"/>
  <c r="I62" i="7"/>
  <c r="I95" i="7"/>
  <c r="I102" i="7" s="1"/>
  <c r="I103" i="7" s="1"/>
  <c r="H89" i="7"/>
  <c r="I84" i="7" s="1"/>
  <c r="I533" i="7"/>
  <c r="I535" i="7" s="1"/>
  <c r="I581" i="7"/>
  <c r="I583" i="7" s="1"/>
  <c r="I597" i="7"/>
  <c r="I599" i="7" s="1"/>
  <c r="H560" i="7"/>
  <c r="I547" i="7"/>
  <c r="I587" i="7"/>
  <c r="O226" i="10"/>
  <c r="I969" i="7"/>
  <c r="O219" i="10"/>
  <c r="O233" i="10"/>
  <c r="O228" i="10"/>
  <c r="P54" i="6"/>
  <c r="P53" i="5"/>
  <c r="P54" i="2"/>
  <c r="P132" i="10"/>
  <c r="P9" i="6"/>
  <c r="P9" i="5"/>
  <c r="P9" i="2"/>
  <c r="P144" i="6"/>
  <c r="P144" i="2"/>
  <c r="P99" i="6"/>
  <c r="P99" i="2"/>
  <c r="Q16" i="7"/>
  <c r="Q21" i="7"/>
  <c r="Q19" i="7"/>
  <c r="Q17" i="7"/>
  <c r="S156" i="10"/>
  <c r="S177" i="10"/>
  <c r="S217" i="10"/>
  <c r="S171" i="10"/>
  <c r="S143" i="10"/>
  <c r="S163" i="10"/>
  <c r="S181" i="10"/>
  <c r="S195" i="10"/>
  <c r="S200" i="10"/>
  <c r="S212" i="10"/>
  <c r="S224" i="10"/>
  <c r="S150" i="10"/>
  <c r="S191" i="10"/>
  <c r="S207" i="10"/>
  <c r="S231" i="10"/>
  <c r="O346" i="7"/>
  <c r="O347" i="7" s="1"/>
  <c r="O362" i="7"/>
  <c r="O363" i="7" s="1"/>
  <c r="R14" i="7"/>
  <c r="S15" i="7" s="1"/>
  <c r="S6" i="7"/>
  <c r="T5" i="7" s="1"/>
  <c r="P129" i="1"/>
  <c r="R12" i="7"/>
  <c r="R13" i="7" s="1"/>
  <c r="N39" i="6" l="1"/>
  <c r="N186" i="10" s="1"/>
  <c r="Q35" i="27"/>
  <c r="P890" i="7"/>
  <c r="P800" i="7"/>
  <c r="P382" i="7"/>
  <c r="Q240" i="26"/>
  <c r="Q254" i="25"/>
  <c r="Q97" i="5"/>
  <c r="Q132" i="33"/>
  <c r="Q141" i="5"/>
  <c r="Q132" i="34"/>
  <c r="O38" i="2"/>
  <c r="Q1440" i="7"/>
  <c r="Q1491" i="7"/>
  <c r="P1492" i="7"/>
  <c r="Q1490" i="7" s="1"/>
  <c r="Q305" i="1"/>
  <c r="Q444" i="7"/>
  <c r="Q448" i="7"/>
  <c r="Q449" i="7" s="1"/>
  <c r="P860" i="7"/>
  <c r="Q624" i="7"/>
  <c r="Q153" i="33" s="1"/>
  <c r="Q626" i="7"/>
  <c r="Q155" i="33" s="1"/>
  <c r="Q625" i="7"/>
  <c r="Q154" i="33" s="1"/>
  <c r="J1280" i="7"/>
  <c r="J1292" i="7" s="1"/>
  <c r="P1309" i="7"/>
  <c r="P1321" i="7" s="1"/>
  <c r="J1370" i="7"/>
  <c r="J1382" i="7" s="1"/>
  <c r="P1369" i="7"/>
  <c r="P1381" i="7" s="1"/>
  <c r="J838" i="7"/>
  <c r="J850" i="7" s="1"/>
  <c r="J808" i="7"/>
  <c r="J820" i="7" s="1"/>
  <c r="Q1367" i="7"/>
  <c r="Q1379" i="7" s="1"/>
  <c r="Q1356" i="7"/>
  <c r="Q1362" i="7" s="1"/>
  <c r="Q1304" i="7"/>
  <c r="Q1316" i="7" s="1"/>
  <c r="Q1308" i="7"/>
  <c r="Q1320" i="7" s="1"/>
  <c r="Q1274" i="7"/>
  <c r="Q1286" i="7" s="1"/>
  <c r="Q1278" i="7"/>
  <c r="Q1290" i="7" s="1"/>
  <c r="Q1364" i="7"/>
  <c r="Q1376" i="7" s="1"/>
  <c r="Q1368" i="7"/>
  <c r="Q1380" i="7" s="1"/>
  <c r="Q1334" i="7"/>
  <c r="Q1346" i="7" s="1"/>
  <c r="Q1338" i="7"/>
  <c r="Q1350" i="7" s="1"/>
  <c r="Q1326" i="7"/>
  <c r="Q1332" i="7" s="1"/>
  <c r="Q1337" i="7"/>
  <c r="Q1349" i="7" s="1"/>
  <c r="Q1266" i="7"/>
  <c r="Q1272" i="7" s="1"/>
  <c r="Q1251" i="7"/>
  <c r="Q1259" i="7" s="1"/>
  <c r="Q1233" i="7"/>
  <c r="Q1249" i="7"/>
  <c r="Q1217" i="7"/>
  <c r="Q1307" i="7"/>
  <c r="Q1319" i="7" s="1"/>
  <c r="Q1296" i="7"/>
  <c r="Q1302" i="7" s="1"/>
  <c r="Q1219" i="7"/>
  <c r="Q1277" i="7"/>
  <c r="Q1289" i="7" s="1"/>
  <c r="Q1235" i="7"/>
  <c r="Q1243" i="7" s="1"/>
  <c r="J1254" i="7"/>
  <c r="J1262" i="7" s="1"/>
  <c r="J1261" i="7"/>
  <c r="K1242" i="7"/>
  <c r="K1236" i="7"/>
  <c r="J789" i="7"/>
  <c r="J782" i="7"/>
  <c r="J790" i="7" s="1"/>
  <c r="K1314" i="7"/>
  <c r="K1305" i="7"/>
  <c r="K1308" i="7"/>
  <c r="K1284" i="7"/>
  <c r="K1275" i="7"/>
  <c r="K1276" i="7" s="1"/>
  <c r="K1278" i="7"/>
  <c r="K833" i="7"/>
  <c r="K834" i="7" s="1"/>
  <c r="K842" i="7"/>
  <c r="K836" i="7"/>
  <c r="P1339" i="7"/>
  <c r="P1351" i="7" s="1"/>
  <c r="P807" i="7"/>
  <c r="P819" i="7" s="1"/>
  <c r="N476" i="7"/>
  <c r="N480" i="7" s="1"/>
  <c r="Q884" i="7"/>
  <c r="Q890" i="7" s="1"/>
  <c r="Q862" i="7"/>
  <c r="Q866" i="7"/>
  <c r="Q867" i="7" s="1"/>
  <c r="Q895" i="7"/>
  <c r="Q854" i="7"/>
  <c r="Q835" i="7"/>
  <c r="Q847" i="7" s="1"/>
  <c r="Q892" i="7"/>
  <c r="Q777" i="7"/>
  <c r="Q824" i="7"/>
  <c r="Q830" i="7" s="1"/>
  <c r="Q805" i="7"/>
  <c r="Q817" i="7" s="1"/>
  <c r="Q763" i="7"/>
  <c r="Q836" i="7"/>
  <c r="Q848" i="7" s="1"/>
  <c r="Q802" i="7"/>
  <c r="Q814" i="7" s="1"/>
  <c r="Q806" i="7"/>
  <c r="Q818" i="7" s="1"/>
  <c r="Q794" i="7"/>
  <c r="Q761" i="7"/>
  <c r="Q745" i="7"/>
  <c r="Q896" i="7"/>
  <c r="Q897" i="7" s="1"/>
  <c r="Q747" i="7"/>
  <c r="Q755" i="7" s="1"/>
  <c r="Q865" i="7"/>
  <c r="Q832" i="7"/>
  <c r="Q844" i="7" s="1"/>
  <c r="Q779" i="7"/>
  <c r="Q787" i="7" s="1"/>
  <c r="Q477" i="7"/>
  <c r="Q436" i="7"/>
  <c r="Q442" i="7" s="1"/>
  <c r="Q474" i="7"/>
  <c r="Q478" i="7"/>
  <c r="Q466" i="7"/>
  <c r="Q417" i="7"/>
  <c r="Q384" i="7"/>
  <c r="Q388" i="7"/>
  <c r="Q389" i="7" s="1"/>
  <c r="Q418" i="7"/>
  <c r="Q419" i="7" s="1"/>
  <c r="Q406" i="7"/>
  <c r="Q414" i="7"/>
  <c r="Q387" i="7"/>
  <c r="Q468" i="7"/>
  <c r="Q329" i="7"/>
  <c r="Q359" i="7"/>
  <c r="Q327" i="7"/>
  <c r="Q376" i="7"/>
  <c r="Q361" i="7"/>
  <c r="Q345" i="7"/>
  <c r="Q343" i="7"/>
  <c r="J750" i="7"/>
  <c r="J758" i="7" s="1"/>
  <c r="J757" i="7"/>
  <c r="K764" i="7"/>
  <c r="K748" i="7"/>
  <c r="K749" i="7" s="1"/>
  <c r="K754" i="7"/>
  <c r="K780" i="7"/>
  <c r="K781" i="7" s="1"/>
  <c r="K786" i="7"/>
  <c r="K1335" i="7"/>
  <c r="K1336" i="7" s="1"/>
  <c r="K1344" i="7"/>
  <c r="K1338" i="7"/>
  <c r="K1333" i="7"/>
  <c r="P837" i="7"/>
  <c r="P849" i="7" s="1"/>
  <c r="P848" i="7"/>
  <c r="P412" i="7"/>
  <c r="J1340" i="7"/>
  <c r="J1352" i="7" s="1"/>
  <c r="P479" i="7"/>
  <c r="K1220" i="7"/>
  <c r="J1318" i="7"/>
  <c r="J1310" i="7"/>
  <c r="J1322" i="7" s="1"/>
  <c r="K803" i="7"/>
  <c r="K812" i="7"/>
  <c r="K806" i="7"/>
  <c r="K801" i="7"/>
  <c r="J1238" i="7"/>
  <c r="J1246" i="7" s="1"/>
  <c r="J1245" i="7"/>
  <c r="K330" i="7"/>
  <c r="K1252" i="7"/>
  <c r="K1253" i="7" s="1"/>
  <c r="K1258" i="7"/>
  <c r="K1365" i="7"/>
  <c r="K1374" i="7"/>
  <c r="K1368" i="7"/>
  <c r="K1363" i="7"/>
  <c r="O475" i="7"/>
  <c r="P467" i="7" s="1"/>
  <c r="P473" i="7" s="1"/>
  <c r="P1279" i="7"/>
  <c r="P1291" i="7" s="1"/>
  <c r="R18" i="7"/>
  <c r="R20" i="7"/>
  <c r="I516" i="7"/>
  <c r="I523" i="7" s="1"/>
  <c r="Q99" i="27"/>
  <c r="Q103" i="27"/>
  <c r="O248" i="32"/>
  <c r="Q421" i="1"/>
  <c r="Q356" i="26"/>
  <c r="Q374" i="25"/>
  <c r="Q348" i="26"/>
  <c r="Q370" i="25"/>
  <c r="Q362" i="25"/>
  <c r="Q413" i="1"/>
  <c r="Q429" i="1"/>
  <c r="Q360" i="26"/>
  <c r="Q417" i="1"/>
  <c r="Q364" i="26"/>
  <c r="Q425" i="1"/>
  <c r="Q352" i="26"/>
  <c r="P250" i="32"/>
  <c r="P228" i="33"/>
  <c r="P235" i="33"/>
  <c r="P242" i="33"/>
  <c r="P226" i="34"/>
  <c r="P233" i="34"/>
  <c r="P219" i="34"/>
  <c r="P256" i="32"/>
  <c r="P251" i="32"/>
  <c r="P243" i="32"/>
  <c r="P249" i="32"/>
  <c r="P242" i="32"/>
  <c r="Q138" i="33"/>
  <c r="Q137" i="32"/>
  <c r="Q137" i="34"/>
  <c r="Q137" i="10"/>
  <c r="Q143" i="34"/>
  <c r="P171" i="6"/>
  <c r="P164" i="6"/>
  <c r="Q1385" i="7"/>
  <c r="Q1387" i="7" s="1"/>
  <c r="Q1173" i="7"/>
  <c r="O33" i="2"/>
  <c r="O38" i="6" s="1"/>
  <c r="P155" i="2"/>
  <c r="P165" i="6" s="1"/>
  <c r="P168" i="2"/>
  <c r="P173" i="6" s="1"/>
  <c r="P173" i="2"/>
  <c r="P174" i="6" s="1"/>
  <c r="P187" i="34" s="1"/>
  <c r="O20" i="2"/>
  <c r="O29" i="6"/>
  <c r="O30" i="6"/>
  <c r="O83" i="6"/>
  <c r="Q173" i="33"/>
  <c r="Q186" i="32"/>
  <c r="Q132" i="32"/>
  <c r="Q495" i="7"/>
  <c r="Q497" i="7" s="1"/>
  <c r="Q286" i="7"/>
  <c r="P65" i="2"/>
  <c r="P75" i="6" s="1"/>
  <c r="P78" i="2"/>
  <c r="P83" i="6" s="1"/>
  <c r="P83" i="2"/>
  <c r="P84" i="6" s="1"/>
  <c r="P210" i="32" s="1"/>
  <c r="P74" i="6"/>
  <c r="P110" i="2"/>
  <c r="P120" i="6" s="1"/>
  <c r="Q913" i="7"/>
  <c r="Q915" i="7" s="1"/>
  <c r="Q704" i="7"/>
  <c r="P119" i="6"/>
  <c r="P128" i="2"/>
  <c r="P129" i="6" s="1"/>
  <c r="P196" i="33" s="1"/>
  <c r="P123" i="2"/>
  <c r="P128" i="6" s="1"/>
  <c r="I1013" i="7"/>
  <c r="H1016" i="7"/>
  <c r="I997" i="7"/>
  <c r="I534" i="7"/>
  <c r="Q378" i="25"/>
  <c r="Q366" i="25"/>
  <c r="I104" i="7"/>
  <c r="I63" i="7"/>
  <c r="I70" i="7" s="1"/>
  <c r="I47" i="7"/>
  <c r="I54" i="7" s="1"/>
  <c r="Q101" i="7"/>
  <c r="Q117" i="7"/>
  <c r="Q37" i="7"/>
  <c r="I96" i="7"/>
  <c r="I105" i="7"/>
  <c r="J100" i="7" s="1"/>
  <c r="I79" i="7"/>
  <c r="I86" i="7" s="1"/>
  <c r="I111" i="7"/>
  <c r="I118" i="7" s="1"/>
  <c r="H91" i="7"/>
  <c r="J531" i="7"/>
  <c r="J532" i="7" s="1"/>
  <c r="I548" i="7"/>
  <c r="I549" i="7" s="1"/>
  <c r="I550" i="7" s="1"/>
  <c r="J595" i="7"/>
  <c r="J564" i="7"/>
  <c r="J571" i="7" s="1"/>
  <c r="I582" i="7"/>
  <c r="I598" i="7"/>
  <c r="J579" i="7"/>
  <c r="P219" i="10"/>
  <c r="P228" i="10"/>
  <c r="P233" i="10"/>
  <c r="P226" i="10"/>
  <c r="Q54" i="6"/>
  <c r="Q53" i="5"/>
  <c r="Q54" i="2"/>
  <c r="Q132" i="10"/>
  <c r="Q9" i="6"/>
  <c r="Q9" i="5"/>
  <c r="Q9" i="2"/>
  <c r="Q144" i="6"/>
  <c r="Q144" i="2"/>
  <c r="Q99" i="6"/>
  <c r="Q99" i="2"/>
  <c r="R19" i="7"/>
  <c r="R17" i="7"/>
  <c r="R16" i="7"/>
  <c r="R21" i="7"/>
  <c r="P360" i="7"/>
  <c r="P344" i="7"/>
  <c r="Q129" i="1"/>
  <c r="S14" i="7"/>
  <c r="T15" i="7" s="1"/>
  <c r="T6" i="7"/>
  <c r="U5" i="7" s="1"/>
  <c r="O364" i="7"/>
  <c r="O348" i="7"/>
  <c r="T171" i="10"/>
  <c r="T156" i="10"/>
  <c r="T181" i="10"/>
  <c r="T200" i="10"/>
  <c r="T217" i="10"/>
  <c r="T150" i="10"/>
  <c r="T177" i="10"/>
  <c r="T191" i="10"/>
  <c r="T195" i="10"/>
  <c r="T207" i="10"/>
  <c r="T212" i="10"/>
  <c r="T231" i="10"/>
  <c r="T143" i="10"/>
  <c r="T163" i="10"/>
  <c r="T224" i="10"/>
  <c r="S12" i="7"/>
  <c r="S13" i="7" s="1"/>
  <c r="R35" i="27" l="1"/>
  <c r="O39" i="6"/>
  <c r="O186" i="10" s="1"/>
  <c r="Q800" i="7"/>
  <c r="Q382" i="7"/>
  <c r="R141" i="5"/>
  <c r="R132" i="34"/>
  <c r="R97" i="5"/>
  <c r="R132" i="33"/>
  <c r="R254" i="25"/>
  <c r="R240" i="26"/>
  <c r="Q1492" i="7"/>
  <c r="Q38" i="2" s="1"/>
  <c r="P38" i="2"/>
  <c r="R1440" i="7"/>
  <c r="R1491" i="7"/>
  <c r="Q860" i="7"/>
  <c r="R305" i="1"/>
  <c r="Q807" i="7"/>
  <c r="Q819" i="7" s="1"/>
  <c r="R444" i="7"/>
  <c r="R448" i="7"/>
  <c r="R449" i="7" s="1"/>
  <c r="R626" i="7"/>
  <c r="R155" i="33" s="1"/>
  <c r="R625" i="7"/>
  <c r="R154" i="33" s="1"/>
  <c r="R624" i="7"/>
  <c r="R153" i="33" s="1"/>
  <c r="Q1309" i="7"/>
  <c r="Q1321" i="7" s="1"/>
  <c r="Q479" i="7"/>
  <c r="Q1339" i="7"/>
  <c r="Q1351" i="7" s="1"/>
  <c r="O476" i="7"/>
  <c r="O480" i="7" s="1"/>
  <c r="K1348" i="7"/>
  <c r="K1261" i="7"/>
  <c r="K1254" i="7"/>
  <c r="K1262" i="7" s="1"/>
  <c r="K1339" i="7"/>
  <c r="K1351" i="7" s="1"/>
  <c r="K1350" i="7"/>
  <c r="K837" i="7"/>
  <c r="K849" i="7" s="1"/>
  <c r="K848" i="7"/>
  <c r="R1364" i="7"/>
  <c r="R1376" i="7" s="1"/>
  <c r="R1368" i="7"/>
  <c r="R1337" i="7"/>
  <c r="R1349" i="7" s="1"/>
  <c r="R1367" i="7"/>
  <c r="R1379" i="7" s="1"/>
  <c r="R1356" i="7"/>
  <c r="R1326" i="7"/>
  <c r="R1332" i="7" s="1"/>
  <c r="R1304" i="7"/>
  <c r="R1316" i="7" s="1"/>
  <c r="R1249" i="7"/>
  <c r="R1217" i="7"/>
  <c r="R1307" i="7"/>
  <c r="R1319" i="7" s="1"/>
  <c r="R1296" i="7"/>
  <c r="R1302" i="7" s="1"/>
  <c r="R1274" i="7"/>
  <c r="R1286" i="7" s="1"/>
  <c r="R1219" i="7"/>
  <c r="R1338" i="7"/>
  <c r="R1350" i="7" s="1"/>
  <c r="R1308" i="7"/>
  <c r="R1320" i="7" s="1"/>
  <c r="R1277" i="7"/>
  <c r="R1289" i="7" s="1"/>
  <c r="R1235" i="7"/>
  <c r="R1243" i="7" s="1"/>
  <c r="R1278" i="7"/>
  <c r="R1290" i="7" s="1"/>
  <c r="R1266" i="7"/>
  <c r="R1272" i="7" s="1"/>
  <c r="R1334" i="7"/>
  <c r="R1346" i="7" s="1"/>
  <c r="R1251" i="7"/>
  <c r="R1259" i="7" s="1"/>
  <c r="R1233" i="7"/>
  <c r="K1369" i="7"/>
  <c r="K1381" i="7" s="1"/>
  <c r="K1380" i="7"/>
  <c r="K807" i="7"/>
  <c r="K819" i="7" s="1"/>
  <c r="K818" i="7"/>
  <c r="K756" i="7"/>
  <c r="L746" i="7"/>
  <c r="K1287" i="7"/>
  <c r="L1267" i="7"/>
  <c r="R1362" i="7"/>
  <c r="R895" i="7"/>
  <c r="R854" i="7"/>
  <c r="R835" i="7"/>
  <c r="R847" i="7" s="1"/>
  <c r="R892" i="7"/>
  <c r="R896" i="7"/>
  <c r="R897" i="7" s="1"/>
  <c r="R865" i="7"/>
  <c r="R832" i="7"/>
  <c r="R844" i="7" s="1"/>
  <c r="R836" i="7"/>
  <c r="R848" i="7" s="1"/>
  <c r="R824" i="7"/>
  <c r="R830" i="7" s="1"/>
  <c r="R805" i="7"/>
  <c r="R817" i="7" s="1"/>
  <c r="R763" i="7"/>
  <c r="R866" i="7"/>
  <c r="R867" i="7" s="1"/>
  <c r="R802" i="7"/>
  <c r="R814" i="7" s="1"/>
  <c r="R806" i="7"/>
  <c r="R818" i="7" s="1"/>
  <c r="R794" i="7"/>
  <c r="R761" i="7"/>
  <c r="R745" i="7"/>
  <c r="R884" i="7"/>
  <c r="R890" i="7" s="1"/>
  <c r="R862" i="7"/>
  <c r="R779" i="7"/>
  <c r="R787" i="7" s="1"/>
  <c r="R747" i="7"/>
  <c r="R755" i="7" s="1"/>
  <c r="R777" i="7"/>
  <c r="L1357" i="7"/>
  <c r="K1377" i="7"/>
  <c r="L1218" i="7"/>
  <c r="K1306" i="7"/>
  <c r="K1317" i="7"/>
  <c r="L1297" i="7"/>
  <c r="R474" i="7"/>
  <c r="R478" i="7"/>
  <c r="R466" i="7"/>
  <c r="R417" i="7"/>
  <c r="R468" i="7"/>
  <c r="R414" i="7"/>
  <c r="R418" i="7"/>
  <c r="R419" i="7" s="1"/>
  <c r="R406" i="7"/>
  <c r="R436" i="7"/>
  <c r="R442" i="7" s="1"/>
  <c r="R387" i="7"/>
  <c r="R477" i="7"/>
  <c r="R384" i="7"/>
  <c r="R388" i="7"/>
  <c r="R389" i="7" s="1"/>
  <c r="R359" i="7"/>
  <c r="R327" i="7"/>
  <c r="R376" i="7"/>
  <c r="R361" i="7"/>
  <c r="R345" i="7"/>
  <c r="R343" i="7"/>
  <c r="R329" i="7"/>
  <c r="P475" i="7"/>
  <c r="P476" i="7" s="1"/>
  <c r="K1260" i="7"/>
  <c r="L1250" i="7"/>
  <c r="K804" i="7"/>
  <c r="L795" i="7"/>
  <c r="K815" i="7"/>
  <c r="K1347" i="7"/>
  <c r="L1327" i="7"/>
  <c r="K750" i="7"/>
  <c r="K758" i="7" s="1"/>
  <c r="K757" i="7"/>
  <c r="L762" i="7"/>
  <c r="K846" i="7"/>
  <c r="K1279" i="7"/>
  <c r="K1291" i="7" s="1"/>
  <c r="K1290" i="7"/>
  <c r="K1309" i="7"/>
  <c r="K1321" i="7" s="1"/>
  <c r="K1320" i="7"/>
  <c r="K331" i="7"/>
  <c r="L328" i="7"/>
  <c r="Q412" i="7"/>
  <c r="K789" i="7"/>
  <c r="K782" i="7"/>
  <c r="K790" i="7" s="1"/>
  <c r="K1288" i="7"/>
  <c r="K1237" i="7"/>
  <c r="K1244" i="7"/>
  <c r="L1234" i="7"/>
  <c r="L778" i="7"/>
  <c r="K788" i="7"/>
  <c r="L825" i="7"/>
  <c r="K845" i="7"/>
  <c r="Q1279" i="7"/>
  <c r="Q1291" i="7" s="1"/>
  <c r="K1366" i="7"/>
  <c r="K1221" i="7"/>
  <c r="K765" i="7"/>
  <c r="Q837" i="7"/>
  <c r="Q849" i="7" s="1"/>
  <c r="Q1369" i="7"/>
  <c r="Q1381" i="7" s="1"/>
  <c r="S20" i="7"/>
  <c r="S18" i="7"/>
  <c r="I517" i="7"/>
  <c r="I518" i="7" s="1"/>
  <c r="R99" i="27"/>
  <c r="R103" i="27"/>
  <c r="R352" i="26"/>
  <c r="R429" i="1"/>
  <c r="R348" i="26"/>
  <c r="R417" i="1"/>
  <c r="R360" i="26"/>
  <c r="R413" i="1"/>
  <c r="R370" i="25"/>
  <c r="R421" i="1"/>
  <c r="R364" i="26"/>
  <c r="R362" i="25"/>
  <c r="R356" i="26"/>
  <c r="R425" i="1"/>
  <c r="R374" i="25"/>
  <c r="P248" i="32"/>
  <c r="Q250" i="32"/>
  <c r="Q251" i="32"/>
  <c r="Q243" i="32"/>
  <c r="Q249" i="32"/>
  <c r="Q242" i="32"/>
  <c r="Q256" i="32"/>
  <c r="Q228" i="33"/>
  <c r="Q235" i="33"/>
  <c r="Q242" i="33"/>
  <c r="Q226" i="34"/>
  <c r="Q233" i="34"/>
  <c r="Q219" i="34"/>
  <c r="R137" i="34"/>
  <c r="R137" i="10"/>
  <c r="R138" i="33"/>
  <c r="R137" i="32"/>
  <c r="R143" i="34"/>
  <c r="Q171" i="6"/>
  <c r="Q164" i="6"/>
  <c r="R1173" i="7"/>
  <c r="R1385" i="7"/>
  <c r="R1387" i="7" s="1"/>
  <c r="Q168" i="2"/>
  <c r="Q173" i="6" s="1"/>
  <c r="Q173" i="2"/>
  <c r="Q174" i="6" s="1"/>
  <c r="Q187" i="34" s="1"/>
  <c r="Q155" i="2"/>
  <c r="Q165" i="6" s="1"/>
  <c r="P29" i="6"/>
  <c r="P33" i="2"/>
  <c r="P38" i="6" s="1"/>
  <c r="P30" i="6"/>
  <c r="P20" i="2"/>
  <c r="R186" i="32"/>
  <c r="R173" i="33"/>
  <c r="Q74" i="6"/>
  <c r="R132" i="32"/>
  <c r="R495" i="7"/>
  <c r="R497" i="7" s="1"/>
  <c r="R286" i="7"/>
  <c r="Q83" i="2"/>
  <c r="Q84" i="6" s="1"/>
  <c r="Q210" i="32" s="1"/>
  <c r="Q65" i="2"/>
  <c r="Q75" i="6" s="1"/>
  <c r="Q78" i="2"/>
  <c r="Q83" i="6" s="1"/>
  <c r="Q110" i="2"/>
  <c r="Q120" i="6" s="1"/>
  <c r="R704" i="7"/>
  <c r="R913" i="7"/>
  <c r="R915" i="7" s="1"/>
  <c r="Q119" i="6"/>
  <c r="Q123" i="2"/>
  <c r="Q128" i="6" s="1"/>
  <c r="Q128" i="2"/>
  <c r="Q129" i="6" s="1"/>
  <c r="Q196" i="33" s="1"/>
  <c r="I998" i="7"/>
  <c r="I1005" i="7" s="1"/>
  <c r="I1014" i="7"/>
  <c r="I1021" i="7" s="1"/>
  <c r="R378" i="25"/>
  <c r="R366" i="25"/>
  <c r="R101" i="7"/>
  <c r="R117" i="7"/>
  <c r="R37" i="7"/>
  <c r="I80" i="7"/>
  <c r="I97" i="7"/>
  <c r="I98" i="7"/>
  <c r="I112" i="7"/>
  <c r="I114" i="7" s="1"/>
  <c r="I48" i="7"/>
  <c r="I119" i="7"/>
  <c r="I64" i="7"/>
  <c r="J539" i="7"/>
  <c r="J533" i="7"/>
  <c r="J535" i="7" s="1"/>
  <c r="J596" i="7"/>
  <c r="J603" i="7" s="1"/>
  <c r="J580" i="7"/>
  <c r="J587" i="7" s="1"/>
  <c r="I555" i="7"/>
  <c r="I551" i="7"/>
  <c r="J565" i="7"/>
  <c r="Q228" i="10"/>
  <c r="Q219" i="10"/>
  <c r="Q233" i="10"/>
  <c r="Q226" i="10"/>
  <c r="R54" i="6"/>
  <c r="R53" i="5"/>
  <c r="R54" i="2"/>
  <c r="R132" i="10"/>
  <c r="R9" i="6"/>
  <c r="R9" i="5"/>
  <c r="R9" i="2"/>
  <c r="R144" i="6"/>
  <c r="R144" i="2"/>
  <c r="R99" i="6"/>
  <c r="R99" i="2"/>
  <c r="S17" i="7"/>
  <c r="S16" i="7"/>
  <c r="S21" i="7"/>
  <c r="S19" i="7"/>
  <c r="U150" i="10"/>
  <c r="U191" i="10"/>
  <c r="U207" i="10"/>
  <c r="U231" i="10"/>
  <c r="U156" i="10"/>
  <c r="U143" i="10"/>
  <c r="U163" i="10"/>
  <c r="U181" i="10"/>
  <c r="U195" i="10"/>
  <c r="U200" i="10"/>
  <c r="U212" i="10"/>
  <c r="U224" i="10"/>
  <c r="U171" i="10"/>
  <c r="U177" i="10"/>
  <c r="U217" i="10"/>
  <c r="P362" i="7"/>
  <c r="P363" i="7" s="1"/>
  <c r="R129" i="1"/>
  <c r="T14" i="7"/>
  <c r="U15" i="7" s="1"/>
  <c r="U6" i="7"/>
  <c r="V5" i="7" s="1"/>
  <c r="P346" i="7"/>
  <c r="P347" i="7" s="1"/>
  <c r="T12" i="7"/>
  <c r="T13" i="7" s="1"/>
  <c r="S35" i="27" l="1"/>
  <c r="P39" i="6"/>
  <c r="P186" i="10" s="1"/>
  <c r="L1303" i="7"/>
  <c r="L1273" i="7"/>
  <c r="L831" i="7"/>
  <c r="R800" i="7"/>
  <c r="R382" i="7"/>
  <c r="K838" i="7"/>
  <c r="K850" i="7" s="1"/>
  <c r="S141" i="5"/>
  <c r="S132" i="34"/>
  <c r="S254" i="25"/>
  <c r="S97" i="5"/>
  <c r="S132" i="33"/>
  <c r="S240" i="26"/>
  <c r="R1490" i="7"/>
  <c r="R1492" i="7" s="1"/>
  <c r="S1490" i="7" s="1"/>
  <c r="R412" i="7"/>
  <c r="S1491" i="7"/>
  <c r="S1440" i="7"/>
  <c r="S305" i="1"/>
  <c r="S448" i="7"/>
  <c r="S449" i="7" s="1"/>
  <c r="S444" i="7"/>
  <c r="S626" i="7"/>
  <c r="S155" i="33" s="1"/>
  <c r="S625" i="7"/>
  <c r="S154" i="33" s="1"/>
  <c r="S624" i="7"/>
  <c r="S153" i="33" s="1"/>
  <c r="K1280" i="7"/>
  <c r="K1292" i="7" s="1"/>
  <c r="R479" i="7"/>
  <c r="K1222" i="7"/>
  <c r="K1245" i="7"/>
  <c r="K1238" i="7"/>
  <c r="K1246" i="7" s="1"/>
  <c r="L1314" i="7"/>
  <c r="L1308" i="7"/>
  <c r="K1378" i="7"/>
  <c r="K1370" i="7"/>
  <c r="K1382" i="7" s="1"/>
  <c r="L842" i="7"/>
  <c r="L836" i="7"/>
  <c r="K332" i="7"/>
  <c r="L812" i="7"/>
  <c r="L806" i="7"/>
  <c r="L801" i="7"/>
  <c r="P480" i="7"/>
  <c r="R1339" i="7"/>
  <c r="R1351" i="7" s="1"/>
  <c r="R1279" i="7"/>
  <c r="R1291" i="7" s="1"/>
  <c r="S1337" i="7"/>
  <c r="S1349" i="7" s="1"/>
  <c r="S1334" i="7"/>
  <c r="S1346" i="7" s="1"/>
  <c r="S1338" i="7"/>
  <c r="S1350" i="7" s="1"/>
  <c r="S1326" i="7"/>
  <c r="S1332" i="7" s="1"/>
  <c r="S1307" i="7"/>
  <c r="S1319" i="7" s="1"/>
  <c r="S1296" i="7"/>
  <c r="S1302" i="7" s="1"/>
  <c r="S1277" i="7"/>
  <c r="S1289" i="7" s="1"/>
  <c r="S1364" i="7"/>
  <c r="S1376" i="7" s="1"/>
  <c r="S1368" i="7"/>
  <c r="S1380" i="7" s="1"/>
  <c r="S1274" i="7"/>
  <c r="S1286" i="7" s="1"/>
  <c r="S1219" i="7"/>
  <c r="S1356" i="7"/>
  <c r="S1362" i="7" s="1"/>
  <c r="S1308" i="7"/>
  <c r="S1320" i="7" s="1"/>
  <c r="S1235" i="7"/>
  <c r="S1243" i="7" s="1"/>
  <c r="S1278" i="7"/>
  <c r="S1290" i="7" s="1"/>
  <c r="S1266" i="7"/>
  <c r="S1272" i="7" s="1"/>
  <c r="S1251" i="7"/>
  <c r="S1259" i="7" s="1"/>
  <c r="S1233" i="7"/>
  <c r="S1217" i="7"/>
  <c r="S1304" i="7"/>
  <c r="S1316" i="7" s="1"/>
  <c r="S1249" i="7"/>
  <c r="S1367" i="7"/>
  <c r="S1379" i="7" s="1"/>
  <c r="L748" i="7"/>
  <c r="L754" i="7"/>
  <c r="S895" i="7"/>
  <c r="S854" i="7"/>
  <c r="S835" i="7"/>
  <c r="S847" i="7" s="1"/>
  <c r="S892" i="7"/>
  <c r="S896" i="7"/>
  <c r="S897" i="7" s="1"/>
  <c r="S865" i="7"/>
  <c r="S832" i="7"/>
  <c r="S844" i="7" s="1"/>
  <c r="S836" i="7"/>
  <c r="S848" i="7" s="1"/>
  <c r="S824" i="7"/>
  <c r="S830" i="7" s="1"/>
  <c r="S884" i="7"/>
  <c r="S890" i="7" s="1"/>
  <c r="S862" i="7"/>
  <c r="S866" i="7"/>
  <c r="S867" i="7" s="1"/>
  <c r="S802" i="7"/>
  <c r="S814" i="7" s="1"/>
  <c r="S806" i="7"/>
  <c r="S818" i="7" s="1"/>
  <c r="S794" i="7"/>
  <c r="S761" i="7"/>
  <c r="S745" i="7"/>
  <c r="S779" i="7"/>
  <c r="S787" i="7" s="1"/>
  <c r="S747" i="7"/>
  <c r="S755" i="7" s="1"/>
  <c r="S777" i="7"/>
  <c r="S763" i="7"/>
  <c r="S805" i="7"/>
  <c r="S817" i="7" s="1"/>
  <c r="K766" i="7"/>
  <c r="L780" i="7"/>
  <c r="L786" i="7"/>
  <c r="L330" i="7"/>
  <c r="L1258" i="7"/>
  <c r="L1252" i="7"/>
  <c r="L1220" i="7"/>
  <c r="L1221" i="7" s="1"/>
  <c r="R1369" i="7"/>
  <c r="R1381" i="7" s="1"/>
  <c r="R1380" i="7"/>
  <c r="K1340" i="7"/>
  <c r="K1352" i="7" s="1"/>
  <c r="R860" i="7"/>
  <c r="R837" i="7"/>
  <c r="R849" i="7" s="1"/>
  <c r="S466" i="7"/>
  <c r="S417" i="7"/>
  <c r="S414" i="7"/>
  <c r="S418" i="7"/>
  <c r="S419" i="7" s="1"/>
  <c r="S406" i="7"/>
  <c r="S477" i="7"/>
  <c r="S436" i="7"/>
  <c r="S442" i="7" s="1"/>
  <c r="S474" i="7"/>
  <c r="S388" i="7"/>
  <c r="S389" i="7" s="1"/>
  <c r="S387" i="7"/>
  <c r="S478" i="7"/>
  <c r="S384" i="7"/>
  <c r="S468" i="7"/>
  <c r="S376" i="7"/>
  <c r="S361" i="7"/>
  <c r="S345" i="7"/>
  <c r="S343" i="7"/>
  <c r="S329" i="7"/>
  <c r="S359" i="7"/>
  <c r="S327" i="7"/>
  <c r="L1236" i="7"/>
  <c r="L1242" i="7"/>
  <c r="L764" i="7"/>
  <c r="L765" i="7" s="1"/>
  <c r="L1344" i="7"/>
  <c r="L1338" i="7"/>
  <c r="L1333" i="7"/>
  <c r="K816" i="7"/>
  <c r="K808" i="7"/>
  <c r="K820" i="7" s="1"/>
  <c r="Q467" i="7"/>
  <c r="Q473" i="7" s="1"/>
  <c r="K1318" i="7"/>
  <c r="K1310" i="7"/>
  <c r="K1322" i="7" s="1"/>
  <c r="L1374" i="7"/>
  <c r="L1368" i="7"/>
  <c r="L1363" i="7"/>
  <c r="L1284" i="7"/>
  <c r="L1278" i="7"/>
  <c r="R807" i="7"/>
  <c r="R819" i="7" s="1"/>
  <c r="R1309" i="7"/>
  <c r="R1321" i="7" s="1"/>
  <c r="T18" i="7"/>
  <c r="T20" i="7"/>
  <c r="I519" i="7"/>
  <c r="J515" i="7" s="1"/>
  <c r="S99" i="27"/>
  <c r="S103" i="27"/>
  <c r="S425" i="1"/>
  <c r="S362" i="25"/>
  <c r="S360" i="26"/>
  <c r="S352" i="26"/>
  <c r="S356" i="26"/>
  <c r="S413" i="1"/>
  <c r="S429" i="1"/>
  <c r="S374" i="25"/>
  <c r="S364" i="26"/>
  <c r="S370" i="25"/>
  <c r="S348" i="26"/>
  <c r="S421" i="1"/>
  <c r="S417" i="1"/>
  <c r="Q248" i="32"/>
  <c r="R250" i="32"/>
  <c r="R228" i="33"/>
  <c r="R235" i="33"/>
  <c r="R242" i="33"/>
  <c r="R233" i="34"/>
  <c r="R219" i="34"/>
  <c r="R226" i="34"/>
  <c r="R249" i="32"/>
  <c r="R242" i="32"/>
  <c r="R256" i="32"/>
  <c r="R251" i="32"/>
  <c r="R243" i="32"/>
  <c r="S137" i="10"/>
  <c r="S138" i="33"/>
  <c r="S137" i="32"/>
  <c r="S137" i="34"/>
  <c r="S143" i="34"/>
  <c r="R171" i="6"/>
  <c r="R164" i="6"/>
  <c r="S1173" i="7"/>
  <c r="S1385" i="7"/>
  <c r="S1387" i="7" s="1"/>
  <c r="R168" i="2"/>
  <c r="R173" i="6" s="1"/>
  <c r="R173" i="2"/>
  <c r="R174" i="6" s="1"/>
  <c r="R187" i="34" s="1"/>
  <c r="R155" i="2"/>
  <c r="R165" i="6" s="1"/>
  <c r="Q29" i="6"/>
  <c r="Q30" i="6"/>
  <c r="Q39" i="6"/>
  <c r="Q186" i="10" s="1"/>
  <c r="Q20" i="2"/>
  <c r="Q33" i="2"/>
  <c r="Q38" i="6" s="1"/>
  <c r="S186" i="32"/>
  <c r="S173" i="33"/>
  <c r="R74" i="6"/>
  <c r="S132" i="32"/>
  <c r="S495" i="7"/>
  <c r="S497" i="7" s="1"/>
  <c r="S286" i="7"/>
  <c r="R65" i="2"/>
  <c r="R75" i="6" s="1"/>
  <c r="R78" i="2"/>
  <c r="R83" i="6" s="1"/>
  <c r="R83" i="2"/>
  <c r="R84" i="6" s="1"/>
  <c r="R210" i="32" s="1"/>
  <c r="R119" i="6"/>
  <c r="J534" i="7"/>
  <c r="S913" i="7"/>
  <c r="S915" i="7" s="1"/>
  <c r="S704" i="7"/>
  <c r="R110" i="2"/>
  <c r="R120" i="6" s="1"/>
  <c r="R123" i="2"/>
  <c r="R128" i="6" s="1"/>
  <c r="R128" i="2"/>
  <c r="R129" i="6" s="1"/>
  <c r="R196" i="33" s="1"/>
  <c r="I999" i="7"/>
  <c r="I1001" i="7" s="1"/>
  <c r="I1015" i="7"/>
  <c r="S366" i="25"/>
  <c r="S378" i="25"/>
  <c r="I65" i="7"/>
  <c r="I66" i="7"/>
  <c r="I49" i="7"/>
  <c r="I50" i="7"/>
  <c r="S101" i="7"/>
  <c r="S117" i="7"/>
  <c r="S37" i="7"/>
  <c r="I120" i="7"/>
  <c r="I113" i="7"/>
  <c r="I81" i="7"/>
  <c r="I82" i="7"/>
  <c r="I107" i="7"/>
  <c r="J94" i="7"/>
  <c r="J110" i="7"/>
  <c r="I121" i="7"/>
  <c r="J116" i="7" s="1"/>
  <c r="J567" i="7"/>
  <c r="J581" i="7"/>
  <c r="K531" i="7"/>
  <c r="J597" i="7"/>
  <c r="J599" i="7" s="1"/>
  <c r="J566" i="7"/>
  <c r="J547" i="7"/>
  <c r="R226" i="10"/>
  <c r="R228" i="10"/>
  <c r="R233" i="10"/>
  <c r="R219" i="10"/>
  <c r="S144" i="6"/>
  <c r="S144" i="2"/>
  <c r="S99" i="6"/>
  <c r="S99" i="2"/>
  <c r="S54" i="6"/>
  <c r="S53" i="5"/>
  <c r="S54" i="2"/>
  <c r="S132" i="10"/>
  <c r="S9" i="6"/>
  <c r="S9" i="5"/>
  <c r="S9" i="2"/>
  <c r="T16" i="7"/>
  <c r="T21" i="7"/>
  <c r="T19" i="7"/>
  <c r="T17" i="7"/>
  <c r="U14" i="7"/>
  <c r="V15" i="7" s="1"/>
  <c r="P348" i="7"/>
  <c r="P364" i="7"/>
  <c r="V6" i="7"/>
  <c r="W5" i="7" s="1"/>
  <c r="S129" i="1"/>
  <c r="U12" i="7"/>
  <c r="U13" i="7" s="1"/>
  <c r="Q344" i="7"/>
  <c r="Q360" i="7"/>
  <c r="V171" i="10"/>
  <c r="V156" i="10"/>
  <c r="V177" i="10"/>
  <c r="V195" i="10"/>
  <c r="V212" i="10"/>
  <c r="V143" i="10"/>
  <c r="V163" i="10"/>
  <c r="V181" i="10"/>
  <c r="V200" i="10"/>
  <c r="V217" i="10"/>
  <c r="V224" i="10"/>
  <c r="V150" i="10"/>
  <c r="V191" i="10"/>
  <c r="V207" i="10"/>
  <c r="V231" i="10"/>
  <c r="T35" i="27" l="1"/>
  <c r="S800" i="7"/>
  <c r="S382" i="7"/>
  <c r="S807" i="7"/>
  <c r="S819" i="7" s="1"/>
  <c r="T141" i="5"/>
  <c r="T132" i="34"/>
  <c r="T240" i="26"/>
  <c r="T97" i="5"/>
  <c r="T132" i="33"/>
  <c r="T254" i="25"/>
  <c r="R38" i="2"/>
  <c r="S1492" i="7"/>
  <c r="S38" i="2" s="1"/>
  <c r="T1440" i="7"/>
  <c r="T1491" i="7"/>
  <c r="T444" i="7"/>
  <c r="T448" i="7"/>
  <c r="T449" i="7" s="1"/>
  <c r="T305" i="1"/>
  <c r="T625" i="7"/>
  <c r="T154" i="33" s="1"/>
  <c r="T624" i="7"/>
  <c r="T153" i="33" s="1"/>
  <c r="T626" i="7"/>
  <c r="T155" i="33" s="1"/>
  <c r="S1309" i="7"/>
  <c r="S1321" i="7" s="1"/>
  <c r="S1279" i="7"/>
  <c r="S1291" i="7" s="1"/>
  <c r="S1339" i="7"/>
  <c r="S1351" i="7" s="1"/>
  <c r="T892" i="7"/>
  <c r="T896" i="7"/>
  <c r="T897" i="7" s="1"/>
  <c r="T865" i="7"/>
  <c r="T832" i="7"/>
  <c r="T844" i="7" s="1"/>
  <c r="T836" i="7"/>
  <c r="T824" i="7"/>
  <c r="T830" i="7" s="1"/>
  <c r="T884" i="7"/>
  <c r="T890" i="7" s="1"/>
  <c r="T862" i="7"/>
  <c r="T866" i="7"/>
  <c r="T867" i="7" s="1"/>
  <c r="T895" i="7"/>
  <c r="T854" i="7"/>
  <c r="T779" i="7"/>
  <c r="T787" i="7" s="1"/>
  <c r="T747" i="7"/>
  <c r="T755" i="7" s="1"/>
  <c r="T777" i="7"/>
  <c r="T805" i="7"/>
  <c r="T817" i="7" s="1"/>
  <c r="T763" i="7"/>
  <c r="T806" i="7"/>
  <c r="T818" i="7" s="1"/>
  <c r="T835" i="7"/>
  <c r="T847" i="7" s="1"/>
  <c r="T802" i="7"/>
  <c r="T814" i="7" s="1"/>
  <c r="T745" i="7"/>
  <c r="T761" i="7"/>
  <c r="T794" i="7"/>
  <c r="L766" i="7"/>
  <c r="L1237" i="7"/>
  <c r="M1234" i="7"/>
  <c r="L1244" i="7"/>
  <c r="M1218" i="7"/>
  <c r="L331" i="7"/>
  <c r="M328" i="7"/>
  <c r="L837" i="7"/>
  <c r="L849" i="7" s="1"/>
  <c r="L848" i="7"/>
  <c r="L1279" i="7"/>
  <c r="L1291" i="7" s="1"/>
  <c r="L1290" i="7"/>
  <c r="L1222" i="7"/>
  <c r="L756" i="7"/>
  <c r="M746" i="7"/>
  <c r="M762" i="7"/>
  <c r="S860" i="7"/>
  <c r="L1253" i="7"/>
  <c r="L1260" i="7"/>
  <c r="M1250" i="7"/>
  <c r="S837" i="7"/>
  <c r="S849" i="7" s="1"/>
  <c r="S1369" i="7"/>
  <c r="S1381" i="7" s="1"/>
  <c r="T414" i="7"/>
  <c r="T418" i="7"/>
  <c r="T419" i="7" s="1"/>
  <c r="T406" i="7"/>
  <c r="T477" i="7"/>
  <c r="T436" i="7"/>
  <c r="T442" i="7" s="1"/>
  <c r="T474" i="7"/>
  <c r="T478" i="7"/>
  <c r="T387" i="7"/>
  <c r="T384" i="7"/>
  <c r="T388" i="7"/>
  <c r="T389" i="7" s="1"/>
  <c r="T466" i="7"/>
  <c r="T417" i="7"/>
  <c r="T468" i="7"/>
  <c r="T359" i="7"/>
  <c r="T327" i="7"/>
  <c r="T376" i="7"/>
  <c r="T361" i="7"/>
  <c r="T345" i="7"/>
  <c r="T343" i="7"/>
  <c r="T329" i="7"/>
  <c r="L1369" i="7"/>
  <c r="L1381" i="7" s="1"/>
  <c r="L1380" i="7"/>
  <c r="L781" i="7"/>
  <c r="L788" i="7"/>
  <c r="M778" i="7"/>
  <c r="L807" i="7"/>
  <c r="L819" i="7" s="1"/>
  <c r="L818" i="7"/>
  <c r="T1334" i="7"/>
  <c r="T1346" i="7" s="1"/>
  <c r="T1338" i="7"/>
  <c r="T1350" i="7" s="1"/>
  <c r="T1326" i="7"/>
  <c r="T1332" i="7" s="1"/>
  <c r="T1307" i="7"/>
  <c r="T1319" i="7" s="1"/>
  <c r="T1296" i="7"/>
  <c r="T1302" i="7" s="1"/>
  <c r="T1277" i="7"/>
  <c r="T1289" i="7" s="1"/>
  <c r="T1367" i="7"/>
  <c r="T1379" i="7" s="1"/>
  <c r="T1356" i="7"/>
  <c r="T1362" i="7" s="1"/>
  <c r="T1304" i="7"/>
  <c r="T1316" i="7" s="1"/>
  <c r="T1308" i="7"/>
  <c r="T1320" i="7" s="1"/>
  <c r="T1274" i="7"/>
  <c r="T1286" i="7" s="1"/>
  <c r="T1278" i="7"/>
  <c r="T1290" i="7" s="1"/>
  <c r="T1337" i="7"/>
  <c r="T1349" i="7" s="1"/>
  <c r="T1235" i="7"/>
  <c r="T1243" i="7" s="1"/>
  <c r="T1368" i="7"/>
  <c r="T1380" i="7" s="1"/>
  <c r="T1266" i="7"/>
  <c r="T1272" i="7" s="1"/>
  <c r="T1251" i="7"/>
  <c r="T1259" i="7" s="1"/>
  <c r="T1233" i="7"/>
  <c r="T1364" i="7"/>
  <c r="T1376" i="7" s="1"/>
  <c r="T1249" i="7"/>
  <c r="T1217" i="7"/>
  <c r="T1219" i="7"/>
  <c r="Q475" i="7"/>
  <c r="Q476" i="7" s="1"/>
  <c r="L1339" i="7"/>
  <c r="L1351" i="7" s="1"/>
  <c r="L1350" i="7"/>
  <c r="L1309" i="7"/>
  <c r="L1321" i="7" s="1"/>
  <c r="L1320" i="7"/>
  <c r="S412" i="7"/>
  <c r="S479" i="7"/>
  <c r="L749" i="7"/>
  <c r="U18" i="7"/>
  <c r="U20" i="7"/>
  <c r="J516" i="7"/>
  <c r="J523" i="7" s="1"/>
  <c r="T99" i="27"/>
  <c r="S250" i="32"/>
  <c r="T103" i="27"/>
  <c r="R248" i="32"/>
  <c r="T417" i="1"/>
  <c r="T364" i="26"/>
  <c r="T356" i="26"/>
  <c r="T425" i="1"/>
  <c r="T370" i="25"/>
  <c r="T413" i="1"/>
  <c r="T362" i="25"/>
  <c r="T348" i="26"/>
  <c r="T429" i="1"/>
  <c r="T360" i="26"/>
  <c r="T421" i="1"/>
  <c r="T374" i="25"/>
  <c r="T352" i="26"/>
  <c r="S228" i="33"/>
  <c r="S235" i="33"/>
  <c r="S242" i="33"/>
  <c r="S256" i="32"/>
  <c r="S251" i="32"/>
  <c r="S243" i="32"/>
  <c r="S249" i="32"/>
  <c r="S242" i="32"/>
  <c r="S233" i="34"/>
  <c r="S219" i="34"/>
  <c r="S226" i="34"/>
  <c r="T137" i="10"/>
  <c r="T138" i="33"/>
  <c r="T137" i="32"/>
  <c r="T137" i="34"/>
  <c r="T143" i="34"/>
  <c r="T1385" i="7"/>
  <c r="T1387" i="7" s="1"/>
  <c r="T1173" i="7"/>
  <c r="S171" i="6"/>
  <c r="S164" i="6"/>
  <c r="S173" i="2"/>
  <c r="S174" i="6" s="1"/>
  <c r="S187" i="34" s="1"/>
  <c r="S155" i="2"/>
  <c r="S165" i="6" s="1"/>
  <c r="S168" i="2"/>
  <c r="S173" i="6" s="1"/>
  <c r="R29" i="6"/>
  <c r="R30" i="6"/>
  <c r="R33" i="2"/>
  <c r="R38" i="6" s="1"/>
  <c r="R20" i="2"/>
  <c r="T173" i="33"/>
  <c r="T186" i="32"/>
  <c r="S65" i="2"/>
  <c r="S78" i="2"/>
  <c r="S83" i="6" s="1"/>
  <c r="S83" i="2"/>
  <c r="S84" i="6" s="1"/>
  <c r="S210" i="32" s="1"/>
  <c r="T132" i="32"/>
  <c r="T495" i="7"/>
  <c r="T497" i="7" s="1"/>
  <c r="T286" i="7"/>
  <c r="S74" i="6"/>
  <c r="S110" i="2"/>
  <c r="S120" i="6" s="1"/>
  <c r="T913" i="7"/>
  <c r="T915" i="7" s="1"/>
  <c r="T704" i="7"/>
  <c r="S119" i="6"/>
  <c r="S123" i="2"/>
  <c r="S128" i="6" s="1"/>
  <c r="S128" i="2"/>
  <c r="S129" i="6" s="1"/>
  <c r="S196" i="33" s="1"/>
  <c r="I1016" i="7"/>
  <c r="I1000" i="7"/>
  <c r="J997" i="7"/>
  <c r="I1017" i="7"/>
  <c r="T378" i="25"/>
  <c r="T366" i="25"/>
  <c r="J111" i="7"/>
  <c r="J118" i="7" s="1"/>
  <c r="J119" i="7" s="1"/>
  <c r="J62" i="7"/>
  <c r="J95" i="7"/>
  <c r="J102" i="7" s="1"/>
  <c r="J46" i="7"/>
  <c r="T101" i="7"/>
  <c r="T37" i="7"/>
  <c r="T117" i="7"/>
  <c r="I123" i="7"/>
  <c r="K563" i="7"/>
  <c r="J598" i="7"/>
  <c r="J582" i="7"/>
  <c r="K595" i="7"/>
  <c r="J548" i="7"/>
  <c r="J555" i="7" s="1"/>
  <c r="J583" i="7"/>
  <c r="K532" i="7"/>
  <c r="K539" i="7" s="1"/>
  <c r="S226" i="10"/>
  <c r="S219" i="10"/>
  <c r="S228" i="10"/>
  <c r="S233" i="10"/>
  <c r="T144" i="6"/>
  <c r="T144" i="2"/>
  <c r="T99" i="6"/>
  <c r="T99" i="2"/>
  <c r="T54" i="6"/>
  <c r="T53" i="5"/>
  <c r="T54" i="2"/>
  <c r="T132" i="10"/>
  <c r="T9" i="6"/>
  <c r="T9" i="5"/>
  <c r="T9" i="2"/>
  <c r="U16" i="7"/>
  <c r="U21" i="7"/>
  <c r="U19" i="7"/>
  <c r="U17" i="7"/>
  <c r="W163" i="10"/>
  <c r="W195" i="10"/>
  <c r="W212" i="10"/>
  <c r="W171" i="10"/>
  <c r="W150" i="10"/>
  <c r="W177" i="10"/>
  <c r="W191" i="10"/>
  <c r="W207" i="10"/>
  <c r="W217" i="10"/>
  <c r="W231" i="10"/>
  <c r="W156" i="10"/>
  <c r="W143" i="10"/>
  <c r="W181" i="10"/>
  <c r="W200" i="10"/>
  <c r="W224" i="10"/>
  <c r="Q346" i="7"/>
  <c r="Q347" i="7" s="1"/>
  <c r="V14" i="7"/>
  <c r="W15" i="7" s="1"/>
  <c r="Q362" i="7"/>
  <c r="Q363" i="7" s="1"/>
  <c r="W6" i="7"/>
  <c r="X5" i="7" s="1"/>
  <c r="T129" i="1"/>
  <c r="V12" i="7"/>
  <c r="V13" i="7" s="1"/>
  <c r="U35" i="27" l="1"/>
  <c r="R39" i="6"/>
  <c r="R186" i="10" s="1"/>
  <c r="T800" i="7"/>
  <c r="T860" i="7"/>
  <c r="T382" i="7"/>
  <c r="U254" i="25"/>
  <c r="U240" i="26"/>
  <c r="U141" i="5"/>
  <c r="U132" i="34"/>
  <c r="U97" i="5"/>
  <c r="U132" i="33"/>
  <c r="T1490" i="7"/>
  <c r="T1492" i="7" s="1"/>
  <c r="U1490" i="7" s="1"/>
  <c r="T412" i="7"/>
  <c r="U1440" i="7"/>
  <c r="U1491" i="7"/>
  <c r="U444" i="7"/>
  <c r="U448" i="7"/>
  <c r="U449" i="7" s="1"/>
  <c r="U305" i="1"/>
  <c r="T1309" i="7"/>
  <c r="T1321" i="7" s="1"/>
  <c r="T1339" i="7"/>
  <c r="T1351" i="7" s="1"/>
  <c r="U624" i="7"/>
  <c r="U153" i="33" s="1"/>
  <c r="U626" i="7"/>
  <c r="U155" i="33" s="1"/>
  <c r="U625" i="7"/>
  <c r="U154" i="33" s="1"/>
  <c r="T807" i="7"/>
  <c r="T819" i="7" s="1"/>
  <c r="Q480" i="7"/>
  <c r="U884" i="7"/>
  <c r="U890" i="7" s="1"/>
  <c r="L889" i="7" s="1"/>
  <c r="L886" i="7" s="1"/>
  <c r="U862" i="7"/>
  <c r="U866" i="7"/>
  <c r="U867" i="7" s="1"/>
  <c r="U895" i="7"/>
  <c r="U854" i="7"/>
  <c r="U835" i="7"/>
  <c r="U847" i="7" s="1"/>
  <c r="U824" i="7"/>
  <c r="U830" i="7" s="1"/>
  <c r="L829" i="7" s="1"/>
  <c r="L826" i="7" s="1"/>
  <c r="U777" i="7"/>
  <c r="U836" i="7"/>
  <c r="U848" i="7" s="1"/>
  <c r="U805" i="7"/>
  <c r="U817" i="7" s="1"/>
  <c r="U763" i="7"/>
  <c r="U896" i="7"/>
  <c r="U897" i="7" s="1"/>
  <c r="U865" i="7"/>
  <c r="U832" i="7"/>
  <c r="U844" i="7" s="1"/>
  <c r="U802" i="7"/>
  <c r="U814" i="7" s="1"/>
  <c r="U806" i="7"/>
  <c r="U818" i="7" s="1"/>
  <c r="U794" i="7"/>
  <c r="U761" i="7"/>
  <c r="U745" i="7"/>
  <c r="U892" i="7"/>
  <c r="U747" i="7"/>
  <c r="U755" i="7" s="1"/>
  <c r="U779" i="7"/>
  <c r="U787" i="7" s="1"/>
  <c r="M786" i="7"/>
  <c r="M780" i="7"/>
  <c r="M781" i="7" s="1"/>
  <c r="U1367" i="7"/>
  <c r="U1379" i="7" s="1"/>
  <c r="U1356" i="7"/>
  <c r="U1362" i="7" s="1"/>
  <c r="L1361" i="7" s="1"/>
  <c r="L1358" i="7" s="1"/>
  <c r="U1304" i="7"/>
  <c r="U1316" i="7" s="1"/>
  <c r="U1308" i="7"/>
  <c r="U1320" i="7" s="1"/>
  <c r="U1274" i="7"/>
  <c r="U1286" i="7" s="1"/>
  <c r="U1278" i="7"/>
  <c r="U1290" i="7" s="1"/>
  <c r="U1364" i="7"/>
  <c r="U1376" i="7" s="1"/>
  <c r="U1368" i="7"/>
  <c r="U1380" i="7" s="1"/>
  <c r="U1334" i="7"/>
  <c r="U1346" i="7" s="1"/>
  <c r="U1338" i="7"/>
  <c r="U1350" i="7" s="1"/>
  <c r="U1326" i="7"/>
  <c r="U1332" i="7" s="1"/>
  <c r="L1331" i="7" s="1"/>
  <c r="L1328" i="7" s="1"/>
  <c r="U1307" i="7"/>
  <c r="U1319" i="7" s="1"/>
  <c r="U1296" i="7"/>
  <c r="U1302" i="7" s="1"/>
  <c r="L1301" i="7" s="1"/>
  <c r="L1298" i="7" s="1"/>
  <c r="U1266" i="7"/>
  <c r="U1272" i="7" s="1"/>
  <c r="L1271" i="7" s="1"/>
  <c r="L1268" i="7" s="1"/>
  <c r="U1251" i="7"/>
  <c r="U1259" i="7" s="1"/>
  <c r="U1233" i="7"/>
  <c r="U1277" i="7"/>
  <c r="U1289" i="7" s="1"/>
  <c r="U1249" i="7"/>
  <c r="U1217" i="7"/>
  <c r="U1219" i="7"/>
  <c r="U1337" i="7"/>
  <c r="U1349" i="7" s="1"/>
  <c r="U1235" i="7"/>
  <c r="U1243" i="7" s="1"/>
  <c r="L757" i="7"/>
  <c r="L750" i="7"/>
  <c r="L758" i="7" s="1"/>
  <c r="L1254" i="7"/>
  <c r="L1262" i="7" s="1"/>
  <c r="L1261" i="7"/>
  <c r="M764" i="7"/>
  <c r="L332" i="7"/>
  <c r="M1236" i="7"/>
  <c r="M1242" i="7"/>
  <c r="T1279" i="7"/>
  <c r="T1291" i="7" s="1"/>
  <c r="T1369" i="7"/>
  <c r="T1381" i="7" s="1"/>
  <c r="U477" i="7"/>
  <c r="U436" i="7"/>
  <c r="U442" i="7" s="1"/>
  <c r="L441" i="7" s="1"/>
  <c r="L438" i="7" s="1"/>
  <c r="U474" i="7"/>
  <c r="U478" i="7"/>
  <c r="U466" i="7"/>
  <c r="U417" i="7"/>
  <c r="U384" i="7"/>
  <c r="U388" i="7"/>
  <c r="U389" i="7" s="1"/>
  <c r="U414" i="7"/>
  <c r="U418" i="7"/>
  <c r="U419" i="7" s="1"/>
  <c r="U406" i="7"/>
  <c r="U387" i="7"/>
  <c r="U376" i="7"/>
  <c r="U361" i="7"/>
  <c r="U343" i="7"/>
  <c r="U359" i="7"/>
  <c r="U327" i="7"/>
  <c r="U329" i="7"/>
  <c r="U345" i="7"/>
  <c r="M1252" i="7"/>
  <c r="M1253" i="7" s="1"/>
  <c r="M1258" i="7"/>
  <c r="M330" i="7"/>
  <c r="M331" i="7" s="1"/>
  <c r="M1220" i="7"/>
  <c r="T837" i="7"/>
  <c r="T849" i="7" s="1"/>
  <c r="T848" i="7"/>
  <c r="R467" i="7"/>
  <c r="R473" i="7" s="1"/>
  <c r="L789" i="7"/>
  <c r="L782" i="7"/>
  <c r="L790" i="7" s="1"/>
  <c r="T479" i="7"/>
  <c r="M748" i="7"/>
  <c r="M749" i="7" s="1"/>
  <c r="M754" i="7"/>
  <c r="L1238" i="7"/>
  <c r="L1246" i="7" s="1"/>
  <c r="L1245" i="7"/>
  <c r="V18" i="7"/>
  <c r="V20" i="7"/>
  <c r="J517" i="7"/>
  <c r="U99" i="27"/>
  <c r="S248" i="32"/>
  <c r="T250" i="32"/>
  <c r="U103" i="27"/>
  <c r="U374" i="25"/>
  <c r="U360" i="26"/>
  <c r="U356" i="26"/>
  <c r="U370" i="25"/>
  <c r="U425" i="1"/>
  <c r="U352" i="26"/>
  <c r="U348" i="26"/>
  <c r="U413" i="1"/>
  <c r="U417" i="1"/>
  <c r="U421" i="1"/>
  <c r="U429" i="1"/>
  <c r="U362" i="25"/>
  <c r="U364" i="26"/>
  <c r="T256" i="32"/>
  <c r="T251" i="32"/>
  <c r="T243" i="32"/>
  <c r="T249" i="32"/>
  <c r="T242" i="32"/>
  <c r="T226" i="34"/>
  <c r="T233" i="34"/>
  <c r="T219" i="34"/>
  <c r="T228" i="33"/>
  <c r="T235" i="33"/>
  <c r="T242" i="33"/>
  <c r="U138" i="33"/>
  <c r="U137" i="32"/>
  <c r="U137" i="34"/>
  <c r="U137" i="10"/>
  <c r="U143" i="34"/>
  <c r="U1385" i="7"/>
  <c r="U1387" i="7" s="1"/>
  <c r="U1173" i="7"/>
  <c r="T171" i="6"/>
  <c r="T164" i="6"/>
  <c r="S29" i="6"/>
  <c r="S20" i="2"/>
  <c r="T155" i="2"/>
  <c r="T165" i="6" s="1"/>
  <c r="T168" i="2"/>
  <c r="T173" i="6" s="1"/>
  <c r="T173" i="2"/>
  <c r="S33" i="2"/>
  <c r="S38" i="6" s="1"/>
  <c r="S39" i="6"/>
  <c r="S186" i="10" s="1"/>
  <c r="S75" i="6"/>
  <c r="S30" i="6" s="1"/>
  <c r="U173" i="33"/>
  <c r="U186" i="32"/>
  <c r="T74" i="6"/>
  <c r="T65" i="2"/>
  <c r="T75" i="6" s="1"/>
  <c r="T78" i="2"/>
  <c r="T83" i="6" s="1"/>
  <c r="T83" i="2"/>
  <c r="U132" i="32"/>
  <c r="U495" i="7"/>
  <c r="U497" i="7" s="1"/>
  <c r="U286" i="7"/>
  <c r="T119" i="6"/>
  <c r="U913" i="7"/>
  <c r="U915" i="7" s="1"/>
  <c r="U704" i="7"/>
  <c r="T110" i="2"/>
  <c r="T120" i="6" s="1"/>
  <c r="T128" i="2"/>
  <c r="T129" i="6" s="1"/>
  <c r="T196" i="33" s="1"/>
  <c r="T123" i="2"/>
  <c r="T128" i="6" s="1"/>
  <c r="J998" i="7"/>
  <c r="J1005" i="7" s="1"/>
  <c r="J1013" i="7"/>
  <c r="U378" i="25"/>
  <c r="U366" i="25"/>
  <c r="J120" i="7"/>
  <c r="J121" i="7"/>
  <c r="K116" i="7" s="1"/>
  <c r="U101" i="7"/>
  <c r="U117" i="7"/>
  <c r="U37" i="7"/>
  <c r="J63" i="7"/>
  <c r="J70" i="7" s="1"/>
  <c r="J112" i="7"/>
  <c r="J114" i="7" s="1"/>
  <c r="J47" i="7"/>
  <c r="J54" i="7" s="1"/>
  <c r="J96" i="7"/>
  <c r="J103" i="7"/>
  <c r="J105" i="7" s="1"/>
  <c r="K100" i="7" s="1"/>
  <c r="K579" i="7"/>
  <c r="K596" i="7"/>
  <c r="K603" i="7" s="1"/>
  <c r="K564" i="7"/>
  <c r="K571" i="7" s="1"/>
  <c r="K533" i="7"/>
  <c r="K535" i="7" s="1"/>
  <c r="J549" i="7"/>
  <c r="T233" i="10"/>
  <c r="T219" i="10"/>
  <c r="T228" i="10"/>
  <c r="T226" i="10"/>
  <c r="U144" i="6"/>
  <c r="U144" i="2"/>
  <c r="U99" i="6"/>
  <c r="U99" i="2"/>
  <c r="U54" i="6"/>
  <c r="U53" i="5"/>
  <c r="U54" i="2"/>
  <c r="U132" i="10"/>
  <c r="U9" i="6"/>
  <c r="U9" i="5"/>
  <c r="U9" i="2"/>
  <c r="V19" i="7"/>
  <c r="V17" i="7"/>
  <c r="V16" i="7"/>
  <c r="V21" i="7"/>
  <c r="Q348" i="7"/>
  <c r="R360" i="7"/>
  <c r="U129" i="1"/>
  <c r="W14" i="7"/>
  <c r="X15" i="7" s="1"/>
  <c r="X6" i="7"/>
  <c r="Y5" i="7" s="1"/>
  <c r="Q364" i="7"/>
  <c r="R344" i="7"/>
  <c r="X171" i="10"/>
  <c r="X156" i="10"/>
  <c r="X163" i="10"/>
  <c r="X200" i="10"/>
  <c r="X224" i="10"/>
  <c r="X143" i="10"/>
  <c r="X177" i="10"/>
  <c r="X191" i="10"/>
  <c r="X195" i="10"/>
  <c r="X207" i="10"/>
  <c r="X212" i="10"/>
  <c r="X231" i="10"/>
  <c r="X150" i="10"/>
  <c r="X181" i="10"/>
  <c r="X217" i="10"/>
  <c r="W12" i="7"/>
  <c r="W13" i="7" s="1"/>
  <c r="V35" i="27" l="1"/>
  <c r="U800" i="7"/>
  <c r="L799" i="7" s="1"/>
  <c r="L796" i="7" s="1"/>
  <c r="L813" i="7" s="1"/>
  <c r="L1315" i="7"/>
  <c r="L1305" i="7"/>
  <c r="L1285" i="7"/>
  <c r="L1275" i="7"/>
  <c r="L1276" i="7" s="1"/>
  <c r="L1288" i="7" s="1"/>
  <c r="L843" i="7"/>
  <c r="L833" i="7"/>
  <c r="L834" i="7" s="1"/>
  <c r="L846" i="7" s="1"/>
  <c r="U860" i="7"/>
  <c r="U382" i="7"/>
  <c r="L381" i="7" s="1"/>
  <c r="L378" i="7" s="1"/>
  <c r="L385" i="7" s="1"/>
  <c r="V240" i="26"/>
  <c r="V141" i="5"/>
  <c r="V132" i="34"/>
  <c r="V97" i="5"/>
  <c r="V132" i="33"/>
  <c r="V254" i="25"/>
  <c r="U412" i="7"/>
  <c r="L411" i="7" s="1"/>
  <c r="L408" i="7" s="1"/>
  <c r="T38" i="2"/>
  <c r="U1492" i="7"/>
  <c r="V1490" i="7" s="1"/>
  <c r="V1440" i="7"/>
  <c r="V1491" i="7"/>
  <c r="V444" i="7"/>
  <c r="V448" i="7"/>
  <c r="V449" i="7" s="1"/>
  <c r="V305" i="1"/>
  <c r="V626" i="7"/>
  <c r="V155" i="33" s="1"/>
  <c r="V625" i="7"/>
  <c r="V154" i="33" s="1"/>
  <c r="V624" i="7"/>
  <c r="V153" i="33" s="1"/>
  <c r="U807" i="7"/>
  <c r="U819" i="7" s="1"/>
  <c r="U1279" i="7"/>
  <c r="U1291" i="7" s="1"/>
  <c r="L445" i="7"/>
  <c r="L1335" i="7"/>
  <c r="L1336" i="7" s="1"/>
  <c r="L1348" i="7" s="1"/>
  <c r="L1345" i="7"/>
  <c r="L1365" i="7"/>
  <c r="L1366" i="7" s="1"/>
  <c r="L1378" i="7" s="1"/>
  <c r="L1375" i="7"/>
  <c r="M332" i="7"/>
  <c r="M750" i="7"/>
  <c r="M758" i="7" s="1"/>
  <c r="M757" i="7"/>
  <c r="N1218" i="7"/>
  <c r="V474" i="7"/>
  <c r="V478" i="7"/>
  <c r="V468" i="7"/>
  <c r="V466" i="7"/>
  <c r="V417" i="7"/>
  <c r="V414" i="7"/>
  <c r="V418" i="7"/>
  <c r="V419" i="7" s="1"/>
  <c r="V406" i="7"/>
  <c r="V477" i="7"/>
  <c r="V436" i="7"/>
  <c r="V384" i="7"/>
  <c r="V388" i="7"/>
  <c r="V389" i="7" s="1"/>
  <c r="V387" i="7"/>
  <c r="V378" i="7"/>
  <c r="V408" i="7"/>
  <c r="V359" i="7"/>
  <c r="V327" i="7"/>
  <c r="V376" i="7"/>
  <c r="V361" i="7"/>
  <c r="V345" i="7"/>
  <c r="V343" i="7"/>
  <c r="V329" i="7"/>
  <c r="L893" i="7"/>
  <c r="M765" i="7"/>
  <c r="N762" i="7"/>
  <c r="M789" i="7"/>
  <c r="M782" i="7"/>
  <c r="M790" i="7" s="1"/>
  <c r="U837" i="7"/>
  <c r="U849" i="7" s="1"/>
  <c r="M1254" i="7"/>
  <c r="M1262" i="7" s="1"/>
  <c r="M1261" i="7"/>
  <c r="V1364" i="7"/>
  <c r="V1376" i="7" s="1"/>
  <c r="V1368" i="7"/>
  <c r="V1337" i="7"/>
  <c r="V1349" i="7" s="1"/>
  <c r="V1367" i="7"/>
  <c r="V1379" i="7" s="1"/>
  <c r="V1356" i="7"/>
  <c r="V1308" i="7"/>
  <c r="V1320" i="7" s="1"/>
  <c r="V1277" i="7"/>
  <c r="V1289" i="7" s="1"/>
  <c r="V1249" i="7"/>
  <c r="V1217" i="7"/>
  <c r="V1338" i="7"/>
  <c r="V1350" i="7" s="1"/>
  <c r="V1278" i="7"/>
  <c r="V1290" i="7" s="1"/>
  <c r="V1219" i="7"/>
  <c r="V1334" i="7"/>
  <c r="V1346" i="7" s="1"/>
  <c r="V1304" i="7"/>
  <c r="V1316" i="7" s="1"/>
  <c r="V1235" i="7"/>
  <c r="V1243" i="7" s="1"/>
  <c r="V1326" i="7"/>
  <c r="V1307" i="7"/>
  <c r="V1319" i="7" s="1"/>
  <c r="V1266" i="7"/>
  <c r="V1274" i="7"/>
  <c r="V1286" i="7" s="1"/>
  <c r="V1251" i="7"/>
  <c r="V1259" i="7" s="1"/>
  <c r="V1233" i="7"/>
  <c r="V1296" i="7"/>
  <c r="V1358" i="7"/>
  <c r="V1375" i="7" s="1"/>
  <c r="V1328" i="7"/>
  <c r="V1345" i="7" s="1"/>
  <c r="V1298" i="7"/>
  <c r="V1315" i="7" s="1"/>
  <c r="V1268" i="7"/>
  <c r="V1285" i="7" s="1"/>
  <c r="N328" i="7"/>
  <c r="U1369" i="7"/>
  <c r="U1381" i="7" s="1"/>
  <c r="V895" i="7"/>
  <c r="V854" i="7"/>
  <c r="V835" i="7"/>
  <c r="V847" i="7" s="1"/>
  <c r="V892" i="7"/>
  <c r="V896" i="7"/>
  <c r="V897" i="7" s="1"/>
  <c r="V865" i="7"/>
  <c r="V832" i="7"/>
  <c r="V844" i="7" s="1"/>
  <c r="V836" i="7"/>
  <c r="V848" i="7" s="1"/>
  <c r="V824" i="7"/>
  <c r="V866" i="7"/>
  <c r="V867" i="7" s="1"/>
  <c r="V805" i="7"/>
  <c r="V817" i="7" s="1"/>
  <c r="V763" i="7"/>
  <c r="V884" i="7"/>
  <c r="V862" i="7"/>
  <c r="V802" i="7"/>
  <c r="V814" i="7" s="1"/>
  <c r="V806" i="7"/>
  <c r="V818" i="7" s="1"/>
  <c r="V794" i="7"/>
  <c r="V761" i="7"/>
  <c r="V745" i="7"/>
  <c r="V779" i="7"/>
  <c r="V787" i="7" s="1"/>
  <c r="V747" i="7"/>
  <c r="V755" i="7" s="1"/>
  <c r="V826" i="7"/>
  <c r="V843" i="7" s="1"/>
  <c r="V777" i="7"/>
  <c r="V796" i="7"/>
  <c r="V813" i="7" s="1"/>
  <c r="V886" i="7"/>
  <c r="M756" i="7"/>
  <c r="N746" i="7"/>
  <c r="R475" i="7"/>
  <c r="R476" i="7" s="1"/>
  <c r="N1250" i="7"/>
  <c r="M1260" i="7"/>
  <c r="M1237" i="7"/>
  <c r="N1234" i="7"/>
  <c r="M1244" i="7"/>
  <c r="N778" i="7"/>
  <c r="M788" i="7"/>
  <c r="M1221" i="7"/>
  <c r="U479" i="7"/>
  <c r="U1309" i="7"/>
  <c r="U1321" i="7" s="1"/>
  <c r="U1339" i="7"/>
  <c r="U1351" i="7" s="1"/>
  <c r="W20" i="7"/>
  <c r="W18" i="7"/>
  <c r="J518" i="7"/>
  <c r="J519" i="7"/>
  <c r="K515" i="7" s="1"/>
  <c r="V99" i="27"/>
  <c r="T248" i="32"/>
  <c r="U250" i="32"/>
  <c r="V103" i="27"/>
  <c r="V429" i="1"/>
  <c r="V348" i="26"/>
  <c r="V370" i="25"/>
  <c r="V360" i="26"/>
  <c r="V362" i="25"/>
  <c r="V413" i="1"/>
  <c r="V425" i="1"/>
  <c r="V364" i="26"/>
  <c r="V417" i="1"/>
  <c r="V356" i="26"/>
  <c r="V421" i="1"/>
  <c r="V352" i="26"/>
  <c r="V374" i="25"/>
  <c r="U228" i="33"/>
  <c r="U235" i="33"/>
  <c r="U242" i="33"/>
  <c r="U226" i="34"/>
  <c r="U233" i="34"/>
  <c r="U219" i="34"/>
  <c r="U251" i="32"/>
  <c r="U243" i="32"/>
  <c r="U249" i="32"/>
  <c r="U242" i="32"/>
  <c r="U256" i="32"/>
  <c r="V137" i="34"/>
  <c r="V137" i="10"/>
  <c r="V138" i="33"/>
  <c r="V137" i="32"/>
  <c r="V143" i="34"/>
  <c r="V1173" i="7"/>
  <c r="V1385" i="7"/>
  <c r="V1387" i="7" s="1"/>
  <c r="T174" i="6"/>
  <c r="T187" i="34" s="1"/>
  <c r="U171" i="6"/>
  <c r="U164" i="6"/>
  <c r="U168" i="2"/>
  <c r="U173" i="6" s="1"/>
  <c r="U173" i="2"/>
  <c r="U174" i="6" s="1"/>
  <c r="U187" i="34" s="1"/>
  <c r="U155" i="2"/>
  <c r="U165" i="6" s="1"/>
  <c r="T29" i="6"/>
  <c r="T30" i="6"/>
  <c r="T33" i="2"/>
  <c r="T38" i="6" s="1"/>
  <c r="T20" i="2"/>
  <c r="V186" i="32"/>
  <c r="V173" i="33"/>
  <c r="V132" i="32"/>
  <c r="V495" i="7"/>
  <c r="V497" i="7" s="1"/>
  <c r="V286" i="7"/>
  <c r="T84" i="6"/>
  <c r="T210" i="32" s="1"/>
  <c r="U83" i="2"/>
  <c r="U84" i="6" s="1"/>
  <c r="U210" i="32" s="1"/>
  <c r="U65" i="2"/>
  <c r="U78" i="2"/>
  <c r="U83" i="6" s="1"/>
  <c r="U74" i="6"/>
  <c r="U119" i="6"/>
  <c r="U110" i="2"/>
  <c r="U120" i="6" s="1"/>
  <c r="V704" i="7"/>
  <c r="V913" i="7"/>
  <c r="V915" i="7" s="1"/>
  <c r="U123" i="2"/>
  <c r="U128" i="6" s="1"/>
  <c r="U128" i="2"/>
  <c r="U129" i="6" s="1"/>
  <c r="U196" i="33" s="1"/>
  <c r="J1014" i="7"/>
  <c r="J1021" i="7" s="1"/>
  <c r="J999" i="7"/>
  <c r="V378" i="25"/>
  <c r="V366" i="25"/>
  <c r="J64" i="7"/>
  <c r="J65" i="7" s="1"/>
  <c r="J123" i="7"/>
  <c r="K110" i="7"/>
  <c r="J97" i="7"/>
  <c r="J48" i="7"/>
  <c r="J50" i="7" s="1"/>
  <c r="J98" i="7"/>
  <c r="V101" i="7"/>
  <c r="V117" i="7"/>
  <c r="V37" i="7"/>
  <c r="J104" i="7"/>
  <c r="J113" i="7"/>
  <c r="K597" i="7"/>
  <c r="K599" i="7" s="1"/>
  <c r="K565" i="7"/>
  <c r="K566" i="7" s="1"/>
  <c r="L531" i="7"/>
  <c r="J550" i="7"/>
  <c r="J551" i="7"/>
  <c r="K534" i="7"/>
  <c r="K580" i="7"/>
  <c r="K587" i="7" s="1"/>
  <c r="U233" i="10"/>
  <c r="U228" i="10"/>
  <c r="U219" i="10"/>
  <c r="U226" i="10"/>
  <c r="V144" i="6"/>
  <c r="V144" i="2"/>
  <c r="V99" i="6"/>
  <c r="V99" i="2"/>
  <c r="V54" i="6"/>
  <c r="V53" i="5"/>
  <c r="V54" i="2"/>
  <c r="V132" i="10"/>
  <c r="V9" i="6"/>
  <c r="V9" i="5"/>
  <c r="V9" i="2"/>
  <c r="W17" i="7"/>
  <c r="W16" i="7"/>
  <c r="W21" i="7"/>
  <c r="W19" i="7"/>
  <c r="R346" i="7"/>
  <c r="R347" i="7" s="1"/>
  <c r="R362" i="7"/>
  <c r="R363" i="7" s="1"/>
  <c r="V129" i="1"/>
  <c r="X14" i="7"/>
  <c r="Y15" i="7" s="1"/>
  <c r="Y171" i="10"/>
  <c r="Y150" i="10"/>
  <c r="Y181" i="10"/>
  <c r="Y200" i="10"/>
  <c r="Y224" i="10"/>
  <c r="Y156" i="10"/>
  <c r="Y143" i="10"/>
  <c r="Y177" i="10"/>
  <c r="Y191" i="10"/>
  <c r="Y207" i="10"/>
  <c r="Y217" i="10"/>
  <c r="Y231" i="10"/>
  <c r="Y163" i="10"/>
  <c r="Y195" i="10"/>
  <c r="Y212" i="10"/>
  <c r="Y6" i="7"/>
  <c r="Z5" i="7" s="1"/>
  <c r="X12" i="7"/>
  <c r="X13" i="7" s="1"/>
  <c r="W35" i="27" l="1"/>
  <c r="T39" i="6"/>
  <c r="T186" i="10" s="1"/>
  <c r="L803" i="7"/>
  <c r="L804" i="7" s="1"/>
  <c r="L816" i="7" s="1"/>
  <c r="L1370" i="7"/>
  <c r="L1382" i="7" s="1"/>
  <c r="L1340" i="7"/>
  <c r="L1352" i="7" s="1"/>
  <c r="L1306" i="7"/>
  <c r="L1317" i="7"/>
  <c r="M1297" i="7"/>
  <c r="L1280" i="7"/>
  <c r="L1287" i="7"/>
  <c r="M1267" i="7"/>
  <c r="M885" i="7"/>
  <c r="L894" i="7"/>
  <c r="L898" i="7" s="1"/>
  <c r="L838" i="7"/>
  <c r="L850" i="7" s="1"/>
  <c r="L845" i="7"/>
  <c r="M825" i="7"/>
  <c r="V860" i="7"/>
  <c r="M377" i="7"/>
  <c r="M383" i="7" s="1"/>
  <c r="L386" i="7"/>
  <c r="M437" i="7"/>
  <c r="L446" i="7"/>
  <c r="L450" i="7" s="1"/>
  <c r="W254" i="25"/>
  <c r="W240" i="26"/>
  <c r="W141" i="5"/>
  <c r="W132" i="34"/>
  <c r="W97" i="5"/>
  <c r="W132" i="33"/>
  <c r="L415" i="7"/>
  <c r="U38" i="2"/>
  <c r="W1491" i="7"/>
  <c r="W1440" i="7"/>
  <c r="V1492" i="7"/>
  <c r="W1490" i="7" s="1"/>
  <c r="W448" i="7"/>
  <c r="W449" i="7" s="1"/>
  <c r="W444" i="7"/>
  <c r="W305" i="1"/>
  <c r="V807" i="7"/>
  <c r="V819" i="7" s="1"/>
  <c r="M381" i="7"/>
  <c r="M378" i="7" s="1"/>
  <c r="W626" i="7"/>
  <c r="W155" i="33" s="1"/>
  <c r="W625" i="7"/>
  <c r="W154" i="33" s="1"/>
  <c r="W624" i="7"/>
  <c r="W153" i="33" s="1"/>
  <c r="V1309" i="7"/>
  <c r="V1321" i="7" s="1"/>
  <c r="V837" i="7"/>
  <c r="V849" i="7" s="1"/>
  <c r="V479" i="7"/>
  <c r="R480" i="7"/>
  <c r="W895" i="7"/>
  <c r="W854" i="7"/>
  <c r="W835" i="7"/>
  <c r="W847" i="7" s="1"/>
  <c r="W892" i="7"/>
  <c r="W896" i="7"/>
  <c r="W897" i="7" s="1"/>
  <c r="W865" i="7"/>
  <c r="W832" i="7"/>
  <c r="W844" i="7" s="1"/>
  <c r="W836" i="7"/>
  <c r="W848" i="7" s="1"/>
  <c r="W824" i="7"/>
  <c r="W884" i="7"/>
  <c r="W862" i="7"/>
  <c r="W866" i="7"/>
  <c r="W867" i="7" s="1"/>
  <c r="W802" i="7"/>
  <c r="W814" i="7" s="1"/>
  <c r="W806" i="7"/>
  <c r="W818" i="7" s="1"/>
  <c r="W794" i="7"/>
  <c r="W761" i="7"/>
  <c r="W745" i="7"/>
  <c r="W779" i="7"/>
  <c r="W787" i="7" s="1"/>
  <c r="W747" i="7"/>
  <c r="W755" i="7" s="1"/>
  <c r="W777" i="7"/>
  <c r="W805" i="7"/>
  <c r="W817" i="7" s="1"/>
  <c r="W763" i="7"/>
  <c r="W826" i="7"/>
  <c r="W843" i="7" s="1"/>
  <c r="W796" i="7"/>
  <c r="W813" i="7" s="1"/>
  <c r="W886" i="7"/>
  <c r="N786" i="7"/>
  <c r="N780" i="7"/>
  <c r="N781" i="7" s="1"/>
  <c r="V1369" i="7"/>
  <c r="V1381" i="7" s="1"/>
  <c r="V1380" i="7"/>
  <c r="M891" i="7"/>
  <c r="M1357" i="7"/>
  <c r="L1377" i="7"/>
  <c r="W466" i="7"/>
  <c r="W417" i="7"/>
  <c r="W414" i="7"/>
  <c r="W418" i="7"/>
  <c r="W419" i="7" s="1"/>
  <c r="W406" i="7"/>
  <c r="W477" i="7"/>
  <c r="W436" i="7"/>
  <c r="W384" i="7"/>
  <c r="W478" i="7"/>
  <c r="W387" i="7"/>
  <c r="W474" i="7"/>
  <c r="W388" i="7"/>
  <c r="W389" i="7" s="1"/>
  <c r="W378" i="7"/>
  <c r="W408" i="7"/>
  <c r="W468" i="7"/>
  <c r="W376" i="7"/>
  <c r="W361" i="7"/>
  <c r="W345" i="7"/>
  <c r="W343" i="7"/>
  <c r="W329" i="7"/>
  <c r="W359" i="7"/>
  <c r="W327" i="7"/>
  <c r="N1220" i="7"/>
  <c r="M1222" i="7"/>
  <c r="N1242" i="7"/>
  <c r="N1236" i="7"/>
  <c r="M766" i="7"/>
  <c r="V1339" i="7"/>
  <c r="V1351" i="7" s="1"/>
  <c r="V1279" i="7"/>
  <c r="V1291" i="7" s="1"/>
  <c r="M1245" i="7"/>
  <c r="M1238" i="7"/>
  <c r="M1246" i="7" s="1"/>
  <c r="S467" i="7"/>
  <c r="S473" i="7" s="1"/>
  <c r="N330" i="7"/>
  <c r="L1347" i="7"/>
  <c r="M1327" i="7"/>
  <c r="W1337" i="7"/>
  <c r="W1349" i="7" s="1"/>
  <c r="W1334" i="7"/>
  <c r="W1346" i="7" s="1"/>
  <c r="W1338" i="7"/>
  <c r="W1350" i="7" s="1"/>
  <c r="W1326" i="7"/>
  <c r="W1307" i="7"/>
  <c r="W1319" i="7" s="1"/>
  <c r="W1296" i="7"/>
  <c r="W1277" i="7"/>
  <c r="W1289" i="7" s="1"/>
  <c r="W1364" i="7"/>
  <c r="W1376" i="7" s="1"/>
  <c r="W1368" i="7"/>
  <c r="W1380" i="7" s="1"/>
  <c r="W1356" i="7"/>
  <c r="W1278" i="7"/>
  <c r="W1290" i="7" s="1"/>
  <c r="W1219" i="7"/>
  <c r="W1304" i="7"/>
  <c r="W1316" i="7" s="1"/>
  <c r="W1235" i="7"/>
  <c r="W1243" i="7" s="1"/>
  <c r="W1367" i="7"/>
  <c r="W1379" i="7" s="1"/>
  <c r="W1274" i="7"/>
  <c r="W1286" i="7" s="1"/>
  <c r="W1266" i="7"/>
  <c r="W1251" i="7"/>
  <c r="W1259" i="7" s="1"/>
  <c r="W1233" i="7"/>
  <c r="W1249" i="7"/>
  <c r="W1308" i="7"/>
  <c r="W1320" i="7" s="1"/>
  <c r="W1217" i="7"/>
  <c r="W1268" i="7"/>
  <c r="W1285" i="7" s="1"/>
  <c r="W1298" i="7"/>
  <c r="W1315" i="7" s="1"/>
  <c r="W1358" i="7"/>
  <c r="W1375" i="7" s="1"/>
  <c r="W1328" i="7"/>
  <c r="W1345" i="7" s="1"/>
  <c r="N1252" i="7"/>
  <c r="N1258" i="7"/>
  <c r="N748" i="7"/>
  <c r="N754" i="7"/>
  <c r="N764" i="7"/>
  <c r="M443" i="7"/>
  <c r="X18" i="7"/>
  <c r="X20" i="7"/>
  <c r="K516" i="7"/>
  <c r="K523" i="7" s="1"/>
  <c r="W99" i="27"/>
  <c r="U248" i="32"/>
  <c r="W103" i="27"/>
  <c r="W374" i="25"/>
  <c r="W364" i="26"/>
  <c r="W370" i="25"/>
  <c r="W421" i="1"/>
  <c r="W417" i="1"/>
  <c r="W362" i="25"/>
  <c r="W360" i="26"/>
  <c r="W352" i="26"/>
  <c r="W413" i="1"/>
  <c r="W429" i="1"/>
  <c r="W356" i="26"/>
  <c r="W425" i="1"/>
  <c r="W348" i="26"/>
  <c r="V250" i="32"/>
  <c r="V228" i="33"/>
  <c r="V235" i="33"/>
  <c r="V242" i="33"/>
  <c r="V233" i="34"/>
  <c r="V219" i="34"/>
  <c r="V226" i="34"/>
  <c r="V249" i="32"/>
  <c r="V242" i="32"/>
  <c r="V256" i="32"/>
  <c r="V251" i="32"/>
  <c r="V243" i="32"/>
  <c r="W137" i="10"/>
  <c r="W138" i="33"/>
  <c r="W137" i="32"/>
  <c r="W137" i="34"/>
  <c r="W143" i="34"/>
  <c r="W1173" i="7"/>
  <c r="W1385" i="7"/>
  <c r="W1387" i="7" s="1"/>
  <c r="V171" i="6"/>
  <c r="V164" i="6"/>
  <c r="U20" i="2"/>
  <c r="U29" i="6"/>
  <c r="V168" i="2"/>
  <c r="V173" i="6" s="1"/>
  <c r="V173" i="2"/>
  <c r="V174" i="6" s="1"/>
  <c r="V187" i="34" s="1"/>
  <c r="V155" i="2"/>
  <c r="V165" i="6" s="1"/>
  <c r="U75" i="6"/>
  <c r="U30" i="6" s="1"/>
  <c r="U33" i="2"/>
  <c r="U38" i="6" s="1"/>
  <c r="W186" i="32"/>
  <c r="W173" i="33"/>
  <c r="K567" i="7"/>
  <c r="V74" i="6"/>
  <c r="W132" i="32"/>
  <c r="W495" i="7"/>
  <c r="W497" i="7" s="1"/>
  <c r="W286" i="7"/>
  <c r="V65" i="2"/>
  <c r="V75" i="6" s="1"/>
  <c r="V78" i="2"/>
  <c r="V83" i="6" s="1"/>
  <c r="V83" i="2"/>
  <c r="V84" i="6" s="1"/>
  <c r="V210" i="32" s="1"/>
  <c r="W913" i="7"/>
  <c r="W915" i="7" s="1"/>
  <c r="W704" i="7"/>
  <c r="V119" i="6"/>
  <c r="V110" i="2"/>
  <c r="V120" i="6" s="1"/>
  <c r="V123" i="2"/>
  <c r="V128" i="6" s="1"/>
  <c r="V128" i="2"/>
  <c r="V129" i="6" s="1"/>
  <c r="V196" i="33" s="1"/>
  <c r="J1015" i="7"/>
  <c r="J1016" i="7" s="1"/>
  <c r="J66" i="7"/>
  <c r="K62" i="7" s="1"/>
  <c r="J1000" i="7"/>
  <c r="J1001" i="7"/>
  <c r="W366" i="25"/>
  <c r="W378" i="25"/>
  <c r="K598" i="7"/>
  <c r="W101" i="7"/>
  <c r="W117" i="7"/>
  <c r="W37" i="7"/>
  <c r="K46" i="7"/>
  <c r="J49" i="7"/>
  <c r="J107" i="7"/>
  <c r="K94" i="7"/>
  <c r="K111" i="7"/>
  <c r="K118" i="7" s="1"/>
  <c r="K581" i="7"/>
  <c r="K582" i="7" s="1"/>
  <c r="K547" i="7"/>
  <c r="L532" i="7"/>
  <c r="L539" i="7" s="1"/>
  <c r="L595" i="7"/>
  <c r="V219" i="10"/>
  <c r="V233" i="10"/>
  <c r="V226" i="10"/>
  <c r="V228" i="10"/>
  <c r="W99" i="6"/>
  <c r="W99" i="2"/>
  <c r="W54" i="6"/>
  <c r="W53" i="5"/>
  <c r="W54" i="2"/>
  <c r="W132" i="10"/>
  <c r="W9" i="6"/>
  <c r="W9" i="5"/>
  <c r="W9" i="2"/>
  <c r="W144" i="6"/>
  <c r="W144" i="2"/>
  <c r="X16" i="7"/>
  <c r="X21" i="7"/>
  <c r="X19" i="7"/>
  <c r="X17" i="7"/>
  <c r="R364" i="7"/>
  <c r="Z171" i="10"/>
  <c r="Z156" i="10"/>
  <c r="Z181" i="10"/>
  <c r="Z217" i="10"/>
  <c r="Z150" i="10"/>
  <c r="Z177" i="10"/>
  <c r="Z191" i="10"/>
  <c r="Z195" i="10"/>
  <c r="Z207" i="10"/>
  <c r="Z212" i="10"/>
  <c r="Z231" i="10"/>
  <c r="Z143" i="10"/>
  <c r="Z163" i="10"/>
  <c r="Z200" i="10"/>
  <c r="Z224" i="10"/>
  <c r="S344" i="7"/>
  <c r="W129" i="1"/>
  <c r="Y14" i="7"/>
  <c r="Z15" i="7" s="1"/>
  <c r="Z6" i="7"/>
  <c r="AA5" i="7" s="1"/>
  <c r="S360" i="7"/>
  <c r="R348" i="7"/>
  <c r="Y12" i="7"/>
  <c r="Y13" i="7" s="1"/>
  <c r="L1292" i="7" l="1"/>
  <c r="X35" i="27"/>
  <c r="U39" i="6"/>
  <c r="U186" i="10" s="1"/>
  <c r="M385" i="7"/>
  <c r="M386" i="7" s="1"/>
  <c r="M795" i="7"/>
  <c r="M801" i="7" s="1"/>
  <c r="L815" i="7"/>
  <c r="L808" i="7"/>
  <c r="L820" i="7" s="1"/>
  <c r="L1318" i="7"/>
  <c r="L1310" i="7"/>
  <c r="L1322" i="7" s="1"/>
  <c r="M1303" i="7"/>
  <c r="M1301" i="7" s="1"/>
  <c r="M1298" i="7" s="1"/>
  <c r="M1305" i="7" s="1"/>
  <c r="M1314" i="7"/>
  <c r="M1284" i="7"/>
  <c r="M1273" i="7"/>
  <c r="M1271" i="7" s="1"/>
  <c r="M1268" i="7" s="1"/>
  <c r="M842" i="7"/>
  <c r="M831" i="7"/>
  <c r="W860" i="7"/>
  <c r="M407" i="7"/>
  <c r="M413" i="7" s="1"/>
  <c r="L416" i="7"/>
  <c r="L420" i="7" s="1"/>
  <c r="X141" i="5"/>
  <c r="X132" i="34"/>
  <c r="X97" i="5"/>
  <c r="X132" i="33"/>
  <c r="X254" i="25"/>
  <c r="X240" i="26"/>
  <c r="V38" i="2"/>
  <c r="W1492" i="7"/>
  <c r="X1490" i="7" s="1"/>
  <c r="X1440" i="7"/>
  <c r="X1491" i="7"/>
  <c r="X305" i="1"/>
  <c r="X448" i="7"/>
  <c r="X449" i="7" s="1"/>
  <c r="X444" i="7"/>
  <c r="W807" i="7"/>
  <c r="W819" i="7" s="1"/>
  <c r="X625" i="7"/>
  <c r="X154" i="33" s="1"/>
  <c r="X624" i="7"/>
  <c r="X153" i="33" s="1"/>
  <c r="X626" i="7"/>
  <c r="X155" i="33" s="1"/>
  <c r="W1339" i="7"/>
  <c r="W1351" i="7" s="1"/>
  <c r="N749" i="7"/>
  <c r="N756" i="7"/>
  <c r="O746" i="7"/>
  <c r="N1237" i="7"/>
  <c r="N1244" i="7"/>
  <c r="O1234" i="7"/>
  <c r="N1221" i="7"/>
  <c r="O1218" i="7"/>
  <c r="W479" i="7"/>
  <c r="M411" i="7"/>
  <c r="M408" i="7" s="1"/>
  <c r="X1334" i="7"/>
  <c r="X1346" i="7" s="1"/>
  <c r="X1338" i="7"/>
  <c r="X1350" i="7" s="1"/>
  <c r="X1326" i="7"/>
  <c r="X1307" i="7"/>
  <c r="X1319" i="7" s="1"/>
  <c r="X1296" i="7"/>
  <c r="X1277" i="7"/>
  <c r="X1289" i="7" s="1"/>
  <c r="X1367" i="7"/>
  <c r="X1379" i="7" s="1"/>
  <c r="X1356" i="7"/>
  <c r="X1304" i="7"/>
  <c r="X1316" i="7" s="1"/>
  <c r="X1308" i="7"/>
  <c r="X1320" i="7" s="1"/>
  <c r="X1274" i="7"/>
  <c r="X1286" i="7" s="1"/>
  <c r="X1278" i="7"/>
  <c r="X1290" i="7" s="1"/>
  <c r="X1337" i="7"/>
  <c r="X1349" i="7" s="1"/>
  <c r="X1368" i="7"/>
  <c r="X1380" i="7" s="1"/>
  <c r="X1235" i="7"/>
  <c r="X1243" i="7" s="1"/>
  <c r="X1358" i="7"/>
  <c r="X1375" i="7" s="1"/>
  <c r="X1364" i="7"/>
  <c r="X1376" i="7" s="1"/>
  <c r="X1266" i="7"/>
  <c r="X1251" i="7"/>
  <c r="X1259" i="7" s="1"/>
  <c r="X1233" i="7"/>
  <c r="X1249" i="7"/>
  <c r="X1217" i="7"/>
  <c r="X1219" i="7"/>
  <c r="X1298" i="7"/>
  <c r="X1315" i="7" s="1"/>
  <c r="X1268" i="7"/>
  <c r="X1285" i="7" s="1"/>
  <c r="X1328" i="7"/>
  <c r="X1345" i="7" s="1"/>
  <c r="X892" i="7"/>
  <c r="X896" i="7"/>
  <c r="X897" i="7" s="1"/>
  <c r="X865" i="7"/>
  <c r="X832" i="7"/>
  <c r="X844" i="7" s="1"/>
  <c r="X836" i="7"/>
  <c r="X824" i="7"/>
  <c r="X884" i="7"/>
  <c r="X862" i="7"/>
  <c r="X866" i="7"/>
  <c r="X867" i="7" s="1"/>
  <c r="X779" i="7"/>
  <c r="X787" i="7" s="1"/>
  <c r="X747" i="7"/>
  <c r="X755" i="7" s="1"/>
  <c r="X777" i="7"/>
  <c r="X835" i="7"/>
  <c r="X847" i="7" s="1"/>
  <c r="X805" i="7"/>
  <c r="X817" i="7" s="1"/>
  <c r="X763" i="7"/>
  <c r="X802" i="7"/>
  <c r="X814" i="7" s="1"/>
  <c r="X745" i="7"/>
  <c r="X854" i="7"/>
  <c r="X895" i="7"/>
  <c r="X794" i="7"/>
  <c r="X806" i="7"/>
  <c r="X818" i="7" s="1"/>
  <c r="X761" i="7"/>
  <c r="X796" i="7"/>
  <c r="X813" i="7" s="1"/>
  <c r="X826" i="7"/>
  <c r="X843" i="7" s="1"/>
  <c r="X886" i="7"/>
  <c r="M1344" i="7"/>
  <c r="M1333" i="7"/>
  <c r="O778" i="7"/>
  <c r="N788" i="7"/>
  <c r="M441" i="7"/>
  <c r="M438" i="7" s="1"/>
  <c r="W1279" i="7"/>
  <c r="W1291" i="7" s="1"/>
  <c r="W1309" i="7"/>
  <c r="W1321" i="7" s="1"/>
  <c r="M889" i="7"/>
  <c r="M886" i="7" s="1"/>
  <c r="O762" i="7"/>
  <c r="O1250" i="7"/>
  <c r="N1260" i="7"/>
  <c r="N331" i="7"/>
  <c r="O328" i="7"/>
  <c r="M1374" i="7"/>
  <c r="M1363" i="7"/>
  <c r="X414" i="7"/>
  <c r="X418" i="7"/>
  <c r="X419" i="7" s="1"/>
  <c r="X406" i="7"/>
  <c r="X477" i="7"/>
  <c r="X436" i="7"/>
  <c r="X474" i="7"/>
  <c r="X478" i="7"/>
  <c r="X387" i="7"/>
  <c r="X417" i="7"/>
  <c r="X384" i="7"/>
  <c r="X388" i="7"/>
  <c r="X389" i="7" s="1"/>
  <c r="X466" i="7"/>
  <c r="X468" i="7"/>
  <c r="X408" i="7"/>
  <c r="X378" i="7"/>
  <c r="X359" i="7"/>
  <c r="X376" i="7"/>
  <c r="X361" i="7"/>
  <c r="X345" i="7"/>
  <c r="X343" i="7"/>
  <c r="X329" i="7"/>
  <c r="X327" i="7"/>
  <c r="S475" i="7"/>
  <c r="N789" i="7"/>
  <c r="N782" i="7"/>
  <c r="N790" i="7" s="1"/>
  <c r="N765" i="7"/>
  <c r="N1253" i="7"/>
  <c r="W1369" i="7"/>
  <c r="W1381" i="7" s="1"/>
  <c r="W837" i="7"/>
  <c r="W849" i="7" s="1"/>
  <c r="Y18" i="7"/>
  <c r="Y20" i="7"/>
  <c r="K517" i="7"/>
  <c r="X99" i="27"/>
  <c r="X103" i="27"/>
  <c r="X348" i="26"/>
  <c r="X421" i="1"/>
  <c r="X413" i="1"/>
  <c r="X417" i="1"/>
  <c r="X370" i="25"/>
  <c r="X356" i="26"/>
  <c r="X429" i="1"/>
  <c r="X362" i="25"/>
  <c r="X374" i="25"/>
  <c r="X425" i="1"/>
  <c r="X352" i="26"/>
  <c r="X360" i="26"/>
  <c r="X364" i="26"/>
  <c r="V248" i="32"/>
  <c r="W250" i="32"/>
  <c r="W233" i="34"/>
  <c r="W219" i="34"/>
  <c r="W226" i="34"/>
  <c r="W228" i="33"/>
  <c r="W235" i="33"/>
  <c r="W242" i="33"/>
  <c r="W256" i="32"/>
  <c r="W251" i="32"/>
  <c r="W243" i="32"/>
  <c r="W249" i="32"/>
  <c r="W242" i="32"/>
  <c r="X137" i="10"/>
  <c r="X138" i="33"/>
  <c r="X137" i="32"/>
  <c r="X137" i="34"/>
  <c r="L563" i="7"/>
  <c r="L564" i="7" s="1"/>
  <c r="L571" i="7" s="1"/>
  <c r="X143" i="34"/>
  <c r="W171" i="6"/>
  <c r="W164" i="6"/>
  <c r="X1385" i="7"/>
  <c r="X1387" i="7" s="1"/>
  <c r="X1173" i="7"/>
  <c r="V29" i="6"/>
  <c r="W173" i="2"/>
  <c r="W174" i="6" s="1"/>
  <c r="W187" i="34" s="1"/>
  <c r="W155" i="2"/>
  <c r="W165" i="6" s="1"/>
  <c r="W168" i="2"/>
  <c r="W173" i="6" s="1"/>
  <c r="V30" i="6"/>
  <c r="V20" i="2"/>
  <c r="V33" i="2"/>
  <c r="V38" i="6" s="1"/>
  <c r="X173" i="33"/>
  <c r="X186" i="32"/>
  <c r="X132" i="32"/>
  <c r="X495" i="7"/>
  <c r="X497" i="7" s="1"/>
  <c r="X286" i="7"/>
  <c r="W65" i="2"/>
  <c r="W75" i="6" s="1"/>
  <c r="W78" i="2"/>
  <c r="W83" i="6" s="1"/>
  <c r="W83" i="2"/>
  <c r="W84" i="6" s="1"/>
  <c r="W210" i="32" s="1"/>
  <c r="W74" i="6"/>
  <c r="X913" i="7"/>
  <c r="X915" i="7" s="1"/>
  <c r="X704" i="7"/>
  <c r="W110" i="2"/>
  <c r="W120" i="6" s="1"/>
  <c r="W119" i="6"/>
  <c r="W123" i="2"/>
  <c r="W128" i="6" s="1"/>
  <c r="W128" i="2"/>
  <c r="W129" i="6" s="1"/>
  <c r="W196" i="33" s="1"/>
  <c r="J1017" i="7"/>
  <c r="K1013" i="7" s="1"/>
  <c r="K583" i="7"/>
  <c r="L579" i="7" s="1"/>
  <c r="K997" i="7"/>
  <c r="X378" i="25"/>
  <c r="X366" i="25"/>
  <c r="K112" i="7"/>
  <c r="K114" i="7" s="1"/>
  <c r="K63" i="7"/>
  <c r="K70" i="7" s="1"/>
  <c r="X101" i="7"/>
  <c r="X37" i="7"/>
  <c r="X117" i="7"/>
  <c r="K119" i="7"/>
  <c r="K95" i="7"/>
  <c r="K102" i="7" s="1"/>
  <c r="K47" i="7"/>
  <c r="K54" i="7" s="1"/>
  <c r="L533" i="7"/>
  <c r="L535" i="7" s="1"/>
  <c r="L596" i="7"/>
  <c r="L603" i="7" s="1"/>
  <c r="K548" i="7"/>
  <c r="K555" i="7" s="1"/>
  <c r="W228" i="10"/>
  <c r="W233" i="10"/>
  <c r="W226" i="10"/>
  <c r="W219" i="10"/>
  <c r="X132" i="10"/>
  <c r="X9" i="6"/>
  <c r="X9" i="5"/>
  <c r="X9" i="2"/>
  <c r="X144" i="6"/>
  <c r="X144" i="2"/>
  <c r="X99" i="6"/>
  <c r="X99" i="2"/>
  <c r="X54" i="6"/>
  <c r="X53" i="5"/>
  <c r="X54" i="2"/>
  <c r="Y16" i="7"/>
  <c r="Y21" i="7"/>
  <c r="Y19" i="7"/>
  <c r="Y17" i="7"/>
  <c r="Z14" i="7"/>
  <c r="AA15" i="7" s="1"/>
  <c r="S362" i="7"/>
  <c r="S363" i="7" s="1"/>
  <c r="AA156" i="10"/>
  <c r="AA143" i="10"/>
  <c r="AA163" i="10"/>
  <c r="AA195" i="10"/>
  <c r="AA212" i="10"/>
  <c r="AA171" i="10"/>
  <c r="AA150" i="10"/>
  <c r="AA177" i="10"/>
  <c r="AA191" i="10"/>
  <c r="AA207" i="10"/>
  <c r="AA217" i="10"/>
  <c r="AA231" i="10"/>
  <c r="AA181" i="10"/>
  <c r="AA200" i="10"/>
  <c r="AA224" i="10"/>
  <c r="AA6" i="7"/>
  <c r="AB5" i="7" s="1"/>
  <c r="S346" i="7"/>
  <c r="X129" i="1"/>
  <c r="Z12" i="7"/>
  <c r="Z13" i="7" s="1"/>
  <c r="Y35" i="27" l="1"/>
  <c r="V39" i="6"/>
  <c r="V186" i="10" s="1"/>
  <c r="M812" i="7"/>
  <c r="M1306" i="7"/>
  <c r="M1318" i="7" s="1"/>
  <c r="N1297" i="7"/>
  <c r="M1317" i="7"/>
  <c r="M1315" i="7"/>
  <c r="M1285" i="7"/>
  <c r="M1275" i="7"/>
  <c r="M829" i="7"/>
  <c r="M826" i="7" s="1"/>
  <c r="X860" i="7"/>
  <c r="Y240" i="26"/>
  <c r="Y141" i="5"/>
  <c r="Y132" i="34"/>
  <c r="Y97" i="5"/>
  <c r="Y132" i="33"/>
  <c r="Y254" i="25"/>
  <c r="W38" i="2"/>
  <c r="X1492" i="7"/>
  <c r="Y1490" i="7" s="1"/>
  <c r="Y1440" i="7"/>
  <c r="Y1491" i="7"/>
  <c r="Y444" i="7"/>
  <c r="Y448" i="7"/>
  <c r="Y449" i="7" s="1"/>
  <c r="Y305" i="1"/>
  <c r="Y624" i="7"/>
  <c r="Y153" i="33" s="1"/>
  <c r="Y626" i="7"/>
  <c r="Y155" i="33" s="1"/>
  <c r="Y625" i="7"/>
  <c r="Y154" i="33" s="1"/>
  <c r="X1309" i="7"/>
  <c r="X1321" i="7" s="1"/>
  <c r="X1339" i="7"/>
  <c r="X1351" i="7" s="1"/>
  <c r="N1254" i="7"/>
  <c r="N1262" i="7" s="1"/>
  <c r="N1261" i="7"/>
  <c r="T467" i="7"/>
  <c r="T473" i="7" s="1"/>
  <c r="Y884" i="7"/>
  <c r="Y862" i="7"/>
  <c r="Y866" i="7"/>
  <c r="Y867" i="7" s="1"/>
  <c r="Y895" i="7"/>
  <c r="Y854" i="7"/>
  <c r="Y835" i="7"/>
  <c r="Y847" i="7" s="1"/>
  <c r="Y836" i="7"/>
  <c r="Y848" i="7" s="1"/>
  <c r="Y777" i="7"/>
  <c r="Y896" i="7"/>
  <c r="Y897" i="7" s="1"/>
  <c r="Y865" i="7"/>
  <c r="Y832" i="7"/>
  <c r="Y844" i="7" s="1"/>
  <c r="Y805" i="7"/>
  <c r="Y817" i="7" s="1"/>
  <c r="Y763" i="7"/>
  <c r="Y892" i="7"/>
  <c r="Y802" i="7"/>
  <c r="Y814" i="7" s="1"/>
  <c r="Y806" i="7"/>
  <c r="Y818" i="7" s="1"/>
  <c r="Y794" i="7"/>
  <c r="Y761" i="7"/>
  <c r="Y745" i="7"/>
  <c r="Y824" i="7"/>
  <c r="Y779" i="7"/>
  <c r="Y787" i="7" s="1"/>
  <c r="Y747" i="7"/>
  <c r="Y755" i="7" s="1"/>
  <c r="Y826" i="7"/>
  <c r="Y843" i="7" s="1"/>
  <c r="Y796" i="7"/>
  <c r="Y813" i="7" s="1"/>
  <c r="Y886" i="7"/>
  <c r="N766" i="7"/>
  <c r="N332" i="7"/>
  <c r="O764" i="7"/>
  <c r="O786" i="7"/>
  <c r="O780" i="7"/>
  <c r="M415" i="7"/>
  <c r="N407" i="7" s="1"/>
  <c r="N750" i="7"/>
  <c r="N758" i="7" s="1"/>
  <c r="N757" i="7"/>
  <c r="M1361" i="7"/>
  <c r="M1358" i="7" s="1"/>
  <c r="M799" i="7"/>
  <c r="M796" i="7" s="1"/>
  <c r="Y477" i="7"/>
  <c r="Y436" i="7"/>
  <c r="Y474" i="7"/>
  <c r="Y478" i="7"/>
  <c r="Y466" i="7"/>
  <c r="Y417" i="7"/>
  <c r="Y418" i="7"/>
  <c r="Y419" i="7" s="1"/>
  <c r="Y406" i="7"/>
  <c r="Y384" i="7"/>
  <c r="Y388" i="7"/>
  <c r="Y389" i="7" s="1"/>
  <c r="Y414" i="7"/>
  <c r="Y387" i="7"/>
  <c r="Y468" i="7"/>
  <c r="Y408" i="7"/>
  <c r="Y378" i="7"/>
  <c r="Y376" i="7"/>
  <c r="Y359" i="7"/>
  <c r="Y327" i="7"/>
  <c r="Y361" i="7"/>
  <c r="Y345" i="7"/>
  <c r="Y343" i="7"/>
  <c r="Y329" i="7"/>
  <c r="X479" i="7"/>
  <c r="O1258" i="7"/>
  <c r="O1252" i="7"/>
  <c r="O1253" i="7" s="1"/>
  <c r="M445" i="7"/>
  <c r="N1222" i="7"/>
  <c r="O754" i="7"/>
  <c r="O748" i="7"/>
  <c r="O749" i="7" s="1"/>
  <c r="X807" i="7"/>
  <c r="X819" i="7" s="1"/>
  <c r="X1369" i="7"/>
  <c r="X1381" i="7" s="1"/>
  <c r="O330" i="7"/>
  <c r="O1236" i="7"/>
  <c r="O1242" i="7"/>
  <c r="Y1367" i="7"/>
  <c r="Y1379" i="7" s="1"/>
  <c r="Y1356" i="7"/>
  <c r="Y1304" i="7"/>
  <c r="Y1316" i="7" s="1"/>
  <c r="Y1308" i="7"/>
  <c r="Y1320" i="7" s="1"/>
  <c r="Y1274" i="7"/>
  <c r="Y1286" i="7" s="1"/>
  <c r="Y1278" i="7"/>
  <c r="Y1290" i="7" s="1"/>
  <c r="Y1364" i="7"/>
  <c r="Y1376" i="7" s="1"/>
  <c r="Y1368" i="7"/>
  <c r="Y1380" i="7" s="1"/>
  <c r="Y1334" i="7"/>
  <c r="Y1346" i="7" s="1"/>
  <c r="Y1338" i="7"/>
  <c r="Y1350" i="7" s="1"/>
  <c r="Y1326" i="7"/>
  <c r="Y1266" i="7"/>
  <c r="Y1251" i="7"/>
  <c r="Y1259" i="7" s="1"/>
  <c r="Y1233" i="7"/>
  <c r="Y1249" i="7"/>
  <c r="Y1217" i="7"/>
  <c r="Y1337" i="7"/>
  <c r="Y1349" i="7" s="1"/>
  <c r="Y1307" i="7"/>
  <c r="Y1319" i="7" s="1"/>
  <c r="Y1296" i="7"/>
  <c r="Y1219" i="7"/>
  <c r="Y1235" i="7"/>
  <c r="Y1243" i="7" s="1"/>
  <c r="Y1277" i="7"/>
  <c r="Y1289" i="7" s="1"/>
  <c r="Y1268" i="7"/>
  <c r="Y1285" i="7" s="1"/>
  <c r="Y1358" i="7"/>
  <c r="Y1375" i="7" s="1"/>
  <c r="Y1298" i="7"/>
  <c r="Y1315" i="7" s="1"/>
  <c r="Y1328" i="7"/>
  <c r="Y1345" i="7" s="1"/>
  <c r="M893" i="7"/>
  <c r="X837" i="7"/>
  <c r="X849" i="7" s="1"/>
  <c r="X848" i="7"/>
  <c r="O1220" i="7"/>
  <c r="O1221" i="7" s="1"/>
  <c r="N1238" i="7"/>
  <c r="N1246" i="7" s="1"/>
  <c r="N1245" i="7"/>
  <c r="X1279" i="7"/>
  <c r="X1291" i="7" s="1"/>
  <c r="S476" i="7"/>
  <c r="M1331" i="7"/>
  <c r="M1328" i="7" s="1"/>
  <c r="Z18" i="7"/>
  <c r="Z20" i="7"/>
  <c r="Y99" i="27"/>
  <c r="X250" i="32"/>
  <c r="W248" i="32"/>
  <c r="Y103" i="27"/>
  <c r="Y364" i="26"/>
  <c r="Y362" i="25"/>
  <c r="Y348" i="26"/>
  <c r="Y425" i="1"/>
  <c r="Y374" i="25"/>
  <c r="Y413" i="1"/>
  <c r="Y352" i="26"/>
  <c r="Y356" i="26"/>
  <c r="Y417" i="1"/>
  <c r="Y421" i="1"/>
  <c r="Y360" i="26"/>
  <c r="Y429" i="1"/>
  <c r="Y370" i="25"/>
  <c r="X228" i="33"/>
  <c r="X235" i="33"/>
  <c r="X242" i="33"/>
  <c r="X256" i="32"/>
  <c r="X251" i="32"/>
  <c r="X243" i="32"/>
  <c r="X249" i="32"/>
  <c r="X242" i="32"/>
  <c r="X226" i="34"/>
  <c r="X233" i="34"/>
  <c r="X219" i="34"/>
  <c r="Y138" i="33"/>
  <c r="Y137" i="32"/>
  <c r="Y137" i="34"/>
  <c r="Y137" i="10"/>
  <c r="Y143" i="34"/>
  <c r="Y1385" i="7"/>
  <c r="Y1387" i="7" s="1"/>
  <c r="Y1173" i="7"/>
  <c r="X171" i="6"/>
  <c r="X164" i="6"/>
  <c r="W29" i="6"/>
  <c r="W33" i="2"/>
  <c r="W38" i="6" s="1"/>
  <c r="X155" i="2"/>
  <c r="X165" i="6" s="1"/>
  <c r="X168" i="2"/>
  <c r="X173" i="6" s="1"/>
  <c r="X173" i="2"/>
  <c r="X174" i="6" s="1"/>
  <c r="X187" i="34" s="1"/>
  <c r="W30" i="6"/>
  <c r="W20" i="2"/>
  <c r="Y173" i="33"/>
  <c r="Y186" i="32"/>
  <c r="X219" i="10"/>
  <c r="X65" i="2"/>
  <c r="X75" i="6" s="1"/>
  <c r="X78" i="2"/>
  <c r="X83" i="2"/>
  <c r="X84" i="6" s="1"/>
  <c r="X210" i="32" s="1"/>
  <c r="Y132" i="32"/>
  <c r="Y495" i="7"/>
  <c r="Y497" i="7" s="1"/>
  <c r="Y286" i="7"/>
  <c r="X74" i="6"/>
  <c r="X110" i="2"/>
  <c r="X120" i="6" s="1"/>
  <c r="Y913" i="7"/>
  <c r="Y915" i="7" s="1"/>
  <c r="Y704" i="7"/>
  <c r="X119" i="6"/>
  <c r="X128" i="2"/>
  <c r="X129" i="6" s="1"/>
  <c r="X196" i="33" s="1"/>
  <c r="X123" i="2"/>
  <c r="X128" i="6" s="1"/>
  <c r="L534" i="7"/>
  <c r="K1014" i="7"/>
  <c r="K1021" i="7" s="1"/>
  <c r="K998" i="7"/>
  <c r="K1005" i="7" s="1"/>
  <c r="Y378" i="25"/>
  <c r="Y366" i="25"/>
  <c r="K48" i="7"/>
  <c r="K50" i="7" s="1"/>
  <c r="K120" i="7"/>
  <c r="L110" i="7"/>
  <c r="Y101" i="7"/>
  <c r="Y117" i="7"/>
  <c r="Y37" i="7"/>
  <c r="K96" i="7"/>
  <c r="K64" i="7"/>
  <c r="K103" i="7"/>
  <c r="K105" i="7" s="1"/>
  <c r="L100" i="7" s="1"/>
  <c r="K113" i="7"/>
  <c r="K121" i="7"/>
  <c r="L116" i="7" s="1"/>
  <c r="L565" i="7"/>
  <c r="L567" i="7" s="1"/>
  <c r="L597" i="7"/>
  <c r="L599" i="7" s="1"/>
  <c r="M531" i="7"/>
  <c r="L580" i="7"/>
  <c r="L587" i="7" s="1"/>
  <c r="K549" i="7"/>
  <c r="K519" i="7"/>
  <c r="K518" i="7"/>
  <c r="X228" i="10"/>
  <c r="X226" i="10"/>
  <c r="X233" i="10"/>
  <c r="Y99" i="6"/>
  <c r="Y99" i="2"/>
  <c r="Y54" i="6"/>
  <c r="Y53" i="5"/>
  <c r="Y54" i="2"/>
  <c r="Y132" i="10"/>
  <c r="Y9" i="6"/>
  <c r="Y9" i="5"/>
  <c r="Y9" i="2"/>
  <c r="Y144" i="6"/>
  <c r="Y144" i="2"/>
  <c r="Z19" i="7"/>
  <c r="Z17" i="7"/>
  <c r="Z16" i="7"/>
  <c r="Z21" i="7"/>
  <c r="AA14" i="7"/>
  <c r="AB15" i="7" s="1"/>
  <c r="S364" i="7"/>
  <c r="T344" i="7"/>
  <c r="AB6" i="7"/>
  <c r="AC5" i="7" s="1"/>
  <c r="Y129" i="1"/>
  <c r="AA12" i="7"/>
  <c r="AA13" i="7" s="1"/>
  <c r="AB171" i="10"/>
  <c r="AB156" i="10"/>
  <c r="AB181" i="10"/>
  <c r="AB217" i="10"/>
  <c r="AB143" i="10"/>
  <c r="AB177" i="10"/>
  <c r="AB191" i="10"/>
  <c r="AB195" i="10"/>
  <c r="AB207" i="10"/>
  <c r="AB212" i="10"/>
  <c r="AB231" i="10"/>
  <c r="AB163" i="10"/>
  <c r="AB200" i="10"/>
  <c r="AB224" i="10"/>
  <c r="AB150" i="10"/>
  <c r="T360" i="7"/>
  <c r="S347" i="7"/>
  <c r="W39" i="6" l="1"/>
  <c r="W186" i="10" s="1"/>
  <c r="Z35" i="27"/>
  <c r="M1310" i="7"/>
  <c r="M1322" i="7" s="1"/>
  <c r="N1314" i="7"/>
  <c r="N1303" i="7"/>
  <c r="N1301" i="7" s="1"/>
  <c r="N1298" i="7" s="1"/>
  <c r="M1276" i="7"/>
  <c r="M1287" i="7"/>
  <c r="N1267" i="7"/>
  <c r="N885" i="7"/>
  <c r="M894" i="7"/>
  <c r="M898" i="7" s="1"/>
  <c r="M843" i="7"/>
  <c r="M833" i="7"/>
  <c r="M834" i="7" s="1"/>
  <c r="M846" i="7" s="1"/>
  <c r="Y860" i="7"/>
  <c r="M416" i="7"/>
  <c r="M420" i="7" s="1"/>
  <c r="N437" i="7"/>
  <c r="N443" i="7" s="1"/>
  <c r="M446" i="7"/>
  <c r="M450" i="7" s="1"/>
  <c r="Z240" i="26"/>
  <c r="Z254" i="25"/>
  <c r="Z141" i="5"/>
  <c r="Z132" i="34"/>
  <c r="Z97" i="5"/>
  <c r="Z132" i="33"/>
  <c r="X38" i="2"/>
  <c r="Z1491" i="7"/>
  <c r="Z1440" i="7"/>
  <c r="Y1492" i="7"/>
  <c r="Z1490" i="7" s="1"/>
  <c r="Z305" i="1"/>
  <c r="Z444" i="7"/>
  <c r="Z448" i="7"/>
  <c r="Z449" i="7" s="1"/>
  <c r="Z626" i="7"/>
  <c r="Z155" i="33" s="1"/>
  <c r="Z625" i="7"/>
  <c r="Z154" i="33" s="1"/>
  <c r="Z624" i="7"/>
  <c r="Z153" i="33" s="1"/>
  <c r="Y807" i="7"/>
  <c r="Y819" i="7" s="1"/>
  <c r="Y1279" i="7"/>
  <c r="Y1291" i="7" s="1"/>
  <c r="Y1309" i="7"/>
  <c r="Y1321" i="7" s="1"/>
  <c r="Y479" i="7"/>
  <c r="Z1364" i="7"/>
  <c r="Z1376" i="7" s="1"/>
  <c r="Z1368" i="7"/>
  <c r="Z1337" i="7"/>
  <c r="Z1349" i="7" s="1"/>
  <c r="Z1367" i="7"/>
  <c r="Z1379" i="7" s="1"/>
  <c r="Z1356" i="7"/>
  <c r="Z1338" i="7"/>
  <c r="Z1350" i="7" s="1"/>
  <c r="Z1304" i="7"/>
  <c r="Z1316" i="7" s="1"/>
  <c r="Z1249" i="7"/>
  <c r="Z1217" i="7"/>
  <c r="Z1334" i="7"/>
  <c r="Z1346" i="7" s="1"/>
  <c r="Z1307" i="7"/>
  <c r="Z1319" i="7" s="1"/>
  <c r="Z1296" i="7"/>
  <c r="Z1274" i="7"/>
  <c r="Z1286" i="7" s="1"/>
  <c r="Z1219" i="7"/>
  <c r="Z1326" i="7"/>
  <c r="Z1308" i="7"/>
  <c r="Z1320" i="7" s="1"/>
  <c r="Z1277" i="7"/>
  <c r="Z1289" i="7" s="1"/>
  <c r="Z1235" i="7"/>
  <c r="Z1243" i="7" s="1"/>
  <c r="Z1266" i="7"/>
  <c r="Z1251" i="7"/>
  <c r="Z1259" i="7" s="1"/>
  <c r="Z1233" i="7"/>
  <c r="Z1278" i="7"/>
  <c r="Z1290" i="7" s="1"/>
  <c r="Z1298" i="7"/>
  <c r="Z1315" i="7" s="1"/>
  <c r="Z1358" i="7"/>
  <c r="Z1375" i="7" s="1"/>
  <c r="Z1268" i="7"/>
  <c r="Z1285" i="7" s="1"/>
  <c r="Z1328" i="7"/>
  <c r="M1335" i="7"/>
  <c r="M1336" i="7" s="1"/>
  <c r="M1348" i="7" s="1"/>
  <c r="M1345" i="7"/>
  <c r="O757" i="7"/>
  <c r="O750" i="7"/>
  <c r="O758" i="7" s="1"/>
  <c r="N441" i="7"/>
  <c r="N438" i="7" s="1"/>
  <c r="O1254" i="7"/>
  <c r="O1262" i="7" s="1"/>
  <c r="O1261" i="7"/>
  <c r="M803" i="7"/>
  <c r="M804" i="7" s="1"/>
  <c r="M816" i="7" s="1"/>
  <c r="M813" i="7"/>
  <c r="T475" i="7"/>
  <c r="U468" i="7" s="1"/>
  <c r="Z895" i="7"/>
  <c r="Z854" i="7"/>
  <c r="Z835" i="7"/>
  <c r="Z847" i="7" s="1"/>
  <c r="Z892" i="7"/>
  <c r="Z896" i="7"/>
  <c r="Z897" i="7" s="1"/>
  <c r="Z865" i="7"/>
  <c r="Z826" i="7"/>
  <c r="Z843" i="7" s="1"/>
  <c r="Z832" i="7"/>
  <c r="Z844" i="7" s="1"/>
  <c r="Z836" i="7"/>
  <c r="Z848" i="7" s="1"/>
  <c r="Z824" i="7"/>
  <c r="Z884" i="7"/>
  <c r="Z862" i="7"/>
  <c r="Z805" i="7"/>
  <c r="Z817" i="7" s="1"/>
  <c r="Z763" i="7"/>
  <c r="Z802" i="7"/>
  <c r="Z814" i="7" s="1"/>
  <c r="Z806" i="7"/>
  <c r="Z818" i="7" s="1"/>
  <c r="Z794" i="7"/>
  <c r="Z761" i="7"/>
  <c r="Z745" i="7"/>
  <c r="Z779" i="7"/>
  <c r="Z787" i="7" s="1"/>
  <c r="Z747" i="7"/>
  <c r="Z755" i="7" s="1"/>
  <c r="Z866" i="7"/>
  <c r="Z867" i="7" s="1"/>
  <c r="Z777" i="7"/>
  <c r="Z796" i="7"/>
  <c r="Z813" i="7" s="1"/>
  <c r="Z886" i="7"/>
  <c r="O331" i="7"/>
  <c r="P328" i="7"/>
  <c r="Z468" i="7"/>
  <c r="Z474" i="7"/>
  <c r="Z478" i="7"/>
  <c r="Z466" i="7"/>
  <c r="Z417" i="7"/>
  <c r="Z414" i="7"/>
  <c r="Z418" i="7"/>
  <c r="Z419" i="7" s="1"/>
  <c r="Z406" i="7"/>
  <c r="Z436" i="7"/>
  <c r="Z387" i="7"/>
  <c r="Z477" i="7"/>
  <c r="Z384" i="7"/>
  <c r="Z388" i="7"/>
  <c r="Z389" i="7" s="1"/>
  <c r="Z378" i="7"/>
  <c r="Z408" i="7"/>
  <c r="Z359" i="7"/>
  <c r="Z327" i="7"/>
  <c r="Z376" i="7"/>
  <c r="Z361" i="7"/>
  <c r="Z345" i="7"/>
  <c r="Z343" i="7"/>
  <c r="Z329" i="7"/>
  <c r="P1218" i="7"/>
  <c r="N891" i="7"/>
  <c r="O1237" i="7"/>
  <c r="O1244" i="7"/>
  <c r="P1234" i="7"/>
  <c r="M1365" i="7"/>
  <c r="M1366" i="7" s="1"/>
  <c r="M1378" i="7" s="1"/>
  <c r="M1375" i="7"/>
  <c r="N413" i="7"/>
  <c r="Y1339" i="7"/>
  <c r="Y1351" i="7" s="1"/>
  <c r="O781" i="7"/>
  <c r="P778" i="7"/>
  <c r="O788" i="7"/>
  <c r="S480" i="7"/>
  <c r="O1222" i="7"/>
  <c r="O756" i="7"/>
  <c r="P746" i="7"/>
  <c r="O1260" i="7"/>
  <c r="P1250" i="7"/>
  <c r="O765" i="7"/>
  <c r="P762" i="7"/>
  <c r="Y1369" i="7"/>
  <c r="Y1381" i="7" s="1"/>
  <c r="Y837" i="7"/>
  <c r="Y849" i="7" s="1"/>
  <c r="AA20" i="7"/>
  <c r="AA18" i="7"/>
  <c r="Z99" i="27"/>
  <c r="X248" i="32"/>
  <c r="Z103" i="27"/>
  <c r="Z370" i="25"/>
  <c r="Z352" i="26"/>
  <c r="Z364" i="26"/>
  <c r="Z356" i="26"/>
  <c r="Z425" i="1"/>
  <c r="Z362" i="25"/>
  <c r="Z360" i="26"/>
  <c r="Z417" i="1"/>
  <c r="Z374" i="25"/>
  <c r="Z429" i="1"/>
  <c r="Z421" i="1"/>
  <c r="Z413" i="1"/>
  <c r="Z348" i="26"/>
  <c r="Y250" i="32"/>
  <c r="Y251" i="32"/>
  <c r="Y243" i="32"/>
  <c r="Y249" i="32"/>
  <c r="Y242" i="32"/>
  <c r="Y256" i="32"/>
  <c r="Y226" i="34"/>
  <c r="Y233" i="34"/>
  <c r="Y219" i="34"/>
  <c r="Y228" i="33"/>
  <c r="Y235" i="33"/>
  <c r="Y242" i="33"/>
  <c r="Z137" i="34"/>
  <c r="Z137" i="10"/>
  <c r="Z138" i="33"/>
  <c r="Z137" i="32"/>
  <c r="Z143" i="34"/>
  <c r="Y171" i="6"/>
  <c r="Y164" i="6"/>
  <c r="Z1173" i="7"/>
  <c r="Z1385" i="7"/>
  <c r="Z1387" i="7" s="1"/>
  <c r="X33" i="2"/>
  <c r="X38" i="6" s="1"/>
  <c r="X29" i="6"/>
  <c r="Y168" i="2"/>
  <c r="Y173" i="6" s="1"/>
  <c r="Y173" i="2"/>
  <c r="Y174" i="6" s="1"/>
  <c r="Y187" i="34" s="1"/>
  <c r="Y155" i="2"/>
  <c r="Y165" i="6" s="1"/>
  <c r="X83" i="6"/>
  <c r="X20" i="2"/>
  <c r="X30" i="6"/>
  <c r="Z186" i="32"/>
  <c r="Z173" i="33"/>
  <c r="Y83" i="2"/>
  <c r="Y84" i="6" s="1"/>
  <c r="Y210" i="32" s="1"/>
  <c r="Y65" i="2"/>
  <c r="Y78" i="2"/>
  <c r="Y83" i="6" s="1"/>
  <c r="Z132" i="32"/>
  <c r="Z495" i="7"/>
  <c r="Z497" i="7" s="1"/>
  <c r="Z286" i="7"/>
  <c r="Y74" i="6"/>
  <c r="Z704" i="7"/>
  <c r="Z913" i="7"/>
  <c r="Z915" i="7" s="1"/>
  <c r="Y110" i="2"/>
  <c r="Y120" i="6" s="1"/>
  <c r="Y119" i="6"/>
  <c r="Y123" i="2"/>
  <c r="Y128" i="6" s="1"/>
  <c r="Y128" i="2"/>
  <c r="Y129" i="6" s="1"/>
  <c r="Y196" i="33" s="1"/>
  <c r="K999" i="7"/>
  <c r="K1000" i="7" s="1"/>
  <c r="K1015" i="7"/>
  <c r="K1017" i="7" s="1"/>
  <c r="K49" i="7"/>
  <c r="Z378" i="25"/>
  <c r="Z366" i="25"/>
  <c r="L566" i="7"/>
  <c r="L581" i="7"/>
  <c r="L582" i="7" s="1"/>
  <c r="Z101" i="7"/>
  <c r="Z117" i="7"/>
  <c r="Z37" i="7"/>
  <c r="K65" i="7"/>
  <c r="K66" i="7"/>
  <c r="L46" i="7"/>
  <c r="K123" i="7"/>
  <c r="K104" i="7"/>
  <c r="K97" i="7"/>
  <c r="K98" i="7"/>
  <c r="L111" i="7"/>
  <c r="L118" i="7" s="1"/>
  <c r="L119" i="7" s="1"/>
  <c r="L515" i="7"/>
  <c r="K550" i="7"/>
  <c r="L598" i="7"/>
  <c r="M595" i="7"/>
  <c r="M563" i="7"/>
  <c r="M532" i="7"/>
  <c r="M539" i="7" s="1"/>
  <c r="K551" i="7"/>
  <c r="Y233" i="10"/>
  <c r="Y226" i="10"/>
  <c r="Y228" i="10"/>
  <c r="Y219" i="10"/>
  <c r="Z54" i="6"/>
  <c r="Z53" i="5"/>
  <c r="Z54" i="2"/>
  <c r="Z132" i="10"/>
  <c r="Z9" i="6"/>
  <c r="Z9" i="5"/>
  <c r="Z9" i="2"/>
  <c r="Z144" i="6"/>
  <c r="Z144" i="2"/>
  <c r="Z99" i="6"/>
  <c r="Z99" i="2"/>
  <c r="AA17" i="7"/>
  <c r="AA16" i="7"/>
  <c r="AA21" i="7"/>
  <c r="AA19" i="7"/>
  <c r="S348" i="7"/>
  <c r="T362" i="7"/>
  <c r="T363" i="7" s="1"/>
  <c r="AC6" i="7"/>
  <c r="AD5" i="7" s="1"/>
  <c r="T346" i="7"/>
  <c r="T347" i="7" s="1"/>
  <c r="Z129" i="1"/>
  <c r="AB12" i="7"/>
  <c r="AB13" i="7" s="1"/>
  <c r="AC156" i="10"/>
  <c r="AC195" i="10"/>
  <c r="AC212" i="10"/>
  <c r="AC143" i="10"/>
  <c r="AC177" i="10"/>
  <c r="AC191" i="10"/>
  <c r="AC207" i="10"/>
  <c r="AC217" i="10"/>
  <c r="AC231" i="10"/>
  <c r="AC150" i="10"/>
  <c r="AC171" i="10"/>
  <c r="AC163" i="10"/>
  <c r="AC181" i="10"/>
  <c r="AC200" i="10"/>
  <c r="AC224" i="10"/>
  <c r="AB14" i="7"/>
  <c r="AC15" i="7" s="1"/>
  <c r="AA35" i="27" l="1"/>
  <c r="X39" i="6"/>
  <c r="X186" i="10" s="1"/>
  <c r="N445" i="7"/>
  <c r="O437" i="7" s="1"/>
  <c r="Z860" i="7"/>
  <c r="M1370" i="7"/>
  <c r="M1382" i="7" s="1"/>
  <c r="M1340" i="7"/>
  <c r="M1352" i="7" s="1"/>
  <c r="N1315" i="7"/>
  <c r="N1305" i="7"/>
  <c r="N1306" i="7" s="1"/>
  <c r="M1288" i="7"/>
  <c r="M1280" i="7"/>
  <c r="N1284" i="7"/>
  <c r="N1273" i="7"/>
  <c r="M838" i="7"/>
  <c r="M850" i="7" s="1"/>
  <c r="M845" i="7"/>
  <c r="N825" i="7"/>
  <c r="M808" i="7"/>
  <c r="M820" i="7" s="1"/>
  <c r="AA254" i="25"/>
  <c r="AA141" i="5"/>
  <c r="AA132" i="34"/>
  <c r="AA97" i="5"/>
  <c r="AA132" i="33"/>
  <c r="AA240" i="26"/>
  <c r="Y38" i="2"/>
  <c r="Z1492" i="7"/>
  <c r="AA1490" i="7" s="1"/>
  <c r="AA1440" i="7"/>
  <c r="AA1491" i="7"/>
  <c r="AA448" i="7"/>
  <c r="AA449" i="7" s="1"/>
  <c r="AA444" i="7"/>
  <c r="AA305" i="1"/>
  <c r="AA626" i="7"/>
  <c r="AA155" i="33" s="1"/>
  <c r="AA625" i="7"/>
  <c r="AA154" i="33" s="1"/>
  <c r="AA624" i="7"/>
  <c r="AA153" i="33" s="1"/>
  <c r="Z479" i="7"/>
  <c r="AA466" i="7"/>
  <c r="AA417" i="7"/>
  <c r="AA414" i="7"/>
  <c r="AA418" i="7"/>
  <c r="AA419" i="7" s="1"/>
  <c r="AA406" i="7"/>
  <c r="AA477" i="7"/>
  <c r="AA436" i="7"/>
  <c r="AA478" i="7"/>
  <c r="AA388" i="7"/>
  <c r="AA389" i="7" s="1"/>
  <c r="AA387" i="7"/>
  <c r="AA474" i="7"/>
  <c r="AA384" i="7"/>
  <c r="AA468" i="7"/>
  <c r="AA408" i="7"/>
  <c r="AA378" i="7"/>
  <c r="AA376" i="7"/>
  <c r="AA361" i="7"/>
  <c r="AA345" i="7"/>
  <c r="AA343" i="7"/>
  <c r="AA329" i="7"/>
  <c r="AA359" i="7"/>
  <c r="AA327" i="7"/>
  <c r="P1258" i="7"/>
  <c r="P1252" i="7"/>
  <c r="P1242" i="7"/>
  <c r="P1236" i="7"/>
  <c r="AA895" i="7"/>
  <c r="AA854" i="7"/>
  <c r="AA860" i="7" s="1"/>
  <c r="AA835" i="7"/>
  <c r="AA847" i="7" s="1"/>
  <c r="AA892" i="7"/>
  <c r="AA896" i="7"/>
  <c r="AA897" i="7" s="1"/>
  <c r="AA865" i="7"/>
  <c r="AA832" i="7"/>
  <c r="AA844" i="7" s="1"/>
  <c r="AA836" i="7"/>
  <c r="AA848" i="7" s="1"/>
  <c r="AA824" i="7"/>
  <c r="AA884" i="7"/>
  <c r="AA862" i="7"/>
  <c r="AA866" i="7"/>
  <c r="AA867" i="7" s="1"/>
  <c r="AA802" i="7"/>
  <c r="AA814" i="7" s="1"/>
  <c r="AA806" i="7"/>
  <c r="AA818" i="7" s="1"/>
  <c r="AA794" i="7"/>
  <c r="AA761" i="7"/>
  <c r="AA745" i="7"/>
  <c r="AA779" i="7"/>
  <c r="AA787" i="7" s="1"/>
  <c r="AA747" i="7"/>
  <c r="AA755" i="7" s="1"/>
  <c r="AA777" i="7"/>
  <c r="AA805" i="7"/>
  <c r="AA817" i="7" s="1"/>
  <c r="AA763" i="7"/>
  <c r="AA796" i="7"/>
  <c r="AA813" i="7" s="1"/>
  <c r="AA826" i="7"/>
  <c r="AA843" i="7" s="1"/>
  <c r="AA886" i="7"/>
  <c r="P786" i="7"/>
  <c r="P780" i="7"/>
  <c r="P781" i="7" s="1"/>
  <c r="M1377" i="7"/>
  <c r="N1357" i="7"/>
  <c r="P1220" i="7"/>
  <c r="U467" i="7"/>
  <c r="U473" i="7" s="1"/>
  <c r="Z1339" i="7"/>
  <c r="Z1351" i="7" s="1"/>
  <c r="Z1279" i="7"/>
  <c r="Z1291" i="7" s="1"/>
  <c r="O443" i="7"/>
  <c r="O766" i="7"/>
  <c r="P330" i="7"/>
  <c r="P331" i="7" s="1"/>
  <c r="N1327" i="7"/>
  <c r="M1347" i="7"/>
  <c r="Z1369" i="7"/>
  <c r="Z1381" i="7" s="1"/>
  <c r="Z1380" i="7"/>
  <c r="N889" i="7"/>
  <c r="N886" i="7" s="1"/>
  <c r="Z807" i="7"/>
  <c r="Z819" i="7" s="1"/>
  <c r="Z837" i="7"/>
  <c r="Z849" i="7" s="1"/>
  <c r="T476" i="7"/>
  <c r="O332" i="7"/>
  <c r="M815" i="7"/>
  <c r="N795" i="7"/>
  <c r="AA1337" i="7"/>
  <c r="AA1349" i="7" s="1"/>
  <c r="AA1334" i="7"/>
  <c r="AA1346" i="7" s="1"/>
  <c r="AA1338" i="7"/>
  <c r="AA1350" i="7" s="1"/>
  <c r="AA1326" i="7"/>
  <c r="AA1307" i="7"/>
  <c r="AA1319" i="7" s="1"/>
  <c r="AA1296" i="7"/>
  <c r="AA1277" i="7"/>
  <c r="AA1289" i="7" s="1"/>
  <c r="AA1364" i="7"/>
  <c r="AA1376" i="7" s="1"/>
  <c r="AA1368" i="7"/>
  <c r="AA1380" i="7" s="1"/>
  <c r="AA1274" i="7"/>
  <c r="AA1286" i="7" s="1"/>
  <c r="AA1219" i="7"/>
  <c r="AA1367" i="7"/>
  <c r="AA1379" i="7" s="1"/>
  <c r="AA1308" i="7"/>
  <c r="AA1320" i="7" s="1"/>
  <c r="AA1235" i="7"/>
  <c r="AA1243" i="7" s="1"/>
  <c r="AA1278" i="7"/>
  <c r="AA1290" i="7" s="1"/>
  <c r="AA1266" i="7"/>
  <c r="AA1251" i="7"/>
  <c r="AA1259" i="7" s="1"/>
  <c r="AA1233" i="7"/>
  <c r="AA1304" i="7"/>
  <c r="AA1316" i="7" s="1"/>
  <c r="AA1249" i="7"/>
  <c r="AA1356" i="7"/>
  <c r="AA1217" i="7"/>
  <c r="AA1268" i="7"/>
  <c r="AA1285" i="7" s="1"/>
  <c r="AA1358" i="7"/>
  <c r="AA1375" i="7" s="1"/>
  <c r="AA1328" i="7"/>
  <c r="AA1345" i="7" s="1"/>
  <c r="AA1298" i="7"/>
  <c r="AA1315" i="7" s="1"/>
  <c r="P764" i="7"/>
  <c r="P765" i="7" s="1"/>
  <c r="P748" i="7"/>
  <c r="P749" i="7" s="1"/>
  <c r="P754" i="7"/>
  <c r="O782" i="7"/>
  <c r="O790" i="7" s="1"/>
  <c r="O789" i="7"/>
  <c r="O1238" i="7"/>
  <c r="O1246" i="7" s="1"/>
  <c r="O1245" i="7"/>
  <c r="N411" i="7"/>
  <c r="N408" i="7" s="1"/>
  <c r="Z1309" i="7"/>
  <c r="Z1321" i="7" s="1"/>
  <c r="AB18" i="7"/>
  <c r="AB20" i="7"/>
  <c r="L516" i="7"/>
  <c r="L523" i="7" s="1"/>
  <c r="AA99" i="27"/>
  <c r="Y248" i="32"/>
  <c r="Z250" i="32"/>
  <c r="AA103" i="27"/>
  <c r="AA413" i="1"/>
  <c r="AA417" i="1"/>
  <c r="AA425" i="1"/>
  <c r="AA352" i="26"/>
  <c r="AA348" i="26"/>
  <c r="AA374" i="25"/>
  <c r="AA362" i="25"/>
  <c r="AA429" i="1"/>
  <c r="AA364" i="26"/>
  <c r="AA421" i="1"/>
  <c r="AA360" i="26"/>
  <c r="AA356" i="26"/>
  <c r="AA370" i="25"/>
  <c r="Z249" i="32"/>
  <c r="Z242" i="32"/>
  <c r="Z256" i="32"/>
  <c r="Z251" i="32"/>
  <c r="Z243" i="32"/>
  <c r="Z233" i="34"/>
  <c r="Z219" i="34"/>
  <c r="Z226" i="34"/>
  <c r="Z228" i="33"/>
  <c r="Z235" i="33"/>
  <c r="Z242" i="33"/>
  <c r="AA137" i="10"/>
  <c r="AA138" i="33"/>
  <c r="AA137" i="32"/>
  <c r="AA137" i="34"/>
  <c r="AA143" i="34"/>
  <c r="Z171" i="6"/>
  <c r="Z164" i="6"/>
  <c r="Y20" i="2"/>
  <c r="AA1173" i="7"/>
  <c r="AA1385" i="7"/>
  <c r="AA1387" i="7" s="1"/>
  <c r="Z168" i="2"/>
  <c r="Z173" i="6" s="1"/>
  <c r="Z173" i="2"/>
  <c r="Z174" i="6" s="1"/>
  <c r="Z187" i="34" s="1"/>
  <c r="Z155" i="2"/>
  <c r="Z165" i="6" s="1"/>
  <c r="Y75" i="6"/>
  <c r="Y30" i="6" s="1"/>
  <c r="Y33" i="2"/>
  <c r="Y38" i="6" s="1"/>
  <c r="Y29" i="6"/>
  <c r="AA186" i="32"/>
  <c r="AA173" i="33"/>
  <c r="AA132" i="32"/>
  <c r="AA495" i="7"/>
  <c r="AA497" i="7" s="1"/>
  <c r="AA286" i="7"/>
  <c r="Z65" i="2"/>
  <c r="Z75" i="6" s="1"/>
  <c r="Z78" i="2"/>
  <c r="Z83" i="6" s="1"/>
  <c r="Z83" i="2"/>
  <c r="Z84" i="6" s="1"/>
  <c r="Z210" i="32" s="1"/>
  <c r="Z74" i="6"/>
  <c r="AA913" i="7"/>
  <c r="AA915" i="7" s="1"/>
  <c r="AA704" i="7"/>
  <c r="Z119" i="6"/>
  <c r="Z110" i="2"/>
  <c r="Z120" i="6" s="1"/>
  <c r="Z123" i="2"/>
  <c r="Z128" i="6" s="1"/>
  <c r="Z128" i="2"/>
  <c r="Z129" i="6" s="1"/>
  <c r="Z196" i="33" s="1"/>
  <c r="L583" i="7"/>
  <c r="M579" i="7" s="1"/>
  <c r="K1001" i="7"/>
  <c r="L997" i="7" s="1"/>
  <c r="L1013" i="7"/>
  <c r="K1016" i="7"/>
  <c r="AA378" i="25"/>
  <c r="AA366" i="25"/>
  <c r="L120" i="7"/>
  <c r="AA101" i="7"/>
  <c r="AA117" i="7"/>
  <c r="AA37" i="7"/>
  <c r="L121" i="7"/>
  <c r="M116" i="7" s="1"/>
  <c r="L62" i="7"/>
  <c r="L112" i="7"/>
  <c r="L114" i="7" s="1"/>
  <c r="L47" i="7"/>
  <c r="L54" i="7" s="1"/>
  <c r="K107" i="7"/>
  <c r="L94" i="7"/>
  <c r="M564" i="7"/>
  <c r="M571" i="7" s="1"/>
  <c r="M533" i="7"/>
  <c r="M535" i="7" s="1"/>
  <c r="M596" i="7"/>
  <c r="M603" i="7" s="1"/>
  <c r="L547" i="7"/>
  <c r="Z226" i="10"/>
  <c r="Z233" i="10"/>
  <c r="Z219" i="10"/>
  <c r="Z228" i="10"/>
  <c r="AA144" i="6"/>
  <c r="AA144" i="2"/>
  <c r="AA99" i="6"/>
  <c r="AA99" i="2"/>
  <c r="AA54" i="6"/>
  <c r="AA53" i="5"/>
  <c r="AA54" i="2"/>
  <c r="AA132" i="10"/>
  <c r="AA9" i="6"/>
  <c r="AA9" i="5"/>
  <c r="AA9" i="2"/>
  <c r="AB16" i="7"/>
  <c r="AB21" i="7"/>
  <c r="AB19" i="7"/>
  <c r="AB17" i="7"/>
  <c r="AD171" i="10"/>
  <c r="AD156" i="10"/>
  <c r="AD163" i="10"/>
  <c r="AD200" i="10"/>
  <c r="AD224" i="10"/>
  <c r="AD150" i="10"/>
  <c r="AD143" i="10"/>
  <c r="AD177" i="10"/>
  <c r="AD191" i="10"/>
  <c r="AD195" i="10"/>
  <c r="AD207" i="10"/>
  <c r="AD212" i="10"/>
  <c r="AD231" i="10"/>
  <c r="AD181" i="10"/>
  <c r="AD217" i="10"/>
  <c r="U344" i="7"/>
  <c r="U360" i="7"/>
  <c r="AC14" i="7"/>
  <c r="AD15" i="7" s="1"/>
  <c r="T348" i="7"/>
  <c r="AD6" i="7"/>
  <c r="AE5" i="7" s="1"/>
  <c r="T364" i="7"/>
  <c r="AA129" i="1"/>
  <c r="AC12" i="7"/>
  <c r="AC13" i="7" s="1"/>
  <c r="M1292" i="7" l="1"/>
  <c r="Y39" i="6"/>
  <c r="Y186" i="10" s="1"/>
  <c r="AB35" i="27"/>
  <c r="N446" i="7"/>
  <c r="N450" i="7" s="1"/>
  <c r="N1318" i="7"/>
  <c r="N1310" i="7"/>
  <c r="N1322" i="7" s="1"/>
  <c r="N1317" i="7"/>
  <c r="O1297" i="7"/>
  <c r="N1271" i="7"/>
  <c r="N1268" i="7" s="1"/>
  <c r="N842" i="7"/>
  <c r="N831" i="7"/>
  <c r="AA1339" i="7"/>
  <c r="AA1351" i="7" s="1"/>
  <c r="AB254" i="25"/>
  <c r="AB97" i="5"/>
  <c r="AB132" i="33"/>
  <c r="AB240" i="26"/>
  <c r="AB141" i="5"/>
  <c r="AB132" i="34"/>
  <c r="Z38" i="2"/>
  <c r="AA1492" i="7"/>
  <c r="AB1490" i="7" s="1"/>
  <c r="AB1491" i="7"/>
  <c r="AB1440" i="7"/>
  <c r="AB444" i="7"/>
  <c r="AB448" i="7"/>
  <c r="AB449" i="7" s="1"/>
  <c r="AB305" i="1"/>
  <c r="AA1279" i="7"/>
  <c r="AA1291" i="7" s="1"/>
  <c r="AB625" i="7"/>
  <c r="AB154" i="33" s="1"/>
  <c r="AB624" i="7"/>
  <c r="AB153" i="33" s="1"/>
  <c r="AB626" i="7"/>
  <c r="AB155" i="33" s="1"/>
  <c r="AA807" i="7"/>
  <c r="AA819" i="7" s="1"/>
  <c r="O441" i="7"/>
  <c r="O438" i="7" s="1"/>
  <c r="AB414" i="7"/>
  <c r="AB418" i="7"/>
  <c r="AB419" i="7" s="1"/>
  <c r="AB406" i="7"/>
  <c r="AB477" i="7"/>
  <c r="AB436" i="7"/>
  <c r="AB474" i="7"/>
  <c r="AB478" i="7"/>
  <c r="AB387" i="7"/>
  <c r="AB466" i="7"/>
  <c r="AB417" i="7"/>
  <c r="AB384" i="7"/>
  <c r="AB388" i="7"/>
  <c r="AB389" i="7" s="1"/>
  <c r="AB408" i="7"/>
  <c r="AB468" i="7"/>
  <c r="AB378" i="7"/>
  <c r="AB327" i="7"/>
  <c r="AB359" i="7"/>
  <c r="AB376" i="7"/>
  <c r="AB361" i="7"/>
  <c r="AB345" i="7"/>
  <c r="AB343" i="7"/>
  <c r="AB329" i="7"/>
  <c r="N415" i="7"/>
  <c r="P750" i="7"/>
  <c r="P758" i="7" s="1"/>
  <c r="P757" i="7"/>
  <c r="Q762" i="7"/>
  <c r="N893" i="7"/>
  <c r="Q328" i="7"/>
  <c r="Q1218" i="7"/>
  <c r="Q778" i="7"/>
  <c r="P788" i="7"/>
  <c r="AA1369" i="7"/>
  <c r="AA1381" i="7" s="1"/>
  <c r="AB1334" i="7"/>
  <c r="AB1346" i="7" s="1"/>
  <c r="AB1338" i="7"/>
  <c r="AB1350" i="7" s="1"/>
  <c r="AB1326" i="7"/>
  <c r="AB1307" i="7"/>
  <c r="AB1319" i="7" s="1"/>
  <c r="AB1296" i="7"/>
  <c r="AB1277" i="7"/>
  <c r="AB1289" i="7" s="1"/>
  <c r="AB1358" i="7"/>
  <c r="AB1375" i="7" s="1"/>
  <c r="AB1367" i="7"/>
  <c r="AB1379" i="7" s="1"/>
  <c r="AB1356" i="7"/>
  <c r="AB1304" i="7"/>
  <c r="AB1316" i="7" s="1"/>
  <c r="AB1308" i="7"/>
  <c r="AB1320" i="7" s="1"/>
  <c r="AB1274" i="7"/>
  <c r="AB1286" i="7" s="1"/>
  <c r="AB1278" i="7"/>
  <c r="AB1290" i="7" s="1"/>
  <c r="AB1337" i="7"/>
  <c r="AB1349" i="7" s="1"/>
  <c r="AB1364" i="7"/>
  <c r="AB1376" i="7" s="1"/>
  <c r="AB1235" i="7"/>
  <c r="AB1243" i="7" s="1"/>
  <c r="AB1266" i="7"/>
  <c r="AB1251" i="7"/>
  <c r="AB1259" i="7" s="1"/>
  <c r="AB1233" i="7"/>
  <c r="AB1249" i="7"/>
  <c r="AB1217" i="7"/>
  <c r="AB1368" i="7"/>
  <c r="AB1380" i="7" s="1"/>
  <c r="AB1219" i="7"/>
  <c r="AB1268" i="7"/>
  <c r="AB1285" i="7" s="1"/>
  <c r="AB1328" i="7"/>
  <c r="AB1345" i="7" s="1"/>
  <c r="AB1298" i="7"/>
  <c r="AB1315" i="7" s="1"/>
  <c r="P756" i="7"/>
  <c r="Q746" i="7"/>
  <c r="N812" i="7"/>
  <c r="N801" i="7"/>
  <c r="N1344" i="7"/>
  <c r="N1333" i="7"/>
  <c r="P1260" i="7"/>
  <c r="Q1250" i="7"/>
  <c r="P1221" i="7"/>
  <c r="AA837" i="7"/>
  <c r="AA849" i="7" s="1"/>
  <c r="P766" i="7"/>
  <c r="P332" i="7"/>
  <c r="P789" i="7"/>
  <c r="P782" i="7"/>
  <c r="P790" i="7" s="1"/>
  <c r="P1237" i="7"/>
  <c r="Q1234" i="7"/>
  <c r="P1244" i="7"/>
  <c r="AB892" i="7"/>
  <c r="AB896" i="7"/>
  <c r="AB897" i="7" s="1"/>
  <c r="AB865" i="7"/>
  <c r="AB832" i="7"/>
  <c r="AB844" i="7" s="1"/>
  <c r="AB836" i="7"/>
  <c r="AB824" i="7"/>
  <c r="AB884" i="7"/>
  <c r="AB862" i="7"/>
  <c r="AB866" i="7"/>
  <c r="AB867" i="7" s="1"/>
  <c r="AB779" i="7"/>
  <c r="AB787" i="7" s="1"/>
  <c r="AB747" i="7"/>
  <c r="AB755" i="7" s="1"/>
  <c r="AB835" i="7"/>
  <c r="AB847" i="7" s="1"/>
  <c r="AB777" i="7"/>
  <c r="AB895" i="7"/>
  <c r="AB854" i="7"/>
  <c r="AB860" i="7" s="1"/>
  <c r="AB805" i="7"/>
  <c r="AB817" i="7" s="1"/>
  <c r="AB763" i="7"/>
  <c r="AB794" i="7"/>
  <c r="AB806" i="7"/>
  <c r="AB818" i="7" s="1"/>
  <c r="AB761" i="7"/>
  <c r="AB802" i="7"/>
  <c r="AB814" i="7" s="1"/>
  <c r="AB745" i="7"/>
  <c r="AB826" i="7"/>
  <c r="AB843" i="7" s="1"/>
  <c r="AB796" i="7"/>
  <c r="AB813" i="7" s="1"/>
  <c r="AB886" i="7"/>
  <c r="T480" i="7"/>
  <c r="U475" i="7"/>
  <c r="N1374" i="7"/>
  <c r="N1363" i="7"/>
  <c r="AA479" i="7"/>
  <c r="AA1309" i="7"/>
  <c r="AA1321" i="7" s="1"/>
  <c r="P1253" i="7"/>
  <c r="AC18" i="7"/>
  <c r="AC20" i="7"/>
  <c r="L517" i="7"/>
  <c r="AB99" i="27"/>
  <c r="Z248" i="32"/>
  <c r="AB103" i="27"/>
  <c r="AB421" i="1"/>
  <c r="AB364" i="26"/>
  <c r="AB374" i="25"/>
  <c r="AB425" i="1"/>
  <c r="AB360" i="26"/>
  <c r="AB429" i="1"/>
  <c r="AB362" i="25"/>
  <c r="AB352" i="26"/>
  <c r="AB356" i="26"/>
  <c r="AB413" i="1"/>
  <c r="AB370" i="25"/>
  <c r="AB348" i="26"/>
  <c r="AB417" i="1"/>
  <c r="AA250" i="32"/>
  <c r="AA228" i="33"/>
  <c r="AA235" i="33"/>
  <c r="AA242" i="33"/>
  <c r="AA233" i="34"/>
  <c r="AA219" i="34"/>
  <c r="AA226" i="34"/>
  <c r="AA256" i="32"/>
  <c r="AA251" i="32"/>
  <c r="AA243" i="32"/>
  <c r="AA249" i="32"/>
  <c r="AA242" i="32"/>
  <c r="AB137" i="10"/>
  <c r="AB138" i="33"/>
  <c r="AB137" i="32"/>
  <c r="AB137" i="34"/>
  <c r="AB143" i="34"/>
  <c r="AB1385" i="7"/>
  <c r="AB1387" i="7" s="1"/>
  <c r="AB1173" i="7"/>
  <c r="AA171" i="6"/>
  <c r="AA164" i="6"/>
  <c r="Z33" i="2"/>
  <c r="Z38" i="6" s="1"/>
  <c r="AA173" i="2"/>
  <c r="AA174" i="6" s="1"/>
  <c r="AA187" i="34" s="1"/>
  <c r="AA155" i="2"/>
  <c r="AA165" i="6" s="1"/>
  <c r="AA168" i="2"/>
  <c r="AA173" i="6" s="1"/>
  <c r="Z20" i="2"/>
  <c r="Z29" i="6"/>
  <c r="Z30" i="6"/>
  <c r="AB173" i="33"/>
  <c r="AB186" i="32"/>
  <c r="AA74" i="6"/>
  <c r="AA65" i="2"/>
  <c r="AA75" i="6" s="1"/>
  <c r="AA78" i="2"/>
  <c r="AA83" i="6" s="1"/>
  <c r="AA83" i="2"/>
  <c r="AA84" i="6" s="1"/>
  <c r="AA210" i="32" s="1"/>
  <c r="AB132" i="32"/>
  <c r="AB495" i="7"/>
  <c r="AB497" i="7" s="1"/>
  <c r="AB286" i="7"/>
  <c r="AA119" i="6"/>
  <c r="AA110" i="2"/>
  <c r="AA120" i="6" s="1"/>
  <c r="AB913" i="7"/>
  <c r="AB915" i="7" s="1"/>
  <c r="AB704" i="7"/>
  <c r="AA123" i="2"/>
  <c r="AA128" i="6" s="1"/>
  <c r="AA128" i="2"/>
  <c r="AA129" i="6" s="1"/>
  <c r="AA196" i="33" s="1"/>
  <c r="L998" i="7"/>
  <c r="L1005" i="7" s="1"/>
  <c r="L1014" i="7"/>
  <c r="L1021" i="7" s="1"/>
  <c r="AB378" i="25"/>
  <c r="AB366" i="25"/>
  <c r="L123" i="7"/>
  <c r="M110" i="7"/>
  <c r="L63" i="7"/>
  <c r="L70" i="7" s="1"/>
  <c r="AB101" i="7"/>
  <c r="AB37" i="7"/>
  <c r="AB117" i="7"/>
  <c r="L113" i="7"/>
  <c r="L95" i="7"/>
  <c r="L102" i="7" s="1"/>
  <c r="L48" i="7"/>
  <c r="N531" i="7"/>
  <c r="L548" i="7"/>
  <c r="L555" i="7" s="1"/>
  <c r="M597" i="7"/>
  <c r="M599" i="7" s="1"/>
  <c r="M565" i="7"/>
  <c r="M580" i="7"/>
  <c r="M587" i="7" s="1"/>
  <c r="M534" i="7"/>
  <c r="AA219" i="10"/>
  <c r="AA226" i="10"/>
  <c r="AA228" i="10"/>
  <c r="AA233" i="10"/>
  <c r="AB144" i="6"/>
  <c r="AB144" i="2"/>
  <c r="AB99" i="6"/>
  <c r="AB99" i="2"/>
  <c r="AB54" i="6"/>
  <c r="AB53" i="5"/>
  <c r="AB54" i="2"/>
  <c r="AB132" i="10"/>
  <c r="AB9" i="6"/>
  <c r="AB9" i="5"/>
  <c r="AB9" i="2"/>
  <c r="AC16" i="7"/>
  <c r="AC21" i="7"/>
  <c r="AC19" i="7"/>
  <c r="AC17" i="7"/>
  <c r="AD14" i="7"/>
  <c r="AE15" i="7" s="1"/>
  <c r="AE6" i="7"/>
  <c r="AF5" i="7" s="1"/>
  <c r="U362" i="7"/>
  <c r="U346" i="7"/>
  <c r="U347" i="7" s="1"/>
  <c r="AE156" i="10"/>
  <c r="AE143" i="10"/>
  <c r="AE177" i="10"/>
  <c r="AE231" i="10"/>
  <c r="AE171" i="10"/>
  <c r="AE150" i="10"/>
  <c r="AE163" i="10"/>
  <c r="AE181" i="10"/>
  <c r="AE195" i="10"/>
  <c r="AE200" i="10"/>
  <c r="AE212" i="10"/>
  <c r="AE224" i="10"/>
  <c r="AE191" i="10"/>
  <c r="AE207" i="10"/>
  <c r="AE217" i="10"/>
  <c r="AB129" i="1"/>
  <c r="AD12" i="7"/>
  <c r="AD13" i="7" s="1"/>
  <c r="AC35" i="27" l="1"/>
  <c r="Z39" i="6"/>
  <c r="Z186" i="10" s="1"/>
  <c r="O1303" i="7"/>
  <c r="O1314" i="7"/>
  <c r="N1285" i="7"/>
  <c r="N1275" i="7"/>
  <c r="N1276" i="7" s="1"/>
  <c r="N1288" i="7" s="1"/>
  <c r="O885" i="7"/>
  <c r="N894" i="7"/>
  <c r="N898" i="7" s="1"/>
  <c r="N829" i="7"/>
  <c r="N826" i="7" s="1"/>
  <c r="O407" i="7"/>
  <c r="N416" i="7"/>
  <c r="N420" i="7" s="1"/>
  <c r="AC141" i="5"/>
  <c r="AC132" i="34"/>
  <c r="AC240" i="26"/>
  <c r="AC97" i="5"/>
  <c r="AC132" i="33"/>
  <c r="AC254" i="25"/>
  <c r="AB1492" i="7"/>
  <c r="AB38" i="2" s="1"/>
  <c r="AC1440" i="7"/>
  <c r="AC1491" i="7"/>
  <c r="AA38" i="2"/>
  <c r="AC444" i="7"/>
  <c r="AC448" i="7"/>
  <c r="AC449" i="7" s="1"/>
  <c r="AC305" i="1"/>
  <c r="AB1339" i="7"/>
  <c r="AB1351" i="7" s="1"/>
  <c r="AC624" i="7"/>
  <c r="AC153" i="33" s="1"/>
  <c r="AC626" i="7"/>
  <c r="AC155" i="33" s="1"/>
  <c r="AC625" i="7"/>
  <c r="AC154" i="33" s="1"/>
  <c r="O445" i="7"/>
  <c r="N799" i="7"/>
  <c r="N796" i="7" s="1"/>
  <c r="N803" i="7" s="1"/>
  <c r="N804" i="7" s="1"/>
  <c r="N816" i="7" s="1"/>
  <c r="AB807" i="7"/>
  <c r="AB819" i="7" s="1"/>
  <c r="AB1279" i="7"/>
  <c r="AB1291" i="7" s="1"/>
  <c r="AC477" i="7"/>
  <c r="AC436" i="7"/>
  <c r="AC474" i="7"/>
  <c r="AC478" i="7"/>
  <c r="AC466" i="7"/>
  <c r="AC417" i="7"/>
  <c r="AC414" i="7"/>
  <c r="AC384" i="7"/>
  <c r="AC388" i="7"/>
  <c r="AC389" i="7" s="1"/>
  <c r="AC418" i="7"/>
  <c r="AC419" i="7" s="1"/>
  <c r="AC406" i="7"/>
  <c r="AC387" i="7"/>
  <c r="AC468" i="7"/>
  <c r="AC378" i="7"/>
  <c r="AC408" i="7"/>
  <c r="AC361" i="7"/>
  <c r="AC345" i="7"/>
  <c r="AC329" i="7"/>
  <c r="AC359" i="7"/>
  <c r="AC327" i="7"/>
  <c r="AC376" i="7"/>
  <c r="AC343" i="7"/>
  <c r="P1245" i="7"/>
  <c r="P1238" i="7"/>
  <c r="P1246" i="7" s="1"/>
  <c r="Q1258" i="7"/>
  <c r="Q1252" i="7"/>
  <c r="Q1253" i="7" s="1"/>
  <c r="Q786" i="7"/>
  <c r="Q780" i="7"/>
  <c r="Q781" i="7" s="1"/>
  <c r="N1361" i="7"/>
  <c r="N1358" i="7" s="1"/>
  <c r="N1331" i="7"/>
  <c r="N1328" i="7" s="1"/>
  <c r="AB1369" i="7"/>
  <c r="AB1381" i="7" s="1"/>
  <c r="P1254" i="7"/>
  <c r="P1262" i="7" s="1"/>
  <c r="P1261" i="7"/>
  <c r="V467" i="7"/>
  <c r="V473" i="7" s="1"/>
  <c r="O891" i="7"/>
  <c r="AB479" i="7"/>
  <c r="AC1367" i="7"/>
  <c r="AC1379" i="7" s="1"/>
  <c r="AC1356" i="7"/>
  <c r="AC1304" i="7"/>
  <c r="AC1316" i="7" s="1"/>
  <c r="AC1308" i="7"/>
  <c r="AC1320" i="7" s="1"/>
  <c r="AC1274" i="7"/>
  <c r="AC1286" i="7" s="1"/>
  <c r="AC1278" i="7"/>
  <c r="AC1290" i="7" s="1"/>
  <c r="AC1364" i="7"/>
  <c r="AC1376" i="7" s="1"/>
  <c r="AC1368" i="7"/>
  <c r="AC1380" i="7" s="1"/>
  <c r="AC1334" i="7"/>
  <c r="AC1346" i="7" s="1"/>
  <c r="AC1338" i="7"/>
  <c r="AC1350" i="7" s="1"/>
  <c r="AC1326" i="7"/>
  <c r="AC1307" i="7"/>
  <c r="AC1319" i="7" s="1"/>
  <c r="AC1296" i="7"/>
  <c r="AC1266" i="7"/>
  <c r="AC1251" i="7"/>
  <c r="AC1259" i="7" s="1"/>
  <c r="AC1233" i="7"/>
  <c r="AC1337" i="7"/>
  <c r="AC1349" i="7" s="1"/>
  <c r="AC1277" i="7"/>
  <c r="AC1289" i="7" s="1"/>
  <c r="AC1249" i="7"/>
  <c r="AC1217" i="7"/>
  <c r="AC1219" i="7"/>
  <c r="AC1235" i="7"/>
  <c r="AC1243" i="7" s="1"/>
  <c r="AC1298" i="7"/>
  <c r="AC1315" i="7" s="1"/>
  <c r="AC1268" i="7"/>
  <c r="AC1285" i="7" s="1"/>
  <c r="AC1328" i="7"/>
  <c r="AC1345" i="7" s="1"/>
  <c r="AC1358" i="7"/>
  <c r="AC1375" i="7" s="1"/>
  <c r="P443" i="7"/>
  <c r="U476" i="7"/>
  <c r="AB1309" i="7"/>
  <c r="AB1321" i="7" s="1"/>
  <c r="Q1242" i="7"/>
  <c r="Q1236" i="7"/>
  <c r="AC884" i="7"/>
  <c r="AC862" i="7"/>
  <c r="AC866" i="7"/>
  <c r="AC867" i="7" s="1"/>
  <c r="AC895" i="7"/>
  <c r="AC854" i="7"/>
  <c r="AC860" i="7" s="1"/>
  <c r="AC835" i="7"/>
  <c r="AC847" i="7" s="1"/>
  <c r="AC896" i="7"/>
  <c r="AC897" i="7" s="1"/>
  <c r="AC865" i="7"/>
  <c r="AC832" i="7"/>
  <c r="AC844" i="7" s="1"/>
  <c r="AC777" i="7"/>
  <c r="AC892" i="7"/>
  <c r="AC805" i="7"/>
  <c r="AC817" i="7" s="1"/>
  <c r="AC763" i="7"/>
  <c r="AC824" i="7"/>
  <c r="AC802" i="7"/>
  <c r="AC814" i="7" s="1"/>
  <c r="AC806" i="7"/>
  <c r="AC818" i="7" s="1"/>
  <c r="AC794" i="7"/>
  <c r="AC761" i="7"/>
  <c r="AC745" i="7"/>
  <c r="AC779" i="7"/>
  <c r="AC787" i="7" s="1"/>
  <c r="AC747" i="7"/>
  <c r="AC755" i="7" s="1"/>
  <c r="AC836" i="7"/>
  <c r="AC848" i="7" s="1"/>
  <c r="AC826" i="7"/>
  <c r="AC843" i="7" s="1"/>
  <c r="AC796" i="7"/>
  <c r="AC813" i="7" s="1"/>
  <c r="AC886" i="7"/>
  <c r="AB837" i="7"/>
  <c r="AB849" i="7" s="1"/>
  <c r="AB848" i="7"/>
  <c r="P1222" i="7"/>
  <c r="Q754" i="7"/>
  <c r="Q748" i="7"/>
  <c r="Q1220" i="7"/>
  <c r="Q1221" i="7" s="1"/>
  <c r="Q330" i="7"/>
  <c r="Q331" i="7" s="1"/>
  <c r="Q764" i="7"/>
  <c r="O413" i="7"/>
  <c r="AD18" i="7"/>
  <c r="AD20" i="7"/>
  <c r="L518" i="7"/>
  <c r="L519" i="7"/>
  <c r="M515" i="7" s="1"/>
  <c r="AC99" i="27"/>
  <c r="AC103" i="27"/>
  <c r="AC348" i="26"/>
  <c r="AC356" i="26"/>
  <c r="AC352" i="26"/>
  <c r="AC364" i="26"/>
  <c r="AC417" i="1"/>
  <c r="AC360" i="26"/>
  <c r="AC374" i="25"/>
  <c r="AC370" i="25"/>
  <c r="AC429" i="1"/>
  <c r="AC425" i="1"/>
  <c r="AC413" i="1"/>
  <c r="AC362" i="25"/>
  <c r="AC421" i="1"/>
  <c r="AA248" i="32"/>
  <c r="AB250" i="32"/>
  <c r="AB228" i="33"/>
  <c r="AB235" i="33"/>
  <c r="AB242" i="33"/>
  <c r="AB226" i="34"/>
  <c r="AB233" i="34"/>
  <c r="AB219" i="34"/>
  <c r="AB256" i="32"/>
  <c r="AB251" i="32"/>
  <c r="AB243" i="32"/>
  <c r="AB249" i="32"/>
  <c r="AB242" i="32"/>
  <c r="AC138" i="33"/>
  <c r="AC137" i="32"/>
  <c r="AC137" i="34"/>
  <c r="AC137" i="10"/>
  <c r="AC143" i="34"/>
  <c r="AB171" i="6"/>
  <c r="AB164" i="6"/>
  <c r="AC1385" i="7"/>
  <c r="AC1387" i="7" s="1"/>
  <c r="AC1173" i="7"/>
  <c r="AA29" i="6"/>
  <c r="AB155" i="2"/>
  <c r="AB165" i="6" s="1"/>
  <c r="AB168" i="2"/>
  <c r="AB173" i="6" s="1"/>
  <c r="AB173" i="2"/>
  <c r="AB174" i="6" s="1"/>
  <c r="AB187" i="34" s="1"/>
  <c r="AA30" i="6"/>
  <c r="AA20" i="2"/>
  <c r="AA33" i="2"/>
  <c r="AA38" i="6" s="1"/>
  <c r="AC173" i="33"/>
  <c r="AC186" i="32"/>
  <c r="AC132" i="32"/>
  <c r="AC495" i="7"/>
  <c r="AC497" i="7" s="1"/>
  <c r="AC286" i="7"/>
  <c r="AB74" i="6"/>
  <c r="AB65" i="2"/>
  <c r="AB75" i="6" s="1"/>
  <c r="AB78" i="2"/>
  <c r="AB83" i="6" s="1"/>
  <c r="AB83" i="2"/>
  <c r="AB84" i="6" s="1"/>
  <c r="AB210" i="32" s="1"/>
  <c r="AB119" i="6"/>
  <c r="AC913" i="7"/>
  <c r="AC915" i="7" s="1"/>
  <c r="AC704" i="7"/>
  <c r="AB110" i="2"/>
  <c r="AB120" i="6" s="1"/>
  <c r="AB128" i="2"/>
  <c r="AB129" i="6" s="1"/>
  <c r="AB196" i="33" s="1"/>
  <c r="AB123" i="2"/>
  <c r="AB128" i="6" s="1"/>
  <c r="L1015" i="7"/>
  <c r="L1017" i="7" s="1"/>
  <c r="L999" i="7"/>
  <c r="L1001" i="7" s="1"/>
  <c r="AC378" i="25"/>
  <c r="AC366" i="25"/>
  <c r="AC101" i="7"/>
  <c r="AC117" i="7"/>
  <c r="AC37" i="7"/>
  <c r="L103" i="7"/>
  <c r="L49" i="7"/>
  <c r="L50" i="7"/>
  <c r="L96" i="7"/>
  <c r="L64" i="7"/>
  <c r="M111" i="7"/>
  <c r="M118" i="7" s="1"/>
  <c r="M598" i="7"/>
  <c r="N595" i="7"/>
  <c r="N532" i="7"/>
  <c r="N539" i="7" s="1"/>
  <c r="M581" i="7"/>
  <c r="M566" i="7"/>
  <c r="L549" i="7"/>
  <c r="M567" i="7"/>
  <c r="AB233" i="10"/>
  <c r="AB219" i="10"/>
  <c r="AB226" i="10"/>
  <c r="AB228" i="10"/>
  <c r="AC54" i="6"/>
  <c r="AC53" i="5"/>
  <c r="AC54" i="2"/>
  <c r="AC132" i="10"/>
  <c r="AC9" i="6"/>
  <c r="AC9" i="5"/>
  <c r="AC9" i="2"/>
  <c r="AC144" i="6"/>
  <c r="AC144" i="2"/>
  <c r="AC99" i="6"/>
  <c r="AC99" i="2"/>
  <c r="AD19" i="7"/>
  <c r="AD17" i="7"/>
  <c r="AD16" i="7"/>
  <c r="AD21" i="7"/>
  <c r="U348" i="7"/>
  <c r="AF171" i="10"/>
  <c r="AF156" i="10"/>
  <c r="AF191" i="10"/>
  <c r="AF212" i="10"/>
  <c r="AF143" i="10"/>
  <c r="AF163" i="10"/>
  <c r="AF181" i="10"/>
  <c r="AF200" i="10"/>
  <c r="AF217" i="10"/>
  <c r="AF224" i="10"/>
  <c r="AF150" i="10"/>
  <c r="AF177" i="10"/>
  <c r="AF195" i="10"/>
  <c r="AF207" i="10"/>
  <c r="AF231" i="10"/>
  <c r="V360" i="7"/>
  <c r="AC129" i="1"/>
  <c r="AE14" i="7"/>
  <c r="AF15" i="7" s="1"/>
  <c r="V344" i="7"/>
  <c r="AF6" i="7"/>
  <c r="AG5" i="7" s="1"/>
  <c r="U363" i="7"/>
  <c r="AE12" i="7"/>
  <c r="AE13" i="7" s="1"/>
  <c r="AD35" i="27" l="1"/>
  <c r="AA39" i="6"/>
  <c r="AA186" i="10" s="1"/>
  <c r="O1301" i="7"/>
  <c r="O1298" i="7" s="1"/>
  <c r="N1280" i="7"/>
  <c r="O1267" i="7"/>
  <c r="N1287" i="7"/>
  <c r="N843" i="7"/>
  <c r="N833" i="7"/>
  <c r="N834" i="7" s="1"/>
  <c r="N846" i="7" s="1"/>
  <c r="P437" i="7"/>
  <c r="O446" i="7"/>
  <c r="O450" i="7" s="1"/>
  <c r="AD97" i="5"/>
  <c r="AD132" i="33"/>
  <c r="AD254" i="25"/>
  <c r="AD240" i="26"/>
  <c r="AD141" i="5"/>
  <c r="AD132" i="34"/>
  <c r="AC1490" i="7"/>
  <c r="AC1492" i="7" s="1"/>
  <c r="AC38" i="2" s="1"/>
  <c r="AC807" i="7"/>
  <c r="AC819" i="7" s="1"/>
  <c r="AD1491" i="7"/>
  <c r="AD1440" i="7"/>
  <c r="AD444" i="7"/>
  <c r="AD448" i="7"/>
  <c r="AD449" i="7" s="1"/>
  <c r="AD305" i="1"/>
  <c r="AD626" i="7"/>
  <c r="AD155" i="33" s="1"/>
  <c r="AD625" i="7"/>
  <c r="AD154" i="33" s="1"/>
  <c r="AD624" i="7"/>
  <c r="AD153" i="33" s="1"/>
  <c r="N813" i="7"/>
  <c r="AC1369" i="7"/>
  <c r="AC1381" i="7" s="1"/>
  <c r="N808" i="7"/>
  <c r="N820" i="7" s="1"/>
  <c r="AC1339" i="7"/>
  <c r="AC1351" i="7" s="1"/>
  <c r="AC1279" i="7"/>
  <c r="AC1291" i="7" s="1"/>
  <c r="P441" i="7"/>
  <c r="P438" i="7" s="1"/>
  <c r="O889" i="7"/>
  <c r="O886" i="7" s="1"/>
  <c r="Q789" i="7"/>
  <c r="Q782" i="7"/>
  <c r="Q790" i="7" s="1"/>
  <c r="N1365" i="7"/>
  <c r="N1366" i="7" s="1"/>
  <c r="N1378" i="7" s="1"/>
  <c r="N1375" i="7"/>
  <c r="AD474" i="7"/>
  <c r="AD478" i="7"/>
  <c r="AD466" i="7"/>
  <c r="AD417" i="7"/>
  <c r="AD414" i="7"/>
  <c r="AD418" i="7"/>
  <c r="AD419" i="7" s="1"/>
  <c r="AD406" i="7"/>
  <c r="AD468" i="7"/>
  <c r="AD436" i="7"/>
  <c r="AD384" i="7"/>
  <c r="AD388" i="7"/>
  <c r="AD389" i="7" s="1"/>
  <c r="AD477" i="7"/>
  <c r="AD387" i="7"/>
  <c r="AD378" i="7"/>
  <c r="AD408" i="7"/>
  <c r="AD359" i="7"/>
  <c r="AD327" i="7"/>
  <c r="AD376" i="7"/>
  <c r="AD361" i="7"/>
  <c r="AD345" i="7"/>
  <c r="AD343" i="7"/>
  <c r="AD329" i="7"/>
  <c r="Q332" i="7"/>
  <c r="V475" i="7"/>
  <c r="Q1260" i="7"/>
  <c r="R1250" i="7"/>
  <c r="O411" i="7"/>
  <c r="O408" i="7" s="1"/>
  <c r="AC837" i="7"/>
  <c r="AC849" i="7" s="1"/>
  <c r="AC1309" i="7"/>
  <c r="AC1321" i="7" s="1"/>
  <c r="AD1364" i="7"/>
  <c r="AD1376" i="7" s="1"/>
  <c r="AD1368" i="7"/>
  <c r="AD1337" i="7"/>
  <c r="AD1349" i="7" s="1"/>
  <c r="AD1367" i="7"/>
  <c r="AD1379" i="7" s="1"/>
  <c r="AD1356" i="7"/>
  <c r="AD1334" i="7"/>
  <c r="AD1346" i="7" s="1"/>
  <c r="AD1308" i="7"/>
  <c r="AD1320" i="7" s="1"/>
  <c r="AD1277" i="7"/>
  <c r="AD1289" i="7" s="1"/>
  <c r="AD1249" i="7"/>
  <c r="AD1217" i="7"/>
  <c r="AD1326" i="7"/>
  <c r="AD1278" i="7"/>
  <c r="AD1290" i="7" s="1"/>
  <c r="AD1219" i="7"/>
  <c r="AD1304" i="7"/>
  <c r="AD1316" i="7" s="1"/>
  <c r="AD1235" i="7"/>
  <c r="AD1243" i="7" s="1"/>
  <c r="AD1307" i="7"/>
  <c r="AD1319" i="7" s="1"/>
  <c r="AD1251" i="7"/>
  <c r="AD1259" i="7" s="1"/>
  <c r="AD1233" i="7"/>
  <c r="AD1274" i="7"/>
  <c r="AD1286" i="7" s="1"/>
  <c r="AD1296" i="7"/>
  <c r="AD1338" i="7"/>
  <c r="AD1350" i="7" s="1"/>
  <c r="AD1266" i="7"/>
  <c r="AD1268" i="7"/>
  <c r="AD1285" i="7" s="1"/>
  <c r="AD1328" i="7"/>
  <c r="AD1345" i="7" s="1"/>
  <c r="AD1358" i="7"/>
  <c r="AD1375" i="7" s="1"/>
  <c r="AD1298" i="7"/>
  <c r="AD1315" i="7" s="1"/>
  <c r="R762" i="7"/>
  <c r="Q1222" i="7"/>
  <c r="Q756" i="7"/>
  <c r="R746" i="7"/>
  <c r="Q1261" i="7"/>
  <c r="Q1254" i="7"/>
  <c r="Q1262" i="7" s="1"/>
  <c r="N815" i="7"/>
  <c r="O795" i="7"/>
  <c r="AD895" i="7"/>
  <c r="AD854" i="7"/>
  <c r="AD860" i="7" s="1"/>
  <c r="AD826" i="7"/>
  <c r="AD843" i="7" s="1"/>
  <c r="AD835" i="7"/>
  <c r="AD847" i="7" s="1"/>
  <c r="AD892" i="7"/>
  <c r="AD896" i="7"/>
  <c r="AD897" i="7" s="1"/>
  <c r="AD865" i="7"/>
  <c r="AD832" i="7"/>
  <c r="AD844" i="7" s="1"/>
  <c r="AD836" i="7"/>
  <c r="AD848" i="7" s="1"/>
  <c r="AD824" i="7"/>
  <c r="AD805" i="7"/>
  <c r="AD817" i="7" s="1"/>
  <c r="AD763" i="7"/>
  <c r="AD802" i="7"/>
  <c r="AD814" i="7" s="1"/>
  <c r="AD806" i="7"/>
  <c r="AD818" i="7" s="1"/>
  <c r="AD794" i="7"/>
  <c r="AD761" i="7"/>
  <c r="AD745" i="7"/>
  <c r="AD866" i="7"/>
  <c r="AD867" i="7" s="1"/>
  <c r="AD779" i="7"/>
  <c r="AD787" i="7" s="1"/>
  <c r="AD747" i="7"/>
  <c r="AD755" i="7" s="1"/>
  <c r="AD884" i="7"/>
  <c r="AD862" i="7"/>
  <c r="AD777" i="7"/>
  <c r="AD796" i="7"/>
  <c r="AD813" i="7" s="1"/>
  <c r="AD886" i="7"/>
  <c r="R328" i="7"/>
  <c r="Q1237" i="7"/>
  <c r="Q1244" i="7"/>
  <c r="R1234" i="7"/>
  <c r="N1335" i="7"/>
  <c r="N1336" i="7" s="1"/>
  <c r="N1348" i="7" s="1"/>
  <c r="N1345" i="7"/>
  <c r="Q749" i="7"/>
  <c r="AC479" i="7"/>
  <c r="R1218" i="7"/>
  <c r="U480" i="7"/>
  <c r="Q788" i="7"/>
  <c r="R778" i="7"/>
  <c r="Q765" i="7"/>
  <c r="AE20" i="7"/>
  <c r="AE18" i="7"/>
  <c r="M516" i="7"/>
  <c r="M523" i="7" s="1"/>
  <c r="AD99" i="27"/>
  <c r="AC250" i="32"/>
  <c r="AD103" i="27"/>
  <c r="AD413" i="1"/>
  <c r="AD370" i="25"/>
  <c r="AD417" i="1"/>
  <c r="AD352" i="26"/>
  <c r="AD362" i="25"/>
  <c r="AD364" i="26"/>
  <c r="AD421" i="1"/>
  <c r="AD429" i="1"/>
  <c r="AD360" i="26"/>
  <c r="AD348" i="26"/>
  <c r="AD425" i="1"/>
  <c r="AD374" i="25"/>
  <c r="AD356" i="26"/>
  <c r="AB248" i="32"/>
  <c r="AC228" i="33"/>
  <c r="AC235" i="33"/>
  <c r="AC242" i="33"/>
  <c r="AC251" i="32"/>
  <c r="AC243" i="32"/>
  <c r="AC249" i="32"/>
  <c r="AC242" i="32"/>
  <c r="AC256" i="32"/>
  <c r="AC226" i="34"/>
  <c r="AC233" i="34"/>
  <c r="AC219" i="34"/>
  <c r="AD137" i="34"/>
  <c r="AD137" i="10"/>
  <c r="AD138" i="33"/>
  <c r="AD137" i="32"/>
  <c r="AD143" i="34"/>
  <c r="AD1173" i="7"/>
  <c r="AD1385" i="7"/>
  <c r="AD1387" i="7" s="1"/>
  <c r="AC171" i="6"/>
  <c r="AC164" i="6"/>
  <c r="AC168" i="2"/>
  <c r="AC173" i="6" s="1"/>
  <c r="AC173" i="2"/>
  <c r="AC174" i="6" s="1"/>
  <c r="AC187" i="34" s="1"/>
  <c r="AC155" i="2"/>
  <c r="AC165" i="6" s="1"/>
  <c r="AB29" i="6"/>
  <c r="AB39" i="6"/>
  <c r="AB186" i="10" s="1"/>
  <c r="AB30" i="6"/>
  <c r="AB33" i="2"/>
  <c r="AB38" i="6" s="1"/>
  <c r="AB20" i="2"/>
  <c r="AD186" i="32"/>
  <c r="AD173" i="33"/>
  <c r="AD132" i="32"/>
  <c r="AD495" i="7"/>
  <c r="AD497" i="7" s="1"/>
  <c r="AD286" i="7"/>
  <c r="AC83" i="2"/>
  <c r="AC84" i="6" s="1"/>
  <c r="AC210" i="32" s="1"/>
  <c r="AC65" i="2"/>
  <c r="AC75" i="6" s="1"/>
  <c r="AC78" i="2"/>
  <c r="AC74" i="6"/>
  <c r="AC110" i="2"/>
  <c r="AC120" i="6" s="1"/>
  <c r="AD704" i="7"/>
  <c r="AD913" i="7"/>
  <c r="AD915" i="7" s="1"/>
  <c r="AC119" i="6"/>
  <c r="L551" i="7"/>
  <c r="M547" i="7" s="1"/>
  <c r="AC123" i="2"/>
  <c r="AC128" i="6" s="1"/>
  <c r="AC128" i="2"/>
  <c r="AC129" i="6" s="1"/>
  <c r="AC196" i="33" s="1"/>
  <c r="M997" i="7"/>
  <c r="M1013" i="7"/>
  <c r="L1000" i="7"/>
  <c r="L1016" i="7"/>
  <c r="AD378" i="25"/>
  <c r="AD366" i="25"/>
  <c r="M112" i="7"/>
  <c r="M114" i="7" s="1"/>
  <c r="L97" i="7"/>
  <c r="L98" i="7"/>
  <c r="M46" i="7"/>
  <c r="L104" i="7"/>
  <c r="M119" i="7"/>
  <c r="M121" i="7" s="1"/>
  <c r="N116" i="7" s="1"/>
  <c r="L65" i="7"/>
  <c r="L66" i="7"/>
  <c r="AD101" i="7"/>
  <c r="AD117" i="7"/>
  <c r="AD37" i="7"/>
  <c r="L105" i="7"/>
  <c r="M100" i="7" s="1"/>
  <c r="M583" i="7"/>
  <c r="N596" i="7"/>
  <c r="N603" i="7" s="1"/>
  <c r="N563" i="7"/>
  <c r="L550" i="7"/>
  <c r="M582" i="7"/>
  <c r="N533" i="7"/>
  <c r="Z1345" i="7"/>
  <c r="AC233" i="10"/>
  <c r="AC226" i="10"/>
  <c r="AC219" i="10"/>
  <c r="AC228" i="10"/>
  <c r="AD54" i="6"/>
  <c r="AD53" i="5"/>
  <c r="AD54" i="2"/>
  <c r="AD132" i="10"/>
  <c r="AD9" i="6"/>
  <c r="AD9" i="5"/>
  <c r="AD9" i="2"/>
  <c r="AD144" i="6"/>
  <c r="AD144" i="2"/>
  <c r="AD99" i="6"/>
  <c r="AD99" i="2"/>
  <c r="AE17" i="7"/>
  <c r="AE16" i="7"/>
  <c r="AE21" i="7"/>
  <c r="AE19" i="7"/>
  <c r="AF14" i="7"/>
  <c r="AG15" i="7" s="1"/>
  <c r="V346" i="7"/>
  <c r="V347" i="7" s="1"/>
  <c r="AG156" i="10"/>
  <c r="AG171" i="10"/>
  <c r="AG150" i="10"/>
  <c r="AG163" i="10"/>
  <c r="AG195" i="10"/>
  <c r="AG200" i="10"/>
  <c r="AG224" i="10"/>
  <c r="AG143" i="10"/>
  <c r="AG177" i="10"/>
  <c r="AG191" i="10"/>
  <c r="AG207" i="10"/>
  <c r="AG217" i="10"/>
  <c r="AG231" i="10"/>
  <c r="AG181" i="10"/>
  <c r="AG212" i="10"/>
  <c r="U364" i="7"/>
  <c r="AG6" i="7"/>
  <c r="AH5" i="7" s="1"/>
  <c r="V362" i="7"/>
  <c r="V363" i="7" s="1"/>
  <c r="AD129" i="1"/>
  <c r="AF12" i="7"/>
  <c r="AF13" i="7" s="1"/>
  <c r="N1292" i="7" l="1"/>
  <c r="AE35" i="27"/>
  <c r="N1370" i="7"/>
  <c r="N1382" i="7" s="1"/>
  <c r="N1340" i="7"/>
  <c r="N1352" i="7" s="1"/>
  <c r="O1315" i="7"/>
  <c r="O1305" i="7"/>
  <c r="O1306" i="7" s="1"/>
  <c r="O1318" i="7" s="1"/>
  <c r="O1273" i="7"/>
  <c r="O1284" i="7"/>
  <c r="N838" i="7"/>
  <c r="N850" i="7" s="1"/>
  <c r="N845" i="7"/>
  <c r="O825" i="7"/>
  <c r="AE97" i="5"/>
  <c r="AE132" i="33"/>
  <c r="AE254" i="25"/>
  <c r="AE141" i="5"/>
  <c r="AE132" i="34"/>
  <c r="AE240" i="26"/>
  <c r="AD1490" i="7"/>
  <c r="AD1492" i="7" s="1"/>
  <c r="AE1490" i="7" s="1"/>
  <c r="AE1491" i="7"/>
  <c r="AE1440" i="7"/>
  <c r="AE448" i="7"/>
  <c r="AE449" i="7" s="1"/>
  <c r="AE444" i="7"/>
  <c r="AE305" i="1"/>
  <c r="P445" i="7"/>
  <c r="AE626" i="7"/>
  <c r="AE155" i="33" s="1"/>
  <c r="AE625" i="7"/>
  <c r="AE154" i="33" s="1"/>
  <c r="AE624" i="7"/>
  <c r="AE153" i="33" s="1"/>
  <c r="AD1309" i="7"/>
  <c r="AD1321" i="7" s="1"/>
  <c r="AD479" i="7"/>
  <c r="AD1339" i="7"/>
  <c r="AD1351" i="7" s="1"/>
  <c r="AD837" i="7"/>
  <c r="AD849" i="7" s="1"/>
  <c r="AD1279" i="7"/>
  <c r="AD1291" i="7" s="1"/>
  <c r="AD807" i="7"/>
  <c r="AD819" i="7" s="1"/>
  <c r="O893" i="7"/>
  <c r="Q1238" i="7"/>
  <c r="Q1246" i="7" s="1"/>
  <c r="Q1245" i="7"/>
  <c r="V476" i="7"/>
  <c r="W467" i="7"/>
  <c r="W473" i="7" s="1"/>
  <c r="AE1337" i="7"/>
  <c r="AE1349" i="7" s="1"/>
  <c r="AE1334" i="7"/>
  <c r="AE1346" i="7" s="1"/>
  <c r="AE1338" i="7"/>
  <c r="AE1350" i="7" s="1"/>
  <c r="AE1326" i="7"/>
  <c r="AE1307" i="7"/>
  <c r="AE1319" i="7" s="1"/>
  <c r="AE1296" i="7"/>
  <c r="AE1277" i="7"/>
  <c r="AE1289" i="7" s="1"/>
  <c r="AE1364" i="7"/>
  <c r="AE1376" i="7" s="1"/>
  <c r="AE1368" i="7"/>
  <c r="AE1380" i="7" s="1"/>
  <c r="AE1367" i="7"/>
  <c r="AE1379" i="7" s="1"/>
  <c r="AE1278" i="7"/>
  <c r="AE1290" i="7" s="1"/>
  <c r="AE1219" i="7"/>
  <c r="AE1304" i="7"/>
  <c r="AE1316" i="7" s="1"/>
  <c r="AE1235" i="7"/>
  <c r="AE1243" i="7" s="1"/>
  <c r="AE1356" i="7"/>
  <c r="AE1274" i="7"/>
  <c r="AE1286" i="7" s="1"/>
  <c r="AE1266" i="7"/>
  <c r="AE1251" i="7"/>
  <c r="AE1259" i="7" s="1"/>
  <c r="AE1233" i="7"/>
  <c r="AE1308" i="7"/>
  <c r="AE1320" i="7" s="1"/>
  <c r="AE1217" i="7"/>
  <c r="AE1249" i="7"/>
  <c r="AE1358" i="7"/>
  <c r="AE1375" i="7" s="1"/>
  <c r="AE1328" i="7"/>
  <c r="AE1345" i="7" s="1"/>
  <c r="AE1268" i="7"/>
  <c r="AE1285" i="7" s="1"/>
  <c r="AE1298" i="7"/>
  <c r="AE1315" i="7" s="1"/>
  <c r="Q766" i="7"/>
  <c r="AD1369" i="7"/>
  <c r="AD1381" i="7" s="1"/>
  <c r="AD1380" i="7"/>
  <c r="N1377" i="7"/>
  <c r="O1357" i="7"/>
  <c r="AE895" i="7"/>
  <c r="AE854" i="7"/>
  <c r="AE860" i="7" s="1"/>
  <c r="L859" i="7" s="1"/>
  <c r="L856" i="7" s="1"/>
  <c r="AE835" i="7"/>
  <c r="AE847" i="7" s="1"/>
  <c r="AE892" i="7"/>
  <c r="AE896" i="7"/>
  <c r="AE897" i="7" s="1"/>
  <c r="AE865" i="7"/>
  <c r="AE832" i="7"/>
  <c r="AE844" i="7" s="1"/>
  <c r="AE836" i="7"/>
  <c r="AE848" i="7" s="1"/>
  <c r="AE824" i="7"/>
  <c r="AE884" i="7"/>
  <c r="AE862" i="7"/>
  <c r="AE866" i="7"/>
  <c r="AE867" i="7" s="1"/>
  <c r="AE802" i="7"/>
  <c r="AE814" i="7" s="1"/>
  <c r="AE806" i="7"/>
  <c r="AE818" i="7" s="1"/>
  <c r="AE794" i="7"/>
  <c r="AE761" i="7"/>
  <c r="AE745" i="7"/>
  <c r="AE779" i="7"/>
  <c r="AE787" i="7" s="1"/>
  <c r="AE747" i="7"/>
  <c r="AE755" i="7" s="1"/>
  <c r="AE777" i="7"/>
  <c r="AE763" i="7"/>
  <c r="AE805" i="7"/>
  <c r="AE817" i="7" s="1"/>
  <c r="AE826" i="7"/>
  <c r="AE843" i="7" s="1"/>
  <c r="AE796" i="7"/>
  <c r="AE813" i="7" s="1"/>
  <c r="AE886" i="7"/>
  <c r="Q757" i="7"/>
  <c r="Q750" i="7"/>
  <c r="Q758" i="7" s="1"/>
  <c r="O1327" i="7"/>
  <c r="N1347" i="7"/>
  <c r="R1236" i="7"/>
  <c r="R1242" i="7"/>
  <c r="O812" i="7"/>
  <c r="O801" i="7"/>
  <c r="R748" i="7"/>
  <c r="R749" i="7" s="1"/>
  <c r="R754" i="7"/>
  <c r="R764" i="7"/>
  <c r="R765" i="7" s="1"/>
  <c r="R1252" i="7"/>
  <c r="R1258" i="7"/>
  <c r="AE466" i="7"/>
  <c r="AE417" i="7"/>
  <c r="AE414" i="7"/>
  <c r="AE418" i="7"/>
  <c r="AE419" i="7" s="1"/>
  <c r="AE406" i="7"/>
  <c r="AE477" i="7"/>
  <c r="AE436" i="7"/>
  <c r="AE384" i="7"/>
  <c r="AE474" i="7"/>
  <c r="AE387" i="7"/>
  <c r="AE478" i="7"/>
  <c r="AE388" i="7"/>
  <c r="AE389" i="7" s="1"/>
  <c r="AE468" i="7"/>
  <c r="AE378" i="7"/>
  <c r="AE408" i="7"/>
  <c r="AE376" i="7"/>
  <c r="AE361" i="7"/>
  <c r="AE345" i="7"/>
  <c r="AE343" i="7"/>
  <c r="AE329" i="7"/>
  <c r="AE359" i="7"/>
  <c r="AE327" i="7"/>
  <c r="R786" i="7"/>
  <c r="R780" i="7"/>
  <c r="R781" i="7" s="1"/>
  <c r="R1220" i="7"/>
  <c r="R330" i="7"/>
  <c r="O415" i="7"/>
  <c r="AF18" i="7"/>
  <c r="AF20" i="7"/>
  <c r="M517" i="7"/>
  <c r="AE99" i="27"/>
  <c r="AC248" i="32"/>
  <c r="AE103" i="27"/>
  <c r="AE421" i="1"/>
  <c r="AE362" i="25"/>
  <c r="AE413" i="1"/>
  <c r="AE425" i="1"/>
  <c r="AE429" i="1"/>
  <c r="AE370" i="25"/>
  <c r="AE374" i="25"/>
  <c r="AE360" i="26"/>
  <c r="AE417" i="1"/>
  <c r="AE356" i="26"/>
  <c r="AE348" i="26"/>
  <c r="AE364" i="26"/>
  <c r="AE352" i="26"/>
  <c r="AD250" i="32"/>
  <c r="AD233" i="34"/>
  <c r="AD219" i="34"/>
  <c r="AD226" i="34"/>
  <c r="AD228" i="33"/>
  <c r="AD235" i="33"/>
  <c r="AD242" i="33"/>
  <c r="AD249" i="32"/>
  <c r="AD242" i="32"/>
  <c r="AD256" i="32"/>
  <c r="AD251" i="32"/>
  <c r="AD243" i="32"/>
  <c r="AE137" i="10"/>
  <c r="AE138" i="33"/>
  <c r="AE137" i="32"/>
  <c r="AE137" i="34"/>
  <c r="AE143" i="34"/>
  <c r="AE1173" i="7"/>
  <c r="AE1385" i="7"/>
  <c r="AE1387" i="7" s="1"/>
  <c r="AC33" i="2"/>
  <c r="AC38" i="6" s="1"/>
  <c r="AD171" i="6"/>
  <c r="AD164" i="6"/>
  <c r="AD168" i="2"/>
  <c r="AD173" i="6" s="1"/>
  <c r="AD173" i="2"/>
  <c r="AD174" i="6" s="1"/>
  <c r="AD187" i="34" s="1"/>
  <c r="AD155" i="2"/>
  <c r="AD165" i="6" s="1"/>
  <c r="AC20" i="2"/>
  <c r="AC29" i="6"/>
  <c r="AC83" i="6"/>
  <c r="AC30" i="6"/>
  <c r="AC39" i="6"/>
  <c r="AC186" i="10" s="1"/>
  <c r="AE186" i="32"/>
  <c r="AE173" i="33"/>
  <c r="AD65" i="2"/>
  <c r="AD75" i="6" s="1"/>
  <c r="AD78" i="2"/>
  <c r="AD83" i="6" s="1"/>
  <c r="AD83" i="2"/>
  <c r="AD84" i="6" s="1"/>
  <c r="AD210" i="32" s="1"/>
  <c r="AD74" i="6"/>
  <c r="AE132" i="32"/>
  <c r="AE495" i="7"/>
  <c r="AE497" i="7" s="1"/>
  <c r="AE286" i="7"/>
  <c r="AD110" i="2"/>
  <c r="AD120" i="6" s="1"/>
  <c r="AE913" i="7"/>
  <c r="AE915" i="7" s="1"/>
  <c r="AE704" i="7"/>
  <c r="AD119" i="6"/>
  <c r="AD123" i="2"/>
  <c r="AD128" i="6" s="1"/>
  <c r="AD128" i="2"/>
  <c r="AD129" i="6" s="1"/>
  <c r="AD196" i="33" s="1"/>
  <c r="M113" i="7"/>
  <c r="M1014" i="7"/>
  <c r="M1021" i="7" s="1"/>
  <c r="M998" i="7"/>
  <c r="M1005" i="7" s="1"/>
  <c r="N597" i="7"/>
  <c r="N599" i="7" s="1"/>
  <c r="O595" i="7" s="1"/>
  <c r="AE366" i="25"/>
  <c r="AE378" i="25"/>
  <c r="M123" i="7"/>
  <c r="N110" i="7"/>
  <c r="M62" i="7"/>
  <c r="M120" i="7"/>
  <c r="L107" i="7"/>
  <c r="M94" i="7"/>
  <c r="M47" i="7"/>
  <c r="M54" i="7" s="1"/>
  <c r="AE101" i="7"/>
  <c r="AE117" i="7"/>
  <c r="AE37" i="7"/>
  <c r="N564" i="7"/>
  <c r="N571" i="7" s="1"/>
  <c r="M548" i="7"/>
  <c r="M555" i="7" s="1"/>
  <c r="N534" i="7"/>
  <c r="N535" i="7"/>
  <c r="N579" i="7"/>
  <c r="AD228" i="10"/>
  <c r="AD219" i="10"/>
  <c r="AD226" i="10"/>
  <c r="AD233" i="10"/>
  <c r="AE99" i="6"/>
  <c r="AE99" i="2"/>
  <c r="AE54" i="6"/>
  <c r="AE53" i="5"/>
  <c r="AE54" i="2"/>
  <c r="AE132" i="10"/>
  <c r="AE9" i="6"/>
  <c r="AE9" i="5"/>
  <c r="AE9" i="2"/>
  <c r="AE144" i="6"/>
  <c r="AE144" i="2"/>
  <c r="AF16" i="7"/>
  <c r="AF21" i="7"/>
  <c r="AF19" i="7"/>
  <c r="AF17" i="7"/>
  <c r="AG14" i="7"/>
  <c r="AH15" i="7" s="1"/>
  <c r="AG12" i="7"/>
  <c r="AG13" i="7" s="1"/>
  <c r="V364" i="7"/>
  <c r="V348" i="7"/>
  <c r="AE129" i="1"/>
  <c r="W360" i="7"/>
  <c r="AH6" i="7"/>
  <c r="AH12" i="7" s="1"/>
  <c r="AH171" i="10"/>
  <c r="AH156" i="10"/>
  <c r="AH143" i="10"/>
  <c r="AH177" i="10"/>
  <c r="AH195" i="10"/>
  <c r="AH207" i="10"/>
  <c r="AH231" i="10"/>
  <c r="AH163" i="10"/>
  <c r="AH181" i="10"/>
  <c r="AH200" i="10"/>
  <c r="AH217" i="10"/>
  <c r="AH224" i="10"/>
  <c r="AH150" i="10"/>
  <c r="AH191" i="10"/>
  <c r="AH212" i="10"/>
  <c r="W344" i="7"/>
  <c r="AF35" i="27" l="1"/>
  <c r="O1310" i="7"/>
  <c r="O1322" i="7" s="1"/>
  <c r="P1297" i="7"/>
  <c r="O1317" i="7"/>
  <c r="O1271" i="7"/>
  <c r="O1268" i="7" s="1"/>
  <c r="P885" i="7"/>
  <c r="P891" i="7" s="1"/>
  <c r="O894" i="7"/>
  <c r="O898" i="7" s="1"/>
  <c r="O831" i="7"/>
  <c r="O842" i="7"/>
  <c r="P407" i="7"/>
  <c r="O416" i="7"/>
  <c r="O420" i="7" s="1"/>
  <c r="Q437" i="7"/>
  <c r="Q443" i="7" s="1"/>
  <c r="P446" i="7"/>
  <c r="P450" i="7" s="1"/>
  <c r="AF141" i="5"/>
  <c r="AF132" i="34"/>
  <c r="AF240" i="26"/>
  <c r="AF97" i="5"/>
  <c r="AF132" i="33"/>
  <c r="AF254" i="25"/>
  <c r="AD38" i="2"/>
  <c r="AF1491" i="7"/>
  <c r="AF1440" i="7"/>
  <c r="AE1492" i="7"/>
  <c r="AF1490" i="7" s="1"/>
  <c r="AF448" i="7"/>
  <c r="AF449" i="7" s="1"/>
  <c r="AF444" i="7"/>
  <c r="AF305" i="1"/>
  <c r="AE1369" i="7"/>
  <c r="AE1381" i="7" s="1"/>
  <c r="AF625" i="7"/>
  <c r="AF154" i="33" s="1"/>
  <c r="AF624" i="7"/>
  <c r="AF153" i="33" s="1"/>
  <c r="AF626" i="7"/>
  <c r="AF155" i="33" s="1"/>
  <c r="AE1339" i="7"/>
  <c r="AE1351" i="7" s="1"/>
  <c r="AE807" i="7"/>
  <c r="AE819" i="7" s="1"/>
  <c r="AE1309" i="7"/>
  <c r="AE1321" i="7" s="1"/>
  <c r="AE479" i="7"/>
  <c r="AE837" i="7"/>
  <c r="AE849" i="7" s="1"/>
  <c r="AE1279" i="7"/>
  <c r="AE1291" i="7" s="1"/>
  <c r="O799" i="7"/>
  <c r="O796" i="7" s="1"/>
  <c r="O813" i="7" s="1"/>
  <c r="L863" i="7"/>
  <c r="R331" i="7"/>
  <c r="S328" i="7"/>
  <c r="R789" i="7"/>
  <c r="R782" i="7"/>
  <c r="R790" i="7" s="1"/>
  <c r="R766" i="7"/>
  <c r="P889" i="7"/>
  <c r="P886" i="7" s="1"/>
  <c r="AF1358" i="7"/>
  <c r="AF1375" i="7" s="1"/>
  <c r="AF1334" i="7"/>
  <c r="AF1346" i="7" s="1"/>
  <c r="AF1338" i="7"/>
  <c r="AF1350" i="7" s="1"/>
  <c r="AF1326" i="7"/>
  <c r="AF1307" i="7"/>
  <c r="AF1319" i="7" s="1"/>
  <c r="AF1296" i="7"/>
  <c r="AF1277" i="7"/>
  <c r="AF1289" i="7" s="1"/>
  <c r="AF1367" i="7"/>
  <c r="AF1379" i="7" s="1"/>
  <c r="AF1356" i="7"/>
  <c r="AF1304" i="7"/>
  <c r="AF1316" i="7" s="1"/>
  <c r="AF1308" i="7"/>
  <c r="AF1320" i="7" s="1"/>
  <c r="AF1274" i="7"/>
  <c r="AF1286" i="7" s="1"/>
  <c r="AF1278" i="7"/>
  <c r="AF1290" i="7" s="1"/>
  <c r="AF1337" i="7"/>
  <c r="AF1349" i="7" s="1"/>
  <c r="AF1235" i="7"/>
  <c r="AF1243" i="7" s="1"/>
  <c r="AF1266" i="7"/>
  <c r="AF1251" i="7"/>
  <c r="AF1259" i="7" s="1"/>
  <c r="AF1233" i="7"/>
  <c r="AF1368" i="7"/>
  <c r="AF1380" i="7" s="1"/>
  <c r="AF1249" i="7"/>
  <c r="AF1217" i="7"/>
  <c r="AF1364" i="7"/>
  <c r="AF1376" i="7" s="1"/>
  <c r="AF1219" i="7"/>
  <c r="AF1328" i="7"/>
  <c r="AF1345" i="7" s="1"/>
  <c r="AF1298" i="7"/>
  <c r="AF1315" i="7" s="1"/>
  <c r="AF1268" i="7"/>
  <c r="AF1285" i="7" s="1"/>
  <c r="S1250" i="7"/>
  <c r="R1260" i="7"/>
  <c r="AF892" i="7"/>
  <c r="AF896" i="7"/>
  <c r="AF897" i="7" s="1"/>
  <c r="AF865" i="7"/>
  <c r="AF832" i="7"/>
  <c r="AF844" i="7" s="1"/>
  <c r="AF836" i="7"/>
  <c r="AF824" i="7"/>
  <c r="AF884" i="7"/>
  <c r="AF862" i="7"/>
  <c r="AF866" i="7"/>
  <c r="AF867" i="7" s="1"/>
  <c r="AF835" i="7"/>
  <c r="AF847" i="7" s="1"/>
  <c r="AF779" i="7"/>
  <c r="AF787" i="7" s="1"/>
  <c r="AF747" i="7"/>
  <c r="AF755" i="7" s="1"/>
  <c r="AF895" i="7"/>
  <c r="AF854" i="7"/>
  <c r="AF777" i="7"/>
  <c r="AF805" i="7"/>
  <c r="AF817" i="7" s="1"/>
  <c r="AF763" i="7"/>
  <c r="AF761" i="7"/>
  <c r="AF745" i="7"/>
  <c r="AF806" i="7"/>
  <c r="AF818" i="7" s="1"/>
  <c r="AF794" i="7"/>
  <c r="AF802" i="7"/>
  <c r="AF814" i="7" s="1"/>
  <c r="AF856" i="7"/>
  <c r="AF796" i="7"/>
  <c r="AF813" i="7" s="1"/>
  <c r="AF826" i="7"/>
  <c r="AF843" i="7" s="1"/>
  <c r="AF886" i="7"/>
  <c r="P413" i="7"/>
  <c r="S1218" i="7"/>
  <c r="S762" i="7"/>
  <c r="O1374" i="7"/>
  <c r="O1363" i="7"/>
  <c r="V480" i="7"/>
  <c r="Q441" i="7"/>
  <c r="Q438" i="7" s="1"/>
  <c r="R750" i="7"/>
  <c r="R758" i="7" s="1"/>
  <c r="R757" i="7"/>
  <c r="O1344" i="7"/>
  <c r="O1333" i="7"/>
  <c r="AF414" i="7"/>
  <c r="AF418" i="7"/>
  <c r="AF419" i="7" s="1"/>
  <c r="AF406" i="7"/>
  <c r="AF477" i="7"/>
  <c r="AF436" i="7"/>
  <c r="AF474" i="7"/>
  <c r="AF478" i="7"/>
  <c r="AF466" i="7"/>
  <c r="AF417" i="7"/>
  <c r="AF387" i="7"/>
  <c r="AF384" i="7"/>
  <c r="AF388" i="7"/>
  <c r="AF389" i="7" s="1"/>
  <c r="AF468" i="7"/>
  <c r="AF408" i="7"/>
  <c r="AF378" i="7"/>
  <c r="AF359" i="7"/>
  <c r="AF327" i="7"/>
  <c r="AF376" i="7"/>
  <c r="AF361" i="7"/>
  <c r="AF345" i="7"/>
  <c r="AF343" i="7"/>
  <c r="AF329" i="7"/>
  <c r="R788" i="7"/>
  <c r="S778" i="7"/>
  <c r="R756" i="7"/>
  <c r="S746" i="7"/>
  <c r="R1237" i="7"/>
  <c r="R1244" i="7"/>
  <c r="S1234" i="7"/>
  <c r="W475" i="7"/>
  <c r="W476" i="7" s="1"/>
  <c r="R1221" i="7"/>
  <c r="R1253" i="7"/>
  <c r="AG18" i="7"/>
  <c r="AG20" i="7"/>
  <c r="AF99" i="27"/>
  <c r="AF103" i="27"/>
  <c r="AF348" i="26"/>
  <c r="AF362" i="25"/>
  <c r="AF364" i="26"/>
  <c r="AF417" i="1"/>
  <c r="AF374" i="25"/>
  <c r="AF370" i="25"/>
  <c r="AF413" i="1"/>
  <c r="AF360" i="26"/>
  <c r="AF425" i="1"/>
  <c r="AF352" i="26"/>
  <c r="AF356" i="26"/>
  <c r="AF429" i="1"/>
  <c r="AF421" i="1"/>
  <c r="AD248" i="32"/>
  <c r="AE256" i="32"/>
  <c r="AE251" i="32"/>
  <c r="AE243" i="32"/>
  <c r="AE249" i="32"/>
  <c r="AE250" i="32"/>
  <c r="AE242" i="32"/>
  <c r="AE233" i="34"/>
  <c r="AE219" i="34"/>
  <c r="AE226" i="34"/>
  <c r="AE228" i="33"/>
  <c r="AE235" i="33"/>
  <c r="AE242" i="33"/>
  <c r="AF137" i="10"/>
  <c r="AF138" i="33"/>
  <c r="AF137" i="32"/>
  <c r="AF137" i="34"/>
  <c r="AF143" i="34"/>
  <c r="AE171" i="6"/>
  <c r="AE164" i="6"/>
  <c r="AF1385" i="7"/>
  <c r="AF1387" i="7" s="1"/>
  <c r="AF1173" i="7"/>
  <c r="AE173" i="2"/>
  <c r="AE174" i="6" s="1"/>
  <c r="AE187" i="34" s="1"/>
  <c r="AE155" i="2"/>
  <c r="AE165" i="6" s="1"/>
  <c r="AE168" i="2"/>
  <c r="AE173" i="6" s="1"/>
  <c r="AD29" i="6"/>
  <c r="AD30" i="6"/>
  <c r="AD20" i="2"/>
  <c r="AD33" i="2"/>
  <c r="AD38" i="6" s="1"/>
  <c r="AF173" i="33"/>
  <c r="AF186" i="32"/>
  <c r="AF132" i="32"/>
  <c r="AF495" i="7"/>
  <c r="AF497" i="7" s="1"/>
  <c r="AF286" i="7"/>
  <c r="AE65" i="2"/>
  <c r="AE75" i="6" s="1"/>
  <c r="AE78" i="2"/>
  <c r="AE83" i="6" s="1"/>
  <c r="AE83" i="2"/>
  <c r="AE74" i="6"/>
  <c r="AF913" i="7"/>
  <c r="AF915" i="7" s="1"/>
  <c r="AF704" i="7"/>
  <c r="AE110" i="2"/>
  <c r="AE120" i="6" s="1"/>
  <c r="AE119" i="6"/>
  <c r="AE123" i="2"/>
  <c r="AE128" i="6" s="1"/>
  <c r="AE128" i="2"/>
  <c r="AE129" i="6" s="1"/>
  <c r="AE196" i="33" s="1"/>
  <c r="N598" i="7"/>
  <c r="M999" i="7"/>
  <c r="M1001" i="7" s="1"/>
  <c r="M1015" i="7"/>
  <c r="M1017" i="7" s="1"/>
  <c r="AF378" i="25"/>
  <c r="AF366" i="25"/>
  <c r="M48" i="7"/>
  <c r="M49" i="7" s="1"/>
  <c r="AF101" i="7"/>
  <c r="AF37" i="7"/>
  <c r="AF117" i="7"/>
  <c r="N111" i="7"/>
  <c r="N118" i="7" s="1"/>
  <c r="M63" i="7"/>
  <c r="M70" i="7" s="1"/>
  <c r="M95" i="7"/>
  <c r="M102" i="7" s="1"/>
  <c r="N580" i="7"/>
  <c r="N587" i="7" s="1"/>
  <c r="O596" i="7"/>
  <c r="O603" i="7" s="1"/>
  <c r="M549" i="7"/>
  <c r="M551" i="7" s="1"/>
  <c r="O531" i="7"/>
  <c r="N565" i="7"/>
  <c r="N567" i="7" s="1"/>
  <c r="M518" i="7"/>
  <c r="M519" i="7"/>
  <c r="AE228" i="10"/>
  <c r="AE233" i="10"/>
  <c r="AE219" i="10"/>
  <c r="AE226" i="10"/>
  <c r="AF54" i="6"/>
  <c r="AF53" i="5"/>
  <c r="AF54" i="2"/>
  <c r="AF132" i="10"/>
  <c r="AF9" i="6"/>
  <c r="AF9" i="5"/>
  <c r="AF9" i="2"/>
  <c r="AF144" i="6"/>
  <c r="AF144" i="2"/>
  <c r="AF99" i="6"/>
  <c r="AF99" i="2"/>
  <c r="AG16" i="7"/>
  <c r="AG21" i="7"/>
  <c r="AG19" i="7"/>
  <c r="AG17" i="7"/>
  <c r="AH14" i="7"/>
  <c r="W346" i="7"/>
  <c r="W347" i="7" s="1"/>
  <c r="W362" i="7"/>
  <c r="AH13" i="7"/>
  <c r="AF129" i="1"/>
  <c r="AD39" i="6" l="1"/>
  <c r="AD186" i="10" s="1"/>
  <c r="AG35" i="27"/>
  <c r="P1303" i="7"/>
  <c r="P1314" i="7"/>
  <c r="P1301" i="7"/>
  <c r="P1298" i="7" s="1"/>
  <c r="O1285" i="7"/>
  <c r="O1275" i="7"/>
  <c r="O1276" i="7" s="1"/>
  <c r="O1288" i="7" s="1"/>
  <c r="M855" i="7"/>
  <c r="M861" i="7" s="1"/>
  <c r="L864" i="7"/>
  <c r="L868" i="7" s="1"/>
  <c r="O829" i="7"/>
  <c r="O826" i="7" s="1"/>
  <c r="AG141" i="5"/>
  <c r="AG132" i="34"/>
  <c r="AG97" i="5"/>
  <c r="AG132" i="33"/>
  <c r="AG240" i="26"/>
  <c r="AG254" i="25"/>
  <c r="AF1492" i="7"/>
  <c r="AG1490" i="7" s="1"/>
  <c r="AE38" i="2"/>
  <c r="AG1440" i="7"/>
  <c r="AG1491" i="7"/>
  <c r="AG305" i="1"/>
  <c r="AG444" i="7"/>
  <c r="AG448" i="7"/>
  <c r="AG449" i="7" s="1"/>
  <c r="AF1339" i="7"/>
  <c r="AF1351" i="7" s="1"/>
  <c r="AG624" i="7"/>
  <c r="AG153" i="33" s="1"/>
  <c r="AG626" i="7"/>
  <c r="AG155" i="33" s="1"/>
  <c r="AG625" i="7"/>
  <c r="AG154" i="33" s="1"/>
  <c r="P411" i="7"/>
  <c r="P408" i="7" s="1"/>
  <c r="AF1309" i="7"/>
  <c r="AF1321" i="7" s="1"/>
  <c r="AF1279" i="7"/>
  <c r="AF1291" i="7" s="1"/>
  <c r="AF807" i="7"/>
  <c r="AF819" i="7" s="1"/>
  <c r="O803" i="7"/>
  <c r="AF1369" i="7"/>
  <c r="AF1381" i="7" s="1"/>
  <c r="W480" i="7"/>
  <c r="R1222" i="7"/>
  <c r="S786" i="7"/>
  <c r="S780" i="7"/>
  <c r="AF479" i="7"/>
  <c r="P893" i="7"/>
  <c r="Q885" i="7" s="1"/>
  <c r="O1361" i="7"/>
  <c r="O1358" i="7" s="1"/>
  <c r="S1242" i="7"/>
  <c r="S1236" i="7"/>
  <c r="AF837" i="7"/>
  <c r="AF849" i="7" s="1"/>
  <c r="AF848" i="7"/>
  <c r="AG884" i="7"/>
  <c r="AG862" i="7"/>
  <c r="AG866" i="7"/>
  <c r="AG867" i="7" s="1"/>
  <c r="AG895" i="7"/>
  <c r="AG854" i="7"/>
  <c r="AG835" i="7"/>
  <c r="AG847" i="7" s="1"/>
  <c r="AG892" i="7"/>
  <c r="AG777" i="7"/>
  <c r="AG824" i="7"/>
  <c r="AG805" i="7"/>
  <c r="AG817" i="7" s="1"/>
  <c r="AG763" i="7"/>
  <c r="AG836" i="7"/>
  <c r="AG848" i="7" s="1"/>
  <c r="AG802" i="7"/>
  <c r="AG814" i="7" s="1"/>
  <c r="AG806" i="7"/>
  <c r="AG818" i="7" s="1"/>
  <c r="AG794" i="7"/>
  <c r="AG761" i="7"/>
  <c r="AG745" i="7"/>
  <c r="AG747" i="7"/>
  <c r="AG755" i="7" s="1"/>
  <c r="AG896" i="7"/>
  <c r="AG897" i="7" s="1"/>
  <c r="AG779" i="7"/>
  <c r="AG787" i="7" s="1"/>
  <c r="AG865" i="7"/>
  <c r="AG832" i="7"/>
  <c r="AG844" i="7" s="1"/>
  <c r="AG826" i="7"/>
  <c r="AG843" i="7" s="1"/>
  <c r="AG856" i="7"/>
  <c r="AG796" i="7"/>
  <c r="AG813" i="7" s="1"/>
  <c r="AG886" i="7"/>
  <c r="R1254" i="7"/>
  <c r="R1262" i="7" s="1"/>
  <c r="R1261" i="7"/>
  <c r="X467" i="7"/>
  <c r="X473" i="7" s="1"/>
  <c r="S754" i="7"/>
  <c r="S748" i="7"/>
  <c r="S749" i="7" s="1"/>
  <c r="Q445" i="7"/>
  <c r="R437" i="7" s="1"/>
  <c r="S764" i="7"/>
  <c r="S765" i="7" s="1"/>
  <c r="S330" i="7"/>
  <c r="AG1367" i="7"/>
  <c r="AG1379" i="7" s="1"/>
  <c r="AG1356" i="7"/>
  <c r="AG1304" i="7"/>
  <c r="AG1316" i="7" s="1"/>
  <c r="AG1308" i="7"/>
  <c r="AG1320" i="7" s="1"/>
  <c r="AG1274" i="7"/>
  <c r="AG1286" i="7" s="1"/>
  <c r="AG1278" i="7"/>
  <c r="AG1290" i="7" s="1"/>
  <c r="AG1364" i="7"/>
  <c r="AG1376" i="7" s="1"/>
  <c r="AG1368" i="7"/>
  <c r="AG1380" i="7" s="1"/>
  <c r="AG1334" i="7"/>
  <c r="AG1346" i="7" s="1"/>
  <c r="AG1338" i="7"/>
  <c r="AG1350" i="7" s="1"/>
  <c r="AG1326" i="7"/>
  <c r="AG1337" i="7"/>
  <c r="AG1349" i="7" s="1"/>
  <c r="AG1266" i="7"/>
  <c r="AG1251" i="7"/>
  <c r="AG1259" i="7" s="1"/>
  <c r="AG1233" i="7"/>
  <c r="AG1249" i="7"/>
  <c r="AG1217" i="7"/>
  <c r="AG1307" i="7"/>
  <c r="AG1319" i="7" s="1"/>
  <c r="AG1296" i="7"/>
  <c r="AG1219" i="7"/>
  <c r="AG1277" i="7"/>
  <c r="AG1289" i="7" s="1"/>
  <c r="AG1235" i="7"/>
  <c r="AG1243" i="7" s="1"/>
  <c r="AG1328" i="7"/>
  <c r="AG1345" i="7" s="1"/>
  <c r="AG1358" i="7"/>
  <c r="AG1375" i="7" s="1"/>
  <c r="AG1298" i="7"/>
  <c r="AG1315" i="7" s="1"/>
  <c r="AG1268" i="7"/>
  <c r="AG1285" i="7" s="1"/>
  <c r="S1258" i="7"/>
  <c r="S1252" i="7"/>
  <c r="R332" i="7"/>
  <c r="AG477" i="7"/>
  <c r="AG436" i="7"/>
  <c r="AG474" i="7"/>
  <c r="AG478" i="7"/>
  <c r="AG466" i="7"/>
  <c r="AG417" i="7"/>
  <c r="AG384" i="7"/>
  <c r="AG388" i="7"/>
  <c r="AG389" i="7" s="1"/>
  <c r="AG418" i="7"/>
  <c r="AG419" i="7" s="1"/>
  <c r="AG406" i="7"/>
  <c r="AG414" i="7"/>
  <c r="AG387" i="7"/>
  <c r="AG378" i="7"/>
  <c r="AG468" i="7"/>
  <c r="AG408" i="7"/>
  <c r="AG376" i="7"/>
  <c r="AG343" i="7"/>
  <c r="AG359" i="7"/>
  <c r="AG327" i="7"/>
  <c r="AG361" i="7"/>
  <c r="AG329" i="7"/>
  <c r="AG345" i="7"/>
  <c r="R1238" i="7"/>
  <c r="R1246" i="7" s="1"/>
  <c r="R1245" i="7"/>
  <c r="S1220" i="7"/>
  <c r="O1331" i="7"/>
  <c r="O1328" i="7" s="1"/>
  <c r="AH18" i="7"/>
  <c r="AH20" i="7"/>
  <c r="AG99" i="27"/>
  <c r="AE248" i="32"/>
  <c r="AG103" i="27"/>
  <c r="AG421" i="1"/>
  <c r="AG352" i="26"/>
  <c r="AG360" i="26"/>
  <c r="AG370" i="25"/>
  <c r="AG362" i="25"/>
  <c r="AG356" i="26"/>
  <c r="AG425" i="1"/>
  <c r="AG413" i="1"/>
  <c r="AG364" i="26"/>
  <c r="AG417" i="1"/>
  <c r="AG348" i="26"/>
  <c r="M50" i="7"/>
  <c r="N46" i="7" s="1"/>
  <c r="AG429" i="1"/>
  <c r="AG374" i="25"/>
  <c r="AF256" i="32"/>
  <c r="AF251" i="32"/>
  <c r="AF243" i="32"/>
  <c r="AF249" i="32"/>
  <c r="AF250" i="32"/>
  <c r="AF242" i="32"/>
  <c r="AF228" i="33"/>
  <c r="AF235" i="33"/>
  <c r="AF242" i="33"/>
  <c r="AF226" i="34"/>
  <c r="AF233" i="34"/>
  <c r="AF219" i="34"/>
  <c r="AG138" i="33"/>
  <c r="AG137" i="32"/>
  <c r="AG137" i="34"/>
  <c r="AG137" i="10"/>
  <c r="AG143" i="34"/>
  <c r="AG1385" i="7"/>
  <c r="AG1387" i="7" s="1"/>
  <c r="AG1173" i="7"/>
  <c r="AF171" i="6"/>
  <c r="AF164" i="6"/>
  <c r="AE33" i="2"/>
  <c r="AE38" i="6" s="1"/>
  <c r="AF155" i="2"/>
  <c r="AF165" i="6" s="1"/>
  <c r="AF168" i="2"/>
  <c r="AF173" i="6" s="1"/>
  <c r="AF173" i="2"/>
  <c r="AF174" i="6" s="1"/>
  <c r="AF187" i="34" s="1"/>
  <c r="AE29" i="6"/>
  <c r="AE30" i="6"/>
  <c r="AE20" i="2"/>
  <c r="AG173" i="33"/>
  <c r="AG186" i="32"/>
  <c r="AE84" i="6"/>
  <c r="AE210" i="32" s="1"/>
  <c r="AF74" i="6"/>
  <c r="AG132" i="32"/>
  <c r="AG495" i="7"/>
  <c r="AG497" i="7" s="1"/>
  <c r="AG286" i="7"/>
  <c r="AF65" i="2"/>
  <c r="AF75" i="6" s="1"/>
  <c r="AF78" i="2"/>
  <c r="AF83" i="6" s="1"/>
  <c r="AF83" i="2"/>
  <c r="AF84" i="6" s="1"/>
  <c r="AF210" i="32" s="1"/>
  <c r="AG913" i="7"/>
  <c r="AG915" i="7" s="1"/>
  <c r="AG704" i="7"/>
  <c r="AF119" i="6"/>
  <c r="AF110" i="2"/>
  <c r="AF120" i="6" s="1"/>
  <c r="AF128" i="2"/>
  <c r="AF129" i="6" s="1"/>
  <c r="AF196" i="33" s="1"/>
  <c r="AF123" i="2"/>
  <c r="AF128" i="6" s="1"/>
  <c r="N1013" i="7"/>
  <c r="N997" i="7"/>
  <c r="M1000" i="7"/>
  <c r="M1016" i="7"/>
  <c r="AG378" i="25"/>
  <c r="AG366" i="25"/>
  <c r="N112" i="7"/>
  <c r="N113" i="7" s="1"/>
  <c r="AG101" i="7"/>
  <c r="AG117" i="7"/>
  <c r="AG37" i="7"/>
  <c r="N119" i="7"/>
  <c r="M96" i="7"/>
  <c r="M64" i="7"/>
  <c r="M103" i="7"/>
  <c r="M105" i="7" s="1"/>
  <c r="N100" i="7" s="1"/>
  <c r="O597" i="7"/>
  <c r="O599" i="7" s="1"/>
  <c r="P595" i="7" s="1"/>
  <c r="O563" i="7"/>
  <c r="O532" i="7"/>
  <c r="O539" i="7" s="1"/>
  <c r="N515" i="7"/>
  <c r="N581" i="7"/>
  <c r="N583" i="7" s="1"/>
  <c r="N547" i="7"/>
  <c r="M550" i="7"/>
  <c r="N566" i="7"/>
  <c r="AF226" i="10"/>
  <c r="AF228" i="10"/>
  <c r="AF233" i="10"/>
  <c r="AF219" i="10"/>
  <c r="AG144" i="6"/>
  <c r="AG144" i="2"/>
  <c r="AG99" i="6"/>
  <c r="AG99" i="2"/>
  <c r="AG54" i="6"/>
  <c r="AG53" i="5"/>
  <c r="AG54" i="2"/>
  <c r="AG132" i="10"/>
  <c r="AG9" i="6"/>
  <c r="AG9" i="5"/>
  <c r="AG9" i="2"/>
  <c r="AH19" i="7"/>
  <c r="AH17" i="7"/>
  <c r="AH16" i="7"/>
  <c r="AH21" i="7"/>
  <c r="X360" i="7"/>
  <c r="W348" i="7"/>
  <c r="AG129" i="1"/>
  <c r="X344" i="7"/>
  <c r="W363" i="7"/>
  <c r="AE39" i="6" l="1"/>
  <c r="AE186" i="10" s="1"/>
  <c r="AH35" i="27"/>
  <c r="P1315" i="7"/>
  <c r="P1305" i="7"/>
  <c r="P1306" i="7" s="1"/>
  <c r="O1280" i="7"/>
  <c r="O1287" i="7"/>
  <c r="P1267" i="7"/>
  <c r="P894" i="7"/>
  <c r="P898" i="7" s="1"/>
  <c r="O843" i="7"/>
  <c r="O833" i="7"/>
  <c r="O834" i="7" s="1"/>
  <c r="O846" i="7" s="1"/>
  <c r="P795" i="7"/>
  <c r="P801" i="7" s="1"/>
  <c r="O804" i="7"/>
  <c r="Q446" i="7"/>
  <c r="Q450" i="7" s="1"/>
  <c r="AG1158" i="7"/>
  <c r="AG1150" i="7"/>
  <c r="AC1152" i="7"/>
  <c r="AD1154" i="7"/>
  <c r="AD1148" i="7"/>
  <c r="AC1150" i="7"/>
  <c r="AH97" i="5"/>
  <c r="AH132" i="33"/>
  <c r="E685" i="7"/>
  <c r="F679" i="7"/>
  <c r="E687" i="7"/>
  <c r="E689" i="7"/>
  <c r="F683" i="7"/>
  <c r="E681" i="7"/>
  <c r="E683" i="7"/>
  <c r="F689" i="7"/>
  <c r="F685" i="7"/>
  <c r="F681" i="7"/>
  <c r="F687" i="7"/>
  <c r="E679" i="7"/>
  <c r="G687" i="7"/>
  <c r="G683" i="7"/>
  <c r="G685" i="7"/>
  <c r="G679" i="7"/>
  <c r="G681" i="7"/>
  <c r="G689" i="7"/>
  <c r="I687" i="7"/>
  <c r="H681" i="7"/>
  <c r="H685" i="7"/>
  <c r="H687" i="7"/>
  <c r="H683" i="7"/>
  <c r="H689" i="7"/>
  <c r="H679" i="7"/>
  <c r="I685" i="7"/>
  <c r="I679" i="7"/>
  <c r="I681" i="7"/>
  <c r="I689" i="7"/>
  <c r="I683" i="7"/>
  <c r="J685" i="7"/>
  <c r="J683" i="7"/>
  <c r="J689" i="7"/>
  <c r="J679" i="7"/>
  <c r="J681" i="7"/>
  <c r="J687" i="7"/>
  <c r="K687" i="7"/>
  <c r="L681" i="7"/>
  <c r="K685" i="7"/>
  <c r="K679" i="7"/>
  <c r="L679" i="7"/>
  <c r="K689" i="7"/>
  <c r="K683" i="7"/>
  <c r="K681" i="7"/>
  <c r="L689" i="7"/>
  <c r="L683" i="7"/>
  <c r="L687" i="7"/>
  <c r="L685" i="7"/>
  <c r="M683" i="7"/>
  <c r="M687" i="7"/>
  <c r="M689" i="7"/>
  <c r="M681" i="7"/>
  <c r="M685" i="7"/>
  <c r="M679" i="7"/>
  <c r="N689" i="7"/>
  <c r="N687" i="7"/>
  <c r="N681" i="7"/>
  <c r="N683" i="7"/>
  <c r="N685" i="7"/>
  <c r="N679" i="7"/>
  <c r="P681" i="7"/>
  <c r="O683" i="7"/>
  <c r="O681" i="7"/>
  <c r="O689" i="7"/>
  <c r="O687" i="7"/>
  <c r="O685" i="7"/>
  <c r="O679" i="7"/>
  <c r="P679" i="7"/>
  <c r="Q685" i="7"/>
  <c r="P685" i="7"/>
  <c r="P689" i="7"/>
  <c r="P683" i="7"/>
  <c r="P687" i="7"/>
  <c r="Q681" i="7"/>
  <c r="Q679" i="7"/>
  <c r="Q683" i="7"/>
  <c r="Q687" i="7"/>
  <c r="Q689" i="7"/>
  <c r="R681" i="7"/>
  <c r="R685" i="7"/>
  <c r="R683" i="7"/>
  <c r="S681" i="7"/>
  <c r="R687" i="7"/>
  <c r="R679" i="7"/>
  <c r="R689" i="7"/>
  <c r="S689" i="7"/>
  <c r="S683" i="7"/>
  <c r="S679" i="7"/>
  <c r="T687" i="7"/>
  <c r="S685" i="7"/>
  <c r="S687" i="7"/>
  <c r="T683" i="7"/>
  <c r="T681" i="7"/>
  <c r="T685" i="7"/>
  <c r="T689" i="7"/>
  <c r="U681" i="7"/>
  <c r="T679" i="7"/>
  <c r="U685" i="7"/>
  <c r="U687" i="7"/>
  <c r="U683" i="7"/>
  <c r="U679" i="7"/>
  <c r="U689" i="7"/>
  <c r="X687" i="7"/>
  <c r="V679" i="7"/>
  <c r="V681" i="7"/>
  <c r="V685" i="7"/>
  <c r="V683" i="7"/>
  <c r="V689" i="7"/>
  <c r="V687" i="7"/>
  <c r="W685" i="7"/>
  <c r="W689" i="7"/>
  <c r="W681" i="7"/>
  <c r="W687" i="7"/>
  <c r="W683" i="7"/>
  <c r="W679" i="7"/>
  <c r="X683" i="7"/>
  <c r="X689" i="7"/>
  <c r="X681" i="7"/>
  <c r="X685" i="7"/>
  <c r="Y679" i="7"/>
  <c r="Y687" i="7"/>
  <c r="X679" i="7"/>
  <c r="Y685" i="7"/>
  <c r="Z689" i="7"/>
  <c r="Y689" i="7"/>
  <c r="Z683" i="7"/>
  <c r="Y683" i="7"/>
  <c r="Z687" i="7"/>
  <c r="Y681" i="7"/>
  <c r="AB689" i="7"/>
  <c r="Z681" i="7"/>
  <c r="Z679" i="7"/>
  <c r="AA689" i="7"/>
  <c r="AA683" i="7"/>
  <c r="AA687" i="7"/>
  <c r="AA685" i="7"/>
  <c r="Z685" i="7"/>
  <c r="AB685" i="7"/>
  <c r="AA679" i="7"/>
  <c r="AB681" i="7"/>
  <c r="AA681" i="7"/>
  <c r="AF1095" i="7"/>
  <c r="AH141" i="5"/>
  <c r="AH132" i="34"/>
  <c r="F1152" i="7"/>
  <c r="E1152" i="7"/>
  <c r="E1158" i="7"/>
  <c r="E1156" i="7"/>
  <c r="F1154" i="7"/>
  <c r="E1148" i="7"/>
  <c r="E1150" i="7"/>
  <c r="E1154" i="7"/>
  <c r="F1148" i="7"/>
  <c r="F1150" i="7"/>
  <c r="F1156" i="7"/>
  <c r="F1158" i="7"/>
  <c r="G1158" i="7"/>
  <c r="G1148" i="7"/>
  <c r="G1154" i="7"/>
  <c r="H1156" i="7"/>
  <c r="G1150" i="7"/>
  <c r="G1156" i="7"/>
  <c r="G1152" i="7"/>
  <c r="H1152" i="7"/>
  <c r="H1158" i="7"/>
  <c r="H1150" i="7"/>
  <c r="H1148" i="7"/>
  <c r="H1154" i="7"/>
  <c r="J1148" i="7"/>
  <c r="I1158" i="7"/>
  <c r="I1152" i="7"/>
  <c r="I1154" i="7"/>
  <c r="I1150" i="7"/>
  <c r="I1156" i="7"/>
  <c r="I1148" i="7"/>
  <c r="J1150" i="7"/>
  <c r="J1154" i="7"/>
  <c r="J1156" i="7"/>
  <c r="K1152" i="7"/>
  <c r="J1152" i="7"/>
  <c r="J1158" i="7"/>
  <c r="K1148" i="7"/>
  <c r="K1158" i="7"/>
  <c r="K1154" i="7"/>
  <c r="L1158" i="7"/>
  <c r="K1156" i="7"/>
  <c r="K1150" i="7"/>
  <c r="L1150" i="7"/>
  <c r="L1154" i="7"/>
  <c r="L1148" i="7"/>
  <c r="L1156" i="7"/>
  <c r="L1152" i="7"/>
  <c r="M1156" i="7"/>
  <c r="M1150" i="7"/>
  <c r="M1154" i="7"/>
  <c r="M1148" i="7"/>
  <c r="M1158" i="7"/>
  <c r="M1152" i="7"/>
  <c r="N1150" i="7"/>
  <c r="N1154" i="7"/>
  <c r="N1156" i="7"/>
  <c r="N1148" i="7"/>
  <c r="N1158" i="7"/>
  <c r="N1152" i="7"/>
  <c r="O1150" i="7"/>
  <c r="P1156" i="7"/>
  <c r="O1156" i="7"/>
  <c r="O1158" i="7"/>
  <c r="O1148" i="7"/>
  <c r="O1154" i="7"/>
  <c r="O1152" i="7"/>
  <c r="P1158" i="7"/>
  <c r="P1154" i="7"/>
  <c r="P1150" i="7"/>
  <c r="P1152" i="7"/>
  <c r="P1148" i="7"/>
  <c r="Q1154" i="7"/>
  <c r="Q1152" i="7"/>
  <c r="Q1158" i="7"/>
  <c r="R1148" i="7"/>
  <c r="Q1150" i="7"/>
  <c r="Q1148" i="7"/>
  <c r="R1156" i="7"/>
  <c r="T1156" i="7"/>
  <c r="Q1156" i="7"/>
  <c r="R1152" i="7"/>
  <c r="R1154" i="7"/>
  <c r="S1150" i="7"/>
  <c r="S1158" i="7"/>
  <c r="S1156" i="7"/>
  <c r="R1158" i="7"/>
  <c r="S1152" i="7"/>
  <c r="R1150" i="7"/>
  <c r="S1154" i="7"/>
  <c r="S1148" i="7"/>
  <c r="T1150" i="7"/>
  <c r="T1148" i="7"/>
  <c r="T1158" i="7"/>
  <c r="T1154" i="7"/>
  <c r="T1152" i="7"/>
  <c r="U1158" i="7"/>
  <c r="U1150" i="7"/>
  <c r="U1154" i="7"/>
  <c r="U1156" i="7"/>
  <c r="U1152" i="7"/>
  <c r="U1148" i="7"/>
  <c r="V1148" i="7"/>
  <c r="V1152" i="7"/>
  <c r="V1156" i="7"/>
  <c r="W1152" i="7"/>
  <c r="V1154" i="7"/>
  <c r="V1150" i="7"/>
  <c r="V1158" i="7"/>
  <c r="W1156" i="7"/>
  <c r="W1154" i="7"/>
  <c r="W1150" i="7"/>
  <c r="X1158" i="7"/>
  <c r="W1148" i="7"/>
  <c r="W1158" i="7"/>
  <c r="X1154" i="7"/>
  <c r="X1152" i="7"/>
  <c r="Y1158" i="7"/>
  <c r="X1148" i="7"/>
  <c r="X1156" i="7"/>
  <c r="Y1152" i="7"/>
  <c r="Y1154" i="7"/>
  <c r="Y1148" i="7"/>
  <c r="Y1156" i="7"/>
  <c r="Y1150" i="7"/>
  <c r="X1150" i="7"/>
  <c r="Z1150" i="7"/>
  <c r="Z1148" i="7"/>
  <c r="Z1154" i="7"/>
  <c r="Z1156" i="7"/>
  <c r="Z1158" i="7"/>
  <c r="Z1152" i="7"/>
  <c r="AA1148" i="7"/>
  <c r="AA1150" i="7"/>
  <c r="AA1156" i="7"/>
  <c r="AB1158" i="7"/>
  <c r="AF1156" i="7"/>
  <c r="AE1152" i="7"/>
  <c r="AB1150" i="7"/>
  <c r="AA1152" i="7"/>
  <c r="AB1152" i="7"/>
  <c r="AA1158" i="7"/>
  <c r="AB1154" i="7"/>
  <c r="AF1154" i="7"/>
  <c r="AA1154" i="7"/>
  <c r="AE1156" i="7"/>
  <c r="AC1156" i="7"/>
  <c r="AC1148" i="7"/>
  <c r="AB1156" i="7"/>
  <c r="AD1150" i="7"/>
  <c r="AC687" i="7"/>
  <c r="AC679" i="7"/>
  <c r="AC1158" i="7"/>
  <c r="AF685" i="7"/>
  <c r="AE681" i="7"/>
  <c r="AF1158" i="7"/>
  <c r="AE1158" i="7"/>
  <c r="AD681" i="7"/>
  <c r="AF683" i="7"/>
  <c r="AG681" i="7"/>
  <c r="AE1148" i="7"/>
  <c r="AE1154" i="7"/>
  <c r="AE687" i="7"/>
  <c r="AB679" i="7"/>
  <c r="AG1154" i="7"/>
  <c r="AG1156" i="7"/>
  <c r="AE679" i="7"/>
  <c r="AE685" i="7"/>
  <c r="AF679" i="7"/>
  <c r="AC683" i="7"/>
  <c r="AF1150" i="7"/>
  <c r="AE683" i="7"/>
  <c r="AC689" i="7"/>
  <c r="AC685" i="7"/>
  <c r="AH240" i="26"/>
  <c r="AF687" i="7"/>
  <c r="AD687" i="7"/>
  <c r="AG683" i="7"/>
  <c r="AG687" i="7"/>
  <c r="AB1148" i="7"/>
  <c r="AE689" i="7"/>
  <c r="AB687" i="7"/>
  <c r="AD685" i="7"/>
  <c r="AD679" i="7"/>
  <c r="AG1152" i="7"/>
  <c r="AF689" i="7"/>
  <c r="AB683" i="7"/>
  <c r="AG679" i="7"/>
  <c r="AD689" i="7"/>
  <c r="AC1154" i="7"/>
  <c r="AH254" i="25"/>
  <c r="AD683" i="7"/>
  <c r="AF1148" i="7"/>
  <c r="AD1156" i="7"/>
  <c r="AD1152" i="7"/>
  <c r="AG685" i="7"/>
  <c r="AG689" i="7"/>
  <c r="AF1152" i="7"/>
  <c r="AD1158" i="7"/>
  <c r="AF681" i="7"/>
  <c r="AE1150" i="7"/>
  <c r="AC681" i="7"/>
  <c r="AG1148" i="7"/>
  <c r="AB1095" i="7"/>
  <c r="AG1095" i="7"/>
  <c r="AD1095" i="7"/>
  <c r="AA1095" i="7"/>
  <c r="AC1095" i="7"/>
  <c r="F1095" i="7"/>
  <c r="E1095" i="7"/>
  <c r="G1095" i="7"/>
  <c r="I1095" i="7"/>
  <c r="K1095" i="7"/>
  <c r="H1095" i="7"/>
  <c r="M1095" i="7"/>
  <c r="J1095" i="7"/>
  <c r="L1095" i="7"/>
  <c r="O1095" i="7"/>
  <c r="N1095" i="7"/>
  <c r="Q1095" i="7"/>
  <c r="P1095" i="7"/>
  <c r="S1095" i="7"/>
  <c r="R1095" i="7"/>
  <c r="U1095" i="7"/>
  <c r="T1095" i="7"/>
  <c r="W1095" i="7"/>
  <c r="V1095" i="7"/>
  <c r="Y1095" i="7"/>
  <c r="X1095" i="7"/>
  <c r="AE1095" i="7"/>
  <c r="Z1095" i="7"/>
  <c r="AF38" i="2"/>
  <c r="AH1440" i="7"/>
  <c r="AH1491" i="7"/>
  <c r="T1402" i="7"/>
  <c r="I1414" i="7"/>
  <c r="L1408" i="7"/>
  <c r="T1416" i="7"/>
  <c r="AB1418" i="7"/>
  <c r="AF1414" i="7"/>
  <c r="AB1412" i="7"/>
  <c r="Y1410" i="7"/>
  <c r="U1416" i="7"/>
  <c r="AE1418" i="7"/>
  <c r="Y1418" i="7"/>
  <c r="Q1408" i="7"/>
  <c r="AA1408" i="7"/>
  <c r="J1416" i="7"/>
  <c r="M1412" i="7"/>
  <c r="V1412" i="7"/>
  <c r="AB1402" i="7"/>
  <c r="F1418" i="7"/>
  <c r="N1414" i="7"/>
  <c r="N1408" i="7"/>
  <c r="O1412" i="7"/>
  <c r="R1412" i="7"/>
  <c r="S1418" i="7"/>
  <c r="AG1418" i="7"/>
  <c r="AE1408" i="7"/>
  <c r="Y1412" i="7"/>
  <c r="U1408" i="7"/>
  <c r="AD1414" i="7"/>
  <c r="AD1402" i="7"/>
  <c r="N1402" i="7"/>
  <c r="F1414" i="7"/>
  <c r="V1418" i="7"/>
  <c r="AF1412" i="7"/>
  <c r="L1412" i="7"/>
  <c r="P1402" i="7"/>
  <c r="Q1418" i="7"/>
  <c r="R1414" i="7"/>
  <c r="V1402" i="7"/>
  <c r="K1410" i="7"/>
  <c r="AC1416" i="7"/>
  <c r="I1410" i="7"/>
  <c r="AF1402" i="7"/>
  <c r="F1412" i="7"/>
  <c r="L1402" i="7"/>
  <c r="J1418" i="7"/>
  <c r="O1414" i="7"/>
  <c r="K1418" i="7"/>
  <c r="AA1416" i="7"/>
  <c r="U1414" i="7"/>
  <c r="AE1416" i="7"/>
  <c r="AC1402" i="7"/>
  <c r="AE1414" i="7"/>
  <c r="O1410" i="7"/>
  <c r="F1408" i="7"/>
  <c r="Q1410" i="7"/>
  <c r="H1412" i="7"/>
  <c r="AA1410" i="7"/>
  <c r="K1416" i="7"/>
  <c r="AD1416" i="7"/>
  <c r="M1414" i="7"/>
  <c r="R1418" i="7"/>
  <c r="O1402" i="7"/>
  <c r="T1410" i="7"/>
  <c r="N1418" i="7"/>
  <c r="S1402" i="7"/>
  <c r="U1410" i="7"/>
  <c r="H1408" i="7"/>
  <c r="W1412" i="7"/>
  <c r="K1414" i="7"/>
  <c r="I1402" i="7"/>
  <c r="Z1416" i="7"/>
  <c r="X1414" i="7"/>
  <c r="Y1408" i="7"/>
  <c r="V1408" i="7"/>
  <c r="G1410" i="7"/>
  <c r="AE1412" i="7"/>
  <c r="AB1410" i="7"/>
  <c r="I1412" i="7"/>
  <c r="Y1402" i="7"/>
  <c r="O1408" i="7"/>
  <c r="X1410" i="7"/>
  <c r="N1416" i="7"/>
  <c r="R1416" i="7"/>
  <c r="AC1410" i="7"/>
  <c r="Z1418" i="7"/>
  <c r="AG1412" i="7"/>
  <c r="AD1408" i="7"/>
  <c r="M1418" i="7"/>
  <c r="J1412" i="7"/>
  <c r="G1416" i="7"/>
  <c r="AG1416" i="7"/>
  <c r="X1418" i="7"/>
  <c r="V1414" i="7"/>
  <c r="P1412" i="7"/>
  <c r="M1408" i="7"/>
  <c r="G1408" i="7"/>
  <c r="AF1418" i="7"/>
  <c r="AB1414" i="7"/>
  <c r="O1418" i="7"/>
  <c r="G1414" i="7"/>
  <c r="T1418" i="7"/>
  <c r="H1418" i="7"/>
  <c r="M1402" i="7"/>
  <c r="AA1412" i="7"/>
  <c r="M1410" i="7"/>
  <c r="Z1414" i="7"/>
  <c r="L1414" i="7"/>
  <c r="Q1416" i="7"/>
  <c r="H1416" i="7"/>
  <c r="W1418" i="7"/>
  <c r="Q1402" i="7"/>
  <c r="Z1410" i="7"/>
  <c r="S1414" i="7"/>
  <c r="AB1416" i="7"/>
  <c r="P1418" i="7"/>
  <c r="AC1412" i="7"/>
  <c r="I1418" i="7"/>
  <c r="K1402" i="7"/>
  <c r="R1408" i="7"/>
  <c r="S1412" i="7"/>
  <c r="S1410" i="7"/>
  <c r="AE1410" i="7"/>
  <c r="J1410" i="7"/>
  <c r="G1412" i="7"/>
  <c r="H1410" i="7"/>
  <c r="AA1402" i="7"/>
  <c r="F1410" i="7"/>
  <c r="AB1408" i="7"/>
  <c r="T1414" i="7"/>
  <c r="W1410" i="7"/>
  <c r="Z1402" i="7"/>
  <c r="AD1418" i="7"/>
  <c r="L1410" i="7"/>
  <c r="Y1414" i="7"/>
  <c r="G1402" i="7"/>
  <c r="J1402" i="7"/>
  <c r="AC1414" i="7"/>
  <c r="X1412" i="7"/>
  <c r="U1412" i="7"/>
  <c r="W1416" i="7"/>
  <c r="R1410" i="7"/>
  <c r="N1410" i="7"/>
  <c r="S1416" i="7"/>
  <c r="AD1410" i="7"/>
  <c r="O1416" i="7"/>
  <c r="X1416" i="7"/>
  <c r="AA1418" i="7"/>
  <c r="V1410" i="7"/>
  <c r="R1402" i="7"/>
  <c r="I1408" i="7"/>
  <c r="AG1402" i="7"/>
  <c r="T1408" i="7"/>
  <c r="P1416" i="7"/>
  <c r="X1408" i="7"/>
  <c r="Z1412" i="7"/>
  <c r="AG1410" i="7"/>
  <c r="M1416" i="7"/>
  <c r="AG1408" i="7"/>
  <c r="Z1408" i="7"/>
  <c r="J1408" i="7"/>
  <c r="U1402" i="7"/>
  <c r="AF1408" i="7"/>
  <c r="U1418" i="7"/>
  <c r="W1414" i="7"/>
  <c r="N1412" i="7"/>
  <c r="W1402" i="7"/>
  <c r="H1414" i="7"/>
  <c r="J1414" i="7"/>
  <c r="AD1412" i="7"/>
  <c r="T1412" i="7"/>
  <c r="AE1402" i="7"/>
  <c r="AC1418" i="7"/>
  <c r="I1416" i="7"/>
  <c r="AA1414" i="7"/>
  <c r="Q1414" i="7"/>
  <c r="W1408" i="7"/>
  <c r="K1408" i="7"/>
  <c r="AF1416" i="7"/>
  <c r="P1410" i="7"/>
  <c r="P1408" i="7"/>
  <c r="Q1412" i="7"/>
  <c r="P1414" i="7"/>
  <c r="S1408" i="7"/>
  <c r="F1416" i="7"/>
  <c r="AF1410" i="7"/>
  <c r="L1418" i="7"/>
  <c r="AC1408" i="7"/>
  <c r="L1416" i="7"/>
  <c r="H1402" i="7"/>
  <c r="Y1416" i="7"/>
  <c r="X1402" i="7"/>
  <c r="G1418" i="7"/>
  <c r="AG1414" i="7"/>
  <c r="V1416" i="7"/>
  <c r="K1412" i="7"/>
  <c r="AG1492" i="7"/>
  <c r="AH1490" i="7" s="1"/>
  <c r="AH444" i="7"/>
  <c r="AH448" i="7"/>
  <c r="AH449" i="7" s="1"/>
  <c r="AH305" i="1"/>
  <c r="AG1309" i="7"/>
  <c r="AG1321" i="7" s="1"/>
  <c r="P415" i="7"/>
  <c r="O815" i="7"/>
  <c r="AH626" i="7"/>
  <c r="AH155" i="33" s="1"/>
  <c r="AH625" i="7"/>
  <c r="AH154" i="33" s="1"/>
  <c r="AH624" i="7"/>
  <c r="AH153" i="33" s="1"/>
  <c r="AG1279" i="7"/>
  <c r="AG1291" i="7" s="1"/>
  <c r="AG807" i="7"/>
  <c r="AG819" i="7" s="1"/>
  <c r="AG479" i="7"/>
  <c r="AG1339" i="7"/>
  <c r="AG1351" i="7" s="1"/>
  <c r="AG1369" i="7"/>
  <c r="AG1381" i="7" s="1"/>
  <c r="AG837" i="7"/>
  <c r="AG849" i="7" s="1"/>
  <c r="M859" i="7"/>
  <c r="M856" i="7" s="1"/>
  <c r="S766" i="7"/>
  <c r="O1365" i="7"/>
  <c r="O1366" i="7" s="1"/>
  <c r="O1378" i="7" s="1"/>
  <c r="O1375" i="7"/>
  <c r="AH1364" i="7"/>
  <c r="AH1376" i="7" s="1"/>
  <c r="AH1368" i="7"/>
  <c r="AH1337" i="7"/>
  <c r="AH1349" i="7" s="1"/>
  <c r="AH1367" i="7"/>
  <c r="AH1379" i="7" s="1"/>
  <c r="AH1356" i="7"/>
  <c r="AH1326" i="7"/>
  <c r="AH1304" i="7"/>
  <c r="AH1316" i="7" s="1"/>
  <c r="AH1249" i="7"/>
  <c r="AH1217" i="7"/>
  <c r="AH1307" i="7"/>
  <c r="AH1319" i="7" s="1"/>
  <c r="AH1296" i="7"/>
  <c r="AH1274" i="7"/>
  <c r="AH1286" i="7" s="1"/>
  <c r="AH1219" i="7"/>
  <c r="AH1338" i="7"/>
  <c r="AH1350" i="7" s="1"/>
  <c r="AH1308" i="7"/>
  <c r="AH1320" i="7" s="1"/>
  <c r="AH1277" i="7"/>
  <c r="AH1289" i="7" s="1"/>
  <c r="AH1235" i="7"/>
  <c r="AH1243" i="7" s="1"/>
  <c r="AH1334" i="7"/>
  <c r="AH1346" i="7" s="1"/>
  <c r="AH1278" i="7"/>
  <c r="AH1290" i="7" s="1"/>
  <c r="AH1266" i="7"/>
  <c r="AH1251" i="7"/>
  <c r="AH1259" i="7" s="1"/>
  <c r="AH1233" i="7"/>
  <c r="AH1298" i="7"/>
  <c r="AH1315" i="7" s="1"/>
  <c r="AH1268" i="7"/>
  <c r="AH1285" i="7" s="1"/>
  <c r="AH1328" i="7"/>
  <c r="AH1345" i="7" s="1"/>
  <c r="AH1358" i="7"/>
  <c r="AH1375" i="7" s="1"/>
  <c r="S1253" i="7"/>
  <c r="T1250" i="7"/>
  <c r="S1260" i="7"/>
  <c r="AH826" i="7"/>
  <c r="AH843" i="7" s="1"/>
  <c r="AH895" i="7"/>
  <c r="AH854" i="7"/>
  <c r="AH835" i="7"/>
  <c r="AH847" i="7" s="1"/>
  <c r="AH892" i="7"/>
  <c r="AH896" i="7"/>
  <c r="AH897" i="7" s="1"/>
  <c r="AH865" i="7"/>
  <c r="AH832" i="7"/>
  <c r="AH844" i="7" s="1"/>
  <c r="AH836" i="7"/>
  <c r="AH848" i="7" s="1"/>
  <c r="AH824" i="7"/>
  <c r="AH805" i="7"/>
  <c r="AH817" i="7" s="1"/>
  <c r="AH763" i="7"/>
  <c r="AH856" i="7"/>
  <c r="AH866" i="7"/>
  <c r="AH867" i="7" s="1"/>
  <c r="AH802" i="7"/>
  <c r="AH814" i="7" s="1"/>
  <c r="AH806" i="7"/>
  <c r="AH818" i="7" s="1"/>
  <c r="AH794" i="7"/>
  <c r="AH761" i="7"/>
  <c r="AH745" i="7"/>
  <c r="AH884" i="7"/>
  <c r="AH862" i="7"/>
  <c r="AH779" i="7"/>
  <c r="AH787" i="7" s="1"/>
  <c r="AH747" i="7"/>
  <c r="AH755" i="7" s="1"/>
  <c r="AH777" i="7"/>
  <c r="AH796" i="7"/>
  <c r="AH813" i="7" s="1"/>
  <c r="AH886" i="7"/>
  <c r="O1335" i="7"/>
  <c r="O1336" i="7" s="1"/>
  <c r="O1348" i="7" s="1"/>
  <c r="O1345" i="7"/>
  <c r="S1221" i="7"/>
  <c r="T1218" i="7"/>
  <c r="S331" i="7"/>
  <c r="T328" i="7"/>
  <c r="S756" i="7"/>
  <c r="T746" i="7"/>
  <c r="S1237" i="7"/>
  <c r="S1244" i="7"/>
  <c r="T1234" i="7"/>
  <c r="Q891" i="7"/>
  <c r="R443" i="7"/>
  <c r="S781" i="7"/>
  <c r="S788" i="7"/>
  <c r="T778" i="7"/>
  <c r="AH474" i="7"/>
  <c r="AH478" i="7"/>
  <c r="AH466" i="7"/>
  <c r="AH417" i="7"/>
  <c r="AH468" i="7"/>
  <c r="AH414" i="7"/>
  <c r="AH418" i="7"/>
  <c r="AH419" i="7" s="1"/>
  <c r="AH406" i="7"/>
  <c r="AH436" i="7"/>
  <c r="AH477" i="7"/>
  <c r="AH387" i="7"/>
  <c r="AH384" i="7"/>
  <c r="AH388" i="7"/>
  <c r="AH389" i="7" s="1"/>
  <c r="AH378" i="7"/>
  <c r="AH408" i="7"/>
  <c r="AH359" i="7"/>
  <c r="AH327" i="7"/>
  <c r="AH376" i="7"/>
  <c r="AH361" i="7"/>
  <c r="AH345" i="7"/>
  <c r="AH343" i="7"/>
  <c r="AH329" i="7"/>
  <c r="T762" i="7"/>
  <c r="S757" i="7"/>
  <c r="S750" i="7"/>
  <c r="S758" i="7" s="1"/>
  <c r="X475" i="7"/>
  <c r="X476" i="7" s="1"/>
  <c r="N516" i="7"/>
  <c r="N523" i="7" s="1"/>
  <c r="AH99" i="27"/>
  <c r="Q1404" i="7"/>
  <c r="AA1404" i="7"/>
  <c r="W1404" i="7"/>
  <c r="M1404" i="7"/>
  <c r="L1404" i="7"/>
  <c r="E1404" i="7"/>
  <c r="S1404" i="7"/>
  <c r="N1404" i="7"/>
  <c r="J1404" i="7"/>
  <c r="O1404" i="7"/>
  <c r="G1404" i="7"/>
  <c r="I1404" i="7"/>
  <c r="AG1404" i="7"/>
  <c r="U1404" i="7"/>
  <c r="X1404" i="7"/>
  <c r="AF1404" i="7"/>
  <c r="T1404" i="7"/>
  <c r="Z1404" i="7"/>
  <c r="K1404" i="7"/>
  <c r="F1402" i="7"/>
  <c r="AE1404" i="7"/>
  <c r="R1404" i="7"/>
  <c r="P1404" i="7"/>
  <c r="V1404" i="7"/>
  <c r="E1402" i="7"/>
  <c r="H1404" i="7"/>
  <c r="AB1404" i="7"/>
  <c r="E1408" i="7"/>
  <c r="E1418" i="7"/>
  <c r="F1404" i="7"/>
  <c r="E1412" i="7"/>
  <c r="E1416" i="7"/>
  <c r="E1414" i="7"/>
  <c r="E1410" i="7"/>
  <c r="U271" i="7"/>
  <c r="P271" i="7"/>
  <c r="P265" i="7"/>
  <c r="AG269" i="7"/>
  <c r="L269" i="7"/>
  <c r="AF263" i="7"/>
  <c r="AB269" i="7"/>
  <c r="U269" i="7"/>
  <c r="H271" i="7"/>
  <c r="AE271" i="7"/>
  <c r="S261" i="7"/>
  <c r="AB263" i="7"/>
  <c r="O265" i="7"/>
  <c r="Q267" i="7"/>
  <c r="N261" i="7"/>
  <c r="G261" i="7"/>
  <c r="AB265" i="7"/>
  <c r="AF269" i="7"/>
  <c r="S271" i="7"/>
  <c r="P263" i="7"/>
  <c r="V265" i="7"/>
  <c r="N271" i="7"/>
  <c r="K271" i="7"/>
  <c r="E265" i="7"/>
  <c r="I271" i="7"/>
  <c r="Z269" i="7"/>
  <c r="W269" i="7"/>
  <c r="W263" i="7"/>
  <c r="W261" i="7"/>
  <c r="S267" i="7"/>
  <c r="AF265" i="7"/>
  <c r="J271" i="7"/>
  <c r="AB267" i="7"/>
  <c r="P261" i="7"/>
  <c r="H267" i="7"/>
  <c r="L265" i="7"/>
  <c r="E261" i="7"/>
  <c r="Q269" i="7"/>
  <c r="J269" i="7"/>
  <c r="AA263" i="7"/>
  <c r="M271" i="7"/>
  <c r="K269" i="7"/>
  <c r="I265" i="7"/>
  <c r="M263" i="7"/>
  <c r="E271" i="7"/>
  <c r="R267" i="7"/>
  <c r="O267" i="7"/>
  <c r="AF261" i="7"/>
  <c r="R269" i="7"/>
  <c r="R261" i="7"/>
  <c r="U265" i="7"/>
  <c r="G269" i="7"/>
  <c r="AA265" i="7"/>
  <c r="J265" i="7"/>
  <c r="X269" i="7"/>
  <c r="O269" i="7"/>
  <c r="L263" i="7"/>
  <c r="H263" i="7"/>
  <c r="M261" i="7"/>
  <c r="H269" i="7"/>
  <c r="X271" i="7"/>
  <c r="Z265" i="7"/>
  <c r="U263" i="7"/>
  <c r="AE261" i="7"/>
  <c r="T261" i="7"/>
  <c r="G263" i="7"/>
  <c r="N263" i="7"/>
  <c r="Q265" i="7"/>
  <c r="J267" i="7"/>
  <c r="S265" i="7"/>
  <c r="O271" i="7"/>
  <c r="E267" i="7"/>
  <c r="V269" i="7"/>
  <c r="O261" i="7"/>
  <c r="R263" i="7"/>
  <c r="K265" i="7"/>
  <c r="N267" i="7"/>
  <c r="P269" i="7"/>
  <c r="F263" i="7"/>
  <c r="W267" i="7"/>
  <c r="N265" i="7"/>
  <c r="AE269" i="7"/>
  <c r="Z271" i="7"/>
  <c r="AG267" i="7"/>
  <c r="F269" i="7"/>
  <c r="U261" i="7"/>
  <c r="I261" i="7"/>
  <c r="K263" i="7"/>
  <c r="G267" i="7"/>
  <c r="T267" i="7"/>
  <c r="I263" i="7"/>
  <c r="H261" i="7"/>
  <c r="F271" i="7"/>
  <c r="T265" i="7"/>
  <c r="AE267" i="7"/>
  <c r="F265" i="7"/>
  <c r="X261" i="7"/>
  <c r="AG265" i="7"/>
  <c r="J263" i="7"/>
  <c r="V267" i="7"/>
  <c r="X265" i="7"/>
  <c r="Z263" i="7"/>
  <c r="E263" i="7"/>
  <c r="I267" i="7"/>
  <c r="Z267" i="7"/>
  <c r="M269" i="7"/>
  <c r="V271" i="7"/>
  <c r="G265" i="7"/>
  <c r="R271" i="7"/>
  <c r="Q271" i="7"/>
  <c r="Q263" i="7"/>
  <c r="AA269" i="7"/>
  <c r="X267" i="7"/>
  <c r="W265" i="7"/>
  <c r="AG261" i="7"/>
  <c r="S269" i="7"/>
  <c r="AE263" i="7"/>
  <c r="P267" i="7"/>
  <c r="V263" i="7"/>
  <c r="AA271" i="7"/>
  <c r="M267" i="7"/>
  <c r="AG271" i="7"/>
  <c r="AB261" i="7"/>
  <c r="AA261" i="7"/>
  <c r="Q261" i="7"/>
  <c r="T271" i="7"/>
  <c r="Z261" i="7"/>
  <c r="J261" i="7"/>
  <c r="AF271" i="7"/>
  <c r="AE265" i="7"/>
  <c r="S263" i="7"/>
  <c r="AG263" i="7"/>
  <c r="X263" i="7"/>
  <c r="N269" i="7"/>
  <c r="O263" i="7"/>
  <c r="AF267" i="7"/>
  <c r="M265" i="7"/>
  <c r="L261" i="7"/>
  <c r="H265" i="7"/>
  <c r="L267" i="7"/>
  <c r="K261" i="7"/>
  <c r="E269" i="7"/>
  <c r="K267" i="7"/>
  <c r="AA267" i="7"/>
  <c r="AB271" i="7"/>
  <c r="G271" i="7"/>
  <c r="T263" i="7"/>
  <c r="L271" i="7"/>
  <c r="F261" i="7"/>
  <c r="F267" i="7"/>
  <c r="W271" i="7"/>
  <c r="R265" i="7"/>
  <c r="U267" i="7"/>
  <c r="T269" i="7"/>
  <c r="I269" i="7"/>
  <c r="V261" i="7"/>
  <c r="AH103" i="27"/>
  <c r="AH429" i="1"/>
  <c r="F40" i="36" s="1"/>
  <c r="AH417" i="1"/>
  <c r="F37" i="36" s="1"/>
  <c r="AH364" i="26"/>
  <c r="F43" i="38" s="1"/>
  <c r="AH421" i="1"/>
  <c r="F38" i="36" s="1"/>
  <c r="AH374" i="25"/>
  <c r="F39" i="37" s="1"/>
  <c r="AH348" i="26"/>
  <c r="F39" i="38" s="1"/>
  <c r="AH356" i="26"/>
  <c r="F41" i="38" s="1"/>
  <c r="AH362" i="25"/>
  <c r="F36" i="37" s="1"/>
  <c r="AH352" i="26"/>
  <c r="F40" i="38" s="1"/>
  <c r="AH425" i="1"/>
  <c r="F39" i="36" s="1"/>
  <c r="AH360" i="26"/>
  <c r="F42" i="38" s="1"/>
  <c r="AH413" i="1"/>
  <c r="F36" i="36" s="1"/>
  <c r="AH370" i="25"/>
  <c r="F38" i="37" s="1"/>
  <c r="AF248" i="32"/>
  <c r="AG251" i="32"/>
  <c r="AG243" i="32"/>
  <c r="AG249" i="32"/>
  <c r="AG250" i="32"/>
  <c r="AG242" i="32"/>
  <c r="AG256" i="32"/>
  <c r="AG228" i="33"/>
  <c r="AG235" i="33"/>
  <c r="AG242" i="33"/>
  <c r="AG226" i="34"/>
  <c r="AG233" i="34"/>
  <c r="AG219" i="34"/>
  <c r="AH137" i="34"/>
  <c r="AH137" i="10"/>
  <c r="AH138" i="33"/>
  <c r="AH137" i="32"/>
  <c r="AH143" i="34"/>
  <c r="AG171" i="6"/>
  <c r="AG164" i="6"/>
  <c r="AH1173" i="7"/>
  <c r="AH1385" i="7"/>
  <c r="AH1387" i="7" s="1"/>
  <c r="AF29" i="6"/>
  <c r="AG168" i="2"/>
  <c r="AG173" i="6" s="1"/>
  <c r="AG173" i="2"/>
  <c r="AG174" i="6" s="1"/>
  <c r="AG187" i="34" s="1"/>
  <c r="AG155" i="2"/>
  <c r="AG165" i="6" s="1"/>
  <c r="AF30" i="6"/>
  <c r="AF33" i="2"/>
  <c r="AF38" i="6" s="1"/>
  <c r="AF20" i="2"/>
  <c r="AH186" i="32"/>
  <c r="AH173" i="33"/>
  <c r="AG74" i="6"/>
  <c r="AH495" i="7"/>
  <c r="AH497" i="7" s="1"/>
  <c r="AH286" i="7"/>
  <c r="AG83" i="2"/>
  <c r="AG84" i="6" s="1"/>
  <c r="AG210" i="32" s="1"/>
  <c r="AG65" i="2"/>
  <c r="AG75" i="6" s="1"/>
  <c r="AG78" i="2"/>
  <c r="AG119" i="6"/>
  <c r="AG110" i="2"/>
  <c r="AG120" i="6" s="1"/>
  <c r="AH704" i="7"/>
  <c r="AH913" i="7"/>
  <c r="AH915" i="7" s="1"/>
  <c r="AG123" i="2"/>
  <c r="AG128" i="6" s="1"/>
  <c r="AG128" i="2"/>
  <c r="AG129" i="6" s="1"/>
  <c r="AG196" i="33" s="1"/>
  <c r="AH132" i="32"/>
  <c r="O598" i="7"/>
  <c r="N1014" i="7"/>
  <c r="N1021" i="7" s="1"/>
  <c r="N998" i="7"/>
  <c r="N1005" i="7" s="1"/>
  <c r="AH378" i="25"/>
  <c r="F40" i="37" s="1"/>
  <c r="AH366" i="25"/>
  <c r="F37" i="37" s="1"/>
  <c r="N114" i="7"/>
  <c r="O110" i="7" s="1"/>
  <c r="N120" i="7"/>
  <c r="AH101" i="7"/>
  <c r="M29" i="36" s="1"/>
  <c r="AH117" i="7"/>
  <c r="M30" i="36" s="1"/>
  <c r="AH37" i="7"/>
  <c r="M25" i="36" s="1"/>
  <c r="M97" i="7"/>
  <c r="M98" i="7"/>
  <c r="M104" i="7"/>
  <c r="N121" i="7"/>
  <c r="O116" i="7" s="1"/>
  <c r="M65" i="7"/>
  <c r="M66" i="7"/>
  <c r="N47" i="7"/>
  <c r="N54" i="7" s="1"/>
  <c r="O533" i="7"/>
  <c r="O535" i="7" s="1"/>
  <c r="P531" i="7" s="1"/>
  <c r="N582" i="7"/>
  <c r="O564" i="7"/>
  <c r="O571" i="7" s="1"/>
  <c r="P596" i="7"/>
  <c r="P603" i="7" s="1"/>
  <c r="O579" i="7"/>
  <c r="N548" i="7"/>
  <c r="N555" i="7" s="1"/>
  <c r="AG233" i="10"/>
  <c r="AG226" i="10"/>
  <c r="AG228" i="10"/>
  <c r="AG219" i="10"/>
  <c r="AH132" i="10"/>
  <c r="AH9" i="6"/>
  <c r="AH9" i="5"/>
  <c r="AH9" i="2"/>
  <c r="AH144" i="6"/>
  <c r="AH144" i="2"/>
  <c r="AH99" i="6"/>
  <c r="AH99" i="2"/>
  <c r="AH54" i="6"/>
  <c r="AH53" i="5"/>
  <c r="AH54" i="2"/>
  <c r="W364" i="7"/>
  <c r="X346" i="7"/>
  <c r="X347" i="7" s="1"/>
  <c r="X362" i="7"/>
  <c r="X363" i="7" s="1"/>
  <c r="AH129" i="1"/>
  <c r="E126" i="1" s="1"/>
  <c r="O1292" i="7" l="1"/>
  <c r="AF39" i="6"/>
  <c r="AF186" i="10" s="1"/>
  <c r="P812" i="7"/>
  <c r="O1370" i="7"/>
  <c r="O1382" i="7" s="1"/>
  <c r="O1340" i="7"/>
  <c r="O1352" i="7" s="1"/>
  <c r="P1318" i="7"/>
  <c r="P1310" i="7"/>
  <c r="P1322" i="7" s="1"/>
  <c r="Q1297" i="7"/>
  <c r="P1317" i="7"/>
  <c r="P1273" i="7"/>
  <c r="P1284" i="7"/>
  <c r="O838" i="7"/>
  <c r="O850" i="7" s="1"/>
  <c r="P825" i="7"/>
  <c r="O845" i="7"/>
  <c r="O816" i="7"/>
  <c r="O808" i="7"/>
  <c r="O820" i="7" s="1"/>
  <c r="Q407" i="7"/>
  <c r="Q413" i="7" s="1"/>
  <c r="P416" i="7"/>
  <c r="P420" i="7" s="1"/>
  <c r="AH1492" i="7"/>
  <c r="AH38" i="2" s="1"/>
  <c r="AG38" i="2"/>
  <c r="M863" i="7"/>
  <c r="AH479" i="7"/>
  <c r="AH807" i="7"/>
  <c r="AH819" i="7" s="1"/>
  <c r="AH1279" i="7"/>
  <c r="AH1291" i="7" s="1"/>
  <c r="AH1339" i="7"/>
  <c r="AH1351" i="7" s="1"/>
  <c r="AH1309" i="7"/>
  <c r="AH1321" i="7" s="1"/>
  <c r="AH837" i="7"/>
  <c r="AH849" i="7" s="1"/>
  <c r="P799" i="7"/>
  <c r="P796" i="7" s="1"/>
  <c r="Q889" i="7"/>
  <c r="Q886" i="7" s="1"/>
  <c r="Q411" i="7"/>
  <c r="Q408" i="7" s="1"/>
  <c r="X480" i="7"/>
  <c r="E178" i="33"/>
  <c r="G178" i="33"/>
  <c r="E179" i="33"/>
  <c r="F178" i="33"/>
  <c r="H179" i="33"/>
  <c r="G179" i="33"/>
  <c r="I178" i="33"/>
  <c r="I179" i="33"/>
  <c r="H178" i="33"/>
  <c r="F179" i="33"/>
  <c r="S1238" i="7"/>
  <c r="S1246" i="7" s="1"/>
  <c r="S1245" i="7"/>
  <c r="S1222" i="7"/>
  <c r="E159" i="10"/>
  <c r="E153" i="10"/>
  <c r="G192" i="32"/>
  <c r="I191" i="32"/>
  <c r="H191" i="32"/>
  <c r="G191" i="32"/>
  <c r="H192" i="32"/>
  <c r="F192" i="32"/>
  <c r="E191" i="32"/>
  <c r="E192" i="32"/>
  <c r="I192" i="32"/>
  <c r="F191" i="32"/>
  <c r="S789" i="7"/>
  <c r="S782" i="7"/>
  <c r="S790" i="7" s="1"/>
  <c r="T754" i="7"/>
  <c r="T748" i="7"/>
  <c r="S332" i="7"/>
  <c r="G147" i="34"/>
  <c r="G146" i="10" s="1"/>
  <c r="E147" i="34"/>
  <c r="I147" i="34"/>
  <c r="I146" i="10" s="1"/>
  <c r="F147" i="34"/>
  <c r="H147" i="34"/>
  <c r="H146" i="10" s="1"/>
  <c r="AF154" i="34"/>
  <c r="E156" i="34"/>
  <c r="F154" i="34"/>
  <c r="E164" i="34"/>
  <c r="E168" i="10" s="1"/>
  <c r="E154" i="34"/>
  <c r="F156" i="34"/>
  <c r="E155" i="34"/>
  <c r="G156" i="34"/>
  <c r="F164" i="34"/>
  <c r="F168" i="10" s="1"/>
  <c r="F155" i="34"/>
  <c r="G155" i="34"/>
  <c r="H164" i="34"/>
  <c r="H168" i="10" s="1"/>
  <c r="G164" i="34"/>
  <c r="G168" i="10" s="1"/>
  <c r="H155" i="34"/>
  <c r="I164" i="34"/>
  <c r="I168" i="10" s="1"/>
  <c r="I154" i="34"/>
  <c r="H154" i="34"/>
  <c r="G154" i="34"/>
  <c r="H156" i="34"/>
  <c r="I155" i="34"/>
  <c r="I156" i="34"/>
  <c r="T764" i="7"/>
  <c r="T765" i="7" s="1"/>
  <c r="T780" i="7"/>
  <c r="T781" i="7" s="1"/>
  <c r="T786" i="7"/>
  <c r="T1220" i="7"/>
  <c r="P1327" i="7"/>
  <c r="O1347" i="7"/>
  <c r="S1254" i="7"/>
  <c r="S1262" i="7" s="1"/>
  <c r="S1261" i="7"/>
  <c r="AH1369" i="7"/>
  <c r="AH1381" i="7" s="1"/>
  <c r="AH1380" i="7"/>
  <c r="O1377" i="7"/>
  <c r="P1357" i="7"/>
  <c r="AE183" i="32"/>
  <c r="E183" i="32"/>
  <c r="F154" i="32"/>
  <c r="F183" i="32"/>
  <c r="E154" i="32"/>
  <c r="G183" i="32"/>
  <c r="G154" i="32"/>
  <c r="H154" i="32"/>
  <c r="I154" i="32"/>
  <c r="H183" i="32"/>
  <c r="I183" i="32"/>
  <c r="Y467" i="7"/>
  <c r="Y473" i="7" s="1"/>
  <c r="T330" i="7"/>
  <c r="Z148" i="33"/>
  <c r="E163" i="33"/>
  <c r="E156" i="33"/>
  <c r="F156" i="33"/>
  <c r="F148" i="33"/>
  <c r="E148" i="33"/>
  <c r="G163" i="33"/>
  <c r="F163" i="33"/>
  <c r="H148" i="33"/>
  <c r="I156" i="33"/>
  <c r="I163" i="33"/>
  <c r="G156" i="33"/>
  <c r="G148" i="33"/>
  <c r="H156" i="33"/>
  <c r="H163" i="33"/>
  <c r="I148" i="33"/>
  <c r="T1236" i="7"/>
  <c r="T1242" i="7"/>
  <c r="T1252" i="7"/>
  <c r="T1258" i="7"/>
  <c r="R441" i="7"/>
  <c r="R438" i="7" s="1"/>
  <c r="N517" i="7"/>
  <c r="N519" i="7" s="1"/>
  <c r="AG248" i="32"/>
  <c r="AG183" i="32"/>
  <c r="AF183" i="32"/>
  <c r="L164" i="34"/>
  <c r="L168" i="10" s="1"/>
  <c r="W155" i="34"/>
  <c r="AA155" i="34"/>
  <c r="AH249" i="32"/>
  <c r="AH250" i="32"/>
  <c r="AH242" i="32"/>
  <c r="AH256" i="32"/>
  <c r="AH251" i="32"/>
  <c r="F7" i="36" s="1"/>
  <c r="AH243" i="32"/>
  <c r="J183" i="32"/>
  <c r="K183" i="32"/>
  <c r="L183" i="32"/>
  <c r="N183" i="32"/>
  <c r="O183" i="32"/>
  <c r="M183" i="32"/>
  <c r="P183" i="32"/>
  <c r="Q183" i="32"/>
  <c r="R183" i="32"/>
  <c r="S183" i="32"/>
  <c r="U183" i="32"/>
  <c r="V183" i="32"/>
  <c r="W183" i="32"/>
  <c r="X183" i="32"/>
  <c r="Z183" i="32"/>
  <c r="AA183" i="32"/>
  <c r="AB183" i="32"/>
  <c r="P163" i="33"/>
  <c r="P154" i="34"/>
  <c r="X192" i="32"/>
  <c r="O191" i="32"/>
  <c r="T192" i="32"/>
  <c r="M191" i="32"/>
  <c r="AG192" i="32"/>
  <c r="Q191" i="32"/>
  <c r="V192" i="32"/>
  <c r="V191" i="32"/>
  <c r="S191" i="32"/>
  <c r="M192" i="32"/>
  <c r="Z191" i="32"/>
  <c r="N192" i="32"/>
  <c r="AF192" i="32"/>
  <c r="AG191" i="32"/>
  <c r="R191" i="32"/>
  <c r="J191" i="32"/>
  <c r="AE191" i="32"/>
  <c r="K191" i="32"/>
  <c r="J192" i="32"/>
  <c r="S192" i="32"/>
  <c r="AF191" i="32"/>
  <c r="W192" i="32"/>
  <c r="AA192" i="32"/>
  <c r="AB191" i="32"/>
  <c r="U192" i="32"/>
  <c r="N191" i="32"/>
  <c r="K192" i="32"/>
  <c r="P191" i="32"/>
  <c r="Z192" i="32"/>
  <c r="Q192" i="32"/>
  <c r="P192" i="32"/>
  <c r="W191" i="32"/>
  <c r="O192" i="32"/>
  <c r="X191" i="32"/>
  <c r="AE192" i="32"/>
  <c r="AA191" i="32"/>
  <c r="U191" i="32"/>
  <c r="R192" i="32"/>
  <c r="L192" i="32"/>
  <c r="AB192" i="32"/>
  <c r="L191" i="32"/>
  <c r="T191" i="32"/>
  <c r="AH233" i="34"/>
  <c r="AH219" i="34"/>
  <c r="AH226" i="34"/>
  <c r="AG178" i="33"/>
  <c r="AH228" i="33"/>
  <c r="AH235" i="33"/>
  <c r="AH242" i="33"/>
  <c r="AG156" i="33"/>
  <c r="S163" i="33"/>
  <c r="X179" i="33"/>
  <c r="AF163" i="33"/>
  <c r="U148" i="33"/>
  <c r="J163" i="33"/>
  <c r="X156" i="33"/>
  <c r="M163" i="33"/>
  <c r="O179" i="33"/>
  <c r="L178" i="33"/>
  <c r="AC155" i="34"/>
  <c r="Z155" i="34"/>
  <c r="U164" i="34"/>
  <c r="U168" i="10" s="1"/>
  <c r="N154" i="34"/>
  <c r="J155" i="34"/>
  <c r="AE154" i="34"/>
  <c r="AB155" i="34"/>
  <c r="W154" i="34"/>
  <c r="S156" i="34"/>
  <c r="O156" i="34"/>
  <c r="K154" i="34"/>
  <c r="O534" i="7"/>
  <c r="AF156" i="34"/>
  <c r="V164" i="34"/>
  <c r="V168" i="10" s="1"/>
  <c r="P155" i="34"/>
  <c r="K164" i="34"/>
  <c r="K168" i="10" s="1"/>
  <c r="AD155" i="34"/>
  <c r="AF164" i="34"/>
  <c r="AF168" i="10" s="1"/>
  <c r="AG154" i="34"/>
  <c r="AB164" i="34"/>
  <c r="AB168" i="10" s="1"/>
  <c r="AA154" i="34"/>
  <c r="Z164" i="34"/>
  <c r="Z168" i="10" s="1"/>
  <c r="X156" i="34"/>
  <c r="W156" i="34"/>
  <c r="V155" i="34"/>
  <c r="U154" i="34"/>
  <c r="S155" i="34"/>
  <c r="R164" i="34"/>
  <c r="R168" i="10" s="1"/>
  <c r="S154" i="34"/>
  <c r="Q155" i="34"/>
  <c r="P164" i="34"/>
  <c r="P168" i="10" s="1"/>
  <c r="N155" i="34"/>
  <c r="M155" i="34"/>
  <c r="M156" i="34"/>
  <c r="L154" i="34"/>
  <c r="J164" i="34"/>
  <c r="J168" i="10" s="1"/>
  <c r="AF155" i="34"/>
  <c r="AE155" i="34"/>
  <c r="AG164" i="34"/>
  <c r="AG168" i="10" s="1"/>
  <c r="AB156" i="34"/>
  <c r="AA156" i="34"/>
  <c r="Z156" i="34"/>
  <c r="Z154" i="34"/>
  <c r="X155" i="34"/>
  <c r="X154" i="34"/>
  <c r="W164" i="34"/>
  <c r="W168" i="10" s="1"/>
  <c r="V156" i="34"/>
  <c r="R156" i="34"/>
  <c r="S164" i="34"/>
  <c r="S168" i="10" s="1"/>
  <c r="Q164" i="34"/>
  <c r="Q168" i="10" s="1"/>
  <c r="R155" i="34"/>
  <c r="O154" i="34"/>
  <c r="O164" i="34"/>
  <c r="O168" i="10" s="1"/>
  <c r="N156" i="34"/>
  <c r="M164" i="34"/>
  <c r="M168" i="10" s="1"/>
  <c r="K156" i="34"/>
  <c r="J156" i="34"/>
  <c r="J154" i="34"/>
  <c r="AE164" i="34"/>
  <c r="AE168" i="10" s="1"/>
  <c r="AG156" i="34"/>
  <c r="AG155" i="34"/>
  <c r="AE156" i="34"/>
  <c r="AB154" i="34"/>
  <c r="AA164" i="34"/>
  <c r="AA168" i="10" s="1"/>
  <c r="Y155" i="34"/>
  <c r="X164" i="34"/>
  <c r="X168" i="10" s="1"/>
  <c r="U156" i="34"/>
  <c r="V154" i="34"/>
  <c r="U155" i="34"/>
  <c r="T155" i="34"/>
  <c r="R154" i="34"/>
  <c r="Q154" i="34"/>
  <c r="Q156" i="34"/>
  <c r="P156" i="34"/>
  <c r="O155" i="34"/>
  <c r="N164" i="34"/>
  <c r="N168" i="10" s="1"/>
  <c r="M154" i="34"/>
  <c r="L155" i="34"/>
  <c r="L156" i="34"/>
  <c r="K155" i="34"/>
  <c r="S147" i="34"/>
  <c r="S146" i="10" s="1"/>
  <c r="AG147" i="34"/>
  <c r="AG146" i="10" s="1"/>
  <c r="O147" i="34"/>
  <c r="O146" i="10" s="1"/>
  <c r="V147" i="34"/>
  <c r="V146" i="10" s="1"/>
  <c r="K147" i="34"/>
  <c r="K146" i="10" s="1"/>
  <c r="AB147" i="34"/>
  <c r="AB146" i="10" s="1"/>
  <c r="Z147" i="34"/>
  <c r="Z146" i="10" s="1"/>
  <c r="X147" i="34"/>
  <c r="X146" i="10" s="1"/>
  <c r="R147" i="34"/>
  <c r="R146" i="10" s="1"/>
  <c r="N147" i="34"/>
  <c r="N146" i="10" s="1"/>
  <c r="J147" i="34"/>
  <c r="J146" i="10" s="1"/>
  <c r="W147" i="34"/>
  <c r="W146" i="10" s="1"/>
  <c r="P147" i="34"/>
  <c r="P146" i="10" s="1"/>
  <c r="M147" i="34"/>
  <c r="M146" i="10" s="1"/>
  <c r="AF147" i="34"/>
  <c r="AF146" i="10" s="1"/>
  <c r="AE147" i="34"/>
  <c r="AE146" i="10" s="1"/>
  <c r="AA147" i="34"/>
  <c r="AA146" i="10" s="1"/>
  <c r="U147" i="34"/>
  <c r="U146" i="10" s="1"/>
  <c r="Q147" i="34"/>
  <c r="Q146" i="10" s="1"/>
  <c r="L147" i="34"/>
  <c r="L146" i="10" s="1"/>
  <c r="W148" i="33"/>
  <c r="Q163" i="33"/>
  <c r="M148" i="33"/>
  <c r="R179" i="33"/>
  <c r="AE178" i="33"/>
  <c r="AF148" i="33"/>
  <c r="AA148" i="33"/>
  <c r="W156" i="33"/>
  <c r="P148" i="33"/>
  <c r="J156" i="33"/>
  <c r="M179" i="33"/>
  <c r="M178" i="33"/>
  <c r="AH171" i="6"/>
  <c r="AH164" i="6"/>
  <c r="G153" i="10"/>
  <c r="F153" i="10"/>
  <c r="H153" i="10"/>
  <c r="J153" i="10"/>
  <c r="I153" i="10"/>
  <c r="K153" i="10"/>
  <c r="M153" i="10"/>
  <c r="L153" i="10"/>
  <c r="O153" i="10"/>
  <c r="N153" i="10"/>
  <c r="P153" i="10"/>
  <c r="Q153" i="10"/>
  <c r="R153" i="10"/>
  <c r="S153" i="10"/>
  <c r="U153" i="10"/>
  <c r="W153" i="10"/>
  <c r="V153" i="10"/>
  <c r="X153" i="10"/>
  <c r="AA153" i="10"/>
  <c r="Z153" i="10"/>
  <c r="AB153" i="10"/>
  <c r="AF153" i="10"/>
  <c r="AG153" i="10"/>
  <c r="AE153" i="10"/>
  <c r="AF156" i="33"/>
  <c r="AG148" i="33"/>
  <c r="AE163" i="33"/>
  <c r="AB148" i="33"/>
  <c r="AA163" i="33"/>
  <c r="Z156" i="33"/>
  <c r="X163" i="33"/>
  <c r="X148" i="33"/>
  <c r="U163" i="33"/>
  <c r="T156" i="33"/>
  <c r="R148" i="33"/>
  <c r="R156" i="33"/>
  <c r="O156" i="33"/>
  <c r="O148" i="33"/>
  <c r="N163" i="33"/>
  <c r="K148" i="33"/>
  <c r="J148" i="33"/>
  <c r="L148" i="33"/>
  <c r="Z179" i="33"/>
  <c r="N179" i="33"/>
  <c r="V179" i="33"/>
  <c r="K179" i="33"/>
  <c r="O178" i="33"/>
  <c r="AA178" i="33"/>
  <c r="S179" i="33"/>
  <c r="W178" i="33"/>
  <c r="J179" i="33"/>
  <c r="AE148" i="33"/>
  <c r="AG163" i="33"/>
  <c r="AB156" i="33"/>
  <c r="AA156" i="33"/>
  <c r="Z163" i="33"/>
  <c r="W163" i="33"/>
  <c r="V163" i="33"/>
  <c r="S148" i="33"/>
  <c r="R163" i="33"/>
  <c r="P156" i="33"/>
  <c r="N148" i="33"/>
  <c r="K163" i="33"/>
  <c r="L163" i="33"/>
  <c r="AB179" i="33"/>
  <c r="AA179" i="33"/>
  <c r="P178" i="33"/>
  <c r="AE179" i="33"/>
  <c r="N178" i="33"/>
  <c r="X178" i="33"/>
  <c r="P179" i="33"/>
  <c r="U179" i="33"/>
  <c r="Z178" i="33"/>
  <c r="W179" i="33"/>
  <c r="AG179" i="33"/>
  <c r="K178" i="33"/>
  <c r="AG33" i="2"/>
  <c r="AG38" i="6" s="1"/>
  <c r="AG29" i="6"/>
  <c r="AH168" i="2"/>
  <c r="AH173" i="6" s="1"/>
  <c r="AH173" i="2"/>
  <c r="AH174" i="6" s="1"/>
  <c r="AH187" i="34" s="1"/>
  <c r="AH155" i="2"/>
  <c r="AH165" i="6" s="1"/>
  <c r="AH164" i="2"/>
  <c r="AD156" i="33"/>
  <c r="AC156" i="33"/>
  <c r="AB163" i="33"/>
  <c r="Y156" i="33"/>
  <c r="V156" i="33"/>
  <c r="V148" i="33"/>
  <c r="U156" i="33"/>
  <c r="Q156" i="33"/>
  <c r="S156" i="33"/>
  <c r="Q148" i="33"/>
  <c r="O163" i="33"/>
  <c r="N156" i="33"/>
  <c r="M156" i="33"/>
  <c r="L156" i="33"/>
  <c r="K156" i="33"/>
  <c r="Q178" i="33"/>
  <c r="AB178" i="33"/>
  <c r="U178" i="33"/>
  <c r="R178" i="33"/>
  <c r="V178" i="33"/>
  <c r="AF179" i="33"/>
  <c r="AF178" i="33"/>
  <c r="L179" i="33"/>
  <c r="Q179" i="33"/>
  <c r="J178" i="33"/>
  <c r="S178" i="33"/>
  <c r="AG30" i="6"/>
  <c r="AG20" i="2"/>
  <c r="AE156" i="33"/>
  <c r="AG83" i="6"/>
  <c r="AH74" i="6"/>
  <c r="AH74" i="2"/>
  <c r="AH65" i="2"/>
  <c r="AH75" i="6" s="1"/>
  <c r="AH78" i="2"/>
  <c r="AH83" i="6" s="1"/>
  <c r="AH83" i="2"/>
  <c r="AH84" i="6" s="1"/>
  <c r="AH210" i="32" s="1"/>
  <c r="AH110" i="2"/>
  <c r="AH120" i="6" s="1"/>
  <c r="AH119" i="6"/>
  <c r="AH123" i="2"/>
  <c r="AH128" i="6" s="1"/>
  <c r="AH128" i="2"/>
  <c r="AH129" i="6" s="1"/>
  <c r="AH196" i="33" s="1"/>
  <c r="AH119" i="2"/>
  <c r="AH156" i="33"/>
  <c r="F169" i="32"/>
  <c r="E169" i="32"/>
  <c r="G169" i="32"/>
  <c r="H169" i="32"/>
  <c r="I169" i="32"/>
  <c r="J154" i="32"/>
  <c r="J169" i="32"/>
  <c r="K154" i="32"/>
  <c r="K169" i="32"/>
  <c r="L154" i="32"/>
  <c r="L169" i="32"/>
  <c r="M154" i="32"/>
  <c r="M169" i="32"/>
  <c r="N169" i="32"/>
  <c r="N154" i="32"/>
  <c r="O154" i="32"/>
  <c r="O169" i="32"/>
  <c r="P169" i="32"/>
  <c r="P154" i="32"/>
  <c r="Q154" i="32"/>
  <c r="Q169" i="32"/>
  <c r="R154" i="32"/>
  <c r="R169" i="32"/>
  <c r="S169" i="32"/>
  <c r="S154" i="32"/>
  <c r="U169" i="32"/>
  <c r="U154" i="32"/>
  <c r="V169" i="32"/>
  <c r="V154" i="32"/>
  <c r="W154" i="32"/>
  <c r="W169" i="32"/>
  <c r="X154" i="32"/>
  <c r="X169" i="32"/>
  <c r="Z169" i="32"/>
  <c r="Z154" i="32"/>
  <c r="AA169" i="32"/>
  <c r="AA154" i="32"/>
  <c r="AB169" i="32"/>
  <c r="AB154" i="32"/>
  <c r="AG169" i="32"/>
  <c r="AE154" i="32"/>
  <c r="AF154" i="32"/>
  <c r="AF169" i="32"/>
  <c r="AE169" i="32"/>
  <c r="AG154" i="32"/>
  <c r="N999" i="7"/>
  <c r="N1000" i="7" s="1"/>
  <c r="N1015" i="7"/>
  <c r="N1017" i="7" s="1"/>
  <c r="N48" i="7"/>
  <c r="N49" i="7" s="1"/>
  <c r="M107" i="7"/>
  <c r="N94" i="7"/>
  <c r="N62" i="7"/>
  <c r="N123" i="7"/>
  <c r="O111" i="7"/>
  <c r="O118" i="7" s="1"/>
  <c r="O565" i="7"/>
  <c r="O566" i="7" s="1"/>
  <c r="N549" i="7"/>
  <c r="N551" i="7" s="1"/>
  <c r="P532" i="7"/>
  <c r="P539" i="7" s="1"/>
  <c r="P597" i="7"/>
  <c r="O580" i="7"/>
  <c r="O587" i="7" s="1"/>
  <c r="M159" i="10"/>
  <c r="U159" i="10"/>
  <c r="G159" i="10"/>
  <c r="AG159" i="10"/>
  <c r="I159" i="10"/>
  <c r="Q159" i="10"/>
  <c r="AH219" i="10"/>
  <c r="AB159" i="10"/>
  <c r="X159" i="10"/>
  <c r="P159" i="10"/>
  <c r="L159" i="10"/>
  <c r="AH228" i="10"/>
  <c r="F7" i="35" s="1"/>
  <c r="AF159" i="10"/>
  <c r="Z159" i="10"/>
  <c r="V159" i="10"/>
  <c r="R159" i="10"/>
  <c r="N159" i="10"/>
  <c r="J159" i="10"/>
  <c r="H159" i="10"/>
  <c r="AH233" i="10"/>
  <c r="AE159" i="10"/>
  <c r="AA159" i="10"/>
  <c r="W159" i="10"/>
  <c r="S159" i="10"/>
  <c r="O159" i="10"/>
  <c r="K159" i="10"/>
  <c r="F159" i="10"/>
  <c r="AH226" i="10"/>
  <c r="Y360" i="7"/>
  <c r="Y344" i="7"/>
  <c r="X364" i="7"/>
  <c r="X348" i="7"/>
  <c r="AG39" i="6" l="1"/>
  <c r="AG186" i="10" s="1"/>
  <c r="Q1314" i="7"/>
  <c r="Q1303" i="7"/>
  <c r="P1271" i="7"/>
  <c r="P1268" i="7" s="1"/>
  <c r="N855" i="7"/>
  <c r="N861" i="7" s="1"/>
  <c r="M864" i="7"/>
  <c r="M868" i="7" s="1"/>
  <c r="P842" i="7"/>
  <c r="P831" i="7"/>
  <c r="Q415" i="7"/>
  <c r="R407" i="7" s="1"/>
  <c r="F8" i="36"/>
  <c r="H26" i="30" s="1"/>
  <c r="F146" i="10"/>
  <c r="Q893" i="7"/>
  <c r="P813" i="7"/>
  <c r="P803" i="7"/>
  <c r="N859" i="7"/>
  <c r="N856" i="7" s="1"/>
  <c r="T1253" i="7"/>
  <c r="T1260" i="7"/>
  <c r="U1250" i="7"/>
  <c r="T782" i="7"/>
  <c r="T790" i="7" s="1"/>
  <c r="T789" i="7"/>
  <c r="U762" i="7"/>
  <c r="T1237" i="7"/>
  <c r="T1244" i="7"/>
  <c r="U1234" i="7"/>
  <c r="R445" i="7"/>
  <c r="P1363" i="7"/>
  <c r="P1374" i="7"/>
  <c r="T1221" i="7"/>
  <c r="U1218" i="7"/>
  <c r="T788" i="7"/>
  <c r="U778" i="7"/>
  <c r="U746" i="7"/>
  <c r="T756" i="7"/>
  <c r="R413" i="7"/>
  <c r="U328" i="7"/>
  <c r="T766" i="7"/>
  <c r="Y475" i="7"/>
  <c r="Y476" i="7" s="1"/>
  <c r="P1344" i="7"/>
  <c r="P1333" i="7"/>
  <c r="T331" i="7"/>
  <c r="T749" i="7"/>
  <c r="N518" i="7"/>
  <c r="AH248" i="32"/>
  <c r="O66" i="36" s="1"/>
  <c r="O567" i="7"/>
  <c r="P563" i="7" s="1"/>
  <c r="N50" i="7"/>
  <c r="O46" i="7" s="1"/>
  <c r="AH29" i="6"/>
  <c r="AH29" i="2"/>
  <c r="AH30" i="6"/>
  <c r="AH39" i="6"/>
  <c r="AH186" i="10" s="1"/>
  <c r="AH20" i="2"/>
  <c r="AH33" i="2"/>
  <c r="AH38" i="6" s="1"/>
  <c r="AD6" i="33"/>
  <c r="N550" i="7"/>
  <c r="N1001" i="7"/>
  <c r="O1013" i="7"/>
  <c r="N1016" i="7"/>
  <c r="N95" i="7"/>
  <c r="N102" i="7" s="1"/>
  <c r="O112" i="7"/>
  <c r="O119" i="7"/>
  <c r="O121" i="7" s="1"/>
  <c r="P116" i="7" s="1"/>
  <c r="N63" i="7"/>
  <c r="N70" i="7" s="1"/>
  <c r="O581" i="7"/>
  <c r="O583" i="7" s="1"/>
  <c r="P579" i="7" s="1"/>
  <c r="P533" i="7"/>
  <c r="P598" i="7"/>
  <c r="P599" i="7"/>
  <c r="O515" i="7"/>
  <c r="O547" i="7"/>
  <c r="Y346" i="7"/>
  <c r="Y362" i="7"/>
  <c r="Y363" i="7" s="1"/>
  <c r="Q416" i="7" l="1"/>
  <c r="Q420" i="7" s="1"/>
  <c r="Q1301" i="7"/>
  <c r="Q1298" i="7" s="1"/>
  <c r="P1285" i="7"/>
  <c r="P1275" i="7"/>
  <c r="P1276" i="7" s="1"/>
  <c r="P1288" i="7" s="1"/>
  <c r="R885" i="7"/>
  <c r="R891" i="7" s="1"/>
  <c r="Q894" i="7"/>
  <c r="Q898" i="7" s="1"/>
  <c r="P829" i="7"/>
  <c r="P826" i="7" s="1"/>
  <c r="Q795" i="7"/>
  <c r="Q812" i="7" s="1"/>
  <c r="P804" i="7"/>
  <c r="S437" i="7"/>
  <c r="R446" i="7"/>
  <c r="R450" i="7" s="1"/>
  <c r="P815" i="7"/>
  <c r="P1331" i="7"/>
  <c r="P1328" i="7" s="1"/>
  <c r="P1345" i="7" s="1"/>
  <c r="N863" i="7"/>
  <c r="O855" i="7" s="1"/>
  <c r="O861" i="7" s="1"/>
  <c r="U1220" i="7"/>
  <c r="U764" i="7"/>
  <c r="T757" i="7"/>
  <c r="T750" i="7"/>
  <c r="T758" i="7" s="1"/>
  <c r="Y480" i="7"/>
  <c r="U754" i="7"/>
  <c r="U748" i="7"/>
  <c r="U780" i="7"/>
  <c r="U781" i="7" s="1"/>
  <c r="U786" i="7"/>
  <c r="T1222" i="7"/>
  <c r="S443" i="7"/>
  <c r="T1245" i="7"/>
  <c r="T1238" i="7"/>
  <c r="T1246" i="7" s="1"/>
  <c r="T1261" i="7"/>
  <c r="T1254" i="7"/>
  <c r="T1262" i="7" s="1"/>
  <c r="R411" i="7"/>
  <c r="R408" i="7" s="1"/>
  <c r="Z467" i="7"/>
  <c r="Z473" i="7" s="1"/>
  <c r="U1242" i="7"/>
  <c r="U1236" i="7"/>
  <c r="U1258" i="7"/>
  <c r="U1252" i="7"/>
  <c r="R889" i="7"/>
  <c r="R886" i="7" s="1"/>
  <c r="T332" i="7"/>
  <c r="U330" i="7"/>
  <c r="U331" i="7" s="1"/>
  <c r="P1361" i="7"/>
  <c r="P1358" i="7" s="1"/>
  <c r="O516" i="7"/>
  <c r="O523" i="7" s="1"/>
  <c r="O997" i="7"/>
  <c r="O998" i="7" s="1"/>
  <c r="O1005" i="7" s="1"/>
  <c r="O1014" i="7"/>
  <c r="O1021" i="7" s="1"/>
  <c r="N96" i="7"/>
  <c r="N98" i="7" s="1"/>
  <c r="N64" i="7"/>
  <c r="O47" i="7"/>
  <c r="O54" i="7" s="1"/>
  <c r="O120" i="7"/>
  <c r="O113" i="7"/>
  <c r="O114" i="7"/>
  <c r="N103" i="7"/>
  <c r="N105" i="7" s="1"/>
  <c r="O100" i="7" s="1"/>
  <c r="O582" i="7"/>
  <c r="O548" i="7"/>
  <c r="O555" i="7" s="1"/>
  <c r="P580" i="7"/>
  <c r="P587" i="7" s="1"/>
  <c r="P534" i="7"/>
  <c r="P564" i="7"/>
  <c r="P571" i="7" s="1"/>
  <c r="Q595" i="7"/>
  <c r="P535" i="7"/>
  <c r="Y364" i="7"/>
  <c r="Z344" i="7"/>
  <c r="Z360" i="7"/>
  <c r="Y347" i="7"/>
  <c r="Q801" i="7" l="1"/>
  <c r="Q799" i="7" s="1"/>
  <c r="Q796" i="7" s="1"/>
  <c r="Q1315" i="7"/>
  <c r="Q1305" i="7"/>
  <c r="Q1306" i="7" s="1"/>
  <c r="Q1318" i="7" s="1"/>
  <c r="P1280" i="7"/>
  <c r="Q1267" i="7"/>
  <c r="P1287" i="7"/>
  <c r="N864" i="7"/>
  <c r="N868" i="7" s="1"/>
  <c r="P833" i="7"/>
  <c r="P834" i="7" s="1"/>
  <c r="P846" i="7" s="1"/>
  <c r="P843" i="7"/>
  <c r="P816" i="7"/>
  <c r="P808" i="7"/>
  <c r="P820" i="7" s="1"/>
  <c r="P1335" i="7"/>
  <c r="O859" i="7"/>
  <c r="O856" i="7" s="1"/>
  <c r="U332" i="7"/>
  <c r="V1234" i="7"/>
  <c r="U1244" i="7"/>
  <c r="V328" i="7"/>
  <c r="R893" i="7"/>
  <c r="S885" i="7" s="1"/>
  <c r="V778" i="7"/>
  <c r="U788" i="7"/>
  <c r="P1365" i="7"/>
  <c r="P1366" i="7" s="1"/>
  <c r="P1378" i="7" s="1"/>
  <c r="P1375" i="7"/>
  <c r="Z475" i="7"/>
  <c r="V1250" i="7"/>
  <c r="U1260" i="7"/>
  <c r="U789" i="7"/>
  <c r="U782" i="7"/>
  <c r="U790" i="7" s="1"/>
  <c r="U1237" i="7"/>
  <c r="S441" i="7"/>
  <c r="S438" i="7" s="1"/>
  <c r="U765" i="7"/>
  <c r="V762" i="7"/>
  <c r="V1218" i="7"/>
  <c r="R415" i="7"/>
  <c r="U749" i="7"/>
  <c r="U756" i="7"/>
  <c r="V746" i="7"/>
  <c r="U1253" i="7"/>
  <c r="U1221" i="7"/>
  <c r="O517" i="7"/>
  <c r="O1015" i="7"/>
  <c r="O1017" i="7" s="1"/>
  <c r="P1013" i="7" s="1"/>
  <c r="O999" i="7"/>
  <c r="O1000" i="7" s="1"/>
  <c r="N97" i="7"/>
  <c r="N104" i="7"/>
  <c r="N65" i="7"/>
  <c r="O48" i="7"/>
  <c r="O50" i="7" s="1"/>
  <c r="O123" i="7"/>
  <c r="P110" i="7"/>
  <c r="N107" i="7"/>
  <c r="O94" i="7"/>
  <c r="N66" i="7"/>
  <c r="O549" i="7"/>
  <c r="O551" i="7" s="1"/>
  <c r="P565" i="7"/>
  <c r="P566" i="7" s="1"/>
  <c r="P581" i="7"/>
  <c r="P583" i="7" s="1"/>
  <c r="Q596" i="7"/>
  <c r="Q603" i="7" s="1"/>
  <c r="Q531" i="7"/>
  <c r="Y348" i="7"/>
  <c r="Z346" i="7"/>
  <c r="Z347" i="7" s="1"/>
  <c r="Z362" i="7"/>
  <c r="Z363" i="7" s="1"/>
  <c r="P1292" i="7" l="1"/>
  <c r="P1370" i="7"/>
  <c r="P1382" i="7" s="1"/>
  <c r="P1347" i="7"/>
  <c r="P1336" i="7"/>
  <c r="Q1310" i="7"/>
  <c r="Q1322" i="7" s="1"/>
  <c r="R1297" i="7"/>
  <c r="Q1317" i="7"/>
  <c r="Q1284" i="7"/>
  <c r="Q1273" i="7"/>
  <c r="R894" i="7"/>
  <c r="R898" i="7" s="1"/>
  <c r="P838" i="7"/>
  <c r="P850" i="7" s="1"/>
  <c r="Q825" i="7"/>
  <c r="P845" i="7"/>
  <c r="S407" i="7"/>
  <c r="R416" i="7"/>
  <c r="R420" i="7" s="1"/>
  <c r="Q1327" i="7"/>
  <c r="Q1344" i="7" s="1"/>
  <c r="O863" i="7"/>
  <c r="U1261" i="7"/>
  <c r="U1254" i="7"/>
  <c r="U1262" i="7" s="1"/>
  <c r="S445" i="7"/>
  <c r="Q803" i="7"/>
  <c r="Q804" i="7" s="1"/>
  <c r="Q816" i="7" s="1"/>
  <c r="Q813" i="7"/>
  <c r="V330" i="7"/>
  <c r="U757" i="7"/>
  <c r="U750" i="7"/>
  <c r="U758" i="7" s="1"/>
  <c r="U766" i="7"/>
  <c r="V1252" i="7"/>
  <c r="V1258" i="7"/>
  <c r="Z476" i="7"/>
  <c r="AA467" i="7"/>
  <c r="AA473" i="7" s="1"/>
  <c r="P1377" i="7"/>
  <c r="Q1357" i="7"/>
  <c r="V1236" i="7"/>
  <c r="V1242" i="7"/>
  <c r="U1222" i="7"/>
  <c r="V1220" i="7"/>
  <c r="V754" i="7"/>
  <c r="V748" i="7"/>
  <c r="V749" i="7" s="1"/>
  <c r="S413" i="7"/>
  <c r="V764" i="7"/>
  <c r="U1245" i="7"/>
  <c r="U1238" i="7"/>
  <c r="U1246" i="7" s="1"/>
  <c r="V780" i="7"/>
  <c r="V781" i="7" s="1"/>
  <c r="V786" i="7"/>
  <c r="S891" i="7"/>
  <c r="O518" i="7"/>
  <c r="O519" i="7"/>
  <c r="P515" i="7" s="1"/>
  <c r="O1016" i="7"/>
  <c r="O1001" i="7"/>
  <c r="P997" i="7" s="1"/>
  <c r="P1014" i="7"/>
  <c r="P1021" i="7" s="1"/>
  <c r="O550" i="7"/>
  <c r="P46" i="7"/>
  <c r="P111" i="7"/>
  <c r="P118" i="7" s="1"/>
  <c r="O95" i="7"/>
  <c r="O102" i="7" s="1"/>
  <c r="O62" i="7"/>
  <c r="O49" i="7"/>
  <c r="P567" i="7"/>
  <c r="Q563" i="7" s="1"/>
  <c r="Q532" i="7"/>
  <c r="Q539" i="7" s="1"/>
  <c r="P547" i="7"/>
  <c r="Q579" i="7"/>
  <c r="P582" i="7"/>
  <c r="Q597" i="7"/>
  <c r="AA360" i="7"/>
  <c r="AA344" i="7"/>
  <c r="Z364" i="7"/>
  <c r="Z348" i="7"/>
  <c r="Q1333" i="7" l="1"/>
  <c r="P1348" i="7"/>
  <c r="P1340" i="7"/>
  <c r="R1303" i="7"/>
  <c r="R1314" i="7"/>
  <c r="Q1271" i="7"/>
  <c r="Q1268" i="7" s="1"/>
  <c r="P855" i="7"/>
  <c r="P861" i="7" s="1"/>
  <c r="O864" i="7"/>
  <c r="O868" i="7" s="1"/>
  <c r="Q831" i="7"/>
  <c r="Q842" i="7"/>
  <c r="Q808" i="7"/>
  <c r="Q820" i="7" s="1"/>
  <c r="T437" i="7"/>
  <c r="S446" i="7"/>
  <c r="S450" i="7" s="1"/>
  <c r="Q1331" i="7"/>
  <c r="Q1328" i="7" s="1"/>
  <c r="S411" i="7"/>
  <c r="S408" i="7" s="1"/>
  <c r="V782" i="7"/>
  <c r="V790" i="7" s="1"/>
  <c r="V789" i="7"/>
  <c r="W762" i="7"/>
  <c r="W746" i="7"/>
  <c r="V756" i="7"/>
  <c r="W1218" i="7"/>
  <c r="V1237" i="7"/>
  <c r="W1234" i="7"/>
  <c r="V1244" i="7"/>
  <c r="Q1374" i="7"/>
  <c r="Q1363" i="7"/>
  <c r="Z480" i="7"/>
  <c r="Q815" i="7"/>
  <c r="R795" i="7"/>
  <c r="V757" i="7"/>
  <c r="V750" i="7"/>
  <c r="V758" i="7" s="1"/>
  <c r="AA475" i="7"/>
  <c r="T443" i="7"/>
  <c r="V765" i="7"/>
  <c r="V1221" i="7"/>
  <c r="W1250" i="7"/>
  <c r="V1260" i="7"/>
  <c r="W328" i="7"/>
  <c r="W778" i="7"/>
  <c r="V788" i="7"/>
  <c r="S889" i="7"/>
  <c r="S886" i="7" s="1"/>
  <c r="V1253" i="7"/>
  <c r="V331" i="7"/>
  <c r="P859" i="7"/>
  <c r="P856" i="7" s="1"/>
  <c r="P516" i="7"/>
  <c r="P523" i="7" s="1"/>
  <c r="P998" i="7"/>
  <c r="P1005" i="7" s="1"/>
  <c r="P1015" i="7"/>
  <c r="P112" i="7"/>
  <c r="P113" i="7" s="1"/>
  <c r="P119" i="7"/>
  <c r="P121" i="7" s="1"/>
  <c r="Q116" i="7" s="1"/>
  <c r="O96" i="7"/>
  <c r="O63" i="7"/>
  <c r="O70" i="7" s="1"/>
  <c r="O103" i="7"/>
  <c r="P47" i="7"/>
  <c r="P54" i="7" s="1"/>
  <c r="Q533" i="7"/>
  <c r="Q598" i="7"/>
  <c r="Q580" i="7"/>
  <c r="Q587" i="7" s="1"/>
  <c r="Q564" i="7"/>
  <c r="Q571" i="7" s="1"/>
  <c r="P548" i="7"/>
  <c r="P555" i="7" s="1"/>
  <c r="Q599" i="7"/>
  <c r="AA346" i="7"/>
  <c r="AA347" i="7" s="1"/>
  <c r="AA362" i="7"/>
  <c r="AA363" i="7" s="1"/>
  <c r="P1352" i="7" l="1"/>
  <c r="R1301" i="7"/>
  <c r="R1298" i="7" s="1"/>
  <c r="Q1285" i="7"/>
  <c r="Q1275" i="7"/>
  <c r="Q1276" i="7" s="1"/>
  <c r="Q1288" i="7" s="1"/>
  <c r="Q829" i="7"/>
  <c r="Q826" i="7" s="1"/>
  <c r="Q833" i="7" s="1"/>
  <c r="Q834" i="7" s="1"/>
  <c r="Q846" i="7" s="1"/>
  <c r="Q1335" i="7"/>
  <c r="Q1345" i="7"/>
  <c r="T441" i="7"/>
  <c r="T438" i="7" s="1"/>
  <c r="T445" i="7" s="1"/>
  <c r="T446" i="7" s="1"/>
  <c r="S415" i="7"/>
  <c r="Q1361" i="7"/>
  <c r="Q1358" i="7" s="1"/>
  <c r="S893" i="7"/>
  <c r="W786" i="7"/>
  <c r="W780" i="7"/>
  <c r="W781" i="7" s="1"/>
  <c r="W330" i="7"/>
  <c r="AA476" i="7"/>
  <c r="AB467" i="7"/>
  <c r="AB473" i="7" s="1"/>
  <c r="V1238" i="7"/>
  <c r="V1246" i="7" s="1"/>
  <c r="V1245" i="7"/>
  <c r="W748" i="7"/>
  <c r="W749" i="7" s="1"/>
  <c r="W754" i="7"/>
  <c r="V1261" i="7"/>
  <c r="V1254" i="7"/>
  <c r="V1262" i="7" s="1"/>
  <c r="W764" i="7"/>
  <c r="W765" i="7" s="1"/>
  <c r="V332" i="7"/>
  <c r="W1252" i="7"/>
  <c r="W1258" i="7"/>
  <c r="V1222" i="7"/>
  <c r="W1220" i="7"/>
  <c r="V766" i="7"/>
  <c r="W1242" i="7"/>
  <c r="W1236" i="7"/>
  <c r="P863" i="7"/>
  <c r="Q855" i="7" s="1"/>
  <c r="R812" i="7"/>
  <c r="R801" i="7"/>
  <c r="P517" i="7"/>
  <c r="P999" i="7"/>
  <c r="P1001" i="7" s="1"/>
  <c r="Q997" i="7" s="1"/>
  <c r="P1016" i="7"/>
  <c r="P1017" i="7"/>
  <c r="P114" i="7"/>
  <c r="Q110" i="7" s="1"/>
  <c r="P48" i="7"/>
  <c r="P49" i="7" s="1"/>
  <c r="O104" i="7"/>
  <c r="P120" i="7"/>
  <c r="O64" i="7"/>
  <c r="O66" i="7" s="1"/>
  <c r="O97" i="7"/>
  <c r="O98" i="7"/>
  <c r="O105" i="7"/>
  <c r="P100" i="7" s="1"/>
  <c r="Q534" i="7"/>
  <c r="Q535" i="7"/>
  <c r="Q581" i="7"/>
  <c r="Q583" i="7" s="1"/>
  <c r="P549" i="7"/>
  <c r="R595" i="7"/>
  <c r="Q565" i="7"/>
  <c r="Q567" i="7" s="1"/>
  <c r="AA348" i="7"/>
  <c r="AB360" i="7"/>
  <c r="AA364" i="7"/>
  <c r="AB344" i="7"/>
  <c r="Q1347" i="7" l="1"/>
  <c r="Q1336" i="7"/>
  <c r="R1315" i="7"/>
  <c r="R1305" i="7"/>
  <c r="R1306" i="7" s="1"/>
  <c r="R1318" i="7" s="1"/>
  <c r="Q1280" i="7"/>
  <c r="Q1287" i="7"/>
  <c r="R1267" i="7"/>
  <c r="T885" i="7"/>
  <c r="S894" i="7"/>
  <c r="S898" i="7" s="1"/>
  <c r="P864" i="7"/>
  <c r="P868" i="7" s="1"/>
  <c r="Q838" i="7"/>
  <c r="Q850" i="7" s="1"/>
  <c r="Q843" i="7"/>
  <c r="Q845" i="7"/>
  <c r="R825" i="7"/>
  <c r="R1327" i="7"/>
  <c r="R1344" i="7" s="1"/>
  <c r="T407" i="7"/>
  <c r="T413" i="7" s="1"/>
  <c r="S416" i="7"/>
  <c r="S420" i="7" s="1"/>
  <c r="T450" i="7"/>
  <c r="Q1375" i="7"/>
  <c r="Q1365" i="7"/>
  <c r="T411" i="7"/>
  <c r="T408" i="7" s="1"/>
  <c r="W789" i="7"/>
  <c r="W782" i="7"/>
  <c r="W790" i="7" s="1"/>
  <c r="AA480" i="7"/>
  <c r="W750" i="7"/>
  <c r="W758" i="7" s="1"/>
  <c r="W757" i="7"/>
  <c r="T891" i="7"/>
  <c r="W1237" i="7"/>
  <c r="W1244" i="7"/>
  <c r="X1234" i="7"/>
  <c r="W1221" i="7"/>
  <c r="X1218" i="7"/>
  <c r="W1253" i="7"/>
  <c r="W1260" i="7"/>
  <c r="X1250" i="7"/>
  <c r="AB475" i="7"/>
  <c r="AB476" i="7" s="1"/>
  <c r="U437" i="7"/>
  <c r="U438" i="7"/>
  <c r="X328" i="7"/>
  <c r="W766" i="7"/>
  <c r="Q861" i="7"/>
  <c r="X762" i="7"/>
  <c r="W756" i="7"/>
  <c r="X746" i="7"/>
  <c r="W788" i="7"/>
  <c r="X778" i="7"/>
  <c r="R799" i="7"/>
  <c r="R796" i="7" s="1"/>
  <c r="W331" i="7"/>
  <c r="P519" i="7"/>
  <c r="Q515" i="7" s="1"/>
  <c r="Q516" i="7" s="1"/>
  <c r="Q523" i="7" s="1"/>
  <c r="P518" i="7"/>
  <c r="P50" i="7"/>
  <c r="P123" i="7"/>
  <c r="P1000" i="7"/>
  <c r="Q1013" i="7"/>
  <c r="Q998" i="7"/>
  <c r="Q1005" i="7" s="1"/>
  <c r="Q111" i="7"/>
  <c r="Q118" i="7" s="1"/>
  <c r="O65" i="7"/>
  <c r="O107" i="7"/>
  <c r="P94" i="7"/>
  <c r="P62" i="7"/>
  <c r="R563" i="7"/>
  <c r="R596" i="7"/>
  <c r="R603" i="7" s="1"/>
  <c r="P550" i="7"/>
  <c r="P551" i="7"/>
  <c r="R579" i="7"/>
  <c r="Q582" i="7"/>
  <c r="Q566" i="7"/>
  <c r="R531" i="7"/>
  <c r="AB362" i="7"/>
  <c r="AB363" i="7" s="1"/>
  <c r="AB346" i="7"/>
  <c r="AB347" i="7" s="1"/>
  <c r="Q1292" i="7" l="1"/>
  <c r="Q1377" i="7"/>
  <c r="Q1366" i="7"/>
  <c r="Q1348" i="7"/>
  <c r="Q1340" i="7"/>
  <c r="Q1352" i="7" s="1"/>
  <c r="R1310" i="7"/>
  <c r="R1322" i="7" s="1"/>
  <c r="R1317" i="7"/>
  <c r="S1297" i="7"/>
  <c r="R1273" i="7"/>
  <c r="R1284" i="7"/>
  <c r="R842" i="7"/>
  <c r="R831" i="7"/>
  <c r="R829" i="7" s="1"/>
  <c r="R826" i="7" s="1"/>
  <c r="R1333" i="7"/>
  <c r="R1357" i="7"/>
  <c r="R1363" i="7" s="1"/>
  <c r="T415" i="7"/>
  <c r="T416" i="7" s="1"/>
  <c r="T420" i="7" s="1"/>
  <c r="Q859" i="7"/>
  <c r="Q856" i="7" s="1"/>
  <c r="AB480" i="7"/>
  <c r="X1258" i="7"/>
  <c r="X1252" i="7"/>
  <c r="X1220" i="7"/>
  <c r="R803" i="7"/>
  <c r="R804" i="7" s="1"/>
  <c r="R816" i="7" s="1"/>
  <c r="R813" i="7"/>
  <c r="W1222" i="7"/>
  <c r="X764" i="7"/>
  <c r="W332" i="7"/>
  <c r="X754" i="7"/>
  <c r="X748" i="7"/>
  <c r="U443" i="7"/>
  <c r="U445" i="7"/>
  <c r="V437" i="7" s="1"/>
  <c r="W1238" i="7"/>
  <c r="W1246" i="7" s="1"/>
  <c r="W1245" i="7"/>
  <c r="X786" i="7"/>
  <c r="X780" i="7"/>
  <c r="X781" i="7" s="1"/>
  <c r="X330" i="7"/>
  <c r="X331" i="7" s="1"/>
  <c r="AC467" i="7"/>
  <c r="AC473" i="7" s="1"/>
  <c r="W1261" i="7"/>
  <c r="W1254" i="7"/>
  <c r="W1262" i="7" s="1"/>
  <c r="X1242" i="7"/>
  <c r="X1236" i="7"/>
  <c r="T889" i="7"/>
  <c r="T886" i="7" s="1"/>
  <c r="Q517" i="7"/>
  <c r="Q46" i="7"/>
  <c r="Q47" i="7" s="1"/>
  <c r="Q54" i="7" s="1"/>
  <c r="Q999" i="7"/>
  <c r="Q1001" i="7" s="1"/>
  <c r="Q1014" i="7"/>
  <c r="Q1021" i="7" s="1"/>
  <c r="Q112" i="7"/>
  <c r="Q114" i="7" s="1"/>
  <c r="Q119" i="7"/>
  <c r="Q121" i="7" s="1"/>
  <c r="R116" i="7" s="1"/>
  <c r="P63" i="7"/>
  <c r="P70" i="7" s="1"/>
  <c r="P95" i="7"/>
  <c r="P102" i="7" s="1"/>
  <c r="Q547" i="7"/>
  <c r="R597" i="7"/>
  <c r="R599" i="7" s="1"/>
  <c r="R580" i="7"/>
  <c r="R587" i="7" s="1"/>
  <c r="R532" i="7"/>
  <c r="R539" i="7" s="1"/>
  <c r="R564" i="7"/>
  <c r="R571" i="7" s="1"/>
  <c r="AB348" i="7"/>
  <c r="AB364" i="7"/>
  <c r="AC344" i="7"/>
  <c r="AC360" i="7"/>
  <c r="Q1378" i="7" l="1"/>
  <c r="Q1370" i="7"/>
  <c r="S1303" i="7"/>
  <c r="S1314" i="7"/>
  <c r="R1271" i="7"/>
  <c r="R1268" i="7" s="1"/>
  <c r="R833" i="7"/>
  <c r="R834" i="7" s="1"/>
  <c r="R843" i="7"/>
  <c r="R808" i="7"/>
  <c r="R820" i="7" s="1"/>
  <c r="R1331" i="7"/>
  <c r="R1328" i="7" s="1"/>
  <c r="U446" i="7"/>
  <c r="U450" i="7" s="1"/>
  <c r="R1374" i="7"/>
  <c r="U408" i="7"/>
  <c r="U407" i="7"/>
  <c r="Q863" i="7"/>
  <c r="X1253" i="7"/>
  <c r="Y1250" i="7"/>
  <c r="X1260" i="7"/>
  <c r="X1237" i="7"/>
  <c r="X1244" i="7"/>
  <c r="Y1234" i="7"/>
  <c r="AC475" i="7"/>
  <c r="AC476" i="7" s="1"/>
  <c r="Y328" i="7"/>
  <c r="X749" i="7"/>
  <c r="X756" i="7"/>
  <c r="Y746" i="7"/>
  <c r="S795" i="7"/>
  <c r="R815" i="7"/>
  <c r="R1361" i="7"/>
  <c r="R1358" i="7" s="1"/>
  <c r="X332" i="7"/>
  <c r="Y778" i="7"/>
  <c r="X788" i="7"/>
  <c r="V445" i="7"/>
  <c r="W437" i="7" s="1"/>
  <c r="V443" i="7"/>
  <c r="Y762" i="7"/>
  <c r="T893" i="7"/>
  <c r="T894" i="7" s="1"/>
  <c r="T898" i="7" s="1"/>
  <c r="X782" i="7"/>
  <c r="X790" i="7" s="1"/>
  <c r="X789" i="7"/>
  <c r="X1221" i="7"/>
  <c r="Y1218" i="7"/>
  <c r="U441" i="7"/>
  <c r="X765" i="7"/>
  <c r="Q518" i="7"/>
  <c r="Q519" i="7"/>
  <c r="R515" i="7" s="1"/>
  <c r="Q1000" i="7"/>
  <c r="Q1015" i="7"/>
  <c r="Q1017" i="7" s="1"/>
  <c r="R997" i="7"/>
  <c r="Q48" i="7"/>
  <c r="Q50" i="7" s="1"/>
  <c r="R46" i="7" s="1"/>
  <c r="Q123" i="7"/>
  <c r="R110" i="7"/>
  <c r="Q120" i="7"/>
  <c r="Q113" i="7"/>
  <c r="P103" i="7"/>
  <c r="P105" i="7" s="1"/>
  <c r="Q100" i="7" s="1"/>
  <c r="P96" i="7"/>
  <c r="P98" i="7" s="1"/>
  <c r="P64" i="7"/>
  <c r="R565" i="7"/>
  <c r="R566" i="7" s="1"/>
  <c r="R581" i="7"/>
  <c r="R583" i="7" s="1"/>
  <c r="S595" i="7"/>
  <c r="Q548" i="7"/>
  <c r="Q555" i="7" s="1"/>
  <c r="R598" i="7"/>
  <c r="R533" i="7"/>
  <c r="AC362" i="7"/>
  <c r="AC363" i="7" s="1"/>
  <c r="AC346" i="7"/>
  <c r="AC347" i="7" s="1"/>
  <c r="Q1382" i="7" l="1"/>
  <c r="S1301" i="7"/>
  <c r="S1298" i="7" s="1"/>
  <c r="R1285" i="7"/>
  <c r="R1275" i="7"/>
  <c r="R1276" i="7" s="1"/>
  <c r="R1288" i="7" s="1"/>
  <c r="R855" i="7"/>
  <c r="R861" i="7" s="1"/>
  <c r="Q864" i="7"/>
  <c r="Q868" i="7" s="1"/>
  <c r="R846" i="7"/>
  <c r="R838" i="7"/>
  <c r="R850" i="7" s="1"/>
  <c r="R845" i="7"/>
  <c r="S825" i="7"/>
  <c r="R1345" i="7"/>
  <c r="R1335" i="7"/>
  <c r="V446" i="7"/>
  <c r="V450" i="7" s="1"/>
  <c r="R859" i="7"/>
  <c r="R856" i="7" s="1"/>
  <c r="U413" i="7"/>
  <c r="U415" i="7"/>
  <c r="V407" i="7" s="1"/>
  <c r="Y330" i="7"/>
  <c r="Y331" i="7" s="1"/>
  <c r="Y1220" i="7"/>
  <c r="Y1221" i="7" s="1"/>
  <c r="W443" i="7"/>
  <c r="W445" i="7"/>
  <c r="X437" i="7" s="1"/>
  <c r="S801" i="7"/>
  <c r="S812" i="7"/>
  <c r="AC480" i="7"/>
  <c r="X1261" i="7"/>
  <c r="X1254" i="7"/>
  <c r="X1262" i="7" s="1"/>
  <c r="Y1252" i="7"/>
  <c r="Y1258" i="7"/>
  <c r="Y764" i="7"/>
  <c r="Y786" i="7"/>
  <c r="Y780" i="7"/>
  <c r="R1365" i="7"/>
  <c r="R1366" i="7" s="1"/>
  <c r="R1378" i="7" s="1"/>
  <c r="R1375" i="7"/>
  <c r="Y748" i="7"/>
  <c r="Y749" i="7" s="1"/>
  <c r="Y754" i="7"/>
  <c r="Y1242" i="7"/>
  <c r="Y1236" i="7"/>
  <c r="X766" i="7"/>
  <c r="X1222" i="7"/>
  <c r="U886" i="7"/>
  <c r="U885" i="7"/>
  <c r="X757" i="7"/>
  <c r="X750" i="7"/>
  <c r="X758" i="7" s="1"/>
  <c r="AD467" i="7"/>
  <c r="AD473" i="7" s="1"/>
  <c r="X1238" i="7"/>
  <c r="X1246" i="7" s="1"/>
  <c r="X1245" i="7"/>
  <c r="R516" i="7"/>
  <c r="R523" i="7" s="1"/>
  <c r="R1013" i="7"/>
  <c r="R998" i="7"/>
  <c r="R1005" i="7" s="1"/>
  <c r="Q1016" i="7"/>
  <c r="R567" i="7"/>
  <c r="Q49" i="7"/>
  <c r="P97" i="7"/>
  <c r="R47" i="7"/>
  <c r="R54" i="7" s="1"/>
  <c r="R111" i="7"/>
  <c r="R118" i="7" s="1"/>
  <c r="P65" i="7"/>
  <c r="P66" i="7"/>
  <c r="P104" i="7"/>
  <c r="P107" i="7"/>
  <c r="Q94" i="7"/>
  <c r="R534" i="7"/>
  <c r="Q549" i="7"/>
  <c r="S579" i="7"/>
  <c r="R535" i="7"/>
  <c r="R582" i="7"/>
  <c r="S596" i="7"/>
  <c r="S603" i="7" s="1"/>
  <c r="AD344" i="7"/>
  <c r="AD360" i="7"/>
  <c r="AC348" i="7"/>
  <c r="AC364" i="7"/>
  <c r="R1370" i="7" l="1"/>
  <c r="R1382" i="7" s="1"/>
  <c r="S1327" i="7"/>
  <c r="S1333" i="7" s="1"/>
  <c r="R1336" i="7"/>
  <c r="S1315" i="7"/>
  <c r="S1305" i="7"/>
  <c r="S1306" i="7" s="1"/>
  <c r="S1318" i="7" s="1"/>
  <c r="R1280" i="7"/>
  <c r="R1287" i="7"/>
  <c r="S1267" i="7"/>
  <c r="R863" i="7"/>
  <c r="S855" i="7" s="1"/>
  <c r="S831" i="7"/>
  <c r="S842" i="7"/>
  <c r="R1347" i="7"/>
  <c r="U416" i="7"/>
  <c r="U420" i="7" s="1"/>
  <c r="W446" i="7"/>
  <c r="W450" i="7" s="1"/>
  <c r="S799" i="7"/>
  <c r="S796" i="7" s="1"/>
  <c r="V413" i="7"/>
  <c r="V415" i="7"/>
  <c r="W407" i="7" s="1"/>
  <c r="U411" i="7"/>
  <c r="U893" i="7"/>
  <c r="V885" i="7" s="1"/>
  <c r="U891" i="7"/>
  <c r="AD475" i="7"/>
  <c r="S861" i="7"/>
  <c r="Z1250" i="7"/>
  <c r="Y1260" i="7"/>
  <c r="X443" i="7"/>
  <c r="X445" i="7"/>
  <c r="Y437" i="7" s="1"/>
  <c r="Y1222" i="7"/>
  <c r="Z328" i="7"/>
  <c r="Z778" i="7"/>
  <c r="Y788" i="7"/>
  <c r="Z762" i="7"/>
  <c r="Z1218" i="7"/>
  <c r="Y781" i="7"/>
  <c r="Y1253" i="7"/>
  <c r="Y750" i="7"/>
  <c r="Y758" i="7" s="1"/>
  <c r="Y757" i="7"/>
  <c r="Y332" i="7"/>
  <c r="Y1237" i="7"/>
  <c r="Y1244" i="7"/>
  <c r="Z1234" i="7"/>
  <c r="Z746" i="7"/>
  <c r="Y756" i="7"/>
  <c r="R1377" i="7"/>
  <c r="S1357" i="7"/>
  <c r="Y765" i="7"/>
  <c r="R517" i="7"/>
  <c r="S563" i="7"/>
  <c r="S564" i="7" s="1"/>
  <c r="S571" i="7" s="1"/>
  <c r="R1014" i="7"/>
  <c r="R1021" i="7" s="1"/>
  <c r="R999" i="7"/>
  <c r="S597" i="7"/>
  <c r="S598" i="7" s="1"/>
  <c r="Q95" i="7"/>
  <c r="Q102" i="7" s="1"/>
  <c r="R119" i="7"/>
  <c r="R121" i="7" s="1"/>
  <c r="S116" i="7" s="1"/>
  <c r="Q62" i="7"/>
  <c r="R112" i="7"/>
  <c r="R48" i="7"/>
  <c r="R49" i="7" s="1"/>
  <c r="S531" i="7"/>
  <c r="S580" i="7"/>
  <c r="S587" i="7" s="1"/>
  <c r="Q550" i="7"/>
  <c r="Q551" i="7"/>
  <c r="AD362" i="7"/>
  <c r="AD363" i="7" s="1"/>
  <c r="AD346" i="7"/>
  <c r="R1292" i="7" l="1"/>
  <c r="S1331" i="7"/>
  <c r="S1328" i="7" s="1"/>
  <c r="S1345" i="7" s="1"/>
  <c r="U894" i="7"/>
  <c r="U898" i="7" s="1"/>
  <c r="R864" i="7"/>
  <c r="R868" i="7" s="1"/>
  <c r="S1344" i="7"/>
  <c r="R1348" i="7"/>
  <c r="R1340" i="7"/>
  <c r="R1352" i="7" s="1"/>
  <c r="S1310" i="7"/>
  <c r="S1322" i="7" s="1"/>
  <c r="S1317" i="7"/>
  <c r="T1297" i="7"/>
  <c r="S1273" i="7"/>
  <c r="S1271" i="7" s="1"/>
  <c r="S1268" i="7" s="1"/>
  <c r="S1284" i="7"/>
  <c r="S829" i="7"/>
  <c r="S826" i="7" s="1"/>
  <c r="V416" i="7"/>
  <c r="V420" i="7" s="1"/>
  <c r="X446" i="7"/>
  <c r="X450" i="7" s="1"/>
  <c r="S803" i="7"/>
  <c r="S813" i="7"/>
  <c r="U889" i="7"/>
  <c r="S859" i="7"/>
  <c r="S856" i="7" s="1"/>
  <c r="W415" i="7"/>
  <c r="X407" i="7" s="1"/>
  <c r="W413" i="7"/>
  <c r="Z1220" i="7"/>
  <c r="Z780" i="7"/>
  <c r="Z781" i="7" s="1"/>
  <c r="Z786" i="7"/>
  <c r="Z330" i="7"/>
  <c r="Z331" i="7" s="1"/>
  <c r="Y443" i="7"/>
  <c r="Y445" i="7"/>
  <c r="Z437" i="7" s="1"/>
  <c r="V893" i="7"/>
  <c r="W885" i="7" s="1"/>
  <c r="V891" i="7"/>
  <c r="S1363" i="7"/>
  <c r="S1374" i="7"/>
  <c r="Z1242" i="7"/>
  <c r="Z1236" i="7"/>
  <c r="Z1252" i="7"/>
  <c r="Z1253" i="7" s="1"/>
  <c r="Z1258" i="7"/>
  <c r="Y766" i="7"/>
  <c r="Z748" i="7"/>
  <c r="Z749" i="7" s="1"/>
  <c r="Z754" i="7"/>
  <c r="Y782" i="7"/>
  <c r="Y790" i="7" s="1"/>
  <c r="Y789" i="7"/>
  <c r="AD476" i="7"/>
  <c r="AE467" i="7"/>
  <c r="AE473" i="7" s="1"/>
  <c r="Y1245" i="7"/>
  <c r="Y1238" i="7"/>
  <c r="Y1246" i="7" s="1"/>
  <c r="Y1261" i="7"/>
  <c r="Y1254" i="7"/>
  <c r="Y1262" i="7" s="1"/>
  <c r="Z764" i="7"/>
  <c r="R519" i="7"/>
  <c r="S515" i="7" s="1"/>
  <c r="R518" i="7"/>
  <c r="S599" i="7"/>
  <c r="T595" i="7" s="1"/>
  <c r="R1015" i="7"/>
  <c r="R1000" i="7"/>
  <c r="R1001" i="7"/>
  <c r="Q96" i="7"/>
  <c r="Q98" i="7" s="1"/>
  <c r="R50" i="7"/>
  <c r="R113" i="7"/>
  <c r="Q63" i="7"/>
  <c r="Q70" i="7" s="1"/>
  <c r="R114" i="7"/>
  <c r="Q103" i="7"/>
  <c r="Q105" i="7" s="1"/>
  <c r="R100" i="7" s="1"/>
  <c r="R120" i="7"/>
  <c r="S565" i="7"/>
  <c r="S566" i="7" s="1"/>
  <c r="S581" i="7"/>
  <c r="S582" i="7" s="1"/>
  <c r="R547" i="7"/>
  <c r="S532" i="7"/>
  <c r="S539" i="7" s="1"/>
  <c r="AE344" i="7"/>
  <c r="AD364" i="7"/>
  <c r="AE360" i="7"/>
  <c r="AD347" i="7"/>
  <c r="S1335" i="7" l="1"/>
  <c r="T1327" i="7" s="1"/>
  <c r="T1344" i="7" s="1"/>
  <c r="T1303" i="7"/>
  <c r="T1314" i="7"/>
  <c r="S1285" i="7"/>
  <c r="S1275" i="7"/>
  <c r="S1276" i="7" s="1"/>
  <c r="V894" i="7"/>
  <c r="V898" i="7" s="1"/>
  <c r="S843" i="7"/>
  <c r="S833" i="7"/>
  <c r="S834" i="7" s="1"/>
  <c r="S846" i="7" s="1"/>
  <c r="S815" i="7"/>
  <c r="S804" i="7"/>
  <c r="Y446" i="7"/>
  <c r="Y450" i="7" s="1"/>
  <c r="W416" i="7"/>
  <c r="W420" i="7" s="1"/>
  <c r="T795" i="7"/>
  <c r="T812" i="7" s="1"/>
  <c r="S1361" i="7"/>
  <c r="S1358" i="7" s="1"/>
  <c r="S1365" i="7" s="1"/>
  <c r="S1366" i="7" s="1"/>
  <c r="S1378" i="7" s="1"/>
  <c r="S863" i="7"/>
  <c r="X413" i="7"/>
  <c r="X415" i="7"/>
  <c r="Y407" i="7" s="1"/>
  <c r="Z1261" i="7"/>
  <c r="Z1254" i="7"/>
  <c r="Z1262" i="7" s="1"/>
  <c r="Z765" i="7"/>
  <c r="AA762" i="7"/>
  <c r="AE475" i="7"/>
  <c r="AE476" i="7" s="1"/>
  <c r="Z756" i="7"/>
  <c r="AA746" i="7"/>
  <c r="AA1234" i="7"/>
  <c r="Z1244" i="7"/>
  <c r="AA328" i="7"/>
  <c r="AA778" i="7"/>
  <c r="Z788" i="7"/>
  <c r="AA1218" i="7"/>
  <c r="Z332" i="7"/>
  <c r="Z1237" i="7"/>
  <c r="AD480" i="7"/>
  <c r="Z757" i="7"/>
  <c r="Z750" i="7"/>
  <c r="Z758" i="7" s="1"/>
  <c r="T1333" i="7"/>
  <c r="W893" i="7"/>
  <c r="X885" i="7" s="1"/>
  <c r="W891" i="7"/>
  <c r="Z789" i="7"/>
  <c r="Z782" i="7"/>
  <c r="Z790" i="7" s="1"/>
  <c r="Z1221" i="7"/>
  <c r="Z1260" i="7"/>
  <c r="AA1250" i="7"/>
  <c r="Z443" i="7"/>
  <c r="Z445" i="7"/>
  <c r="AA437" i="7" s="1"/>
  <c r="S516" i="7"/>
  <c r="S523" i="7" s="1"/>
  <c r="S567" i="7"/>
  <c r="T563" i="7" s="1"/>
  <c r="S997" i="7"/>
  <c r="R1016" i="7"/>
  <c r="R1017" i="7"/>
  <c r="Q97" i="7"/>
  <c r="S46" i="7"/>
  <c r="S47" i="7" s="1"/>
  <c r="S54" i="7" s="1"/>
  <c r="S533" i="7"/>
  <c r="S534" i="7" s="1"/>
  <c r="Q64" i="7"/>
  <c r="Q66" i="7" s="1"/>
  <c r="R123" i="7"/>
  <c r="S110" i="7"/>
  <c r="Q107" i="7"/>
  <c r="R94" i="7"/>
  <c r="Q104" i="7"/>
  <c r="R548" i="7"/>
  <c r="R555" i="7" s="1"/>
  <c r="S583" i="7"/>
  <c r="T596" i="7"/>
  <c r="T603" i="7" s="1"/>
  <c r="AD348" i="7"/>
  <c r="AE346" i="7"/>
  <c r="AE362" i="7"/>
  <c r="S1336" i="7" l="1"/>
  <c r="S1348" i="7" s="1"/>
  <c r="S1347" i="7"/>
  <c r="S838" i="7"/>
  <c r="S850" i="7" s="1"/>
  <c r="T1301" i="7"/>
  <c r="T1298" i="7" s="1"/>
  <c r="S1288" i="7"/>
  <c r="S1280" i="7"/>
  <c r="S1287" i="7"/>
  <c r="T1267" i="7"/>
  <c r="W894" i="7"/>
  <c r="W898" i="7" s="1"/>
  <c r="T855" i="7"/>
  <c r="T861" i="7" s="1"/>
  <c r="S864" i="7"/>
  <c r="S868" i="7" s="1"/>
  <c r="T825" i="7"/>
  <c r="S845" i="7"/>
  <c r="S816" i="7"/>
  <c r="S808" i="7"/>
  <c r="S820" i="7" s="1"/>
  <c r="Z446" i="7"/>
  <c r="Z450" i="7" s="1"/>
  <c r="X416" i="7"/>
  <c r="X420" i="7" s="1"/>
  <c r="T801" i="7"/>
  <c r="T1331" i="7"/>
  <c r="T1328" i="7" s="1"/>
  <c r="T1345" i="7" s="1"/>
  <c r="S1370" i="7"/>
  <c r="S1382" i="7" s="1"/>
  <c r="S1375" i="7"/>
  <c r="AE480" i="7"/>
  <c r="T859" i="7"/>
  <c r="T856" i="7" s="1"/>
  <c r="Y413" i="7"/>
  <c r="Y415" i="7"/>
  <c r="Z407" i="7" s="1"/>
  <c r="Z1222" i="7"/>
  <c r="X893" i="7"/>
  <c r="Y885" i="7" s="1"/>
  <c r="X891" i="7"/>
  <c r="AA748" i="7"/>
  <c r="AA749" i="7" s="1"/>
  <c r="AA754" i="7"/>
  <c r="AF467" i="7"/>
  <c r="AF473" i="7" s="1"/>
  <c r="Z766" i="7"/>
  <c r="T1357" i="7"/>
  <c r="S1377" i="7"/>
  <c r="AA1220" i="7"/>
  <c r="AA330" i="7"/>
  <c r="AA1242" i="7"/>
  <c r="AA1236" i="7"/>
  <c r="AA764" i="7"/>
  <c r="AA765" i="7" s="1"/>
  <c r="AA443" i="7"/>
  <c r="AA445" i="7"/>
  <c r="AB437" i="7" s="1"/>
  <c r="AA1252" i="7"/>
  <c r="AA1253" i="7" s="1"/>
  <c r="AA1258" i="7"/>
  <c r="Z1245" i="7"/>
  <c r="Z1238" i="7"/>
  <c r="Z1246" i="7" s="1"/>
  <c r="AA780" i="7"/>
  <c r="AA786" i="7"/>
  <c r="S517" i="7"/>
  <c r="S535" i="7"/>
  <c r="T531" i="7" s="1"/>
  <c r="S998" i="7"/>
  <c r="S1005" i="7" s="1"/>
  <c r="S1013" i="7"/>
  <c r="R549" i="7"/>
  <c r="S48" i="7"/>
  <c r="S49" i="7" s="1"/>
  <c r="R62" i="7"/>
  <c r="R95" i="7"/>
  <c r="R102" i="7" s="1"/>
  <c r="Q65" i="7"/>
  <c r="S111" i="7"/>
  <c r="S118" i="7" s="1"/>
  <c r="T597" i="7"/>
  <c r="T579" i="7"/>
  <c r="T564" i="7"/>
  <c r="T571" i="7" s="1"/>
  <c r="AF360" i="7"/>
  <c r="AF344" i="7"/>
  <c r="AE363" i="7"/>
  <c r="AE347" i="7"/>
  <c r="S1292" i="7" l="1"/>
  <c r="S1340" i="7"/>
  <c r="S1352" i="7" s="1"/>
  <c r="T1315" i="7"/>
  <c r="T1305" i="7"/>
  <c r="T1306" i="7" s="1"/>
  <c r="T1318" i="7" s="1"/>
  <c r="T1284" i="7"/>
  <c r="T1273" i="7"/>
  <c r="X894" i="7"/>
  <c r="X898" i="7" s="1"/>
  <c r="T842" i="7"/>
  <c r="T831" i="7"/>
  <c r="T829" i="7" s="1"/>
  <c r="T826" i="7" s="1"/>
  <c r="Y416" i="7"/>
  <c r="Y420" i="7" s="1"/>
  <c r="AA446" i="7"/>
  <c r="AA450" i="7" s="1"/>
  <c r="T799" i="7"/>
  <c r="T796" i="7" s="1"/>
  <c r="T813" i="7" s="1"/>
  <c r="T1335" i="7"/>
  <c r="T863" i="7"/>
  <c r="U855" i="7" s="1"/>
  <c r="U861" i="7" s="1"/>
  <c r="Z413" i="7"/>
  <c r="Z415" i="7"/>
  <c r="AA407" i="7" s="1"/>
  <c r="AA1261" i="7"/>
  <c r="AA1254" i="7"/>
  <c r="AA1262" i="7" s="1"/>
  <c r="AA781" i="7"/>
  <c r="AA788" i="7"/>
  <c r="AB778" i="7"/>
  <c r="AB762" i="7"/>
  <c r="T1363" i="7"/>
  <c r="T1374" i="7"/>
  <c r="AB443" i="7"/>
  <c r="AB445" i="7"/>
  <c r="AC437" i="7" s="1"/>
  <c r="AA766" i="7"/>
  <c r="AA331" i="7"/>
  <c r="AB328" i="7"/>
  <c r="AA757" i="7"/>
  <c r="AA750" i="7"/>
  <c r="AA758" i="7" s="1"/>
  <c r="AA1260" i="7"/>
  <c r="AB1250" i="7"/>
  <c r="AA1221" i="7"/>
  <c r="AB1218" i="7"/>
  <c r="AF475" i="7"/>
  <c r="AF476" i="7" s="1"/>
  <c r="Y893" i="7"/>
  <c r="Z885" i="7" s="1"/>
  <c r="Y891" i="7"/>
  <c r="AA1237" i="7"/>
  <c r="AA1244" i="7"/>
  <c r="AB1234" i="7"/>
  <c r="AB746" i="7"/>
  <c r="AA756" i="7"/>
  <c r="S518" i="7"/>
  <c r="S519" i="7"/>
  <c r="T515" i="7" s="1"/>
  <c r="S50" i="7"/>
  <c r="T46" i="7" s="1"/>
  <c r="R551" i="7"/>
  <c r="S547" i="7" s="1"/>
  <c r="R550" i="7"/>
  <c r="S999" i="7"/>
  <c r="S1000" i="7" s="1"/>
  <c r="S1014" i="7"/>
  <c r="S1021" i="7" s="1"/>
  <c r="S112" i="7"/>
  <c r="S113" i="7" s="1"/>
  <c r="R96" i="7"/>
  <c r="R97" i="7" s="1"/>
  <c r="S119" i="7"/>
  <c r="S120" i="7" s="1"/>
  <c r="R63" i="7"/>
  <c r="R70" i="7" s="1"/>
  <c r="R103" i="7"/>
  <c r="R104" i="7" s="1"/>
  <c r="T580" i="7"/>
  <c r="T587" i="7" s="1"/>
  <c r="T532" i="7"/>
  <c r="T539" i="7" s="1"/>
  <c r="T598" i="7"/>
  <c r="T599" i="7"/>
  <c r="T565" i="7"/>
  <c r="T566" i="7" s="1"/>
  <c r="AE348" i="7"/>
  <c r="AF346" i="7"/>
  <c r="AF347" i="7" s="1"/>
  <c r="AF362" i="7"/>
  <c r="AF363" i="7" s="1"/>
  <c r="AE364" i="7"/>
  <c r="U1327" i="7" l="1"/>
  <c r="U1344" i="7" s="1"/>
  <c r="T1336" i="7"/>
  <c r="T1310" i="7"/>
  <c r="T1322" i="7" s="1"/>
  <c r="U1298" i="7"/>
  <c r="U1297" i="7"/>
  <c r="T1317" i="7"/>
  <c r="T1271" i="7"/>
  <c r="T1268" i="7" s="1"/>
  <c r="T1275" i="7" s="1"/>
  <c r="T1276" i="7" s="1"/>
  <c r="T1288" i="7" s="1"/>
  <c r="Y894" i="7"/>
  <c r="Y898" i="7" s="1"/>
  <c r="T864" i="7"/>
  <c r="T868" i="7" s="1"/>
  <c r="T843" i="7"/>
  <c r="T833" i="7"/>
  <c r="T834" i="7" s="1"/>
  <c r="Z416" i="7"/>
  <c r="Z420" i="7" s="1"/>
  <c r="AB446" i="7"/>
  <c r="AB450" i="7" s="1"/>
  <c r="T803" i="7"/>
  <c r="U1328" i="7"/>
  <c r="U1345" i="7" s="1"/>
  <c r="T1347" i="7"/>
  <c r="U859" i="7"/>
  <c r="U856" i="7" s="1"/>
  <c r="U863" i="7" s="1"/>
  <c r="V855" i="7" s="1"/>
  <c r="AF480" i="7"/>
  <c r="AA413" i="7"/>
  <c r="AA415" i="7"/>
  <c r="AB407" i="7" s="1"/>
  <c r="AA1238" i="7"/>
  <c r="AA1246" i="7" s="1"/>
  <c r="AA1245" i="7"/>
  <c r="AA332" i="7"/>
  <c r="AB786" i="7"/>
  <c r="AB780" i="7"/>
  <c r="AB781" i="7" s="1"/>
  <c r="AA1222" i="7"/>
  <c r="AB1252" i="7"/>
  <c r="AB1258" i="7"/>
  <c r="AB330" i="7"/>
  <c r="U1333" i="7"/>
  <c r="AB764" i="7"/>
  <c r="AB765" i="7" s="1"/>
  <c r="AB1236" i="7"/>
  <c r="AB1242" i="7"/>
  <c r="Z893" i="7"/>
  <c r="AA885" i="7" s="1"/>
  <c r="Z891" i="7"/>
  <c r="AB1220" i="7"/>
  <c r="AA782" i="7"/>
  <c r="AA790" i="7" s="1"/>
  <c r="AA789" i="7"/>
  <c r="AB754" i="7"/>
  <c r="AB748" i="7"/>
  <c r="AB749" i="7" s="1"/>
  <c r="AG467" i="7"/>
  <c r="AG473" i="7" s="1"/>
  <c r="AC443" i="7"/>
  <c r="AC445" i="7"/>
  <c r="AD437" i="7" s="1"/>
  <c r="T1361" i="7"/>
  <c r="T1358" i="7" s="1"/>
  <c r="T516" i="7"/>
  <c r="T523" i="7" s="1"/>
  <c r="S1001" i="7"/>
  <c r="T997" i="7" s="1"/>
  <c r="S1015" i="7"/>
  <c r="S1016" i="7" s="1"/>
  <c r="S114" i="7"/>
  <c r="T110" i="7" s="1"/>
  <c r="T567" i="7"/>
  <c r="U563" i="7" s="1"/>
  <c r="R98" i="7"/>
  <c r="S94" i="7" s="1"/>
  <c r="T533" i="7"/>
  <c r="T534" i="7" s="1"/>
  <c r="R105" i="7"/>
  <c r="S100" i="7" s="1"/>
  <c r="T47" i="7"/>
  <c r="T54" i="7" s="1"/>
  <c r="R64" i="7"/>
  <c r="S121" i="7"/>
  <c r="T116" i="7" s="1"/>
  <c r="S548" i="7"/>
  <c r="S555" i="7" s="1"/>
  <c r="U595" i="7"/>
  <c r="T581" i="7"/>
  <c r="T582" i="7" s="1"/>
  <c r="AF348" i="7"/>
  <c r="AG360" i="7"/>
  <c r="AF364" i="7"/>
  <c r="AG344" i="7"/>
  <c r="Z894" i="7" l="1"/>
  <c r="Z898" i="7" s="1"/>
  <c r="T1348" i="7"/>
  <c r="T1340" i="7"/>
  <c r="T1352" i="7" s="1"/>
  <c r="U1315" i="7"/>
  <c r="U1303" i="7"/>
  <c r="U1314" i="7"/>
  <c r="U1305" i="7"/>
  <c r="T1285" i="7"/>
  <c r="T1280" i="7"/>
  <c r="U1268" i="7"/>
  <c r="T1287" i="7"/>
  <c r="U1267" i="7"/>
  <c r="U864" i="7"/>
  <c r="U868" i="7" s="1"/>
  <c r="T846" i="7"/>
  <c r="T838" i="7"/>
  <c r="T850" i="7" s="1"/>
  <c r="U826" i="7"/>
  <c r="T845" i="7"/>
  <c r="U825" i="7"/>
  <c r="U796" i="7"/>
  <c r="U813" i="7" s="1"/>
  <c r="T804" i="7"/>
  <c r="T815" i="7"/>
  <c r="AC446" i="7"/>
  <c r="AC450" i="7" s="1"/>
  <c r="AA416" i="7"/>
  <c r="AA420" i="7" s="1"/>
  <c r="U795" i="7"/>
  <c r="U801" i="7" s="1"/>
  <c r="U1335" i="7"/>
  <c r="V1327" i="7" s="1"/>
  <c r="U1331" i="7"/>
  <c r="AD443" i="7"/>
  <c r="AD445" i="7"/>
  <c r="AE437" i="7" s="1"/>
  <c r="AB413" i="7"/>
  <c r="AB415" i="7"/>
  <c r="AC407" i="7" s="1"/>
  <c r="AB757" i="7"/>
  <c r="AB750" i="7"/>
  <c r="AB758" i="7" s="1"/>
  <c r="AB1237" i="7"/>
  <c r="AB1244" i="7"/>
  <c r="AC1234" i="7"/>
  <c r="AC762" i="7"/>
  <c r="T1365" i="7"/>
  <c r="T1366" i="7" s="1"/>
  <c r="T1378" i="7" s="1"/>
  <c r="T1375" i="7"/>
  <c r="V861" i="7"/>
  <c r="AG475" i="7"/>
  <c r="AG476" i="7" s="1"/>
  <c r="AB1221" i="7"/>
  <c r="AC1218" i="7"/>
  <c r="AB766" i="7"/>
  <c r="AC778" i="7"/>
  <c r="AB788" i="7"/>
  <c r="AA893" i="7"/>
  <c r="AB885" i="7" s="1"/>
  <c r="AA891" i="7"/>
  <c r="AB331" i="7"/>
  <c r="AC328" i="7"/>
  <c r="AB789" i="7"/>
  <c r="AB782" i="7"/>
  <c r="AB790" i="7" s="1"/>
  <c r="AB756" i="7"/>
  <c r="AC746" i="7"/>
  <c r="AB1253" i="7"/>
  <c r="AB1260" i="7"/>
  <c r="AC1250" i="7"/>
  <c r="T517" i="7"/>
  <c r="T535" i="7"/>
  <c r="U531" i="7" s="1"/>
  <c r="S1017" i="7"/>
  <c r="T1013" i="7" s="1"/>
  <c r="T998" i="7"/>
  <c r="T1005" i="7" s="1"/>
  <c r="T48" i="7"/>
  <c r="T49" i="7" s="1"/>
  <c r="S123" i="7"/>
  <c r="R65" i="7"/>
  <c r="R66" i="7"/>
  <c r="R107" i="7"/>
  <c r="T111" i="7"/>
  <c r="T118" i="7" s="1"/>
  <c r="S95" i="7"/>
  <c r="S102" i="7" s="1"/>
  <c r="S103" i="7" s="1"/>
  <c r="S104" i="7" s="1"/>
  <c r="U564" i="7"/>
  <c r="U571" i="7" s="1"/>
  <c r="U596" i="7"/>
  <c r="U603" i="7" s="1"/>
  <c r="T583" i="7"/>
  <c r="S549" i="7"/>
  <c r="AG346" i="7"/>
  <c r="AG347" i="7" s="1"/>
  <c r="AG362" i="7"/>
  <c r="T1292" i="7" l="1"/>
  <c r="AA894" i="7"/>
  <c r="AA898" i="7" s="1"/>
  <c r="T1370" i="7"/>
  <c r="T1382" i="7" s="1"/>
  <c r="U1336" i="7"/>
  <c r="U1348" i="7" s="1"/>
  <c r="U1317" i="7"/>
  <c r="V1297" i="7"/>
  <c r="U1301" i="7"/>
  <c r="U1306" i="7"/>
  <c r="U1285" i="7"/>
  <c r="U1275" i="7"/>
  <c r="U1273" i="7"/>
  <c r="U1284" i="7"/>
  <c r="U843" i="7"/>
  <c r="U831" i="7"/>
  <c r="U834" i="7" s="1"/>
  <c r="U846" i="7" s="1"/>
  <c r="U833" i="7"/>
  <c r="U842" i="7"/>
  <c r="T816" i="7"/>
  <c r="T808" i="7"/>
  <c r="T820" i="7" s="1"/>
  <c r="AB416" i="7"/>
  <c r="AB420" i="7" s="1"/>
  <c r="AD446" i="7"/>
  <c r="AD450" i="7" s="1"/>
  <c r="U812" i="7"/>
  <c r="U799" i="7"/>
  <c r="U803" i="7"/>
  <c r="U815" i="7" s="1"/>
  <c r="U1347" i="7"/>
  <c r="AG480" i="7"/>
  <c r="AE443" i="7"/>
  <c r="AE445" i="7"/>
  <c r="AF437" i="7" s="1"/>
  <c r="AC413" i="7"/>
  <c r="AC415" i="7"/>
  <c r="AD407" i="7" s="1"/>
  <c r="AB332" i="7"/>
  <c r="AC780" i="7"/>
  <c r="AC781" i="7" s="1"/>
  <c r="AC786" i="7"/>
  <c r="U1358" i="7"/>
  <c r="U1357" i="7"/>
  <c r="T1377" i="7"/>
  <c r="AC764" i="7"/>
  <c r="V859" i="7"/>
  <c r="V856" i="7" s="1"/>
  <c r="AB1261" i="7"/>
  <c r="AB1254" i="7"/>
  <c r="AB1262" i="7" s="1"/>
  <c r="AC754" i="7"/>
  <c r="AC748" i="7"/>
  <c r="AC1220" i="7"/>
  <c r="AC1221" i="7" s="1"/>
  <c r="AB1238" i="7"/>
  <c r="AB1246" i="7" s="1"/>
  <c r="AB1245" i="7"/>
  <c r="AC330" i="7"/>
  <c r="AB893" i="7"/>
  <c r="AC885" i="7" s="1"/>
  <c r="AB891" i="7"/>
  <c r="AH467" i="7"/>
  <c r="AH473" i="7" s="1"/>
  <c r="AC1258" i="7"/>
  <c r="AC1252" i="7"/>
  <c r="AB1222" i="7"/>
  <c r="V1335" i="7"/>
  <c r="V1344" i="7"/>
  <c r="V1333" i="7"/>
  <c r="AC1236" i="7"/>
  <c r="AC1237" i="7" s="1"/>
  <c r="AC1242" i="7"/>
  <c r="T519" i="7"/>
  <c r="U515" i="7" s="1"/>
  <c r="U516" i="7" s="1"/>
  <c r="U523" i="7" s="1"/>
  <c r="T518" i="7"/>
  <c r="T999" i="7"/>
  <c r="T1000" i="7" s="1"/>
  <c r="U597" i="7"/>
  <c r="U598" i="7" s="1"/>
  <c r="T1014" i="7"/>
  <c r="T1021" i="7" s="1"/>
  <c r="T50" i="7"/>
  <c r="U46" i="7" s="1"/>
  <c r="U565" i="7"/>
  <c r="U566" i="7" s="1"/>
  <c r="S96" i="7"/>
  <c r="S97" i="7" s="1"/>
  <c r="T119" i="7"/>
  <c r="T120" i="7" s="1"/>
  <c r="S105" i="7"/>
  <c r="T100" i="7" s="1"/>
  <c r="S62" i="7"/>
  <c r="T112" i="7"/>
  <c r="T113" i="7" s="1"/>
  <c r="S550" i="7"/>
  <c r="S551" i="7"/>
  <c r="U532" i="7"/>
  <c r="U539" i="7" s="1"/>
  <c r="U579" i="7"/>
  <c r="AH360" i="7"/>
  <c r="AG348" i="7"/>
  <c r="AH344" i="7"/>
  <c r="AG363" i="7"/>
  <c r="U1340" i="7" l="1"/>
  <c r="U1352" i="7" s="1"/>
  <c r="U1276" i="7"/>
  <c r="U1288" i="7" s="1"/>
  <c r="AB894" i="7"/>
  <c r="AB898" i="7" s="1"/>
  <c r="V1336" i="7"/>
  <c r="V1348" i="7" s="1"/>
  <c r="V1303" i="7"/>
  <c r="V1305" i="7"/>
  <c r="V1314" i="7"/>
  <c r="U1318" i="7"/>
  <c r="U1310" i="7"/>
  <c r="U1322" i="7" s="1"/>
  <c r="U1271" i="7"/>
  <c r="U1287" i="7"/>
  <c r="V1267" i="7"/>
  <c r="U829" i="7"/>
  <c r="U838" i="7"/>
  <c r="U850" i="7" s="1"/>
  <c r="U845" i="7"/>
  <c r="V825" i="7"/>
  <c r="U804" i="7"/>
  <c r="AC416" i="7"/>
  <c r="AC420" i="7" s="1"/>
  <c r="AE446" i="7"/>
  <c r="AE450" i="7" s="1"/>
  <c r="V795" i="7"/>
  <c r="AF445" i="7"/>
  <c r="AG437" i="7" s="1"/>
  <c r="AF443" i="7"/>
  <c r="AD413" i="7"/>
  <c r="AD415" i="7"/>
  <c r="AE407" i="7" s="1"/>
  <c r="AC789" i="7"/>
  <c r="AC782" i="7"/>
  <c r="AC790" i="7" s="1"/>
  <c r="AC1222" i="7"/>
  <c r="AC1244" i="7"/>
  <c r="AD1234" i="7"/>
  <c r="AH475" i="7"/>
  <c r="AC331" i="7"/>
  <c r="AD328" i="7"/>
  <c r="V1347" i="7"/>
  <c r="W1327" i="7"/>
  <c r="AD1250" i="7"/>
  <c r="AC1260" i="7"/>
  <c r="AD746" i="7"/>
  <c r="AC756" i="7"/>
  <c r="V863" i="7"/>
  <c r="AD762" i="7"/>
  <c r="U1375" i="7"/>
  <c r="AC1245" i="7"/>
  <c r="AC1238" i="7"/>
  <c r="AC1246" i="7" s="1"/>
  <c r="AC893" i="7"/>
  <c r="AD885" i="7" s="1"/>
  <c r="AC891" i="7"/>
  <c r="AD1218" i="7"/>
  <c r="U1365" i="7"/>
  <c r="U1374" i="7"/>
  <c r="U1363" i="7"/>
  <c r="AD778" i="7"/>
  <c r="AC788" i="7"/>
  <c r="AC1253" i="7"/>
  <c r="AC749" i="7"/>
  <c r="AC765" i="7"/>
  <c r="U517" i="7"/>
  <c r="U567" i="7"/>
  <c r="V563" i="7" s="1"/>
  <c r="V564" i="7" s="1"/>
  <c r="V571" i="7" s="1"/>
  <c r="U599" i="7"/>
  <c r="V595" i="7" s="1"/>
  <c r="V596" i="7" s="1"/>
  <c r="V603" i="7" s="1"/>
  <c r="T1001" i="7"/>
  <c r="T1015" i="7"/>
  <c r="T121" i="7"/>
  <c r="U116" i="7" s="1"/>
  <c r="T114" i="7"/>
  <c r="U47" i="7"/>
  <c r="U54" i="7" s="1"/>
  <c r="S63" i="7"/>
  <c r="S70" i="7" s="1"/>
  <c r="S98" i="7"/>
  <c r="T547" i="7"/>
  <c r="U580" i="7"/>
  <c r="U587" i="7" s="1"/>
  <c r="U533" i="7"/>
  <c r="U534" i="7" s="1"/>
  <c r="AG364" i="7"/>
  <c r="AH362" i="7"/>
  <c r="AH346" i="7"/>
  <c r="V1340" i="7" l="1"/>
  <c r="V1352" i="7" s="1"/>
  <c r="U1280" i="7"/>
  <c r="U1366" i="7"/>
  <c r="U1378" i="7" s="1"/>
  <c r="V1306" i="7"/>
  <c r="V1310" i="7" s="1"/>
  <c r="V1322" i="7" s="1"/>
  <c r="W1297" i="7"/>
  <c r="V1317" i="7"/>
  <c r="V1273" i="7"/>
  <c r="V1275" i="7"/>
  <c r="V1284" i="7"/>
  <c r="AC894" i="7"/>
  <c r="AC898" i="7" s="1"/>
  <c r="W855" i="7"/>
  <c r="V864" i="7"/>
  <c r="V868" i="7" s="1"/>
  <c r="V842" i="7"/>
  <c r="V831" i="7"/>
  <c r="V834" i="7" s="1"/>
  <c r="V833" i="7"/>
  <c r="U816" i="7"/>
  <c r="U808" i="7"/>
  <c r="U820" i="7" s="1"/>
  <c r="AD416" i="7"/>
  <c r="AD420" i="7" s="1"/>
  <c r="AF446" i="7"/>
  <c r="AF450" i="7" s="1"/>
  <c r="V803" i="7"/>
  <c r="V801" i="7"/>
  <c r="V812" i="7"/>
  <c r="AG445" i="7"/>
  <c r="AH437" i="7" s="1"/>
  <c r="AG443" i="7"/>
  <c r="AE413" i="7"/>
  <c r="AE415" i="7"/>
  <c r="AF407" i="7" s="1"/>
  <c r="AC750" i="7"/>
  <c r="AC758" i="7" s="1"/>
  <c r="AC757" i="7"/>
  <c r="AD1220" i="7"/>
  <c r="AD1221" i="7" s="1"/>
  <c r="W1344" i="7"/>
  <c r="W1333" i="7"/>
  <c r="W1335" i="7"/>
  <c r="AC1261" i="7"/>
  <c r="AC1254" i="7"/>
  <c r="AC1262" i="7" s="1"/>
  <c r="W861" i="7"/>
  <c r="AD1258" i="7"/>
  <c r="AD1252" i="7"/>
  <c r="AD1253" i="7" s="1"/>
  <c r="AD1242" i="7"/>
  <c r="AD1236" i="7"/>
  <c r="U1361" i="7"/>
  <c r="AC766" i="7"/>
  <c r="AD786" i="7"/>
  <c r="AD780" i="7"/>
  <c r="U1377" i="7"/>
  <c r="V1357" i="7"/>
  <c r="AD893" i="7"/>
  <c r="AE885" i="7" s="1"/>
  <c r="AD891" i="7"/>
  <c r="AD764" i="7"/>
  <c r="AD754" i="7"/>
  <c r="AD748" i="7"/>
  <c r="AC332" i="7"/>
  <c r="AH476" i="7"/>
  <c r="AD330" i="7"/>
  <c r="AD331" i="7" s="1"/>
  <c r="U997" i="7"/>
  <c r="T1016" i="7"/>
  <c r="T1017" i="7"/>
  <c r="V565" i="7"/>
  <c r="V566" i="7" s="1"/>
  <c r="S64" i="7"/>
  <c r="S65" i="7" s="1"/>
  <c r="U48" i="7"/>
  <c r="U49" i="7" s="1"/>
  <c r="T123" i="7"/>
  <c r="U110" i="7"/>
  <c r="V597" i="7"/>
  <c r="V598" i="7" s="1"/>
  <c r="S107" i="7"/>
  <c r="T94" i="7"/>
  <c r="T548" i="7"/>
  <c r="T555" i="7" s="1"/>
  <c r="U581" i="7"/>
  <c r="U535" i="7"/>
  <c r="U518" i="7"/>
  <c r="U519" i="7"/>
  <c r="AH347" i="7"/>
  <c r="AH348" i="7" s="1"/>
  <c r="AH363" i="7"/>
  <c r="U1292" i="7" l="1"/>
  <c r="U1370" i="7"/>
  <c r="U1382" i="7" s="1"/>
  <c r="AD894" i="7"/>
  <c r="AD898" i="7" s="1"/>
  <c r="V804" i="7"/>
  <c r="V816" i="7" s="1"/>
  <c r="W1336" i="7"/>
  <c r="W1348" i="7" s="1"/>
  <c r="V1318" i="7"/>
  <c r="W1303" i="7"/>
  <c r="W1314" i="7"/>
  <c r="W1305" i="7"/>
  <c r="V1276" i="7"/>
  <c r="V1280" i="7" s="1"/>
  <c r="V1287" i="7"/>
  <c r="W1267" i="7"/>
  <c r="V846" i="7"/>
  <c r="V838" i="7"/>
  <c r="V850" i="7" s="1"/>
  <c r="W825" i="7"/>
  <c r="V845" i="7"/>
  <c r="AG446" i="7"/>
  <c r="AG450" i="7" s="1"/>
  <c r="AE416" i="7"/>
  <c r="AE420" i="7" s="1"/>
  <c r="V815" i="7"/>
  <c r="W795" i="7"/>
  <c r="AH445" i="7"/>
  <c r="AH443" i="7"/>
  <c r="AF413" i="7"/>
  <c r="AF415" i="7"/>
  <c r="AG407" i="7" s="1"/>
  <c r="W859" i="7"/>
  <c r="W856" i="7" s="1"/>
  <c r="V1363" i="7"/>
  <c r="V1365" i="7"/>
  <c r="V1374" i="7"/>
  <c r="AD1254" i="7"/>
  <c r="AD1262" i="7" s="1"/>
  <c r="AD1261" i="7"/>
  <c r="AD1222" i="7"/>
  <c r="AD332" i="7"/>
  <c r="AD765" i="7"/>
  <c r="AE762" i="7"/>
  <c r="AH480" i="7"/>
  <c r="AE893" i="7"/>
  <c r="AF885" i="7" s="1"/>
  <c r="AE891" i="7"/>
  <c r="AE778" i="7"/>
  <c r="AD788" i="7"/>
  <c r="AD1237" i="7"/>
  <c r="AD1244" i="7"/>
  <c r="AE1234" i="7"/>
  <c r="AE328" i="7"/>
  <c r="AD749" i="7"/>
  <c r="AE746" i="7"/>
  <c r="AD756" i="7"/>
  <c r="AE1250" i="7"/>
  <c r="AD1260" i="7"/>
  <c r="X1327" i="7"/>
  <c r="W1347" i="7"/>
  <c r="AE1218" i="7"/>
  <c r="AD781" i="7"/>
  <c r="U998" i="7"/>
  <c r="U1005" i="7" s="1"/>
  <c r="U1013" i="7"/>
  <c r="V567" i="7"/>
  <c r="W563" i="7" s="1"/>
  <c r="S66" i="7"/>
  <c r="T62" i="7" s="1"/>
  <c r="U50" i="7"/>
  <c r="V46" i="7" s="1"/>
  <c r="T95" i="7"/>
  <c r="T102" i="7" s="1"/>
  <c r="T549" i="7"/>
  <c r="U111" i="7"/>
  <c r="U118" i="7" s="1"/>
  <c r="V599" i="7"/>
  <c r="W595" i="7" s="1"/>
  <c r="U582" i="7"/>
  <c r="U583" i="7"/>
  <c r="V531" i="7"/>
  <c r="V515" i="7"/>
  <c r="AH364" i="7"/>
  <c r="V1292" i="7" l="1"/>
  <c r="V1366" i="7"/>
  <c r="V1378" i="7" s="1"/>
  <c r="W1340" i="7"/>
  <c r="W1352" i="7" s="1"/>
  <c r="W1306" i="7"/>
  <c r="W1318" i="7" s="1"/>
  <c r="AE894" i="7"/>
  <c r="AE898" i="7" s="1"/>
  <c r="V808" i="7"/>
  <c r="V820" i="7" s="1"/>
  <c r="X1297" i="7"/>
  <c r="W1317" i="7"/>
  <c r="V1288" i="7"/>
  <c r="W1275" i="7"/>
  <c r="W1273" i="7"/>
  <c r="W1284" i="7"/>
  <c r="W833" i="7"/>
  <c r="W842" i="7"/>
  <c r="W831" i="7"/>
  <c r="AH446" i="7"/>
  <c r="AH450" i="7" s="1"/>
  <c r="AF416" i="7"/>
  <c r="AF420" i="7" s="1"/>
  <c r="W803" i="7"/>
  <c r="W812" i="7"/>
  <c r="W801" i="7"/>
  <c r="W863" i="7"/>
  <c r="AG415" i="7"/>
  <c r="AH407" i="7" s="1"/>
  <c r="AG413" i="7"/>
  <c r="AE330" i="7"/>
  <c r="AD766" i="7"/>
  <c r="AD789" i="7"/>
  <c r="AD782" i="7"/>
  <c r="AD790" i="7" s="1"/>
  <c r="X1333" i="7"/>
  <c r="X1344" i="7"/>
  <c r="X1335" i="7"/>
  <c r="AE748" i="7"/>
  <c r="AE754" i="7"/>
  <c r="AD1245" i="7"/>
  <c r="AD1238" i="7"/>
  <c r="AD1246" i="7" s="1"/>
  <c r="AF893" i="7"/>
  <c r="AG885" i="7" s="1"/>
  <c r="AF891" i="7"/>
  <c r="W1357" i="7"/>
  <c r="V1377" i="7"/>
  <c r="AE1258" i="7"/>
  <c r="AE1252" i="7"/>
  <c r="AE1253" i="7" s="1"/>
  <c r="AE1242" i="7"/>
  <c r="AE1236" i="7"/>
  <c r="AE780" i="7"/>
  <c r="AE786" i="7"/>
  <c r="AE1220" i="7"/>
  <c r="AE1221" i="7" s="1"/>
  <c r="AD757" i="7"/>
  <c r="AD750" i="7"/>
  <c r="AD758" i="7" s="1"/>
  <c r="AE764" i="7"/>
  <c r="AE765" i="7" s="1"/>
  <c r="V516" i="7"/>
  <c r="V523" i="7" s="1"/>
  <c r="T550" i="7"/>
  <c r="U999" i="7"/>
  <c r="U1000" i="7" s="1"/>
  <c r="U1014" i="7"/>
  <c r="U1021" i="7" s="1"/>
  <c r="T551" i="7"/>
  <c r="U547" i="7" s="1"/>
  <c r="U548" i="7" s="1"/>
  <c r="U555" i="7" s="1"/>
  <c r="U112" i="7"/>
  <c r="U113" i="7" s="1"/>
  <c r="V47" i="7"/>
  <c r="V54" i="7" s="1"/>
  <c r="T96" i="7"/>
  <c r="U119" i="7"/>
  <c r="U120" i="7" s="1"/>
  <c r="T63" i="7"/>
  <c r="T70" i="7" s="1"/>
  <c r="T103" i="7"/>
  <c r="T104" i="7" s="1"/>
  <c r="V579" i="7"/>
  <c r="W564" i="7"/>
  <c r="W571" i="7" s="1"/>
  <c r="V532" i="7"/>
  <c r="V539" i="7" s="1"/>
  <c r="W596" i="7"/>
  <c r="W603" i="7" s="1"/>
  <c r="V1370" i="7" l="1"/>
  <c r="W1276" i="7"/>
  <c r="W1280" i="7" s="1"/>
  <c r="W1310" i="7"/>
  <c r="W1322" i="7" s="1"/>
  <c r="W834" i="7"/>
  <c r="W846" i="7" s="1"/>
  <c r="W804" i="7"/>
  <c r="W808" i="7" s="1"/>
  <c r="W820" i="7" s="1"/>
  <c r="X1336" i="7"/>
  <c r="X1348" i="7" s="1"/>
  <c r="X1303" i="7"/>
  <c r="X1314" i="7"/>
  <c r="X1305" i="7"/>
  <c r="W1287" i="7"/>
  <c r="X1267" i="7"/>
  <c r="AF894" i="7"/>
  <c r="AF898" i="7" s="1"/>
  <c r="X855" i="7"/>
  <c r="X861" i="7" s="1"/>
  <c r="W864" i="7"/>
  <c r="W868" i="7" s="1"/>
  <c r="W845" i="7"/>
  <c r="X825" i="7"/>
  <c r="AG416" i="7"/>
  <c r="AG420" i="7" s="1"/>
  <c r="X795" i="7"/>
  <c r="W815" i="7"/>
  <c r="AH413" i="7"/>
  <c r="AH415" i="7"/>
  <c r="W1365" i="7"/>
  <c r="W1374" i="7"/>
  <c r="W1363" i="7"/>
  <c r="AF762" i="7"/>
  <c r="AF1218" i="7"/>
  <c r="AF1250" i="7"/>
  <c r="AE1260" i="7"/>
  <c r="X1347" i="7"/>
  <c r="Y1327" i="7"/>
  <c r="X859" i="7"/>
  <c r="X856" i="7" s="1"/>
  <c r="AE331" i="7"/>
  <c r="AF328" i="7"/>
  <c r="AE766" i="7"/>
  <c r="AE1237" i="7"/>
  <c r="AF1234" i="7"/>
  <c r="AE1244" i="7"/>
  <c r="AG893" i="7"/>
  <c r="AH885" i="7" s="1"/>
  <c r="AG891" i="7"/>
  <c r="AE1222" i="7"/>
  <c r="AE1254" i="7"/>
  <c r="AE1262" i="7" s="1"/>
  <c r="AE1261" i="7"/>
  <c r="AF746" i="7"/>
  <c r="AE756" i="7"/>
  <c r="AE781" i="7"/>
  <c r="AE788" i="7"/>
  <c r="AF778" i="7"/>
  <c r="AE749" i="7"/>
  <c r="V517" i="7"/>
  <c r="U1001" i="7"/>
  <c r="V997" i="7" s="1"/>
  <c r="V998" i="7" s="1"/>
  <c r="V1005" i="7" s="1"/>
  <c r="U114" i="7"/>
  <c r="V110" i="7" s="1"/>
  <c r="U1015" i="7"/>
  <c r="U1016" i="7" s="1"/>
  <c r="T64" i="7"/>
  <c r="T65" i="7" s="1"/>
  <c r="U121" i="7"/>
  <c r="V116" i="7" s="1"/>
  <c r="V48" i="7"/>
  <c r="V49" i="7" s="1"/>
  <c r="T105" i="7"/>
  <c r="U100" i="7" s="1"/>
  <c r="T97" i="7"/>
  <c r="T98" i="7"/>
  <c r="V580" i="7"/>
  <c r="V587" i="7" s="1"/>
  <c r="W565" i="7"/>
  <c r="W566" i="7" s="1"/>
  <c r="W597" i="7"/>
  <c r="W598" i="7" s="1"/>
  <c r="V533" i="7"/>
  <c r="U549" i="7"/>
  <c r="W1292" i="7" l="1"/>
  <c r="V1382" i="7"/>
  <c r="X1340" i="7"/>
  <c r="X1352" i="7" s="1"/>
  <c r="W1288" i="7"/>
  <c r="W838" i="7"/>
  <c r="W850" i="7" s="1"/>
  <c r="W816" i="7"/>
  <c r="W1366" i="7"/>
  <c r="W1370" i="7" s="1"/>
  <c r="W1382" i="7" s="1"/>
  <c r="X1306" i="7"/>
  <c r="X1310" i="7" s="1"/>
  <c r="X1322" i="7" s="1"/>
  <c r="X1317" i="7"/>
  <c r="Y1297" i="7"/>
  <c r="X1284" i="7"/>
  <c r="X1273" i="7"/>
  <c r="X1275" i="7"/>
  <c r="AG894" i="7"/>
  <c r="AG898" i="7" s="1"/>
  <c r="X833" i="7"/>
  <c r="X831" i="7"/>
  <c r="X842" i="7"/>
  <c r="AH416" i="7"/>
  <c r="AH420" i="7" s="1"/>
  <c r="X812" i="7"/>
  <c r="X803" i="7"/>
  <c r="X801" i="7"/>
  <c r="AE750" i="7"/>
  <c r="AE758" i="7" s="1"/>
  <c r="AE757" i="7"/>
  <c r="AE782" i="7"/>
  <c r="AE790" i="7" s="1"/>
  <c r="AE789" i="7"/>
  <c r="AF748" i="7"/>
  <c r="AF749" i="7" s="1"/>
  <c r="AF754" i="7"/>
  <c r="AH893" i="7"/>
  <c r="AH891" i="7"/>
  <c r="AE332" i="7"/>
  <c r="AF1252" i="7"/>
  <c r="AF1258" i="7"/>
  <c r="AF1220" i="7"/>
  <c r="AF1221" i="7" s="1"/>
  <c r="AF780" i="7"/>
  <c r="AF786" i="7"/>
  <c r="AF1242" i="7"/>
  <c r="AF1236" i="7"/>
  <c r="AF1237" i="7" s="1"/>
  <c r="Y1333" i="7"/>
  <c r="Y1335" i="7"/>
  <c r="Y1344" i="7"/>
  <c r="AF764" i="7"/>
  <c r="AE1245" i="7"/>
  <c r="AE1238" i="7"/>
  <c r="AE1246" i="7" s="1"/>
  <c r="AF330" i="7"/>
  <c r="AF331" i="7" s="1"/>
  <c r="X863" i="7"/>
  <c r="Y855" i="7" s="1"/>
  <c r="X1357" i="7"/>
  <c r="W1377" i="7"/>
  <c r="V50" i="7"/>
  <c r="W46" i="7" s="1"/>
  <c r="V519" i="7"/>
  <c r="U1017" i="7"/>
  <c r="V1013" i="7" s="1"/>
  <c r="V999" i="7"/>
  <c r="V1000" i="7" s="1"/>
  <c r="T66" i="7"/>
  <c r="U62" i="7" s="1"/>
  <c r="U63" i="7" s="1"/>
  <c r="U70" i="7" s="1"/>
  <c r="W567" i="7"/>
  <c r="X563" i="7" s="1"/>
  <c r="U123" i="7"/>
  <c r="T107" i="7"/>
  <c r="U94" i="7"/>
  <c r="V111" i="7"/>
  <c r="V118" i="7" s="1"/>
  <c r="W599" i="7"/>
  <c r="X595" i="7" s="1"/>
  <c r="U550" i="7"/>
  <c r="U551" i="7"/>
  <c r="V581" i="7"/>
  <c r="V582" i="7" s="1"/>
  <c r="V534" i="7"/>
  <c r="V535" i="7"/>
  <c r="V518" i="7"/>
  <c r="W1378" i="7" l="1"/>
  <c r="Y1336" i="7"/>
  <c r="Y1340" i="7" s="1"/>
  <c r="Y1352" i="7" s="1"/>
  <c r="X1318" i="7"/>
  <c r="X1276" i="7"/>
  <c r="X1280" i="7" s="1"/>
  <c r="AH894" i="7"/>
  <c r="AH898" i="7" s="1"/>
  <c r="X834" i="7"/>
  <c r="X838" i="7" s="1"/>
  <c r="X850" i="7" s="1"/>
  <c r="X804" i="7"/>
  <c r="X808" i="7" s="1"/>
  <c r="X820" i="7" s="1"/>
  <c r="Y1303" i="7"/>
  <c r="Y1305" i="7"/>
  <c r="Y1314" i="7"/>
  <c r="X1287" i="7"/>
  <c r="Y1267" i="7"/>
  <c r="X864" i="7"/>
  <c r="X868" i="7" s="1"/>
  <c r="X845" i="7"/>
  <c r="Y825" i="7"/>
  <c r="X815" i="7"/>
  <c r="Y795" i="7"/>
  <c r="AF1222" i="7"/>
  <c r="AF332" i="7"/>
  <c r="X1365" i="7"/>
  <c r="X1363" i="7"/>
  <c r="X1374" i="7"/>
  <c r="AG328" i="7"/>
  <c r="AF1244" i="7"/>
  <c r="AG1234" i="7"/>
  <c r="AF788" i="7"/>
  <c r="AG778" i="7"/>
  <c r="AF756" i="7"/>
  <c r="AG746" i="7"/>
  <c r="AF1260" i="7"/>
  <c r="AG1250" i="7"/>
  <c r="Y861" i="7"/>
  <c r="AF765" i="7"/>
  <c r="AG762" i="7"/>
  <c r="AF750" i="7"/>
  <c r="AF758" i="7" s="1"/>
  <c r="AF757" i="7"/>
  <c r="AF781" i="7"/>
  <c r="AF1238" i="7"/>
  <c r="AF1246" i="7" s="1"/>
  <c r="AF1245" i="7"/>
  <c r="AG1218" i="7"/>
  <c r="Z1327" i="7"/>
  <c r="Y1347" i="7"/>
  <c r="AF1253" i="7"/>
  <c r="W515" i="7"/>
  <c r="V1001" i="7"/>
  <c r="W997" i="7" s="1"/>
  <c r="V1014" i="7"/>
  <c r="V1021" i="7" s="1"/>
  <c r="U64" i="7"/>
  <c r="U65" i="7" s="1"/>
  <c r="U95" i="7"/>
  <c r="U102" i="7" s="1"/>
  <c r="V112" i="7"/>
  <c r="V119" i="7"/>
  <c r="V120" i="7" s="1"/>
  <c r="W47" i="7"/>
  <c r="W54" i="7" s="1"/>
  <c r="V583" i="7"/>
  <c r="W579" i="7" s="1"/>
  <c r="X564" i="7"/>
  <c r="X571" i="7" s="1"/>
  <c r="X596" i="7"/>
  <c r="X603" i="7" s="1"/>
  <c r="V547" i="7"/>
  <c r="W531" i="7"/>
  <c r="X1292" i="7" l="1"/>
  <c r="Y1348" i="7"/>
  <c r="X1288" i="7"/>
  <c r="X846" i="7"/>
  <c r="X816" i="7"/>
  <c r="X1366" i="7"/>
  <c r="X1370" i="7" s="1"/>
  <c r="X1382" i="7" s="1"/>
  <c r="Y1306" i="7"/>
  <c r="Y1310" i="7" s="1"/>
  <c r="Y1322" i="7" s="1"/>
  <c r="Y1317" i="7"/>
  <c r="Z1297" i="7"/>
  <c r="Y1273" i="7"/>
  <c r="Y1275" i="7"/>
  <c r="Y1284" i="7"/>
  <c r="Y831" i="7"/>
  <c r="Y833" i="7"/>
  <c r="Y842" i="7"/>
  <c r="Y801" i="7"/>
  <c r="Y812" i="7"/>
  <c r="Y803" i="7"/>
  <c r="AF789" i="7"/>
  <c r="AF782" i="7"/>
  <c r="AF790" i="7" s="1"/>
  <c r="Z1344" i="7"/>
  <c r="Z1333" i="7"/>
  <c r="Z1335" i="7"/>
  <c r="AG1258" i="7"/>
  <c r="AG1252" i="7"/>
  <c r="AG786" i="7"/>
  <c r="AG780" i="7"/>
  <c r="X1377" i="7"/>
  <c r="Y1357" i="7"/>
  <c r="AF1261" i="7"/>
  <c r="AF1254" i="7"/>
  <c r="AF1262" i="7" s="1"/>
  <c r="AF766" i="7"/>
  <c r="AG748" i="7"/>
  <c r="AG754" i="7"/>
  <c r="AG1236" i="7"/>
  <c r="AG1242" i="7"/>
  <c r="AG330" i="7"/>
  <c r="AG331" i="7" s="1"/>
  <c r="Y859" i="7"/>
  <c r="Y856" i="7" s="1"/>
  <c r="AG1220" i="7"/>
  <c r="AG764" i="7"/>
  <c r="W516" i="7"/>
  <c r="W523" i="7" s="1"/>
  <c r="W998" i="7"/>
  <c r="W1005" i="7" s="1"/>
  <c r="V1015" i="7"/>
  <c r="V1016" i="7" s="1"/>
  <c r="U96" i="7"/>
  <c r="U97" i="7" s="1"/>
  <c r="U66" i="7"/>
  <c r="V121" i="7"/>
  <c r="W116" i="7" s="1"/>
  <c r="V113" i="7"/>
  <c r="V114" i="7"/>
  <c r="U103" i="7"/>
  <c r="U104" i="7" s="1"/>
  <c r="W48" i="7"/>
  <c r="W49" i="7" s="1"/>
  <c r="X565" i="7"/>
  <c r="X566" i="7" s="1"/>
  <c r="W532" i="7"/>
  <c r="W539" i="7" s="1"/>
  <c r="W580" i="7"/>
  <c r="W587" i="7" s="1"/>
  <c r="X597" i="7"/>
  <c r="X598" i="7" s="1"/>
  <c r="V548" i="7"/>
  <c r="V555" i="7" s="1"/>
  <c r="X1378" i="7" l="1"/>
  <c r="Y1318" i="7"/>
  <c r="Y804" i="7"/>
  <c r="Y808" i="7" s="1"/>
  <c r="Y820" i="7" s="1"/>
  <c r="Z1336" i="7"/>
  <c r="Z1348" i="7" s="1"/>
  <c r="Z1303" i="7"/>
  <c r="Z1305" i="7"/>
  <c r="Z1314" i="7"/>
  <c r="Y1276" i="7"/>
  <c r="Y1288" i="7" s="1"/>
  <c r="Z1267" i="7"/>
  <c r="Y1287" i="7"/>
  <c r="Y834" i="7"/>
  <c r="Y838" i="7" s="1"/>
  <c r="Y850" i="7" s="1"/>
  <c r="Z825" i="7"/>
  <c r="Y845" i="7"/>
  <c r="Z795" i="7"/>
  <c r="Y815" i="7"/>
  <c r="AG332" i="7"/>
  <c r="Y863" i="7"/>
  <c r="AG1237" i="7"/>
  <c r="AH1234" i="7"/>
  <c r="AG1244" i="7"/>
  <c r="Z1347" i="7"/>
  <c r="AA1327" i="7"/>
  <c r="AH1218" i="7"/>
  <c r="AH778" i="7"/>
  <c r="AG788" i="7"/>
  <c r="AG765" i="7"/>
  <c r="AH762" i="7"/>
  <c r="AH328" i="7"/>
  <c r="AG749" i="7"/>
  <c r="AG756" i="7"/>
  <c r="AH746" i="7"/>
  <c r="Y1374" i="7"/>
  <c r="Y1363" i="7"/>
  <c r="Y1365" i="7"/>
  <c r="AH1250" i="7"/>
  <c r="AG1260" i="7"/>
  <c r="AG1221" i="7"/>
  <c r="AG781" i="7"/>
  <c r="AG1253" i="7"/>
  <c r="W517" i="7"/>
  <c r="V1017" i="7"/>
  <c r="W999" i="7"/>
  <c r="W1000" i="7" s="1"/>
  <c r="U98" i="7"/>
  <c r="V94" i="7" s="1"/>
  <c r="V62" i="7"/>
  <c r="V63" i="7" s="1"/>
  <c r="V70" i="7" s="1"/>
  <c r="V123" i="7"/>
  <c r="W110" i="7"/>
  <c r="X567" i="7"/>
  <c r="Y563" i="7" s="1"/>
  <c r="Y564" i="7" s="1"/>
  <c r="Y571" i="7" s="1"/>
  <c r="W581" i="7"/>
  <c r="W582" i="7" s="1"/>
  <c r="U105" i="7"/>
  <c r="V100" i="7" s="1"/>
  <c r="W50" i="7"/>
  <c r="V549" i="7"/>
  <c r="W533" i="7"/>
  <c r="W534" i="7" s="1"/>
  <c r="X599" i="7"/>
  <c r="Y1366" i="7" l="1"/>
  <c r="Y1370" i="7" s="1"/>
  <c r="Y1382" i="7" s="1"/>
  <c r="Z1340" i="7"/>
  <c r="Z1352" i="7" s="1"/>
  <c r="Y846" i="7"/>
  <c r="Y816" i="7"/>
  <c r="Z1306" i="7"/>
  <c r="Z1317" i="7"/>
  <c r="AA1297" i="7"/>
  <c r="Y1280" i="7"/>
  <c r="Z1284" i="7"/>
  <c r="Z1273" i="7"/>
  <c r="Z1275" i="7"/>
  <c r="Z855" i="7"/>
  <c r="Y864" i="7"/>
  <c r="Y868" i="7" s="1"/>
  <c r="Z842" i="7"/>
  <c r="Z833" i="7"/>
  <c r="Z831" i="7"/>
  <c r="Z801" i="7"/>
  <c r="Z804" i="7" s="1"/>
  <c r="Z812" i="7"/>
  <c r="Z803" i="7"/>
  <c r="AH748" i="7"/>
  <c r="AH756" i="7" s="1"/>
  <c r="AH754" i="7"/>
  <c r="Y1377" i="7"/>
  <c r="Z1357" i="7"/>
  <c r="AH786" i="7"/>
  <c r="AH780" i="7"/>
  <c r="AH788" i="7" s="1"/>
  <c r="AG1254" i="7"/>
  <c r="AG1262" i="7" s="1"/>
  <c r="AG1261" i="7"/>
  <c r="AG1222" i="7"/>
  <c r="AH330" i="7"/>
  <c r="AG766" i="7"/>
  <c r="AA1333" i="7"/>
  <c r="AA1344" i="7"/>
  <c r="AA1335" i="7"/>
  <c r="AG1238" i="7"/>
  <c r="AG1246" i="7" s="1"/>
  <c r="AG1245" i="7"/>
  <c r="Z861" i="7"/>
  <c r="AH1258" i="7"/>
  <c r="AH1252" i="7"/>
  <c r="AH1260" i="7" s="1"/>
  <c r="AG782" i="7"/>
  <c r="AG790" i="7" s="1"/>
  <c r="AG789" i="7"/>
  <c r="AG757" i="7"/>
  <c r="AG750" i="7"/>
  <c r="AG758" i="7" s="1"/>
  <c r="AH764" i="7"/>
  <c r="AH1220" i="7"/>
  <c r="AH1236" i="7"/>
  <c r="AH1244" i="7" s="1"/>
  <c r="AH1242" i="7"/>
  <c r="W518" i="7"/>
  <c r="W519" i="7"/>
  <c r="X515" i="7" s="1"/>
  <c r="V551" i="7"/>
  <c r="W547" i="7" s="1"/>
  <c r="W548" i="7" s="1"/>
  <c r="W555" i="7" s="1"/>
  <c r="W1013" i="7"/>
  <c r="W1001" i="7"/>
  <c r="X997" i="7" s="1"/>
  <c r="W583" i="7"/>
  <c r="X579" i="7" s="1"/>
  <c r="W535" i="7"/>
  <c r="X531" i="7" s="1"/>
  <c r="V550" i="7"/>
  <c r="V64" i="7"/>
  <c r="V65" i="7" s="1"/>
  <c r="W111" i="7"/>
  <c r="W118" i="7" s="1"/>
  <c r="U107" i="7"/>
  <c r="X46" i="7"/>
  <c r="V95" i="7"/>
  <c r="V102" i="7" s="1"/>
  <c r="Y565" i="7"/>
  <c r="Y566" i="7" s="1"/>
  <c r="Y595" i="7"/>
  <c r="Y1292" i="7" l="1"/>
  <c r="Y1378" i="7"/>
  <c r="AA1336" i="7"/>
  <c r="AA1340" i="7" s="1"/>
  <c r="AA1352" i="7" s="1"/>
  <c r="Z1276" i="7"/>
  <c r="Z1288" i="7" s="1"/>
  <c r="Z1310" i="7"/>
  <c r="Z1322" i="7" s="1"/>
  <c r="Z1318" i="7"/>
  <c r="AA1303" i="7"/>
  <c r="AA1314" i="7"/>
  <c r="AA1305" i="7"/>
  <c r="Z1287" i="7"/>
  <c r="AA1267" i="7"/>
  <c r="Z834" i="7"/>
  <c r="Z838" i="7" s="1"/>
  <c r="Z850" i="7" s="1"/>
  <c r="AA825" i="7"/>
  <c r="Z845" i="7"/>
  <c r="AA795" i="7"/>
  <c r="Z815" i="7"/>
  <c r="Z816" i="7"/>
  <c r="Z808" i="7"/>
  <c r="Z820" i="7" s="1"/>
  <c r="Z859" i="7"/>
  <c r="Z856" i="7" s="1"/>
  <c r="Z863" i="7" s="1"/>
  <c r="AA855" i="7" s="1"/>
  <c r="AH1253" i="7"/>
  <c r="AH1254" i="7" s="1"/>
  <c r="AH1262" i="7" s="1"/>
  <c r="AA1347" i="7"/>
  <c r="AB1327" i="7"/>
  <c r="AH1221" i="7"/>
  <c r="AH781" i="7"/>
  <c r="AH749" i="7"/>
  <c r="Z1365" i="7"/>
  <c r="Z1374" i="7"/>
  <c r="Z1363" i="7"/>
  <c r="AH1237" i="7"/>
  <c r="AH765" i="7"/>
  <c r="AH331" i="7"/>
  <c r="X516" i="7"/>
  <c r="X523" i="7" s="1"/>
  <c r="W1014" i="7"/>
  <c r="W1021" i="7" s="1"/>
  <c r="Y567" i="7"/>
  <c r="Z563" i="7" s="1"/>
  <c r="X998" i="7"/>
  <c r="X1005" i="7" s="1"/>
  <c r="V66" i="7"/>
  <c r="W62" i="7" s="1"/>
  <c r="V103" i="7"/>
  <c r="V104" i="7" s="1"/>
  <c r="W119" i="7"/>
  <c r="W120" i="7" s="1"/>
  <c r="X47" i="7"/>
  <c r="X54" i="7" s="1"/>
  <c r="V96" i="7"/>
  <c r="V97" i="7" s="1"/>
  <c r="W112" i="7"/>
  <c r="W113" i="7" s="1"/>
  <c r="W549" i="7"/>
  <c r="X580" i="7"/>
  <c r="X587" i="7" s="1"/>
  <c r="Y596" i="7"/>
  <c r="Y603" i="7" s="1"/>
  <c r="X532" i="7"/>
  <c r="X539" i="7" s="1"/>
  <c r="AA1348" i="7" l="1"/>
  <c r="Z1280" i="7"/>
  <c r="AA1306" i="7"/>
  <c r="AA1310" i="7" s="1"/>
  <c r="AA1322" i="7" s="1"/>
  <c r="Z1366" i="7"/>
  <c r="Z1370" i="7" s="1"/>
  <c r="Z1382" i="7" s="1"/>
  <c r="AA1317" i="7"/>
  <c r="AB1297" i="7"/>
  <c r="AA1284" i="7"/>
  <c r="AA1275" i="7"/>
  <c r="AA1273" i="7"/>
  <c r="Z864" i="7"/>
  <c r="Z868" i="7" s="1"/>
  <c r="Z846" i="7"/>
  <c r="AA831" i="7"/>
  <c r="AA833" i="7"/>
  <c r="AA842" i="7"/>
  <c r="AA803" i="7"/>
  <c r="AA812" i="7"/>
  <c r="AA801" i="7"/>
  <c r="AH1261" i="7"/>
  <c r="AA1357" i="7"/>
  <c r="Z1377" i="7"/>
  <c r="AH1245" i="7"/>
  <c r="AH1238" i="7"/>
  <c r="AH1246" i="7" s="1"/>
  <c r="AH1222" i="7"/>
  <c r="AB1335" i="7"/>
  <c r="AB1333" i="7"/>
  <c r="AB1344" i="7"/>
  <c r="AH332" i="7"/>
  <c r="AH757" i="7"/>
  <c r="AH750" i="7"/>
  <c r="AH758" i="7" s="1"/>
  <c r="AA861" i="7"/>
  <c r="AH766" i="7"/>
  <c r="AH789" i="7"/>
  <c r="AH782" i="7"/>
  <c r="AH790" i="7" s="1"/>
  <c r="X517" i="7"/>
  <c r="W551" i="7"/>
  <c r="X547" i="7" s="1"/>
  <c r="W550" i="7"/>
  <c r="W1015" i="7"/>
  <c r="W1016" i="7" s="1"/>
  <c r="X999" i="7"/>
  <c r="X1000" i="7" s="1"/>
  <c r="V105" i="7"/>
  <c r="W100" i="7" s="1"/>
  <c r="W114" i="7"/>
  <c r="X110" i="7" s="1"/>
  <c r="X48" i="7"/>
  <c r="X49" i="7" s="1"/>
  <c r="V98" i="7"/>
  <c r="W121" i="7"/>
  <c r="X116" i="7" s="1"/>
  <c r="W63" i="7"/>
  <c r="W70" i="7" s="1"/>
  <c r="Y597" i="7"/>
  <c r="Y598" i="7" s="1"/>
  <c r="X533" i="7"/>
  <c r="X581" i="7"/>
  <c r="X582" i="7" s="1"/>
  <c r="Z564" i="7"/>
  <c r="Z571" i="7" s="1"/>
  <c r="Z1292" i="7" l="1"/>
  <c r="Z1378" i="7"/>
  <c r="AB1336" i="7"/>
  <c r="AB1340" i="7" s="1"/>
  <c r="AB1352" i="7" s="1"/>
  <c r="AA1318" i="7"/>
  <c r="AB1303" i="7"/>
  <c r="AB1305" i="7"/>
  <c r="AB1314" i="7"/>
  <c r="AA1276" i="7"/>
  <c r="AA1288" i="7" s="1"/>
  <c r="AB1267" i="7"/>
  <c r="AA1287" i="7"/>
  <c r="AA834" i="7"/>
  <c r="AA846" i="7" s="1"/>
  <c r="AA845" i="7"/>
  <c r="AB825" i="7"/>
  <c r="AA804" i="7"/>
  <c r="AA808" i="7" s="1"/>
  <c r="AA820" i="7" s="1"/>
  <c r="AA815" i="7"/>
  <c r="AB795" i="7"/>
  <c r="AA859" i="7"/>
  <c r="AA856" i="7" s="1"/>
  <c r="AA1374" i="7"/>
  <c r="AA1365" i="7"/>
  <c r="AA1363" i="7"/>
  <c r="AC1327" i="7"/>
  <c r="AB1347" i="7"/>
  <c r="X518" i="7"/>
  <c r="X519" i="7"/>
  <c r="Y515" i="7" s="1"/>
  <c r="X534" i="7"/>
  <c r="W1017" i="7"/>
  <c r="X1013" i="7" s="1"/>
  <c r="X1014" i="7" s="1"/>
  <c r="X1021" i="7" s="1"/>
  <c r="X1001" i="7"/>
  <c r="Y997" i="7" s="1"/>
  <c r="Y599" i="7"/>
  <c r="Z595" i="7" s="1"/>
  <c r="X111" i="7"/>
  <c r="X118" i="7" s="1"/>
  <c r="X119" i="7" s="1"/>
  <c r="X120" i="7" s="1"/>
  <c r="W123" i="7"/>
  <c r="X583" i="7"/>
  <c r="Y579" i="7" s="1"/>
  <c r="X50" i="7"/>
  <c r="W64" i="7"/>
  <c r="W65" i="7" s="1"/>
  <c r="V107" i="7"/>
  <c r="W94" i="7"/>
  <c r="X535" i="7"/>
  <c r="Y531" i="7" s="1"/>
  <c r="X548" i="7"/>
  <c r="X555" i="7" s="1"/>
  <c r="Z565" i="7"/>
  <c r="Z566" i="7" s="1"/>
  <c r="AB1348" i="7" l="1"/>
  <c r="AA838" i="7"/>
  <c r="AA850" i="7" s="1"/>
  <c r="AA1366" i="7"/>
  <c r="AA1378" i="7" s="1"/>
  <c r="AB1306" i="7"/>
  <c r="AB1310" i="7" s="1"/>
  <c r="AB1322" i="7" s="1"/>
  <c r="AB1317" i="7"/>
  <c r="AC1297" i="7"/>
  <c r="AA1280" i="7"/>
  <c r="AB1273" i="7"/>
  <c r="AB1275" i="7"/>
  <c r="AB1284" i="7"/>
  <c r="AB833" i="7"/>
  <c r="AB842" i="7"/>
  <c r="AB831" i="7"/>
  <c r="AA816" i="7"/>
  <c r="AB801" i="7"/>
  <c r="AB803" i="7"/>
  <c r="AB812" i="7"/>
  <c r="AA863" i="7"/>
  <c r="AC1333" i="7"/>
  <c r="AC1335" i="7"/>
  <c r="AC1344" i="7"/>
  <c r="AA1377" i="7"/>
  <c r="AB1357" i="7"/>
  <c r="Y516" i="7"/>
  <c r="Y523" i="7" s="1"/>
  <c r="X1015" i="7"/>
  <c r="X1016" i="7" s="1"/>
  <c r="Y998" i="7"/>
  <c r="Y1005" i="7" s="1"/>
  <c r="X112" i="7"/>
  <c r="X113" i="7" s="1"/>
  <c r="X121" i="7"/>
  <c r="Y116" i="7" s="1"/>
  <c r="Y46" i="7"/>
  <c r="W95" i="7"/>
  <c r="W102" i="7" s="1"/>
  <c r="W66" i="7"/>
  <c r="Z567" i="7"/>
  <c r="AA563" i="7" s="1"/>
  <c r="Z596" i="7"/>
  <c r="Z603" i="7" s="1"/>
  <c r="Y580" i="7"/>
  <c r="Y587" i="7" s="1"/>
  <c r="Y532" i="7"/>
  <c r="Y539" i="7" s="1"/>
  <c r="X549" i="7"/>
  <c r="AA1292" i="7" l="1"/>
  <c r="AA1370" i="7"/>
  <c r="AA1382" i="7" s="1"/>
  <c r="AC1336" i="7"/>
  <c r="AC1348" i="7" s="1"/>
  <c r="AB834" i="7"/>
  <c r="AB838" i="7" s="1"/>
  <c r="AB850" i="7" s="1"/>
  <c r="AB804" i="7"/>
  <c r="AB808" i="7" s="1"/>
  <c r="AB820" i="7" s="1"/>
  <c r="AB1318" i="7"/>
  <c r="AC1303" i="7"/>
  <c r="AC1305" i="7"/>
  <c r="AC1314" i="7"/>
  <c r="AB1276" i="7"/>
  <c r="AB1288" i="7" s="1"/>
  <c r="AB1287" i="7"/>
  <c r="AC1267" i="7"/>
  <c r="AB855" i="7"/>
  <c r="AB861" i="7" s="1"/>
  <c r="AA864" i="7"/>
  <c r="AA868" i="7" s="1"/>
  <c r="AB845" i="7"/>
  <c r="AC825" i="7"/>
  <c r="AC795" i="7"/>
  <c r="AB815" i="7"/>
  <c r="AC1347" i="7"/>
  <c r="AD1327" i="7"/>
  <c r="AB859" i="7"/>
  <c r="AB856" i="7" s="1"/>
  <c r="AB1374" i="7"/>
  <c r="AB1365" i="7"/>
  <c r="AB1363" i="7"/>
  <c r="Y517" i="7"/>
  <c r="X1017" i="7"/>
  <c r="Y1013" i="7" s="1"/>
  <c r="Y1014" i="7" s="1"/>
  <c r="Y1021" i="7" s="1"/>
  <c r="X114" i="7"/>
  <c r="X123" i="7" s="1"/>
  <c r="Y999" i="7"/>
  <c r="W96" i="7"/>
  <c r="W97" i="7" s="1"/>
  <c r="Z597" i="7"/>
  <c r="Z598" i="7" s="1"/>
  <c r="W103" i="7"/>
  <c r="W104" i="7" s="1"/>
  <c r="X62" i="7"/>
  <c r="Y47" i="7"/>
  <c r="Y54" i="7" s="1"/>
  <c r="AA564" i="7"/>
  <c r="AA571" i="7" s="1"/>
  <c r="Y533" i="7"/>
  <c r="Y534" i="7" s="1"/>
  <c r="X550" i="7"/>
  <c r="X551" i="7"/>
  <c r="Y581" i="7"/>
  <c r="Y582" i="7" s="1"/>
  <c r="AC1340" i="7" l="1"/>
  <c r="AC1352" i="7" s="1"/>
  <c r="AB1280" i="7"/>
  <c r="AB816" i="7"/>
  <c r="AB846" i="7"/>
  <c r="AB1366" i="7"/>
  <c r="AB1370" i="7" s="1"/>
  <c r="AB1382" i="7" s="1"/>
  <c r="AC1306" i="7"/>
  <c r="AC1310" i="7" s="1"/>
  <c r="AC1322" i="7" s="1"/>
  <c r="AC1317" i="7"/>
  <c r="AD1297" i="7"/>
  <c r="AC1273" i="7"/>
  <c r="AC1284" i="7"/>
  <c r="AC1275" i="7"/>
  <c r="AC831" i="7"/>
  <c r="AC833" i="7"/>
  <c r="AC842" i="7"/>
  <c r="AC801" i="7"/>
  <c r="AC803" i="7"/>
  <c r="AC812" i="7"/>
  <c r="AB863" i="7"/>
  <c r="AC855" i="7" s="1"/>
  <c r="AC1357" i="7"/>
  <c r="AB1377" i="7"/>
  <c r="AD1344" i="7"/>
  <c r="AD1333" i="7"/>
  <c r="AD1335" i="7"/>
  <c r="Y519" i="7"/>
  <c r="Z515" i="7" s="1"/>
  <c r="Y518" i="7"/>
  <c r="Y110" i="7"/>
  <c r="Y111" i="7" s="1"/>
  <c r="Y118" i="7" s="1"/>
  <c r="Y535" i="7"/>
  <c r="Z531" i="7" s="1"/>
  <c r="Y1000" i="7"/>
  <c r="Y1001" i="7"/>
  <c r="Y1015" i="7"/>
  <c r="Y1016" i="7" s="1"/>
  <c r="W98" i="7"/>
  <c r="X94" i="7" s="1"/>
  <c r="Y583" i="7"/>
  <c r="Z579" i="7" s="1"/>
  <c r="Z599" i="7"/>
  <c r="AA595" i="7" s="1"/>
  <c r="Y48" i="7"/>
  <c r="Y49" i="7" s="1"/>
  <c r="W105" i="7"/>
  <c r="X100" i="7" s="1"/>
  <c r="X63" i="7"/>
  <c r="X70" i="7" s="1"/>
  <c r="AA565" i="7"/>
  <c r="AA566" i="7" s="1"/>
  <c r="Y547" i="7"/>
  <c r="AB1292" i="7" l="1"/>
  <c r="AB1378" i="7"/>
  <c r="AD1336" i="7"/>
  <c r="AD1348" i="7" s="1"/>
  <c r="AC1318" i="7"/>
  <c r="AD1303" i="7"/>
  <c r="AD1305" i="7"/>
  <c r="AD1314" i="7"/>
  <c r="AC1276" i="7"/>
  <c r="AC1288" i="7" s="1"/>
  <c r="AC1287" i="7"/>
  <c r="AD1267" i="7"/>
  <c r="AB864" i="7"/>
  <c r="AB868" i="7" s="1"/>
  <c r="AC834" i="7"/>
  <c r="AC846" i="7" s="1"/>
  <c r="AD825" i="7"/>
  <c r="AC845" i="7"/>
  <c r="AC804" i="7"/>
  <c r="AC816" i="7" s="1"/>
  <c r="AD795" i="7"/>
  <c r="AC815" i="7"/>
  <c r="AC1365" i="7"/>
  <c r="AC1374" i="7"/>
  <c r="AC1363" i="7"/>
  <c r="AC861" i="7"/>
  <c r="AD1347" i="7"/>
  <c r="AE1327" i="7"/>
  <c r="Z516" i="7"/>
  <c r="Z523" i="7" s="1"/>
  <c r="Z997" i="7"/>
  <c r="Y1017" i="7"/>
  <c r="Y50" i="7"/>
  <c r="Z46" i="7" s="1"/>
  <c r="Y119" i="7"/>
  <c r="Y120" i="7" s="1"/>
  <c r="X95" i="7"/>
  <c r="X102" i="7" s="1"/>
  <c r="X103" i="7" s="1"/>
  <c r="W107" i="7"/>
  <c r="AA567" i="7"/>
  <c r="AB563" i="7" s="1"/>
  <c r="X64" i="7"/>
  <c r="Y112" i="7"/>
  <c r="Y113" i="7" s="1"/>
  <c r="Z580" i="7"/>
  <c r="Z587" i="7" s="1"/>
  <c r="Y548" i="7"/>
  <c r="Y555" i="7" s="1"/>
  <c r="Z532" i="7"/>
  <c r="Z539" i="7" s="1"/>
  <c r="AA596" i="7"/>
  <c r="AA603" i="7" s="1"/>
  <c r="AC1366" i="7" l="1"/>
  <c r="AC1370" i="7" s="1"/>
  <c r="AC1382" i="7" s="1"/>
  <c r="AD1340" i="7"/>
  <c r="AD1352" i="7" s="1"/>
  <c r="AC838" i="7"/>
  <c r="AC850" i="7" s="1"/>
  <c r="AC808" i="7"/>
  <c r="AC820" i="7" s="1"/>
  <c r="AD1306" i="7"/>
  <c r="AD1317" i="7"/>
  <c r="AE1297" i="7"/>
  <c r="AC1280" i="7"/>
  <c r="AD1273" i="7"/>
  <c r="AD1284" i="7"/>
  <c r="AD1275" i="7"/>
  <c r="AD831" i="7"/>
  <c r="AD833" i="7"/>
  <c r="AD842" i="7"/>
  <c r="AD803" i="7"/>
  <c r="AD812" i="7"/>
  <c r="AD801" i="7"/>
  <c r="AE1344" i="7"/>
  <c r="AE1335" i="7"/>
  <c r="AE1333" i="7"/>
  <c r="AD1357" i="7"/>
  <c r="AC1377" i="7"/>
  <c r="AC859" i="7"/>
  <c r="AC856" i="7" s="1"/>
  <c r="Z517" i="7"/>
  <c r="Z998" i="7"/>
  <c r="Z1005" i="7" s="1"/>
  <c r="Z1013" i="7"/>
  <c r="Z533" i="7"/>
  <c r="Z534" i="7" s="1"/>
  <c r="X96" i="7"/>
  <c r="X97" i="7" s="1"/>
  <c r="X104" i="7"/>
  <c r="X105" i="7"/>
  <c r="Y100" i="7" s="1"/>
  <c r="Z47" i="7"/>
  <c r="Z54" i="7" s="1"/>
  <c r="X65" i="7"/>
  <c r="X66" i="7"/>
  <c r="Y114" i="7"/>
  <c r="Y121" i="7"/>
  <c r="Z116" i="7" s="1"/>
  <c r="Y549" i="7"/>
  <c r="Z581" i="7"/>
  <c r="AB564" i="7"/>
  <c r="AB571" i="7" s="1"/>
  <c r="AA597" i="7"/>
  <c r="AA598" i="7" s="1"/>
  <c r="AC1292" i="7" l="1"/>
  <c r="AC1378" i="7"/>
  <c r="AD1276" i="7"/>
  <c r="AD1280" i="7" s="1"/>
  <c r="AE1336" i="7"/>
  <c r="AE1340" i="7" s="1"/>
  <c r="AE1352" i="7" s="1"/>
  <c r="AD1310" i="7"/>
  <c r="AD1322" i="7" s="1"/>
  <c r="AD1318" i="7"/>
  <c r="AE1303" i="7"/>
  <c r="AE1314" i="7"/>
  <c r="AE1305" i="7"/>
  <c r="AE1267" i="7"/>
  <c r="AD1287" i="7"/>
  <c r="AD834" i="7"/>
  <c r="AD846" i="7" s="1"/>
  <c r="AE825" i="7"/>
  <c r="AD845" i="7"/>
  <c r="AD804" i="7"/>
  <c r="AD808" i="7" s="1"/>
  <c r="AD820" i="7" s="1"/>
  <c r="AD815" i="7"/>
  <c r="AE795" i="7"/>
  <c r="AE1347" i="7"/>
  <c r="AF1327" i="7"/>
  <c r="AD1365" i="7"/>
  <c r="AD1363" i="7"/>
  <c r="AD1374" i="7"/>
  <c r="AC863" i="7"/>
  <c r="Z519" i="7"/>
  <c r="Z999" i="7"/>
  <c r="Z1000" i="7" s="1"/>
  <c r="Z1014" i="7"/>
  <c r="Z1021" i="7" s="1"/>
  <c r="Z535" i="7"/>
  <c r="AA531" i="7" s="1"/>
  <c r="Z48" i="7"/>
  <c r="Z49" i="7" s="1"/>
  <c r="X98" i="7"/>
  <c r="Y94" i="7" s="1"/>
  <c r="Y95" i="7" s="1"/>
  <c r="Y102" i="7" s="1"/>
  <c r="Y103" i="7" s="1"/>
  <c r="Y62" i="7"/>
  <c r="Y123" i="7"/>
  <c r="Z110" i="7"/>
  <c r="Y550" i="7"/>
  <c r="Y551" i="7"/>
  <c r="Z582" i="7"/>
  <c r="Z583" i="7"/>
  <c r="AB565" i="7"/>
  <c r="AA599" i="7"/>
  <c r="Z518" i="7"/>
  <c r="AD1292" i="7" l="1"/>
  <c r="AD1288" i="7"/>
  <c r="AE1348" i="7"/>
  <c r="AD816" i="7"/>
  <c r="AD1366" i="7"/>
  <c r="AD1370" i="7" s="1"/>
  <c r="AD1382" i="7" s="1"/>
  <c r="AE1306" i="7"/>
  <c r="AE1317" i="7"/>
  <c r="AF1297" i="7"/>
  <c r="AE1273" i="7"/>
  <c r="AE1275" i="7"/>
  <c r="AE1284" i="7"/>
  <c r="AD855" i="7"/>
  <c r="AC864" i="7"/>
  <c r="AC868" i="7" s="1"/>
  <c r="AD838" i="7"/>
  <c r="AD850" i="7" s="1"/>
  <c r="AE842" i="7"/>
  <c r="AE833" i="7"/>
  <c r="AE831" i="7"/>
  <c r="AE812" i="7"/>
  <c r="AE803" i="7"/>
  <c r="AE801" i="7"/>
  <c r="AF1344" i="7"/>
  <c r="AF1335" i="7"/>
  <c r="AF1333" i="7"/>
  <c r="AE1357" i="7"/>
  <c r="AD1377" i="7"/>
  <c r="AD861" i="7"/>
  <c r="AA515" i="7"/>
  <c r="Z1001" i="7"/>
  <c r="Z1015" i="7"/>
  <c r="Z1016" i="7" s="1"/>
  <c r="X107" i="7"/>
  <c r="Z50" i="7"/>
  <c r="AA46" i="7" s="1"/>
  <c r="Y104" i="7"/>
  <c r="Y105" i="7"/>
  <c r="Z100" i="7" s="1"/>
  <c r="Y63" i="7"/>
  <c r="Y70" i="7" s="1"/>
  <c r="Y96" i="7"/>
  <c r="Z111" i="7"/>
  <c r="Z118" i="7" s="1"/>
  <c r="AB566" i="7"/>
  <c r="AB567" i="7"/>
  <c r="AB595" i="7"/>
  <c r="AA579" i="7"/>
  <c r="Z547" i="7"/>
  <c r="AA532" i="7"/>
  <c r="AA539" i="7" s="1"/>
  <c r="AD1378" i="7" l="1"/>
  <c r="AF1336" i="7"/>
  <c r="AF1348" i="7" s="1"/>
  <c r="AE1310" i="7"/>
  <c r="AE1322" i="7" s="1"/>
  <c r="AE1318" i="7"/>
  <c r="AF1303" i="7"/>
  <c r="AF1314" i="7"/>
  <c r="AF1305" i="7"/>
  <c r="AE1276" i="7"/>
  <c r="AE1288" i="7" s="1"/>
  <c r="AE1287" i="7"/>
  <c r="AF1267" i="7"/>
  <c r="AE834" i="7"/>
  <c r="AE846" i="7" s="1"/>
  <c r="AE845" i="7"/>
  <c r="AF825" i="7"/>
  <c r="AE804" i="7"/>
  <c r="AE816" i="7" s="1"/>
  <c r="AF795" i="7"/>
  <c r="AE815" i="7"/>
  <c r="AD859" i="7"/>
  <c r="AD856" i="7" s="1"/>
  <c r="AF1347" i="7"/>
  <c r="AG1327" i="7"/>
  <c r="AE1374" i="7"/>
  <c r="AE1363" i="7"/>
  <c r="AE1365" i="7"/>
  <c r="AA516" i="7"/>
  <c r="AA523" i="7" s="1"/>
  <c r="Z1017" i="7"/>
  <c r="AA997" i="7"/>
  <c r="Z112" i="7"/>
  <c r="Z113" i="7" s="1"/>
  <c r="Y64" i="7"/>
  <c r="Y65" i="7" s="1"/>
  <c r="Z119" i="7"/>
  <c r="Z120" i="7" s="1"/>
  <c r="Y97" i="7"/>
  <c r="Y98" i="7"/>
  <c r="AA47" i="7"/>
  <c r="AA54" i="7" s="1"/>
  <c r="Z548" i="7"/>
  <c r="Z555" i="7" s="1"/>
  <c r="AC563" i="7"/>
  <c r="AA533" i="7"/>
  <c r="AA534" i="7" s="1"/>
  <c r="AA580" i="7"/>
  <c r="AA587" i="7" s="1"/>
  <c r="AB596" i="7"/>
  <c r="AB603" i="7" s="1"/>
  <c r="AF1340" i="7" l="1"/>
  <c r="AF1352" i="7" s="1"/>
  <c r="AE1280" i="7"/>
  <c r="AE1366" i="7"/>
  <c r="AE1370" i="7" s="1"/>
  <c r="AE1382" i="7" s="1"/>
  <c r="AF1306" i="7"/>
  <c r="AG1297" i="7"/>
  <c r="AF1317" i="7"/>
  <c r="AF1273" i="7"/>
  <c r="AF1284" i="7"/>
  <c r="AF1275" i="7"/>
  <c r="AE838" i="7"/>
  <c r="AE850" i="7" s="1"/>
  <c r="AF831" i="7"/>
  <c r="AF842" i="7"/>
  <c r="AF833" i="7"/>
  <c r="AE808" i="7"/>
  <c r="AE820" i="7" s="1"/>
  <c r="AF812" i="7"/>
  <c r="AF801" i="7"/>
  <c r="AF803" i="7"/>
  <c r="AD863" i="7"/>
  <c r="AF1357" i="7"/>
  <c r="AE1377" i="7"/>
  <c r="AG1333" i="7"/>
  <c r="AG1335" i="7"/>
  <c r="AG1344" i="7"/>
  <c r="AA517" i="7"/>
  <c r="AA1013" i="7"/>
  <c r="AA998" i="7"/>
  <c r="AA1005" i="7" s="1"/>
  <c r="Y66" i="7"/>
  <c r="Z62" i="7" s="1"/>
  <c r="Z114" i="7"/>
  <c r="AA110" i="7" s="1"/>
  <c r="AA111" i="7" s="1"/>
  <c r="AA118" i="7" s="1"/>
  <c r="AB597" i="7"/>
  <c r="AB598" i="7" s="1"/>
  <c r="AA48" i="7"/>
  <c r="Y107" i="7"/>
  <c r="Z94" i="7"/>
  <c r="Z121" i="7"/>
  <c r="AA535" i="7"/>
  <c r="AC564" i="7"/>
  <c r="AC571" i="7" s="1"/>
  <c r="AA581" i="7"/>
  <c r="AA582" i="7" s="1"/>
  <c r="Z549" i="7"/>
  <c r="AE1292" i="7" l="1"/>
  <c r="AE1378" i="7"/>
  <c r="AF834" i="7"/>
  <c r="AF846" i="7" s="1"/>
  <c r="AG1336" i="7"/>
  <c r="AG1340" i="7" s="1"/>
  <c r="AG1352" i="7" s="1"/>
  <c r="AF1318" i="7"/>
  <c r="AF1310" i="7"/>
  <c r="AF1322" i="7" s="1"/>
  <c r="AG1303" i="7"/>
  <c r="AG1314" i="7"/>
  <c r="AG1305" i="7"/>
  <c r="AF1276" i="7"/>
  <c r="AF1288" i="7" s="1"/>
  <c r="AF1287" i="7"/>
  <c r="AG1267" i="7"/>
  <c r="AE855" i="7"/>
  <c r="AD864" i="7"/>
  <c r="AD868" i="7" s="1"/>
  <c r="AF845" i="7"/>
  <c r="AG825" i="7"/>
  <c r="AF804" i="7"/>
  <c r="AF816" i="7" s="1"/>
  <c r="AE856" i="7"/>
  <c r="AG795" i="7"/>
  <c r="AF815" i="7"/>
  <c r="AE861" i="7"/>
  <c r="AH1327" i="7"/>
  <c r="AG1347" i="7"/>
  <c r="AF1365" i="7"/>
  <c r="AF1363" i="7"/>
  <c r="AF1374" i="7"/>
  <c r="AA518" i="7"/>
  <c r="AA519" i="7"/>
  <c r="AB515" i="7" s="1"/>
  <c r="AB599" i="7"/>
  <c r="AC595" i="7" s="1"/>
  <c r="AA999" i="7"/>
  <c r="AA1014" i="7"/>
  <c r="AA1021" i="7" s="1"/>
  <c r="AB531" i="7"/>
  <c r="AB532" i="7" s="1"/>
  <c r="AB539" i="7" s="1"/>
  <c r="Z95" i="7"/>
  <c r="Z102" i="7" s="1"/>
  <c r="Z63" i="7"/>
  <c r="Z70" i="7" s="1"/>
  <c r="AA112" i="7"/>
  <c r="AA113" i="7" s="1"/>
  <c r="AA49" i="7"/>
  <c r="AA50" i="7"/>
  <c r="AA116" i="7"/>
  <c r="Z123" i="7"/>
  <c r="AA583" i="7"/>
  <c r="AB579" i="7" s="1"/>
  <c r="Z550" i="7"/>
  <c r="Z551" i="7"/>
  <c r="AC565" i="7"/>
  <c r="AC566" i="7" s="1"/>
  <c r="AF1366" i="7" l="1"/>
  <c r="AF1378" i="7" s="1"/>
  <c r="AG1348" i="7"/>
  <c r="AF838" i="7"/>
  <c r="AF850" i="7" s="1"/>
  <c r="AF808" i="7"/>
  <c r="AF820" i="7" s="1"/>
  <c r="AG1306" i="7"/>
  <c r="AG1317" i="7"/>
  <c r="AH1297" i="7"/>
  <c r="AF1280" i="7"/>
  <c r="AG1273" i="7"/>
  <c r="AG1284" i="7"/>
  <c r="AG1275" i="7"/>
  <c r="AE863" i="7"/>
  <c r="AF855" i="7" s="1"/>
  <c r="AF863" i="7" s="1"/>
  <c r="AG855" i="7" s="1"/>
  <c r="AG831" i="7"/>
  <c r="AG833" i="7"/>
  <c r="AG842" i="7"/>
  <c r="AG803" i="7"/>
  <c r="AG801" i="7"/>
  <c r="AG812" i="7"/>
  <c r="AE859" i="7"/>
  <c r="AF1377" i="7"/>
  <c r="AG1357" i="7"/>
  <c r="AH1335" i="7"/>
  <c r="AH1347" i="7" s="1"/>
  <c r="AH1344" i="7"/>
  <c r="AH1333" i="7"/>
  <c r="AB516" i="7"/>
  <c r="AB523" i="7" s="1"/>
  <c r="AA1000" i="7"/>
  <c r="AA1001" i="7"/>
  <c r="AA1015" i="7"/>
  <c r="AA1016" i="7" s="1"/>
  <c r="Z64" i="7"/>
  <c r="Z65" i="7" s="1"/>
  <c r="Z96" i="7"/>
  <c r="Z97" i="7" s="1"/>
  <c r="AA119" i="7"/>
  <c r="AA120" i="7" s="1"/>
  <c r="Z103" i="7"/>
  <c r="Z104" i="7" s="1"/>
  <c r="AB533" i="7"/>
  <c r="AB534" i="7" s="1"/>
  <c r="AB46" i="7"/>
  <c r="AA114" i="7"/>
  <c r="AA547" i="7"/>
  <c r="AC567" i="7"/>
  <c r="AC596" i="7"/>
  <c r="AC603" i="7" s="1"/>
  <c r="AB580" i="7"/>
  <c r="AB587" i="7" s="1"/>
  <c r="AF1292" i="7" l="1"/>
  <c r="AH1336" i="7"/>
  <c r="AH1340" i="7" s="1"/>
  <c r="AH1352" i="7" s="1"/>
  <c r="AF1370" i="7"/>
  <c r="AF1382" i="7" s="1"/>
  <c r="AF861" i="7"/>
  <c r="AF864" i="7" s="1"/>
  <c r="AF868" i="7" s="1"/>
  <c r="AG1318" i="7"/>
  <c r="AG1310" i="7"/>
  <c r="AG1322" i="7" s="1"/>
  <c r="AH1303" i="7"/>
  <c r="AH1305" i="7"/>
  <c r="AH1317" i="7" s="1"/>
  <c r="AH1314" i="7"/>
  <c r="AG1276" i="7"/>
  <c r="AG1288" i="7" s="1"/>
  <c r="AH1267" i="7"/>
  <c r="AG1287" i="7"/>
  <c r="AE864" i="7"/>
  <c r="AE868" i="7" s="1"/>
  <c r="AG834" i="7"/>
  <c r="AG838" i="7" s="1"/>
  <c r="AG850" i="7" s="1"/>
  <c r="AH825" i="7"/>
  <c r="AG845" i="7"/>
  <c r="AG804" i="7"/>
  <c r="AG808" i="7" s="1"/>
  <c r="AG820" i="7" s="1"/>
  <c r="AH795" i="7"/>
  <c r="AG815" i="7"/>
  <c r="AG1363" i="7"/>
  <c r="AG1365" i="7"/>
  <c r="AG1374" i="7"/>
  <c r="AG861" i="7"/>
  <c r="AG863" i="7"/>
  <c r="AH855" i="7" s="1"/>
  <c r="AB517" i="7"/>
  <c r="Z66" i="7"/>
  <c r="AA62" i="7" s="1"/>
  <c r="AB997" i="7"/>
  <c r="AA1017" i="7"/>
  <c r="Z98" i="7"/>
  <c r="AA94" i="7" s="1"/>
  <c r="AB535" i="7"/>
  <c r="AC531" i="7" s="1"/>
  <c r="AA121" i="7"/>
  <c r="AB116" i="7" s="1"/>
  <c r="AB581" i="7"/>
  <c r="AB582" i="7" s="1"/>
  <c r="AB110" i="7"/>
  <c r="AB47" i="7"/>
  <c r="AB54" i="7" s="1"/>
  <c r="Z105" i="7"/>
  <c r="AA100" i="7" s="1"/>
  <c r="AD563" i="7"/>
  <c r="AA548" i="7"/>
  <c r="AA555" i="7" s="1"/>
  <c r="AC597" i="7"/>
  <c r="AH1348" i="7" l="1"/>
  <c r="AH1306" i="7"/>
  <c r="AH1310" i="7" s="1"/>
  <c r="AH1322" i="7" s="1"/>
  <c r="AG1366" i="7"/>
  <c r="AG1378" i="7" s="1"/>
  <c r="AG1280" i="7"/>
  <c r="AH1273" i="7"/>
  <c r="AH1284" i="7"/>
  <c r="AH1275" i="7"/>
  <c r="AH1287" i="7" s="1"/>
  <c r="AG864" i="7"/>
  <c r="AG868" i="7" s="1"/>
  <c r="AG846" i="7"/>
  <c r="AH831" i="7"/>
  <c r="AH834" i="7" s="1"/>
  <c r="AH842" i="7"/>
  <c r="AH833" i="7"/>
  <c r="AH845" i="7" s="1"/>
  <c r="AG816" i="7"/>
  <c r="AH801" i="7"/>
  <c r="AH812" i="7"/>
  <c r="AH803" i="7"/>
  <c r="AH815" i="7" s="1"/>
  <c r="AH861" i="7"/>
  <c r="AH863" i="7"/>
  <c r="AH1357" i="7"/>
  <c r="AG1377" i="7"/>
  <c r="AB519" i="7"/>
  <c r="AB1013" i="7"/>
  <c r="AB998" i="7"/>
  <c r="AB1005" i="7" s="1"/>
  <c r="AA549" i="7"/>
  <c r="AA123" i="7"/>
  <c r="AB111" i="7"/>
  <c r="AB118" i="7" s="1"/>
  <c r="AB48" i="7"/>
  <c r="AB49" i="7" s="1"/>
  <c r="Z107" i="7"/>
  <c r="AA63" i="7"/>
  <c r="AA70" i="7" s="1"/>
  <c r="AA95" i="7"/>
  <c r="AA102" i="7" s="1"/>
  <c r="AA103" i="7" s="1"/>
  <c r="AA104" i="7" s="1"/>
  <c r="AB583" i="7"/>
  <c r="AC579" i="7" s="1"/>
  <c r="AC580" i="7" s="1"/>
  <c r="AC587" i="7" s="1"/>
  <c r="AC532" i="7"/>
  <c r="AC539" i="7" s="1"/>
  <c r="AC598" i="7"/>
  <c r="AC599" i="7"/>
  <c r="AD564" i="7"/>
  <c r="AD571" i="7" s="1"/>
  <c r="AB518" i="7"/>
  <c r="AG1292" i="7" l="1"/>
  <c r="AH1276" i="7"/>
  <c r="AH1280" i="7" s="1"/>
  <c r="AH1318" i="7"/>
  <c r="AG1370" i="7"/>
  <c r="AG1382" i="7" s="1"/>
  <c r="AH864" i="7"/>
  <c r="AH868" i="7" s="1"/>
  <c r="AH838" i="7"/>
  <c r="AH850" i="7" s="1"/>
  <c r="AH846" i="7"/>
  <c r="AH804" i="7"/>
  <c r="AH808" i="7" s="1"/>
  <c r="AH820" i="7" s="1"/>
  <c r="AH1365" i="7"/>
  <c r="AH1377" i="7" s="1"/>
  <c r="AH1363" i="7"/>
  <c r="AH1374" i="7"/>
  <c r="AA551" i="7"/>
  <c r="AB547" i="7" s="1"/>
  <c r="AC515" i="7"/>
  <c r="AA550" i="7"/>
  <c r="AB50" i="7"/>
  <c r="AC46" i="7" s="1"/>
  <c r="AB1014" i="7"/>
  <c r="AB1021" i="7" s="1"/>
  <c r="AB999" i="7"/>
  <c r="AB1000" i="7" s="1"/>
  <c r="AA96" i="7"/>
  <c r="AA97" i="7" s="1"/>
  <c r="AB112" i="7"/>
  <c r="AB119" i="7"/>
  <c r="AB120" i="7" s="1"/>
  <c r="AA105" i="7"/>
  <c r="AB100" i="7" s="1"/>
  <c r="AA64" i="7"/>
  <c r="AA65" i="7" s="1"/>
  <c r="AD565" i="7"/>
  <c r="AD566" i="7" s="1"/>
  <c r="AC533" i="7"/>
  <c r="AC534" i="7" s="1"/>
  <c r="AD595" i="7"/>
  <c r="AC581" i="7"/>
  <c r="AC582" i="7" s="1"/>
  <c r="AH1292" i="7" l="1"/>
  <c r="AH1366" i="7"/>
  <c r="AH1378" i="7" s="1"/>
  <c r="AH1288" i="7"/>
  <c r="AH816" i="7"/>
  <c r="AC516" i="7"/>
  <c r="AC523" i="7" s="1"/>
  <c r="AC535" i="7"/>
  <c r="AD531" i="7" s="1"/>
  <c r="AB1015" i="7"/>
  <c r="AB1016" i="7" s="1"/>
  <c r="AB1001" i="7"/>
  <c r="AA98" i="7"/>
  <c r="AB94" i="7" s="1"/>
  <c r="AB113" i="7"/>
  <c r="AB114" i="7"/>
  <c r="AD567" i="7"/>
  <c r="AE563" i="7" s="1"/>
  <c r="AC47" i="7"/>
  <c r="AC54" i="7" s="1"/>
  <c r="AB121" i="7"/>
  <c r="AC116" i="7" s="1"/>
  <c r="AA66" i="7"/>
  <c r="AD596" i="7"/>
  <c r="AD603" i="7" s="1"/>
  <c r="AC583" i="7"/>
  <c r="AB548" i="7"/>
  <c r="AB555" i="7" s="1"/>
  <c r="AH1370" i="7" l="1"/>
  <c r="AC517" i="7"/>
  <c r="AB1017" i="7"/>
  <c r="AC1013" i="7" s="1"/>
  <c r="AC1014" i="7" s="1"/>
  <c r="AC1021" i="7" s="1"/>
  <c r="AC997" i="7"/>
  <c r="AA107" i="7"/>
  <c r="AC48" i="7"/>
  <c r="AC49" i="7" s="1"/>
  <c r="AB95" i="7"/>
  <c r="AB102" i="7" s="1"/>
  <c r="AB62" i="7"/>
  <c r="AB123" i="7"/>
  <c r="AC110" i="7"/>
  <c r="AB549" i="7"/>
  <c r="AD532" i="7"/>
  <c r="AD539" i="7" s="1"/>
  <c r="AD597" i="7"/>
  <c r="AD598" i="7" s="1"/>
  <c r="AE564" i="7"/>
  <c r="AE571" i="7" s="1"/>
  <c r="AD579" i="7"/>
  <c r="AH1382" i="7" l="1"/>
  <c r="AC519" i="7"/>
  <c r="AD515" i="7" s="1"/>
  <c r="AD516" i="7" s="1"/>
  <c r="AD523" i="7" s="1"/>
  <c r="AC518" i="7"/>
  <c r="AB550" i="7"/>
  <c r="AB551" i="7"/>
  <c r="AC547" i="7" s="1"/>
  <c r="AC548" i="7" s="1"/>
  <c r="AC555" i="7" s="1"/>
  <c r="AC1015" i="7"/>
  <c r="AC1016" i="7" s="1"/>
  <c r="AC998" i="7"/>
  <c r="AC1005" i="7" s="1"/>
  <c r="AC50" i="7"/>
  <c r="AD46" i="7" s="1"/>
  <c r="AB103" i="7"/>
  <c r="AB104" i="7" s="1"/>
  <c r="AC111" i="7"/>
  <c r="AC118" i="7" s="1"/>
  <c r="AB63" i="7"/>
  <c r="AB70" i="7" s="1"/>
  <c r="AB96" i="7"/>
  <c r="AB97" i="7" s="1"/>
  <c r="AD599" i="7"/>
  <c r="AE595" i="7" s="1"/>
  <c r="AE565" i="7"/>
  <c r="AD580" i="7"/>
  <c r="AD587" i="7" s="1"/>
  <c r="AD533" i="7"/>
  <c r="AD517" i="7" l="1"/>
  <c r="AC1017" i="7"/>
  <c r="AD1013" i="7" s="1"/>
  <c r="AC999" i="7"/>
  <c r="AC1000" i="7" s="1"/>
  <c r="AD47" i="7"/>
  <c r="AD54" i="7" s="1"/>
  <c r="AB98" i="7"/>
  <c r="AC94" i="7" s="1"/>
  <c r="AC119" i="7"/>
  <c r="AC120" i="7" s="1"/>
  <c r="AB64" i="7"/>
  <c r="AB105" i="7"/>
  <c r="AC100" i="7" s="1"/>
  <c r="AC112" i="7"/>
  <c r="AC113" i="7" s="1"/>
  <c r="AE596" i="7"/>
  <c r="AE603" i="7" s="1"/>
  <c r="AE566" i="7"/>
  <c r="AE567" i="7"/>
  <c r="AD534" i="7"/>
  <c r="AD535" i="7"/>
  <c r="AD581" i="7"/>
  <c r="AC549" i="7"/>
  <c r="AD519" i="7" l="1"/>
  <c r="AC1001" i="7"/>
  <c r="AD997" i="7" s="1"/>
  <c r="AD1014" i="7"/>
  <c r="AD1021" i="7" s="1"/>
  <c r="AD48" i="7"/>
  <c r="AD49" i="7" s="1"/>
  <c r="AB107" i="7"/>
  <c r="AC95" i="7"/>
  <c r="AC102" i="7" s="1"/>
  <c r="AB65" i="7"/>
  <c r="AB66" i="7"/>
  <c r="AC114" i="7"/>
  <c r="AC121" i="7"/>
  <c r="AD116" i="7" s="1"/>
  <c r="AD582" i="7"/>
  <c r="AD583" i="7"/>
  <c r="AC550" i="7"/>
  <c r="AC551" i="7"/>
  <c r="AE531" i="7"/>
  <c r="AF563" i="7"/>
  <c r="AE597" i="7"/>
  <c r="AD518" i="7"/>
  <c r="AE515" i="7" l="1"/>
  <c r="AD1015" i="7"/>
  <c r="AD1016" i="7" s="1"/>
  <c r="AD998" i="7"/>
  <c r="AD1005" i="7" s="1"/>
  <c r="AD50" i="7"/>
  <c r="AC103" i="7"/>
  <c r="AC104" i="7" s="1"/>
  <c r="AC96" i="7"/>
  <c r="AC97" i="7" s="1"/>
  <c r="AC62" i="7"/>
  <c r="AC123" i="7"/>
  <c r="AD110" i="7"/>
  <c r="AE532" i="7"/>
  <c r="AE539" i="7" s="1"/>
  <c r="AE598" i="7"/>
  <c r="AE599" i="7"/>
  <c r="AF564" i="7"/>
  <c r="AF571" i="7" s="1"/>
  <c r="AD547" i="7"/>
  <c r="AE579" i="7"/>
  <c r="AE516" i="7" l="1"/>
  <c r="AE523" i="7" s="1"/>
  <c r="AD999" i="7"/>
  <c r="AD1000" i="7" s="1"/>
  <c r="AD1017" i="7"/>
  <c r="AE1013" i="7" s="1"/>
  <c r="AE46" i="7"/>
  <c r="AE47" i="7" s="1"/>
  <c r="AE54" i="7" s="1"/>
  <c r="AC105" i="7"/>
  <c r="AD100" i="7" s="1"/>
  <c r="AC98" i="7"/>
  <c r="AC63" i="7"/>
  <c r="AC70" i="7" s="1"/>
  <c r="AD111" i="7"/>
  <c r="AD118" i="7" s="1"/>
  <c r="AD548" i="7"/>
  <c r="AD555" i="7" s="1"/>
  <c r="AF595" i="7"/>
  <c r="AE533" i="7"/>
  <c r="AE534" i="7" s="1"/>
  <c r="AE580" i="7"/>
  <c r="AE587" i="7" s="1"/>
  <c r="AF565" i="7"/>
  <c r="AE517" i="7" l="1"/>
  <c r="AD1001" i="7"/>
  <c r="AE997" i="7" s="1"/>
  <c r="AD112" i="7"/>
  <c r="AD113" i="7" s="1"/>
  <c r="AE1014" i="7"/>
  <c r="AE1021" i="7" s="1"/>
  <c r="AE48" i="7"/>
  <c r="AE49" i="7" s="1"/>
  <c r="AC107" i="7"/>
  <c r="AD94" i="7"/>
  <c r="AD95" i="7" s="1"/>
  <c r="AD102" i="7" s="1"/>
  <c r="AD103" i="7" s="1"/>
  <c r="AD104" i="7" s="1"/>
  <c r="AC64" i="7"/>
  <c r="AC65" i="7" s="1"/>
  <c r="AD119" i="7"/>
  <c r="AD120" i="7" s="1"/>
  <c r="AD549" i="7"/>
  <c r="AE581" i="7"/>
  <c r="AE582" i="7" s="1"/>
  <c r="AF596" i="7"/>
  <c r="AF603" i="7" s="1"/>
  <c r="AF566" i="7"/>
  <c r="AF567" i="7"/>
  <c r="AE535" i="7"/>
  <c r="AE518" i="7" l="1"/>
  <c r="AE519" i="7"/>
  <c r="AF515" i="7" s="1"/>
  <c r="AD114" i="7"/>
  <c r="AE110" i="7" s="1"/>
  <c r="AD551" i="7"/>
  <c r="AE547" i="7" s="1"/>
  <c r="AE548" i="7" s="1"/>
  <c r="AE555" i="7" s="1"/>
  <c r="AE1015" i="7"/>
  <c r="AE1016" i="7" s="1"/>
  <c r="AE998" i="7"/>
  <c r="AE1005" i="7" s="1"/>
  <c r="AE50" i="7"/>
  <c r="AF46" i="7" s="1"/>
  <c r="AF47" i="7" s="1"/>
  <c r="AF54" i="7" s="1"/>
  <c r="AD550" i="7"/>
  <c r="AC66" i="7"/>
  <c r="AD62" i="7" s="1"/>
  <c r="AD96" i="7"/>
  <c r="AD97" i="7" s="1"/>
  <c r="AD105" i="7"/>
  <c r="AE100" i="7" s="1"/>
  <c r="AD121" i="7"/>
  <c r="AE116" i="7" s="1"/>
  <c r="AE583" i="7"/>
  <c r="AF579" i="7" s="1"/>
  <c r="AG563" i="7"/>
  <c r="AF531" i="7"/>
  <c r="AF597" i="7"/>
  <c r="AF598" i="7" s="1"/>
  <c r="AF516" i="7" l="1"/>
  <c r="AF523" i="7" s="1"/>
  <c r="AE1017" i="7"/>
  <c r="AF1013" i="7" s="1"/>
  <c r="AF1014" i="7" s="1"/>
  <c r="AF1021" i="7" s="1"/>
  <c r="AE999" i="7"/>
  <c r="AE1000" i="7" s="1"/>
  <c r="AD98" i="7"/>
  <c r="AF48" i="7"/>
  <c r="AD123" i="7"/>
  <c r="AE111" i="7"/>
  <c r="AE118" i="7" s="1"/>
  <c r="AE119" i="7" s="1"/>
  <c r="AE549" i="7"/>
  <c r="AD63" i="7"/>
  <c r="AD70" i="7" s="1"/>
  <c r="AG564" i="7"/>
  <c r="AG571" i="7" s="1"/>
  <c r="AF580" i="7"/>
  <c r="AF587" i="7" s="1"/>
  <c r="AF532" i="7"/>
  <c r="AF539" i="7" s="1"/>
  <c r="AF599" i="7"/>
  <c r="AF517" i="7" l="1"/>
  <c r="AE550" i="7"/>
  <c r="AE551" i="7"/>
  <c r="AF547" i="7" s="1"/>
  <c r="AF548" i="7" s="1"/>
  <c r="AF555" i="7" s="1"/>
  <c r="AF1015" i="7"/>
  <c r="AF1016" i="7" s="1"/>
  <c r="AE1001" i="7"/>
  <c r="AE94" i="7"/>
  <c r="AE95" i="7" s="1"/>
  <c r="AE102" i="7" s="1"/>
  <c r="AE103" i="7" s="1"/>
  <c r="AE104" i="7" s="1"/>
  <c r="AD107" i="7"/>
  <c r="AE120" i="7"/>
  <c r="AE121" i="7"/>
  <c r="AF116" i="7" s="1"/>
  <c r="AD64" i="7"/>
  <c r="AD65" i="7" s="1"/>
  <c r="AE112" i="7"/>
  <c r="AF49" i="7"/>
  <c r="AF50" i="7"/>
  <c r="AF581" i="7"/>
  <c r="AF582" i="7" s="1"/>
  <c r="AF533" i="7"/>
  <c r="AG565" i="7"/>
  <c r="AG595" i="7"/>
  <c r="AF518" i="7" l="1"/>
  <c r="AF519" i="7"/>
  <c r="AG515" i="7" s="1"/>
  <c r="AF1017" i="7"/>
  <c r="AG1013" i="7" s="1"/>
  <c r="AF997" i="7"/>
  <c r="AE96" i="7"/>
  <c r="AE97" i="7" s="1"/>
  <c r="AD66" i="7"/>
  <c r="AE62" i="7" s="1"/>
  <c r="AG46" i="7"/>
  <c r="AE113" i="7"/>
  <c r="AE114" i="7"/>
  <c r="AF583" i="7"/>
  <c r="AG579" i="7" s="1"/>
  <c r="AE105" i="7"/>
  <c r="AF100" i="7" s="1"/>
  <c r="AF534" i="7"/>
  <c r="AF535" i="7"/>
  <c r="AG531" i="7" s="1"/>
  <c r="AG532" i="7" s="1"/>
  <c r="AG539" i="7" s="1"/>
  <c r="AF549" i="7"/>
  <c r="AF550" i="7" s="1"/>
  <c r="AG566" i="7"/>
  <c r="AG567" i="7"/>
  <c r="AG596" i="7"/>
  <c r="AG603" i="7" s="1"/>
  <c r="AG516" i="7" l="1"/>
  <c r="AG523" i="7" s="1"/>
  <c r="AF998" i="7"/>
  <c r="AF1005" i="7" s="1"/>
  <c r="AG1014" i="7"/>
  <c r="AG1021" i="7" s="1"/>
  <c r="AE98" i="7"/>
  <c r="AF94" i="7" s="1"/>
  <c r="AF95" i="7" s="1"/>
  <c r="AF102" i="7" s="1"/>
  <c r="AF103" i="7" s="1"/>
  <c r="AF104" i="7" s="1"/>
  <c r="AF551" i="7"/>
  <c r="AG547" i="7" s="1"/>
  <c r="AE63" i="7"/>
  <c r="AE70" i="7" s="1"/>
  <c r="AE123" i="7"/>
  <c r="AF110" i="7"/>
  <c r="AG47" i="7"/>
  <c r="AG54" i="7" s="1"/>
  <c r="AG597" i="7"/>
  <c r="AG598" i="7" s="1"/>
  <c r="AG533" i="7"/>
  <c r="AG534" i="7" s="1"/>
  <c r="AH563" i="7"/>
  <c r="AG580" i="7"/>
  <c r="AG587" i="7" s="1"/>
  <c r="AG517" i="7" l="1"/>
  <c r="AE107" i="7"/>
  <c r="AG1015" i="7"/>
  <c r="AG1016" i="7" s="1"/>
  <c r="AF999" i="7"/>
  <c r="AF1000" i="7" s="1"/>
  <c r="AF96" i="7"/>
  <c r="AF97" i="7" s="1"/>
  <c r="AF105" i="7"/>
  <c r="AG100" i="7" s="1"/>
  <c r="AG48" i="7"/>
  <c r="AG49" i="7" s="1"/>
  <c r="AF111" i="7"/>
  <c r="AF118" i="7" s="1"/>
  <c r="AE64" i="7"/>
  <c r="AE65" i="7" s="1"/>
  <c r="AG535" i="7"/>
  <c r="AH564" i="7"/>
  <c r="AH571" i="7" s="1"/>
  <c r="AG599" i="7"/>
  <c r="AG548" i="7"/>
  <c r="AG555" i="7" s="1"/>
  <c r="AG581" i="7"/>
  <c r="I30" i="7"/>
  <c r="AG519" i="7" l="1"/>
  <c r="AH515" i="7" s="1"/>
  <c r="AH516" i="7" s="1"/>
  <c r="AH523" i="7" s="1"/>
  <c r="AG518" i="7"/>
  <c r="AG1017" i="7"/>
  <c r="AH1013" i="7" s="1"/>
  <c r="AF1001" i="7"/>
  <c r="AG50" i="7"/>
  <c r="AH46" i="7" s="1"/>
  <c r="AH47" i="7" s="1"/>
  <c r="AH54" i="7" s="1"/>
  <c r="AF98" i="7"/>
  <c r="AF107" i="7" s="1"/>
  <c r="AF112" i="7"/>
  <c r="AF113" i="7" s="1"/>
  <c r="I31" i="7"/>
  <c r="I38" i="7" s="1"/>
  <c r="I39" i="7" s="1"/>
  <c r="AF119" i="7"/>
  <c r="AF120" i="7" s="1"/>
  <c r="AH531" i="7"/>
  <c r="AH532" i="7" s="1"/>
  <c r="AH539" i="7" s="1"/>
  <c r="AE66" i="7"/>
  <c r="AH565" i="7"/>
  <c r="AH566" i="7" s="1"/>
  <c r="AG549" i="7"/>
  <c r="AG582" i="7"/>
  <c r="AG583" i="7"/>
  <c r="AH595" i="7"/>
  <c r="I32" i="7" l="1"/>
  <c r="AH517" i="7"/>
  <c r="AG551" i="7"/>
  <c r="AH547" i="7" s="1"/>
  <c r="AF114" i="7"/>
  <c r="AG110" i="7" s="1"/>
  <c r="AG94" i="7"/>
  <c r="AG95" i="7" s="1"/>
  <c r="AG102" i="7" s="1"/>
  <c r="AH1014" i="7"/>
  <c r="AH1021" i="7" s="1"/>
  <c r="AG997" i="7"/>
  <c r="AH567" i="7"/>
  <c r="I41" i="7"/>
  <c r="J36" i="7" s="1"/>
  <c r="AH533" i="7"/>
  <c r="AH534" i="7" s="1"/>
  <c r="AF62" i="7"/>
  <c r="AF121" i="7"/>
  <c r="AG116" i="7" s="1"/>
  <c r="AH48" i="7"/>
  <c r="AG550" i="7"/>
  <c r="AH579" i="7"/>
  <c r="AH596" i="7"/>
  <c r="AH603" i="7" s="1"/>
  <c r="I33" i="7" l="1"/>
  <c r="AH519" i="7"/>
  <c r="AG998" i="7"/>
  <c r="AG1005" i="7" s="1"/>
  <c r="AH1015" i="7"/>
  <c r="AH1016" i="7" s="1"/>
  <c r="AH535" i="7"/>
  <c r="I34" i="7"/>
  <c r="I43" i="7" s="1"/>
  <c r="AF123" i="7"/>
  <c r="AG96" i="7"/>
  <c r="AG97" i="7" s="1"/>
  <c r="AG103" i="7"/>
  <c r="AG104" i="7" s="1"/>
  <c r="AF63" i="7"/>
  <c r="AF70" i="7" s="1"/>
  <c r="AH49" i="7"/>
  <c r="AH50" i="7"/>
  <c r="AG111" i="7"/>
  <c r="AG118" i="7" s="1"/>
  <c r="AG119" i="7" s="1"/>
  <c r="AG120" i="7" s="1"/>
  <c r="I40" i="7"/>
  <c r="AH597" i="7"/>
  <c r="AH598" i="7" s="1"/>
  <c r="AH580" i="7"/>
  <c r="AH587" i="7" s="1"/>
  <c r="AH548" i="7"/>
  <c r="AH555" i="7" s="1"/>
  <c r="AH518" i="7"/>
  <c r="AG98" i="7" l="1"/>
  <c r="AH94" i="7" s="1"/>
  <c r="AH1017" i="7"/>
  <c r="AG999" i="7"/>
  <c r="AG1000" i="7" s="1"/>
  <c r="J30" i="7"/>
  <c r="AF64" i="7"/>
  <c r="AF65" i="7" s="1"/>
  <c r="AH599" i="7"/>
  <c r="AH581" i="7"/>
  <c r="AH582" i="7" s="1"/>
  <c r="AG112" i="7"/>
  <c r="AG105" i="7"/>
  <c r="AH100" i="7" s="1"/>
  <c r="AG121" i="7"/>
  <c r="AH116" i="7" s="1"/>
  <c r="AH549" i="7"/>
  <c r="J31" i="7" l="1"/>
  <c r="J38" i="7" s="1"/>
  <c r="AF66" i="7"/>
  <c r="AG62" i="7" s="1"/>
  <c r="AH550" i="7"/>
  <c r="AG1001" i="7"/>
  <c r="AH997" i="7" s="1"/>
  <c r="AH583" i="7"/>
  <c r="AG107" i="7"/>
  <c r="AH551" i="7"/>
  <c r="AH95" i="7"/>
  <c r="AH102" i="7" s="1"/>
  <c r="AH103" i="7" s="1"/>
  <c r="AH104" i="7" s="1"/>
  <c r="AG113" i="7"/>
  <c r="AG114" i="7"/>
  <c r="J39" i="7" l="1"/>
  <c r="J41" i="7" s="1"/>
  <c r="K36" i="7" s="1"/>
  <c r="J32" i="7"/>
  <c r="AH998" i="7"/>
  <c r="AH1005" i="7" s="1"/>
  <c r="AH105" i="7"/>
  <c r="AG123" i="7"/>
  <c r="AH110" i="7"/>
  <c r="AG63" i="7"/>
  <c r="AG70" i="7" s="1"/>
  <c r="AH96" i="7"/>
  <c r="AH97" i="7" s="1"/>
  <c r="J40" i="7" l="1"/>
  <c r="J34" i="7"/>
  <c r="K30" i="7" s="1"/>
  <c r="J33" i="7"/>
  <c r="AH999" i="7"/>
  <c r="AH1000" i="7" s="1"/>
  <c r="AH98" i="7"/>
  <c r="AH107" i="7" s="1"/>
  <c r="AG64" i="7"/>
  <c r="AH111" i="7"/>
  <c r="AH118" i="7" s="1"/>
  <c r="J43" i="7" l="1"/>
  <c r="AH1001" i="7"/>
  <c r="K31" i="7"/>
  <c r="K38" i="7" s="1"/>
  <c r="K39" i="7" s="1"/>
  <c r="AH119" i="7"/>
  <c r="AH120" i="7" s="1"/>
  <c r="AG65" i="7"/>
  <c r="AG66" i="7"/>
  <c r="AH112" i="7"/>
  <c r="K32" i="7" l="1"/>
  <c r="AH62" i="7"/>
  <c r="AH113" i="7"/>
  <c r="AH114" i="7"/>
  <c r="K41" i="7"/>
  <c r="L36" i="7" s="1"/>
  <c r="AH121" i="7"/>
  <c r="K34" i="7" l="1"/>
  <c r="K43" i="7" s="1"/>
  <c r="K33" i="7"/>
  <c r="K40" i="7"/>
  <c r="AH63" i="7"/>
  <c r="AH70" i="7" s="1"/>
  <c r="AH123" i="7"/>
  <c r="L30" i="7" l="1"/>
  <c r="AH64" i="7"/>
  <c r="AH65" i="7" s="1"/>
  <c r="L31" i="7" l="1"/>
  <c r="L38" i="7" s="1"/>
  <c r="AH66" i="7"/>
  <c r="H16" i="1"/>
  <c r="H155" i="32" s="1"/>
  <c r="G340" i="1"/>
  <c r="G350" i="1"/>
  <c r="G372" i="1"/>
  <c r="H372" i="1" s="1"/>
  <c r="I372" i="1" s="1"/>
  <c r="J372" i="1" s="1"/>
  <c r="G381" i="1"/>
  <c r="H381" i="1" s="1"/>
  <c r="G390" i="1"/>
  <c r="H390" i="1" s="1"/>
  <c r="H53" i="7"/>
  <c r="I69" i="7"/>
  <c r="I71" i="7" s="1"/>
  <c r="I85" i="7"/>
  <c r="I87" i="7" s="1"/>
  <c r="L39" i="7" l="1"/>
  <c r="L41" i="7" s="1"/>
  <c r="M36" i="7" s="1"/>
  <c r="L32" i="7"/>
  <c r="H73" i="6"/>
  <c r="H216" i="32" s="1"/>
  <c r="H55" i="7"/>
  <c r="H76" i="5" s="1"/>
  <c r="I89" i="7"/>
  <c r="I88" i="7"/>
  <c r="I73" i="7"/>
  <c r="I72" i="7"/>
  <c r="J69" i="7"/>
  <c r="H340" i="1"/>
  <c r="K372" i="1"/>
  <c r="I53" i="7"/>
  <c r="I73" i="6" s="1"/>
  <c r="I216" i="32" s="1"/>
  <c r="H350" i="1"/>
  <c r="I390" i="1"/>
  <c r="H46" i="1"/>
  <c r="I381" i="1"/>
  <c r="I16" i="1"/>
  <c r="I155" i="32" s="1"/>
  <c r="H18" i="1"/>
  <c r="L40" i="7" l="1"/>
  <c r="L34" i="7"/>
  <c r="L43" i="7" s="1"/>
  <c r="L33" i="7"/>
  <c r="J16" i="1"/>
  <c r="J155" i="32" s="1"/>
  <c r="K69" i="7"/>
  <c r="I77" i="6"/>
  <c r="I207" i="32" s="1"/>
  <c r="K85" i="7"/>
  <c r="J85" i="7"/>
  <c r="H77" i="6"/>
  <c r="H207" i="32" s="1"/>
  <c r="J68" i="7"/>
  <c r="I75" i="7"/>
  <c r="H56" i="7"/>
  <c r="H61" i="6"/>
  <c r="H57" i="7"/>
  <c r="J84" i="7"/>
  <c r="I91" i="7"/>
  <c r="I340" i="1"/>
  <c r="I350" i="1"/>
  <c r="J390" i="1"/>
  <c r="L372" i="1"/>
  <c r="J381" i="1"/>
  <c r="I18" i="1"/>
  <c r="J53" i="7"/>
  <c r="I46" i="1"/>
  <c r="M30" i="7" l="1"/>
  <c r="M31" i="7" s="1"/>
  <c r="M38" i="7" s="1"/>
  <c r="L69" i="7"/>
  <c r="J73" i="6"/>
  <c r="J216" i="32" s="1"/>
  <c r="L85" i="7"/>
  <c r="I52" i="7"/>
  <c r="H59" i="7"/>
  <c r="H64" i="2" s="1"/>
  <c r="H66" i="2" s="1"/>
  <c r="J71" i="7"/>
  <c r="J73" i="7" s="1"/>
  <c r="J340" i="1"/>
  <c r="K340" i="1" s="1"/>
  <c r="J78" i="7"/>
  <c r="K381" i="1"/>
  <c r="J350" i="1"/>
  <c r="K16" i="1"/>
  <c r="K155" i="32" s="1"/>
  <c r="J18" i="1"/>
  <c r="K53" i="7"/>
  <c r="K73" i="6" s="1"/>
  <c r="K216" i="32" s="1"/>
  <c r="J46" i="1"/>
  <c r="M372" i="1"/>
  <c r="K390" i="1"/>
  <c r="M39" i="7" l="1"/>
  <c r="M40" i="7" s="1"/>
  <c r="M32" i="7"/>
  <c r="M69" i="7"/>
  <c r="M85" i="7"/>
  <c r="J77" i="6"/>
  <c r="J207" i="32" s="1"/>
  <c r="K77" i="6"/>
  <c r="K207" i="32" s="1"/>
  <c r="J72" i="7"/>
  <c r="K68" i="7"/>
  <c r="J75" i="7"/>
  <c r="I55" i="7"/>
  <c r="I76" i="5" s="1"/>
  <c r="J79" i="7"/>
  <c r="J86" i="7" s="1"/>
  <c r="L53" i="7"/>
  <c r="L73" i="6" s="1"/>
  <c r="L216" i="32" s="1"/>
  <c r="K46" i="1"/>
  <c r="L381" i="1"/>
  <c r="L390" i="1"/>
  <c r="N372" i="1"/>
  <c r="L340" i="1"/>
  <c r="K18" i="1"/>
  <c r="L16" i="1"/>
  <c r="L155" i="32" s="1"/>
  <c r="K350" i="1"/>
  <c r="M41" i="7" l="1"/>
  <c r="N36" i="7" s="1"/>
  <c r="M33" i="7"/>
  <c r="M34" i="7"/>
  <c r="N85" i="7"/>
  <c r="N69" i="7"/>
  <c r="I57" i="7"/>
  <c r="I59" i="7" s="1"/>
  <c r="I64" i="2" s="1"/>
  <c r="I66" i="2" s="1"/>
  <c r="L77" i="6"/>
  <c r="L207" i="32" s="1"/>
  <c r="I61" i="6"/>
  <c r="I56" i="7"/>
  <c r="K71" i="7"/>
  <c r="K73" i="7" s="1"/>
  <c r="J80" i="7"/>
  <c r="J87" i="7"/>
  <c r="L350" i="1"/>
  <c r="M16" i="1"/>
  <c r="M155" i="32" s="1"/>
  <c r="L18" i="1"/>
  <c r="M381" i="1"/>
  <c r="O372" i="1"/>
  <c r="O85" i="7"/>
  <c r="O69" i="7"/>
  <c r="M390" i="1"/>
  <c r="M340" i="1"/>
  <c r="M53" i="7"/>
  <c r="M73" i="6" s="1"/>
  <c r="M216" i="32" s="1"/>
  <c r="L46" i="1"/>
  <c r="M43" i="7" l="1"/>
  <c r="N30" i="7"/>
  <c r="N31" i="7" s="1"/>
  <c r="N38" i="7" s="1"/>
  <c r="N39" i="7" s="1"/>
  <c r="J52" i="7"/>
  <c r="J55" i="7" s="1"/>
  <c r="M77" i="6"/>
  <c r="M207" i="32" s="1"/>
  <c r="L68" i="7"/>
  <c r="K75" i="7"/>
  <c r="K72" i="7"/>
  <c r="J82" i="7"/>
  <c r="K78" i="7" s="1"/>
  <c r="J88" i="7"/>
  <c r="J81" i="7"/>
  <c r="J89" i="7"/>
  <c r="K84" i="7" s="1"/>
  <c r="N340" i="1"/>
  <c r="M46" i="1"/>
  <c r="N53" i="7"/>
  <c r="N73" i="6" s="1"/>
  <c r="N216" i="32" s="1"/>
  <c r="N381" i="1"/>
  <c r="M350" i="1"/>
  <c r="N390" i="1"/>
  <c r="P69" i="7"/>
  <c r="P85" i="7"/>
  <c r="P372" i="1"/>
  <c r="N16" i="1"/>
  <c r="M18" i="1"/>
  <c r="J57" i="7" l="1"/>
  <c r="J59" i="7" s="1"/>
  <c r="J76" i="5"/>
  <c r="J61" i="6" s="1"/>
  <c r="N32" i="7"/>
  <c r="N155" i="32"/>
  <c r="O16" i="1"/>
  <c r="O155" i="32" s="1"/>
  <c r="J56" i="7"/>
  <c r="N77" i="6"/>
  <c r="N207" i="32" s="1"/>
  <c r="L71" i="7"/>
  <c r="L73" i="7" s="1"/>
  <c r="J91" i="7"/>
  <c r="K79" i="7"/>
  <c r="K86" i="7" s="1"/>
  <c r="N40" i="7"/>
  <c r="Q69" i="7"/>
  <c r="Q372" i="1"/>
  <c r="O381" i="1"/>
  <c r="N18" i="1"/>
  <c r="O340" i="1"/>
  <c r="Q85" i="7"/>
  <c r="O390" i="1"/>
  <c r="N350" i="1"/>
  <c r="O53" i="7"/>
  <c r="O73" i="6" s="1"/>
  <c r="O216" i="32" s="1"/>
  <c r="N46" i="1"/>
  <c r="J64" i="2" l="1"/>
  <c r="J66" i="2" s="1"/>
  <c r="K52" i="7"/>
  <c r="K55" i="7" s="1"/>
  <c r="K56" i="7" s="1"/>
  <c r="O77" i="6"/>
  <c r="O207" i="32" s="1"/>
  <c r="L72" i="7"/>
  <c r="M68" i="7"/>
  <c r="M71" i="7" s="1"/>
  <c r="M73" i="7" s="1"/>
  <c r="L75" i="7"/>
  <c r="K87" i="7"/>
  <c r="K89" i="7" s="1"/>
  <c r="L84" i="7" s="1"/>
  <c r="K80" i="7"/>
  <c r="N33" i="7"/>
  <c r="N34" i="7"/>
  <c r="N41" i="7"/>
  <c r="O36" i="7" s="1"/>
  <c r="R85" i="7"/>
  <c r="O46" i="1"/>
  <c r="P53" i="7"/>
  <c r="P73" i="6" s="1"/>
  <c r="P216" i="32" s="1"/>
  <c r="P390" i="1"/>
  <c r="P340" i="1"/>
  <c r="P381" i="1"/>
  <c r="R372" i="1"/>
  <c r="P16" i="1"/>
  <c r="P155" i="32" s="1"/>
  <c r="O18" i="1"/>
  <c r="O350" i="1"/>
  <c r="R69" i="7"/>
  <c r="K57" i="7" l="1"/>
  <c r="K76" i="5"/>
  <c r="K61" i="6" s="1"/>
  <c r="P77" i="6"/>
  <c r="P207" i="32" s="1"/>
  <c r="N68" i="7"/>
  <c r="N71" i="7" s="1"/>
  <c r="N73" i="7" s="1"/>
  <c r="M75" i="7"/>
  <c r="M72" i="7"/>
  <c r="K81" i="7"/>
  <c r="K82" i="7"/>
  <c r="K91" i="7" s="1"/>
  <c r="N43" i="7"/>
  <c r="O30" i="7"/>
  <c r="K88" i="7"/>
  <c r="S69" i="7"/>
  <c r="Q390" i="1"/>
  <c r="S85" i="7"/>
  <c r="Q16" i="1"/>
  <c r="Q155" i="32" s="1"/>
  <c r="P18" i="1"/>
  <c r="S372" i="1"/>
  <c r="P350" i="1"/>
  <c r="Q340" i="1"/>
  <c r="Q53" i="7"/>
  <c r="Q73" i="6" s="1"/>
  <c r="Q216" i="32" s="1"/>
  <c r="P46" i="1"/>
  <c r="Q381" i="1"/>
  <c r="K59" i="7" l="1"/>
  <c r="K64" i="2" s="1"/>
  <c r="K66" i="2" s="1"/>
  <c r="L52" i="7"/>
  <c r="O68" i="7"/>
  <c r="O71" i="7" s="1"/>
  <c r="N75" i="7"/>
  <c r="Q77" i="6"/>
  <c r="Q207" i="32" s="1"/>
  <c r="N72" i="7"/>
  <c r="O31" i="7"/>
  <c r="O38" i="7" s="1"/>
  <c r="O39" i="7" s="1"/>
  <c r="L78" i="7"/>
  <c r="R381" i="1"/>
  <c r="R53" i="7"/>
  <c r="R73" i="6" s="1"/>
  <c r="R216" i="32" s="1"/>
  <c r="Q46" i="1"/>
  <c r="Q350" i="1"/>
  <c r="R390" i="1"/>
  <c r="T69" i="7"/>
  <c r="T85" i="7"/>
  <c r="R16" i="1"/>
  <c r="R155" i="32" s="1"/>
  <c r="Q18" i="1"/>
  <c r="R340" i="1"/>
  <c r="T372" i="1"/>
  <c r="L55" i="7" l="1"/>
  <c r="L56" i="7" s="1"/>
  <c r="O32" i="7"/>
  <c r="O73" i="7"/>
  <c r="O72" i="7"/>
  <c r="R77" i="6"/>
  <c r="R207" i="32" s="1"/>
  <c r="O40" i="7"/>
  <c r="L79" i="7"/>
  <c r="L86" i="7" s="1"/>
  <c r="S340" i="1"/>
  <c r="U372" i="1"/>
  <c r="U69" i="7"/>
  <c r="S390" i="1"/>
  <c r="S381" i="1"/>
  <c r="R18" i="1"/>
  <c r="S16" i="1"/>
  <c r="S155" i="32" s="1"/>
  <c r="U85" i="7"/>
  <c r="R350" i="1"/>
  <c r="S53" i="7"/>
  <c r="S73" i="6" s="1"/>
  <c r="S216" i="32" s="1"/>
  <c r="R46" i="1"/>
  <c r="L57" i="7" l="1"/>
  <c r="M52" i="7" s="1"/>
  <c r="P68" i="7"/>
  <c r="O75" i="7"/>
  <c r="S77" i="6"/>
  <c r="S207" i="32" s="1"/>
  <c r="O33" i="7"/>
  <c r="L80" i="7"/>
  <c r="O41" i="7"/>
  <c r="P36" i="7" s="1"/>
  <c r="L87" i="7"/>
  <c r="L89" i="7" s="1"/>
  <c r="M84" i="7" s="1"/>
  <c r="O34" i="7"/>
  <c r="T53" i="7"/>
  <c r="T73" i="6" s="1"/>
  <c r="T216" i="32" s="1"/>
  <c r="S46" i="1"/>
  <c r="S350" i="1"/>
  <c r="T340" i="1"/>
  <c r="V69" i="7"/>
  <c r="V85" i="7"/>
  <c r="S18" i="1"/>
  <c r="T16" i="1"/>
  <c r="T155" i="32" s="1"/>
  <c r="T381" i="1"/>
  <c r="T390" i="1"/>
  <c r="V372" i="1"/>
  <c r="L76" i="5" l="1"/>
  <c r="L61" i="6" s="1"/>
  <c r="L59" i="7"/>
  <c r="M55" i="7"/>
  <c r="M56" i="7" s="1"/>
  <c r="P71" i="7"/>
  <c r="P72" i="7" s="1"/>
  <c r="T77" i="6"/>
  <c r="T207" i="32" s="1"/>
  <c r="L81" i="7"/>
  <c r="L82" i="7"/>
  <c r="M78" i="7" s="1"/>
  <c r="M79" i="7" s="1"/>
  <c r="M86" i="7" s="1"/>
  <c r="L88" i="7"/>
  <c r="O43" i="7"/>
  <c r="P30" i="7"/>
  <c r="W85" i="7"/>
  <c r="U340" i="1"/>
  <c r="T350" i="1"/>
  <c r="U390" i="1"/>
  <c r="U16" i="1"/>
  <c r="T18" i="1"/>
  <c r="U53" i="7"/>
  <c r="U73" i="6" s="1"/>
  <c r="U216" i="32" s="1"/>
  <c r="T46" i="1"/>
  <c r="W372" i="1"/>
  <c r="U381" i="1"/>
  <c r="W69" i="7"/>
  <c r="M57" i="7" l="1"/>
  <c r="N52" i="7" s="1"/>
  <c r="U155" i="32"/>
  <c r="V16" i="1"/>
  <c r="V155" i="32" s="1"/>
  <c r="P73" i="7"/>
  <c r="Q68" i="7" s="1"/>
  <c r="U77" i="6"/>
  <c r="U207" i="32" s="1"/>
  <c r="L91" i="7"/>
  <c r="L64" i="2" s="1"/>
  <c r="M87" i="7"/>
  <c r="M89" i="7" s="1"/>
  <c r="N84" i="7" s="1"/>
  <c r="P31" i="7"/>
  <c r="P38" i="7" s="1"/>
  <c r="P39" i="7" s="1"/>
  <c r="M80" i="7"/>
  <c r="V340" i="1"/>
  <c r="U18" i="1"/>
  <c r="U350" i="1"/>
  <c r="X69" i="7"/>
  <c r="V381" i="1"/>
  <c r="U46" i="1"/>
  <c r="V53" i="7"/>
  <c r="V73" i="6" s="1"/>
  <c r="V216" i="32" s="1"/>
  <c r="X85" i="7"/>
  <c r="X372" i="1"/>
  <c r="V390" i="1"/>
  <c r="M59" i="7" l="1"/>
  <c r="N55" i="7"/>
  <c r="N56" i="7" s="1"/>
  <c r="M76" i="5"/>
  <c r="M61" i="6" s="1"/>
  <c r="P32" i="7"/>
  <c r="P75" i="7"/>
  <c r="V77" i="6"/>
  <c r="V207" i="32" s="1"/>
  <c r="Q71" i="7"/>
  <c r="Q72" i="7" s="1"/>
  <c r="L66" i="2"/>
  <c r="M82" i="7"/>
  <c r="N78" i="7" s="1"/>
  <c r="P40" i="7"/>
  <c r="M81" i="7"/>
  <c r="M88" i="7"/>
  <c r="Y85" i="7"/>
  <c r="Y372" i="1"/>
  <c r="W53" i="7"/>
  <c r="W73" i="6" s="1"/>
  <c r="W216" i="32" s="1"/>
  <c r="V46" i="1"/>
  <c r="W381" i="1"/>
  <c r="V350" i="1"/>
  <c r="V18" i="1"/>
  <c r="W16" i="1"/>
  <c r="W155" i="32" s="1"/>
  <c r="W340" i="1"/>
  <c r="W390" i="1"/>
  <c r="Y69" i="7"/>
  <c r="N57" i="7" l="1"/>
  <c r="O52" i="7" s="1"/>
  <c r="Q73" i="7"/>
  <c r="Q75" i="7" s="1"/>
  <c r="W77" i="6"/>
  <c r="W207" i="32" s="1"/>
  <c r="M91" i="7"/>
  <c r="M64" i="2" s="1"/>
  <c r="M66" i="2" s="1"/>
  <c r="P33" i="7"/>
  <c r="P34" i="7"/>
  <c r="Q30" i="7" s="1"/>
  <c r="P41" i="7"/>
  <c r="Q36" i="7" s="1"/>
  <c r="N79" i="7"/>
  <c r="N86" i="7" s="1"/>
  <c r="W46" i="1"/>
  <c r="X53" i="7"/>
  <c r="X73" i="6" s="1"/>
  <c r="X216" i="32" s="1"/>
  <c r="Z372" i="1"/>
  <c r="X390" i="1"/>
  <c r="W18" i="1"/>
  <c r="X16" i="1"/>
  <c r="X155" i="32" s="1"/>
  <c r="W350" i="1"/>
  <c r="Z85" i="7"/>
  <c r="X340" i="1"/>
  <c r="Z69" i="7"/>
  <c r="X381" i="1"/>
  <c r="N59" i="7" l="1"/>
  <c r="O55" i="7"/>
  <c r="O56" i="7" s="1"/>
  <c r="R68" i="7"/>
  <c r="R71" i="7" s="1"/>
  <c r="R72" i="7" s="1"/>
  <c r="X77" i="6"/>
  <c r="X207" i="32" s="1"/>
  <c r="P43" i="7"/>
  <c r="Q31" i="7"/>
  <c r="Q38" i="7" s="1"/>
  <c r="Q39" i="7" s="1"/>
  <c r="N87" i="7"/>
  <c r="N88" i="7" s="1"/>
  <c r="N80" i="7"/>
  <c r="Y381" i="1"/>
  <c r="AA85" i="7"/>
  <c r="X350" i="1"/>
  <c r="Y53" i="7"/>
  <c r="Y73" i="6" s="1"/>
  <c r="Y216" i="32" s="1"/>
  <c r="X46" i="1"/>
  <c r="Y340" i="1"/>
  <c r="AA69" i="7"/>
  <c r="Y16" i="1"/>
  <c r="Y155" i="32" s="1"/>
  <c r="X18" i="1"/>
  <c r="Y390" i="1"/>
  <c r="AA372" i="1"/>
  <c r="O57" i="7" l="1"/>
  <c r="O59" i="7" s="1"/>
  <c r="N76" i="5"/>
  <c r="N61" i="6" s="1"/>
  <c r="Q32" i="7"/>
  <c r="Y77" i="6"/>
  <c r="Y207" i="32" s="1"/>
  <c r="R73" i="7"/>
  <c r="N81" i="7"/>
  <c r="N82" i="7"/>
  <c r="N89" i="7"/>
  <c r="O84" i="7" s="1"/>
  <c r="Q40" i="7"/>
  <c r="AB372" i="1"/>
  <c r="Z53" i="7"/>
  <c r="Z73" i="6" s="1"/>
  <c r="Z216" i="32" s="1"/>
  <c r="Y46" i="1"/>
  <c r="Y350" i="1"/>
  <c r="Z390" i="1"/>
  <c r="Z16" i="1"/>
  <c r="Z155" i="32" s="1"/>
  <c r="Y18" i="1"/>
  <c r="AB69" i="7"/>
  <c r="Z340" i="1"/>
  <c r="AB85" i="7"/>
  <c r="Z381" i="1"/>
  <c r="P52" i="7" l="1"/>
  <c r="P55" i="7" s="1"/>
  <c r="P56" i="7" s="1"/>
  <c r="S68" i="7"/>
  <c r="R75" i="7"/>
  <c r="Z77" i="6"/>
  <c r="Z207" i="32" s="1"/>
  <c r="N91" i="7"/>
  <c r="N64" i="2" s="1"/>
  <c r="O78" i="7"/>
  <c r="O79" i="7" s="1"/>
  <c r="O86" i="7" s="1"/>
  <c r="O87" i="7" s="1"/>
  <c r="Q41" i="7"/>
  <c r="R36" i="7" s="1"/>
  <c r="Q33" i="7"/>
  <c r="Q34" i="7"/>
  <c r="AA381" i="1"/>
  <c r="AA390" i="1"/>
  <c r="Z350" i="1"/>
  <c r="AA53" i="7"/>
  <c r="AA73" i="6" s="1"/>
  <c r="AA216" i="32" s="1"/>
  <c r="Z46" i="1"/>
  <c r="AA16" i="1"/>
  <c r="AA155" i="32" s="1"/>
  <c r="Z18" i="1"/>
  <c r="AC69" i="7"/>
  <c r="AA340" i="1"/>
  <c r="AC85" i="7"/>
  <c r="AC372" i="1"/>
  <c r="P57" i="7" l="1"/>
  <c r="S71" i="7"/>
  <c r="S72" i="7" s="1"/>
  <c r="AA77" i="6"/>
  <c r="AA207" i="32" s="1"/>
  <c r="N66" i="2"/>
  <c r="O88" i="7"/>
  <c r="O89" i="7"/>
  <c r="P84" i="7" s="1"/>
  <c r="Q43" i="7"/>
  <c r="R30" i="7"/>
  <c r="O80" i="7"/>
  <c r="AB340" i="1"/>
  <c r="AB390" i="1"/>
  <c r="AB16" i="1"/>
  <c r="AB155" i="32" s="1"/>
  <c r="AA18" i="1"/>
  <c r="AA350" i="1"/>
  <c r="AD372" i="1"/>
  <c r="AD85" i="7"/>
  <c r="AB381" i="1"/>
  <c r="AD69" i="7"/>
  <c r="AB53" i="7"/>
  <c r="AB73" i="6" s="1"/>
  <c r="AB216" i="32" s="1"/>
  <c r="AA46" i="1"/>
  <c r="P59" i="7" l="1"/>
  <c r="Q52" i="7"/>
  <c r="O76" i="5"/>
  <c r="O61" i="6" s="1"/>
  <c r="S73" i="7"/>
  <c r="S75" i="7" s="1"/>
  <c r="AB77" i="6"/>
  <c r="AB207" i="32" s="1"/>
  <c r="O81" i="7"/>
  <c r="R31" i="7"/>
  <c r="R38" i="7" s="1"/>
  <c r="R39" i="7" s="1"/>
  <c r="O82" i="7"/>
  <c r="O91" i="7" s="1"/>
  <c r="O64" i="2" s="1"/>
  <c r="AE372" i="1"/>
  <c r="AC340" i="1"/>
  <c r="AE69" i="7"/>
  <c r="AC53" i="7"/>
  <c r="AC73" i="6" s="1"/>
  <c r="AC216" i="32" s="1"/>
  <c r="AB46" i="1"/>
  <c r="AB350" i="1"/>
  <c r="AC390" i="1"/>
  <c r="AC381" i="1"/>
  <c r="AC16" i="1"/>
  <c r="AC155" i="32" s="1"/>
  <c r="AB18" i="1"/>
  <c r="AE85" i="7"/>
  <c r="Q55" i="7" l="1"/>
  <c r="Q56" i="7" s="1"/>
  <c r="R32" i="7"/>
  <c r="T68" i="7"/>
  <c r="T71" i="7" s="1"/>
  <c r="T72" i="7" s="1"/>
  <c r="AC77" i="6"/>
  <c r="AC207" i="32" s="1"/>
  <c r="O66" i="2"/>
  <c r="P78" i="7"/>
  <c r="P79" i="7" s="1"/>
  <c r="P86" i="7" s="1"/>
  <c r="R40" i="7"/>
  <c r="AD390" i="1"/>
  <c r="AF69" i="7"/>
  <c r="AD16" i="1"/>
  <c r="AD155" i="32" s="1"/>
  <c r="AC18" i="1"/>
  <c r="AD381" i="1"/>
  <c r="AC350" i="1"/>
  <c r="AC46" i="1"/>
  <c r="AD53" i="7"/>
  <c r="AD73" i="6" s="1"/>
  <c r="AD216" i="32" s="1"/>
  <c r="AF372" i="1"/>
  <c r="AF85" i="7"/>
  <c r="AD340" i="1"/>
  <c r="Q57" i="7" l="1"/>
  <c r="T73" i="7"/>
  <c r="T75" i="7" s="1"/>
  <c r="AD77" i="6"/>
  <c r="AD207" i="32" s="1"/>
  <c r="R33" i="7"/>
  <c r="R34" i="7"/>
  <c r="S30" i="7" s="1"/>
  <c r="R41" i="7"/>
  <c r="S36" i="7" s="1"/>
  <c r="P80" i="7"/>
  <c r="P87" i="7"/>
  <c r="P88" i="7" s="1"/>
  <c r="AE53" i="7"/>
  <c r="AE73" i="6" s="1"/>
  <c r="AE216" i="32" s="1"/>
  <c r="AD46" i="1"/>
  <c r="AE381" i="1"/>
  <c r="AE390" i="1"/>
  <c r="AG69" i="7"/>
  <c r="AG85" i="7"/>
  <c r="AG372" i="1"/>
  <c r="AE340" i="1"/>
  <c r="AD350" i="1"/>
  <c r="AD18" i="1"/>
  <c r="AE16" i="1"/>
  <c r="AE155" i="32" s="1"/>
  <c r="P76" i="5" l="1"/>
  <c r="P61" i="6" s="1"/>
  <c r="Q59" i="7"/>
  <c r="R52" i="7"/>
  <c r="U68" i="7"/>
  <c r="U71" i="7" s="1"/>
  <c r="U72" i="7" s="1"/>
  <c r="AE77" i="6"/>
  <c r="AE207" i="32" s="1"/>
  <c r="P89" i="7"/>
  <c r="Q84" i="7" s="1"/>
  <c r="R43" i="7"/>
  <c r="S31" i="7"/>
  <c r="S38" i="7" s="1"/>
  <c r="S39" i="7" s="1"/>
  <c r="P81" i="7"/>
  <c r="P82" i="7"/>
  <c r="AE18" i="1"/>
  <c r="AF16" i="1"/>
  <c r="AF155" i="32" s="1"/>
  <c r="AH85" i="7"/>
  <c r="M28" i="36" s="1"/>
  <c r="AF340" i="1"/>
  <c r="AH372" i="1"/>
  <c r="AH69" i="7"/>
  <c r="M27" i="36" s="1"/>
  <c r="AF381" i="1"/>
  <c r="AE350" i="1"/>
  <c r="AF390" i="1"/>
  <c r="AE46" i="1"/>
  <c r="AF53" i="7"/>
  <c r="AF73" i="6" s="1"/>
  <c r="AF216" i="32" s="1"/>
  <c r="R55" i="7" l="1"/>
  <c r="R56" i="7" s="1"/>
  <c r="S32" i="7"/>
  <c r="AF77" i="6"/>
  <c r="AF207" i="32" s="1"/>
  <c r="U73" i="7"/>
  <c r="P91" i="7"/>
  <c r="P64" i="2" s="1"/>
  <c r="Q78" i="7"/>
  <c r="Q79" i="7" s="1"/>
  <c r="Q86" i="7" s="1"/>
  <c r="Q87" i="7" s="1"/>
  <c r="Q88" i="7" s="1"/>
  <c r="S40" i="7"/>
  <c r="S41" i="7"/>
  <c r="T36" i="7" s="1"/>
  <c r="AG340" i="1"/>
  <c r="AG381" i="1"/>
  <c r="AG16" i="1"/>
  <c r="AG155" i="32" s="1"/>
  <c r="AF18" i="1"/>
  <c r="AG53" i="7"/>
  <c r="AG73" i="6" s="1"/>
  <c r="AG216" i="32" s="1"/>
  <c r="AF46" i="1"/>
  <c r="AF350" i="1"/>
  <c r="AG390" i="1"/>
  <c r="R57" i="7" l="1"/>
  <c r="R59" i="7" s="1"/>
  <c r="AG77" i="6"/>
  <c r="AG207" i="32" s="1"/>
  <c r="V68" i="7"/>
  <c r="U75" i="7"/>
  <c r="P66" i="2"/>
  <c r="S33" i="7"/>
  <c r="Q80" i="7"/>
  <c r="Q89" i="7"/>
  <c r="R84" i="7" s="1"/>
  <c r="S34" i="7"/>
  <c r="AH340" i="1"/>
  <c r="AG350" i="1"/>
  <c r="AH390" i="1"/>
  <c r="AG46" i="1"/>
  <c r="AH53" i="7"/>
  <c r="AH16" i="1"/>
  <c r="AH155" i="32" s="1"/>
  <c r="F9" i="36" s="1"/>
  <c r="AG18" i="1"/>
  <c r="AH381" i="1"/>
  <c r="S52" i="7" l="1"/>
  <c r="S55" i="7" s="1"/>
  <c r="S56" i="7" s="1"/>
  <c r="Q76" i="5"/>
  <c r="Q61" i="6" s="1"/>
  <c r="M26" i="36"/>
  <c r="M31" i="36" s="1"/>
  <c r="AH73" i="6"/>
  <c r="AH216" i="32" s="1"/>
  <c r="V71" i="7"/>
  <c r="V72" i="7" s="1"/>
  <c r="Q81" i="7"/>
  <c r="Q82" i="7"/>
  <c r="Q91" i="7" s="1"/>
  <c r="Q64" i="2" s="1"/>
  <c r="S43" i="7"/>
  <c r="T30" i="7"/>
  <c r="AH46" i="1"/>
  <c r="AH350" i="1"/>
  <c r="AH18" i="1"/>
  <c r="S57" i="7" l="1"/>
  <c r="S59" i="7" s="1"/>
  <c r="AH77" i="6"/>
  <c r="AH207" i="32" s="1"/>
  <c r="V73" i="7"/>
  <c r="Q66" i="2"/>
  <c r="R78" i="7"/>
  <c r="R79" i="7" s="1"/>
  <c r="R86" i="7" s="1"/>
  <c r="T31" i="7"/>
  <c r="T38" i="7" s="1"/>
  <c r="T39" i="7" s="1"/>
  <c r="T52" i="7" l="1"/>
  <c r="T55" i="7" s="1"/>
  <c r="T56" i="7" s="1"/>
  <c r="T32" i="7"/>
  <c r="W68" i="7"/>
  <c r="V75" i="7"/>
  <c r="T40" i="7"/>
  <c r="R87" i="7"/>
  <c r="R88" i="7" s="1"/>
  <c r="R80" i="7"/>
  <c r="I26" i="30"/>
  <c r="T57" i="7" l="1"/>
  <c r="T59" i="7" s="1"/>
  <c r="R76" i="5"/>
  <c r="R61" i="6" s="1"/>
  <c r="W71" i="7"/>
  <c r="W72" i="7" s="1"/>
  <c r="R81" i="7"/>
  <c r="T33" i="7"/>
  <c r="T41" i="7"/>
  <c r="U36" i="7" s="1"/>
  <c r="T34" i="7"/>
  <c r="R82" i="7"/>
  <c r="R89" i="7"/>
  <c r="S84" i="7" s="1"/>
  <c r="U52" i="7" l="1"/>
  <c r="U55" i="7" s="1"/>
  <c r="U56" i="7" s="1"/>
  <c r="W73" i="7"/>
  <c r="X68" i="7" s="1"/>
  <c r="R91" i="7"/>
  <c r="R64" i="2" s="1"/>
  <c r="S78" i="7"/>
  <c r="S79" i="7" s="1"/>
  <c r="S86" i="7" s="1"/>
  <c r="S87" i="7" s="1"/>
  <c r="S88" i="7" s="1"/>
  <c r="T43" i="7"/>
  <c r="U30" i="7"/>
  <c r="U57" i="7" l="1"/>
  <c r="U59" i="7" s="1"/>
  <c r="W75" i="7"/>
  <c r="X71" i="7"/>
  <c r="X72" i="7" s="1"/>
  <c r="R66" i="2"/>
  <c r="S80" i="7"/>
  <c r="S89" i="7"/>
  <c r="T84" i="7" s="1"/>
  <c r="U31" i="7"/>
  <c r="U38" i="7" s="1"/>
  <c r="U39" i="7" s="1"/>
  <c r="V52" i="7" l="1"/>
  <c r="V55" i="7" s="1"/>
  <c r="V56" i="7" s="1"/>
  <c r="S76" i="5"/>
  <c r="S61" i="6" s="1"/>
  <c r="U32" i="7"/>
  <c r="X73" i="7"/>
  <c r="X75" i="7" s="1"/>
  <c r="S81" i="7"/>
  <c r="U40" i="7"/>
  <c r="S82" i="7"/>
  <c r="V57" i="7" l="1"/>
  <c r="V59" i="7" s="1"/>
  <c r="Y68" i="7"/>
  <c r="Y71" i="7" s="1"/>
  <c r="Y72" i="7" s="1"/>
  <c r="U33" i="7"/>
  <c r="U34" i="7"/>
  <c r="V30" i="7" s="1"/>
  <c r="U41" i="7"/>
  <c r="V36" i="7" s="1"/>
  <c r="S91" i="7"/>
  <c r="S64" i="2" s="1"/>
  <c r="T78" i="7"/>
  <c r="W52" i="7" l="1"/>
  <c r="W55" i="7" s="1"/>
  <c r="W56" i="7" s="1"/>
  <c r="Y73" i="7"/>
  <c r="Y75" i="7" s="1"/>
  <c r="S66" i="2"/>
  <c r="U43" i="7"/>
  <c r="V31" i="7"/>
  <c r="V38" i="7" s="1"/>
  <c r="V39" i="7" s="1"/>
  <c r="T79" i="7"/>
  <c r="T86" i="7" s="1"/>
  <c r="V32" i="7" l="1"/>
  <c r="Z68" i="7"/>
  <c r="Z71" i="7" s="1"/>
  <c r="Z72" i="7" s="1"/>
  <c r="W57" i="7"/>
  <c r="T87" i="7"/>
  <c r="T88" i="7" s="1"/>
  <c r="V40" i="7"/>
  <c r="T80" i="7"/>
  <c r="T76" i="5" l="1"/>
  <c r="T61" i="6" s="1"/>
  <c r="Z73" i="7"/>
  <c r="Z75" i="7" s="1"/>
  <c r="X52" i="7"/>
  <c r="W59" i="7"/>
  <c r="V33" i="7"/>
  <c r="V34" i="7"/>
  <c r="W30" i="7" s="1"/>
  <c r="T81" i="7"/>
  <c r="T82" i="7"/>
  <c r="T89" i="7"/>
  <c r="U84" i="7" s="1"/>
  <c r="V41" i="7"/>
  <c r="W36" i="7" s="1"/>
  <c r="AA68" i="7" l="1"/>
  <c r="AA71" i="7" s="1"/>
  <c r="X55" i="7"/>
  <c r="X56" i="7" s="1"/>
  <c r="V43" i="7"/>
  <c r="W31" i="7"/>
  <c r="W38" i="7" s="1"/>
  <c r="W39" i="7" s="1"/>
  <c r="T91" i="7"/>
  <c r="T64" i="2" s="1"/>
  <c r="U78" i="7"/>
  <c r="W32" i="7" l="1"/>
  <c r="AA72" i="7"/>
  <c r="AA73" i="7"/>
  <c r="AB68" i="7" s="1"/>
  <c r="X57" i="7"/>
  <c r="T66" i="2"/>
  <c r="W40" i="7"/>
  <c r="U79" i="7"/>
  <c r="U86" i="7" s="1"/>
  <c r="AA75" i="7" l="1"/>
  <c r="Y52" i="7"/>
  <c r="X59" i="7"/>
  <c r="AB71" i="7"/>
  <c r="AB72" i="7" s="1"/>
  <c r="W33" i="7"/>
  <c r="W34" i="7"/>
  <c r="X30" i="7" s="1"/>
  <c r="U80" i="7"/>
  <c r="W41" i="7"/>
  <c r="X36" i="7" s="1"/>
  <c r="U87" i="7"/>
  <c r="U88" i="7" s="1"/>
  <c r="U76" i="5" l="1"/>
  <c r="U61" i="6" s="1"/>
  <c r="Y55" i="7"/>
  <c r="Y56" i="7" s="1"/>
  <c r="AB73" i="7"/>
  <c r="U81" i="7"/>
  <c r="U82" i="7"/>
  <c r="V78" i="7" s="1"/>
  <c r="U89" i="7"/>
  <c r="V84" i="7" s="1"/>
  <c r="W43" i="7"/>
  <c r="X31" i="7"/>
  <c r="X38" i="7" s="1"/>
  <c r="X39" i="7" s="1"/>
  <c r="X32" i="7" l="1"/>
  <c r="Y57" i="7"/>
  <c r="Y59" i="7" s="1"/>
  <c r="AC68" i="7"/>
  <c r="AB75" i="7"/>
  <c r="U91" i="7"/>
  <c r="U64" i="2" s="1"/>
  <c r="X40" i="7"/>
  <c r="X41" i="7"/>
  <c r="Y36" i="7" s="1"/>
  <c r="V79" i="7"/>
  <c r="V86" i="7" s="1"/>
  <c r="Z52" i="7" l="1"/>
  <c r="Z55" i="7" s="1"/>
  <c r="Z56" i="7" s="1"/>
  <c r="AC71" i="7"/>
  <c r="AC72" i="7" s="1"/>
  <c r="U66" i="2"/>
  <c r="X33" i="7"/>
  <c r="X34" i="7"/>
  <c r="X43" i="7" s="1"/>
  <c r="V80" i="7"/>
  <c r="V87" i="7"/>
  <c r="V88" i="7" s="1"/>
  <c r="V76" i="5" l="1"/>
  <c r="V61" i="6" s="1"/>
  <c r="Z57" i="7"/>
  <c r="AA52" i="7" s="1"/>
  <c r="AC73" i="7"/>
  <c r="V81" i="7"/>
  <c r="Y30" i="7"/>
  <c r="V89" i="7"/>
  <c r="W84" i="7" s="1"/>
  <c r="V82" i="7"/>
  <c r="Y31" i="7" l="1"/>
  <c r="Y38" i="7" s="1"/>
  <c r="Z59" i="7"/>
  <c r="AA55" i="7"/>
  <c r="AA56" i="7" s="1"/>
  <c r="AD68" i="7"/>
  <c r="AC75" i="7"/>
  <c r="V91" i="7"/>
  <c r="V64" i="2" s="1"/>
  <c r="W78" i="7"/>
  <c r="Y39" i="7" l="1"/>
  <c r="Y40" i="7" s="1"/>
  <c r="Y32" i="7"/>
  <c r="AA57" i="7"/>
  <c r="AA59" i="7" s="1"/>
  <c r="AD71" i="7"/>
  <c r="AD72" i="7" s="1"/>
  <c r="V66" i="2"/>
  <c r="W79" i="7"/>
  <c r="W86" i="7" s="1"/>
  <c r="Y41" i="7" l="1"/>
  <c r="Z36" i="7" s="1"/>
  <c r="Y34" i="7"/>
  <c r="Y33" i="7"/>
  <c r="AB52" i="7"/>
  <c r="AB55" i="7" s="1"/>
  <c r="AB56" i="7" s="1"/>
  <c r="AD73" i="7"/>
  <c r="W87" i="7"/>
  <c r="W88" i="7" s="1"/>
  <c r="W80" i="7"/>
  <c r="Y43" i="7" l="1"/>
  <c r="Z30" i="7"/>
  <c r="Z31" i="7" s="1"/>
  <c r="Z38" i="7" s="1"/>
  <c r="Z39" i="7" s="1"/>
  <c r="W76" i="5"/>
  <c r="W61" i="6" s="1"/>
  <c r="AB57" i="7"/>
  <c r="AB59" i="7" s="1"/>
  <c r="AE68" i="7"/>
  <c r="AD75" i="7"/>
  <c r="W81" i="7"/>
  <c r="W89" i="7"/>
  <c r="X84" i="7" s="1"/>
  <c r="W82" i="7"/>
  <c r="Z32" i="7" l="1"/>
  <c r="AC52" i="7"/>
  <c r="AC55" i="7" s="1"/>
  <c r="AC56" i="7" s="1"/>
  <c r="AE71" i="7"/>
  <c r="AE72" i="7" s="1"/>
  <c r="W91" i="7"/>
  <c r="W64" i="2" s="1"/>
  <c r="X78" i="7"/>
  <c r="Z40" i="7"/>
  <c r="AC57" i="7" l="1"/>
  <c r="AE73" i="7"/>
  <c r="W66" i="2"/>
  <c r="Z33" i="7"/>
  <c r="Z34" i="7"/>
  <c r="AA30" i="7" s="1"/>
  <c r="X79" i="7"/>
  <c r="X86" i="7" s="1"/>
  <c r="Z41" i="7"/>
  <c r="AA36" i="7" s="1"/>
  <c r="AD52" i="7" l="1"/>
  <c r="AD55" i="7" s="1"/>
  <c r="AC59" i="7"/>
  <c r="AF68" i="7"/>
  <c r="AE75" i="7"/>
  <c r="AA31" i="7"/>
  <c r="AA38" i="7" s="1"/>
  <c r="AA39" i="7" s="1"/>
  <c r="X87" i="7"/>
  <c r="X88" i="7" s="1"/>
  <c r="X80" i="7"/>
  <c r="Z43" i="7"/>
  <c r="X76" i="5" l="1"/>
  <c r="X61" i="6" s="1"/>
  <c r="AA32" i="7"/>
  <c r="AD57" i="7"/>
  <c r="AD56" i="7"/>
  <c r="AF71" i="7"/>
  <c r="AF72" i="7" s="1"/>
  <c r="AA40" i="7"/>
  <c r="AA41" i="7"/>
  <c r="AB36" i="7" s="1"/>
  <c r="X81" i="7"/>
  <c r="X82" i="7"/>
  <c r="X89" i="7"/>
  <c r="Y84" i="7" s="1"/>
  <c r="AE52" i="7" l="1"/>
  <c r="AD59" i="7"/>
  <c r="AF73" i="7"/>
  <c r="AA33" i="7"/>
  <c r="X91" i="7"/>
  <c r="X64" i="2" s="1"/>
  <c r="Y78" i="7"/>
  <c r="AA34" i="7"/>
  <c r="AE55" i="7" l="1"/>
  <c r="AE56" i="7" s="1"/>
  <c r="AG68" i="7"/>
  <c r="AF75" i="7"/>
  <c r="X66" i="2"/>
  <c r="Y79" i="7"/>
  <c r="Y86" i="7" s="1"/>
  <c r="AA43" i="7"/>
  <c r="AB30" i="7"/>
  <c r="AE57" i="7" l="1"/>
  <c r="AG71" i="7"/>
  <c r="AG72" i="7" s="1"/>
  <c r="Y80" i="7"/>
  <c r="AB31" i="7"/>
  <c r="AB38" i="7" s="1"/>
  <c r="AB39" i="7" s="1"/>
  <c r="Y87" i="7"/>
  <c r="Y88" i="7" s="1"/>
  <c r="Y76" i="5" l="1"/>
  <c r="Y61" i="6" s="1"/>
  <c r="AB32" i="7"/>
  <c r="AF52" i="7"/>
  <c r="AE59" i="7"/>
  <c r="AG73" i="7"/>
  <c r="Y81" i="7"/>
  <c r="Y82" i="7"/>
  <c r="Z78" i="7" s="1"/>
  <c r="AB40" i="7"/>
  <c r="Y89" i="7"/>
  <c r="Z84" i="7" s="1"/>
  <c r="AF55" i="7" l="1"/>
  <c r="AF56" i="7" s="1"/>
  <c r="AH68" i="7"/>
  <c r="AG75" i="7"/>
  <c r="AB33" i="7"/>
  <c r="AB34" i="7"/>
  <c r="AC30" i="7" s="1"/>
  <c r="Y91" i="7"/>
  <c r="Y64" i="2" s="1"/>
  <c r="Z79" i="7"/>
  <c r="Z86" i="7" s="1"/>
  <c r="Z87" i="7" s="1"/>
  <c r="Z88" i="7" s="1"/>
  <c r="AB41" i="7"/>
  <c r="AC36" i="7" s="1"/>
  <c r="AH71" i="7" l="1"/>
  <c r="AH72" i="7" s="1"/>
  <c r="AF57" i="7"/>
  <c r="Y66" i="2"/>
  <c r="AB43" i="7"/>
  <c r="Z80" i="7"/>
  <c r="AC31" i="7"/>
  <c r="AC38" i="7" s="1"/>
  <c r="Z89" i="7"/>
  <c r="AA84" i="7" s="1"/>
  <c r="AC39" i="7" l="1"/>
  <c r="AC40" i="7" s="1"/>
  <c r="Z76" i="5"/>
  <c r="Z61" i="6" s="1"/>
  <c r="AC32" i="7"/>
  <c r="AH73" i="7"/>
  <c r="AH75" i="7" s="1"/>
  <c r="AG52" i="7"/>
  <c r="AF59" i="7"/>
  <c r="Z81" i="7"/>
  <c r="Z82" i="7"/>
  <c r="Z91" i="7" s="1"/>
  <c r="Z64" i="2" s="1"/>
  <c r="AC41" i="7" l="1"/>
  <c r="AD36" i="7" s="1"/>
  <c r="AG55" i="7"/>
  <c r="AG56" i="7" s="1"/>
  <c r="Z66" i="2"/>
  <c r="AC33" i="7"/>
  <c r="AA78" i="7"/>
  <c r="AA79" i="7" s="1"/>
  <c r="AA86" i="7" s="1"/>
  <c r="AC34" i="7"/>
  <c r="AG57" i="7" l="1"/>
  <c r="AC43" i="7"/>
  <c r="AD30" i="7"/>
  <c r="AA80" i="7"/>
  <c r="AA87" i="7"/>
  <c r="AA88" i="7" s="1"/>
  <c r="AA76" i="5" l="1"/>
  <c r="AA61" i="6" s="1"/>
  <c r="AH52" i="7"/>
  <c r="AG59" i="7"/>
  <c r="AA89" i="7"/>
  <c r="AB84" i="7" s="1"/>
  <c r="AD31" i="7"/>
  <c r="AD38" i="7" s="1"/>
  <c r="AD39" i="7" s="1"/>
  <c r="AA81" i="7"/>
  <c r="AA82" i="7"/>
  <c r="F122" i="25"/>
  <c r="G16" i="25"/>
  <c r="G149" i="33" s="1"/>
  <c r="G321" i="25"/>
  <c r="G330" i="25"/>
  <c r="G339" i="25"/>
  <c r="H522" i="7"/>
  <c r="H524" i="7" s="1"/>
  <c r="I554" i="7"/>
  <c r="I570" i="7"/>
  <c r="H586" i="7"/>
  <c r="H602" i="7"/>
  <c r="H604" i="7" s="1"/>
  <c r="H321" i="25" l="1"/>
  <c r="H339" i="25"/>
  <c r="I339" i="25" s="1"/>
  <c r="AD32" i="7"/>
  <c r="H16" i="25"/>
  <c r="H149" i="33" s="1"/>
  <c r="G18" i="25"/>
  <c r="G122" i="25"/>
  <c r="AH55" i="7"/>
  <c r="AH56" i="7" s="1"/>
  <c r="I572" i="7"/>
  <c r="H606" i="7"/>
  <c r="H605" i="7"/>
  <c r="I538" i="7"/>
  <c r="H538" i="7"/>
  <c r="H118" i="6" s="1"/>
  <c r="I556" i="7"/>
  <c r="I558" i="7" s="1"/>
  <c r="AA91" i="7"/>
  <c r="AA64" i="2" s="1"/>
  <c r="AB78" i="7"/>
  <c r="AD40" i="7"/>
  <c r="I602" i="7"/>
  <c r="J554" i="7"/>
  <c r="H588" i="7"/>
  <c r="J570" i="7"/>
  <c r="H46" i="25"/>
  <c r="I522" i="7"/>
  <c r="H18" i="25" l="1"/>
  <c r="I321" i="25"/>
  <c r="H202" i="33"/>
  <c r="H122" i="6"/>
  <c r="J229" i="33"/>
  <c r="I16" i="25"/>
  <c r="I149" i="33" s="1"/>
  <c r="H122" i="25"/>
  <c r="AH57" i="7"/>
  <c r="AH59" i="7" s="1"/>
  <c r="J538" i="7"/>
  <c r="I560" i="7"/>
  <c r="J553" i="7"/>
  <c r="I601" i="7"/>
  <c r="I604" i="7" s="1"/>
  <c r="H608" i="7"/>
  <c r="H525" i="7"/>
  <c r="H526" i="7"/>
  <c r="H540" i="7"/>
  <c r="H120" i="5" s="1"/>
  <c r="H106" i="6" s="1"/>
  <c r="I573" i="7"/>
  <c r="I557" i="7"/>
  <c r="I574" i="7"/>
  <c r="AA66" i="2"/>
  <c r="AD41" i="7"/>
  <c r="AE36" i="7" s="1"/>
  <c r="AD33" i="7"/>
  <c r="AD34" i="7"/>
  <c r="AB79" i="7"/>
  <c r="AB86" i="7" s="1"/>
  <c r="H589" i="7"/>
  <c r="H590" i="7"/>
  <c r="J602" i="7"/>
  <c r="J330" i="25"/>
  <c r="K554" i="7"/>
  <c r="J339" i="25"/>
  <c r="I586" i="7"/>
  <c r="I118" i="6" s="1"/>
  <c r="K570" i="7"/>
  <c r="I46" i="25"/>
  <c r="J522" i="7"/>
  <c r="K229" i="33"/>
  <c r="J321" i="25" l="1"/>
  <c r="I202" i="33"/>
  <c r="I122" i="6"/>
  <c r="J236" i="33"/>
  <c r="J16" i="25"/>
  <c r="J149" i="33" s="1"/>
  <c r="I18" i="25"/>
  <c r="I122" i="25"/>
  <c r="H542" i="7"/>
  <c r="H544" i="7" s="1"/>
  <c r="K538" i="7"/>
  <c r="J556" i="7"/>
  <c r="J569" i="7"/>
  <c r="I576" i="7"/>
  <c r="I521" i="7"/>
  <c r="I524" i="7" s="1"/>
  <c r="H528" i="7"/>
  <c r="I606" i="7"/>
  <c r="I605" i="7"/>
  <c r="H541" i="7"/>
  <c r="AB80" i="7"/>
  <c r="AB87" i="7"/>
  <c r="AB88" i="7" s="1"/>
  <c r="AD43" i="7"/>
  <c r="AE30" i="7"/>
  <c r="I585" i="7"/>
  <c r="I588" i="7" s="1"/>
  <c r="H592" i="7"/>
  <c r="L554" i="7"/>
  <c r="J586" i="7"/>
  <c r="J118" i="6" s="1"/>
  <c r="K339" i="25"/>
  <c r="L570" i="7"/>
  <c r="K330" i="25"/>
  <c r="K602" i="7"/>
  <c r="H194" i="33"/>
  <c r="J46" i="25"/>
  <c r="K522" i="7"/>
  <c r="L229" i="33"/>
  <c r="K321" i="25" l="1"/>
  <c r="J202" i="33"/>
  <c r="J122" i="6"/>
  <c r="AB76" i="5"/>
  <c r="AB61" i="6" s="1"/>
  <c r="K236" i="33"/>
  <c r="J18" i="25"/>
  <c r="K16" i="25"/>
  <c r="K149" i="33" s="1"/>
  <c r="J237" i="33"/>
  <c r="J234" i="33" s="1"/>
  <c r="J122" i="25"/>
  <c r="H109" i="2"/>
  <c r="H111" i="2" s="1"/>
  <c r="I537" i="7"/>
  <c r="I540" i="7" s="1"/>
  <c r="I542" i="7" s="1"/>
  <c r="L538" i="7"/>
  <c r="J601" i="7"/>
  <c r="I608" i="7"/>
  <c r="J572" i="7"/>
  <c r="J574" i="7" s="1"/>
  <c r="J557" i="7"/>
  <c r="J558" i="7"/>
  <c r="AB81" i="7"/>
  <c r="AB82" i="7"/>
  <c r="AC78" i="7" s="1"/>
  <c r="AB89" i="7"/>
  <c r="AC84" i="7" s="1"/>
  <c r="AE31" i="7"/>
  <c r="AE38" i="7" s="1"/>
  <c r="AE39" i="7" s="1"/>
  <c r="I589" i="7"/>
  <c r="I590" i="7"/>
  <c r="I194" i="33"/>
  <c r="L602" i="7"/>
  <c r="K586" i="7"/>
  <c r="K118" i="6" s="1"/>
  <c r="L330" i="25"/>
  <c r="M570" i="7"/>
  <c r="L339" i="25"/>
  <c r="M554" i="7"/>
  <c r="K46" i="25"/>
  <c r="L522" i="7"/>
  <c r="M229" i="33"/>
  <c r="L321" i="25" l="1"/>
  <c r="K202" i="33"/>
  <c r="K122" i="6"/>
  <c r="I120" i="5"/>
  <c r="I106" i="6" s="1"/>
  <c r="AE32" i="7"/>
  <c r="M538" i="7"/>
  <c r="K18" i="25"/>
  <c r="L16" i="25"/>
  <c r="L149" i="33" s="1"/>
  <c r="K237" i="33"/>
  <c r="K234" i="33" s="1"/>
  <c r="L236" i="33"/>
  <c r="K122" i="25"/>
  <c r="J537" i="7"/>
  <c r="J540" i="7" s="1"/>
  <c r="J542" i="7" s="1"/>
  <c r="I544" i="7"/>
  <c r="K569" i="7"/>
  <c r="K572" i="7" s="1"/>
  <c r="K574" i="7" s="1"/>
  <c r="J576" i="7"/>
  <c r="I525" i="7"/>
  <c r="K553" i="7"/>
  <c r="K556" i="7" s="1"/>
  <c r="J560" i="7"/>
  <c r="J573" i="7"/>
  <c r="I541" i="7"/>
  <c r="J604" i="7"/>
  <c r="I526" i="7"/>
  <c r="J194" i="33"/>
  <c r="AB91" i="7"/>
  <c r="AB64" i="2" s="1"/>
  <c r="AE40" i="7"/>
  <c r="AC79" i="7"/>
  <c r="AC86" i="7" s="1"/>
  <c r="AC87" i="7" s="1"/>
  <c r="AC88" i="7" s="1"/>
  <c r="J585" i="7"/>
  <c r="J588" i="7" s="1"/>
  <c r="I592" i="7"/>
  <c r="M339" i="25"/>
  <c r="L586" i="7"/>
  <c r="L118" i="6" s="1"/>
  <c r="N554" i="7"/>
  <c r="M330" i="25"/>
  <c r="M602" i="7"/>
  <c r="N570" i="7"/>
  <c r="L46" i="25"/>
  <c r="M522" i="7"/>
  <c r="N229" i="33"/>
  <c r="M321" i="25" l="1"/>
  <c r="L202" i="33"/>
  <c r="L122" i="6"/>
  <c r="N538" i="7"/>
  <c r="L237" i="33"/>
  <c r="L234" i="33" s="1"/>
  <c r="M236" i="33"/>
  <c r="L18" i="25"/>
  <c r="M16" i="25"/>
  <c r="M149" i="33" s="1"/>
  <c r="AE34" i="7"/>
  <c r="AF30" i="7" s="1"/>
  <c r="L122" i="25"/>
  <c r="J541" i="7"/>
  <c r="K573" i="7"/>
  <c r="J521" i="7"/>
  <c r="J524" i="7" s="1"/>
  <c r="I528" i="7"/>
  <c r="I109" i="2" s="1"/>
  <c r="I111" i="2" s="1"/>
  <c r="K537" i="7"/>
  <c r="J544" i="7"/>
  <c r="J605" i="7"/>
  <c r="K558" i="7"/>
  <c r="K557" i="7"/>
  <c r="L569" i="7"/>
  <c r="K576" i="7"/>
  <c r="J606" i="7"/>
  <c r="AB66" i="2"/>
  <c r="AE33" i="7"/>
  <c r="K194" i="33"/>
  <c r="AC80" i="7"/>
  <c r="AC89" i="7"/>
  <c r="AD84" i="7" s="1"/>
  <c r="AE41" i="7"/>
  <c r="AF36" i="7" s="1"/>
  <c r="J589" i="7"/>
  <c r="J590" i="7"/>
  <c r="O570" i="7"/>
  <c r="N330" i="25"/>
  <c r="M586" i="7"/>
  <c r="M118" i="6" s="1"/>
  <c r="O554" i="7"/>
  <c r="N339" i="25"/>
  <c r="N602" i="7"/>
  <c r="M46" i="25"/>
  <c r="N522" i="7"/>
  <c r="O229" i="33"/>
  <c r="N321" i="25" l="1"/>
  <c r="M202" i="33"/>
  <c r="M122" i="6"/>
  <c r="AC76" i="5"/>
  <c r="AC61" i="6" s="1"/>
  <c r="O538" i="7"/>
  <c r="M18" i="25"/>
  <c r="N16" i="25"/>
  <c r="N149" i="33" s="1"/>
  <c r="N236" i="33"/>
  <c r="M237" i="33"/>
  <c r="M234" i="33" s="1"/>
  <c r="M122" i="25"/>
  <c r="L572" i="7"/>
  <c r="L574" i="7" s="1"/>
  <c r="J120" i="5"/>
  <c r="J106" i="6" s="1"/>
  <c r="K540" i="7"/>
  <c r="K542" i="7" s="1"/>
  <c r="K601" i="7"/>
  <c r="J608" i="7"/>
  <c r="L553" i="7"/>
  <c r="L556" i="7" s="1"/>
  <c r="K560" i="7"/>
  <c r="AC81" i="7"/>
  <c r="AC82" i="7"/>
  <c r="AC91" i="7" s="1"/>
  <c r="AC64" i="2" s="1"/>
  <c r="AE43" i="7"/>
  <c r="AF31" i="7"/>
  <c r="AF38" i="7" s="1"/>
  <c r="AF39" i="7" s="1"/>
  <c r="K585" i="7"/>
  <c r="J592" i="7"/>
  <c r="L194" i="33"/>
  <c r="N586" i="7"/>
  <c r="N118" i="6" s="1"/>
  <c r="O602" i="7"/>
  <c r="O339" i="25"/>
  <c r="O330" i="25"/>
  <c r="P554" i="7"/>
  <c r="P570" i="7"/>
  <c r="N46" i="25"/>
  <c r="O522" i="7"/>
  <c r="P229" i="33"/>
  <c r="O321" i="25" l="1"/>
  <c r="N202" i="33"/>
  <c r="N122" i="6"/>
  <c r="AF32" i="7"/>
  <c r="P538" i="7"/>
  <c r="N237" i="33"/>
  <c r="N234" i="33" s="1"/>
  <c r="N18" i="25"/>
  <c r="O16" i="25"/>
  <c r="O149" i="33" s="1"/>
  <c r="O236" i="33"/>
  <c r="N122" i="25"/>
  <c r="L558" i="7"/>
  <c r="L557" i="7"/>
  <c r="K541" i="7"/>
  <c r="L573" i="7"/>
  <c r="L537" i="7"/>
  <c r="L540" i="7" s="1"/>
  <c r="L542" i="7" s="1"/>
  <c r="K544" i="7"/>
  <c r="K604" i="7"/>
  <c r="K606" i="7" s="1"/>
  <c r="J525" i="7"/>
  <c r="M569" i="7"/>
  <c r="L576" i="7"/>
  <c r="J526" i="7"/>
  <c r="AC66" i="2"/>
  <c r="M194" i="33"/>
  <c r="AD78" i="7"/>
  <c r="AD79" i="7" s="1"/>
  <c r="AD86" i="7" s="1"/>
  <c r="AF40" i="7"/>
  <c r="Q570" i="7"/>
  <c r="Q554" i="7"/>
  <c r="P330" i="25"/>
  <c r="P602" i="7"/>
  <c r="O586" i="7"/>
  <c r="O118" i="6" s="1"/>
  <c r="K588" i="7"/>
  <c r="P339" i="25"/>
  <c r="O46" i="25"/>
  <c r="P522" i="7"/>
  <c r="Q229" i="33"/>
  <c r="P321" i="25" l="1"/>
  <c r="O202" i="33"/>
  <c r="O122" i="6"/>
  <c r="Q538" i="7"/>
  <c r="P16" i="25"/>
  <c r="P149" i="33" s="1"/>
  <c r="O18" i="25"/>
  <c r="P236" i="33"/>
  <c r="O237" i="33"/>
  <c r="O234" i="33" s="1"/>
  <c r="O122" i="25"/>
  <c r="L601" i="7"/>
  <c r="K608" i="7"/>
  <c r="M572" i="7"/>
  <c r="M574" i="7" s="1"/>
  <c r="M553" i="7"/>
  <c r="M556" i="7" s="1"/>
  <c r="L560" i="7"/>
  <c r="L541" i="7"/>
  <c r="M537" i="7"/>
  <c r="M540" i="7" s="1"/>
  <c r="M542" i="7" s="1"/>
  <c r="L544" i="7"/>
  <c r="K521" i="7"/>
  <c r="K524" i="7" s="1"/>
  <c r="J528" i="7"/>
  <c r="J109" i="2" s="1"/>
  <c r="J111" i="2" s="1"/>
  <c r="K605" i="7"/>
  <c r="AF33" i="7"/>
  <c r="K590" i="7"/>
  <c r="K592" i="7" s="1"/>
  <c r="AF34" i="7"/>
  <c r="AG30" i="7" s="1"/>
  <c r="AF41" i="7"/>
  <c r="AG36" i="7" s="1"/>
  <c r="AD80" i="7"/>
  <c r="AD87" i="7"/>
  <c r="AD88" i="7" s="1"/>
  <c r="K589" i="7"/>
  <c r="N194" i="33"/>
  <c r="Q602" i="7"/>
  <c r="R554" i="7"/>
  <c r="Q339" i="25"/>
  <c r="R570" i="7"/>
  <c r="P586" i="7"/>
  <c r="P118" i="6" s="1"/>
  <c r="Q330" i="25"/>
  <c r="P46" i="25"/>
  <c r="Q522" i="7"/>
  <c r="R229" i="33"/>
  <c r="Q321" i="25" l="1"/>
  <c r="P202" i="33"/>
  <c r="P122" i="6"/>
  <c r="AD76" i="5"/>
  <c r="AD61" i="6" s="1"/>
  <c r="R538" i="7"/>
  <c r="P237" i="33"/>
  <c r="P234" i="33" s="1"/>
  <c r="Q16" i="25"/>
  <c r="Q149" i="33" s="1"/>
  <c r="P18" i="25"/>
  <c r="Q236" i="33"/>
  <c r="P122" i="25"/>
  <c r="N569" i="7"/>
  <c r="N572" i="7" s="1"/>
  <c r="N574" i="7" s="1"/>
  <c r="M576" i="7"/>
  <c r="M558" i="7"/>
  <c r="M557" i="7"/>
  <c r="L604" i="7"/>
  <c r="N537" i="7"/>
  <c r="M544" i="7"/>
  <c r="K120" i="5"/>
  <c r="K106" i="6" s="1"/>
  <c r="M573" i="7"/>
  <c r="M541" i="7"/>
  <c r="L585" i="7"/>
  <c r="L588" i="7" s="1"/>
  <c r="AD81" i="7"/>
  <c r="AD82" i="7"/>
  <c r="AD89" i="7"/>
  <c r="AE84" i="7" s="1"/>
  <c r="AF43" i="7"/>
  <c r="AG31" i="7"/>
  <c r="AG38" i="7" s="1"/>
  <c r="O194" i="33"/>
  <c r="S570" i="7"/>
  <c r="R339" i="25"/>
  <c r="R602" i="7"/>
  <c r="Q586" i="7"/>
  <c r="Q118" i="6" s="1"/>
  <c r="R330" i="25"/>
  <c r="S538" i="7"/>
  <c r="S554" i="7"/>
  <c r="Q46" i="25"/>
  <c r="R522" i="7"/>
  <c r="S229" i="33"/>
  <c r="R321" i="25" l="1"/>
  <c r="AG39" i="7"/>
  <c r="AG40" i="7" s="1"/>
  <c r="Q202" i="33"/>
  <c r="Q122" i="6"/>
  <c r="K526" i="7"/>
  <c r="L521" i="7" s="1"/>
  <c r="L524" i="7" s="1"/>
  <c r="AG32" i="7"/>
  <c r="R236" i="33"/>
  <c r="Q237" i="33"/>
  <c r="Q234" i="33" s="1"/>
  <c r="Q18" i="25"/>
  <c r="R16" i="25"/>
  <c r="R149" i="33" s="1"/>
  <c r="Q122" i="25"/>
  <c r="N573" i="7"/>
  <c r="L605" i="7"/>
  <c r="O569" i="7"/>
  <c r="O572" i="7" s="1"/>
  <c r="N576" i="7"/>
  <c r="K525" i="7"/>
  <c r="N553" i="7"/>
  <c r="N556" i="7" s="1"/>
  <c r="M560" i="7"/>
  <c r="L606" i="7"/>
  <c r="N540" i="7"/>
  <c r="N541" i="7" s="1"/>
  <c r="L589" i="7"/>
  <c r="P194" i="33"/>
  <c r="AD91" i="7"/>
  <c r="AD64" i="2" s="1"/>
  <c r="AE78" i="7"/>
  <c r="L590" i="7"/>
  <c r="T554" i="7"/>
  <c r="T538" i="7"/>
  <c r="S602" i="7"/>
  <c r="T570" i="7"/>
  <c r="S330" i="25"/>
  <c r="R586" i="7"/>
  <c r="R118" i="6" s="1"/>
  <c r="S339" i="25"/>
  <c r="R46" i="25"/>
  <c r="S522" i="7"/>
  <c r="T229" i="33"/>
  <c r="S321" i="25" l="1"/>
  <c r="AG41" i="7"/>
  <c r="AH36" i="7" s="1"/>
  <c r="R202" i="33"/>
  <c r="R122" i="6"/>
  <c r="K528" i="7"/>
  <c r="K109" i="2" s="1"/>
  <c r="K111" i="2" s="1"/>
  <c r="S236" i="33"/>
  <c r="R18" i="25"/>
  <c r="S16" i="25"/>
  <c r="S149" i="33" s="1"/>
  <c r="R237" i="33"/>
  <c r="R234" i="33" s="1"/>
  <c r="R122" i="25"/>
  <c r="M601" i="7"/>
  <c r="L608" i="7"/>
  <c r="L120" i="5"/>
  <c r="L106" i="6" s="1"/>
  <c r="O574" i="7"/>
  <c r="O573" i="7"/>
  <c r="N558" i="7"/>
  <c r="N557" i="7"/>
  <c r="N542" i="7"/>
  <c r="AD66" i="2"/>
  <c r="AG33" i="7"/>
  <c r="AG34" i="7"/>
  <c r="AH30" i="7" s="1"/>
  <c r="AE79" i="7"/>
  <c r="AE86" i="7" s="1"/>
  <c r="M585" i="7"/>
  <c r="M588" i="7" s="1"/>
  <c r="L592" i="7"/>
  <c r="Q194" i="33"/>
  <c r="U570" i="7"/>
  <c r="T339" i="25"/>
  <c r="S586" i="7"/>
  <c r="S118" i="6" s="1"/>
  <c r="T330" i="25"/>
  <c r="U538" i="7"/>
  <c r="T602" i="7"/>
  <c r="U554" i="7"/>
  <c r="S46" i="25"/>
  <c r="T522" i="7"/>
  <c r="U229" i="33"/>
  <c r="T321" i="25" l="1"/>
  <c r="S202" i="33"/>
  <c r="S122" i="6"/>
  <c r="S18" i="25"/>
  <c r="T16" i="25"/>
  <c r="T149" i="33" s="1"/>
  <c r="T236" i="33"/>
  <c r="S237" i="33"/>
  <c r="S234" i="33" s="1"/>
  <c r="S122" i="25"/>
  <c r="M604" i="7"/>
  <c r="M605" i="7" s="1"/>
  <c r="O553" i="7"/>
  <c r="O556" i="7" s="1"/>
  <c r="N560" i="7"/>
  <c r="L525" i="7"/>
  <c r="P569" i="7"/>
  <c r="P572" i="7" s="1"/>
  <c r="O576" i="7"/>
  <c r="O537" i="7"/>
  <c r="O540" i="7" s="1"/>
  <c r="N544" i="7"/>
  <c r="L526" i="7"/>
  <c r="M589" i="7"/>
  <c r="AG43" i="7"/>
  <c r="AH31" i="7"/>
  <c r="AH38" i="7" s="1"/>
  <c r="AH39" i="7" s="1"/>
  <c r="AE80" i="7"/>
  <c r="AE87" i="7"/>
  <c r="AE88" i="7" s="1"/>
  <c r="M590" i="7"/>
  <c r="R194" i="33"/>
  <c r="U330" i="25"/>
  <c r="T586" i="7"/>
  <c r="T118" i="6" s="1"/>
  <c r="U602" i="7"/>
  <c r="V570" i="7"/>
  <c r="V538" i="7"/>
  <c r="V554" i="7"/>
  <c r="U339" i="25"/>
  <c r="T46" i="25"/>
  <c r="U522" i="7"/>
  <c r="V229" i="33"/>
  <c r="U321" i="25" l="1"/>
  <c r="T202" i="33"/>
  <c r="T122" i="6"/>
  <c r="AE76" i="5"/>
  <c r="AE61" i="6" s="1"/>
  <c r="AH32" i="7"/>
  <c r="T18" i="25"/>
  <c r="U16" i="25"/>
  <c r="U149" i="33" s="1"/>
  <c r="T237" i="33"/>
  <c r="T234" i="33" s="1"/>
  <c r="U236" i="33"/>
  <c r="T122" i="25"/>
  <c r="M521" i="7"/>
  <c r="M524" i="7" s="1"/>
  <c r="L528" i="7"/>
  <c r="L109" i="2" s="1"/>
  <c r="L111" i="2" s="1"/>
  <c r="P574" i="7"/>
  <c r="P573" i="7"/>
  <c r="M606" i="7"/>
  <c r="O542" i="7"/>
  <c r="O541" i="7"/>
  <c r="O558" i="7"/>
  <c r="O557" i="7"/>
  <c r="AE89" i="7"/>
  <c r="AF84" i="7" s="1"/>
  <c r="AH40" i="7"/>
  <c r="AE81" i="7"/>
  <c r="AE82" i="7"/>
  <c r="N585" i="7"/>
  <c r="N588" i="7" s="1"/>
  <c r="M592" i="7"/>
  <c r="S194" i="33"/>
  <c r="V330" i="25"/>
  <c r="V339" i="25"/>
  <c r="W570" i="7"/>
  <c r="W538" i="7"/>
  <c r="W554" i="7"/>
  <c r="V602" i="7"/>
  <c r="U586" i="7"/>
  <c r="U118" i="6" s="1"/>
  <c r="U46" i="25"/>
  <c r="V522" i="7"/>
  <c r="W229" i="33"/>
  <c r="V321" i="25" l="1"/>
  <c r="U202" i="33"/>
  <c r="U122" i="6"/>
  <c r="V236" i="33"/>
  <c r="V16" i="25"/>
  <c r="V149" i="33" s="1"/>
  <c r="U18" i="25"/>
  <c r="U237" i="33"/>
  <c r="U234" i="33" s="1"/>
  <c r="U122" i="25"/>
  <c r="M120" i="5"/>
  <c r="M106" i="6" s="1"/>
  <c r="P537" i="7"/>
  <c r="O544" i="7"/>
  <c r="Q569" i="7"/>
  <c r="Q572" i="7" s="1"/>
  <c r="P576" i="7"/>
  <c r="N601" i="7"/>
  <c r="M608" i="7"/>
  <c r="P553" i="7"/>
  <c r="O560" i="7"/>
  <c r="AH33" i="7"/>
  <c r="N589" i="7"/>
  <c r="T194" i="33"/>
  <c r="AH34" i="7"/>
  <c r="AH41" i="7"/>
  <c r="AE91" i="7"/>
  <c r="AE64" i="2" s="1"/>
  <c r="AF78" i="7"/>
  <c r="N590" i="7"/>
  <c r="X570" i="7"/>
  <c r="V586" i="7"/>
  <c r="V118" i="6" s="1"/>
  <c r="X538" i="7"/>
  <c r="W339" i="25"/>
  <c r="W602" i="7"/>
  <c r="X554" i="7"/>
  <c r="W330" i="25"/>
  <c r="V46" i="25"/>
  <c r="W522" i="7"/>
  <c r="X229" i="33"/>
  <c r="W321" i="25" l="1"/>
  <c r="V202" i="33"/>
  <c r="V122" i="6"/>
  <c r="M526" i="7"/>
  <c r="M528" i="7" s="1"/>
  <c r="M109" i="2" s="1"/>
  <c r="M111" i="2" s="1"/>
  <c r="W236" i="33"/>
  <c r="V237" i="33"/>
  <c r="V234" i="33" s="1"/>
  <c r="W16" i="25"/>
  <c r="W149" i="33" s="1"/>
  <c r="V18" i="25"/>
  <c r="V122" i="25"/>
  <c r="Q574" i="7"/>
  <c r="Q573" i="7"/>
  <c r="M525" i="7"/>
  <c r="P556" i="7"/>
  <c r="P557" i="7" s="1"/>
  <c r="P540" i="7"/>
  <c r="P541" i="7" s="1"/>
  <c r="N604" i="7"/>
  <c r="N605" i="7" s="1"/>
  <c r="AE66" i="2"/>
  <c r="U194" i="33"/>
  <c r="AH43" i="7"/>
  <c r="AF79" i="7"/>
  <c r="AF86" i="7" s="1"/>
  <c r="O585" i="7"/>
  <c r="N592" i="7"/>
  <c r="X330" i="25"/>
  <c r="Y554" i="7"/>
  <c r="Y538" i="7"/>
  <c r="Y570" i="7"/>
  <c r="X602" i="7"/>
  <c r="X339" i="25"/>
  <c r="W586" i="7"/>
  <c r="W118" i="6" s="1"/>
  <c r="W46" i="25"/>
  <c r="X522" i="7"/>
  <c r="Y229" i="33"/>
  <c r="X321" i="25" l="1"/>
  <c r="W202" i="33"/>
  <c r="W122" i="6"/>
  <c r="N521" i="7"/>
  <c r="N524" i="7" s="1"/>
  <c r="X236" i="33"/>
  <c r="X16" i="25"/>
  <c r="X149" i="33" s="1"/>
  <c r="W18" i="25"/>
  <c r="W237" i="33"/>
  <c r="W234" i="33" s="1"/>
  <c r="W122" i="25"/>
  <c r="R569" i="7"/>
  <c r="R572" i="7" s="1"/>
  <c r="Q576" i="7"/>
  <c r="P558" i="7"/>
  <c r="N606" i="7"/>
  <c r="P542" i="7"/>
  <c r="AF87" i="7"/>
  <c r="AF88" i="7" s="1"/>
  <c r="AF80" i="7"/>
  <c r="V194" i="33"/>
  <c r="X586" i="7"/>
  <c r="Y602" i="7"/>
  <c r="Z570" i="7"/>
  <c r="Z554" i="7"/>
  <c r="O588" i="7"/>
  <c r="Y339" i="25"/>
  <c r="Z538" i="7"/>
  <c r="Y330" i="25"/>
  <c r="X46" i="25"/>
  <c r="Y522" i="7"/>
  <c r="Z229" i="33"/>
  <c r="Y321" i="25" l="1"/>
  <c r="N525" i="7"/>
  <c r="N120" i="5"/>
  <c r="N106" i="6" s="1"/>
  <c r="N526" i="7"/>
  <c r="N528" i="7" s="1"/>
  <c r="AF76" i="5"/>
  <c r="AF61" i="6" s="1"/>
  <c r="Y236" i="33"/>
  <c r="X237" i="33"/>
  <c r="X234" i="33" s="1"/>
  <c r="X18" i="25"/>
  <c r="Y16" i="25"/>
  <c r="Y149" i="33" s="1"/>
  <c r="X122" i="25"/>
  <c r="Q537" i="7"/>
  <c r="P544" i="7"/>
  <c r="R574" i="7"/>
  <c r="R573" i="7"/>
  <c r="Q553" i="7"/>
  <c r="Q556" i="7" s="1"/>
  <c r="P560" i="7"/>
  <c r="N608" i="7"/>
  <c r="O601" i="7"/>
  <c r="O604" i="7" s="1"/>
  <c r="AF81" i="7"/>
  <c r="O589" i="7"/>
  <c r="X118" i="6"/>
  <c r="W194" i="33"/>
  <c r="AF82" i="7"/>
  <c r="AG78" i="7" s="1"/>
  <c r="AF89" i="7"/>
  <c r="AG84" i="7" s="1"/>
  <c r="O590" i="7"/>
  <c r="Z330" i="25"/>
  <c r="AA538" i="7"/>
  <c r="AA554" i="7"/>
  <c r="Z602" i="7"/>
  <c r="Z339" i="25"/>
  <c r="AA570" i="7"/>
  <c r="Y586" i="7"/>
  <c r="Y118" i="6" s="1"/>
  <c r="Y46" i="25"/>
  <c r="Z522" i="7"/>
  <c r="AA229" i="33"/>
  <c r="Z321" i="25" l="1"/>
  <c r="Y202" i="33"/>
  <c r="Y122" i="6"/>
  <c r="X202" i="33"/>
  <c r="X122" i="6"/>
  <c r="X194" i="33" s="1"/>
  <c r="O521" i="7"/>
  <c r="Z236" i="33"/>
  <c r="Y18" i="25"/>
  <c r="Z16" i="25"/>
  <c r="Z149" i="33" s="1"/>
  <c r="Y237" i="33"/>
  <c r="Y234" i="33" s="1"/>
  <c r="Y122" i="25"/>
  <c r="N109" i="2"/>
  <c r="N111" i="2" s="1"/>
  <c r="Q558" i="7"/>
  <c r="Q557" i="7"/>
  <c r="Q540" i="7"/>
  <c r="Q541" i="7" s="1"/>
  <c r="S569" i="7"/>
  <c r="R576" i="7"/>
  <c r="O606" i="7"/>
  <c r="O605" i="7"/>
  <c r="AF91" i="7"/>
  <c r="AF64" i="2" s="1"/>
  <c r="AG79" i="7"/>
  <c r="AG86" i="7" s="1"/>
  <c r="P585" i="7"/>
  <c r="O592" i="7"/>
  <c r="AB570" i="7"/>
  <c r="AB538" i="7"/>
  <c r="AA339" i="25"/>
  <c r="AA602" i="7"/>
  <c r="AB554" i="7"/>
  <c r="AA330" i="25"/>
  <c r="Z586" i="7"/>
  <c r="Z118" i="6" s="1"/>
  <c r="Z46" i="25"/>
  <c r="AA522" i="7"/>
  <c r="AB229" i="33"/>
  <c r="AA321" i="25" l="1"/>
  <c r="O524" i="7"/>
  <c r="O526" i="7" s="1"/>
  <c r="Z202" i="33"/>
  <c r="Z122" i="6"/>
  <c r="AA16" i="25"/>
  <c r="AA149" i="33" s="1"/>
  <c r="Z18" i="25"/>
  <c r="Z237" i="33"/>
  <c r="Z234" i="33" s="1"/>
  <c r="AA236" i="33"/>
  <c r="Z122" i="25"/>
  <c r="Q542" i="7"/>
  <c r="S572" i="7"/>
  <c r="S573" i="7" s="1"/>
  <c r="R553" i="7"/>
  <c r="Q560" i="7"/>
  <c r="O608" i="7"/>
  <c r="P601" i="7"/>
  <c r="AF66" i="2"/>
  <c r="AG80" i="7"/>
  <c r="AG87" i="7"/>
  <c r="AG88" i="7" s="1"/>
  <c r="Y194" i="33"/>
  <c r="AC554" i="7"/>
  <c r="P588" i="7"/>
  <c r="AC538" i="7"/>
  <c r="AC570" i="7"/>
  <c r="AB330" i="25"/>
  <c r="AA586" i="7"/>
  <c r="AA118" i="6" s="1"/>
  <c r="AB602" i="7"/>
  <c r="AB339" i="25"/>
  <c r="AA46" i="25"/>
  <c r="AB522" i="7"/>
  <c r="AC229" i="33"/>
  <c r="AB321" i="25" l="1"/>
  <c r="O120" i="5"/>
  <c r="O106" i="6" s="1"/>
  <c r="O525" i="7"/>
  <c r="AA202" i="33"/>
  <c r="AA122" i="6"/>
  <c r="AG76" i="5"/>
  <c r="AG61" i="6" s="1"/>
  <c r="AB236" i="33"/>
  <c r="AA18" i="25"/>
  <c r="AB16" i="25"/>
  <c r="AB149" i="33" s="1"/>
  <c r="AA237" i="33"/>
  <c r="AA234" i="33" s="1"/>
  <c r="AA122" i="25"/>
  <c r="P604" i="7"/>
  <c r="P605" i="7" s="1"/>
  <c r="S574" i="7"/>
  <c r="P521" i="7"/>
  <c r="P524" i="7" s="1"/>
  <c r="O528" i="7"/>
  <c r="O109" i="2" s="1"/>
  <c r="O111" i="2" s="1"/>
  <c r="R556" i="7"/>
  <c r="R557" i="7" s="1"/>
  <c r="R537" i="7"/>
  <c r="R540" i="7" s="1"/>
  <c r="Q544" i="7"/>
  <c r="AG81" i="7"/>
  <c r="P589" i="7"/>
  <c r="AG82" i="7"/>
  <c r="AG89" i="7"/>
  <c r="AH84" i="7" s="1"/>
  <c r="P590" i="7"/>
  <c r="Z194" i="33"/>
  <c r="AD538" i="7"/>
  <c r="AD554" i="7"/>
  <c r="AC602" i="7"/>
  <c r="AB586" i="7"/>
  <c r="AB118" i="6" s="1"/>
  <c r="AC330" i="25"/>
  <c r="AD570" i="7"/>
  <c r="AC339" i="25"/>
  <c r="AB46" i="25"/>
  <c r="AC522" i="7"/>
  <c r="AD229" i="33"/>
  <c r="AC321" i="25" l="1"/>
  <c r="AB202" i="33"/>
  <c r="AB122" i="6"/>
  <c r="AB18" i="25"/>
  <c r="AC16" i="25"/>
  <c r="AC149" i="33" s="1"/>
  <c r="AC236" i="33"/>
  <c r="AB237" i="33"/>
  <c r="AB234" i="33" s="1"/>
  <c r="AB122" i="25"/>
  <c r="P606" i="7"/>
  <c r="T569" i="7"/>
  <c r="S576" i="7"/>
  <c r="R558" i="7"/>
  <c r="R542" i="7"/>
  <c r="R541" i="7"/>
  <c r="P120" i="5"/>
  <c r="P106" i="6" s="1"/>
  <c r="AG91" i="7"/>
  <c r="AG64" i="2" s="1"/>
  <c r="AH78" i="7"/>
  <c r="AH79" i="7" s="1"/>
  <c r="AH86" i="7" s="1"/>
  <c r="AA194" i="33"/>
  <c r="Q585" i="7"/>
  <c r="Q588" i="7" s="1"/>
  <c r="P592" i="7"/>
  <c r="AD602" i="7"/>
  <c r="AE538" i="7"/>
  <c r="AE570" i="7"/>
  <c r="AC586" i="7"/>
  <c r="AD339" i="25"/>
  <c r="AD330" i="25"/>
  <c r="AE554" i="7"/>
  <c r="AC46" i="25"/>
  <c r="AD522" i="7"/>
  <c r="AE229" i="33"/>
  <c r="AD321" i="25" l="1"/>
  <c r="P526" i="7"/>
  <c r="Q521" i="7" s="1"/>
  <c r="Q524" i="7" s="1"/>
  <c r="AC237" i="33"/>
  <c r="AC234" i="33" s="1"/>
  <c r="AC18" i="25"/>
  <c r="AD16" i="25"/>
  <c r="AD149" i="33" s="1"/>
  <c r="AD236" i="33"/>
  <c r="AC122" i="25"/>
  <c r="S537" i="7"/>
  <c r="R544" i="7"/>
  <c r="Q601" i="7"/>
  <c r="P608" i="7"/>
  <c r="T572" i="7"/>
  <c r="T573" i="7" s="1"/>
  <c r="P525" i="7"/>
  <c r="S553" i="7"/>
  <c r="R560" i="7"/>
  <c r="AG66" i="2"/>
  <c r="AC118" i="6"/>
  <c r="Q589" i="7"/>
  <c r="AB194" i="33"/>
  <c r="AH80" i="7"/>
  <c r="AH87" i="7"/>
  <c r="AH88" i="7" s="1"/>
  <c r="Q590" i="7"/>
  <c r="AF554" i="7"/>
  <c r="AF570" i="7"/>
  <c r="AE330" i="25"/>
  <c r="AF538" i="7"/>
  <c r="AD586" i="7"/>
  <c r="AD118" i="6" s="1"/>
  <c r="AE602" i="7"/>
  <c r="AE339" i="25"/>
  <c r="AD46" i="25"/>
  <c r="AE522" i="7"/>
  <c r="AF229" i="33"/>
  <c r="AE321" i="25" l="1"/>
  <c r="AC202" i="33"/>
  <c r="AC122" i="6"/>
  <c r="AC194" i="33" s="1"/>
  <c r="AD202" i="33"/>
  <c r="AD122" i="6"/>
  <c r="P528" i="7"/>
  <c r="P109" i="2" s="1"/>
  <c r="P111" i="2" s="1"/>
  <c r="AH76" i="5"/>
  <c r="AH61" i="6" s="1"/>
  <c r="AD237" i="33"/>
  <c r="AD234" i="33" s="1"/>
  <c r="AE236" i="33"/>
  <c r="AE16" i="25"/>
  <c r="AE149" i="33" s="1"/>
  <c r="AD18" i="25"/>
  <c r="AD122" i="25"/>
  <c r="Q604" i="7"/>
  <c r="Q605" i="7" s="1"/>
  <c r="S540" i="7"/>
  <c r="S541" i="7" s="1"/>
  <c r="S556" i="7"/>
  <c r="S557" i="7" s="1"/>
  <c r="T574" i="7"/>
  <c r="AH81" i="7"/>
  <c r="AH82" i="7"/>
  <c r="AH89" i="7"/>
  <c r="R585" i="7"/>
  <c r="Q592" i="7"/>
  <c r="AF339" i="25"/>
  <c r="AG538" i="7"/>
  <c r="AG554" i="7"/>
  <c r="AF602" i="7"/>
  <c r="AF330" i="25"/>
  <c r="AE586" i="7"/>
  <c r="AE118" i="6" s="1"/>
  <c r="AG570" i="7"/>
  <c r="AE46" i="25"/>
  <c r="AF522" i="7"/>
  <c r="AG229" i="33"/>
  <c r="AF321" i="25" l="1"/>
  <c r="AE202" i="33"/>
  <c r="AE122" i="6"/>
  <c r="Q120" i="5"/>
  <c r="Q106" i="6" s="1"/>
  <c r="Q526" i="7"/>
  <c r="R521" i="7" s="1"/>
  <c r="R524" i="7" s="1"/>
  <c r="AE18" i="25"/>
  <c r="AF16" i="25"/>
  <c r="AF149" i="33" s="1"/>
  <c r="AF236" i="33"/>
  <c r="AE237" i="33"/>
  <c r="AE234" i="33" s="1"/>
  <c r="AE122" i="25"/>
  <c r="S542" i="7"/>
  <c r="S544" i="7" s="1"/>
  <c r="U569" i="7"/>
  <c r="T576" i="7"/>
  <c r="Q606" i="7"/>
  <c r="Q525" i="7"/>
  <c r="S558" i="7"/>
  <c r="AH91" i="7"/>
  <c r="AH64" i="2" s="1"/>
  <c r="AD194" i="33"/>
  <c r="AH570" i="7"/>
  <c r="M28" i="37" s="1"/>
  <c r="AG602" i="7"/>
  <c r="AH554" i="7"/>
  <c r="M27" i="37" s="1"/>
  <c r="AH538" i="7"/>
  <c r="M26" i="37" s="1"/>
  <c r="AF586" i="7"/>
  <c r="AF118" i="6" s="1"/>
  <c r="R588" i="7"/>
  <c r="AG330" i="25"/>
  <c r="AG339" i="25"/>
  <c r="AF46" i="25"/>
  <c r="AG522" i="7"/>
  <c r="AH229" i="33"/>
  <c r="AG321" i="25" l="1"/>
  <c r="AF202" i="33"/>
  <c r="AF122" i="6"/>
  <c r="Q528" i="7"/>
  <c r="AF237" i="33"/>
  <c r="AF234" i="33" s="1"/>
  <c r="AF18" i="25"/>
  <c r="AG16" i="25"/>
  <c r="AG149" i="33" s="1"/>
  <c r="AG236" i="33"/>
  <c r="AF122" i="25"/>
  <c r="T537" i="7"/>
  <c r="T540" i="7" s="1"/>
  <c r="T541" i="7" s="1"/>
  <c r="R601" i="7"/>
  <c r="R604" i="7" s="1"/>
  <c r="Q608" i="7"/>
  <c r="T553" i="7"/>
  <c r="S560" i="7"/>
  <c r="U572" i="7"/>
  <c r="U573" i="7" s="1"/>
  <c r="AH66" i="2"/>
  <c r="R589" i="7"/>
  <c r="R590" i="7"/>
  <c r="R592" i="7" s="1"/>
  <c r="AE194" i="33"/>
  <c r="AH330" i="25"/>
  <c r="AG586" i="7"/>
  <c r="AG118" i="6" s="1"/>
  <c r="AH586" i="7"/>
  <c r="AH602" i="7"/>
  <c r="M30" i="37" s="1"/>
  <c r="AH339" i="25"/>
  <c r="AG46" i="25"/>
  <c r="AH522" i="7"/>
  <c r="M25" i="37" s="1"/>
  <c r="AH321" i="25" l="1"/>
  <c r="AG202" i="33"/>
  <c r="AG122" i="6"/>
  <c r="R120" i="5"/>
  <c r="R106" i="6" s="1"/>
  <c r="Q109" i="2"/>
  <c r="Q111" i="2" s="1"/>
  <c r="R525" i="7"/>
  <c r="AH236" i="33"/>
  <c r="F8" i="37" s="1"/>
  <c r="AG237" i="33"/>
  <c r="AG234" i="33" s="1"/>
  <c r="AH237" i="33"/>
  <c r="AG18" i="25"/>
  <c r="AH16" i="25"/>
  <c r="AH149" i="33" s="1"/>
  <c r="F9" i="37" s="1"/>
  <c r="AG122" i="25"/>
  <c r="AH118" i="6"/>
  <c r="T542" i="7"/>
  <c r="T544" i="7" s="1"/>
  <c r="T556" i="7"/>
  <c r="T557" i="7" s="1"/>
  <c r="U574" i="7"/>
  <c r="R526" i="7"/>
  <c r="R606" i="7"/>
  <c r="R605" i="7"/>
  <c r="M29" i="37"/>
  <c r="AF194" i="33"/>
  <c r="S585" i="7"/>
  <c r="AH46" i="25"/>
  <c r="AH202" i="33" l="1"/>
  <c r="AH122" i="6"/>
  <c r="F7" i="37"/>
  <c r="H26" i="28"/>
  <c r="AH234" i="33"/>
  <c r="O66" i="37" s="1"/>
  <c r="AH18" i="25"/>
  <c r="AH122" i="25"/>
  <c r="U537" i="7"/>
  <c r="U540" i="7" s="1"/>
  <c r="U541" i="7" s="1"/>
  <c r="V569" i="7"/>
  <c r="U576" i="7"/>
  <c r="S521" i="7"/>
  <c r="S524" i="7" s="1"/>
  <c r="R528" i="7"/>
  <c r="S601" i="7"/>
  <c r="S604" i="7" s="1"/>
  <c r="R608" i="7"/>
  <c r="T558" i="7"/>
  <c r="M31" i="37"/>
  <c r="AG194" i="33"/>
  <c r="S588" i="7"/>
  <c r="R109" i="2" l="1"/>
  <c r="R111" i="2" s="1"/>
  <c r="U542" i="7"/>
  <c r="S606" i="7"/>
  <c r="S605" i="7"/>
  <c r="V572" i="7"/>
  <c r="V573" i="7" s="1"/>
  <c r="T560" i="7"/>
  <c r="U553" i="7"/>
  <c r="S120" i="5"/>
  <c r="S106" i="6" s="1"/>
  <c r="I26" i="28"/>
  <c r="S589" i="7"/>
  <c r="S590" i="7"/>
  <c r="AH194" i="33"/>
  <c r="S525" i="7" l="1"/>
  <c r="V574" i="7"/>
  <c r="V576" i="7" s="1"/>
  <c r="S526" i="7"/>
  <c r="V537" i="7"/>
  <c r="U544" i="7"/>
  <c r="T601" i="7"/>
  <c r="S608" i="7"/>
  <c r="U556" i="7"/>
  <c r="U557" i="7" s="1"/>
  <c r="T585" i="7"/>
  <c r="S592" i="7"/>
  <c r="W569" i="7" l="1"/>
  <c r="W572" i="7" s="1"/>
  <c r="W573" i="7" s="1"/>
  <c r="V540" i="7"/>
  <c r="V541" i="7" s="1"/>
  <c r="U558" i="7"/>
  <c r="T521" i="7"/>
  <c r="T524" i="7" s="1"/>
  <c r="S528" i="7"/>
  <c r="S109" i="2" s="1"/>
  <c r="S111" i="2" s="1"/>
  <c r="T604" i="7"/>
  <c r="T605" i="7" s="1"/>
  <c r="T588" i="7"/>
  <c r="F128" i="26"/>
  <c r="F146" i="26"/>
  <c r="G307" i="26"/>
  <c r="H307" i="26" s="1"/>
  <c r="I307" i="26" s="1"/>
  <c r="J307" i="26" s="1"/>
  <c r="K307" i="26" s="1"/>
  <c r="L307" i="26" s="1"/>
  <c r="M307" i="26" s="1"/>
  <c r="N307" i="26" s="1"/>
  <c r="O307" i="26" s="1"/>
  <c r="P307" i="26" s="1"/>
  <c r="Q307" i="26" s="1"/>
  <c r="R307" i="26" s="1"/>
  <c r="S307" i="26" s="1"/>
  <c r="T307" i="26" s="1"/>
  <c r="U307" i="26" s="1"/>
  <c r="V307" i="26" s="1"/>
  <c r="W307" i="26" s="1"/>
  <c r="X307" i="26" s="1"/>
  <c r="Y307" i="26" s="1"/>
  <c r="Z307" i="26" s="1"/>
  <c r="AA307" i="26" s="1"/>
  <c r="AB307" i="26" s="1"/>
  <c r="AC307" i="26" s="1"/>
  <c r="AD307" i="26" s="1"/>
  <c r="AE307" i="26" s="1"/>
  <c r="AF307" i="26" s="1"/>
  <c r="AG307" i="26" s="1"/>
  <c r="AH307" i="26" s="1"/>
  <c r="G316" i="26"/>
  <c r="H316" i="26" s="1"/>
  <c r="I316" i="26" s="1"/>
  <c r="J316" i="26" s="1"/>
  <c r="K316" i="26" s="1"/>
  <c r="L316" i="26" s="1"/>
  <c r="M316" i="26" s="1"/>
  <c r="N316" i="26" s="1"/>
  <c r="O316" i="26" s="1"/>
  <c r="P316" i="26" s="1"/>
  <c r="Q316" i="26" s="1"/>
  <c r="R316" i="26" s="1"/>
  <c r="S316" i="26" s="1"/>
  <c r="T316" i="26" s="1"/>
  <c r="U316" i="26" s="1"/>
  <c r="V316" i="26" s="1"/>
  <c r="W316" i="26" s="1"/>
  <c r="X316" i="26" s="1"/>
  <c r="Y316" i="26" s="1"/>
  <c r="Z316" i="26" s="1"/>
  <c r="AA316" i="26" s="1"/>
  <c r="AB316" i="26" s="1"/>
  <c r="AC316" i="26" s="1"/>
  <c r="AD316" i="26" s="1"/>
  <c r="AE316" i="26" s="1"/>
  <c r="AF316" i="26" s="1"/>
  <c r="AG316" i="26" s="1"/>
  <c r="AH316" i="26" s="1"/>
  <c r="G325" i="26"/>
  <c r="H325" i="26" s="1"/>
  <c r="I325" i="26" s="1"/>
  <c r="J325" i="26" s="1"/>
  <c r="K325" i="26" s="1"/>
  <c r="L325" i="26" s="1"/>
  <c r="M325" i="26" s="1"/>
  <c r="N325" i="26" s="1"/>
  <c r="O325" i="26" s="1"/>
  <c r="P325" i="26" s="1"/>
  <c r="Q325" i="26" s="1"/>
  <c r="R325" i="26" s="1"/>
  <c r="S325" i="26" s="1"/>
  <c r="T325" i="26" s="1"/>
  <c r="U325" i="26" s="1"/>
  <c r="V325" i="26" s="1"/>
  <c r="W325" i="26" s="1"/>
  <c r="X325" i="26" s="1"/>
  <c r="Y325" i="26" s="1"/>
  <c r="Z325" i="26" s="1"/>
  <c r="AA325" i="26" s="1"/>
  <c r="AB325" i="26" s="1"/>
  <c r="AC325" i="26" s="1"/>
  <c r="AD325" i="26" s="1"/>
  <c r="AE325" i="26" s="1"/>
  <c r="AF325" i="26" s="1"/>
  <c r="AG325" i="26" s="1"/>
  <c r="AH325" i="26" s="1"/>
  <c r="H956" i="7"/>
  <c r="I972" i="7"/>
  <c r="I974" i="7" s="1"/>
  <c r="I976" i="7" s="1"/>
  <c r="I988" i="7"/>
  <c r="H1004" i="7"/>
  <c r="H1020" i="7"/>
  <c r="H1022" i="7" s="1"/>
  <c r="H1024" i="7" s="1"/>
  <c r="G146" i="26" l="1"/>
  <c r="G128" i="26"/>
  <c r="J972" i="7"/>
  <c r="J971" i="7"/>
  <c r="I975" i="7"/>
  <c r="I1019" i="7"/>
  <c r="H1023" i="7"/>
  <c r="H1006" i="7"/>
  <c r="H1008" i="7" s="1"/>
  <c r="I956" i="7"/>
  <c r="V542" i="7"/>
  <c r="W537" i="7" s="1"/>
  <c r="W574" i="7"/>
  <c r="W576" i="7" s="1"/>
  <c r="V553" i="7"/>
  <c r="U560" i="7"/>
  <c r="T606" i="7"/>
  <c r="T120" i="5"/>
  <c r="T106" i="6" s="1"/>
  <c r="T589" i="7"/>
  <c r="T590" i="7"/>
  <c r="H958" i="7"/>
  <c r="I990" i="7"/>
  <c r="H940" i="7"/>
  <c r="H942" i="7" s="1"/>
  <c r="H50" i="26"/>
  <c r="I1020" i="7"/>
  <c r="I1004" i="7"/>
  <c r="H163" i="6" l="1"/>
  <c r="H193" i="34" s="1"/>
  <c r="I991" i="7"/>
  <c r="I992" i="7"/>
  <c r="J987" i="7" s="1"/>
  <c r="H959" i="7"/>
  <c r="H960" i="7"/>
  <c r="T525" i="7"/>
  <c r="J228" i="34"/>
  <c r="K972" i="7"/>
  <c r="H146" i="26"/>
  <c r="H128" i="26"/>
  <c r="V544" i="7"/>
  <c r="I978" i="7"/>
  <c r="J1020" i="7"/>
  <c r="H1007" i="7"/>
  <c r="I1022" i="7"/>
  <c r="I1024" i="7" s="1"/>
  <c r="H1026" i="7"/>
  <c r="J1004" i="7"/>
  <c r="I1003" i="7"/>
  <c r="X569" i="7"/>
  <c r="X572" i="7" s="1"/>
  <c r="X573" i="7" s="1"/>
  <c r="V556" i="7"/>
  <c r="V557" i="7" s="1"/>
  <c r="T526" i="7"/>
  <c r="U601" i="7"/>
  <c r="T608" i="7"/>
  <c r="W540" i="7"/>
  <c r="W541" i="7" s="1"/>
  <c r="H163" i="5"/>
  <c r="U585" i="7"/>
  <c r="T592" i="7"/>
  <c r="J988" i="7"/>
  <c r="L972" i="7"/>
  <c r="K1020" i="7"/>
  <c r="I940" i="7"/>
  <c r="I163" i="6" s="1"/>
  <c r="I193" i="34" s="1"/>
  <c r="I50" i="26"/>
  <c r="J965" i="7"/>
  <c r="J966" i="7" s="1"/>
  <c r="J973" i="7" s="1"/>
  <c r="J981" i="7"/>
  <c r="J982" i="7" s="1"/>
  <c r="I949" i="7"/>
  <c r="I950" i="7" s="1"/>
  <c r="H167" i="6" l="1"/>
  <c r="H185" i="34" s="1"/>
  <c r="H944" i="7"/>
  <c r="I939" i="7" s="1"/>
  <c r="H962" i="7"/>
  <c r="I955" i="7"/>
  <c r="H151" i="6"/>
  <c r="K228" i="34"/>
  <c r="J956" i="7"/>
  <c r="I146" i="26"/>
  <c r="K1004" i="7"/>
  <c r="I128" i="26"/>
  <c r="I1006" i="7"/>
  <c r="I1008" i="7" s="1"/>
  <c r="H1010" i="7"/>
  <c r="J1019" i="7"/>
  <c r="I1023" i="7"/>
  <c r="W542" i="7"/>
  <c r="X537" i="7" s="1"/>
  <c r="U521" i="7"/>
  <c r="U524" i="7" s="1"/>
  <c r="T528" i="7"/>
  <c r="T109" i="2" s="1"/>
  <c r="T111" i="2" s="1"/>
  <c r="U604" i="7"/>
  <c r="U605" i="7" s="1"/>
  <c r="V558" i="7"/>
  <c r="X574" i="7"/>
  <c r="I167" i="6"/>
  <c r="I185" i="34" s="1"/>
  <c r="I28" i="6"/>
  <c r="I192" i="10" s="1"/>
  <c r="H28" i="6"/>
  <c r="H192" i="10" s="1"/>
  <c r="H943" i="7"/>
  <c r="J974" i="7"/>
  <c r="I994" i="7"/>
  <c r="K988" i="7"/>
  <c r="K956" i="7"/>
  <c r="M972" i="7"/>
  <c r="U588" i="7"/>
  <c r="L1020" i="7"/>
  <c r="J940" i="7"/>
  <c r="J50" i="26"/>
  <c r="J989" i="7"/>
  <c r="I957" i="7"/>
  <c r="I933" i="7"/>
  <c r="J976" i="7" l="1"/>
  <c r="K971" i="7" s="1"/>
  <c r="I934" i="7"/>
  <c r="I935" i="7" s="1"/>
  <c r="L228" i="34"/>
  <c r="J163" i="6"/>
  <c r="J193" i="34" s="1"/>
  <c r="L1004" i="7"/>
  <c r="J17" i="27"/>
  <c r="J220" i="34"/>
  <c r="J146" i="26"/>
  <c r="J128" i="26"/>
  <c r="I32" i="6"/>
  <c r="H32" i="6"/>
  <c r="W544" i="7"/>
  <c r="J1003" i="7"/>
  <c r="I1007" i="7"/>
  <c r="J1022" i="7"/>
  <c r="J1024" i="7" s="1"/>
  <c r="I1026" i="7"/>
  <c r="X576" i="7"/>
  <c r="Y569" i="7"/>
  <c r="W553" i="7"/>
  <c r="V560" i="7"/>
  <c r="U120" i="5"/>
  <c r="U106" i="6" s="1"/>
  <c r="X540" i="7"/>
  <c r="X541" i="7" s="1"/>
  <c r="U606" i="7"/>
  <c r="J990" i="7"/>
  <c r="H946" i="7"/>
  <c r="H154" i="2" s="1"/>
  <c r="H156" i="2" s="1"/>
  <c r="U589" i="7"/>
  <c r="I958" i="7"/>
  <c r="I959" i="7" s="1"/>
  <c r="J975" i="7"/>
  <c r="U590" i="7"/>
  <c r="L956" i="7"/>
  <c r="L988" i="7"/>
  <c r="N972" i="7"/>
  <c r="K940" i="7"/>
  <c r="K163" i="6" s="1"/>
  <c r="K193" i="34" s="1"/>
  <c r="K50" i="26"/>
  <c r="M1020" i="7"/>
  <c r="K220" i="34"/>
  <c r="J983" i="7"/>
  <c r="J984" i="7" s="1"/>
  <c r="J967" i="7"/>
  <c r="J968" i="7" s="1"/>
  <c r="I951" i="7"/>
  <c r="I953" i="7" s="1"/>
  <c r="M228" i="34"/>
  <c r="J991" i="7" l="1"/>
  <c r="J992" i="7"/>
  <c r="K987" i="7" s="1"/>
  <c r="I960" i="7"/>
  <c r="J955" i="7" s="1"/>
  <c r="I183" i="10"/>
  <c r="H183" i="10"/>
  <c r="U525" i="7"/>
  <c r="M1004" i="7"/>
  <c r="J167" i="6"/>
  <c r="J185" i="34" s="1"/>
  <c r="J28" i="6"/>
  <c r="J192" i="10" s="1"/>
  <c r="K17" i="27"/>
  <c r="K146" i="26"/>
  <c r="J227" i="34"/>
  <c r="J225" i="34" s="1"/>
  <c r="K128" i="26"/>
  <c r="U526" i="7"/>
  <c r="U528" i="7" s="1"/>
  <c r="K1019" i="7"/>
  <c r="J1023" i="7"/>
  <c r="J1006" i="7"/>
  <c r="J1008" i="7" s="1"/>
  <c r="I1010" i="7"/>
  <c r="Y572" i="7"/>
  <c r="Y573" i="7" s="1"/>
  <c r="U608" i="7"/>
  <c r="V601" i="7"/>
  <c r="W556" i="7"/>
  <c r="W557" i="7" s="1"/>
  <c r="X542" i="7"/>
  <c r="K167" i="6"/>
  <c r="K185" i="34" s="1"/>
  <c r="H19" i="2"/>
  <c r="H21" i="2" s="1"/>
  <c r="K28" i="6"/>
  <c r="J949" i="7"/>
  <c r="J950" i="7" s="1"/>
  <c r="J957" i="7" s="1"/>
  <c r="V585" i="7"/>
  <c r="U592" i="7"/>
  <c r="M956" i="7"/>
  <c r="O972" i="7"/>
  <c r="M988" i="7"/>
  <c r="I952" i="7"/>
  <c r="N1020" i="7"/>
  <c r="L940" i="7"/>
  <c r="L163" i="6" s="1"/>
  <c r="L193" i="34" s="1"/>
  <c r="L50" i="26"/>
  <c r="J985" i="7"/>
  <c r="J969" i="7"/>
  <c r="I941" i="7"/>
  <c r="I942" i="7" s="1"/>
  <c r="N228" i="34"/>
  <c r="J32" i="6" l="1"/>
  <c r="N1004" i="7"/>
  <c r="L220" i="34"/>
  <c r="L146" i="26"/>
  <c r="L17" i="27"/>
  <c r="K227" i="34"/>
  <c r="K225" i="34" s="1"/>
  <c r="L128" i="26"/>
  <c r="K32" i="6"/>
  <c r="K192" i="10"/>
  <c r="U109" i="2"/>
  <c r="U111" i="2" s="1"/>
  <c r="V521" i="7"/>
  <c r="V524" i="7" s="1"/>
  <c r="W558" i="7"/>
  <c r="W560" i="7" s="1"/>
  <c r="Y574" i="7"/>
  <c r="Y576" i="7" s="1"/>
  <c r="K1022" i="7"/>
  <c r="K1024" i="7" s="1"/>
  <c r="J1026" i="7"/>
  <c r="K1003" i="7"/>
  <c r="J1007" i="7"/>
  <c r="Y537" i="7"/>
  <c r="X544" i="7"/>
  <c r="V604" i="7"/>
  <c r="V605" i="7" s="1"/>
  <c r="L167" i="6"/>
  <c r="L185" i="34" s="1"/>
  <c r="L28" i="6"/>
  <c r="I962" i="7"/>
  <c r="K965" i="7"/>
  <c r="K966" i="7" s="1"/>
  <c r="K973" i="7" s="1"/>
  <c r="J978" i="7"/>
  <c r="K981" i="7"/>
  <c r="K982" i="7" s="1"/>
  <c r="K989" i="7" s="1"/>
  <c r="J994" i="7"/>
  <c r="N956" i="7"/>
  <c r="N988" i="7"/>
  <c r="P972" i="7"/>
  <c r="V588" i="7"/>
  <c r="M940" i="7"/>
  <c r="M163" i="6" s="1"/>
  <c r="M193" i="34" s="1"/>
  <c r="M50" i="26"/>
  <c r="O1020" i="7"/>
  <c r="I937" i="7"/>
  <c r="I936" i="7"/>
  <c r="J951" i="7"/>
  <c r="J953" i="7" s="1"/>
  <c r="J958" i="7"/>
  <c r="O228" i="34"/>
  <c r="X553" i="7" l="1"/>
  <c r="X556" i="7" s="1"/>
  <c r="X557" i="7" s="1"/>
  <c r="J960" i="7"/>
  <c r="K955" i="7" s="1"/>
  <c r="I163" i="5"/>
  <c r="I151" i="6" s="1"/>
  <c r="I944" i="7"/>
  <c r="J939" i="7" s="1"/>
  <c r="V120" i="5"/>
  <c r="V106" i="6" s="1"/>
  <c r="K183" i="10"/>
  <c r="J183" i="10"/>
  <c r="V525" i="7"/>
  <c r="O1004" i="7"/>
  <c r="L227" i="34"/>
  <c r="L225" i="34" s="1"/>
  <c r="M146" i="26"/>
  <c r="M220" i="34"/>
  <c r="M128" i="26"/>
  <c r="L32" i="6"/>
  <c r="L192" i="10"/>
  <c r="Z569" i="7"/>
  <c r="Z572" i="7" s="1"/>
  <c r="Z573" i="7" s="1"/>
  <c r="L1019" i="7"/>
  <c r="K1023" i="7"/>
  <c r="J1010" i="7"/>
  <c r="V606" i="7"/>
  <c r="V608" i="7" s="1"/>
  <c r="V526" i="7"/>
  <c r="W521" i="7" s="1"/>
  <c r="W524" i="7" s="1"/>
  <c r="Y540" i="7"/>
  <c r="Y541" i="7" s="1"/>
  <c r="M167" i="6"/>
  <c r="M185" i="34" s="1"/>
  <c r="M28" i="6"/>
  <c r="K967" i="7"/>
  <c r="K968" i="7" s="1"/>
  <c r="V589" i="7"/>
  <c r="I943" i="7"/>
  <c r="K949" i="7"/>
  <c r="K950" i="7" s="1"/>
  <c r="K957" i="7" s="1"/>
  <c r="K990" i="7"/>
  <c r="K974" i="7"/>
  <c r="J933" i="7"/>
  <c r="V590" i="7"/>
  <c r="O988" i="7"/>
  <c r="Q972" i="7"/>
  <c r="O956" i="7"/>
  <c r="N940" i="7"/>
  <c r="N163" i="6" s="1"/>
  <c r="N193" i="34" s="1"/>
  <c r="N50" i="26"/>
  <c r="P1004" i="7"/>
  <c r="P1020" i="7"/>
  <c r="J952" i="7"/>
  <c r="K983" i="7"/>
  <c r="K984" i="7" s="1"/>
  <c r="J959" i="7"/>
  <c r="P228" i="34"/>
  <c r="J962" i="7" l="1"/>
  <c r="K991" i="7"/>
  <c r="K992" i="7"/>
  <c r="L987" i="7" s="1"/>
  <c r="K976" i="7"/>
  <c r="L971" i="7" s="1"/>
  <c r="L183" i="10"/>
  <c r="I946" i="7"/>
  <c r="I154" i="2" s="1"/>
  <c r="I156" i="2" s="1"/>
  <c r="J934" i="7"/>
  <c r="J941" i="7" s="1"/>
  <c r="J942" i="7" s="1"/>
  <c r="M227" i="34"/>
  <c r="M225" i="34" s="1"/>
  <c r="M17" i="27"/>
  <c r="N220" i="34"/>
  <c r="N146" i="26"/>
  <c r="N128" i="26"/>
  <c r="M32" i="6"/>
  <c r="M192" i="10"/>
  <c r="K969" i="7"/>
  <c r="V528" i="7"/>
  <c r="W601" i="7"/>
  <c r="W604" i="7" s="1"/>
  <c r="W605" i="7" s="1"/>
  <c r="Z574" i="7"/>
  <c r="Z576" i="7" s="1"/>
  <c r="K1026" i="7"/>
  <c r="K1006" i="7"/>
  <c r="K1008" i="7" s="1"/>
  <c r="Y542" i="7"/>
  <c r="Z537" i="7" s="1"/>
  <c r="X558" i="7"/>
  <c r="N167" i="6"/>
  <c r="N185" i="34" s="1"/>
  <c r="N28" i="6"/>
  <c r="K975" i="7"/>
  <c r="W585" i="7"/>
  <c r="V592" i="7"/>
  <c r="R972" i="7"/>
  <c r="P956" i="7"/>
  <c r="P988" i="7"/>
  <c r="Q1020" i="7"/>
  <c r="O940" i="7"/>
  <c r="O163" i="6" s="1"/>
  <c r="O193" i="34" s="1"/>
  <c r="O50" i="26"/>
  <c r="Q1004" i="7"/>
  <c r="K985" i="7"/>
  <c r="K951" i="7"/>
  <c r="K952" i="7" s="1"/>
  <c r="K958" i="7"/>
  <c r="K960" i="7" s="1"/>
  <c r="Q228" i="34"/>
  <c r="J944" i="7" l="1"/>
  <c r="K939" i="7" s="1"/>
  <c r="K978" i="7"/>
  <c r="L955" i="7"/>
  <c r="M183" i="10"/>
  <c r="W525" i="7"/>
  <c r="J943" i="7"/>
  <c r="J935" i="7"/>
  <c r="N227" i="34"/>
  <c r="N225" i="34" s="1"/>
  <c r="N17" i="27"/>
  <c r="O146" i="26"/>
  <c r="O220" i="34"/>
  <c r="O128" i="26"/>
  <c r="N32" i="6"/>
  <c r="N192" i="10"/>
  <c r="L965" i="7"/>
  <c r="L966" i="7" s="1"/>
  <c r="L973" i="7" s="1"/>
  <c r="L974" i="7" s="1"/>
  <c r="L975" i="7" s="1"/>
  <c r="Y544" i="7"/>
  <c r="AA569" i="7"/>
  <c r="AA572" i="7" s="1"/>
  <c r="AA573" i="7" s="1"/>
  <c r="V109" i="2"/>
  <c r="V111" i="2" s="1"/>
  <c r="L1022" i="7"/>
  <c r="K1007" i="7"/>
  <c r="L1003" i="7"/>
  <c r="W526" i="7"/>
  <c r="W528" i="7" s="1"/>
  <c r="Y553" i="7"/>
  <c r="X560" i="7"/>
  <c r="Z540" i="7"/>
  <c r="Z541" i="7" s="1"/>
  <c r="W606" i="7"/>
  <c r="O167" i="6"/>
  <c r="O185" i="34" s="1"/>
  <c r="I19" i="2"/>
  <c r="I21" i="2" s="1"/>
  <c r="O28" i="6"/>
  <c r="L981" i="7"/>
  <c r="K994" i="7"/>
  <c r="Q956" i="7"/>
  <c r="Q988" i="7"/>
  <c r="S972" i="7"/>
  <c r="W588" i="7"/>
  <c r="W120" i="5" s="1"/>
  <c r="W106" i="6" s="1"/>
  <c r="R1020" i="7"/>
  <c r="P940" i="7"/>
  <c r="P163" i="6" s="1"/>
  <c r="P193" i="34" s="1"/>
  <c r="P50" i="26"/>
  <c r="R1004" i="7"/>
  <c r="K953" i="7"/>
  <c r="K959" i="7"/>
  <c r="R228" i="34"/>
  <c r="J163" i="5" l="1"/>
  <c r="J151" i="6" s="1"/>
  <c r="L1024" i="7"/>
  <c r="L1026" i="7" s="1"/>
  <c r="L976" i="7"/>
  <c r="M971" i="7" s="1"/>
  <c r="N183" i="10"/>
  <c r="J936" i="7"/>
  <c r="J937" i="7"/>
  <c r="J946" i="7" s="1"/>
  <c r="J154" i="2" s="1"/>
  <c r="J156" i="2" s="1"/>
  <c r="O227" i="34"/>
  <c r="O225" i="34" s="1"/>
  <c r="O17" i="27"/>
  <c r="P146" i="26"/>
  <c r="P220" i="34"/>
  <c r="P128" i="26"/>
  <c r="O32" i="6"/>
  <c r="O192" i="10"/>
  <c r="L967" i="7"/>
  <c r="L968" i="7" s="1"/>
  <c r="X521" i="7"/>
  <c r="X524" i="7" s="1"/>
  <c r="L1023" i="7"/>
  <c r="K1010" i="7"/>
  <c r="AA574" i="7"/>
  <c r="AA576" i="7" s="1"/>
  <c r="X601" i="7"/>
  <c r="W608" i="7"/>
  <c r="Y556" i="7"/>
  <c r="Y557" i="7" s="1"/>
  <c r="Z542" i="7"/>
  <c r="P167" i="6"/>
  <c r="P185" i="34" s="1"/>
  <c r="P28" i="6"/>
  <c r="W589" i="7"/>
  <c r="L982" i="7"/>
  <c r="L983" i="7" s="1"/>
  <c r="L984" i="7" s="1"/>
  <c r="L949" i="7"/>
  <c r="K962" i="7"/>
  <c r="W590" i="7"/>
  <c r="R988" i="7"/>
  <c r="T972" i="7"/>
  <c r="R956" i="7"/>
  <c r="Q940" i="7"/>
  <c r="Q163" i="6" s="1"/>
  <c r="Q193" i="34" s="1"/>
  <c r="Q50" i="26"/>
  <c r="S1004" i="7"/>
  <c r="S1020" i="7"/>
  <c r="S228" i="34"/>
  <c r="M1019" i="7" l="1"/>
  <c r="M1022" i="7" s="1"/>
  <c r="M1023" i="7" s="1"/>
  <c r="O183" i="10"/>
  <c r="X525" i="7"/>
  <c r="K933" i="7"/>
  <c r="K934" i="7" s="1"/>
  <c r="K941" i="7" s="1"/>
  <c r="P227" i="34"/>
  <c r="P225" i="34" s="1"/>
  <c r="P17" i="27"/>
  <c r="AB569" i="7"/>
  <c r="AB572" i="7" s="1"/>
  <c r="AB573" i="7" s="1"/>
  <c r="Q220" i="34"/>
  <c r="Q146" i="26"/>
  <c r="Q128" i="26"/>
  <c r="L969" i="7"/>
  <c r="L978" i="7" s="1"/>
  <c r="P32" i="6"/>
  <c r="P192" i="10"/>
  <c r="L1006" i="7"/>
  <c r="AA537" i="7"/>
  <c r="Z544" i="7"/>
  <c r="X604" i="7"/>
  <c r="X605" i="7" s="1"/>
  <c r="X526" i="7"/>
  <c r="Y558" i="7"/>
  <c r="Q167" i="6"/>
  <c r="Q185" i="34" s="1"/>
  <c r="J19" i="2"/>
  <c r="J21" i="2" s="1"/>
  <c r="Q28" i="6"/>
  <c r="L985" i="7"/>
  <c r="M981" i="7" s="1"/>
  <c r="M982" i="7" s="1"/>
  <c r="L950" i="7"/>
  <c r="L951" i="7" s="1"/>
  <c r="L952" i="7" s="1"/>
  <c r="L989" i="7"/>
  <c r="X585" i="7"/>
  <c r="X588" i="7" s="1"/>
  <c r="W592" i="7"/>
  <c r="W109" i="2" s="1"/>
  <c r="U972" i="7"/>
  <c r="S956" i="7"/>
  <c r="S988" i="7"/>
  <c r="R940" i="7"/>
  <c r="R163" i="6" s="1"/>
  <c r="R193" i="34" s="1"/>
  <c r="R50" i="26"/>
  <c r="T1020" i="7"/>
  <c r="T1004" i="7"/>
  <c r="T228" i="34"/>
  <c r="K942" i="7" l="1"/>
  <c r="K943" i="7" s="1"/>
  <c r="M1024" i="7"/>
  <c r="N1019" i="7" s="1"/>
  <c r="L1008" i="7"/>
  <c r="L1010" i="7" s="1"/>
  <c r="X120" i="5"/>
  <c r="X106" i="6" s="1"/>
  <c r="P183" i="10"/>
  <c r="K935" i="7"/>
  <c r="Q227" i="34"/>
  <c r="Q225" i="34" s="1"/>
  <c r="Q17" i="27"/>
  <c r="R220" i="34"/>
  <c r="R146" i="26"/>
  <c r="R17" i="27"/>
  <c r="R128" i="26"/>
  <c r="M965" i="7"/>
  <c r="M966" i="7" s="1"/>
  <c r="M973" i="7" s="1"/>
  <c r="M974" i="7" s="1"/>
  <c r="Q32" i="6"/>
  <c r="Q192" i="10"/>
  <c r="L1007" i="7"/>
  <c r="AA540" i="7"/>
  <c r="AA541" i="7" s="1"/>
  <c r="X606" i="7"/>
  <c r="Y521" i="7"/>
  <c r="Y524" i="7" s="1"/>
  <c r="X528" i="7"/>
  <c r="Z553" i="7"/>
  <c r="Y560" i="7"/>
  <c r="AB574" i="7"/>
  <c r="R167" i="6"/>
  <c r="R185" i="34" s="1"/>
  <c r="W111" i="2"/>
  <c r="R28" i="6"/>
  <c r="X589" i="7"/>
  <c r="L990" i="7"/>
  <c r="L953" i="7"/>
  <c r="L957" i="7"/>
  <c r="X590" i="7"/>
  <c r="T988" i="7"/>
  <c r="V972" i="7"/>
  <c r="T956" i="7"/>
  <c r="U1020" i="7"/>
  <c r="S940" i="7"/>
  <c r="S163" i="6" s="1"/>
  <c r="S193" i="34" s="1"/>
  <c r="S50" i="26"/>
  <c r="U1004" i="7"/>
  <c r="M989" i="7"/>
  <c r="U228" i="34"/>
  <c r="K944" i="7" l="1"/>
  <c r="L939" i="7" s="1"/>
  <c r="K163" i="5"/>
  <c r="K151" i="6" s="1"/>
  <c r="M1003" i="7"/>
  <c r="L991" i="7"/>
  <c r="L992" i="7"/>
  <c r="M987" i="7" s="1"/>
  <c r="M975" i="7"/>
  <c r="M976" i="7"/>
  <c r="N971" i="7" s="1"/>
  <c r="Q183" i="10"/>
  <c r="K937" i="7"/>
  <c r="K936" i="7"/>
  <c r="S146" i="26"/>
  <c r="S220" i="34"/>
  <c r="R227" i="34"/>
  <c r="R225" i="34" s="1"/>
  <c r="S128" i="26"/>
  <c r="M967" i="7"/>
  <c r="M968" i="7" s="1"/>
  <c r="R32" i="6"/>
  <c r="R192" i="10"/>
  <c r="N1022" i="7"/>
  <c r="N1024" i="7" s="1"/>
  <c r="M1026" i="7"/>
  <c r="AA542" i="7"/>
  <c r="AA544" i="7" s="1"/>
  <c r="Y601" i="7"/>
  <c r="X608" i="7"/>
  <c r="Z556" i="7"/>
  <c r="Z557" i="7" s="1"/>
  <c r="AB576" i="7"/>
  <c r="AC569" i="7"/>
  <c r="S167" i="6"/>
  <c r="S185" i="34" s="1"/>
  <c r="S28" i="6"/>
  <c r="M949" i="7"/>
  <c r="L958" i="7"/>
  <c r="Y585" i="7"/>
  <c r="Y588" i="7" s="1"/>
  <c r="X592" i="7"/>
  <c r="W972" i="7"/>
  <c r="U956" i="7"/>
  <c r="U988" i="7"/>
  <c r="V1004" i="7"/>
  <c r="T940" i="7"/>
  <c r="T163" i="6" s="1"/>
  <c r="T193" i="34" s="1"/>
  <c r="T50" i="26"/>
  <c r="V1020" i="7"/>
  <c r="M983" i="7"/>
  <c r="M984" i="7" s="1"/>
  <c r="V228" i="34"/>
  <c r="K946" i="7" l="1"/>
  <c r="K154" i="2" s="1"/>
  <c r="K156" i="2" s="1"/>
  <c r="M1006" i="7"/>
  <c r="L959" i="7"/>
  <c r="L960" i="7"/>
  <c r="M955" i="7" s="1"/>
  <c r="R183" i="10"/>
  <c r="Y525" i="7"/>
  <c r="L933" i="7"/>
  <c r="L934" i="7" s="1"/>
  <c r="L941" i="7" s="1"/>
  <c r="L942" i="7" s="1"/>
  <c r="S227" i="34"/>
  <c r="S225" i="34" s="1"/>
  <c r="S17" i="27"/>
  <c r="T146" i="26"/>
  <c r="T220" i="34"/>
  <c r="T128" i="26"/>
  <c r="M969" i="7"/>
  <c r="S32" i="6"/>
  <c r="S192" i="10"/>
  <c r="X109" i="2"/>
  <c r="X111" i="2" s="1"/>
  <c r="AB537" i="7"/>
  <c r="AB540" i="7" s="1"/>
  <c r="AB541" i="7" s="1"/>
  <c r="O1019" i="7"/>
  <c r="N1023" i="7"/>
  <c r="Y526" i="7"/>
  <c r="Y528" i="7" s="1"/>
  <c r="Z558" i="7"/>
  <c r="AA553" i="7" s="1"/>
  <c r="Y604" i="7"/>
  <c r="Y605" i="7" s="1"/>
  <c r="AC572" i="7"/>
  <c r="AC573" i="7" s="1"/>
  <c r="T167" i="6"/>
  <c r="T185" i="34" s="1"/>
  <c r="T28" i="6"/>
  <c r="K19" i="2"/>
  <c r="K21" i="2" s="1"/>
  <c r="Y589" i="7"/>
  <c r="M950" i="7"/>
  <c r="L994" i="7"/>
  <c r="Y590" i="7"/>
  <c r="V956" i="7"/>
  <c r="V988" i="7"/>
  <c r="X972" i="7"/>
  <c r="W1004" i="7"/>
  <c r="U940" i="7"/>
  <c r="U163" i="6" s="1"/>
  <c r="U193" i="34" s="1"/>
  <c r="U50" i="26"/>
  <c r="W1020" i="7"/>
  <c r="M985" i="7"/>
  <c r="W228" i="34"/>
  <c r="L944" i="7" l="1"/>
  <c r="M939" i="7" s="1"/>
  <c r="M1008" i="7"/>
  <c r="M1010" i="7" s="1"/>
  <c r="M1007" i="7"/>
  <c r="Y120" i="5"/>
  <c r="Y106" i="6" s="1"/>
  <c r="S183" i="10"/>
  <c r="L943" i="7"/>
  <c r="L935" i="7"/>
  <c r="T227" i="34"/>
  <c r="T225" i="34" s="1"/>
  <c r="T17" i="27"/>
  <c r="U220" i="34"/>
  <c r="U146" i="26"/>
  <c r="U128" i="26"/>
  <c r="M978" i="7"/>
  <c r="N965" i="7"/>
  <c r="T32" i="6"/>
  <c r="T192" i="10"/>
  <c r="Z521" i="7"/>
  <c r="Z524" i="7" s="1"/>
  <c r="Z560" i="7"/>
  <c r="AC574" i="7"/>
  <c r="AC576" i="7" s="1"/>
  <c r="O1022" i="7"/>
  <c r="O1024" i="7" s="1"/>
  <c r="N1026" i="7"/>
  <c r="AB542" i="7"/>
  <c r="AB544" i="7" s="1"/>
  <c r="AA556" i="7"/>
  <c r="AA557" i="7" s="1"/>
  <c r="Y606" i="7"/>
  <c r="U167" i="6"/>
  <c r="U185" i="34" s="1"/>
  <c r="U28" i="6"/>
  <c r="M957" i="7"/>
  <c r="M951" i="7"/>
  <c r="M952" i="7" s="1"/>
  <c r="N981" i="7"/>
  <c r="N982" i="7" s="1"/>
  <c r="N989" i="7" s="1"/>
  <c r="L962" i="7"/>
  <c r="M990" i="7"/>
  <c r="Z585" i="7"/>
  <c r="Y592" i="7"/>
  <c r="W988" i="7"/>
  <c r="Y972" i="7"/>
  <c r="W956" i="7"/>
  <c r="V940" i="7"/>
  <c r="V163" i="6" s="1"/>
  <c r="V193" i="34" s="1"/>
  <c r="V50" i="26"/>
  <c r="X1020" i="7"/>
  <c r="X1004" i="7"/>
  <c r="X228" i="34"/>
  <c r="L163" i="5" l="1"/>
  <c r="L151" i="6" s="1"/>
  <c r="N1003" i="7"/>
  <c r="M991" i="7"/>
  <c r="M992" i="7"/>
  <c r="N987" i="7" s="1"/>
  <c r="T183" i="10"/>
  <c r="Z525" i="7"/>
  <c r="L936" i="7"/>
  <c r="L937" i="7"/>
  <c r="L946" i="7" s="1"/>
  <c r="L154" i="2" s="1"/>
  <c r="L156" i="2" s="1"/>
  <c r="U227" i="34"/>
  <c r="U225" i="34" s="1"/>
  <c r="U17" i="27"/>
  <c r="V146" i="26"/>
  <c r="V220" i="34"/>
  <c r="V128" i="26"/>
  <c r="N966" i="7"/>
  <c r="U32" i="6"/>
  <c r="U192" i="10"/>
  <c r="AD569" i="7"/>
  <c r="AD572" i="7" s="1"/>
  <c r="AD573" i="7" s="1"/>
  <c r="AC537" i="7"/>
  <c r="AC540" i="7" s="1"/>
  <c r="AC541" i="7" s="1"/>
  <c r="P1019" i="7"/>
  <c r="O1023" i="7"/>
  <c r="Z526" i="7"/>
  <c r="Z601" i="7"/>
  <c r="Y608" i="7"/>
  <c r="Y109" i="2" s="1"/>
  <c r="Y111" i="2" s="1"/>
  <c r="AA558" i="7"/>
  <c r="V167" i="6"/>
  <c r="V185" i="34" s="1"/>
  <c r="V28" i="6"/>
  <c r="M953" i="7"/>
  <c r="M958" i="7"/>
  <c r="Z972" i="7"/>
  <c r="X956" i="7"/>
  <c r="X988" i="7"/>
  <c r="Z588" i="7"/>
  <c r="W940" i="7"/>
  <c r="W163" i="6" s="1"/>
  <c r="W193" i="34" s="1"/>
  <c r="W50" i="26"/>
  <c r="Y1004" i="7"/>
  <c r="Y1020" i="7"/>
  <c r="N983" i="7"/>
  <c r="N984" i="7" s="1"/>
  <c r="Y228" i="34"/>
  <c r="N1006" i="7" l="1"/>
  <c r="N1007" i="7" s="1"/>
  <c r="M959" i="7"/>
  <c r="M960" i="7"/>
  <c r="N955" i="7" s="1"/>
  <c r="U183" i="10"/>
  <c r="M933" i="7"/>
  <c r="M934" i="7" s="1"/>
  <c r="V227" i="34"/>
  <c r="V225" i="34" s="1"/>
  <c r="V17" i="27"/>
  <c r="W146" i="26"/>
  <c r="W17" i="27"/>
  <c r="W220" i="34"/>
  <c r="W128" i="26"/>
  <c r="N973" i="7"/>
  <c r="N974" i="7" s="1"/>
  <c r="N976" i="7" s="1"/>
  <c r="N967" i="7"/>
  <c r="N968" i="7" s="1"/>
  <c r="V32" i="6"/>
  <c r="V192" i="10"/>
  <c r="O1026" i="7"/>
  <c r="AD574" i="7"/>
  <c r="AD576" i="7" s="1"/>
  <c r="AC542" i="7"/>
  <c r="AD537" i="7" s="1"/>
  <c r="AB553" i="7"/>
  <c r="AA560" i="7"/>
  <c r="AA521" i="7"/>
  <c r="AA524" i="7" s="1"/>
  <c r="Z528" i="7"/>
  <c r="Z604" i="7"/>
  <c r="Z605" i="7" s="1"/>
  <c r="W167" i="6"/>
  <c r="W185" i="34" s="1"/>
  <c r="W28" i="6"/>
  <c r="L19" i="2"/>
  <c r="L21" i="2" s="1"/>
  <c r="Z589" i="7"/>
  <c r="N949" i="7"/>
  <c r="M994" i="7"/>
  <c r="Z590" i="7"/>
  <c r="Y956" i="7"/>
  <c r="Y988" i="7"/>
  <c r="AA972" i="7"/>
  <c r="X940" i="7"/>
  <c r="X163" i="6" s="1"/>
  <c r="X193" i="34" s="1"/>
  <c r="X50" i="26"/>
  <c r="Z1020" i="7"/>
  <c r="Z1004" i="7"/>
  <c r="N985" i="7"/>
  <c r="Z228" i="34"/>
  <c r="N1008" i="7" l="1"/>
  <c r="Z120" i="5"/>
  <c r="Z106" i="6" s="1"/>
  <c r="V183" i="10"/>
  <c r="M935" i="7"/>
  <c r="M941" i="7"/>
  <c r="X220" i="34"/>
  <c r="X146" i="26"/>
  <c r="W227" i="34"/>
  <c r="W225" i="34" s="1"/>
  <c r="X128" i="26"/>
  <c r="O971" i="7"/>
  <c r="N975" i="7"/>
  <c r="N969" i="7"/>
  <c r="W32" i="6"/>
  <c r="W192" i="10"/>
  <c r="AC544" i="7"/>
  <c r="AE569" i="7"/>
  <c r="AE572" i="7" s="1"/>
  <c r="AE573" i="7" s="1"/>
  <c r="P1022" i="7"/>
  <c r="Z606" i="7"/>
  <c r="AA601" i="7" s="1"/>
  <c r="AD540" i="7"/>
  <c r="AD541" i="7" s="1"/>
  <c r="AB556" i="7"/>
  <c r="AB557" i="7" s="1"/>
  <c r="X167" i="6"/>
  <c r="X185" i="34" s="1"/>
  <c r="X28" i="6"/>
  <c r="N950" i="7"/>
  <c r="M962" i="7"/>
  <c r="N990" i="7"/>
  <c r="AA585" i="7"/>
  <c r="Z592" i="7"/>
  <c r="Z988" i="7"/>
  <c r="AB972" i="7"/>
  <c r="Z956" i="7"/>
  <c r="AA1020" i="7"/>
  <c r="Y940" i="7"/>
  <c r="Y163" i="6" s="1"/>
  <c r="Y193" i="34" s="1"/>
  <c r="Y50" i="26"/>
  <c r="AA1004" i="7"/>
  <c r="O981" i="7"/>
  <c r="AA228" i="34"/>
  <c r="M942" i="7" l="1"/>
  <c r="M943" i="7" s="1"/>
  <c r="P1023" i="7"/>
  <c r="P1024" i="7"/>
  <c r="Q1019" i="7" s="1"/>
  <c r="O1003" i="7"/>
  <c r="N1010" i="7"/>
  <c r="N991" i="7"/>
  <c r="N992" i="7"/>
  <c r="O987" i="7" s="1"/>
  <c r="W183" i="10"/>
  <c r="M936" i="7"/>
  <c r="AA525" i="7"/>
  <c r="M937" i="7"/>
  <c r="N933" i="7" s="1"/>
  <c r="N934" i="7" s="1"/>
  <c r="N941" i="7" s="1"/>
  <c r="X227" i="34"/>
  <c r="X225" i="34" s="1"/>
  <c r="X17" i="27"/>
  <c r="Y220" i="34"/>
  <c r="Y146" i="26"/>
  <c r="Y128" i="26"/>
  <c r="O965" i="7"/>
  <c r="N978" i="7"/>
  <c r="X32" i="6"/>
  <c r="X192" i="10"/>
  <c r="Z608" i="7"/>
  <c r="Z109" i="2" s="1"/>
  <c r="Z111" i="2" s="1"/>
  <c r="AA526" i="7"/>
  <c r="AA528" i="7" s="1"/>
  <c r="AD542" i="7"/>
  <c r="AA604" i="7"/>
  <c r="AA605" i="7" s="1"/>
  <c r="AB558" i="7"/>
  <c r="AE574" i="7"/>
  <c r="Y167" i="6"/>
  <c r="Y185" i="34" s="1"/>
  <c r="Y28" i="6"/>
  <c r="O982" i="7"/>
  <c r="O989" i="7" s="1"/>
  <c r="N957" i="7"/>
  <c r="N951" i="7"/>
  <c r="AC972" i="7"/>
  <c r="AA956" i="7"/>
  <c r="AA988" i="7"/>
  <c r="AA588" i="7"/>
  <c r="AB1020" i="7"/>
  <c r="AB1004" i="7"/>
  <c r="Z940" i="7"/>
  <c r="Z163" i="6" s="1"/>
  <c r="Z193" i="34" s="1"/>
  <c r="Z50" i="26"/>
  <c r="AB228" i="34"/>
  <c r="M163" i="5" l="1"/>
  <c r="M151" i="6" s="1"/>
  <c r="M944" i="7"/>
  <c r="N939" i="7" s="1"/>
  <c r="N942" i="7" s="1"/>
  <c r="O1006" i="7"/>
  <c r="O1008" i="7" s="1"/>
  <c r="AA120" i="5"/>
  <c r="AA106" i="6" s="1"/>
  <c r="X183" i="10"/>
  <c r="N935" i="7"/>
  <c r="Y227" i="34"/>
  <c r="Y225" i="34" s="1"/>
  <c r="Y17" i="27"/>
  <c r="Z220" i="34"/>
  <c r="Z146" i="26"/>
  <c r="Z128" i="26"/>
  <c r="O966" i="7"/>
  <c r="O973" i="7" s="1"/>
  <c r="Y32" i="6"/>
  <c r="Y192" i="10"/>
  <c r="AB521" i="7"/>
  <c r="AB524" i="7" s="1"/>
  <c r="Q1022" i="7"/>
  <c r="Q1024" i="7" s="1"/>
  <c r="P1026" i="7"/>
  <c r="AA606" i="7"/>
  <c r="AB560" i="7"/>
  <c r="AC553" i="7"/>
  <c r="AE537" i="7"/>
  <c r="AD544" i="7"/>
  <c r="AF569" i="7"/>
  <c r="AE576" i="7"/>
  <c r="Z167" i="6"/>
  <c r="Z185" i="34" s="1"/>
  <c r="Z28" i="6"/>
  <c r="AA589" i="7"/>
  <c r="O983" i="7"/>
  <c r="O984" i="7" s="1"/>
  <c r="N952" i="7"/>
  <c r="N953" i="7"/>
  <c r="N958" i="7"/>
  <c r="N994" i="7"/>
  <c r="AA590" i="7"/>
  <c r="AB956" i="7"/>
  <c r="AB988" i="7"/>
  <c r="AD972" i="7"/>
  <c r="AA940" i="7"/>
  <c r="AA163" i="6" s="1"/>
  <c r="AA193" i="34" s="1"/>
  <c r="AA50" i="26"/>
  <c r="AC1004" i="7"/>
  <c r="AC1020" i="7"/>
  <c r="AC228" i="34"/>
  <c r="M946" i="7" l="1"/>
  <c r="M154" i="2" s="1"/>
  <c r="M156" i="2" s="1"/>
  <c r="N944" i="7"/>
  <c r="O939" i="7" s="1"/>
  <c r="P1003" i="7"/>
  <c r="O1010" i="7"/>
  <c r="O1007" i="7"/>
  <c r="N959" i="7"/>
  <c r="N960" i="7"/>
  <c r="O955" i="7" s="1"/>
  <c r="N163" i="5"/>
  <c r="N151" i="6" s="1"/>
  <c r="Y183" i="10"/>
  <c r="AB525" i="7"/>
  <c r="N936" i="7"/>
  <c r="N937" i="7"/>
  <c r="O933" i="7" s="1"/>
  <c r="O934" i="7" s="1"/>
  <c r="O941" i="7" s="1"/>
  <c r="Z227" i="34"/>
  <c r="Z225" i="34" s="1"/>
  <c r="Z17" i="27"/>
  <c r="AA220" i="34"/>
  <c r="AA146" i="26"/>
  <c r="AA17" i="27"/>
  <c r="AA128" i="26"/>
  <c r="O967" i="7"/>
  <c r="O968" i="7" s="1"/>
  <c r="O974" i="7"/>
  <c r="Z32" i="6"/>
  <c r="Z192" i="10"/>
  <c r="R1019" i="7"/>
  <c r="Q1023" i="7"/>
  <c r="AB526" i="7"/>
  <c r="AC521" i="7" s="1"/>
  <c r="AC524" i="7" s="1"/>
  <c r="AC556" i="7"/>
  <c r="AC557" i="7" s="1"/>
  <c r="AE540" i="7"/>
  <c r="AE541" i="7" s="1"/>
  <c r="AB601" i="7"/>
  <c r="AA608" i="7"/>
  <c r="AF572" i="7"/>
  <c r="AF573" i="7" s="1"/>
  <c r="AA167" i="6"/>
  <c r="AA185" i="34" s="1"/>
  <c r="AA28" i="6"/>
  <c r="N943" i="7"/>
  <c r="O985" i="7"/>
  <c r="P981" i="7" s="1"/>
  <c r="P982" i="7" s="1"/>
  <c r="P989" i="7" s="1"/>
  <c r="O949" i="7"/>
  <c r="O990" i="7"/>
  <c r="AB585" i="7"/>
  <c r="AA592" i="7"/>
  <c r="AC988" i="7"/>
  <c r="AE972" i="7"/>
  <c r="AC956" i="7"/>
  <c r="AB940" i="7"/>
  <c r="AB163" i="6" s="1"/>
  <c r="AB193" i="34" s="1"/>
  <c r="AB50" i="26"/>
  <c r="AD1004" i="7"/>
  <c r="AD1020" i="7"/>
  <c r="AD228" i="34"/>
  <c r="M19" i="2" l="1"/>
  <c r="M21" i="2" s="1"/>
  <c r="O942" i="7"/>
  <c r="O944" i="7" s="1"/>
  <c r="P1006" i="7"/>
  <c r="P1007" i="7" s="1"/>
  <c r="O991" i="7"/>
  <c r="O992" i="7"/>
  <c r="P987" i="7" s="1"/>
  <c r="O975" i="7"/>
  <c r="O976" i="7"/>
  <c r="P971" i="7" s="1"/>
  <c r="Z183" i="10"/>
  <c r="O935" i="7"/>
  <c r="AB220" i="34"/>
  <c r="AB146" i="26"/>
  <c r="AA227" i="34"/>
  <c r="AA225" i="34" s="1"/>
  <c r="AB128" i="26"/>
  <c r="O969" i="7"/>
  <c r="P965" i="7" s="1"/>
  <c r="AA32" i="6"/>
  <c r="AA192" i="10"/>
  <c r="AB528" i="7"/>
  <c r="Q1026" i="7"/>
  <c r="AF574" i="7"/>
  <c r="AG569" i="7" s="1"/>
  <c r="AC558" i="7"/>
  <c r="AC560" i="7" s="1"/>
  <c r="AB604" i="7"/>
  <c r="AB605" i="7" s="1"/>
  <c r="AA109" i="2"/>
  <c r="AA111" i="2" s="1"/>
  <c r="AE542" i="7"/>
  <c r="AB167" i="6"/>
  <c r="AB185" i="34" s="1"/>
  <c r="AB28" i="6"/>
  <c r="N946" i="7"/>
  <c r="O950" i="7"/>
  <c r="O951" i="7" s="1"/>
  <c r="N962" i="7"/>
  <c r="AF972" i="7"/>
  <c r="AD956" i="7"/>
  <c r="AD988" i="7"/>
  <c r="AB588" i="7"/>
  <c r="AC940" i="7"/>
  <c r="AC163" i="6" s="1"/>
  <c r="AC193" i="34" s="1"/>
  <c r="AC50" i="26"/>
  <c r="AE1004" i="7"/>
  <c r="AE1020" i="7"/>
  <c r="P983" i="7"/>
  <c r="P985" i="7" s="1"/>
  <c r="AE228" i="34"/>
  <c r="P1008" i="7" l="1"/>
  <c r="O943" i="7"/>
  <c r="AB120" i="5"/>
  <c r="AB106" i="6" s="1"/>
  <c r="AA183" i="10"/>
  <c r="AC525" i="7"/>
  <c r="O936" i="7"/>
  <c r="O937" i="7"/>
  <c r="P933" i="7" s="1"/>
  <c r="P934" i="7" s="1"/>
  <c r="AB227" i="34"/>
  <c r="AB225" i="34" s="1"/>
  <c r="AB17" i="27"/>
  <c r="AC220" i="34"/>
  <c r="AC146" i="26"/>
  <c r="AC17" i="27"/>
  <c r="AC128" i="26"/>
  <c r="O978" i="7"/>
  <c r="P966" i="7"/>
  <c r="P973" i="7" s="1"/>
  <c r="AB32" i="6"/>
  <c r="AB192" i="10"/>
  <c r="AD553" i="7"/>
  <c r="AD556" i="7" s="1"/>
  <c r="AD557" i="7" s="1"/>
  <c r="AF576" i="7"/>
  <c r="R1022" i="7"/>
  <c r="AB606" i="7"/>
  <c r="AC601" i="7" s="1"/>
  <c r="AG572" i="7"/>
  <c r="AG573" i="7" s="1"/>
  <c r="AC526" i="7"/>
  <c r="AF537" i="7"/>
  <c r="AE544" i="7"/>
  <c r="AC167" i="6"/>
  <c r="AC185" i="34" s="1"/>
  <c r="N154" i="2"/>
  <c r="N156" i="2" s="1"/>
  <c r="P939" i="7"/>
  <c r="AC28" i="6"/>
  <c r="AB589" i="7"/>
  <c r="O953" i="7"/>
  <c r="O952" i="7"/>
  <c r="O994" i="7"/>
  <c r="O957" i="7"/>
  <c r="AB590" i="7"/>
  <c r="AE956" i="7"/>
  <c r="AE988" i="7"/>
  <c r="AG972" i="7"/>
  <c r="AF1020" i="7"/>
  <c r="AF1004" i="7"/>
  <c r="AD940" i="7"/>
  <c r="AD163" i="6" s="1"/>
  <c r="AD193" i="34" s="1"/>
  <c r="AD50" i="26"/>
  <c r="P984" i="7"/>
  <c r="Q981" i="7"/>
  <c r="Q982" i="7" s="1"/>
  <c r="AF228" i="34"/>
  <c r="R1023" i="7" l="1"/>
  <c r="R1024" i="7"/>
  <c r="S1019" i="7" s="1"/>
  <c r="Q1003" i="7"/>
  <c r="P1010" i="7"/>
  <c r="AB183" i="10"/>
  <c r="P935" i="7"/>
  <c r="P941" i="7"/>
  <c r="P942" i="7" s="1"/>
  <c r="AD146" i="26"/>
  <c r="AD220" i="34"/>
  <c r="AC227" i="34"/>
  <c r="AC225" i="34" s="1"/>
  <c r="AD128" i="26"/>
  <c r="P967" i="7"/>
  <c r="P968" i="7" s="1"/>
  <c r="P974" i="7"/>
  <c r="AC32" i="6"/>
  <c r="AC192" i="10"/>
  <c r="AB608" i="7"/>
  <c r="AC604" i="7"/>
  <c r="AC605" i="7" s="1"/>
  <c r="AG574" i="7"/>
  <c r="AD521" i="7"/>
  <c r="AD524" i="7" s="1"/>
  <c r="AC528" i="7"/>
  <c r="AF540" i="7"/>
  <c r="AF541" i="7" s="1"/>
  <c r="AD558" i="7"/>
  <c r="AD167" i="6"/>
  <c r="AD185" i="34" s="1"/>
  <c r="O946" i="7"/>
  <c r="AD28" i="6"/>
  <c r="N19" i="2"/>
  <c r="N21" i="2" s="1"/>
  <c r="P949" i="7"/>
  <c r="O958" i="7"/>
  <c r="P990" i="7"/>
  <c r="AC585" i="7"/>
  <c r="AB592" i="7"/>
  <c r="AF988" i="7"/>
  <c r="AH972" i="7"/>
  <c r="M27" i="38" s="1"/>
  <c r="M26" i="35" s="1"/>
  <c r="AF956" i="7"/>
  <c r="AE940" i="7"/>
  <c r="AE163" i="6" s="1"/>
  <c r="AE193" i="34" s="1"/>
  <c r="AE50" i="26"/>
  <c r="AG1004" i="7"/>
  <c r="AG1020" i="7"/>
  <c r="Q989" i="7"/>
  <c r="AG228" i="34"/>
  <c r="P944" i="7" l="1"/>
  <c r="Q939" i="7" s="1"/>
  <c r="Q1006" i="7"/>
  <c r="Q1007" i="7" s="1"/>
  <c r="P991" i="7"/>
  <c r="P992" i="7"/>
  <c r="P975" i="7"/>
  <c r="P976" i="7"/>
  <c r="Q971" i="7" s="1"/>
  <c r="O163" i="5"/>
  <c r="O151" i="6" s="1"/>
  <c r="O960" i="7"/>
  <c r="P955" i="7" s="1"/>
  <c r="AC183" i="10"/>
  <c r="P937" i="7"/>
  <c r="Q933" i="7" s="1"/>
  <c r="Q934" i="7" s="1"/>
  <c r="Q935" i="7" s="1"/>
  <c r="P936" i="7"/>
  <c r="AD227" i="34"/>
  <c r="AD225" i="34" s="1"/>
  <c r="AD17" i="27"/>
  <c r="AE220" i="34"/>
  <c r="AE146" i="26"/>
  <c r="AE17" i="27"/>
  <c r="AB109" i="2"/>
  <c r="AB111" i="2" s="1"/>
  <c r="AE128" i="26"/>
  <c r="P969" i="7"/>
  <c r="Q965" i="7" s="1"/>
  <c r="AD32" i="6"/>
  <c r="AD192" i="10"/>
  <c r="R1026" i="7"/>
  <c r="AC606" i="7"/>
  <c r="AC608" i="7" s="1"/>
  <c r="AH569" i="7"/>
  <c r="AG576" i="7"/>
  <c r="AF542" i="7"/>
  <c r="AE553" i="7"/>
  <c r="AD560" i="7"/>
  <c r="AE167" i="6"/>
  <c r="AE185" i="34" s="1"/>
  <c r="AE28" i="6"/>
  <c r="P950" i="7"/>
  <c r="P957" i="7" s="1"/>
  <c r="O959" i="7"/>
  <c r="AG956" i="7"/>
  <c r="AH956" i="7"/>
  <c r="AG988" i="7"/>
  <c r="AH988" i="7"/>
  <c r="AC588" i="7"/>
  <c r="AC120" i="5" s="1"/>
  <c r="AC106" i="6" s="1"/>
  <c r="AF940" i="7"/>
  <c r="AF163" i="6" s="1"/>
  <c r="AF193" i="34" s="1"/>
  <c r="AF50" i="26"/>
  <c r="AH1020" i="7"/>
  <c r="M30" i="38" s="1"/>
  <c r="M29" i="35" s="1"/>
  <c r="AH1004" i="7"/>
  <c r="M29" i="38" s="1"/>
  <c r="M28" i="35" s="1"/>
  <c r="P943" i="7"/>
  <c r="Q983" i="7"/>
  <c r="AH228" i="34"/>
  <c r="F7" i="38" s="1"/>
  <c r="Q1008" i="7" l="1"/>
  <c r="P994" i="7"/>
  <c r="Q987" i="7"/>
  <c r="AD183" i="10"/>
  <c r="AD525" i="7"/>
  <c r="Q941" i="7"/>
  <c r="Q942" i="7" s="1"/>
  <c r="AD601" i="7"/>
  <c r="AD604" i="7" s="1"/>
  <c r="AD605" i="7" s="1"/>
  <c r="AF146" i="26"/>
  <c r="AE227" i="34"/>
  <c r="AE225" i="34" s="1"/>
  <c r="AF220" i="34"/>
  <c r="AF128" i="26"/>
  <c r="AE32" i="6"/>
  <c r="AE192" i="10"/>
  <c r="Q966" i="7"/>
  <c r="Q973" i="7" s="1"/>
  <c r="Q974" i="7" s="1"/>
  <c r="Q975" i="7" s="1"/>
  <c r="P978" i="7"/>
  <c r="S1022" i="7"/>
  <c r="AH572" i="7"/>
  <c r="AH573" i="7" s="1"/>
  <c r="AD526" i="7"/>
  <c r="AE556" i="7"/>
  <c r="AE557" i="7" s="1"/>
  <c r="AG537" i="7"/>
  <c r="AF544" i="7"/>
  <c r="P958" i="7"/>
  <c r="P960" i="7" s="1"/>
  <c r="O962" i="7"/>
  <c r="O154" i="2" s="1"/>
  <c r="O156" i="2" s="1"/>
  <c r="P946" i="7"/>
  <c r="AF167" i="6"/>
  <c r="AF185" i="34" s="1"/>
  <c r="AF28" i="6"/>
  <c r="AC589" i="7"/>
  <c r="M26" i="38"/>
  <c r="M25" i="35" s="1"/>
  <c r="M28" i="38"/>
  <c r="M27" i="35" s="1"/>
  <c r="P951" i="7"/>
  <c r="AC590" i="7"/>
  <c r="AC592" i="7" s="1"/>
  <c r="AC109" i="2" s="1"/>
  <c r="AG940" i="7"/>
  <c r="AG163" i="6" s="1"/>
  <c r="AG193" i="34" s="1"/>
  <c r="AG50" i="26"/>
  <c r="Q937" i="7"/>
  <c r="Q936" i="7"/>
  <c r="Q984" i="7"/>
  <c r="Q985" i="7"/>
  <c r="S1023" i="7" l="1"/>
  <c r="S1024" i="7"/>
  <c r="T1019" i="7" s="1"/>
  <c r="Q1010" i="7"/>
  <c r="R1003" i="7"/>
  <c r="Q990" i="7"/>
  <c r="Q991" i="7" s="1"/>
  <c r="Q976" i="7"/>
  <c r="R971" i="7" s="1"/>
  <c r="Q955" i="7"/>
  <c r="P163" i="5"/>
  <c r="P151" i="6" s="1"/>
  <c r="AE183" i="10"/>
  <c r="AF227" i="34"/>
  <c r="AF225" i="34" s="1"/>
  <c r="AF17" i="27"/>
  <c r="AG220" i="34"/>
  <c r="AG146" i="26"/>
  <c r="AG128" i="26"/>
  <c r="Q967" i="7"/>
  <c r="Q968" i="7" s="1"/>
  <c r="AF32" i="6"/>
  <c r="AF192" i="10"/>
  <c r="P959" i="7"/>
  <c r="AD606" i="7"/>
  <c r="AD608" i="7" s="1"/>
  <c r="AE558" i="7"/>
  <c r="AE560" i="7" s="1"/>
  <c r="AG540" i="7"/>
  <c r="AG541" i="7" s="1"/>
  <c r="AH574" i="7"/>
  <c r="AH576" i="7" s="1"/>
  <c r="AE521" i="7"/>
  <c r="AE524" i="7" s="1"/>
  <c r="AD528" i="7"/>
  <c r="O19" i="2"/>
  <c r="O21" i="2" s="1"/>
  <c r="AG167" i="6"/>
  <c r="AG185" i="34" s="1"/>
  <c r="P952" i="7"/>
  <c r="AG28" i="6"/>
  <c r="AC111" i="2"/>
  <c r="R933" i="7"/>
  <c r="P953" i="7"/>
  <c r="AD585" i="7"/>
  <c r="AH940" i="7"/>
  <c r="AH50" i="26"/>
  <c r="AH220" i="34"/>
  <c r="R981" i="7"/>
  <c r="R982" i="7" s="1"/>
  <c r="Q944" i="7"/>
  <c r="Q992" i="7" l="1"/>
  <c r="R987" i="7" s="1"/>
  <c r="R1006" i="7"/>
  <c r="R1007" i="7" s="1"/>
  <c r="AF183" i="10"/>
  <c r="R934" i="7"/>
  <c r="R941" i="7" s="1"/>
  <c r="AG227" i="34"/>
  <c r="AG225" i="34" s="1"/>
  <c r="AG17" i="27"/>
  <c r="AH146" i="26"/>
  <c r="AE601" i="7"/>
  <c r="AE604" i="7" s="1"/>
  <c r="AE605" i="7" s="1"/>
  <c r="AH128" i="26"/>
  <c r="Q969" i="7"/>
  <c r="Q978" i="7" s="1"/>
  <c r="AG32" i="6"/>
  <c r="AG192" i="10"/>
  <c r="AF553" i="7"/>
  <c r="AF556" i="7" s="1"/>
  <c r="AF557" i="7" s="1"/>
  <c r="S1026" i="7"/>
  <c r="AG542" i="7"/>
  <c r="M25" i="38"/>
  <c r="M24" i="35" s="1"/>
  <c r="M30" i="35" s="1"/>
  <c r="AH163" i="6"/>
  <c r="AH193" i="34" s="1"/>
  <c r="R939" i="7"/>
  <c r="Q949" i="7"/>
  <c r="P962" i="7"/>
  <c r="P154" i="2" s="1"/>
  <c r="P156" i="2" s="1"/>
  <c r="AD588" i="7"/>
  <c r="AD120" i="5" s="1"/>
  <c r="AD106" i="6" s="1"/>
  <c r="Q943" i="7"/>
  <c r="R989" i="7"/>
  <c r="R942" i="7" l="1"/>
  <c r="Q994" i="7"/>
  <c r="R1008" i="7"/>
  <c r="R1010" i="7" s="1"/>
  <c r="AG183" i="10"/>
  <c r="AE525" i="7"/>
  <c r="R935" i="7"/>
  <c r="AH227" i="34"/>
  <c r="AH17" i="27"/>
  <c r="R965" i="7"/>
  <c r="R966" i="7" s="1"/>
  <c r="R973" i="7" s="1"/>
  <c r="T1022" i="7"/>
  <c r="AF558" i="7"/>
  <c r="AF560" i="7" s="1"/>
  <c r="AE526" i="7"/>
  <c r="AE528" i="7" s="1"/>
  <c r="AE606" i="7"/>
  <c r="AF601" i="7" s="1"/>
  <c r="AH537" i="7"/>
  <c r="AG544" i="7"/>
  <c r="Q946" i="7"/>
  <c r="AH167" i="6"/>
  <c r="AH185" i="34" s="1"/>
  <c r="M31" i="38"/>
  <c r="I26" i="31" s="1"/>
  <c r="AH28" i="6"/>
  <c r="P19" i="2"/>
  <c r="P21" i="2" s="1"/>
  <c r="Q950" i="7"/>
  <c r="Q957" i="7" s="1"/>
  <c r="AD589" i="7"/>
  <c r="AD590" i="7"/>
  <c r="I26" i="17"/>
  <c r="R983" i="7"/>
  <c r="R990" i="7"/>
  <c r="S1003" i="7" l="1"/>
  <c r="S1006" i="7" s="1"/>
  <c r="S1007" i="7" s="1"/>
  <c r="R936" i="7"/>
  <c r="T1023" i="7"/>
  <c r="T1024" i="7"/>
  <c r="U1019" i="7" s="1"/>
  <c r="R991" i="7"/>
  <c r="R992" i="7"/>
  <c r="S987" i="7" s="1"/>
  <c r="AH225" i="34"/>
  <c r="O69" i="38" s="1"/>
  <c r="F8" i="38"/>
  <c r="H26" i="31" s="1"/>
  <c r="R937" i="7"/>
  <c r="S933" i="7" s="1"/>
  <c r="S934" i="7" s="1"/>
  <c r="S941" i="7" s="1"/>
  <c r="AH32" i="6"/>
  <c r="AH192" i="10"/>
  <c r="R974" i="7"/>
  <c r="R967" i="7"/>
  <c r="R968" i="7" s="1"/>
  <c r="AF521" i="7"/>
  <c r="AF524" i="7" s="1"/>
  <c r="AG553" i="7"/>
  <c r="AG556" i="7" s="1"/>
  <c r="AG557" i="7" s="1"/>
  <c r="AE608" i="7"/>
  <c r="AF604" i="7"/>
  <c r="AF605" i="7" s="1"/>
  <c r="AH540" i="7"/>
  <c r="AH541" i="7" s="1"/>
  <c r="Q958" i="7"/>
  <c r="Q960" i="7" s="1"/>
  <c r="Q951" i="7"/>
  <c r="AE585" i="7"/>
  <c r="AE588" i="7" s="1"/>
  <c r="AE120" i="5" s="1"/>
  <c r="AE106" i="6" s="1"/>
  <c r="AD592" i="7"/>
  <c r="AD109" i="2" s="1"/>
  <c r="R984" i="7"/>
  <c r="R985" i="7"/>
  <c r="R944" i="7"/>
  <c r="S1008" i="7" l="1"/>
  <c r="R975" i="7"/>
  <c r="R976" i="7"/>
  <c r="S971" i="7" s="1"/>
  <c r="Q163" i="5"/>
  <c r="Q151" i="6" s="1"/>
  <c r="AH183" i="10"/>
  <c r="AF525" i="7"/>
  <c r="S935" i="7"/>
  <c r="R969" i="7"/>
  <c r="S965" i="7" s="1"/>
  <c r="T1026" i="7"/>
  <c r="AF526" i="7"/>
  <c r="AG521" i="7" s="1"/>
  <c r="AG524" i="7" s="1"/>
  <c r="AH542" i="7"/>
  <c r="AH544" i="7" s="1"/>
  <c r="AG558" i="7"/>
  <c r="AF606" i="7"/>
  <c r="S939" i="7"/>
  <c r="S942" i="7" s="1"/>
  <c r="AD111" i="2"/>
  <c r="AE589" i="7"/>
  <c r="Q959" i="7"/>
  <c r="S981" i="7"/>
  <c r="S982" i="7" s="1"/>
  <c r="S989" i="7" s="1"/>
  <c r="R994" i="7"/>
  <c r="R955" i="7"/>
  <c r="Q952" i="7"/>
  <c r="Q953" i="7"/>
  <c r="AE590" i="7"/>
  <c r="R943" i="7"/>
  <c r="T1003" i="7" l="1"/>
  <c r="S1010" i="7"/>
  <c r="S936" i="7"/>
  <c r="S937" i="7"/>
  <c r="T933" i="7" s="1"/>
  <c r="S966" i="7"/>
  <c r="R978" i="7"/>
  <c r="AF528" i="7"/>
  <c r="U1022" i="7"/>
  <c r="AG601" i="7"/>
  <c r="AF608" i="7"/>
  <c r="AH553" i="7"/>
  <c r="AH556" i="7" s="1"/>
  <c r="AG560" i="7"/>
  <c r="R946" i="7"/>
  <c r="R949" i="7"/>
  <c r="Q962" i="7"/>
  <c r="Q154" i="2" s="1"/>
  <c r="Q156" i="2" s="1"/>
  <c r="AF585" i="7"/>
  <c r="AE592" i="7"/>
  <c r="AE109" i="2" s="1"/>
  <c r="S983" i="7"/>
  <c r="S990" i="7"/>
  <c r="U1023" i="7" l="1"/>
  <c r="U1024" i="7"/>
  <c r="V1019" i="7" s="1"/>
  <c r="T1006" i="7"/>
  <c r="T1007" i="7" s="1"/>
  <c r="S991" i="7"/>
  <c r="S992" i="7"/>
  <c r="T987" i="7" s="1"/>
  <c r="AG525" i="7"/>
  <c r="T934" i="7"/>
  <c r="T941" i="7" s="1"/>
  <c r="S973" i="7"/>
  <c r="S967" i="7"/>
  <c r="S968" i="7" s="1"/>
  <c r="AH558" i="7"/>
  <c r="AH560" i="7" s="1"/>
  <c r="AH557" i="7"/>
  <c r="AG526" i="7"/>
  <c r="AG604" i="7"/>
  <c r="AG605" i="7" s="1"/>
  <c r="AE111" i="2"/>
  <c r="Q19" i="2"/>
  <c r="Q21" i="2" s="1"/>
  <c r="R950" i="7"/>
  <c r="R957" i="7" s="1"/>
  <c r="AF588" i="7"/>
  <c r="AF120" i="5" s="1"/>
  <c r="AF106" i="6" s="1"/>
  <c r="S984" i="7"/>
  <c r="S985" i="7"/>
  <c r="S944" i="7"/>
  <c r="T1008" i="7" l="1"/>
  <c r="T935" i="7"/>
  <c r="S974" i="7"/>
  <c r="S969" i="7"/>
  <c r="U1026" i="7"/>
  <c r="AG606" i="7"/>
  <c r="AH521" i="7"/>
  <c r="AH524" i="7" s="1"/>
  <c r="AG528" i="7"/>
  <c r="T939" i="7"/>
  <c r="T942" i="7" s="1"/>
  <c r="AF589" i="7"/>
  <c r="S994" i="7"/>
  <c r="R951" i="7"/>
  <c r="R958" i="7"/>
  <c r="R960" i="7" s="1"/>
  <c r="AF590" i="7"/>
  <c r="AG585" i="7" s="1"/>
  <c r="S943" i="7"/>
  <c r="T981" i="7"/>
  <c r="T982" i="7" s="1"/>
  <c r="U1003" i="7" l="1"/>
  <c r="T1010" i="7"/>
  <c r="S975" i="7"/>
  <c r="S976" i="7"/>
  <c r="T971" i="7" s="1"/>
  <c r="R163" i="5"/>
  <c r="R151" i="6" s="1"/>
  <c r="T937" i="7"/>
  <c r="U933" i="7" s="1"/>
  <c r="T936" i="7"/>
  <c r="T965" i="7"/>
  <c r="S946" i="7"/>
  <c r="V1022" i="7"/>
  <c r="AH601" i="7"/>
  <c r="AG608" i="7"/>
  <c r="R953" i="7"/>
  <c r="S949" i="7" s="1"/>
  <c r="R959" i="7"/>
  <c r="R952" i="7"/>
  <c r="S955" i="7"/>
  <c r="AF592" i="7"/>
  <c r="AF109" i="2" s="1"/>
  <c r="AG588" i="7"/>
  <c r="AG120" i="5" s="1"/>
  <c r="AG106" i="6" s="1"/>
  <c r="T989" i="7"/>
  <c r="V1023" i="7" l="1"/>
  <c r="V1024" i="7"/>
  <c r="W1019" i="7" s="1"/>
  <c r="U1006" i="7"/>
  <c r="U1007" i="7" s="1"/>
  <c r="AH525" i="7"/>
  <c r="U934" i="7"/>
  <c r="U941" i="7" s="1"/>
  <c r="S978" i="7"/>
  <c r="T966" i="7"/>
  <c r="AH526" i="7"/>
  <c r="AH528" i="7" s="1"/>
  <c r="AH604" i="7"/>
  <c r="AH605" i="7" s="1"/>
  <c r="AF111" i="2"/>
  <c r="AG589" i="7"/>
  <c r="R962" i="7"/>
  <c r="R154" i="2" s="1"/>
  <c r="R156" i="2" s="1"/>
  <c r="S950" i="7"/>
  <c r="S957" i="7" s="1"/>
  <c r="S958" i="7" s="1"/>
  <c r="S960" i="7" s="1"/>
  <c r="AG590" i="7"/>
  <c r="T983" i="7"/>
  <c r="T990" i="7"/>
  <c r="T944" i="7"/>
  <c r="U1008" i="7" l="1"/>
  <c r="T991" i="7"/>
  <c r="T992" i="7"/>
  <c r="U987" i="7" s="1"/>
  <c r="T955" i="7"/>
  <c r="U935" i="7"/>
  <c r="T973" i="7"/>
  <c r="T967" i="7"/>
  <c r="T968" i="7" s="1"/>
  <c r="V1026" i="7"/>
  <c r="AH606" i="7"/>
  <c r="AH608" i="7" s="1"/>
  <c r="R19" i="2"/>
  <c r="R21" i="2" s="1"/>
  <c r="S951" i="7"/>
  <c r="S959" i="7"/>
  <c r="AH585" i="7"/>
  <c r="AH588" i="7" s="1"/>
  <c r="AH120" i="5" s="1"/>
  <c r="AH106" i="6" s="1"/>
  <c r="AG592" i="7"/>
  <c r="AG109" i="2" s="1"/>
  <c r="T984" i="7"/>
  <c r="T943" i="7"/>
  <c r="T985" i="7"/>
  <c r="U936" i="7" l="1"/>
  <c r="S163" i="5"/>
  <c r="S151" i="6" s="1"/>
  <c r="V1003" i="7"/>
  <c r="U1010" i="7"/>
  <c r="T946" i="7"/>
  <c r="U939" i="7"/>
  <c r="U942" i="7" s="1"/>
  <c r="U937" i="7"/>
  <c r="V933" i="7" s="1"/>
  <c r="S953" i="7"/>
  <c r="S962" i="7" s="1"/>
  <c r="S154" i="2" s="1"/>
  <c r="S156" i="2" s="1"/>
  <c r="T974" i="7"/>
  <c r="T969" i="7"/>
  <c r="W1022" i="7"/>
  <c r="S952" i="7"/>
  <c r="AG111" i="2"/>
  <c r="AH589" i="7"/>
  <c r="U981" i="7"/>
  <c r="U982" i="7" s="1"/>
  <c r="U989" i="7" s="1"/>
  <c r="T994" i="7"/>
  <c r="AH590" i="7"/>
  <c r="AH592" i="7" s="1"/>
  <c r="AH109" i="2" s="1"/>
  <c r="W1023" i="7" l="1"/>
  <c r="W1024" i="7"/>
  <c r="X1019" i="7" s="1"/>
  <c r="V1006" i="7"/>
  <c r="V1007" i="7" s="1"/>
  <c r="T975" i="7"/>
  <c r="T976" i="7"/>
  <c r="U971" i="7" s="1"/>
  <c r="T949" i="7"/>
  <c r="T950" i="7" s="1"/>
  <c r="T957" i="7" s="1"/>
  <c r="V934" i="7"/>
  <c r="V935" i="7" s="1"/>
  <c r="U965" i="7"/>
  <c r="AH111" i="2"/>
  <c r="U983" i="7"/>
  <c r="U990" i="7"/>
  <c r="U944" i="7"/>
  <c r="V1008" i="7" l="1"/>
  <c r="U991" i="7"/>
  <c r="U992" i="7"/>
  <c r="V987" i="7" s="1"/>
  <c r="V941" i="7"/>
  <c r="T978" i="7"/>
  <c r="U966" i="7"/>
  <c r="U967" i="7" s="1"/>
  <c r="U968" i="7" s="1"/>
  <c r="W1026" i="7"/>
  <c r="V936" i="7"/>
  <c r="S19" i="2"/>
  <c r="S21" i="2" s="1"/>
  <c r="T951" i="7"/>
  <c r="T958" i="7"/>
  <c r="T960" i="7" s="1"/>
  <c r="V937" i="7"/>
  <c r="U943" i="7"/>
  <c r="U984" i="7"/>
  <c r="U985" i="7"/>
  <c r="W1003" i="7" l="1"/>
  <c r="V1010" i="7"/>
  <c r="U946" i="7"/>
  <c r="V939" i="7"/>
  <c r="V942" i="7" s="1"/>
  <c r="T959" i="7"/>
  <c r="T163" i="5"/>
  <c r="T151" i="6" s="1"/>
  <c r="U973" i="7"/>
  <c r="U969" i="7"/>
  <c r="X1022" i="7"/>
  <c r="T952" i="7"/>
  <c r="T953" i="7"/>
  <c r="U949" i="7" s="1"/>
  <c r="U994" i="7"/>
  <c r="U955" i="7"/>
  <c r="W933" i="7"/>
  <c r="V981" i="7"/>
  <c r="V982" i="7" s="1"/>
  <c r="X1023" i="7" l="1"/>
  <c r="X1024" i="7"/>
  <c r="Y1019" i="7" s="1"/>
  <c r="W1006" i="7"/>
  <c r="W1007" i="7" s="1"/>
  <c r="W934" i="7"/>
  <c r="W941" i="7" s="1"/>
  <c r="U974" i="7"/>
  <c r="V965" i="7"/>
  <c r="V966" i="7" s="1"/>
  <c r="V973" i="7" s="1"/>
  <c r="T962" i="7"/>
  <c r="T154" i="2" s="1"/>
  <c r="T156" i="2" s="1"/>
  <c r="U950" i="7"/>
  <c r="U951" i="7" s="1"/>
  <c r="V989" i="7"/>
  <c r="V944" i="7"/>
  <c r="W1008" i="7" l="1"/>
  <c r="U975" i="7"/>
  <c r="U976" i="7"/>
  <c r="V971" i="7" s="1"/>
  <c r="W935" i="7"/>
  <c r="V967" i="7"/>
  <c r="V968" i="7" s="1"/>
  <c r="X1026" i="7"/>
  <c r="T19" i="2"/>
  <c r="T21" i="2" s="1"/>
  <c r="U953" i="7"/>
  <c r="U952" i="7"/>
  <c r="U957" i="7"/>
  <c r="V943" i="7"/>
  <c r="V983" i="7"/>
  <c r="V985" i="7" s="1"/>
  <c r="V990" i="7"/>
  <c r="X1003" i="7" l="1"/>
  <c r="W1010" i="7"/>
  <c r="V991" i="7"/>
  <c r="V992" i="7"/>
  <c r="W987" i="7" s="1"/>
  <c r="V946" i="7"/>
  <c r="W939" i="7"/>
  <c r="W942" i="7" s="1"/>
  <c r="W937" i="7"/>
  <c r="X933" i="7" s="1"/>
  <c r="X934" i="7" s="1"/>
  <c r="X935" i="7" s="1"/>
  <c r="W936" i="7"/>
  <c r="V969" i="7"/>
  <c r="W965" i="7" s="1"/>
  <c r="W966" i="7" s="1"/>
  <c r="W973" i="7" s="1"/>
  <c r="U978" i="7"/>
  <c r="Y1022" i="7"/>
  <c r="V949" i="7"/>
  <c r="U958" i="7"/>
  <c r="V984" i="7"/>
  <c r="W981" i="7"/>
  <c r="W982" i="7" s="1"/>
  <c r="Y1023" i="7" l="1"/>
  <c r="Y1024" i="7"/>
  <c r="Z1019" i="7" s="1"/>
  <c r="X1006" i="7"/>
  <c r="X1007" i="7" s="1"/>
  <c r="U163" i="5"/>
  <c r="U151" i="6" s="1"/>
  <c r="U960" i="7"/>
  <c r="V955" i="7" s="1"/>
  <c r="X941" i="7"/>
  <c r="V974" i="7"/>
  <c r="X936" i="7"/>
  <c r="V994" i="7"/>
  <c r="U959" i="7"/>
  <c r="V950" i="7"/>
  <c r="V957" i="7" s="1"/>
  <c r="X937" i="7"/>
  <c r="W989" i="7"/>
  <c r="W990" i="7" s="1"/>
  <c r="W991" i="7" s="1"/>
  <c r="W944" i="7"/>
  <c r="X1008" i="7" l="1"/>
  <c r="W992" i="7"/>
  <c r="X987" i="7" s="1"/>
  <c r="V975" i="7"/>
  <c r="V976" i="7"/>
  <c r="Y1026" i="7"/>
  <c r="Y933" i="7"/>
  <c r="V951" i="7"/>
  <c r="V958" i="7"/>
  <c r="V960" i="7" s="1"/>
  <c r="U962" i="7"/>
  <c r="U154" i="2" s="1"/>
  <c r="U156" i="2" s="1"/>
  <c r="W943" i="7"/>
  <c r="W967" i="7"/>
  <c r="W983" i="7"/>
  <c r="W985" i="7" s="1"/>
  <c r="Y1003" i="7" l="1"/>
  <c r="X1010" i="7"/>
  <c r="V978" i="7"/>
  <c r="W971" i="7"/>
  <c r="W946" i="7"/>
  <c r="X939" i="7"/>
  <c r="X942" i="7" s="1"/>
  <c r="V163" i="5"/>
  <c r="V151" i="6" s="1"/>
  <c r="Y934" i="7"/>
  <c r="Y941" i="7" s="1"/>
  <c r="Z1022" i="7"/>
  <c r="U19" i="2"/>
  <c r="U21" i="2" s="1"/>
  <c r="W994" i="7"/>
  <c r="V959" i="7"/>
  <c r="V952" i="7"/>
  <c r="V953" i="7"/>
  <c r="W955" i="7"/>
  <c r="W968" i="7"/>
  <c r="W984" i="7"/>
  <c r="W969" i="7"/>
  <c r="X981" i="7"/>
  <c r="X982" i="7" s="1"/>
  <c r="Z1023" i="7" l="1"/>
  <c r="Z1024" i="7"/>
  <c r="AA1019" i="7" s="1"/>
  <c r="Y1006" i="7"/>
  <c r="Y1007" i="7" s="1"/>
  <c r="W974" i="7"/>
  <c r="W975" i="7" s="1"/>
  <c r="Y935" i="7"/>
  <c r="X965" i="7"/>
  <c r="X966" i="7" s="1"/>
  <c r="X973" i="7" s="1"/>
  <c r="V962" i="7"/>
  <c r="V154" i="2" s="1"/>
  <c r="V156" i="2" s="1"/>
  <c r="W949" i="7"/>
  <c r="X989" i="7"/>
  <c r="X944" i="7"/>
  <c r="Y1008" i="7" l="1"/>
  <c r="W976" i="7"/>
  <c r="X971" i="7" s="1"/>
  <c r="X974" i="7" s="1"/>
  <c r="X975" i="7" s="1"/>
  <c r="Y937" i="7"/>
  <c r="Z933" i="7" s="1"/>
  <c r="Z934" i="7" s="1"/>
  <c r="Z941" i="7" s="1"/>
  <c r="Y936" i="7"/>
  <c r="Z1026" i="7"/>
  <c r="V19" i="2"/>
  <c r="V21" i="2" s="1"/>
  <c r="X967" i="7"/>
  <c r="X969" i="7" s="1"/>
  <c r="W950" i="7"/>
  <c r="W957" i="7" s="1"/>
  <c r="X943" i="7"/>
  <c r="X983" i="7"/>
  <c r="X985" i="7" s="1"/>
  <c r="X990" i="7"/>
  <c r="W978" i="7" l="1"/>
  <c r="Z1003" i="7"/>
  <c r="Y1010" i="7"/>
  <c r="X991" i="7"/>
  <c r="X992" i="7"/>
  <c r="Y987" i="7" s="1"/>
  <c r="X976" i="7"/>
  <c r="Y971" i="7" s="1"/>
  <c r="X946" i="7"/>
  <c r="Y939" i="7"/>
  <c r="Y942" i="7" s="1"/>
  <c r="Z935" i="7"/>
  <c r="AA1022" i="7"/>
  <c r="X968" i="7"/>
  <c r="W951" i="7"/>
  <c r="Y981" i="7"/>
  <c r="Y982" i="7" s="1"/>
  <c r="Y989" i="7" s="1"/>
  <c r="W958" i="7"/>
  <c r="W960" i="7" s="1"/>
  <c r="X984" i="7"/>
  <c r="Y965" i="7"/>
  <c r="Y966" i="7" s="1"/>
  <c r="Y973" i="7" s="1"/>
  <c r="AA1023" i="7" l="1"/>
  <c r="AA1024" i="7"/>
  <c r="AB1019" i="7" s="1"/>
  <c r="Z1006" i="7"/>
  <c r="Z1007" i="7" s="1"/>
  <c r="W163" i="5"/>
  <c r="W151" i="6" s="1"/>
  <c r="W953" i="7"/>
  <c r="X949" i="7" s="1"/>
  <c r="W959" i="7"/>
  <c r="W952" i="7"/>
  <c r="X955" i="7"/>
  <c r="Y974" i="7"/>
  <c r="Y975" i="7" s="1"/>
  <c r="Z937" i="7"/>
  <c r="Z936" i="7"/>
  <c r="X994" i="7"/>
  <c r="X978" i="7"/>
  <c r="Y983" i="7"/>
  <c r="Y984" i="7" s="1"/>
  <c r="Y944" i="7"/>
  <c r="Z1008" i="7" l="1"/>
  <c r="Y976" i="7"/>
  <c r="Z971" i="7" s="1"/>
  <c r="AA1026" i="7"/>
  <c r="AA933" i="7"/>
  <c r="W962" i="7"/>
  <c r="W154" i="2" s="1"/>
  <c r="W156" i="2" s="1"/>
  <c r="X950" i="7"/>
  <c r="X957" i="7" s="1"/>
  <c r="X958" i="7" s="1"/>
  <c r="X960" i="7" s="1"/>
  <c r="Y985" i="7"/>
  <c r="Y943" i="7"/>
  <c r="Y967" i="7"/>
  <c r="Y968" i="7" s="1"/>
  <c r="Y990" i="7"/>
  <c r="Y992" i="7" s="1"/>
  <c r="AA1003" i="7" l="1"/>
  <c r="Z1010" i="7"/>
  <c r="Y946" i="7"/>
  <c r="Z939" i="7"/>
  <c r="Z942" i="7" s="1"/>
  <c r="AB1022" i="7"/>
  <c r="W19" i="2"/>
  <c r="W21" i="2" s="1"/>
  <c r="Y955" i="7"/>
  <c r="Y991" i="7"/>
  <c r="Z987" i="7"/>
  <c r="AA934" i="7"/>
  <c r="AA941" i="7" s="1"/>
  <c r="X951" i="7"/>
  <c r="Z981" i="7"/>
  <c r="Z982" i="7" s="1"/>
  <c r="Z989" i="7" s="1"/>
  <c r="X959" i="7"/>
  <c r="Y969" i="7"/>
  <c r="X163" i="5" l="1"/>
  <c r="X151" i="6" s="1"/>
  <c r="AB1023" i="7"/>
  <c r="AB1024" i="7"/>
  <c r="AC1019" i="7" s="1"/>
  <c r="AA1006" i="7"/>
  <c r="AA1007" i="7" s="1"/>
  <c r="Z944" i="7"/>
  <c r="AA935" i="7"/>
  <c r="Y994" i="7"/>
  <c r="Z965" i="7"/>
  <c r="Z966" i="7" s="1"/>
  <c r="Z973" i="7" s="1"/>
  <c r="Y978" i="7"/>
  <c r="X953" i="7"/>
  <c r="X952" i="7"/>
  <c r="Z983" i="7"/>
  <c r="Z985" i="7" s="1"/>
  <c r="Z943" i="7" l="1"/>
  <c r="AA1008" i="7"/>
  <c r="Z946" i="7"/>
  <c r="AA939" i="7"/>
  <c r="AA942" i="7" s="1"/>
  <c r="AB1026" i="7"/>
  <c r="Z967" i="7"/>
  <c r="Z969" i="7" s="1"/>
  <c r="AA965" i="7" s="1"/>
  <c r="AA966" i="7" s="1"/>
  <c r="AA973" i="7" s="1"/>
  <c r="AA936" i="7"/>
  <c r="X962" i="7"/>
  <c r="X154" i="2" s="1"/>
  <c r="X156" i="2" s="1"/>
  <c r="Y949" i="7"/>
  <c r="AA937" i="7"/>
  <c r="Z974" i="7"/>
  <c r="Z984" i="7"/>
  <c r="Z990" i="7"/>
  <c r="Z992" i="7" s="1"/>
  <c r="AA981" i="7"/>
  <c r="AA982" i="7" s="1"/>
  <c r="AB1003" i="7" l="1"/>
  <c r="AA1010" i="7"/>
  <c r="Z975" i="7"/>
  <c r="Z976" i="7"/>
  <c r="AA971" i="7" s="1"/>
  <c r="AC1022" i="7"/>
  <c r="Z968" i="7"/>
  <c r="X19" i="2"/>
  <c r="X21" i="2" s="1"/>
  <c r="Z991" i="7"/>
  <c r="AA987" i="7"/>
  <c r="Y950" i="7"/>
  <c r="Y957" i="7" s="1"/>
  <c r="AB933" i="7"/>
  <c r="AA989" i="7"/>
  <c r="AA944" i="7"/>
  <c r="AC1023" i="7" l="1"/>
  <c r="AC1024" i="7"/>
  <c r="AD1019" i="7" s="1"/>
  <c r="AB1006" i="7"/>
  <c r="AB1007" i="7" s="1"/>
  <c r="AB939" i="7"/>
  <c r="Y951" i="7"/>
  <c r="Y958" i="7"/>
  <c r="Y960" i="7" s="1"/>
  <c r="Z994" i="7"/>
  <c r="Z978" i="7"/>
  <c r="AB934" i="7"/>
  <c r="AB941" i="7" s="1"/>
  <c r="AA943" i="7"/>
  <c r="AA983" i="7"/>
  <c r="AA985" i="7" s="1"/>
  <c r="AA967" i="7"/>
  <c r="AB942" i="7" l="1"/>
  <c r="AB944" i="7" s="1"/>
  <c r="AB1008" i="7"/>
  <c r="Y163" i="5"/>
  <c r="Y151" i="6" s="1"/>
  <c r="AB935" i="7"/>
  <c r="Y952" i="7"/>
  <c r="AA946" i="7"/>
  <c r="AC1026" i="7"/>
  <c r="Y953" i="7"/>
  <c r="Z949" i="7" s="1"/>
  <c r="AA974" i="7"/>
  <c r="Y959" i="7"/>
  <c r="Z955" i="7"/>
  <c r="AA984" i="7"/>
  <c r="AA968" i="7"/>
  <c r="AA969" i="7"/>
  <c r="AA990" i="7"/>
  <c r="AB981" i="7"/>
  <c r="AB982" i="7" s="1"/>
  <c r="AC1003" i="7" l="1"/>
  <c r="AB1010" i="7"/>
  <c r="AA991" i="7"/>
  <c r="AA992" i="7"/>
  <c r="AB987" i="7" s="1"/>
  <c r="AA975" i="7"/>
  <c r="AA976" i="7"/>
  <c r="AB971" i="7" s="1"/>
  <c r="AC939" i="7"/>
  <c r="AD1022" i="7"/>
  <c r="Y962" i="7"/>
  <c r="Y154" i="2" s="1"/>
  <c r="Y156" i="2" s="1"/>
  <c r="Z950" i="7"/>
  <c r="Z957" i="7" s="1"/>
  <c r="Z958" i="7" s="1"/>
  <c r="Z960" i="7" s="1"/>
  <c r="AB936" i="7"/>
  <c r="AB937" i="7"/>
  <c r="AB943" i="7"/>
  <c r="AB965" i="7"/>
  <c r="AB966" i="7" s="1"/>
  <c r="AB973" i="7" s="1"/>
  <c r="AB989" i="7"/>
  <c r="AD1023" i="7" l="1"/>
  <c r="AD1024" i="7"/>
  <c r="AE1019" i="7" s="1"/>
  <c r="AC1006" i="7"/>
  <c r="AC1007" i="7" s="1"/>
  <c r="Z959" i="7"/>
  <c r="Y19" i="2"/>
  <c r="Y21" i="2" s="1"/>
  <c r="Z951" i="7"/>
  <c r="AA994" i="7"/>
  <c r="AA978" i="7"/>
  <c r="AA955" i="7"/>
  <c r="AC933" i="7"/>
  <c r="AB946" i="7"/>
  <c r="AB974" i="7"/>
  <c r="AB975" i="7" s="1"/>
  <c r="AB983" i="7"/>
  <c r="AB984" i="7" s="1"/>
  <c r="Z163" i="5" l="1"/>
  <c r="Z151" i="6" s="1"/>
  <c r="AC1008" i="7"/>
  <c r="AD1003" i="7" s="1"/>
  <c r="AB976" i="7"/>
  <c r="AC971" i="7" s="1"/>
  <c r="AD1026" i="7"/>
  <c r="Z952" i="7"/>
  <c r="Z953" i="7"/>
  <c r="Z962" i="7" s="1"/>
  <c r="Z154" i="2" s="1"/>
  <c r="Z156" i="2" s="1"/>
  <c r="AC934" i="7"/>
  <c r="AC941" i="7" s="1"/>
  <c r="AB985" i="7"/>
  <c r="AB967" i="7"/>
  <c r="AB990" i="7"/>
  <c r="AC942" i="7" l="1"/>
  <c r="AC944" i="7" s="1"/>
  <c r="AD939" i="7" s="1"/>
  <c r="AC1010" i="7"/>
  <c r="AD1006" i="7"/>
  <c r="AD1007" i="7" s="1"/>
  <c r="AB991" i="7"/>
  <c r="AB992" i="7"/>
  <c r="AC987" i="7" s="1"/>
  <c r="AC935" i="7"/>
  <c r="AE1022" i="7"/>
  <c r="AA949" i="7"/>
  <c r="AA950" i="7" s="1"/>
  <c r="AA957" i="7" s="1"/>
  <c r="Z19" i="2"/>
  <c r="Z21" i="2" s="1"/>
  <c r="AC981" i="7"/>
  <c r="AC982" i="7" s="1"/>
  <c r="AC989" i="7" s="1"/>
  <c r="AB968" i="7"/>
  <c r="AB969" i="7"/>
  <c r="AB978" i="7" s="1"/>
  <c r="AC943" i="7" l="1"/>
  <c r="AE1023" i="7"/>
  <c r="AE1024" i="7"/>
  <c r="AF1019" i="7" s="1"/>
  <c r="AD1008" i="7"/>
  <c r="AC936" i="7"/>
  <c r="AA951" i="7"/>
  <c r="AB994" i="7"/>
  <c r="AC937" i="7"/>
  <c r="AD933" i="7" s="1"/>
  <c r="AA958" i="7"/>
  <c r="AA960" i="7" s="1"/>
  <c r="AC990" i="7"/>
  <c r="AC992" i="7" s="1"/>
  <c r="AC983" i="7"/>
  <c r="AC985" i="7" s="1"/>
  <c r="AC965" i="7"/>
  <c r="AC966" i="7" s="1"/>
  <c r="AC973" i="7" s="1"/>
  <c r="AE1003" i="7" l="1"/>
  <c r="AD1010" i="7"/>
  <c r="AD987" i="7"/>
  <c r="AB955" i="7"/>
  <c r="AA163" i="5"/>
  <c r="AA151" i="6" s="1"/>
  <c r="AA953" i="7"/>
  <c r="AB949" i="7" s="1"/>
  <c r="AE1026" i="7"/>
  <c r="AA952" i="7"/>
  <c r="AC946" i="7"/>
  <c r="AD934" i="7"/>
  <c r="AD941" i="7" s="1"/>
  <c r="AA959" i="7"/>
  <c r="AC994" i="7"/>
  <c r="AC974" i="7"/>
  <c r="AC984" i="7"/>
  <c r="AC991" i="7"/>
  <c r="AD981" i="7"/>
  <c r="AD982" i="7" s="1"/>
  <c r="AD942" i="7" l="1"/>
  <c r="AD943" i="7" s="1"/>
  <c r="AE1006" i="7"/>
  <c r="AE1007" i="7" s="1"/>
  <c r="AC975" i="7"/>
  <c r="AC976" i="7"/>
  <c r="AD971" i="7" s="1"/>
  <c r="AA962" i="7"/>
  <c r="AA154" i="2" s="1"/>
  <c r="AA156" i="2" s="1"/>
  <c r="AD935" i="7"/>
  <c r="AF1022" i="7"/>
  <c r="AB950" i="7"/>
  <c r="AB957" i="7" s="1"/>
  <c r="AC967" i="7"/>
  <c r="AD989" i="7"/>
  <c r="AD944" i="7" l="1"/>
  <c r="AE939" i="7" s="1"/>
  <c r="AF1023" i="7"/>
  <c r="AF1024" i="7"/>
  <c r="AG1019" i="7" s="1"/>
  <c r="AE1008" i="7"/>
  <c r="AA19" i="2"/>
  <c r="AA21" i="2" s="1"/>
  <c r="AD937" i="7"/>
  <c r="AE933" i="7" s="1"/>
  <c r="AD936" i="7"/>
  <c r="AB958" i="7"/>
  <c r="AB960" i="7" s="1"/>
  <c r="AB951" i="7"/>
  <c r="AC969" i="7"/>
  <c r="AC968" i="7"/>
  <c r="AD983" i="7"/>
  <c r="AD985" i="7" s="1"/>
  <c r="AD990" i="7"/>
  <c r="AF1003" i="7" l="1"/>
  <c r="AE1010" i="7"/>
  <c r="AD991" i="7"/>
  <c r="AD992" i="7"/>
  <c r="AE987" i="7" s="1"/>
  <c r="AB163" i="5"/>
  <c r="AB151" i="6" s="1"/>
  <c r="AF1026" i="7"/>
  <c r="AD946" i="7"/>
  <c r="AB953" i="7"/>
  <c r="AC949" i="7" s="1"/>
  <c r="AB952" i="7"/>
  <c r="AB959" i="7"/>
  <c r="AD965" i="7"/>
  <c r="AD966" i="7" s="1"/>
  <c r="AD973" i="7" s="1"/>
  <c r="AC978" i="7"/>
  <c r="AE934" i="7"/>
  <c r="AE941" i="7" s="1"/>
  <c r="AC955" i="7"/>
  <c r="AD984" i="7"/>
  <c r="AE981" i="7"/>
  <c r="AE982" i="7" s="1"/>
  <c r="AE942" i="7" l="1"/>
  <c r="AE944" i="7" s="1"/>
  <c r="AF939" i="7" s="1"/>
  <c r="AF1006" i="7"/>
  <c r="AF1007" i="7" s="1"/>
  <c r="AE935" i="7"/>
  <c r="AG1022" i="7"/>
  <c r="AD967" i="7"/>
  <c r="AD968" i="7" s="1"/>
  <c r="AD974" i="7"/>
  <c r="AB962" i="7"/>
  <c r="AB154" i="2" s="1"/>
  <c r="AB156" i="2" s="1"/>
  <c r="AC950" i="7"/>
  <c r="AC957" i="7" s="1"/>
  <c r="AC958" i="7" s="1"/>
  <c r="AC960" i="7" s="1"/>
  <c r="AD994" i="7"/>
  <c r="AE989" i="7"/>
  <c r="AE990" i="7" s="1"/>
  <c r="AE991" i="7" s="1"/>
  <c r="AE943" i="7" l="1"/>
  <c r="AG1023" i="7"/>
  <c r="AG1024" i="7"/>
  <c r="AH1019" i="7" s="1"/>
  <c r="AF1008" i="7"/>
  <c r="AE992" i="7"/>
  <c r="AF987" i="7" s="1"/>
  <c r="AD975" i="7"/>
  <c r="AD976" i="7"/>
  <c r="AE971" i="7" s="1"/>
  <c r="AD955" i="7"/>
  <c r="AD969" i="7"/>
  <c r="AE965" i="7" s="1"/>
  <c r="AE966" i="7" s="1"/>
  <c r="AE973" i="7" s="1"/>
  <c r="AE937" i="7"/>
  <c r="AE946" i="7" s="1"/>
  <c r="AB19" i="2"/>
  <c r="AB21" i="2" s="1"/>
  <c r="AE936" i="7"/>
  <c r="AC951" i="7"/>
  <c r="AC959" i="7"/>
  <c r="AE983" i="7"/>
  <c r="AE985" i="7" s="1"/>
  <c r="AC163" i="5" l="1"/>
  <c r="AC151" i="6" s="1"/>
  <c r="AG1003" i="7"/>
  <c r="AF1010" i="7"/>
  <c r="AG1026" i="7"/>
  <c r="AF933" i="7"/>
  <c r="AC953" i="7"/>
  <c r="AD949" i="7" s="1"/>
  <c r="AC952" i="7"/>
  <c r="AE994" i="7"/>
  <c r="AE974" i="7"/>
  <c r="AE975" i="7" s="1"/>
  <c r="AD978" i="7"/>
  <c r="AE967" i="7"/>
  <c r="AE984" i="7"/>
  <c r="AF981" i="7"/>
  <c r="AF982" i="7" s="1"/>
  <c r="AG1006" i="7" l="1"/>
  <c r="AG1007" i="7" s="1"/>
  <c r="AE976" i="7"/>
  <c r="AF971" i="7" s="1"/>
  <c r="AF934" i="7"/>
  <c r="AF941" i="7" s="1"/>
  <c r="AH1022" i="7"/>
  <c r="AC962" i="7"/>
  <c r="AC154" i="2" s="1"/>
  <c r="AC156" i="2" s="1"/>
  <c r="AD950" i="7"/>
  <c r="AD957" i="7" s="1"/>
  <c r="AE968" i="7"/>
  <c r="AE969" i="7"/>
  <c r="AF989" i="7"/>
  <c r="AF942" i="7" l="1"/>
  <c r="AF943" i="7" s="1"/>
  <c r="AH1023" i="7"/>
  <c r="AH1024" i="7"/>
  <c r="AH1026" i="7" s="1"/>
  <c r="AG1008" i="7"/>
  <c r="AF935" i="7"/>
  <c r="AC19" i="2"/>
  <c r="AC21" i="2" s="1"/>
  <c r="AD951" i="7"/>
  <c r="AD958" i="7"/>
  <c r="AD960" i="7" s="1"/>
  <c r="AF965" i="7"/>
  <c r="AF966" i="7" s="1"/>
  <c r="AF973" i="7" s="1"/>
  <c r="AF974" i="7" s="1"/>
  <c r="AF975" i="7" s="1"/>
  <c r="AE978" i="7"/>
  <c r="AF983" i="7"/>
  <c r="AF985" i="7" s="1"/>
  <c r="AF990" i="7"/>
  <c r="AF944" i="7" l="1"/>
  <c r="AG939" i="7" s="1"/>
  <c r="AH1003" i="7"/>
  <c r="AG1010" i="7"/>
  <c r="AF991" i="7"/>
  <c r="AF992" i="7"/>
  <c r="AG987" i="7" s="1"/>
  <c r="AF976" i="7"/>
  <c r="AG971" i="7" s="1"/>
  <c r="AD163" i="5"/>
  <c r="AD151" i="6" s="1"/>
  <c r="AF937" i="7"/>
  <c r="AG933" i="7" s="1"/>
  <c r="AG934" i="7" s="1"/>
  <c r="AG941" i="7" s="1"/>
  <c r="AF936" i="7"/>
  <c r="AD952" i="7"/>
  <c r="AD953" i="7"/>
  <c r="AE949" i="7" s="1"/>
  <c r="AF967" i="7"/>
  <c r="AF968" i="7" s="1"/>
  <c r="AD959" i="7"/>
  <c r="AE955" i="7"/>
  <c r="AF984" i="7"/>
  <c r="AG981" i="7"/>
  <c r="AG982" i="7" s="1"/>
  <c r="AG942" i="7" l="1"/>
  <c r="AG943" i="7" s="1"/>
  <c r="AH1006" i="7"/>
  <c r="AH1007" i="7" s="1"/>
  <c r="AF946" i="7"/>
  <c r="AG935" i="7"/>
  <c r="AF969" i="7"/>
  <c r="AF978" i="7" s="1"/>
  <c r="AF994" i="7"/>
  <c r="AD962" i="7"/>
  <c r="AD154" i="2" s="1"/>
  <c r="AD156" i="2" s="1"/>
  <c r="AE950" i="7"/>
  <c r="AE957" i="7" s="1"/>
  <c r="AE958" i="7" s="1"/>
  <c r="AE960" i="7" s="1"/>
  <c r="AG989" i="7"/>
  <c r="AG944" i="7" l="1"/>
  <c r="AH939" i="7" s="1"/>
  <c r="AH1008" i="7"/>
  <c r="AH1010" i="7" s="1"/>
  <c r="AG936" i="7"/>
  <c r="AD19" i="2"/>
  <c r="AD21" i="2" s="1"/>
  <c r="AG937" i="7"/>
  <c r="AH933" i="7" s="1"/>
  <c r="AG965" i="7"/>
  <c r="AG966" i="7" s="1"/>
  <c r="AG973" i="7" s="1"/>
  <c r="AG974" i="7" s="1"/>
  <c r="AE959" i="7"/>
  <c r="AF955" i="7"/>
  <c r="AE951" i="7"/>
  <c r="AG983" i="7"/>
  <c r="AG985" i="7" s="1"/>
  <c r="AG990" i="7"/>
  <c r="AE163" i="5" l="1"/>
  <c r="AE151" i="6" s="1"/>
  <c r="AG991" i="7"/>
  <c r="AG992" i="7"/>
  <c r="AH987" i="7" s="1"/>
  <c r="AG975" i="7"/>
  <c r="AG976" i="7"/>
  <c r="AH971" i="7" s="1"/>
  <c r="AG946" i="7"/>
  <c r="AG967" i="7"/>
  <c r="AG968" i="7" s="1"/>
  <c r="AH934" i="7"/>
  <c r="AH941" i="7" s="1"/>
  <c r="AH942" i="7" s="1"/>
  <c r="AE952" i="7"/>
  <c r="AE953" i="7"/>
  <c r="AG984" i="7"/>
  <c r="AH981" i="7"/>
  <c r="AH982" i="7" s="1"/>
  <c r="AH935" i="7" l="1"/>
  <c r="AG969" i="7"/>
  <c r="AH965" i="7" s="1"/>
  <c r="AH966" i="7" s="1"/>
  <c r="AH973" i="7" s="1"/>
  <c r="AH944" i="7"/>
  <c r="AE962" i="7"/>
  <c r="AE154" i="2" s="1"/>
  <c r="AE156" i="2" s="1"/>
  <c r="AF949" i="7"/>
  <c r="AG994" i="7"/>
  <c r="AH989" i="7"/>
  <c r="AH943" i="7" l="1"/>
  <c r="AH936" i="7"/>
  <c r="AE19" i="2"/>
  <c r="AE21" i="2" s="1"/>
  <c r="AH937" i="7"/>
  <c r="AG978" i="7"/>
  <c r="AH974" i="7"/>
  <c r="AF950" i="7"/>
  <c r="AF957" i="7" s="1"/>
  <c r="AH967" i="7"/>
  <c r="AH968" i="7" s="1"/>
  <c r="AH983" i="7"/>
  <c r="AH985" i="7" s="1"/>
  <c r="AH990" i="7"/>
  <c r="AH991" i="7" l="1"/>
  <c r="AH992" i="7"/>
  <c r="AH994" i="7" s="1"/>
  <c r="AH975" i="7"/>
  <c r="AH976" i="7"/>
  <c r="AH946" i="7"/>
  <c r="AF951" i="7"/>
  <c r="AF958" i="7"/>
  <c r="AF960" i="7" s="1"/>
  <c r="AH969" i="7"/>
  <c r="AH984" i="7"/>
  <c r="AF163" i="5" l="1"/>
  <c r="AF151" i="6" s="1"/>
  <c r="AH978" i="7"/>
  <c r="AF952" i="7"/>
  <c r="AF953" i="7"/>
  <c r="AF959" i="7"/>
  <c r="AG955" i="7"/>
  <c r="AF962" i="7" l="1"/>
  <c r="AF154" i="2" s="1"/>
  <c r="AF156" i="2" s="1"/>
  <c r="AG949" i="7"/>
  <c r="AF19" i="2" l="1"/>
  <c r="AF21" i="2" s="1"/>
  <c r="AG950" i="7"/>
  <c r="AG957" i="7" s="1"/>
  <c r="AG958" i="7" l="1"/>
  <c r="AG960" i="7" s="1"/>
  <c r="AG951" i="7"/>
  <c r="AG959" i="7" l="1"/>
  <c r="AG163" i="5"/>
  <c r="AG151" i="6" s="1"/>
  <c r="AH955" i="7"/>
  <c r="AG952" i="7"/>
  <c r="AG953" i="7"/>
  <c r="AG962" i="7" l="1"/>
  <c r="AG154" i="2" s="1"/>
  <c r="AG156" i="2" s="1"/>
  <c r="AH949" i="7"/>
  <c r="AG19" i="2" l="1"/>
  <c r="AG21" i="2" s="1"/>
  <c r="AH950" i="7"/>
  <c r="AH957" i="7" s="1"/>
  <c r="F34" i="5"/>
  <c r="F16" i="6" s="1"/>
  <c r="AH958" i="7" l="1"/>
  <c r="AH960" i="7" s="1"/>
  <c r="AH951" i="7"/>
  <c r="AH959" i="7" l="1"/>
  <c r="AH163" i="5"/>
  <c r="AH151" i="6" s="1"/>
  <c r="AH953" i="7"/>
  <c r="AH952" i="7"/>
  <c r="G34" i="5"/>
  <c r="G16" i="6" s="1"/>
  <c r="AH962" i="7" l="1"/>
  <c r="AH154" i="2" s="1"/>
  <c r="AH156" i="2" s="1"/>
  <c r="AH19" i="2" l="1"/>
  <c r="AH21" i="2" s="1"/>
  <c r="H34" i="5"/>
  <c r="H16" i="6" s="1"/>
  <c r="I34" i="5" l="1"/>
  <c r="I16" i="6" s="1"/>
  <c r="J34" i="5" l="1"/>
  <c r="J16" i="6" s="1"/>
  <c r="K34" i="5" l="1"/>
  <c r="K16" i="6" s="1"/>
  <c r="L34" i="5" l="1"/>
  <c r="L16" i="6" s="1"/>
  <c r="M34" i="5" l="1"/>
  <c r="M16" i="6" s="1"/>
  <c r="N34" i="5" l="1"/>
  <c r="N16" i="6" s="1"/>
  <c r="O34" i="5" l="1"/>
  <c r="O16" i="6" s="1"/>
  <c r="P34" i="5" l="1"/>
  <c r="P16" i="6" s="1"/>
  <c r="Q34" i="5" l="1"/>
  <c r="Q16" i="6" s="1"/>
  <c r="R34" i="5" l="1"/>
  <c r="R16" i="6" s="1"/>
  <c r="S34" i="5" l="1"/>
  <c r="S16" i="6" s="1"/>
  <c r="T34" i="5" l="1"/>
  <c r="T16" i="6" s="1"/>
  <c r="U34" i="5" l="1"/>
  <c r="U16" i="6" s="1"/>
  <c r="V34" i="5" l="1"/>
  <c r="V16" i="6" s="1"/>
  <c r="W34" i="5" l="1"/>
  <c r="W16" i="6" s="1"/>
  <c r="X34" i="5" l="1"/>
  <c r="X16" i="6" s="1"/>
  <c r="Y34" i="5" l="1"/>
  <c r="Y16" i="6" s="1"/>
  <c r="Z34" i="5" l="1"/>
  <c r="Z16" i="6" s="1"/>
  <c r="AA34" i="5" l="1"/>
  <c r="AA16" i="6" s="1"/>
  <c r="AB34" i="5" l="1"/>
  <c r="AB16" i="6" s="1"/>
  <c r="AC34" i="5" l="1"/>
  <c r="AC16" i="6" s="1"/>
  <c r="AD34" i="5" l="1"/>
  <c r="AD16" i="6" s="1"/>
  <c r="AE34" i="5" l="1"/>
  <c r="AE16" i="6" s="1"/>
  <c r="AF34" i="5" l="1"/>
  <c r="AF16" i="6" s="1"/>
  <c r="AG34" i="5" l="1"/>
  <c r="AG16" i="6" s="1"/>
  <c r="AH34" i="5" l="1"/>
  <c r="AH16" i="6" s="1"/>
  <c r="T183" i="32" l="1"/>
  <c r="E35" i="29" l="1"/>
  <c r="F34" i="29" s="1"/>
  <c r="F35" i="29" s="1"/>
  <c r="G34" i="29" s="1"/>
  <c r="G35" i="29" s="1"/>
  <c r="H34" i="29" s="1"/>
  <c r="H35" i="29" s="1"/>
  <c r="I34" i="29" s="1"/>
  <c r="I35" i="29" s="1"/>
  <c r="J34" i="29" s="1"/>
  <c r="J35" i="29" s="1"/>
  <c r="K34" i="29" s="1"/>
  <c r="K35" i="29" s="1"/>
  <c r="L34" i="29" s="1"/>
  <c r="L35" i="29" s="1"/>
  <c r="M34" i="29" s="1"/>
  <c r="M35" i="29" s="1"/>
  <c r="N34" i="29" s="1"/>
  <c r="N35" i="29" s="1"/>
  <c r="O34" i="29" s="1"/>
  <c r="O35" i="29" s="1"/>
  <c r="P34" i="29" s="1"/>
  <c r="P35" i="29" s="1"/>
  <c r="Q34" i="29" s="1"/>
  <c r="Q35" i="29" s="1"/>
  <c r="R34" i="29" s="1"/>
  <c r="R35" i="29" s="1"/>
  <c r="S34" i="29" s="1"/>
  <c r="S35" i="29" s="1"/>
  <c r="T34" i="29" s="1"/>
  <c r="T35" i="29" s="1"/>
  <c r="U34" i="29" s="1"/>
  <c r="U35" i="29" s="1"/>
  <c r="V34" i="29" s="1"/>
  <c r="V35" i="29" s="1"/>
  <c r="W34" i="29" s="1"/>
  <c r="W35" i="29" s="1"/>
  <c r="X34" i="29" s="1"/>
  <c r="X35" i="29" s="1"/>
  <c r="Y34" i="29" s="1"/>
  <c r="Y35" i="29" s="1"/>
  <c r="Z34" i="29" s="1"/>
  <c r="Z35" i="29" s="1"/>
  <c r="AA34" i="29" s="1"/>
  <c r="AA35" i="29" s="1"/>
  <c r="AB34" i="29" s="1"/>
  <c r="AB35" i="29" s="1"/>
  <c r="AC34" i="29" s="1"/>
  <c r="AC35" i="29" s="1"/>
  <c r="AD34" i="29" s="1"/>
  <c r="AD35" i="29" s="1"/>
  <c r="AE34" i="29" s="1"/>
  <c r="AE35" i="29" s="1"/>
  <c r="AF34" i="29" s="1"/>
  <c r="AF35" i="29" s="1"/>
  <c r="AG34" i="29" s="1"/>
  <c r="AG35" i="29" s="1"/>
  <c r="AH34" i="29" s="1"/>
  <c r="AH35" i="29" s="1"/>
  <c r="G390" i="7" l="1"/>
  <c r="H390" i="7" l="1"/>
  <c r="I390" i="7" l="1"/>
  <c r="J390" i="7" l="1"/>
  <c r="K390" i="7" l="1"/>
  <c r="N377" i="7" l="1"/>
  <c r="L390" i="7"/>
  <c r="N383" i="7" l="1"/>
  <c r="M390" i="7"/>
  <c r="N381" i="7" l="1"/>
  <c r="N378" i="7" s="1"/>
  <c r="N385" i="7" l="1"/>
  <c r="O377" i="7" l="1"/>
  <c r="O383" i="7" s="1"/>
  <c r="N386" i="7"/>
  <c r="N390" i="7" s="1"/>
  <c r="O381" i="7"/>
  <c r="O378" i="7" s="1"/>
  <c r="O385" i="7" l="1"/>
  <c r="P377" i="7" s="1"/>
  <c r="O386" i="7" l="1"/>
  <c r="O390" i="7" s="1"/>
  <c r="P383" i="7"/>
  <c r="P381" i="7" l="1"/>
  <c r="P378" i="7" s="1"/>
  <c r="P385" i="7" l="1"/>
  <c r="Q377" i="7" l="1"/>
  <c r="P386" i="7"/>
  <c r="P390" i="7" s="1"/>
  <c r="Q383" i="7"/>
  <c r="Q381" i="7" l="1"/>
  <c r="Q378" i="7" s="1"/>
  <c r="Q385" i="7" l="1"/>
  <c r="R377" i="7" l="1"/>
  <c r="Q386" i="7"/>
  <c r="Q390" i="7" s="1"/>
  <c r="R383" i="7"/>
  <c r="R381" i="7" l="1"/>
  <c r="R378" i="7" s="1"/>
  <c r="R385" i="7" s="1"/>
  <c r="S377" i="7" s="1"/>
  <c r="R386" i="7" l="1"/>
  <c r="R390" i="7" s="1"/>
  <c r="S383" i="7"/>
  <c r="S381" i="7" l="1"/>
  <c r="S378" i="7" s="1"/>
  <c r="S385" i="7" l="1"/>
  <c r="T377" i="7" l="1"/>
  <c r="T383" i="7" s="1"/>
  <c r="S386" i="7"/>
  <c r="S390" i="7" s="1"/>
  <c r="T381" i="7"/>
  <c r="T378" i="7" s="1"/>
  <c r="T385" i="7" l="1"/>
  <c r="U377" i="7" s="1"/>
  <c r="T386" i="7" l="1"/>
  <c r="T390" i="7" s="1"/>
  <c r="U378" i="7"/>
  <c r="U385" i="7" s="1"/>
  <c r="V377" i="7" s="1"/>
  <c r="U383" i="7"/>
  <c r="V383" i="7" l="1"/>
  <c r="V385" i="7"/>
  <c r="W377" i="7" s="1"/>
  <c r="U386" i="7"/>
  <c r="U390" i="7" s="1"/>
  <c r="U381" i="7"/>
  <c r="V386" i="7" l="1"/>
  <c r="V390" i="7" s="1"/>
  <c r="W383" i="7"/>
  <c r="W385" i="7"/>
  <c r="X377" i="7" s="1"/>
  <c r="W386" i="7" l="1"/>
  <c r="W390" i="7" s="1"/>
  <c r="X383" i="7"/>
  <c r="X385" i="7"/>
  <c r="Y377" i="7" s="1"/>
  <c r="X386" i="7" l="1"/>
  <c r="X390" i="7" s="1"/>
  <c r="Y383" i="7"/>
  <c r="Y385" i="7"/>
  <c r="Z377" i="7" s="1"/>
  <c r="Y386" i="7" l="1"/>
  <c r="Y390" i="7" s="1"/>
  <c r="Z383" i="7"/>
  <c r="Z385" i="7"/>
  <c r="AA377" i="7" s="1"/>
  <c r="Z386" i="7" l="1"/>
  <c r="Z390" i="7" s="1"/>
  <c r="AA383" i="7"/>
  <c r="AA385" i="7"/>
  <c r="AB377" i="7" s="1"/>
  <c r="AA386" i="7" l="1"/>
  <c r="AA390" i="7" s="1"/>
  <c r="AB383" i="7"/>
  <c r="AB385" i="7"/>
  <c r="AC377" i="7" s="1"/>
  <c r="AB386" i="7" l="1"/>
  <c r="AB390" i="7" s="1"/>
  <c r="AC383" i="7"/>
  <c r="AC385" i="7"/>
  <c r="AD377" i="7" s="1"/>
  <c r="AC386" i="7" l="1"/>
  <c r="AC390" i="7" s="1"/>
  <c r="AD383" i="7"/>
  <c r="AD385" i="7"/>
  <c r="AE377" i="7" s="1"/>
  <c r="AD386" i="7" l="1"/>
  <c r="AD390" i="7" s="1"/>
  <c r="AE383" i="7"/>
  <c r="AE385" i="7"/>
  <c r="AF377" i="7" s="1"/>
  <c r="AE386" i="7" l="1"/>
  <c r="AE390" i="7" s="1"/>
  <c r="AF383" i="7"/>
  <c r="AF385" i="7"/>
  <c r="AG377" i="7" s="1"/>
  <c r="AF386" i="7" l="1"/>
  <c r="AF390" i="7" s="1"/>
  <c r="AG383" i="7"/>
  <c r="AG385" i="7"/>
  <c r="AH377" i="7" s="1"/>
  <c r="AG386" i="7" l="1"/>
  <c r="AG390" i="7" s="1"/>
  <c r="AH383" i="7"/>
  <c r="AH385" i="7"/>
  <c r="AH386" i="7" l="1"/>
  <c r="AH390" i="7" s="1"/>
  <c r="T163" i="33"/>
  <c r="T148" i="33" l="1"/>
  <c r="Y163" i="33" l="1"/>
  <c r="Y148" i="33" l="1"/>
  <c r="AC163" i="33" l="1"/>
  <c r="AC148" i="33" l="1"/>
  <c r="AD163" i="33" l="1"/>
  <c r="AD148" i="33"/>
  <c r="T169" i="32" l="1"/>
  <c r="T154" i="34"/>
  <c r="T156" i="34"/>
  <c r="T147" i="34"/>
  <c r="T146" i="10" l="1"/>
  <c r="T153" i="10"/>
  <c r="G61" i="27" l="1"/>
  <c r="Y169" i="32" l="1"/>
  <c r="Y156" i="34"/>
  <c r="Y154" i="34"/>
  <c r="Y147" i="34"/>
  <c r="H61" i="27"/>
  <c r="Y146" i="10" l="1"/>
  <c r="Y153" i="10"/>
  <c r="I61" i="27"/>
  <c r="J61" i="27" l="1"/>
  <c r="K61" i="27" l="1"/>
  <c r="AC156" i="34" l="1"/>
  <c r="AC154" i="34"/>
  <c r="AC169" i="32"/>
  <c r="AC147" i="34"/>
  <c r="L61" i="27"/>
  <c r="AC146" i="10" l="1"/>
  <c r="AD169" i="32"/>
  <c r="AD156" i="34"/>
  <c r="AD154" i="34"/>
  <c r="M61" i="27"/>
  <c r="AC153" i="10" l="1"/>
  <c r="AD147" i="34"/>
  <c r="AD153" i="10"/>
  <c r="AD154" i="32"/>
  <c r="N61" i="27"/>
  <c r="AD146" i="10" l="1"/>
  <c r="O61" i="27"/>
  <c r="P61" i="27" l="1"/>
  <c r="Q61" i="27" l="1"/>
  <c r="R61" i="27" l="1"/>
  <c r="S61" i="27" l="1"/>
  <c r="T61" i="27" l="1"/>
  <c r="U61" i="27" l="1"/>
  <c r="V61" i="27" l="1"/>
  <c r="W61" i="27" l="1"/>
  <c r="X61" i="27" l="1"/>
  <c r="Y61" i="27" l="1"/>
  <c r="Z61" i="27" l="1"/>
  <c r="AA61" i="27" l="1"/>
  <c r="AB61" i="27" l="1"/>
  <c r="AC61" i="27" l="1"/>
  <c r="AD61" i="27" l="1"/>
  <c r="AE61" i="27" l="1"/>
  <c r="AF61" i="27" l="1"/>
  <c r="AG61" i="27" l="1"/>
  <c r="AH61" i="27" l="1"/>
  <c r="G70" i="27" l="1"/>
  <c r="H70" i="27" l="1"/>
  <c r="I70" i="27" s="1"/>
  <c r="J70" i="27" l="1"/>
  <c r="K70" i="27" s="1"/>
  <c r="L70" i="27" l="1"/>
  <c r="M70" i="27" l="1"/>
  <c r="N70" i="27" l="1"/>
  <c r="O70" i="27" l="1"/>
  <c r="P70" i="27" l="1"/>
  <c r="Q70" i="27" l="1"/>
  <c r="R70" i="27" l="1"/>
  <c r="S70" i="27" l="1"/>
  <c r="T70" i="27" l="1"/>
  <c r="U70" i="27" l="1"/>
  <c r="V70" i="27" l="1"/>
  <c r="W70" i="27" l="1"/>
  <c r="X70" i="27" l="1"/>
  <c r="Y70" i="27" l="1"/>
  <c r="Z70" i="27" l="1"/>
  <c r="AA70" i="27" l="1"/>
  <c r="AB70" i="27" l="1"/>
  <c r="AC70" i="27" l="1"/>
  <c r="AD70" i="27" l="1"/>
  <c r="AE70" i="27" l="1"/>
  <c r="AF70" i="27" l="1"/>
  <c r="AG70" i="27" l="1"/>
  <c r="AH70" i="27" l="1"/>
  <c r="G79" i="27" l="1"/>
  <c r="H79" i="27" s="1"/>
  <c r="I79" i="27" l="1"/>
  <c r="J79" i="27" l="1"/>
  <c r="K79" i="27" l="1"/>
  <c r="L79" i="27" l="1"/>
  <c r="J220" i="10"/>
  <c r="K220" i="10" l="1"/>
  <c r="J227" i="10"/>
  <c r="M79" i="27"/>
  <c r="L220" i="10" l="1"/>
  <c r="J225" i="10"/>
  <c r="K227" i="10"/>
  <c r="K225" i="10" s="1"/>
  <c r="N79" i="27"/>
  <c r="O79" i="27" l="1"/>
  <c r="L227" i="10"/>
  <c r="L225" i="10" s="1"/>
  <c r="M220" i="10"/>
  <c r="N220" i="10" l="1"/>
  <c r="M227" i="10"/>
  <c r="P79" i="27"/>
  <c r="O220" i="10" l="1"/>
  <c r="N227" i="10"/>
  <c r="N225" i="10" s="1"/>
  <c r="Q79" i="27"/>
  <c r="M225" i="10"/>
  <c r="P220" i="10" l="1"/>
  <c r="R79" i="27"/>
  <c r="O227" i="10"/>
  <c r="O225" i="10" s="1"/>
  <c r="P227" i="10" l="1"/>
  <c r="P225" i="10" s="1"/>
  <c r="Q220" i="10"/>
  <c r="S79" i="27"/>
  <c r="R220" i="10" l="1"/>
  <c r="Q227" i="10"/>
  <c r="Q225" i="10" s="1"/>
  <c r="T79" i="27"/>
  <c r="U79" i="27" l="1"/>
  <c r="R227" i="10"/>
  <c r="R225" i="10" s="1"/>
  <c r="S220" i="10"/>
  <c r="T220" i="10" l="1"/>
  <c r="V79" i="27"/>
  <c r="S227" i="10"/>
  <c r="S225" i="10" s="1"/>
  <c r="W79" i="27" l="1"/>
  <c r="T227" i="10"/>
  <c r="T225" i="10" s="1"/>
  <c r="U220" i="10"/>
  <c r="V220" i="10" l="1"/>
  <c r="U227" i="10"/>
  <c r="U225" i="10" s="1"/>
  <c r="X79" i="27"/>
  <c r="V227" i="10" l="1"/>
  <c r="V225" i="10" s="1"/>
  <c r="Y79" i="27"/>
  <c r="W220" i="10"/>
  <c r="W227" i="10" l="1"/>
  <c r="W225" i="10" s="1"/>
  <c r="X220" i="10"/>
  <c r="Z79" i="27"/>
  <c r="AA79" i="27" l="1"/>
  <c r="X227" i="10"/>
  <c r="X225" i="10" s="1"/>
  <c r="Y220" i="10"/>
  <c r="Z220" i="10" l="1"/>
  <c r="Y227" i="10"/>
  <c r="Y225" i="10" s="1"/>
  <c r="AB79" i="27"/>
  <c r="AA220" i="10" l="1"/>
  <c r="AC79" i="27"/>
  <c r="Z227" i="10"/>
  <c r="Z225" i="10" s="1"/>
  <c r="AB220" i="10" l="1"/>
  <c r="AD79" i="27"/>
  <c r="AA227" i="10"/>
  <c r="AA225" i="10" s="1"/>
  <c r="AE79" i="27" l="1"/>
  <c r="AC220" i="10"/>
  <c r="AB227" i="10"/>
  <c r="AB225" i="10" s="1"/>
  <c r="AC227" i="10" l="1"/>
  <c r="AC225" i="10" s="1"/>
  <c r="AF79" i="27"/>
  <c r="AD220" i="10"/>
  <c r="AD227" i="10" l="1"/>
  <c r="AD225" i="10" s="1"/>
  <c r="AG79" i="27"/>
  <c r="AE220" i="10"/>
  <c r="AE227" i="10" l="1"/>
  <c r="AE225" i="10" s="1"/>
  <c r="AH79" i="27"/>
  <c r="AF220" i="10"/>
  <c r="AF227" i="10" l="1"/>
  <c r="AF225" i="10" s="1"/>
  <c r="AH220" i="10"/>
  <c r="AG220" i="10"/>
  <c r="AH227" i="10" l="1"/>
  <c r="AG227" i="10"/>
  <c r="AG225" i="10" s="1"/>
  <c r="F8" i="35" l="1"/>
  <c r="H26" i="17" s="1"/>
  <c r="AH225" i="10"/>
  <c r="O61" i="35" s="1"/>
  <c r="G37" i="29" l="1"/>
  <c r="G180" i="25" s="1"/>
  <c r="G483" i="7" l="1"/>
  <c r="G485" i="7" s="1"/>
  <c r="G769" i="7"/>
  <c r="G171" i="26"/>
  <c r="G1133" i="7" s="1"/>
  <c r="G38" i="27"/>
  <c r="G1401" i="7" s="1"/>
  <c r="G51" i="27" s="1"/>
  <c r="G231" i="1"/>
  <c r="G376" i="1"/>
  <c r="G275" i="7" s="1"/>
  <c r="G189" i="26"/>
  <c r="G1136" i="7" s="1"/>
  <c r="G194" i="26" s="1"/>
  <c r="G240" i="1"/>
  <c r="G249" i="7" s="1"/>
  <c r="G355" i="1"/>
  <c r="G270" i="7" s="1"/>
  <c r="G394" i="1"/>
  <c r="G326" i="1"/>
  <c r="G48" i="27"/>
  <c r="G1403" i="7" s="1"/>
  <c r="G52" i="27" s="1"/>
  <c r="G871" i="7"/>
  <c r="G873" i="7" s="1"/>
  <c r="G367" i="7"/>
  <c r="G372" i="7" s="1"/>
  <c r="G385" i="1"/>
  <c r="G222" i="1"/>
  <c r="G246" i="7" s="1"/>
  <c r="G65" i="27"/>
  <c r="G317" i="1"/>
  <c r="G308" i="1"/>
  <c r="G260" i="7" s="1"/>
  <c r="G358" i="1" s="1"/>
  <c r="H37" i="29"/>
  <c r="I37" i="29" s="1"/>
  <c r="J37" i="29" s="1"/>
  <c r="K37" i="29" s="1"/>
  <c r="L37" i="29" s="1"/>
  <c r="M37" i="29" s="1"/>
  <c r="N37" i="29" s="1"/>
  <c r="O37" i="29" s="1"/>
  <c r="P37" i="29" s="1"/>
  <c r="Q37" i="29" s="1"/>
  <c r="R37" i="29" s="1"/>
  <c r="S37" i="29" s="1"/>
  <c r="T37" i="29" s="1"/>
  <c r="U37" i="29" s="1"/>
  <c r="V37" i="29" s="1"/>
  <c r="W37" i="29" s="1"/>
  <c r="X37" i="29" s="1"/>
  <c r="Y37" i="29" s="1"/>
  <c r="Z37" i="29" s="1"/>
  <c r="AA37" i="29" s="1"/>
  <c r="AB37" i="29" s="1"/>
  <c r="AC37" i="29" s="1"/>
  <c r="AD37" i="29" s="1"/>
  <c r="AE37" i="29" s="1"/>
  <c r="AF37" i="29" s="1"/>
  <c r="AG37" i="29" s="1"/>
  <c r="AH37" i="29" s="1"/>
  <c r="G171" i="25"/>
  <c r="G423" i="7"/>
  <c r="G426" i="7" s="1"/>
  <c r="G393" i="7"/>
  <c r="G399" i="7" s="1"/>
  <c r="G453" i="7"/>
  <c r="G455" i="7" s="1"/>
  <c r="G345" i="1"/>
  <c r="G268" i="7" s="1"/>
  <c r="G180" i="26"/>
  <c r="G74" i="27"/>
  <c r="G1424" i="7" s="1"/>
  <c r="G335" i="1"/>
  <c r="G83" i="27"/>
  <c r="G1425" i="7" s="1"/>
  <c r="G189" i="25"/>
  <c r="G1141" i="7"/>
  <c r="G174" i="34" s="1"/>
  <c r="G1142" i="7"/>
  <c r="G254" i="7"/>
  <c r="G196" i="32" s="1"/>
  <c r="G673" i="7"/>
  <c r="G184" i="33" s="1"/>
  <c r="G255" i="7"/>
  <c r="H483" i="7"/>
  <c r="G901" i="7"/>
  <c r="G909" i="7" s="1"/>
  <c r="G275" i="25"/>
  <c r="G334" i="25"/>
  <c r="G280" i="26"/>
  <c r="G311" i="26"/>
  <c r="G257" i="25"/>
  <c r="G678" i="7" s="1"/>
  <c r="G343" i="25"/>
  <c r="G696" i="7" s="1"/>
  <c r="G290" i="26"/>
  <c r="G266" i="25"/>
  <c r="G304" i="25"/>
  <c r="G688" i="7" s="1"/>
  <c r="G325" i="25"/>
  <c r="G693" i="7" s="1"/>
  <c r="G320" i="26"/>
  <c r="G284" i="25"/>
  <c r="G294" i="25"/>
  <c r="G686" i="7" s="1"/>
  <c r="G243" i="26"/>
  <c r="G329" i="26"/>
  <c r="G261" i="26"/>
  <c r="G270" i="26"/>
  <c r="G252" i="26"/>
  <c r="G695" i="7" l="1"/>
  <c r="G694" i="7" s="1"/>
  <c r="G666" i="7"/>
  <c r="G665" i="7" s="1"/>
  <c r="G193" i="25" s="1"/>
  <c r="G664" i="7"/>
  <c r="G192" i="25" s="1"/>
  <c r="G667" i="7"/>
  <c r="G194" i="25" s="1"/>
  <c r="G278" i="7"/>
  <c r="G399" i="1" s="1"/>
  <c r="G245" i="1"/>
  <c r="G1134" i="7"/>
  <c r="G193" i="26" s="1"/>
  <c r="G489" i="7"/>
  <c r="G771" i="7"/>
  <c r="G770" i="7"/>
  <c r="G772" i="7"/>
  <c r="G923" i="7" s="1"/>
  <c r="G773" i="7"/>
  <c r="G774" i="7"/>
  <c r="G486" i="7"/>
  <c r="G492" i="7"/>
  <c r="H486" i="7"/>
  <c r="H485" i="7"/>
  <c r="H489" i="7"/>
  <c r="H492" i="7"/>
  <c r="G456" i="7"/>
  <c r="G396" i="7"/>
  <c r="G256" i="7"/>
  <c r="G499" i="7" s="1"/>
  <c r="H171" i="26"/>
  <c r="H1133" i="7" s="1"/>
  <c r="G175" i="34"/>
  <c r="G1143" i="7"/>
  <c r="G1389" i="7" s="1"/>
  <c r="G1390" i="7" s="1"/>
  <c r="H376" i="1"/>
  <c r="G1458" i="7"/>
  <c r="G111" i="27" s="1"/>
  <c r="H326" i="1"/>
  <c r="I326" i="1" s="1"/>
  <c r="J326" i="1" s="1"/>
  <c r="K326" i="1" s="1"/>
  <c r="L326" i="1" s="1"/>
  <c r="M326" i="1" s="1"/>
  <c r="N326" i="1" s="1"/>
  <c r="O326" i="1" s="1"/>
  <c r="P326" i="1" s="1"/>
  <c r="Q326" i="1" s="1"/>
  <c r="R326" i="1" s="1"/>
  <c r="S326" i="1" s="1"/>
  <c r="T326" i="1" s="1"/>
  <c r="U326" i="1" s="1"/>
  <c r="V326" i="1" s="1"/>
  <c r="W326" i="1" s="1"/>
  <c r="X326" i="1" s="1"/>
  <c r="Y326" i="1" s="1"/>
  <c r="Z326" i="1" s="1"/>
  <c r="AA326" i="1" s="1"/>
  <c r="AB326" i="1" s="1"/>
  <c r="AC326" i="1" s="1"/>
  <c r="AD326" i="1" s="1"/>
  <c r="AE326" i="1" s="1"/>
  <c r="AF326" i="1" s="1"/>
  <c r="AG326" i="1" s="1"/>
  <c r="AH326" i="1" s="1"/>
  <c r="H345" i="1"/>
  <c r="I345" i="1" s="1"/>
  <c r="H38" i="27"/>
  <c r="H1401" i="7" s="1"/>
  <c r="H51" i="27" s="1"/>
  <c r="H180" i="25"/>
  <c r="H189" i="25"/>
  <c r="H394" i="1"/>
  <c r="H231" i="1"/>
  <c r="I231" i="1" s="1"/>
  <c r="G63" i="5"/>
  <c r="H48" i="27"/>
  <c r="H1403" i="7" s="1"/>
  <c r="H52" i="27" s="1"/>
  <c r="H189" i="26"/>
  <c r="H1136" i="7" s="1"/>
  <c r="H194" i="26" s="1"/>
  <c r="H180" i="26"/>
  <c r="H355" i="1"/>
  <c r="I355" i="1" s="1"/>
  <c r="H240" i="1"/>
  <c r="H249" i="7" s="1"/>
  <c r="G400" i="7"/>
  <c r="H308" i="1"/>
  <c r="H260" i="7" s="1"/>
  <c r="G427" i="7"/>
  <c r="H83" i="27"/>
  <c r="H1425" i="7" s="1"/>
  <c r="H74" i="27"/>
  <c r="H1424" i="7" s="1"/>
  <c r="G401" i="7"/>
  <c r="G397" i="7"/>
  <c r="H222" i="1"/>
  <c r="H246" i="7" s="1"/>
  <c r="H65" i="27"/>
  <c r="H1423" i="7" s="1"/>
  <c r="G1423" i="7"/>
  <c r="G1431" i="7" s="1"/>
  <c r="G1459" i="7" s="1"/>
  <c r="G112" i="27" s="1"/>
  <c r="G398" i="7"/>
  <c r="G402" i="7"/>
  <c r="G394" i="7"/>
  <c r="G395" i="7"/>
  <c r="G876" i="7"/>
  <c r="G874" i="7"/>
  <c r="G880" i="7"/>
  <c r="G878" i="7"/>
  <c r="G875" i="7"/>
  <c r="G88" i="27"/>
  <c r="G458" i="7"/>
  <c r="G454" i="7"/>
  <c r="H385" i="1"/>
  <c r="I385" i="1" s="1"/>
  <c r="H317" i="1"/>
  <c r="I317" i="1" s="1"/>
  <c r="J317" i="1" s="1"/>
  <c r="K317" i="1" s="1"/>
  <c r="L317" i="1" s="1"/>
  <c r="M317" i="1" s="1"/>
  <c r="N317" i="1" s="1"/>
  <c r="O317" i="1" s="1"/>
  <c r="P317" i="1" s="1"/>
  <c r="Q317" i="1" s="1"/>
  <c r="R317" i="1" s="1"/>
  <c r="S317" i="1" s="1"/>
  <c r="T317" i="1" s="1"/>
  <c r="U317" i="1" s="1"/>
  <c r="V317" i="1" s="1"/>
  <c r="W317" i="1" s="1"/>
  <c r="X317" i="1" s="1"/>
  <c r="Y317" i="1" s="1"/>
  <c r="Z317" i="1" s="1"/>
  <c r="AA317" i="1" s="1"/>
  <c r="AB317" i="1" s="1"/>
  <c r="AC317" i="1" s="1"/>
  <c r="AD317" i="1" s="1"/>
  <c r="AE317" i="1" s="1"/>
  <c r="AF317" i="1" s="1"/>
  <c r="AG317" i="1" s="1"/>
  <c r="AH317" i="1" s="1"/>
  <c r="G872" i="7"/>
  <c r="G877" i="7"/>
  <c r="G879" i="7"/>
  <c r="G334" i="26"/>
  <c r="H335" i="1"/>
  <c r="I335" i="1" s="1"/>
  <c r="J335" i="1" s="1"/>
  <c r="K335" i="1" s="1"/>
  <c r="L335" i="1" s="1"/>
  <c r="M335" i="1" s="1"/>
  <c r="N335" i="1" s="1"/>
  <c r="O335" i="1" s="1"/>
  <c r="P335" i="1" s="1"/>
  <c r="Q335" i="1" s="1"/>
  <c r="R335" i="1" s="1"/>
  <c r="S335" i="1" s="1"/>
  <c r="T335" i="1" s="1"/>
  <c r="U335" i="1" s="1"/>
  <c r="V335" i="1" s="1"/>
  <c r="W335" i="1" s="1"/>
  <c r="X335" i="1" s="1"/>
  <c r="Y335" i="1" s="1"/>
  <c r="Z335" i="1" s="1"/>
  <c r="AA335" i="1" s="1"/>
  <c r="AB335" i="1" s="1"/>
  <c r="AC335" i="1" s="1"/>
  <c r="AD335" i="1" s="1"/>
  <c r="AE335" i="1" s="1"/>
  <c r="AF335" i="1" s="1"/>
  <c r="AG335" i="1" s="1"/>
  <c r="AH335" i="1" s="1"/>
  <c r="G370" i="7"/>
  <c r="H171" i="25"/>
  <c r="G457" i="7"/>
  <c r="G460" i="7"/>
  <c r="H393" i="7"/>
  <c r="H401" i="7" s="1"/>
  <c r="H453" i="7"/>
  <c r="H455" i="7" s="1"/>
  <c r="H423" i="7"/>
  <c r="H430" i="7" s="1"/>
  <c r="G369" i="7"/>
  <c r="G371" i="7"/>
  <c r="G462" i="7"/>
  <c r="G461" i="7"/>
  <c r="I453" i="7"/>
  <c r="I393" i="7"/>
  <c r="H367" i="7"/>
  <c r="G368" i="7"/>
  <c r="G459" i="7"/>
  <c r="G903" i="7"/>
  <c r="G127" i="6"/>
  <c r="G224" i="25"/>
  <c r="G226" i="25" s="1"/>
  <c r="G904" i="7"/>
  <c r="G173" i="10"/>
  <c r="G197" i="32"/>
  <c r="G908" i="7"/>
  <c r="G425" i="7"/>
  <c r="G430" i="7"/>
  <c r="H270" i="26"/>
  <c r="I270" i="26" s="1"/>
  <c r="J270" i="26" s="1"/>
  <c r="K270" i="26" s="1"/>
  <c r="L270" i="26" s="1"/>
  <c r="M270" i="26" s="1"/>
  <c r="N270" i="26" s="1"/>
  <c r="O270" i="26" s="1"/>
  <c r="P270" i="26" s="1"/>
  <c r="Q270" i="26" s="1"/>
  <c r="R270" i="26" s="1"/>
  <c r="S270" i="26" s="1"/>
  <c r="T270" i="26" s="1"/>
  <c r="U270" i="26" s="1"/>
  <c r="V270" i="26" s="1"/>
  <c r="W270" i="26" s="1"/>
  <c r="X270" i="26" s="1"/>
  <c r="Y270" i="26" s="1"/>
  <c r="Z270" i="26" s="1"/>
  <c r="AA270" i="26" s="1"/>
  <c r="AB270" i="26" s="1"/>
  <c r="AC270" i="26" s="1"/>
  <c r="AD270" i="26" s="1"/>
  <c r="AE270" i="26" s="1"/>
  <c r="AF270" i="26" s="1"/>
  <c r="AG270" i="26" s="1"/>
  <c r="AH270" i="26" s="1"/>
  <c r="H255" i="7"/>
  <c r="H256" i="7" s="1"/>
  <c r="G82" i="6"/>
  <c r="G209" i="32" s="1"/>
  <c r="G275" i="1"/>
  <c r="G277" i="1" s="1"/>
  <c r="G224" i="26"/>
  <c r="H1142" i="7"/>
  <c r="G172" i="6"/>
  <c r="G1174" i="7" s="1"/>
  <c r="H329" i="26"/>
  <c r="G1165" i="7"/>
  <c r="H320" i="26"/>
  <c r="G1163" i="7"/>
  <c r="H290" i="26"/>
  <c r="G1157" i="7"/>
  <c r="G1417" i="7" s="1"/>
  <c r="H280" i="26"/>
  <c r="G1155" i="7"/>
  <c r="G1415" i="7" s="1"/>
  <c r="G25" i="5" s="1"/>
  <c r="H673" i="7"/>
  <c r="H224" i="25" s="1"/>
  <c r="H226" i="25" s="1"/>
  <c r="G674" i="7"/>
  <c r="G107" i="6" s="1"/>
  <c r="G428" i="7"/>
  <c r="G424" i="7"/>
  <c r="H252" i="26"/>
  <c r="I252" i="26" s="1"/>
  <c r="J252" i="26" s="1"/>
  <c r="K252" i="26" s="1"/>
  <c r="L252" i="26" s="1"/>
  <c r="M252" i="26" s="1"/>
  <c r="N252" i="26" s="1"/>
  <c r="O252" i="26" s="1"/>
  <c r="P252" i="26" s="1"/>
  <c r="Q252" i="26" s="1"/>
  <c r="R252" i="26" s="1"/>
  <c r="S252" i="26" s="1"/>
  <c r="T252" i="26" s="1"/>
  <c r="U252" i="26" s="1"/>
  <c r="V252" i="26" s="1"/>
  <c r="W252" i="26" s="1"/>
  <c r="X252" i="26" s="1"/>
  <c r="Y252" i="26" s="1"/>
  <c r="Z252" i="26" s="1"/>
  <c r="AA252" i="26" s="1"/>
  <c r="AB252" i="26" s="1"/>
  <c r="AC252" i="26" s="1"/>
  <c r="AD252" i="26" s="1"/>
  <c r="AE252" i="26" s="1"/>
  <c r="AF252" i="26" s="1"/>
  <c r="AG252" i="26" s="1"/>
  <c r="AH252" i="26" s="1"/>
  <c r="H243" i="26"/>
  <c r="G1147" i="7"/>
  <c r="G1407" i="7" s="1"/>
  <c r="H334" i="25"/>
  <c r="G906" i="7"/>
  <c r="G905" i="7"/>
  <c r="G907" i="7"/>
  <c r="H261" i="26"/>
  <c r="I261" i="26" s="1"/>
  <c r="J261" i="26" s="1"/>
  <c r="K261" i="26" s="1"/>
  <c r="L261" i="26" s="1"/>
  <c r="M261" i="26" s="1"/>
  <c r="N261" i="26" s="1"/>
  <c r="O261" i="26" s="1"/>
  <c r="P261" i="26" s="1"/>
  <c r="Q261" i="26" s="1"/>
  <c r="R261" i="26" s="1"/>
  <c r="S261" i="26" s="1"/>
  <c r="T261" i="26" s="1"/>
  <c r="U261" i="26" s="1"/>
  <c r="V261" i="26" s="1"/>
  <c r="W261" i="26" s="1"/>
  <c r="X261" i="26" s="1"/>
  <c r="Y261" i="26" s="1"/>
  <c r="Z261" i="26" s="1"/>
  <c r="AA261" i="26" s="1"/>
  <c r="AB261" i="26" s="1"/>
  <c r="AC261" i="26" s="1"/>
  <c r="AD261" i="26" s="1"/>
  <c r="AE261" i="26" s="1"/>
  <c r="AF261" i="26" s="1"/>
  <c r="AG261" i="26" s="1"/>
  <c r="AH261" i="26" s="1"/>
  <c r="H266" i="25"/>
  <c r="I266" i="25" s="1"/>
  <c r="J266" i="25" s="1"/>
  <c r="K266" i="25" s="1"/>
  <c r="L266" i="25" s="1"/>
  <c r="M266" i="25" s="1"/>
  <c r="N266" i="25" s="1"/>
  <c r="O266" i="25" s="1"/>
  <c r="P266" i="25" s="1"/>
  <c r="Q266" i="25" s="1"/>
  <c r="R266" i="25" s="1"/>
  <c r="S266" i="25" s="1"/>
  <c r="T266" i="25" s="1"/>
  <c r="U266" i="25" s="1"/>
  <c r="V266" i="25" s="1"/>
  <c r="W266" i="25" s="1"/>
  <c r="X266" i="25" s="1"/>
  <c r="Y266" i="25" s="1"/>
  <c r="Z266" i="25" s="1"/>
  <c r="AA266" i="25" s="1"/>
  <c r="AB266" i="25" s="1"/>
  <c r="AC266" i="25" s="1"/>
  <c r="AD266" i="25" s="1"/>
  <c r="AE266" i="25" s="1"/>
  <c r="AF266" i="25" s="1"/>
  <c r="AG266" i="25" s="1"/>
  <c r="AH266" i="25" s="1"/>
  <c r="H311" i="26"/>
  <c r="G1162" i="7"/>
  <c r="H871" i="7"/>
  <c r="I483" i="7"/>
  <c r="H901" i="7"/>
  <c r="G274" i="1"/>
  <c r="H254" i="7"/>
  <c r="H196" i="32" s="1"/>
  <c r="G57" i="5"/>
  <c r="H1141" i="7"/>
  <c r="H174" i="34" s="1"/>
  <c r="G145" i="5"/>
  <c r="G223" i="26"/>
  <c r="G910" i="7"/>
  <c r="G429" i="7"/>
  <c r="G431" i="7"/>
  <c r="G432" i="7"/>
  <c r="G902" i="7"/>
  <c r="H294" i="25"/>
  <c r="H686" i="7" s="1"/>
  <c r="H304" i="25"/>
  <c r="H688" i="7" s="1"/>
  <c r="H257" i="25"/>
  <c r="H275" i="25"/>
  <c r="I275" i="25" s="1"/>
  <c r="J275" i="25" s="1"/>
  <c r="K275" i="25" s="1"/>
  <c r="L275" i="25" s="1"/>
  <c r="M275" i="25" s="1"/>
  <c r="N275" i="25" s="1"/>
  <c r="O275" i="25" s="1"/>
  <c r="P275" i="25" s="1"/>
  <c r="Q275" i="25" s="1"/>
  <c r="R275" i="25" s="1"/>
  <c r="S275" i="25" s="1"/>
  <c r="T275" i="25" s="1"/>
  <c r="U275" i="25" s="1"/>
  <c r="V275" i="25" s="1"/>
  <c r="W275" i="25" s="1"/>
  <c r="X275" i="25" s="1"/>
  <c r="Y275" i="25" s="1"/>
  <c r="Z275" i="25" s="1"/>
  <c r="AA275" i="25" s="1"/>
  <c r="AB275" i="25" s="1"/>
  <c r="AC275" i="25" s="1"/>
  <c r="AD275" i="25" s="1"/>
  <c r="AE275" i="25" s="1"/>
  <c r="AF275" i="25" s="1"/>
  <c r="AG275" i="25" s="1"/>
  <c r="AH275" i="25" s="1"/>
  <c r="H284" i="25"/>
  <c r="I284" i="25" s="1"/>
  <c r="J284" i="25" s="1"/>
  <c r="K284" i="25" s="1"/>
  <c r="L284" i="25" s="1"/>
  <c r="M284" i="25" s="1"/>
  <c r="N284" i="25" s="1"/>
  <c r="O284" i="25" s="1"/>
  <c r="P284" i="25" s="1"/>
  <c r="Q284" i="25" s="1"/>
  <c r="R284" i="25" s="1"/>
  <c r="S284" i="25" s="1"/>
  <c r="T284" i="25" s="1"/>
  <c r="U284" i="25" s="1"/>
  <c r="V284" i="25" s="1"/>
  <c r="W284" i="25" s="1"/>
  <c r="X284" i="25" s="1"/>
  <c r="Y284" i="25" s="1"/>
  <c r="Z284" i="25" s="1"/>
  <c r="AA284" i="25" s="1"/>
  <c r="AB284" i="25" s="1"/>
  <c r="AC284" i="25" s="1"/>
  <c r="AD284" i="25" s="1"/>
  <c r="AE284" i="25" s="1"/>
  <c r="AF284" i="25" s="1"/>
  <c r="AG284" i="25" s="1"/>
  <c r="AH284" i="25" s="1"/>
  <c r="H325" i="25"/>
  <c r="H693" i="7" s="1"/>
  <c r="G346" i="25"/>
  <c r="H343" i="25"/>
  <c r="H696" i="7" s="1"/>
  <c r="G348" i="25"/>
  <c r="G192" i="26"/>
  <c r="G68" i="5"/>
  <c r="G363" i="1"/>
  <c r="G87" i="27"/>
  <c r="G333" i="26"/>
  <c r="G397" i="1"/>
  <c r="G362" i="1"/>
  <c r="G67" i="5"/>
  <c r="J1225" i="7"/>
  <c r="J1164" i="7" s="1"/>
  <c r="H695" i="7" l="1"/>
  <c r="H694" i="7" s="1"/>
  <c r="H666" i="7"/>
  <c r="H665" i="7" s="1"/>
  <c r="H193" i="25" s="1"/>
  <c r="H667" i="7"/>
  <c r="H194" i="25" s="1"/>
  <c r="H664" i="7"/>
  <c r="H192" i="25" s="1"/>
  <c r="H278" i="7"/>
  <c r="H399" i="1" s="1"/>
  <c r="I376" i="1"/>
  <c r="I275" i="7" s="1"/>
  <c r="H275" i="7"/>
  <c r="H397" i="1" s="1"/>
  <c r="I222" i="1"/>
  <c r="I246" i="7" s="1"/>
  <c r="H243" i="1"/>
  <c r="I240" i="1"/>
  <c r="I249" i="7" s="1"/>
  <c r="I245" i="1" s="1"/>
  <c r="H245" i="1"/>
  <c r="G159" i="5"/>
  <c r="H1134" i="7"/>
  <c r="H193" i="26" s="1"/>
  <c r="I171" i="26"/>
  <c r="I1133" i="7" s="1"/>
  <c r="H923" i="7"/>
  <c r="G924" i="7"/>
  <c r="G131" i="2" s="1"/>
  <c r="G104" i="6"/>
  <c r="F119" i="2"/>
  <c r="F122" i="2" s="1"/>
  <c r="F124" i="2" s="1"/>
  <c r="J1227" i="7"/>
  <c r="J1135" i="7" s="1"/>
  <c r="J1226" i="7"/>
  <c r="J1229" i="7"/>
  <c r="J1228" i="7"/>
  <c r="J1395" i="7" s="1"/>
  <c r="J1396" i="7" s="1"/>
  <c r="J1230" i="7"/>
  <c r="J1171" i="7" s="1"/>
  <c r="G81" i="6"/>
  <c r="G287" i="7" s="1"/>
  <c r="G126" i="6"/>
  <c r="G705" i="7" s="1"/>
  <c r="I486" i="7"/>
  <c r="I485" i="7"/>
  <c r="I489" i="7"/>
  <c r="I492" i="7"/>
  <c r="I423" i="7"/>
  <c r="I424" i="7" s="1"/>
  <c r="H1143" i="7"/>
  <c r="H152" i="6" s="1"/>
  <c r="G332" i="26"/>
  <c r="H268" i="7"/>
  <c r="H67" i="5" s="1"/>
  <c r="H1458" i="7"/>
  <c r="H111" i="27" s="1"/>
  <c r="I394" i="1"/>
  <c r="I189" i="26"/>
  <c r="I1136" i="7" s="1"/>
  <c r="I194" i="26" s="1"/>
  <c r="H1431" i="7"/>
  <c r="H1459" i="7" s="1"/>
  <c r="H112" i="27" s="1"/>
  <c r="H458" i="7"/>
  <c r="I180" i="25"/>
  <c r="I308" i="1"/>
  <c r="J308" i="1" s="1"/>
  <c r="I180" i="26"/>
  <c r="I38" i="27"/>
  <c r="I1401" i="7" s="1"/>
  <c r="I51" i="27" s="1"/>
  <c r="I48" i="27"/>
  <c r="I1403" i="7" s="1"/>
  <c r="I52" i="27" s="1"/>
  <c r="I189" i="25"/>
  <c r="H270" i="7"/>
  <c r="H363" i="1" s="1"/>
  <c r="G702" i="7"/>
  <c r="I65" i="27"/>
  <c r="I1423" i="7" s="1"/>
  <c r="H460" i="7"/>
  <c r="I74" i="27"/>
  <c r="I1424" i="7" s="1"/>
  <c r="H459" i="7"/>
  <c r="H454" i="7"/>
  <c r="H456" i="7"/>
  <c r="I83" i="27"/>
  <c r="I1425" i="7" s="1"/>
  <c r="G86" i="27"/>
  <c r="H462" i="7"/>
  <c r="H461" i="7"/>
  <c r="H457" i="7"/>
  <c r="I171" i="25"/>
  <c r="H400" i="7"/>
  <c r="H394" i="7"/>
  <c r="H428" i="7"/>
  <c r="H431" i="7"/>
  <c r="G243" i="1"/>
  <c r="H427" i="7"/>
  <c r="H425" i="7"/>
  <c r="H429" i="7"/>
  <c r="H424" i="7"/>
  <c r="H426" i="7"/>
  <c r="H432" i="7"/>
  <c r="H397" i="7"/>
  <c r="H399" i="7"/>
  <c r="H396" i="7"/>
  <c r="G154" i="5"/>
  <c r="G125" i="6"/>
  <c r="I367" i="7"/>
  <c r="J393" i="7"/>
  <c r="J453" i="7"/>
  <c r="H395" i="7"/>
  <c r="H398" i="7"/>
  <c r="H402" i="7"/>
  <c r="G150" i="5"/>
  <c r="G293" i="26"/>
  <c r="G297" i="26"/>
  <c r="G500" i="7"/>
  <c r="H498" i="7" s="1"/>
  <c r="G26" i="5"/>
  <c r="G21" i="5"/>
  <c r="G917" i="7"/>
  <c r="G1494" i="7" s="1"/>
  <c r="G298" i="26"/>
  <c r="G102" i="5"/>
  <c r="G723" i="7" s="1"/>
  <c r="I673" i="7"/>
  <c r="I674" i="7" s="1"/>
  <c r="I107" i="6" s="1"/>
  <c r="H184" i="33"/>
  <c r="H175" i="34"/>
  <c r="G1197" i="7"/>
  <c r="G163" i="2" s="1"/>
  <c r="G158" i="6" s="1"/>
  <c r="H276" i="1"/>
  <c r="H173" i="10"/>
  <c r="H197" i="32"/>
  <c r="H127" i="6"/>
  <c r="G155" i="5"/>
  <c r="G37" i="6"/>
  <c r="G185" i="10" s="1"/>
  <c r="H1388" i="7"/>
  <c r="G174" i="2"/>
  <c r="I871" i="7"/>
  <c r="I901" i="7"/>
  <c r="G276" i="1"/>
  <c r="G62" i="6"/>
  <c r="G58" i="5"/>
  <c r="H372" i="7"/>
  <c r="H371" i="7"/>
  <c r="H368" i="7"/>
  <c r="H369" i="7"/>
  <c r="H370" i="7"/>
  <c r="G225" i="25"/>
  <c r="H674" i="7"/>
  <c r="H225" i="25" s="1"/>
  <c r="I325" i="25"/>
  <c r="I693" i="7" s="1"/>
  <c r="I1141" i="7"/>
  <c r="I174" i="34" s="1"/>
  <c r="H145" i="5"/>
  <c r="H223" i="26"/>
  <c r="I311" i="26"/>
  <c r="H1162" i="7"/>
  <c r="I243" i="26"/>
  <c r="H1147" i="7"/>
  <c r="H293" i="26" s="1"/>
  <c r="I290" i="26"/>
  <c r="H1157" i="7"/>
  <c r="I329" i="26"/>
  <c r="H1165" i="7"/>
  <c r="G146" i="5"/>
  <c r="G1195" i="7" s="1"/>
  <c r="G151" i="2" s="1"/>
  <c r="G156" i="6" s="1"/>
  <c r="G225" i="26"/>
  <c r="G152" i="6"/>
  <c r="H82" i="6"/>
  <c r="H209" i="32" s="1"/>
  <c r="I255" i="7"/>
  <c r="H275" i="1"/>
  <c r="H277" i="1" s="1"/>
  <c r="I257" i="25"/>
  <c r="H678" i="7"/>
  <c r="H307" i="25" s="1"/>
  <c r="H274" i="1"/>
  <c r="I254" i="7"/>
  <c r="I196" i="32" s="1"/>
  <c r="H57" i="5"/>
  <c r="H906" i="7"/>
  <c r="H909" i="7"/>
  <c r="H905" i="7"/>
  <c r="H910" i="7"/>
  <c r="H902" i="7"/>
  <c r="H908" i="7"/>
  <c r="H907" i="7"/>
  <c r="H904" i="7"/>
  <c r="H903" i="7"/>
  <c r="H876" i="7"/>
  <c r="H879" i="7"/>
  <c r="H875" i="7"/>
  <c r="H872" i="7"/>
  <c r="H877" i="7"/>
  <c r="H878" i="7"/>
  <c r="H880" i="7"/>
  <c r="H873" i="7"/>
  <c r="H874" i="7"/>
  <c r="I334" i="25"/>
  <c r="I280" i="26"/>
  <c r="H1155" i="7"/>
  <c r="H154" i="5" s="1"/>
  <c r="I320" i="26"/>
  <c r="H1163" i="7"/>
  <c r="H172" i="6"/>
  <c r="H1174" i="7" s="1"/>
  <c r="H224" i="26"/>
  <c r="I1142" i="7"/>
  <c r="I304" i="25"/>
  <c r="I294" i="25"/>
  <c r="I686" i="7" s="1"/>
  <c r="I343" i="25"/>
  <c r="I696" i="7" s="1"/>
  <c r="H348" i="25"/>
  <c r="G307" i="25"/>
  <c r="G107" i="5"/>
  <c r="G112" i="5"/>
  <c r="G312" i="25"/>
  <c r="G311" i="25"/>
  <c r="G111" i="5"/>
  <c r="J171" i="26"/>
  <c r="J1133" i="7" s="1"/>
  <c r="H192" i="26"/>
  <c r="H86" i="27"/>
  <c r="H332" i="26"/>
  <c r="H334" i="26"/>
  <c r="H88" i="27"/>
  <c r="J355" i="1"/>
  <c r="I270" i="7"/>
  <c r="J231" i="1"/>
  <c r="J385" i="1"/>
  <c r="J222" i="1"/>
  <c r="J246" i="7" s="1"/>
  <c r="J345" i="1"/>
  <c r="I268" i="7"/>
  <c r="H63" i="5"/>
  <c r="H358" i="1"/>
  <c r="H87" i="27"/>
  <c r="H333" i="26"/>
  <c r="I397" i="7"/>
  <c r="I395" i="7"/>
  <c r="I402" i="7"/>
  <c r="I398" i="7"/>
  <c r="I394" i="7"/>
  <c r="I400" i="7"/>
  <c r="I396" i="7"/>
  <c r="I401" i="7"/>
  <c r="I399" i="7"/>
  <c r="K1225" i="7"/>
  <c r="K1135" i="7" s="1"/>
  <c r="I460" i="7"/>
  <c r="I455" i="7"/>
  <c r="I461" i="7"/>
  <c r="I454" i="7"/>
  <c r="I456" i="7"/>
  <c r="I457" i="7"/>
  <c r="I458" i="7"/>
  <c r="I462" i="7"/>
  <c r="I459" i="7"/>
  <c r="H702" i="7" l="1"/>
  <c r="J240" i="1"/>
  <c r="J249" i="7" s="1"/>
  <c r="J376" i="1"/>
  <c r="J275" i="7" s="1"/>
  <c r="I695" i="7"/>
  <c r="I694" i="7" s="1"/>
  <c r="I666" i="7"/>
  <c r="I665" i="7" s="1"/>
  <c r="I193" i="25" s="1"/>
  <c r="J189" i="25"/>
  <c r="J667" i="7" s="1"/>
  <c r="J194" i="25" s="1"/>
  <c r="I667" i="7"/>
  <c r="I194" i="25" s="1"/>
  <c r="J171" i="25"/>
  <c r="J664" i="7" s="1"/>
  <c r="I664" i="7"/>
  <c r="J394" i="1"/>
  <c r="J278" i="7" s="1"/>
  <c r="J399" i="1" s="1"/>
  <c r="I278" i="7"/>
  <c r="I399" i="1" s="1"/>
  <c r="I1458" i="7"/>
  <c r="I111" i="27" s="1"/>
  <c r="H159" i="5"/>
  <c r="I1134" i="7"/>
  <c r="I193" i="26" s="1"/>
  <c r="K1394" i="7"/>
  <c r="J176" i="2"/>
  <c r="I426" i="7"/>
  <c r="I81" i="6" s="1"/>
  <c r="I923" i="7"/>
  <c r="H104" i="6"/>
  <c r="H922" i="7"/>
  <c r="H924" i="7" s="1"/>
  <c r="H131" i="2" s="1"/>
  <c r="I427" i="7"/>
  <c r="I429" i="7"/>
  <c r="H116" i="5"/>
  <c r="G116" i="5"/>
  <c r="G725" i="7"/>
  <c r="G118" i="2" s="1"/>
  <c r="G113" i="6" s="1"/>
  <c r="H347" i="25"/>
  <c r="G347" i="25"/>
  <c r="I432" i="7"/>
  <c r="I425" i="7"/>
  <c r="I428" i="7"/>
  <c r="I431" i="7"/>
  <c r="I430" i="7"/>
  <c r="J170" i="6"/>
  <c r="J186" i="34" s="1"/>
  <c r="I164" i="2"/>
  <c r="I167" i="2" s="1"/>
  <c r="I169" i="2" s="1"/>
  <c r="K1227" i="7"/>
  <c r="K1164" i="7" s="1"/>
  <c r="K1226" i="7"/>
  <c r="K1228" i="7"/>
  <c r="K1395" i="7" s="1"/>
  <c r="K1229" i="7"/>
  <c r="K1230" i="7"/>
  <c r="K1171" i="7" s="1"/>
  <c r="J483" i="7"/>
  <c r="J485" i="7" s="1"/>
  <c r="J769" i="7"/>
  <c r="G36" i="6"/>
  <c r="G1441" i="7" s="1"/>
  <c r="J423" i="7"/>
  <c r="J431" i="7" s="1"/>
  <c r="J180" i="25"/>
  <c r="H362" i="1"/>
  <c r="I256" i="7"/>
  <c r="I58" i="5" s="1"/>
  <c r="H81" i="6"/>
  <c r="H287" i="7" s="1"/>
  <c r="I175" i="34"/>
  <c r="I1143" i="7"/>
  <c r="G195" i="33"/>
  <c r="J180" i="26"/>
  <c r="I260" i="7"/>
  <c r="I63" i="5" s="1"/>
  <c r="J189" i="26"/>
  <c r="J1136" i="7" s="1"/>
  <c r="J194" i="26" s="1"/>
  <c r="H68" i="5"/>
  <c r="I1431" i="7"/>
  <c r="I1459" i="7" s="1"/>
  <c r="I112" i="27" s="1"/>
  <c r="J38" i="27"/>
  <c r="J1401" i="7" s="1"/>
  <c r="J51" i="27" s="1"/>
  <c r="J65" i="27"/>
  <c r="J1423" i="7" s="1"/>
  <c r="J48" i="27"/>
  <c r="J1403" i="7" s="1"/>
  <c r="J52" i="27" s="1"/>
  <c r="H1417" i="7"/>
  <c r="H26" i="5" s="1"/>
  <c r="J74" i="27"/>
  <c r="J1424" i="7" s="1"/>
  <c r="J83" i="27"/>
  <c r="J1425" i="7" s="1"/>
  <c r="G918" i="7"/>
  <c r="G129" i="2" s="1"/>
  <c r="G84" i="2"/>
  <c r="J367" i="7"/>
  <c r="K393" i="7"/>
  <c r="K453" i="7"/>
  <c r="I224" i="25"/>
  <c r="I226" i="25" s="1"/>
  <c r="G374" i="26"/>
  <c r="H102" i="5"/>
  <c r="H723" i="7" s="1"/>
  <c r="H106" i="2" s="1"/>
  <c r="H917" i="7"/>
  <c r="H107" i="6"/>
  <c r="H1415" i="7"/>
  <c r="H25" i="5" s="1"/>
  <c r="H1407" i="7"/>
  <c r="H21" i="5" s="1"/>
  <c r="I127" i="6"/>
  <c r="G16" i="5"/>
  <c r="H62" i="6"/>
  <c r="H58" i="5"/>
  <c r="H150" i="5"/>
  <c r="H499" i="7"/>
  <c r="I173" i="10"/>
  <c r="I197" i="32"/>
  <c r="G376" i="26"/>
  <c r="H1389" i="7"/>
  <c r="H1390" i="7" s="1"/>
  <c r="I1388" i="7" s="1"/>
  <c r="H225" i="26"/>
  <c r="J673" i="7"/>
  <c r="J127" i="6" s="1"/>
  <c r="I184" i="33"/>
  <c r="H146" i="5"/>
  <c r="H1195" i="7" s="1"/>
  <c r="H374" i="26" s="1"/>
  <c r="H725" i="7"/>
  <c r="H390" i="25" s="1"/>
  <c r="H346" i="25"/>
  <c r="H107" i="5"/>
  <c r="H155" i="5"/>
  <c r="G17" i="6"/>
  <c r="H298" i="26"/>
  <c r="J304" i="25"/>
  <c r="I688" i="7"/>
  <c r="I312" i="25" s="1"/>
  <c r="I224" i="26"/>
  <c r="J1142" i="7"/>
  <c r="I172" i="6"/>
  <c r="I1174" i="7" s="1"/>
  <c r="J280" i="26"/>
  <c r="I1155" i="7"/>
  <c r="I1415" i="7" s="1"/>
  <c r="J311" i="26"/>
  <c r="I1162" i="7"/>
  <c r="I372" i="7"/>
  <c r="I368" i="7"/>
  <c r="I370" i="7"/>
  <c r="I371" i="7"/>
  <c r="I369" i="7"/>
  <c r="I876" i="7"/>
  <c r="I874" i="7"/>
  <c r="I879" i="7"/>
  <c r="I878" i="7"/>
  <c r="I880" i="7"/>
  <c r="I877" i="7"/>
  <c r="I875" i="7"/>
  <c r="I872" i="7"/>
  <c r="I873" i="7"/>
  <c r="H1197" i="7"/>
  <c r="H163" i="2" s="1"/>
  <c r="H158" i="6" s="1"/>
  <c r="J871" i="7"/>
  <c r="J901" i="7"/>
  <c r="J320" i="26"/>
  <c r="I1163" i="7"/>
  <c r="J334" i="25"/>
  <c r="G119" i="2"/>
  <c r="G122" i="2" s="1"/>
  <c r="G124" i="2" s="1"/>
  <c r="H125" i="6"/>
  <c r="I82" i="6"/>
  <c r="I209" i="32" s="1"/>
  <c r="J255" i="7"/>
  <c r="J256" i="7" s="1"/>
  <c r="I275" i="1"/>
  <c r="I277" i="1" s="1"/>
  <c r="I906" i="7"/>
  <c r="I905" i="7"/>
  <c r="I910" i="7"/>
  <c r="I909" i="7"/>
  <c r="I908" i="7"/>
  <c r="I907" i="7"/>
  <c r="I903" i="7"/>
  <c r="I904" i="7"/>
  <c r="I902" i="7"/>
  <c r="H297" i="26"/>
  <c r="H37" i="6"/>
  <c r="H185" i="10" s="1"/>
  <c r="J290" i="26"/>
  <c r="I1157" i="7"/>
  <c r="I298" i="26" s="1"/>
  <c r="I274" i="1"/>
  <c r="I57" i="5"/>
  <c r="J254" i="7"/>
  <c r="J257" i="25"/>
  <c r="I678" i="7"/>
  <c r="I307" i="25" s="1"/>
  <c r="J329" i="26"/>
  <c r="I1165" i="7"/>
  <c r="J243" i="26"/>
  <c r="I1147" i="7"/>
  <c r="I150" i="5" s="1"/>
  <c r="J1141" i="7"/>
  <c r="I223" i="26"/>
  <c r="I145" i="5"/>
  <c r="J325" i="25"/>
  <c r="J693" i="7" s="1"/>
  <c r="I346" i="25"/>
  <c r="H126" i="6"/>
  <c r="H111" i="5"/>
  <c r="H311" i="25"/>
  <c r="H312" i="25"/>
  <c r="H112" i="5"/>
  <c r="J343" i="25"/>
  <c r="J696" i="7" s="1"/>
  <c r="I348" i="25"/>
  <c r="J294" i="25"/>
  <c r="J686" i="7" s="1"/>
  <c r="I225" i="25"/>
  <c r="I102" i="5"/>
  <c r="I917" i="7"/>
  <c r="I192" i="26"/>
  <c r="K171" i="26"/>
  <c r="K1133" i="7" s="1"/>
  <c r="G106" i="2"/>
  <c r="G111" i="6" s="1"/>
  <c r="G388" i="25"/>
  <c r="I67" i="5"/>
  <c r="I362" i="1"/>
  <c r="I86" i="27"/>
  <c r="I332" i="26"/>
  <c r="K308" i="1"/>
  <c r="J260" i="7"/>
  <c r="K355" i="1"/>
  <c r="J270" i="7"/>
  <c r="K222" i="1"/>
  <c r="K246" i="7" s="1"/>
  <c r="K385" i="1"/>
  <c r="K231" i="1"/>
  <c r="I68" i="5"/>
  <c r="I363" i="1"/>
  <c r="I397" i="1"/>
  <c r="I334" i="26"/>
  <c r="I88" i="27"/>
  <c r="I243" i="1"/>
  <c r="K240" i="1"/>
  <c r="K249" i="7" s="1"/>
  <c r="J245" i="1"/>
  <c r="K345" i="1"/>
  <c r="J268" i="7"/>
  <c r="I87" i="27"/>
  <c r="I333" i="26"/>
  <c r="L1225" i="7"/>
  <c r="L1164" i="7" s="1"/>
  <c r="J396" i="7"/>
  <c r="J402" i="7"/>
  <c r="J398" i="7"/>
  <c r="J394" i="7"/>
  <c r="J400" i="7"/>
  <c r="J401" i="7"/>
  <c r="J399" i="7"/>
  <c r="J397" i="7"/>
  <c r="J395" i="7"/>
  <c r="J456" i="7"/>
  <c r="J458" i="7"/>
  <c r="J455" i="7"/>
  <c r="J457" i="7"/>
  <c r="J454" i="7"/>
  <c r="J462" i="7"/>
  <c r="J460" i="7"/>
  <c r="J461" i="7"/>
  <c r="J459" i="7"/>
  <c r="K171" i="25" l="1"/>
  <c r="K664" i="7" s="1"/>
  <c r="K192" i="25" s="1"/>
  <c r="K189" i="25"/>
  <c r="K667" i="7" s="1"/>
  <c r="K194" i="25" s="1"/>
  <c r="K376" i="1"/>
  <c r="K275" i="7" s="1"/>
  <c r="J695" i="7"/>
  <c r="J694" i="7" s="1"/>
  <c r="K394" i="1"/>
  <c r="K278" i="7" s="1"/>
  <c r="K399" i="1" s="1"/>
  <c r="I159" i="5"/>
  <c r="J1134" i="7"/>
  <c r="J193" i="26" s="1"/>
  <c r="J149" i="6"/>
  <c r="K149" i="6"/>
  <c r="K1396" i="7"/>
  <c r="I104" i="6"/>
  <c r="I347" i="25"/>
  <c r="I922" i="7"/>
  <c r="I924" i="7" s="1"/>
  <c r="I131" i="2" s="1"/>
  <c r="I192" i="25"/>
  <c r="G390" i="25"/>
  <c r="J489" i="7"/>
  <c r="J492" i="7"/>
  <c r="J486" i="7"/>
  <c r="K483" i="7"/>
  <c r="K486" i="7" s="1"/>
  <c r="K769" i="7"/>
  <c r="J771" i="7"/>
  <c r="J666" i="7" s="1"/>
  <c r="J665" i="7" s="1"/>
  <c r="J770" i="7"/>
  <c r="J773" i="7"/>
  <c r="J772" i="7"/>
  <c r="J923" i="7" s="1"/>
  <c r="J774" i="7"/>
  <c r="L1227" i="7"/>
  <c r="L1135" i="7" s="1"/>
  <c r="L1226" i="7"/>
  <c r="L1228" i="7"/>
  <c r="L1395" i="7" s="1"/>
  <c r="L1229" i="7"/>
  <c r="L1230" i="7"/>
  <c r="L1171" i="7" s="1"/>
  <c r="K170" i="6"/>
  <c r="K186" i="34" s="1"/>
  <c r="J164" i="2"/>
  <c r="J167" i="2" s="1"/>
  <c r="J169" i="2" s="1"/>
  <c r="J432" i="7"/>
  <c r="J428" i="7"/>
  <c r="J429" i="7"/>
  <c r="J424" i="7"/>
  <c r="J426" i="7"/>
  <c r="J430" i="7"/>
  <c r="J425" i="7"/>
  <c r="J427" i="7"/>
  <c r="K180" i="25"/>
  <c r="K180" i="26"/>
  <c r="K1134" i="7" s="1"/>
  <c r="K423" i="7"/>
  <c r="K425" i="7" s="1"/>
  <c r="I62" i="6"/>
  <c r="I276" i="1"/>
  <c r="I499" i="7"/>
  <c r="K189" i="26"/>
  <c r="K1136" i="7" s="1"/>
  <c r="K194" i="26" s="1"/>
  <c r="J1143" i="7"/>
  <c r="J1389" i="7" s="1"/>
  <c r="I358" i="1"/>
  <c r="H111" i="6"/>
  <c r="K83" i="27"/>
  <c r="K1425" i="7" s="1"/>
  <c r="J1458" i="7"/>
  <c r="J111" i="27" s="1"/>
  <c r="K38" i="27"/>
  <c r="K1401" i="7" s="1"/>
  <c r="K51" i="27" s="1"/>
  <c r="J1431" i="7"/>
  <c r="J1459" i="7" s="1"/>
  <c r="J112" i="27" s="1"/>
  <c r="K74" i="27"/>
  <c r="K1424" i="7" s="1"/>
  <c r="K48" i="27"/>
  <c r="K1403" i="7" s="1"/>
  <c r="K52" i="27" s="1"/>
  <c r="K65" i="27"/>
  <c r="K1423" i="7" s="1"/>
  <c r="H916" i="7"/>
  <c r="H1493" i="7" s="1"/>
  <c r="G1495" i="7"/>
  <c r="G39" i="2" s="1"/>
  <c r="H174" i="2"/>
  <c r="L393" i="7"/>
  <c r="L453" i="7"/>
  <c r="K367" i="7"/>
  <c r="H17" i="6"/>
  <c r="H195" i="33"/>
  <c r="H151" i="2"/>
  <c r="H156" i="6" s="1"/>
  <c r="H388" i="25"/>
  <c r="I1417" i="7"/>
  <c r="I26" i="5" s="1"/>
  <c r="I1407" i="7"/>
  <c r="I21" i="5" s="1"/>
  <c r="H1494" i="7"/>
  <c r="I25" i="5"/>
  <c r="I1197" i="7"/>
  <c r="I376" i="26" s="1"/>
  <c r="I37" i="6"/>
  <c r="I185" i="10" s="1"/>
  <c r="H16" i="5"/>
  <c r="H500" i="7"/>
  <c r="H376" i="26"/>
  <c r="J224" i="25"/>
  <c r="J226" i="25" s="1"/>
  <c r="H118" i="2"/>
  <c r="H113" i="6" s="1"/>
  <c r="J184" i="33"/>
  <c r="I154" i="5"/>
  <c r="K673" i="7"/>
  <c r="K674" i="7" s="1"/>
  <c r="J674" i="7"/>
  <c r="J917" i="7" s="1"/>
  <c r="I155" i="5"/>
  <c r="I702" i="7"/>
  <c r="H705" i="7"/>
  <c r="K290" i="26"/>
  <c r="J1157" i="7"/>
  <c r="J298" i="26" s="1"/>
  <c r="K243" i="26"/>
  <c r="J1147" i="7"/>
  <c r="J293" i="26" s="1"/>
  <c r="K257" i="25"/>
  <c r="J678" i="7"/>
  <c r="J107" i="5" s="1"/>
  <c r="J82" i="6"/>
  <c r="J209" i="32" s="1"/>
  <c r="J275" i="1"/>
  <c r="J277" i="1" s="1"/>
  <c r="J197" i="32"/>
  <c r="K255" i="7"/>
  <c r="J499" i="7"/>
  <c r="K871" i="7"/>
  <c r="K901" i="7"/>
  <c r="K280" i="26"/>
  <c r="J1155" i="7"/>
  <c r="J154" i="5" s="1"/>
  <c r="K304" i="25"/>
  <c r="J688" i="7"/>
  <c r="H36" i="6"/>
  <c r="I293" i="26"/>
  <c r="I107" i="5"/>
  <c r="I125" i="6"/>
  <c r="H119" i="2"/>
  <c r="H122" i="2" s="1"/>
  <c r="H124" i="2" s="1"/>
  <c r="J224" i="26"/>
  <c r="K1142" i="7"/>
  <c r="J172" i="6"/>
  <c r="J1174" i="7" s="1"/>
  <c r="J175" i="34"/>
  <c r="K329" i="26"/>
  <c r="J1165" i="7"/>
  <c r="J62" i="6"/>
  <c r="J58" i="5"/>
  <c r="J276" i="1"/>
  <c r="J372" i="7"/>
  <c r="J368" i="7"/>
  <c r="J371" i="7"/>
  <c r="J370" i="7"/>
  <c r="J369" i="7"/>
  <c r="J873" i="7"/>
  <c r="J875" i="7"/>
  <c r="J877" i="7"/>
  <c r="J879" i="7"/>
  <c r="J878" i="7"/>
  <c r="J874" i="7"/>
  <c r="J876" i="7"/>
  <c r="J880" i="7"/>
  <c r="J872" i="7"/>
  <c r="I297" i="26"/>
  <c r="I112" i="5"/>
  <c r="J173" i="10"/>
  <c r="I126" i="6"/>
  <c r="K334" i="25"/>
  <c r="K325" i="25"/>
  <c r="K693" i="7" s="1"/>
  <c r="J346" i="25"/>
  <c r="K1141" i="7"/>
  <c r="J174" i="34"/>
  <c r="J145" i="5"/>
  <c r="J223" i="26"/>
  <c r="J274" i="1"/>
  <c r="K254" i="7"/>
  <c r="J196" i="32"/>
  <c r="J57" i="5"/>
  <c r="K320" i="26"/>
  <c r="J1163" i="7"/>
  <c r="J906" i="7"/>
  <c r="J908" i="7"/>
  <c r="J910" i="7"/>
  <c r="J909" i="7"/>
  <c r="J902" i="7"/>
  <c r="J904" i="7"/>
  <c r="J905" i="7"/>
  <c r="J903" i="7"/>
  <c r="J907" i="7"/>
  <c r="K311" i="26"/>
  <c r="J1162" i="7"/>
  <c r="I146" i="5"/>
  <c r="I1195" i="7" s="1"/>
  <c r="I374" i="26" s="1"/>
  <c r="I152" i="6"/>
  <c r="I225" i="26"/>
  <c r="I1389" i="7"/>
  <c r="I1390" i="7" s="1"/>
  <c r="K294" i="25"/>
  <c r="K686" i="7" s="1"/>
  <c r="K343" i="25"/>
  <c r="K696" i="7" s="1"/>
  <c r="I111" i="5"/>
  <c r="I311" i="25"/>
  <c r="I723" i="7"/>
  <c r="I388" i="25" s="1"/>
  <c r="J192" i="25"/>
  <c r="L171" i="25"/>
  <c r="L664" i="7" s="1"/>
  <c r="L171" i="26"/>
  <c r="L1133" i="7" s="1"/>
  <c r="J192" i="26"/>
  <c r="J86" i="27"/>
  <c r="J332" i="26"/>
  <c r="J87" i="27"/>
  <c r="J333" i="26"/>
  <c r="I287" i="7"/>
  <c r="L231" i="1"/>
  <c r="J88" i="27"/>
  <c r="J334" i="26"/>
  <c r="J68" i="5"/>
  <c r="J363" i="1"/>
  <c r="L345" i="1"/>
  <c r="K268" i="7"/>
  <c r="L222" i="1"/>
  <c r="L246" i="7" s="1"/>
  <c r="J67" i="5"/>
  <c r="J362" i="1"/>
  <c r="L240" i="1"/>
  <c r="L249" i="7" s="1"/>
  <c r="K245" i="1"/>
  <c r="J243" i="1"/>
  <c r="J397" i="1"/>
  <c r="L308" i="1"/>
  <c r="K260" i="7"/>
  <c r="L385" i="1"/>
  <c r="L355" i="1"/>
  <c r="K270" i="7"/>
  <c r="J63" i="5"/>
  <c r="J358" i="1"/>
  <c r="K402" i="7"/>
  <c r="K398" i="7"/>
  <c r="K394" i="7"/>
  <c r="K396" i="7"/>
  <c r="K400" i="7"/>
  <c r="K401" i="7"/>
  <c r="K399" i="7"/>
  <c r="K397" i="7"/>
  <c r="K395" i="7"/>
  <c r="K461" i="7"/>
  <c r="K455" i="7"/>
  <c r="K458" i="7"/>
  <c r="K454" i="7"/>
  <c r="K456" i="7"/>
  <c r="K462" i="7"/>
  <c r="K457" i="7"/>
  <c r="K460" i="7"/>
  <c r="K459" i="7"/>
  <c r="M1225" i="7"/>
  <c r="M1135" i="7" s="1"/>
  <c r="L376" i="1" l="1"/>
  <c r="L275" i="7" s="1"/>
  <c r="L189" i="25"/>
  <c r="L667" i="7" s="1"/>
  <c r="L194" i="25" s="1"/>
  <c r="K666" i="7"/>
  <c r="K665" i="7" s="1"/>
  <c r="L394" i="1"/>
  <c r="L278" i="7" s="1"/>
  <c r="L399" i="1" s="1"/>
  <c r="J159" i="5"/>
  <c r="K193" i="26"/>
  <c r="K1458" i="7"/>
  <c r="K111" i="27" s="1"/>
  <c r="L149" i="6"/>
  <c r="L1394" i="7"/>
  <c r="L1396" i="7" s="1"/>
  <c r="K176" i="2"/>
  <c r="I116" i="5"/>
  <c r="I725" i="7"/>
  <c r="I118" i="2" s="1"/>
  <c r="I113" i="6" s="1"/>
  <c r="J193" i="25"/>
  <c r="J922" i="7"/>
  <c r="J924" i="7" s="1"/>
  <c r="J131" i="2" s="1"/>
  <c r="K424" i="7"/>
  <c r="J347" i="25"/>
  <c r="J81" i="6"/>
  <c r="J287" i="7" s="1"/>
  <c r="K485" i="7"/>
  <c r="K492" i="7"/>
  <c r="K489" i="7"/>
  <c r="M1227" i="7"/>
  <c r="M1164" i="7" s="1"/>
  <c r="M1226" i="7"/>
  <c r="M1228" i="7"/>
  <c r="M1395" i="7" s="1"/>
  <c r="M1229" i="7"/>
  <c r="M1230" i="7"/>
  <c r="M1171" i="7" s="1"/>
  <c r="L483" i="7"/>
  <c r="L485" i="7" s="1"/>
  <c r="L769" i="7"/>
  <c r="K771" i="7"/>
  <c r="K770" i="7"/>
  <c r="K772" i="7"/>
  <c r="K923" i="7" s="1"/>
  <c r="K773" i="7"/>
  <c r="K774" i="7"/>
  <c r="L170" i="6"/>
  <c r="L186" i="34" s="1"/>
  <c r="K164" i="2"/>
  <c r="K167" i="2" s="1"/>
  <c r="K169" i="2" s="1"/>
  <c r="K427" i="7"/>
  <c r="L189" i="26"/>
  <c r="L1136" i="7" s="1"/>
  <c r="L194" i="26" s="1"/>
  <c r="K1431" i="7"/>
  <c r="K1459" i="7" s="1"/>
  <c r="K112" i="27" s="1"/>
  <c r="K430" i="7"/>
  <c r="K431" i="7"/>
  <c r="K429" i="7"/>
  <c r="K426" i="7"/>
  <c r="K81" i="6" s="1"/>
  <c r="K428" i="7"/>
  <c r="K432" i="7"/>
  <c r="L180" i="26"/>
  <c r="L180" i="25"/>
  <c r="L423" i="7"/>
  <c r="L431" i="7" s="1"/>
  <c r="I17" i="6"/>
  <c r="K256" i="7"/>
  <c r="K499" i="7" s="1"/>
  <c r="K1143" i="7"/>
  <c r="K1389" i="7" s="1"/>
  <c r="J155" i="5"/>
  <c r="L74" i="27"/>
  <c r="L1424" i="7" s="1"/>
  <c r="L38" i="27"/>
  <c r="L1401" i="7" s="1"/>
  <c r="L51" i="27" s="1"/>
  <c r="L83" i="27"/>
  <c r="L1425" i="7" s="1"/>
  <c r="L48" i="27"/>
  <c r="L1403" i="7" s="1"/>
  <c r="L65" i="27"/>
  <c r="L1423" i="7" s="1"/>
  <c r="H918" i="7"/>
  <c r="I916" i="7" s="1"/>
  <c r="I918" i="7" s="1"/>
  <c r="I129" i="2" s="1"/>
  <c r="J307" i="25"/>
  <c r="L367" i="7"/>
  <c r="J297" i="26"/>
  <c r="M453" i="7"/>
  <c r="M393" i="7"/>
  <c r="I163" i="2"/>
  <c r="I158" i="6" s="1"/>
  <c r="J1407" i="7"/>
  <c r="J21" i="5" s="1"/>
  <c r="J1417" i="7"/>
  <c r="J26" i="5" s="1"/>
  <c r="J1494" i="7"/>
  <c r="J1415" i="7"/>
  <c r="J25" i="5" s="1"/>
  <c r="H1441" i="7"/>
  <c r="I1494" i="7"/>
  <c r="K224" i="25"/>
  <c r="K226" i="25" s="1"/>
  <c r="J150" i="5"/>
  <c r="K173" i="10"/>
  <c r="K184" i="33"/>
  <c r="K127" i="6"/>
  <c r="I498" i="7"/>
  <c r="H84" i="2"/>
  <c r="K107" i="6"/>
  <c r="K917" i="7"/>
  <c r="K102" i="5"/>
  <c r="K225" i="25"/>
  <c r="J107" i="6"/>
  <c r="I36" i="6"/>
  <c r="I195" i="33"/>
  <c r="L673" i="7"/>
  <c r="L224" i="25" s="1"/>
  <c r="L226" i="25" s="1"/>
  <c r="J102" i="5"/>
  <c r="J225" i="25"/>
  <c r="J37" i="6"/>
  <c r="J185" i="10" s="1"/>
  <c r="I151" i="2"/>
  <c r="I156" i="6" s="1"/>
  <c r="I16" i="5"/>
  <c r="J702" i="7"/>
  <c r="J1197" i="7"/>
  <c r="J163" i="2" s="1"/>
  <c r="K274" i="1"/>
  <c r="K57" i="5"/>
  <c r="L254" i="7"/>
  <c r="K196" i="32"/>
  <c r="L257" i="25"/>
  <c r="K678" i="7"/>
  <c r="L290" i="26"/>
  <c r="K1157" i="7"/>
  <c r="K298" i="26" s="1"/>
  <c r="L320" i="26"/>
  <c r="K1163" i="7"/>
  <c r="L1141" i="7"/>
  <c r="K223" i="26"/>
  <c r="K174" i="34"/>
  <c r="K145" i="5"/>
  <c r="L334" i="25"/>
  <c r="I705" i="7"/>
  <c r="L329" i="26"/>
  <c r="K1165" i="7"/>
  <c r="L304" i="25"/>
  <c r="K688" i="7"/>
  <c r="K371" i="7"/>
  <c r="K368" i="7"/>
  <c r="K372" i="7"/>
  <c r="K370" i="7"/>
  <c r="K369" i="7"/>
  <c r="K876" i="7"/>
  <c r="K879" i="7"/>
  <c r="K878" i="7"/>
  <c r="K880" i="7"/>
  <c r="K872" i="7"/>
  <c r="K873" i="7"/>
  <c r="K874" i="7"/>
  <c r="K877" i="7"/>
  <c r="K875" i="7"/>
  <c r="L325" i="25"/>
  <c r="L693" i="7" s="1"/>
  <c r="K346" i="25"/>
  <c r="J146" i="5"/>
  <c r="J1195" i="7" s="1"/>
  <c r="J374" i="26" s="1"/>
  <c r="J152" i="6"/>
  <c r="J225" i="26"/>
  <c r="J125" i="6"/>
  <c r="I119" i="2"/>
  <c r="I122" i="2" s="1"/>
  <c r="I124" i="2" s="1"/>
  <c r="K224" i="26"/>
  <c r="K175" i="34"/>
  <c r="K172" i="6"/>
  <c r="K1174" i="7" s="1"/>
  <c r="L1142" i="7"/>
  <c r="L1143" i="7" s="1"/>
  <c r="L280" i="26"/>
  <c r="K1155" i="7"/>
  <c r="K154" i="5" s="1"/>
  <c r="K906" i="7"/>
  <c r="K909" i="7"/>
  <c r="K905" i="7"/>
  <c r="K903" i="7"/>
  <c r="K907" i="7"/>
  <c r="K902" i="7"/>
  <c r="K910" i="7"/>
  <c r="K908" i="7"/>
  <c r="K904" i="7"/>
  <c r="K82" i="6"/>
  <c r="K209" i="32" s="1"/>
  <c r="L255" i="7"/>
  <c r="L256" i="7" s="1"/>
  <c r="K275" i="1"/>
  <c r="K277" i="1" s="1"/>
  <c r="K197" i="32"/>
  <c r="J1388" i="7"/>
  <c r="J1390" i="7" s="1"/>
  <c r="I174" i="2"/>
  <c r="J312" i="25"/>
  <c r="J112" i="5"/>
  <c r="L311" i="26"/>
  <c r="K1162" i="7"/>
  <c r="L871" i="7"/>
  <c r="L901" i="7"/>
  <c r="L243" i="26"/>
  <c r="K1147" i="7"/>
  <c r="K150" i="5" s="1"/>
  <c r="J126" i="6"/>
  <c r="J348" i="25"/>
  <c r="J311" i="25"/>
  <c r="J111" i="5"/>
  <c r="L343" i="25"/>
  <c r="L696" i="7" s="1"/>
  <c r="L294" i="25"/>
  <c r="L686" i="7" s="1"/>
  <c r="I106" i="2"/>
  <c r="I111" i="6" s="1"/>
  <c r="L192" i="25"/>
  <c r="M171" i="25"/>
  <c r="M664" i="7" s="1"/>
  <c r="M171" i="26"/>
  <c r="M1133" i="7" s="1"/>
  <c r="K192" i="26"/>
  <c r="K68" i="5"/>
  <c r="K363" i="1"/>
  <c r="K87" i="27"/>
  <c r="K333" i="26"/>
  <c r="K397" i="1"/>
  <c r="K86" i="27"/>
  <c r="K332" i="26"/>
  <c r="M240" i="1"/>
  <c r="M249" i="7" s="1"/>
  <c r="L245" i="1"/>
  <c r="M222" i="1"/>
  <c r="M246" i="7" s="1"/>
  <c r="M394" i="1"/>
  <c r="M278" i="7" s="1"/>
  <c r="K88" i="27"/>
  <c r="K334" i="26"/>
  <c r="M308" i="1"/>
  <c r="L260" i="7"/>
  <c r="K243" i="1"/>
  <c r="M345" i="1"/>
  <c r="L268" i="7"/>
  <c r="M231" i="1"/>
  <c r="M355" i="1"/>
  <c r="L270" i="7"/>
  <c r="M385" i="1"/>
  <c r="K358" i="1"/>
  <c r="K63" i="5"/>
  <c r="K67" i="5"/>
  <c r="K362" i="1"/>
  <c r="N1225" i="7"/>
  <c r="L456" i="7"/>
  <c r="L458" i="7"/>
  <c r="L455" i="7"/>
  <c r="L461" i="7"/>
  <c r="L454" i="7"/>
  <c r="L462" i="7"/>
  <c r="L460" i="7"/>
  <c r="L457" i="7"/>
  <c r="L459" i="7"/>
  <c r="L401" i="7"/>
  <c r="L399" i="7"/>
  <c r="L397" i="7"/>
  <c r="L395" i="7"/>
  <c r="L396" i="7"/>
  <c r="L402" i="7"/>
  <c r="L398" i="7"/>
  <c r="L394" i="7"/>
  <c r="L400" i="7"/>
  <c r="M376" i="1" l="1"/>
  <c r="M275" i="7" s="1"/>
  <c r="K159" i="5"/>
  <c r="M189" i="25"/>
  <c r="M667" i="7" s="1"/>
  <c r="M194" i="25" s="1"/>
  <c r="N1164" i="7"/>
  <c r="N1135" i="7"/>
  <c r="L695" i="7"/>
  <c r="L694" i="7" s="1"/>
  <c r="K193" i="25"/>
  <c r="K695" i="7"/>
  <c r="K694" i="7" s="1"/>
  <c r="L1134" i="7"/>
  <c r="L193" i="26" s="1"/>
  <c r="M149" i="6"/>
  <c r="N1395" i="7"/>
  <c r="M1394" i="7"/>
  <c r="M1396" i="7" s="1"/>
  <c r="L176" i="2"/>
  <c r="J725" i="7"/>
  <c r="J118" i="2" s="1"/>
  <c r="J113" i="6" s="1"/>
  <c r="K723" i="7"/>
  <c r="K106" i="2" s="1"/>
  <c r="I390" i="25"/>
  <c r="K922" i="7"/>
  <c r="K924" i="7" s="1"/>
  <c r="K131" i="2" s="1"/>
  <c r="J116" i="5"/>
  <c r="J104" i="6"/>
  <c r="L425" i="7"/>
  <c r="L492" i="7"/>
  <c r="L486" i="7"/>
  <c r="M170" i="6"/>
  <c r="M186" i="34" s="1"/>
  <c r="L164" i="2"/>
  <c r="L167" i="2" s="1"/>
  <c r="L169" i="2" s="1"/>
  <c r="L488" i="7"/>
  <c r="K488" i="7" s="1"/>
  <c r="J488" i="7" s="1"/>
  <c r="I488" i="7" s="1"/>
  <c r="H488" i="7" s="1"/>
  <c r="G488" i="7" s="1"/>
  <c r="L489" i="7"/>
  <c r="L771" i="7"/>
  <c r="L666" i="7" s="1"/>
  <c r="L665" i="7" s="1"/>
  <c r="L770" i="7"/>
  <c r="L772" i="7"/>
  <c r="L923" i="7" s="1"/>
  <c r="L773" i="7"/>
  <c r="L774" i="7"/>
  <c r="N1227" i="7"/>
  <c r="N1226" i="7"/>
  <c r="N1228" i="7"/>
  <c r="N1229" i="7"/>
  <c r="N1230" i="7"/>
  <c r="N1171" i="7" s="1"/>
  <c r="M483" i="7"/>
  <c r="M485" i="7" s="1"/>
  <c r="M769" i="7"/>
  <c r="L490" i="7"/>
  <c r="K490" i="7" s="1"/>
  <c r="J490" i="7" s="1"/>
  <c r="I490" i="7" s="1"/>
  <c r="H490" i="7" s="1"/>
  <c r="G490" i="7" s="1"/>
  <c r="L491" i="7"/>
  <c r="K491" i="7" s="1"/>
  <c r="J491" i="7" s="1"/>
  <c r="I491" i="7" s="1"/>
  <c r="H491" i="7" s="1"/>
  <c r="G491" i="7" s="1"/>
  <c r="M74" i="27"/>
  <c r="M1424" i="7" s="1"/>
  <c r="M189" i="26"/>
  <c r="M1136" i="7" s="1"/>
  <c r="M194" i="26" s="1"/>
  <c r="L1431" i="7"/>
  <c r="L1459" i="7" s="1"/>
  <c r="L112" i="27" s="1"/>
  <c r="L427" i="7"/>
  <c r="L429" i="7"/>
  <c r="L426" i="7"/>
  <c r="L424" i="7"/>
  <c r="L1458" i="7"/>
  <c r="L111" i="27" s="1"/>
  <c r="M83" i="27"/>
  <c r="M1425" i="7" s="1"/>
  <c r="M180" i="26"/>
  <c r="M180" i="25"/>
  <c r="L430" i="7"/>
  <c r="L432" i="7"/>
  <c r="L428" i="7"/>
  <c r="M38" i="27"/>
  <c r="M1401" i="7" s="1"/>
  <c r="M51" i="27" s="1"/>
  <c r="M423" i="7"/>
  <c r="M427" i="7" s="1"/>
  <c r="M65" i="27"/>
  <c r="M1423" i="7" s="1"/>
  <c r="M48" i="27"/>
  <c r="M1403" i="7" s="1"/>
  <c r="L52" i="27"/>
  <c r="H129" i="2"/>
  <c r="H1495" i="7"/>
  <c r="H39" i="2" s="1"/>
  <c r="J158" i="6"/>
  <c r="N453" i="7"/>
  <c r="N393" i="7"/>
  <c r="M367" i="7"/>
  <c r="K297" i="26"/>
  <c r="K1417" i="7"/>
  <c r="K26" i="5" s="1"/>
  <c r="K155" i="5"/>
  <c r="J17" i="6"/>
  <c r="K1494" i="7"/>
  <c r="K1407" i="7"/>
  <c r="K21" i="5" s="1"/>
  <c r="K1415" i="7"/>
  <c r="K25" i="5" s="1"/>
  <c r="I1441" i="7"/>
  <c r="I500" i="7"/>
  <c r="J498" i="7" s="1"/>
  <c r="I1493" i="7"/>
  <c r="L127" i="6"/>
  <c r="L184" i="33"/>
  <c r="J16" i="5"/>
  <c r="J723" i="7"/>
  <c r="J376" i="26"/>
  <c r="K293" i="26"/>
  <c r="M673" i="7"/>
  <c r="M674" i="7" s="1"/>
  <c r="L674" i="7"/>
  <c r="K1197" i="7"/>
  <c r="K376" i="26" s="1"/>
  <c r="J151" i="2"/>
  <c r="J156" i="6" s="1"/>
  <c r="K307" i="25"/>
  <c r="M329" i="26"/>
  <c r="L1165" i="7"/>
  <c r="M320" i="26"/>
  <c r="L1163" i="7"/>
  <c r="M243" i="26"/>
  <c r="L1147" i="7"/>
  <c r="L150" i="5" s="1"/>
  <c r="M871" i="7"/>
  <c r="M901" i="7"/>
  <c r="M257" i="25"/>
  <c r="L678" i="7"/>
  <c r="K107" i="5"/>
  <c r="L173" i="10"/>
  <c r="K702" i="7"/>
  <c r="J195" i="33"/>
  <c r="J705" i="7"/>
  <c r="L172" i="6"/>
  <c r="L1174" i="7" s="1"/>
  <c r="M1142" i="7"/>
  <c r="M1143" i="7" s="1"/>
  <c r="L224" i="26"/>
  <c r="L175" i="34"/>
  <c r="M325" i="25"/>
  <c r="M693" i="7" s="1"/>
  <c r="L346" i="25"/>
  <c r="J174" i="2"/>
  <c r="K1388" i="7"/>
  <c r="K1390" i="7" s="1"/>
  <c r="L906" i="7"/>
  <c r="L902" i="7"/>
  <c r="L909" i="7"/>
  <c r="L910" i="7"/>
  <c r="L903" i="7"/>
  <c r="L908" i="7"/>
  <c r="L907" i="7"/>
  <c r="L904" i="7"/>
  <c r="L905" i="7"/>
  <c r="M311" i="26"/>
  <c r="L1162" i="7"/>
  <c r="M280" i="26"/>
  <c r="L1155" i="7"/>
  <c r="L154" i="5" s="1"/>
  <c r="J119" i="2"/>
  <c r="J122" i="2" s="1"/>
  <c r="J124" i="2" s="1"/>
  <c r="K125" i="6"/>
  <c r="M304" i="25"/>
  <c r="L688" i="7"/>
  <c r="M290" i="26"/>
  <c r="L1157" i="7"/>
  <c r="L298" i="26" s="1"/>
  <c r="J36" i="6"/>
  <c r="J1441" i="7" s="1"/>
  <c r="K152" i="6"/>
  <c r="K225" i="26"/>
  <c r="K146" i="5"/>
  <c r="K1195" i="7" s="1"/>
  <c r="K374" i="26" s="1"/>
  <c r="L372" i="7"/>
  <c r="L370" i="7"/>
  <c r="L371" i="7"/>
  <c r="L369" i="7"/>
  <c r="L368" i="7"/>
  <c r="L876" i="7"/>
  <c r="L880" i="7"/>
  <c r="L878" i="7"/>
  <c r="L879" i="7"/>
  <c r="L875" i="7"/>
  <c r="L874" i="7"/>
  <c r="L873" i="7"/>
  <c r="L872" i="7"/>
  <c r="L877" i="7"/>
  <c r="L58" i="5"/>
  <c r="L62" i="6"/>
  <c r="L276" i="1"/>
  <c r="K276" i="1"/>
  <c r="K62" i="6"/>
  <c r="K58" i="5"/>
  <c r="L197" i="32"/>
  <c r="L82" i="6"/>
  <c r="L209" i="32" s="1"/>
  <c r="M255" i="7"/>
  <c r="M256" i="7" s="1"/>
  <c r="L275" i="1"/>
  <c r="L277" i="1" s="1"/>
  <c r="L499" i="7"/>
  <c r="K112" i="5"/>
  <c r="K312" i="25"/>
  <c r="M334" i="25"/>
  <c r="M1141" i="7"/>
  <c r="L145" i="5"/>
  <c r="L223" i="26"/>
  <c r="L174" i="34"/>
  <c r="L274" i="1"/>
  <c r="L196" i="32"/>
  <c r="L57" i="5"/>
  <c r="M254" i="7"/>
  <c r="K37" i="6"/>
  <c r="K185" i="10" s="1"/>
  <c r="K126" i="6"/>
  <c r="K36" i="6" s="1"/>
  <c r="K311" i="25"/>
  <c r="K111" i="5"/>
  <c r="K348" i="25"/>
  <c r="M294" i="25"/>
  <c r="M686" i="7" s="1"/>
  <c r="M343" i="25"/>
  <c r="M696" i="7" s="1"/>
  <c r="J916" i="7"/>
  <c r="N171" i="25"/>
  <c r="N664" i="7" s="1"/>
  <c r="M192" i="25"/>
  <c r="N171" i="26"/>
  <c r="N1133" i="7" s="1"/>
  <c r="L192" i="26"/>
  <c r="N355" i="1"/>
  <c r="M270" i="7"/>
  <c r="N231" i="1"/>
  <c r="N308" i="1"/>
  <c r="M260" i="7"/>
  <c r="K287" i="7"/>
  <c r="L87" i="27"/>
  <c r="L333" i="26"/>
  <c r="L68" i="5"/>
  <c r="L363" i="1"/>
  <c r="L63" i="5"/>
  <c r="L358" i="1"/>
  <c r="N394" i="1"/>
  <c r="N278" i="7" s="1"/>
  <c r="M399" i="1"/>
  <c r="N376" i="1"/>
  <c r="N275" i="7" s="1"/>
  <c r="N385" i="1"/>
  <c r="N345" i="1"/>
  <c r="M268" i="7"/>
  <c r="N222" i="1"/>
  <c r="N246" i="7" s="1"/>
  <c r="N240" i="1"/>
  <c r="N249" i="7" s="1"/>
  <c r="M245" i="1"/>
  <c r="L86" i="27"/>
  <c r="L332" i="26"/>
  <c r="L397" i="1"/>
  <c r="L67" i="5"/>
  <c r="L362" i="1"/>
  <c r="L243" i="1"/>
  <c r="L88" i="27"/>
  <c r="L334" i="26"/>
  <c r="O1225" i="7"/>
  <c r="M457" i="7"/>
  <c r="M460" i="7"/>
  <c r="M458" i="7"/>
  <c r="M461" i="7"/>
  <c r="M456" i="7"/>
  <c r="M462" i="7"/>
  <c r="M455" i="7"/>
  <c r="M454" i="7"/>
  <c r="M459" i="7"/>
  <c r="M395" i="7"/>
  <c r="M402" i="7"/>
  <c r="M397" i="7"/>
  <c r="M394" i="7"/>
  <c r="M400" i="7"/>
  <c r="M398" i="7"/>
  <c r="M396" i="7"/>
  <c r="M401" i="7"/>
  <c r="M399" i="7"/>
  <c r="N189" i="25" l="1"/>
  <c r="N667" i="7" s="1"/>
  <c r="O1164" i="7"/>
  <c r="O1135" i="7"/>
  <c r="M666" i="7"/>
  <c r="M665" i="7" s="1"/>
  <c r="M193" i="25" s="1"/>
  <c r="K104" i="6"/>
  <c r="K347" i="25"/>
  <c r="N83" i="27"/>
  <c r="N1425" i="7" s="1"/>
  <c r="M1431" i="7"/>
  <c r="M1459" i="7" s="1"/>
  <c r="M112" i="27" s="1"/>
  <c r="L159" i="5"/>
  <c r="M1134" i="7"/>
  <c r="M193" i="26" s="1"/>
  <c r="M1458" i="7"/>
  <c r="M111" i="27" s="1"/>
  <c r="L193" i="25"/>
  <c r="J390" i="25"/>
  <c r="N149" i="6"/>
  <c r="O1395" i="7"/>
  <c r="N1394" i="7"/>
  <c r="N1396" i="7" s="1"/>
  <c r="M176" i="2"/>
  <c r="K388" i="25"/>
  <c r="L922" i="7"/>
  <c r="L924" i="7" s="1"/>
  <c r="L131" i="2" s="1"/>
  <c r="N74" i="27"/>
  <c r="N1424" i="7" s="1"/>
  <c r="L81" i="6"/>
  <c r="L287" i="7" s="1"/>
  <c r="M486" i="7"/>
  <c r="M484" i="7"/>
  <c r="L484" i="7" s="1"/>
  <c r="K484" i="7" s="1"/>
  <c r="J484" i="7" s="1"/>
  <c r="I484" i="7" s="1"/>
  <c r="H484" i="7" s="1"/>
  <c r="G484" i="7" s="1"/>
  <c r="M490" i="7"/>
  <c r="O1227" i="7"/>
  <c r="O1226" i="7"/>
  <c r="O1229" i="7"/>
  <c r="O1228" i="7"/>
  <c r="O1230" i="7"/>
  <c r="O1171" i="7" s="1"/>
  <c r="M489" i="7"/>
  <c r="M164" i="2"/>
  <c r="M167" i="2" s="1"/>
  <c r="M169" i="2" s="1"/>
  <c r="N170" i="6"/>
  <c r="N186" i="34" s="1"/>
  <c r="N483" i="7"/>
  <c r="N489" i="7" s="1"/>
  <c r="N769" i="7"/>
  <c r="M771" i="7"/>
  <c r="M695" i="7" s="1"/>
  <c r="M694" i="7" s="1"/>
  <c r="M770" i="7"/>
  <c r="M772" i="7"/>
  <c r="M923" i="7" s="1"/>
  <c r="M773" i="7"/>
  <c r="M774" i="7"/>
  <c r="M492" i="7"/>
  <c r="N189" i="26"/>
  <c r="N1136" i="7" s="1"/>
  <c r="N194" i="26" s="1"/>
  <c r="N38" i="27"/>
  <c r="N1401" i="7" s="1"/>
  <c r="N51" i="27" s="1"/>
  <c r="M430" i="7"/>
  <c r="M428" i="7"/>
  <c r="M432" i="7"/>
  <c r="M425" i="7"/>
  <c r="M431" i="7"/>
  <c r="M424" i="7"/>
  <c r="M429" i="7"/>
  <c r="M426" i="7"/>
  <c r="M81" i="6" s="1"/>
  <c r="N180" i="26"/>
  <c r="O180" i="26" s="1"/>
  <c r="N180" i="25"/>
  <c r="N423" i="7"/>
  <c r="N426" i="7" s="1"/>
  <c r="N65" i="27"/>
  <c r="N1423" i="7" s="1"/>
  <c r="N48" i="27"/>
  <c r="N1403" i="7" s="1"/>
  <c r="N52" i="27" s="1"/>
  <c r="M52" i="27"/>
  <c r="L1407" i="7"/>
  <c r="L21" i="5" s="1"/>
  <c r="L107" i="5"/>
  <c r="O393" i="7"/>
  <c r="O453" i="7"/>
  <c r="N367" i="7"/>
  <c r="L155" i="5"/>
  <c r="L1417" i="7"/>
  <c r="L26" i="5" s="1"/>
  <c r="I84" i="2"/>
  <c r="I1495" i="7"/>
  <c r="I39" i="2" s="1"/>
  <c r="J500" i="7"/>
  <c r="K498" i="7" s="1"/>
  <c r="J1493" i="7"/>
  <c r="K1441" i="7"/>
  <c r="L293" i="26"/>
  <c r="L1415" i="7"/>
  <c r="L25" i="5" s="1"/>
  <c r="J106" i="2"/>
  <c r="J111" i="6" s="1"/>
  <c r="K151" i="2"/>
  <c r="K156" i="6" s="1"/>
  <c r="J388" i="25"/>
  <c r="L126" i="6"/>
  <c r="L705" i="7" s="1"/>
  <c r="L297" i="26"/>
  <c r="K163" i="2"/>
  <c r="K158" i="6" s="1"/>
  <c r="L307" i="25"/>
  <c r="L1197" i="7"/>
  <c r="L376" i="26" s="1"/>
  <c r="M184" i="33"/>
  <c r="M173" i="10"/>
  <c r="M224" i="25"/>
  <c r="M226" i="25" s="1"/>
  <c r="M127" i="6"/>
  <c r="M225" i="25"/>
  <c r="M107" i="6"/>
  <c r="M917" i="7"/>
  <c r="M102" i="5"/>
  <c r="K17" i="6"/>
  <c r="L102" i="5"/>
  <c r="L917" i="7"/>
  <c r="L107" i="6"/>
  <c r="L225" i="25"/>
  <c r="N673" i="7"/>
  <c r="N224" i="25" s="1"/>
  <c r="N226" i="25" s="1"/>
  <c r="L702" i="7"/>
  <c r="L1388" i="7"/>
  <c r="K174" i="2"/>
  <c r="N334" i="25"/>
  <c r="M197" i="32"/>
  <c r="N255" i="7"/>
  <c r="N256" i="7" s="1"/>
  <c r="M82" i="6"/>
  <c r="M209" i="32" s="1"/>
  <c r="M275" i="1"/>
  <c r="M277" i="1" s="1"/>
  <c r="M499" i="7"/>
  <c r="L125" i="6"/>
  <c r="K119" i="2"/>
  <c r="K122" i="2" s="1"/>
  <c r="K124" i="2" s="1"/>
  <c r="M1389" i="7"/>
  <c r="M146" i="5"/>
  <c r="M152" i="6"/>
  <c r="M225" i="26"/>
  <c r="L312" i="25"/>
  <c r="L112" i="5"/>
  <c r="N325" i="25"/>
  <c r="N693" i="7" s="1"/>
  <c r="M346" i="25"/>
  <c r="N1142" i="7"/>
  <c r="N1143" i="7" s="1"/>
  <c r="M172" i="6"/>
  <c r="M1174" i="7" s="1"/>
  <c r="M224" i="26"/>
  <c r="M175" i="34"/>
  <c r="N871" i="7"/>
  <c r="N901" i="7"/>
  <c r="M58" i="5"/>
  <c r="M276" i="1"/>
  <c r="M62" i="6"/>
  <c r="N290" i="26"/>
  <c r="M1157" i="7"/>
  <c r="M155" i="5" s="1"/>
  <c r="N257" i="25"/>
  <c r="M678" i="7"/>
  <c r="M307" i="25" s="1"/>
  <c r="N243" i="26"/>
  <c r="M1147" i="7"/>
  <c r="M150" i="5" s="1"/>
  <c r="N329" i="26"/>
  <c r="M1165" i="7"/>
  <c r="N1141" i="7"/>
  <c r="M145" i="5"/>
  <c r="M174" i="34"/>
  <c r="M223" i="26"/>
  <c r="N280" i="26"/>
  <c r="M1155" i="7"/>
  <c r="M297" i="26" s="1"/>
  <c r="N311" i="26"/>
  <c r="M1162" i="7"/>
  <c r="N194" i="25"/>
  <c r="M370" i="7"/>
  <c r="M371" i="7"/>
  <c r="M368" i="7"/>
  <c r="M372" i="7"/>
  <c r="M369" i="7"/>
  <c r="L146" i="5"/>
  <c r="L1195" i="7" s="1"/>
  <c r="L151" i="2" s="1"/>
  <c r="L225" i="26"/>
  <c r="L152" i="6"/>
  <c r="M274" i="1"/>
  <c r="M57" i="5"/>
  <c r="N254" i="7"/>
  <c r="M196" i="32"/>
  <c r="K16" i="5"/>
  <c r="K195" i="33"/>
  <c r="K705" i="7"/>
  <c r="N304" i="25"/>
  <c r="M688" i="7"/>
  <c r="M906" i="7"/>
  <c r="M907" i="7"/>
  <c r="M904" i="7"/>
  <c r="M903" i="7"/>
  <c r="M902" i="7"/>
  <c r="M909" i="7"/>
  <c r="M908" i="7"/>
  <c r="M910" i="7"/>
  <c r="M905" i="7"/>
  <c r="M876" i="7"/>
  <c r="M878" i="7"/>
  <c r="M880" i="7"/>
  <c r="M877" i="7"/>
  <c r="M875" i="7"/>
  <c r="M874" i="7"/>
  <c r="M879" i="7"/>
  <c r="M872" i="7"/>
  <c r="M873" i="7"/>
  <c r="N320" i="26"/>
  <c r="M1163" i="7"/>
  <c r="L37" i="6"/>
  <c r="L185" i="10" s="1"/>
  <c r="L1389" i="7"/>
  <c r="N343" i="25"/>
  <c r="N696" i="7" s="1"/>
  <c r="N294" i="25"/>
  <c r="N686" i="7" s="1"/>
  <c r="L348" i="25"/>
  <c r="L311" i="25"/>
  <c r="L111" i="5"/>
  <c r="J918" i="7"/>
  <c r="O171" i="25"/>
  <c r="O664" i="7" s="1"/>
  <c r="N192" i="25"/>
  <c r="O171" i="26"/>
  <c r="O1133" i="7" s="1"/>
  <c r="M192" i="26"/>
  <c r="O222" i="1"/>
  <c r="O246" i="7" s="1"/>
  <c r="M397" i="1"/>
  <c r="M63" i="5"/>
  <c r="M358" i="1"/>
  <c r="M68" i="5"/>
  <c r="M363" i="1"/>
  <c r="M87" i="27"/>
  <c r="M333" i="26"/>
  <c r="M88" i="27"/>
  <c r="M334" i="26"/>
  <c r="M243" i="1"/>
  <c r="O345" i="1"/>
  <c r="N268" i="7"/>
  <c r="O231" i="1"/>
  <c r="O240" i="1"/>
  <c r="O249" i="7" s="1"/>
  <c r="N245" i="1"/>
  <c r="M67" i="5"/>
  <c r="M362" i="1"/>
  <c r="O394" i="1"/>
  <c r="O278" i="7" s="1"/>
  <c r="N399" i="1"/>
  <c r="O385" i="1"/>
  <c r="O376" i="1"/>
  <c r="O275" i="7" s="1"/>
  <c r="M86" i="27"/>
  <c r="M332" i="26"/>
  <c r="O308" i="1"/>
  <c r="N260" i="7"/>
  <c r="O355" i="1"/>
  <c r="N270" i="7"/>
  <c r="N456" i="7"/>
  <c r="N457" i="7"/>
  <c r="N460" i="7"/>
  <c r="N458" i="7"/>
  <c r="N461" i="7"/>
  <c r="N462" i="7"/>
  <c r="N455" i="7"/>
  <c r="N454" i="7"/>
  <c r="N459" i="7"/>
  <c r="P1225" i="7"/>
  <c r="N396" i="7"/>
  <c r="N401" i="7"/>
  <c r="N399" i="7"/>
  <c r="N395" i="7"/>
  <c r="N402" i="7"/>
  <c r="N397" i="7"/>
  <c r="N394" i="7"/>
  <c r="N400" i="7"/>
  <c r="N398" i="7"/>
  <c r="O74" i="27" l="1"/>
  <c r="O1424" i="7" s="1"/>
  <c r="O189" i="25"/>
  <c r="O667" i="7" s="1"/>
  <c r="P1135" i="7"/>
  <c r="P1164" i="7"/>
  <c r="N666" i="7"/>
  <c r="N665" i="7" s="1"/>
  <c r="N695" i="7"/>
  <c r="N694" i="7" s="1"/>
  <c r="K116" i="5"/>
  <c r="K725" i="7"/>
  <c r="K118" i="2" s="1"/>
  <c r="K113" i="6" s="1"/>
  <c r="O83" i="27"/>
  <c r="O1425" i="7" s="1"/>
  <c r="M1195" i="7"/>
  <c r="M374" i="26" s="1"/>
  <c r="N1431" i="7"/>
  <c r="N1459" i="7" s="1"/>
  <c r="N112" i="27" s="1"/>
  <c r="N1134" i="7"/>
  <c r="O1134" i="7"/>
  <c r="O193" i="26" s="1"/>
  <c r="M159" i="5"/>
  <c r="L104" i="6"/>
  <c r="L723" i="7"/>
  <c r="L106" i="2" s="1"/>
  <c r="L111" i="6" s="1"/>
  <c r="O149" i="6"/>
  <c r="P1395" i="7"/>
  <c r="M702" i="7"/>
  <c r="O1394" i="7"/>
  <c r="O1396" i="7" s="1"/>
  <c r="N176" i="2"/>
  <c r="L725" i="7"/>
  <c r="N923" i="7"/>
  <c r="M922" i="7"/>
  <c r="M924" i="7" s="1"/>
  <c r="M131" i="2" s="1"/>
  <c r="M723" i="7"/>
  <c r="L347" i="25"/>
  <c r="L116" i="5"/>
  <c r="M104" i="6"/>
  <c r="M347" i="25"/>
  <c r="N432" i="7"/>
  <c r="N485" i="7"/>
  <c r="N490" i="7"/>
  <c r="O189" i="26"/>
  <c r="O1136" i="7" s="1"/>
  <c r="O194" i="26" s="1"/>
  <c r="N486" i="7"/>
  <c r="N81" i="6" s="1"/>
  <c r="N492" i="7"/>
  <c r="N484" i="7"/>
  <c r="N427" i="7"/>
  <c r="N428" i="7"/>
  <c r="N425" i="7"/>
  <c r="N424" i="7"/>
  <c r="N430" i="7"/>
  <c r="N429" i="7"/>
  <c r="N431" i="7"/>
  <c r="O170" i="6"/>
  <c r="O186" i="34" s="1"/>
  <c r="N164" i="2"/>
  <c r="N167" i="2" s="1"/>
  <c r="N169" i="2" s="1"/>
  <c r="N771" i="7"/>
  <c r="N770" i="7"/>
  <c r="N772" i="7"/>
  <c r="N773" i="7"/>
  <c r="N774" i="7"/>
  <c r="P1227" i="7"/>
  <c r="P1226" i="7"/>
  <c r="P1228" i="7"/>
  <c r="P1229" i="7"/>
  <c r="P1230" i="7"/>
  <c r="P1171" i="7" s="1"/>
  <c r="O483" i="7"/>
  <c r="O489" i="7" s="1"/>
  <c r="O769" i="7"/>
  <c r="O38" i="27"/>
  <c r="O1401" i="7" s="1"/>
  <c r="O51" i="27" s="1"/>
  <c r="N1458" i="7"/>
  <c r="N111" i="27" s="1"/>
  <c r="O180" i="25"/>
  <c r="O423" i="7"/>
  <c r="O428" i="7" s="1"/>
  <c r="O48" i="27"/>
  <c r="O1403" i="7" s="1"/>
  <c r="O52" i="27" s="1"/>
  <c r="L36" i="6"/>
  <c r="L1441" i="7" s="1"/>
  <c r="M1417" i="7"/>
  <c r="M26" i="5" s="1"/>
  <c r="K111" i="6"/>
  <c r="O65" i="27"/>
  <c r="O1423" i="7" s="1"/>
  <c r="L195" i="33"/>
  <c r="M1197" i="7"/>
  <c r="M163" i="2" s="1"/>
  <c r="P393" i="7"/>
  <c r="P453" i="7"/>
  <c r="O367" i="7"/>
  <c r="L156" i="6"/>
  <c r="N127" i="6"/>
  <c r="N184" i="33"/>
  <c r="M126" i="6"/>
  <c r="M705" i="7" s="1"/>
  <c r="L163" i="2"/>
  <c r="L158" i="6" s="1"/>
  <c r="L1494" i="7"/>
  <c r="M1494" i="7"/>
  <c r="K500" i="7"/>
  <c r="J84" i="2"/>
  <c r="J1495" i="7"/>
  <c r="J39" i="2" s="1"/>
  <c r="M1415" i="7"/>
  <c r="M25" i="5" s="1"/>
  <c r="M1407" i="7"/>
  <c r="M21" i="5" s="1"/>
  <c r="M16" i="5"/>
  <c r="M107" i="5"/>
  <c r="L374" i="26"/>
  <c r="L1390" i="7"/>
  <c r="M1388" i="7" s="1"/>
  <c r="M1390" i="7" s="1"/>
  <c r="L17" i="6"/>
  <c r="M37" i="6"/>
  <c r="M185" i="10" s="1"/>
  <c r="M17" i="6"/>
  <c r="M298" i="26"/>
  <c r="N173" i="10"/>
  <c r="M154" i="5"/>
  <c r="O673" i="7"/>
  <c r="O127" i="6" s="1"/>
  <c r="N674" i="7"/>
  <c r="M293" i="26"/>
  <c r="O304" i="25"/>
  <c r="N688" i="7"/>
  <c r="N274" i="1"/>
  <c r="O254" i="7"/>
  <c r="N57" i="5"/>
  <c r="N196" i="32"/>
  <c r="O311" i="26"/>
  <c r="N1162" i="7"/>
  <c r="O329" i="26"/>
  <c r="N1165" i="7"/>
  <c r="N372" i="7"/>
  <c r="N371" i="7"/>
  <c r="N368" i="7"/>
  <c r="N370" i="7"/>
  <c r="N369" i="7"/>
  <c r="O325" i="25"/>
  <c r="O693" i="7" s="1"/>
  <c r="N346" i="25"/>
  <c r="M125" i="6"/>
  <c r="L119" i="2"/>
  <c r="L122" i="2" s="1"/>
  <c r="L124" i="2" s="1"/>
  <c r="O290" i="26"/>
  <c r="N1157" i="7"/>
  <c r="N298" i="26" s="1"/>
  <c r="O320" i="26"/>
  <c r="N1163" i="7"/>
  <c r="M312" i="25"/>
  <c r="M112" i="5"/>
  <c r="O280" i="26"/>
  <c r="N1155" i="7"/>
  <c r="N297" i="26" s="1"/>
  <c r="O1141" i="7"/>
  <c r="N174" i="34"/>
  <c r="N145" i="5"/>
  <c r="N223" i="26"/>
  <c r="O243" i="26"/>
  <c r="N1147" i="7"/>
  <c r="N293" i="26" s="1"/>
  <c r="O871" i="7"/>
  <c r="O901" i="7"/>
  <c r="N873" i="7"/>
  <c r="N877" i="7"/>
  <c r="N872" i="7"/>
  <c r="N879" i="7"/>
  <c r="N875" i="7"/>
  <c r="N876" i="7"/>
  <c r="N880" i="7"/>
  <c r="N874" i="7"/>
  <c r="N878" i="7"/>
  <c r="N224" i="26"/>
  <c r="O1142" i="7"/>
  <c r="O1143" i="7" s="1"/>
  <c r="N175" i="34"/>
  <c r="N172" i="6"/>
  <c r="N1174" i="7" s="1"/>
  <c r="N1389" i="7"/>
  <c r="N197" i="32"/>
  <c r="N82" i="6"/>
  <c r="N209" i="32" s="1"/>
  <c r="N275" i="1"/>
  <c r="N277" i="1" s="1"/>
  <c r="O255" i="7"/>
  <c r="O256" i="7" s="1"/>
  <c r="O334" i="25"/>
  <c r="N146" i="5"/>
  <c r="N152" i="6"/>
  <c r="N225" i="26"/>
  <c r="O194" i="25"/>
  <c r="O257" i="25"/>
  <c r="N678" i="7"/>
  <c r="N307" i="25" s="1"/>
  <c r="N906" i="7"/>
  <c r="N910" i="7"/>
  <c r="N903" i="7"/>
  <c r="N909" i="7"/>
  <c r="N908" i="7"/>
  <c r="N904" i="7"/>
  <c r="N902" i="7"/>
  <c r="N905" i="7"/>
  <c r="N907" i="7"/>
  <c r="L16" i="5"/>
  <c r="O294" i="25"/>
  <c r="O686" i="7" s="1"/>
  <c r="O343" i="25"/>
  <c r="O696" i="7" s="1"/>
  <c r="M311" i="25"/>
  <c r="M111" i="5"/>
  <c r="M348" i="25"/>
  <c r="K916" i="7"/>
  <c r="K918" i="7" s="1"/>
  <c r="J129" i="2"/>
  <c r="P171" i="25"/>
  <c r="P664" i="7" s="1"/>
  <c r="O192" i="25"/>
  <c r="P180" i="26"/>
  <c r="P171" i="26"/>
  <c r="P1133" i="7" s="1"/>
  <c r="N192" i="26"/>
  <c r="M287" i="7"/>
  <c r="P355" i="1"/>
  <c r="O270" i="7"/>
  <c r="P231" i="1"/>
  <c r="N334" i="26"/>
  <c r="N88" i="27"/>
  <c r="N68" i="5"/>
  <c r="N363" i="1"/>
  <c r="P376" i="1"/>
  <c r="P275" i="7" s="1"/>
  <c r="P345" i="1"/>
  <c r="O268" i="7"/>
  <c r="P222" i="1"/>
  <c r="P246" i="7" s="1"/>
  <c r="P74" i="27"/>
  <c r="P1424" i="7" s="1"/>
  <c r="P308" i="1"/>
  <c r="O260" i="7"/>
  <c r="N397" i="1"/>
  <c r="N86" i="27"/>
  <c r="N332" i="26"/>
  <c r="P240" i="1"/>
  <c r="P249" i="7" s="1"/>
  <c r="O245" i="1"/>
  <c r="N67" i="5"/>
  <c r="N362" i="1"/>
  <c r="N243" i="1"/>
  <c r="N87" i="27"/>
  <c r="N333" i="26"/>
  <c r="N63" i="5"/>
  <c r="N358" i="1"/>
  <c r="P385" i="1"/>
  <c r="P394" i="1"/>
  <c r="P278" i="7" s="1"/>
  <c r="O399" i="1"/>
  <c r="O458" i="7"/>
  <c r="O460" i="7"/>
  <c r="O457" i="7"/>
  <c r="O461" i="7"/>
  <c r="O456" i="7"/>
  <c r="O462" i="7"/>
  <c r="O455" i="7"/>
  <c r="O454" i="7"/>
  <c r="O459" i="7"/>
  <c r="Q1225" i="7"/>
  <c r="O397" i="7"/>
  <c r="O395" i="7"/>
  <c r="O396" i="7"/>
  <c r="O402" i="7"/>
  <c r="O398" i="7"/>
  <c r="O394" i="7"/>
  <c r="O400" i="7"/>
  <c r="O401" i="7"/>
  <c r="O399" i="7"/>
  <c r="P38" i="27" l="1"/>
  <c r="P1401" i="7" s="1"/>
  <c r="P189" i="25"/>
  <c r="P667" i="7" s="1"/>
  <c r="P194" i="25" s="1"/>
  <c r="Q1135" i="7"/>
  <c r="Q1164" i="7"/>
  <c r="O695" i="7"/>
  <c r="O694" i="7" s="1"/>
  <c r="O666" i="7"/>
  <c r="O665" i="7" s="1"/>
  <c r="N193" i="26"/>
  <c r="P1134" i="7"/>
  <c r="K390" i="25"/>
  <c r="P189" i="26"/>
  <c r="P1136" i="7" s="1"/>
  <c r="P194" i="26" s="1"/>
  <c r="P83" i="27"/>
  <c r="P1425" i="7" s="1"/>
  <c r="O1431" i="7"/>
  <c r="O1459" i="7" s="1"/>
  <c r="O112" i="27" s="1"/>
  <c r="M151" i="2"/>
  <c r="M156" i="6" s="1"/>
  <c r="N1195" i="7"/>
  <c r="N374" i="26" s="1"/>
  <c r="L388" i="25"/>
  <c r="P149" i="6"/>
  <c r="N159" i="5"/>
  <c r="O1458" i="7"/>
  <c r="O111" i="27" s="1"/>
  <c r="Q1395" i="7"/>
  <c r="P1394" i="7"/>
  <c r="P1396" i="7" s="1"/>
  <c r="O176" i="2"/>
  <c r="L390" i="25"/>
  <c r="L118" i="2"/>
  <c r="L113" i="6" s="1"/>
  <c r="O923" i="7"/>
  <c r="N922" i="7"/>
  <c r="N924" i="7" s="1"/>
  <c r="O922" i="7" s="1"/>
  <c r="M725" i="7"/>
  <c r="M118" i="2" s="1"/>
  <c r="M388" i="25"/>
  <c r="M106" i="2"/>
  <c r="M111" i="6" s="1"/>
  <c r="N347" i="25"/>
  <c r="M116" i="5"/>
  <c r="O492" i="7"/>
  <c r="O490" i="7"/>
  <c r="O485" i="7"/>
  <c r="O771" i="7"/>
  <c r="O770" i="7"/>
  <c r="O772" i="7"/>
  <c r="O773" i="7"/>
  <c r="O774" i="7"/>
  <c r="O486" i="7"/>
  <c r="Q1227" i="7"/>
  <c r="Q1226" i="7"/>
  <c r="Q1229" i="7"/>
  <c r="Q1228" i="7"/>
  <c r="Q1230" i="7"/>
  <c r="Q1171" i="7" s="1"/>
  <c r="P483" i="7"/>
  <c r="P490" i="7" s="1"/>
  <c r="P769" i="7"/>
  <c r="O164" i="2"/>
  <c r="O167" i="2" s="1"/>
  <c r="O169" i="2" s="1"/>
  <c r="P170" i="6"/>
  <c r="P186" i="34" s="1"/>
  <c r="P65" i="27"/>
  <c r="P1423" i="7" s="1"/>
  <c r="P48" i="27"/>
  <c r="P1403" i="7" s="1"/>
  <c r="P52" i="27" s="1"/>
  <c r="O426" i="7"/>
  <c r="O427" i="7"/>
  <c r="O429" i="7"/>
  <c r="O424" i="7"/>
  <c r="O431" i="7"/>
  <c r="O432" i="7"/>
  <c r="O430" i="7"/>
  <c r="O425" i="7"/>
  <c r="P180" i="25"/>
  <c r="P423" i="7"/>
  <c r="P428" i="7" s="1"/>
  <c r="M376" i="26"/>
  <c r="M158" i="6"/>
  <c r="N150" i="5"/>
  <c r="M36" i="6"/>
  <c r="M1441" i="7" s="1"/>
  <c r="P367" i="7"/>
  <c r="Q453" i="7"/>
  <c r="Q393" i="7"/>
  <c r="M195" i="33"/>
  <c r="L174" i="2"/>
  <c r="N1417" i="7"/>
  <c r="N26" i="5" s="1"/>
  <c r="N1407" i="7"/>
  <c r="N21" i="5" s="1"/>
  <c r="N1415" i="7"/>
  <c r="N25" i="5" s="1"/>
  <c r="L498" i="7"/>
  <c r="K1495" i="7"/>
  <c r="K39" i="2" s="1"/>
  <c r="K84" i="2"/>
  <c r="K1493" i="7"/>
  <c r="N154" i="5"/>
  <c r="O173" i="10"/>
  <c r="O224" i="25"/>
  <c r="O226" i="25" s="1"/>
  <c r="O184" i="33"/>
  <c r="N155" i="5"/>
  <c r="P673" i="7"/>
  <c r="P224" i="25" s="1"/>
  <c r="P226" i="25" s="1"/>
  <c r="O674" i="7"/>
  <c r="N107" i="6"/>
  <c r="N102" i="5"/>
  <c r="N917" i="7"/>
  <c r="N225" i="25"/>
  <c r="N125" i="6"/>
  <c r="N126" i="6"/>
  <c r="P257" i="25"/>
  <c r="O678" i="7"/>
  <c r="O224" i="26"/>
  <c r="O175" i="34"/>
  <c r="O172" i="6"/>
  <c r="O1174" i="7" s="1"/>
  <c r="P1142" i="7"/>
  <c r="P1143" i="7" s="1"/>
  <c r="O1389" i="7"/>
  <c r="P871" i="7"/>
  <c r="P901" i="7"/>
  <c r="P320" i="26"/>
  <c r="O1163" i="7"/>
  <c r="P311" i="26"/>
  <c r="O1162" i="7"/>
  <c r="N1197" i="7"/>
  <c r="N376" i="26" s="1"/>
  <c r="N702" i="7"/>
  <c r="O876" i="7"/>
  <c r="O877" i="7"/>
  <c r="O873" i="7"/>
  <c r="O875" i="7"/>
  <c r="O878" i="7"/>
  <c r="O872" i="7"/>
  <c r="O880" i="7"/>
  <c r="O874" i="7"/>
  <c r="O879" i="7"/>
  <c r="P280" i="26"/>
  <c r="O1155" i="7"/>
  <c r="O154" i="5" s="1"/>
  <c r="M174" i="2"/>
  <c r="N1388" i="7"/>
  <c r="N1390" i="7" s="1"/>
  <c r="P255" i="7"/>
  <c r="P256" i="7" s="1"/>
  <c r="O82" i="6"/>
  <c r="O209" i="32" s="1"/>
  <c r="O197" i="32"/>
  <c r="O275" i="1"/>
  <c r="O277" i="1" s="1"/>
  <c r="O499" i="7"/>
  <c r="O906" i="7"/>
  <c r="O909" i="7"/>
  <c r="O907" i="7"/>
  <c r="O904" i="7"/>
  <c r="O903" i="7"/>
  <c r="O905" i="7"/>
  <c r="O910" i="7"/>
  <c r="O902" i="7"/>
  <c r="O908" i="7"/>
  <c r="P290" i="26"/>
  <c r="O1157" i="7"/>
  <c r="O155" i="5" s="1"/>
  <c r="P329" i="26"/>
  <c r="O1165" i="7"/>
  <c r="P304" i="25"/>
  <c r="O688" i="7"/>
  <c r="N107" i="5"/>
  <c r="M119" i="2"/>
  <c r="M122" i="2" s="1"/>
  <c r="M124" i="2" s="1"/>
  <c r="P334" i="25"/>
  <c r="O152" i="6"/>
  <c r="O146" i="5"/>
  <c r="O1195" i="7" s="1"/>
  <c r="O225" i="26"/>
  <c r="O370" i="7"/>
  <c r="O369" i="7"/>
  <c r="O368" i="7"/>
  <c r="O372" i="7"/>
  <c r="O371" i="7"/>
  <c r="O274" i="1"/>
  <c r="P254" i="7"/>
  <c r="O196" i="32"/>
  <c r="O57" i="5"/>
  <c r="N62" i="6"/>
  <c r="N58" i="5"/>
  <c r="N276" i="1"/>
  <c r="P243" i="26"/>
  <c r="O1147" i="7"/>
  <c r="O293" i="26" s="1"/>
  <c r="P1141" i="7"/>
  <c r="O174" i="34"/>
  <c r="O145" i="5"/>
  <c r="O223" i="26"/>
  <c r="P325" i="25"/>
  <c r="P693" i="7" s="1"/>
  <c r="O346" i="25"/>
  <c r="N312" i="25"/>
  <c r="N112" i="5"/>
  <c r="N499" i="7"/>
  <c r="N37" i="6"/>
  <c r="N185" i="10" s="1"/>
  <c r="N348" i="25"/>
  <c r="N311" i="25"/>
  <c r="N111" i="5"/>
  <c r="P343" i="25"/>
  <c r="P696" i="7" s="1"/>
  <c r="P294" i="25"/>
  <c r="P686" i="7" s="1"/>
  <c r="P51" i="27"/>
  <c r="Q38" i="27"/>
  <c r="Q1401" i="7" s="1"/>
  <c r="L916" i="7"/>
  <c r="K129" i="2"/>
  <c r="Q171" i="25"/>
  <c r="Q664" i="7" s="1"/>
  <c r="P192" i="25"/>
  <c r="Q180" i="26"/>
  <c r="Q171" i="26"/>
  <c r="Q1133" i="7" s="1"/>
  <c r="O192" i="26"/>
  <c r="Q74" i="27"/>
  <c r="Q1424" i="7" s="1"/>
  <c r="O243" i="1"/>
  <c r="Q394" i="1"/>
  <c r="Q278" i="7" s="1"/>
  <c r="P399" i="1"/>
  <c r="Q385" i="1"/>
  <c r="O87" i="27"/>
  <c r="O333" i="26"/>
  <c r="N287" i="7"/>
  <c r="Q355" i="1"/>
  <c r="P270" i="7"/>
  <c r="Q240" i="1"/>
  <c r="Q249" i="7" s="1"/>
  <c r="P245" i="1"/>
  <c r="Q308" i="1"/>
  <c r="P260" i="7"/>
  <c r="Q345" i="1"/>
  <c r="P268" i="7"/>
  <c r="Q376" i="1"/>
  <c r="Q275" i="7" s="1"/>
  <c r="O68" i="5"/>
  <c r="O363" i="1"/>
  <c r="O88" i="27"/>
  <c r="O334" i="26"/>
  <c r="O63" i="5"/>
  <c r="O358" i="1"/>
  <c r="Q222" i="1"/>
  <c r="Q246" i="7" s="1"/>
  <c r="O67" i="5"/>
  <c r="O362" i="1"/>
  <c r="O86" i="27"/>
  <c r="O332" i="26"/>
  <c r="O397" i="1"/>
  <c r="Q231" i="1"/>
  <c r="P456" i="7"/>
  <c r="P458" i="7"/>
  <c r="P460" i="7"/>
  <c r="P457" i="7"/>
  <c r="P461" i="7"/>
  <c r="P462" i="7"/>
  <c r="P455" i="7"/>
  <c r="P454" i="7"/>
  <c r="P459" i="7"/>
  <c r="P400" i="7"/>
  <c r="P398" i="7"/>
  <c r="P401" i="7"/>
  <c r="P399" i="7"/>
  <c r="P396" i="7"/>
  <c r="P395" i="7"/>
  <c r="P402" i="7"/>
  <c r="P397" i="7"/>
  <c r="P394" i="7"/>
  <c r="R1225" i="7"/>
  <c r="Q189" i="25" l="1"/>
  <c r="Q667" i="7" s="1"/>
  <c r="Q194" i="25" s="1"/>
  <c r="O81" i="6"/>
  <c r="O287" i="7" s="1"/>
  <c r="R1135" i="7"/>
  <c r="R1164" i="7"/>
  <c r="P666" i="7"/>
  <c r="P665" i="7" s="1"/>
  <c r="P695" i="7"/>
  <c r="P694" i="7" s="1"/>
  <c r="P193" i="26"/>
  <c r="Q189" i="26"/>
  <c r="Q1136" i="7" s="1"/>
  <c r="Q194" i="26" s="1"/>
  <c r="Q83" i="27"/>
  <c r="Q1425" i="7" s="1"/>
  <c r="P1431" i="7"/>
  <c r="P1459" i="7" s="1"/>
  <c r="P112" i="27" s="1"/>
  <c r="P1458" i="7"/>
  <c r="P111" i="27" s="1"/>
  <c r="P486" i="7"/>
  <c r="N151" i="2"/>
  <c r="N156" i="6" s="1"/>
  <c r="Q1134" i="7"/>
  <c r="Q193" i="26" s="1"/>
  <c r="O159" i="5"/>
  <c r="Q149" i="6"/>
  <c r="R1395" i="7"/>
  <c r="N723" i="7"/>
  <c r="N388" i="25" s="1"/>
  <c r="N193" i="25"/>
  <c r="Q1394" i="7"/>
  <c r="Q1396" i="7" s="1"/>
  <c r="P176" i="2"/>
  <c r="M113" i="6"/>
  <c r="O924" i="7"/>
  <c r="O131" i="2" s="1"/>
  <c r="M390" i="25"/>
  <c r="N131" i="2"/>
  <c r="P923" i="7"/>
  <c r="O193" i="25"/>
  <c r="N725" i="7"/>
  <c r="N116" i="5"/>
  <c r="N104" i="6"/>
  <c r="O347" i="25"/>
  <c r="P431" i="7"/>
  <c r="P489" i="7"/>
  <c r="P491" i="7"/>
  <c r="O491" i="7" s="1"/>
  <c r="N491" i="7" s="1"/>
  <c r="M491" i="7" s="1"/>
  <c r="P492" i="7"/>
  <c r="P484" i="7"/>
  <c r="O484" i="7" s="1"/>
  <c r="P771" i="7"/>
  <c r="P770" i="7"/>
  <c r="P772" i="7"/>
  <c r="P773" i="7"/>
  <c r="P774" i="7"/>
  <c r="P488" i="7"/>
  <c r="O488" i="7" s="1"/>
  <c r="N488" i="7" s="1"/>
  <c r="M488" i="7" s="1"/>
  <c r="P485" i="7"/>
  <c r="P487" i="7"/>
  <c r="O487" i="7" s="1"/>
  <c r="N487" i="7" s="1"/>
  <c r="M487" i="7" s="1"/>
  <c r="L487" i="7" s="1"/>
  <c r="K487" i="7" s="1"/>
  <c r="J487" i="7" s="1"/>
  <c r="I487" i="7" s="1"/>
  <c r="H487" i="7" s="1"/>
  <c r="G487" i="7" s="1"/>
  <c r="P164" i="2"/>
  <c r="P167" i="2" s="1"/>
  <c r="P169" i="2" s="1"/>
  <c r="Q170" i="6"/>
  <c r="Q186" i="34" s="1"/>
  <c r="R1227" i="7"/>
  <c r="R1226" i="7"/>
  <c r="R1228" i="7"/>
  <c r="R1229" i="7"/>
  <c r="R1230" i="7"/>
  <c r="R1171" i="7" s="1"/>
  <c r="Q483" i="7"/>
  <c r="Q486" i="7" s="1"/>
  <c r="Q769" i="7"/>
  <c r="Q48" i="27"/>
  <c r="Q1403" i="7" s="1"/>
  <c r="Q52" i="27" s="1"/>
  <c r="P427" i="7"/>
  <c r="Q65" i="27"/>
  <c r="Q1423" i="7" s="1"/>
  <c r="P432" i="7"/>
  <c r="P429" i="7"/>
  <c r="P426" i="7"/>
  <c r="P425" i="7"/>
  <c r="P430" i="7"/>
  <c r="P424" i="7"/>
  <c r="Q180" i="25"/>
  <c r="Q423" i="7"/>
  <c r="Q427" i="7" s="1"/>
  <c r="O1417" i="7"/>
  <c r="O26" i="5" s="1"/>
  <c r="Q367" i="7"/>
  <c r="R393" i="7"/>
  <c r="R453" i="7"/>
  <c r="O1407" i="7"/>
  <c r="O21" i="5" s="1"/>
  <c r="N1494" i="7"/>
  <c r="L500" i="7"/>
  <c r="L1493" i="7"/>
  <c r="O1415" i="7"/>
  <c r="O25" i="5" s="1"/>
  <c r="N163" i="2"/>
  <c r="N158" i="6" s="1"/>
  <c r="O298" i="26"/>
  <c r="P184" i="33"/>
  <c r="O150" i="5"/>
  <c r="O297" i="26"/>
  <c r="N17" i="6"/>
  <c r="O1197" i="7"/>
  <c r="O376" i="26" s="1"/>
  <c r="O307" i="25"/>
  <c r="P127" i="6"/>
  <c r="O37" i="6"/>
  <c r="O185" i="10" s="1"/>
  <c r="O107" i="5"/>
  <c r="Q673" i="7"/>
  <c r="Q184" i="33" s="1"/>
  <c r="P674" i="7"/>
  <c r="O107" i="6"/>
  <c r="O225" i="25"/>
  <c r="O102" i="5"/>
  <c r="O917" i="7"/>
  <c r="O1494" i="7" s="1"/>
  <c r="N195" i="33"/>
  <c r="N36" i="6"/>
  <c r="N1441" i="7" s="1"/>
  <c r="N705" i="7"/>
  <c r="O126" i="6"/>
  <c r="O705" i="7" s="1"/>
  <c r="Q325" i="25"/>
  <c r="Q693" i="7" s="1"/>
  <c r="P346" i="25"/>
  <c r="P275" i="1"/>
  <c r="P277" i="1" s="1"/>
  <c r="P197" i="32"/>
  <c r="P82" i="6"/>
  <c r="P209" i="32" s="1"/>
  <c r="Q255" i="7"/>
  <c r="Q256" i="7" s="1"/>
  <c r="P499" i="7"/>
  <c r="Q320" i="26"/>
  <c r="P1163" i="7"/>
  <c r="N174" i="2"/>
  <c r="O1388" i="7"/>
  <c r="O1390" i="7" s="1"/>
  <c r="N16" i="5"/>
  <c r="P274" i="1"/>
  <c r="P196" i="32"/>
  <c r="Q254" i="7"/>
  <c r="P57" i="5"/>
  <c r="Q304" i="25"/>
  <c r="P688" i="7"/>
  <c r="O125" i="6"/>
  <c r="N119" i="2"/>
  <c r="N122" i="2" s="1"/>
  <c r="N124" i="2" s="1"/>
  <c r="P906" i="7"/>
  <c r="P905" i="7"/>
  <c r="P908" i="7"/>
  <c r="P904" i="7"/>
  <c r="P910" i="7"/>
  <c r="P903" i="7"/>
  <c r="P902" i="7"/>
  <c r="P909" i="7"/>
  <c r="P907" i="7"/>
  <c r="P173" i="10"/>
  <c r="O702" i="7"/>
  <c r="Q334" i="25"/>
  <c r="O312" i="25"/>
  <c r="O112" i="5"/>
  <c r="P876" i="7"/>
  <c r="P877" i="7"/>
  <c r="P880" i="7"/>
  <c r="P878" i="7"/>
  <c r="P872" i="7"/>
  <c r="P875" i="7"/>
  <c r="P874" i="7"/>
  <c r="P873" i="7"/>
  <c r="P879" i="7"/>
  <c r="Q257" i="25"/>
  <c r="P678" i="7"/>
  <c r="P307" i="25" s="1"/>
  <c r="Q290" i="26"/>
  <c r="P1157" i="7"/>
  <c r="P155" i="5" s="1"/>
  <c r="Q311" i="26"/>
  <c r="P1162" i="7"/>
  <c r="Q871" i="7"/>
  <c r="Q901" i="7"/>
  <c r="Q1141" i="7"/>
  <c r="P145" i="5"/>
  <c r="P223" i="26"/>
  <c r="P174" i="34"/>
  <c r="Q243" i="26"/>
  <c r="P1147" i="7"/>
  <c r="P293" i="26" s="1"/>
  <c r="Q329" i="26"/>
  <c r="P1165" i="7"/>
  <c r="O62" i="6"/>
  <c r="O58" i="5"/>
  <c r="O276" i="1"/>
  <c r="Q280" i="26"/>
  <c r="P1155" i="7"/>
  <c r="P297" i="26" s="1"/>
  <c r="P371" i="7"/>
  <c r="P368" i="7"/>
  <c r="P369" i="7"/>
  <c r="P370" i="7"/>
  <c r="P372" i="7"/>
  <c r="P172" i="6"/>
  <c r="P1174" i="7" s="1"/>
  <c r="Q1142" i="7"/>
  <c r="Q1143" i="7" s="1"/>
  <c r="P175" i="34"/>
  <c r="P224" i="26"/>
  <c r="P1389" i="7"/>
  <c r="Q294" i="25"/>
  <c r="Q686" i="7" s="1"/>
  <c r="Q343" i="25"/>
  <c r="Q696" i="7" s="1"/>
  <c r="O311" i="25"/>
  <c r="O111" i="5"/>
  <c r="O348" i="25"/>
  <c r="Q51" i="27"/>
  <c r="L918" i="7"/>
  <c r="R38" i="27"/>
  <c r="R1401" i="7" s="1"/>
  <c r="R171" i="25"/>
  <c r="R664" i="7" s="1"/>
  <c r="Q192" i="25"/>
  <c r="R171" i="26"/>
  <c r="R1133" i="7" s="1"/>
  <c r="O151" i="2"/>
  <c r="O374" i="26"/>
  <c r="P192" i="26"/>
  <c r="R180" i="26"/>
  <c r="R376" i="1"/>
  <c r="R275" i="7" s="1"/>
  <c r="R345" i="1"/>
  <c r="Q268" i="7"/>
  <c r="R385" i="1"/>
  <c r="P87" i="27"/>
  <c r="P333" i="26"/>
  <c r="P397" i="1"/>
  <c r="P67" i="5"/>
  <c r="P362" i="1"/>
  <c r="R308" i="1"/>
  <c r="Q260" i="7"/>
  <c r="R240" i="1"/>
  <c r="R249" i="7" s="1"/>
  <c r="Q245" i="1"/>
  <c r="P88" i="27"/>
  <c r="P334" i="26"/>
  <c r="R355" i="1"/>
  <c r="Q270" i="7"/>
  <c r="R222" i="1"/>
  <c r="R246" i="7" s="1"/>
  <c r="P63" i="5"/>
  <c r="P358" i="1"/>
  <c r="P68" i="5"/>
  <c r="P363" i="1"/>
  <c r="R394" i="1"/>
  <c r="R278" i="7" s="1"/>
  <c r="Q399" i="1"/>
  <c r="R231" i="1"/>
  <c r="P243" i="1"/>
  <c r="P86" i="27"/>
  <c r="P332" i="26"/>
  <c r="R74" i="27"/>
  <c r="R1424" i="7" s="1"/>
  <c r="S1225" i="7"/>
  <c r="Q457" i="7"/>
  <c r="Q459" i="7"/>
  <c r="Q458" i="7"/>
  <c r="Q461" i="7"/>
  <c r="Q456" i="7"/>
  <c r="Q462" i="7"/>
  <c r="Q455" i="7"/>
  <c r="Q454" i="7"/>
  <c r="Q460" i="7"/>
  <c r="Q400" i="7"/>
  <c r="Q401" i="7"/>
  <c r="Q399" i="7"/>
  <c r="Q397" i="7"/>
  <c r="Q395" i="7"/>
  <c r="Q396" i="7"/>
  <c r="Q402" i="7"/>
  <c r="Q398" i="7"/>
  <c r="Q394" i="7"/>
  <c r="R189" i="25" l="1"/>
  <c r="R667" i="7" s="1"/>
  <c r="R194" i="25" s="1"/>
  <c r="R83" i="27"/>
  <c r="R1425" i="7" s="1"/>
  <c r="Q1431" i="7"/>
  <c r="Q1459" i="7" s="1"/>
  <c r="Q112" i="27" s="1"/>
  <c r="R189" i="26"/>
  <c r="R1136" i="7" s="1"/>
  <c r="R194" i="26" s="1"/>
  <c r="S1164" i="7"/>
  <c r="S1135" i="7"/>
  <c r="Q666" i="7"/>
  <c r="Q665" i="7" s="1"/>
  <c r="Q695" i="7"/>
  <c r="Q694" i="7" s="1"/>
  <c r="P81" i="6"/>
  <c r="P287" i="7" s="1"/>
  <c r="Q1458" i="7"/>
  <c r="Q111" i="27" s="1"/>
  <c r="O156" i="6"/>
  <c r="R1134" i="7"/>
  <c r="R193" i="26" s="1"/>
  <c r="R149" i="6"/>
  <c r="P159" i="5"/>
  <c r="S1395" i="7"/>
  <c r="N106" i="2"/>
  <c r="N111" i="6" s="1"/>
  <c r="R1394" i="7"/>
  <c r="R1396" i="7" s="1"/>
  <c r="Q176" i="2"/>
  <c r="Q429" i="7"/>
  <c r="R65" i="27"/>
  <c r="R1423" i="7" s="1"/>
  <c r="Q432" i="7"/>
  <c r="N390" i="25"/>
  <c r="P922" i="7"/>
  <c r="P924" i="7" s="1"/>
  <c r="P131" i="2" s="1"/>
  <c r="P347" i="25"/>
  <c r="Q923" i="7"/>
  <c r="O104" i="6"/>
  <c r="O723" i="7"/>
  <c r="O106" i="2" s="1"/>
  <c r="N118" i="2"/>
  <c r="N113" i="6" s="1"/>
  <c r="O725" i="7"/>
  <c r="O116" i="5"/>
  <c r="P104" i="6"/>
  <c r="P193" i="25"/>
  <c r="Q488" i="7"/>
  <c r="Q485" i="7"/>
  <c r="Q491" i="7"/>
  <c r="R48" i="27"/>
  <c r="R1403" i="7" s="1"/>
  <c r="R52" i="27" s="1"/>
  <c r="Q492" i="7"/>
  <c r="R483" i="7"/>
  <c r="R489" i="7" s="1"/>
  <c r="R769" i="7"/>
  <c r="Q771" i="7"/>
  <c r="Q770" i="7"/>
  <c r="Q772" i="7"/>
  <c r="Q773" i="7"/>
  <c r="Q774" i="7"/>
  <c r="Q484" i="7"/>
  <c r="Q489" i="7"/>
  <c r="S1227" i="7"/>
  <c r="S1226" i="7"/>
  <c r="S1228" i="7"/>
  <c r="S1229" i="7"/>
  <c r="S1230" i="7"/>
  <c r="S1171" i="7" s="1"/>
  <c r="Q487" i="7"/>
  <c r="Q490" i="7"/>
  <c r="Q164" i="2"/>
  <c r="Q167" i="2" s="1"/>
  <c r="Q169" i="2" s="1"/>
  <c r="R170" i="6"/>
  <c r="R186" i="34" s="1"/>
  <c r="Q425" i="7"/>
  <c r="Q428" i="7"/>
  <c r="Q424" i="7"/>
  <c r="Q431" i="7"/>
  <c r="Q430" i="7"/>
  <c r="Q426" i="7"/>
  <c r="Q81" i="6" s="1"/>
  <c r="R180" i="25"/>
  <c r="R423" i="7"/>
  <c r="R427" i="7" s="1"/>
  <c r="R1431" i="7"/>
  <c r="R1459" i="7" s="1"/>
  <c r="P702" i="7"/>
  <c r="S393" i="7"/>
  <c r="S453" i="7"/>
  <c r="R367" i="7"/>
  <c r="P1415" i="7"/>
  <c r="P25" i="5" s="1"/>
  <c r="P1417" i="7"/>
  <c r="P26" i="5" s="1"/>
  <c r="L1495" i="7"/>
  <c r="L39" i="2" s="1"/>
  <c r="L84" i="2"/>
  <c r="M498" i="7"/>
  <c r="P1407" i="7"/>
  <c r="P21" i="5" s="1"/>
  <c r="P126" i="6"/>
  <c r="P705" i="7" s="1"/>
  <c r="P154" i="5"/>
  <c r="Q224" i="25"/>
  <c r="Q226" i="25" s="1"/>
  <c r="Q127" i="6"/>
  <c r="O163" i="2"/>
  <c r="O158" i="6" s="1"/>
  <c r="Q173" i="10"/>
  <c r="P107" i="5"/>
  <c r="P298" i="26"/>
  <c r="O36" i="6"/>
  <c r="O1441" i="7" s="1"/>
  <c r="P150" i="5"/>
  <c r="O17" i="6"/>
  <c r="O195" i="33"/>
  <c r="R673" i="7"/>
  <c r="R127" i="6" s="1"/>
  <c r="Q674" i="7"/>
  <c r="P1197" i="7"/>
  <c r="P163" i="2" s="1"/>
  <c r="P107" i="6"/>
  <c r="P917" i="7"/>
  <c r="P1494" i="7" s="1"/>
  <c r="P225" i="25"/>
  <c r="P102" i="5"/>
  <c r="P723" i="7" s="1"/>
  <c r="P106" i="2" s="1"/>
  <c r="R243" i="26"/>
  <c r="Q1147" i="7"/>
  <c r="Q150" i="5" s="1"/>
  <c r="R311" i="26"/>
  <c r="Q1162" i="7"/>
  <c r="R257" i="25"/>
  <c r="Q678" i="7"/>
  <c r="R325" i="25"/>
  <c r="R693" i="7" s="1"/>
  <c r="Q346" i="25"/>
  <c r="R1141" i="7"/>
  <c r="Q223" i="26"/>
  <c r="Q174" i="34"/>
  <c r="Q145" i="5"/>
  <c r="Q906" i="7"/>
  <c r="Q907" i="7"/>
  <c r="Q905" i="7"/>
  <c r="Q910" i="7"/>
  <c r="Q903" i="7"/>
  <c r="Q902" i="7"/>
  <c r="Q909" i="7"/>
  <c r="Q908" i="7"/>
  <c r="Q904" i="7"/>
  <c r="R304" i="25"/>
  <c r="Q688" i="7"/>
  <c r="P58" i="5"/>
  <c r="P62" i="6"/>
  <c r="P276" i="1"/>
  <c r="P37" i="6"/>
  <c r="P185" i="10" s="1"/>
  <c r="P152" i="6"/>
  <c r="P225" i="26"/>
  <c r="P146" i="5"/>
  <c r="P1195" i="7" s="1"/>
  <c r="P374" i="26" s="1"/>
  <c r="Q172" i="6"/>
  <c r="Q1174" i="7" s="1"/>
  <c r="Q224" i="26"/>
  <c r="Q175" i="34"/>
  <c r="R1142" i="7"/>
  <c r="R1143" i="7" s="1"/>
  <c r="Q1389" i="7"/>
  <c r="R280" i="26"/>
  <c r="Q1155" i="7"/>
  <c r="Q297" i="26" s="1"/>
  <c r="Q371" i="7"/>
  <c r="Q369" i="7"/>
  <c r="Q372" i="7"/>
  <c r="Q368" i="7"/>
  <c r="Q370" i="7"/>
  <c r="Q876" i="7"/>
  <c r="Q875" i="7"/>
  <c r="Q880" i="7"/>
  <c r="Q872" i="7"/>
  <c r="Q878" i="7"/>
  <c r="Q874" i="7"/>
  <c r="Q873" i="7"/>
  <c r="Q879" i="7"/>
  <c r="Q877" i="7"/>
  <c r="R290" i="26"/>
  <c r="Q1157" i="7"/>
  <c r="Q155" i="5" s="1"/>
  <c r="P125" i="6"/>
  <c r="O119" i="2"/>
  <c r="O122" i="2" s="1"/>
  <c r="O124" i="2" s="1"/>
  <c r="O174" i="2"/>
  <c r="P1388" i="7"/>
  <c r="P1390" i="7" s="1"/>
  <c r="P112" i="5"/>
  <c r="P312" i="25"/>
  <c r="R320" i="26"/>
  <c r="Q1163" i="7"/>
  <c r="O16" i="5"/>
  <c r="R329" i="26"/>
  <c r="Q1165" i="7"/>
  <c r="R871" i="7"/>
  <c r="R901" i="7"/>
  <c r="S189" i="25"/>
  <c r="S667" i="7" s="1"/>
  <c r="R334" i="25"/>
  <c r="Q274" i="1"/>
  <c r="Q57" i="5"/>
  <c r="R254" i="7"/>
  <c r="Q196" i="32"/>
  <c r="Q275" i="1"/>
  <c r="Q277" i="1" s="1"/>
  <c r="Q197" i="32"/>
  <c r="Q82" i="6"/>
  <c r="Q209" i="32" s="1"/>
  <c r="R255" i="7"/>
  <c r="R256" i="7" s="1"/>
  <c r="Q499" i="7"/>
  <c r="R343" i="25"/>
  <c r="R696" i="7" s="1"/>
  <c r="R294" i="25"/>
  <c r="R686" i="7" s="1"/>
  <c r="P348" i="25"/>
  <c r="P311" i="25"/>
  <c r="P111" i="5"/>
  <c r="M916" i="7"/>
  <c r="M918" i="7" s="1"/>
  <c r="N916" i="7" s="1"/>
  <c r="N918" i="7" s="1"/>
  <c r="R51" i="27"/>
  <c r="L129" i="2"/>
  <c r="S38" i="27"/>
  <c r="S1401" i="7" s="1"/>
  <c r="S171" i="25"/>
  <c r="S664" i="7" s="1"/>
  <c r="R192" i="25"/>
  <c r="S180" i="26"/>
  <c r="S171" i="26"/>
  <c r="S1133" i="7" s="1"/>
  <c r="Q192" i="26"/>
  <c r="S189" i="26"/>
  <c r="S1136" i="7" s="1"/>
  <c r="S394" i="1"/>
  <c r="S278" i="7" s="1"/>
  <c r="R399" i="1"/>
  <c r="Q68" i="5"/>
  <c r="Q363" i="1"/>
  <c r="S385" i="1"/>
  <c r="S376" i="1"/>
  <c r="S275" i="7" s="1"/>
  <c r="S231" i="1"/>
  <c r="Q86" i="27"/>
  <c r="Q332" i="26"/>
  <c r="S222" i="1"/>
  <c r="S246" i="7" s="1"/>
  <c r="S308" i="1"/>
  <c r="R260" i="7"/>
  <c r="Q397" i="1"/>
  <c r="S74" i="27"/>
  <c r="S1424" i="7" s="1"/>
  <c r="Q243" i="1"/>
  <c r="Q63" i="5"/>
  <c r="Q358" i="1"/>
  <c r="S345" i="1"/>
  <c r="R268" i="7"/>
  <c r="Q87" i="27"/>
  <c r="Q333" i="26"/>
  <c r="S355" i="1"/>
  <c r="R270" i="7"/>
  <c r="S240" i="1"/>
  <c r="S249" i="7" s="1"/>
  <c r="R245" i="1"/>
  <c r="Q334" i="26"/>
  <c r="Q88" i="27"/>
  <c r="Q67" i="5"/>
  <c r="Q362" i="1"/>
  <c r="R396" i="7"/>
  <c r="R395" i="7"/>
  <c r="R402" i="7"/>
  <c r="R397" i="7"/>
  <c r="R394" i="7"/>
  <c r="R400" i="7"/>
  <c r="R398" i="7"/>
  <c r="R401" i="7"/>
  <c r="R399" i="7"/>
  <c r="R456" i="7"/>
  <c r="R454" i="7"/>
  <c r="R459" i="7"/>
  <c r="R458" i="7"/>
  <c r="R460" i="7"/>
  <c r="R457" i="7"/>
  <c r="R461" i="7"/>
  <c r="R462" i="7"/>
  <c r="R455" i="7"/>
  <c r="T1225" i="7"/>
  <c r="S48" i="27" l="1"/>
  <c r="S1403" i="7" s="1"/>
  <c r="S83" i="27"/>
  <c r="S1425" i="7" s="1"/>
  <c r="T1135" i="7"/>
  <c r="T1164" i="7"/>
  <c r="R695" i="7"/>
  <c r="R694" i="7" s="1"/>
  <c r="R666" i="7"/>
  <c r="R665" i="7" s="1"/>
  <c r="O111" i="6"/>
  <c r="S65" i="27"/>
  <c r="S1423" i="7" s="1"/>
  <c r="R1458" i="7"/>
  <c r="R111" i="27" s="1"/>
  <c r="S1134" i="7"/>
  <c r="S193" i="26" s="1"/>
  <c r="Q159" i="5"/>
  <c r="S149" i="6"/>
  <c r="T1395" i="7"/>
  <c r="S1394" i="7"/>
  <c r="S1396" i="7" s="1"/>
  <c r="R176" i="2"/>
  <c r="P725" i="7"/>
  <c r="P390" i="25" s="1"/>
  <c r="R426" i="7"/>
  <c r="Q347" i="25"/>
  <c r="Q922" i="7"/>
  <c r="Q924" i="7" s="1"/>
  <c r="P116" i="5"/>
  <c r="R923" i="7"/>
  <c r="P111" i="6"/>
  <c r="O388" i="25"/>
  <c r="O118" i="2"/>
  <c r="O113" i="6" s="1"/>
  <c r="O390" i="25"/>
  <c r="Q104" i="6"/>
  <c r="Q193" i="25"/>
  <c r="R485" i="7"/>
  <c r="R492" i="7"/>
  <c r="R429" i="7"/>
  <c r="R487" i="7"/>
  <c r="R431" i="7"/>
  <c r="R491" i="7"/>
  <c r="R484" i="7"/>
  <c r="R486" i="7"/>
  <c r="R488" i="7"/>
  <c r="R490" i="7"/>
  <c r="S170" i="6"/>
  <c r="S186" i="34" s="1"/>
  <c r="R164" i="2"/>
  <c r="R167" i="2" s="1"/>
  <c r="R169" i="2" s="1"/>
  <c r="R771" i="7"/>
  <c r="R770" i="7"/>
  <c r="R773" i="7"/>
  <c r="R772" i="7"/>
  <c r="R774" i="7"/>
  <c r="T1227" i="7"/>
  <c r="T1226" i="7"/>
  <c r="T1228" i="7"/>
  <c r="T1229" i="7"/>
  <c r="T1230" i="7"/>
  <c r="T1171" i="7" s="1"/>
  <c r="S483" i="7"/>
  <c r="S489" i="7" s="1"/>
  <c r="S769" i="7"/>
  <c r="R432" i="7"/>
  <c r="R428" i="7"/>
  <c r="R425" i="7"/>
  <c r="R430" i="7"/>
  <c r="R424" i="7"/>
  <c r="S180" i="25"/>
  <c r="S423" i="7"/>
  <c r="S428" i="7" s="1"/>
  <c r="S1458" i="7"/>
  <c r="S111" i="27" s="1"/>
  <c r="S1431" i="7"/>
  <c r="S1459" i="7" s="1"/>
  <c r="R184" i="33"/>
  <c r="T393" i="7"/>
  <c r="T453" i="7"/>
  <c r="P376" i="26"/>
  <c r="Q1407" i="7"/>
  <c r="Q21" i="5" s="1"/>
  <c r="S367" i="7"/>
  <c r="R224" i="25"/>
  <c r="R226" i="25" s="1"/>
  <c r="P388" i="25"/>
  <c r="Q702" i="7"/>
  <c r="P36" i="6"/>
  <c r="P1441" i="7" s="1"/>
  <c r="Q1417" i="7"/>
  <c r="Q26" i="5" s="1"/>
  <c r="M500" i="7"/>
  <c r="M1493" i="7"/>
  <c r="Q1415" i="7"/>
  <c r="Q25" i="5" s="1"/>
  <c r="P195" i="33"/>
  <c r="Q126" i="6"/>
  <c r="Q705" i="7" s="1"/>
  <c r="R173" i="10"/>
  <c r="Q293" i="26"/>
  <c r="P151" i="2"/>
  <c r="P156" i="6" s="1"/>
  <c r="P158" i="6"/>
  <c r="Q1197" i="7"/>
  <c r="Q163" i="2" s="1"/>
  <c r="Q158" i="6" s="1"/>
  <c r="S673" i="7"/>
  <c r="S127" i="6" s="1"/>
  <c r="R674" i="7"/>
  <c r="Q154" i="5"/>
  <c r="Q107" i="5"/>
  <c r="Q107" i="6"/>
  <c r="Q917" i="7"/>
  <c r="Q1494" i="7" s="1"/>
  <c r="Q102" i="5"/>
  <c r="Q723" i="7" s="1"/>
  <c r="Q106" i="2" s="1"/>
  <c r="Q111" i="6" s="1"/>
  <c r="Q225" i="25"/>
  <c r="Q307" i="25"/>
  <c r="P17" i="6"/>
  <c r="P174" i="2"/>
  <c r="Q1388" i="7"/>
  <c r="Q1390" i="7" s="1"/>
  <c r="R906" i="7"/>
  <c r="R907" i="7"/>
  <c r="R905" i="7"/>
  <c r="R904" i="7"/>
  <c r="R910" i="7"/>
  <c r="R903" i="7"/>
  <c r="R902" i="7"/>
  <c r="R909" i="7"/>
  <c r="R908" i="7"/>
  <c r="S257" i="25"/>
  <c r="R678" i="7"/>
  <c r="S311" i="26"/>
  <c r="R1162" i="7"/>
  <c r="S871" i="7"/>
  <c r="S901" i="7"/>
  <c r="R873" i="7"/>
  <c r="R875" i="7"/>
  <c r="R877" i="7"/>
  <c r="R874" i="7"/>
  <c r="R878" i="7"/>
  <c r="R879" i="7"/>
  <c r="R876" i="7"/>
  <c r="R880" i="7"/>
  <c r="R872" i="7"/>
  <c r="S290" i="26"/>
  <c r="R1157" i="7"/>
  <c r="R298" i="26" s="1"/>
  <c r="R175" i="34"/>
  <c r="S1142" i="7"/>
  <c r="S1143" i="7" s="1"/>
  <c r="R172" i="6"/>
  <c r="R1174" i="7" s="1"/>
  <c r="R224" i="26"/>
  <c r="R1389" i="7"/>
  <c r="P16" i="5"/>
  <c r="S1141" i="7"/>
  <c r="R174" i="34"/>
  <c r="R145" i="5"/>
  <c r="R223" i="26"/>
  <c r="S325" i="25"/>
  <c r="S693" i="7" s="1"/>
  <c r="R346" i="25"/>
  <c r="Q276" i="1"/>
  <c r="Q62" i="6"/>
  <c r="Q58" i="5"/>
  <c r="R274" i="1"/>
  <c r="R57" i="5"/>
  <c r="S254" i="7"/>
  <c r="R196" i="32"/>
  <c r="S194" i="25"/>
  <c r="T189" i="25"/>
  <c r="T667" i="7" s="1"/>
  <c r="R371" i="7"/>
  <c r="R368" i="7"/>
  <c r="R372" i="7"/>
  <c r="R369" i="7"/>
  <c r="R370" i="7"/>
  <c r="S329" i="26"/>
  <c r="R1165" i="7"/>
  <c r="Q225" i="26"/>
  <c r="Q152" i="6"/>
  <c r="Q146" i="5"/>
  <c r="Q1195" i="7" s="1"/>
  <c r="Q151" i="2" s="1"/>
  <c r="S304" i="25"/>
  <c r="R688" i="7"/>
  <c r="S243" i="26"/>
  <c r="R1147" i="7"/>
  <c r="R293" i="26" s="1"/>
  <c r="Q298" i="26"/>
  <c r="P119" i="2"/>
  <c r="P122" i="2" s="1"/>
  <c r="P124" i="2" s="1"/>
  <c r="Q125" i="6"/>
  <c r="R197" i="32"/>
  <c r="S255" i="7"/>
  <c r="S256" i="7" s="1"/>
  <c r="R82" i="6"/>
  <c r="R209" i="32" s="1"/>
  <c r="R275" i="1"/>
  <c r="R277" i="1" s="1"/>
  <c r="R499" i="7"/>
  <c r="S334" i="25"/>
  <c r="S320" i="26"/>
  <c r="R1163" i="7"/>
  <c r="S280" i="26"/>
  <c r="R1155" i="7"/>
  <c r="R154" i="5" s="1"/>
  <c r="Q312" i="25"/>
  <c r="Q112" i="5"/>
  <c r="Q37" i="6"/>
  <c r="Q185" i="10" s="1"/>
  <c r="Q111" i="5"/>
  <c r="Q311" i="25"/>
  <c r="Q348" i="25"/>
  <c r="S294" i="25"/>
  <c r="S686" i="7" s="1"/>
  <c r="S343" i="25"/>
  <c r="S696" i="7" s="1"/>
  <c r="N129" i="2"/>
  <c r="R112" i="27"/>
  <c r="O916" i="7"/>
  <c r="O918" i="7" s="1"/>
  <c r="M129" i="2"/>
  <c r="S51" i="27"/>
  <c r="S52" i="27"/>
  <c r="T38" i="27"/>
  <c r="T1401" i="7" s="1"/>
  <c r="S192" i="25"/>
  <c r="T171" i="25"/>
  <c r="T664" i="7" s="1"/>
  <c r="T164" i="34"/>
  <c r="T168" i="10" s="1"/>
  <c r="T180" i="26"/>
  <c r="T189" i="26"/>
  <c r="T1136" i="7" s="1"/>
  <c r="S194" i="26"/>
  <c r="T171" i="26"/>
  <c r="T1133" i="7" s="1"/>
  <c r="R192" i="26"/>
  <c r="Q287" i="7"/>
  <c r="R68" i="5"/>
  <c r="R363" i="1"/>
  <c r="R67" i="5"/>
  <c r="R362" i="1"/>
  <c r="T376" i="1"/>
  <c r="T275" i="7" s="1"/>
  <c r="R86" i="27"/>
  <c r="R332" i="26"/>
  <c r="T240" i="1"/>
  <c r="T249" i="7" s="1"/>
  <c r="S245" i="1"/>
  <c r="T83" i="27"/>
  <c r="T1425" i="7" s="1"/>
  <c r="T74" i="27"/>
  <c r="T1424" i="7" s="1"/>
  <c r="T308" i="1"/>
  <c r="S260" i="7"/>
  <c r="T222" i="1"/>
  <c r="T246" i="7" s="1"/>
  <c r="R397" i="1"/>
  <c r="R88" i="27"/>
  <c r="R334" i="26"/>
  <c r="R87" i="27"/>
  <c r="R333" i="26"/>
  <c r="R63" i="5"/>
  <c r="R358" i="1"/>
  <c r="R243" i="1"/>
  <c r="T231" i="1"/>
  <c r="T385" i="1"/>
  <c r="T355" i="1"/>
  <c r="S270" i="7"/>
  <c r="T345" i="1"/>
  <c r="S268" i="7"/>
  <c r="T65" i="27"/>
  <c r="T1423" i="7" s="1"/>
  <c r="T394" i="1"/>
  <c r="T278" i="7" s="1"/>
  <c r="S399" i="1"/>
  <c r="U1225" i="7"/>
  <c r="S457" i="7"/>
  <c r="S460" i="7"/>
  <c r="S458" i="7"/>
  <c r="S461" i="7"/>
  <c r="S456" i="7"/>
  <c r="S462" i="7"/>
  <c r="S455" i="7"/>
  <c r="S454" i="7"/>
  <c r="S459" i="7"/>
  <c r="S402" i="7"/>
  <c r="S397" i="7"/>
  <c r="S394" i="7"/>
  <c r="S396" i="7"/>
  <c r="S400" i="7"/>
  <c r="S398" i="7"/>
  <c r="S401" i="7"/>
  <c r="S399" i="7"/>
  <c r="S395" i="7"/>
  <c r="T48" i="27" l="1"/>
  <c r="T1403" i="7" s="1"/>
  <c r="U1164" i="7"/>
  <c r="U1135" i="7"/>
  <c r="S695" i="7"/>
  <c r="S694" i="7" s="1"/>
  <c r="S666" i="7"/>
  <c r="S665" i="7" s="1"/>
  <c r="T1134" i="7"/>
  <c r="T193" i="26" s="1"/>
  <c r="T149" i="6"/>
  <c r="R159" i="5"/>
  <c r="U1395" i="7"/>
  <c r="T1394" i="7"/>
  <c r="T1396" i="7" s="1"/>
  <c r="S176" i="2"/>
  <c r="P118" i="2"/>
  <c r="P113" i="6" s="1"/>
  <c r="R81" i="6"/>
  <c r="R287" i="7" s="1"/>
  <c r="Q725" i="7"/>
  <c r="Q116" i="5"/>
  <c r="Q131" i="2"/>
  <c r="R922" i="7"/>
  <c r="R924" i="7" s="1"/>
  <c r="S923" i="7"/>
  <c r="R104" i="6"/>
  <c r="R347" i="25"/>
  <c r="R193" i="25"/>
  <c r="S490" i="7"/>
  <c r="S425" i="7"/>
  <c r="S427" i="7"/>
  <c r="S486" i="7"/>
  <c r="S492" i="7"/>
  <c r="S432" i="7"/>
  <c r="S430" i="7"/>
  <c r="S424" i="7"/>
  <c r="S431" i="7"/>
  <c r="S491" i="7"/>
  <c r="S429" i="7"/>
  <c r="S426" i="7"/>
  <c r="S484" i="7"/>
  <c r="T483" i="7"/>
  <c r="T486" i="7" s="1"/>
  <c r="T769" i="7"/>
  <c r="S771" i="7"/>
  <c r="S770" i="7"/>
  <c r="S772" i="7"/>
  <c r="S773" i="7"/>
  <c r="S774" i="7"/>
  <c r="U1227" i="7"/>
  <c r="U1226" i="7"/>
  <c r="U1228" i="7"/>
  <c r="U1229" i="7"/>
  <c r="U1230" i="7"/>
  <c r="U1171" i="7" s="1"/>
  <c r="S487" i="7"/>
  <c r="S485" i="7"/>
  <c r="T170" i="6"/>
  <c r="T186" i="34" s="1"/>
  <c r="S164" i="2"/>
  <c r="S167" i="2" s="1"/>
  <c r="S169" i="2" s="1"/>
  <c r="S488" i="7"/>
  <c r="T180" i="25"/>
  <c r="T423" i="7"/>
  <c r="T426" i="7" s="1"/>
  <c r="T1431" i="7"/>
  <c r="T1459" i="7" s="1"/>
  <c r="T1458" i="7"/>
  <c r="T111" i="27" s="1"/>
  <c r="U453" i="7"/>
  <c r="U393" i="7"/>
  <c r="T367" i="7"/>
  <c r="R1417" i="7"/>
  <c r="R26" i="5" s="1"/>
  <c r="R1407" i="7"/>
  <c r="R21" i="5" s="1"/>
  <c r="M1495" i="7"/>
  <c r="M39" i="2" s="1"/>
  <c r="M84" i="2"/>
  <c r="N498" i="7"/>
  <c r="R1415" i="7"/>
  <c r="R25" i="5" s="1"/>
  <c r="Q376" i="26"/>
  <c r="Q36" i="6"/>
  <c r="Q1441" i="7" s="1"/>
  <c r="Q195" i="33"/>
  <c r="Q156" i="6"/>
  <c r="Q374" i="26"/>
  <c r="S184" i="33"/>
  <c r="R150" i="5"/>
  <c r="S224" i="25"/>
  <c r="S226" i="25" s="1"/>
  <c r="S173" i="10"/>
  <c r="Q388" i="25"/>
  <c r="R1197" i="7"/>
  <c r="R163" i="2" s="1"/>
  <c r="R158" i="6" s="1"/>
  <c r="R155" i="5"/>
  <c r="R297" i="26"/>
  <c r="R37" i="6"/>
  <c r="R185" i="10" s="1"/>
  <c r="T673" i="7"/>
  <c r="T184" i="33" s="1"/>
  <c r="S674" i="7"/>
  <c r="R107" i="5"/>
  <c r="R102" i="5"/>
  <c r="R723" i="7" s="1"/>
  <c r="R106" i="2" s="1"/>
  <c r="R111" i="6" s="1"/>
  <c r="R917" i="7"/>
  <c r="R1494" i="7" s="1"/>
  <c r="R107" i="6"/>
  <c r="R225" i="25"/>
  <c r="R307" i="25"/>
  <c r="R702" i="7"/>
  <c r="R126" i="6"/>
  <c r="R125" i="6"/>
  <c r="T334" i="25"/>
  <c r="T194" i="25"/>
  <c r="U189" i="25"/>
  <c r="U667" i="7" s="1"/>
  <c r="T1141" i="7"/>
  <c r="S174" i="34"/>
  <c r="S145" i="5"/>
  <c r="S223" i="26"/>
  <c r="S371" i="7"/>
  <c r="S368" i="7"/>
  <c r="S372" i="7"/>
  <c r="S370" i="7"/>
  <c r="S369" i="7"/>
  <c r="Q17" i="6"/>
  <c r="T304" i="25"/>
  <c r="S688" i="7"/>
  <c r="T311" i="26"/>
  <c r="S1162" i="7"/>
  <c r="R62" i="6"/>
  <c r="R276" i="1"/>
  <c r="R58" i="5"/>
  <c r="S275" i="1"/>
  <c r="S277" i="1" s="1"/>
  <c r="S82" i="6"/>
  <c r="S209" i="32" s="1"/>
  <c r="S197" i="32"/>
  <c r="T255" i="7"/>
  <c r="T256" i="7" s="1"/>
  <c r="S499" i="7"/>
  <c r="T243" i="26"/>
  <c r="S1147" i="7"/>
  <c r="S293" i="26" s="1"/>
  <c r="R112" i="5"/>
  <c r="R312" i="25"/>
  <c r="T329" i="26"/>
  <c r="S1165" i="7"/>
  <c r="R225" i="26"/>
  <c r="R146" i="5"/>
  <c r="R1195" i="7" s="1"/>
  <c r="R374" i="26" s="1"/>
  <c r="R152" i="6"/>
  <c r="S175" i="34"/>
  <c r="T1142" i="7"/>
  <c r="T1143" i="7" s="1"/>
  <c r="S172" i="6"/>
  <c r="S1174" i="7" s="1"/>
  <c r="S224" i="26"/>
  <c r="S906" i="7"/>
  <c r="S902" i="7"/>
  <c r="S908" i="7"/>
  <c r="S910" i="7"/>
  <c r="S904" i="7"/>
  <c r="S909" i="7"/>
  <c r="S907" i="7"/>
  <c r="S905" i="7"/>
  <c r="S903" i="7"/>
  <c r="Q119" i="2"/>
  <c r="Q122" i="2" s="1"/>
  <c r="Q124" i="2" s="1"/>
  <c r="Q16" i="5"/>
  <c r="T325" i="25"/>
  <c r="T693" i="7" s="1"/>
  <c r="S346" i="25"/>
  <c r="S873" i="7"/>
  <c r="S872" i="7"/>
  <c r="S877" i="7"/>
  <c r="S880" i="7"/>
  <c r="S879" i="7"/>
  <c r="S878" i="7"/>
  <c r="S874" i="7"/>
  <c r="S876" i="7"/>
  <c r="S875" i="7"/>
  <c r="T280" i="26"/>
  <c r="S1155" i="7"/>
  <c r="S297" i="26" s="1"/>
  <c r="T320" i="26"/>
  <c r="S1163" i="7"/>
  <c r="S274" i="1"/>
  <c r="S196" i="32"/>
  <c r="S57" i="5"/>
  <c r="T254" i="7"/>
  <c r="R1388" i="7"/>
  <c r="R1390" i="7" s="1"/>
  <c r="Q174" i="2"/>
  <c r="T290" i="26"/>
  <c r="S1157" i="7"/>
  <c r="S155" i="5" s="1"/>
  <c r="T871" i="7"/>
  <c r="T901" i="7"/>
  <c r="T257" i="25"/>
  <c r="S678" i="7"/>
  <c r="S307" i="25" s="1"/>
  <c r="R348" i="25"/>
  <c r="R111" i="5"/>
  <c r="R311" i="25"/>
  <c r="T343" i="25"/>
  <c r="T696" i="7" s="1"/>
  <c r="T294" i="25"/>
  <c r="T686" i="7" s="1"/>
  <c r="S112" i="27"/>
  <c r="P916" i="7"/>
  <c r="P918" i="7" s="1"/>
  <c r="P129" i="2" s="1"/>
  <c r="O129" i="2"/>
  <c r="T52" i="27"/>
  <c r="T51" i="27"/>
  <c r="U38" i="27"/>
  <c r="U1401" i="7" s="1"/>
  <c r="U48" i="27"/>
  <c r="U1403" i="7" s="1"/>
  <c r="U171" i="25"/>
  <c r="U664" i="7" s="1"/>
  <c r="T192" i="25"/>
  <c r="U189" i="26"/>
  <c r="U1136" i="7" s="1"/>
  <c r="T194" i="26"/>
  <c r="U180" i="26"/>
  <c r="U171" i="26"/>
  <c r="U1133" i="7" s="1"/>
  <c r="S192" i="26"/>
  <c r="U65" i="27"/>
  <c r="U1423" i="7" s="1"/>
  <c r="S68" i="5"/>
  <c r="S363" i="1"/>
  <c r="U231" i="1"/>
  <c r="S243" i="1"/>
  <c r="S87" i="27"/>
  <c r="S333" i="26"/>
  <c r="U83" i="27"/>
  <c r="U1425" i="7" s="1"/>
  <c r="U240" i="1"/>
  <c r="U249" i="7" s="1"/>
  <c r="T245" i="1"/>
  <c r="S86" i="27"/>
  <c r="S332" i="26"/>
  <c r="U345" i="1"/>
  <c r="T268" i="7"/>
  <c r="U308" i="1"/>
  <c r="T260" i="7"/>
  <c r="S88" i="27"/>
  <c r="S334" i="26"/>
  <c r="U394" i="1"/>
  <c r="U278" i="7" s="1"/>
  <c r="T399" i="1"/>
  <c r="S67" i="5"/>
  <c r="S362" i="1"/>
  <c r="U385" i="1"/>
  <c r="S63" i="5"/>
  <c r="S358" i="1"/>
  <c r="U376" i="1"/>
  <c r="U275" i="7" s="1"/>
  <c r="U355" i="1"/>
  <c r="T270" i="7"/>
  <c r="U222" i="1"/>
  <c r="U246" i="7" s="1"/>
  <c r="U74" i="27"/>
  <c r="U1424" i="7" s="1"/>
  <c r="S397" i="1"/>
  <c r="T456" i="7"/>
  <c r="T458" i="7"/>
  <c r="T454" i="7"/>
  <c r="T459" i="7"/>
  <c r="T457" i="7"/>
  <c r="T460" i="7"/>
  <c r="T462" i="7"/>
  <c r="T461" i="7"/>
  <c r="T455" i="7"/>
  <c r="T402" i="7"/>
  <c r="T397" i="7"/>
  <c r="T399" i="7"/>
  <c r="T400" i="7"/>
  <c r="T395" i="7"/>
  <c r="T396" i="7"/>
  <c r="T401" i="7"/>
  <c r="T394" i="7"/>
  <c r="T398" i="7"/>
  <c r="V1225" i="7"/>
  <c r="S81" i="6" l="1"/>
  <c r="V1164" i="7"/>
  <c r="V1135" i="7"/>
  <c r="U1134" i="7"/>
  <c r="U193" i="26" s="1"/>
  <c r="T666" i="7"/>
  <c r="T665" i="7" s="1"/>
  <c r="T695" i="7"/>
  <c r="T694" i="7" s="1"/>
  <c r="T347" i="25" s="1"/>
  <c r="S159" i="5"/>
  <c r="U149" i="6"/>
  <c r="V1395" i="7"/>
  <c r="U1394" i="7"/>
  <c r="U1396" i="7" s="1"/>
  <c r="T176" i="2"/>
  <c r="R36" i="6"/>
  <c r="R1441" i="7" s="1"/>
  <c r="Q390" i="25"/>
  <c r="Q118" i="2"/>
  <c r="Q113" i="6" s="1"/>
  <c r="R131" i="2"/>
  <c r="S922" i="7"/>
  <c r="S924" i="7" s="1"/>
  <c r="T923" i="7"/>
  <c r="T424" i="7"/>
  <c r="R725" i="7"/>
  <c r="R390" i="25" s="1"/>
  <c r="S104" i="6"/>
  <c r="T432" i="7"/>
  <c r="S347" i="25"/>
  <c r="S193" i="25"/>
  <c r="R116" i="5"/>
  <c r="T490" i="7"/>
  <c r="T484" i="7"/>
  <c r="T485" i="7"/>
  <c r="T487" i="7"/>
  <c r="T488" i="7"/>
  <c r="T489" i="7"/>
  <c r="T492" i="7"/>
  <c r="T491" i="7"/>
  <c r="V1227" i="7"/>
  <c r="V1226" i="7"/>
  <c r="V1228" i="7"/>
  <c r="V1229" i="7"/>
  <c r="V1230" i="7"/>
  <c r="V1171" i="7" s="1"/>
  <c r="U483" i="7"/>
  <c r="U490" i="7" s="1"/>
  <c r="U769" i="7"/>
  <c r="T771" i="7"/>
  <c r="T770" i="7"/>
  <c r="T772" i="7"/>
  <c r="T773" i="7"/>
  <c r="T774" i="7"/>
  <c r="T164" i="2"/>
  <c r="T167" i="2" s="1"/>
  <c r="T169" i="2" s="1"/>
  <c r="U170" i="6"/>
  <c r="U186" i="34" s="1"/>
  <c r="T428" i="7"/>
  <c r="T427" i="7"/>
  <c r="T425" i="7"/>
  <c r="T429" i="7"/>
  <c r="T430" i="7"/>
  <c r="T431" i="7"/>
  <c r="U180" i="25"/>
  <c r="U423" i="7"/>
  <c r="U429" i="7" s="1"/>
  <c r="U1431" i="7"/>
  <c r="U1459" i="7" s="1"/>
  <c r="U1458" i="7"/>
  <c r="U111" i="27" s="1"/>
  <c r="S154" i="5"/>
  <c r="V453" i="7"/>
  <c r="V393" i="7"/>
  <c r="U367" i="7"/>
  <c r="S150" i="5"/>
  <c r="R705" i="7"/>
  <c r="R376" i="26"/>
  <c r="S1417" i="7"/>
  <c r="S26" i="5" s="1"/>
  <c r="S1407" i="7"/>
  <c r="S21" i="5" s="1"/>
  <c r="N1493" i="7"/>
  <c r="N500" i="7"/>
  <c r="S1415" i="7"/>
  <c r="S25" i="5" s="1"/>
  <c r="S298" i="26"/>
  <c r="R388" i="25"/>
  <c r="T224" i="25"/>
  <c r="T226" i="25" s="1"/>
  <c r="T173" i="10"/>
  <c r="T127" i="6"/>
  <c r="R195" i="33"/>
  <c r="U673" i="7"/>
  <c r="U224" i="25" s="1"/>
  <c r="U226" i="25" s="1"/>
  <c r="T674" i="7"/>
  <c r="S1197" i="7"/>
  <c r="S376" i="26" s="1"/>
  <c r="S102" i="5"/>
  <c r="S723" i="7" s="1"/>
  <c r="S388" i="25" s="1"/>
  <c r="S225" i="25"/>
  <c r="S107" i="6"/>
  <c r="S917" i="7"/>
  <c r="R151" i="2"/>
  <c r="R156" i="6" s="1"/>
  <c r="S37" i="6"/>
  <c r="S185" i="10" s="1"/>
  <c r="S126" i="6"/>
  <c r="S705" i="7" s="1"/>
  <c r="S125" i="6"/>
  <c r="S107" i="5"/>
  <c r="S702" i="7"/>
  <c r="U871" i="7"/>
  <c r="U901" i="7"/>
  <c r="U280" i="26"/>
  <c r="T1155" i="7"/>
  <c r="T154" i="5" s="1"/>
  <c r="U325" i="25"/>
  <c r="U693" i="7" s="1"/>
  <c r="T346" i="25"/>
  <c r="S312" i="25"/>
  <c r="S112" i="5"/>
  <c r="U1141" i="7"/>
  <c r="T223" i="26"/>
  <c r="T174" i="34"/>
  <c r="T145" i="5"/>
  <c r="U290" i="26"/>
  <c r="T1157" i="7"/>
  <c r="T155" i="5" s="1"/>
  <c r="T274" i="1"/>
  <c r="T196" i="32"/>
  <c r="U254" i="7"/>
  <c r="T57" i="5"/>
  <c r="S62" i="6"/>
  <c r="S58" i="5"/>
  <c r="S276" i="1"/>
  <c r="U334" i="25"/>
  <c r="R17" i="6"/>
  <c r="S1388" i="7"/>
  <c r="R174" i="2"/>
  <c r="T906" i="7"/>
  <c r="T909" i="7"/>
  <c r="T907" i="7"/>
  <c r="T902" i="7"/>
  <c r="T910" i="7"/>
  <c r="T905" i="7"/>
  <c r="T904" i="7"/>
  <c r="T908" i="7"/>
  <c r="T903" i="7"/>
  <c r="U320" i="26"/>
  <c r="T1163" i="7"/>
  <c r="S1389" i="7"/>
  <c r="S152" i="6"/>
  <c r="S146" i="5"/>
  <c r="S1195" i="7" s="1"/>
  <c r="S374" i="26" s="1"/>
  <c r="S225" i="26"/>
  <c r="U243" i="26"/>
  <c r="T1147" i="7"/>
  <c r="T150" i="5" s="1"/>
  <c r="U257" i="25"/>
  <c r="T678" i="7"/>
  <c r="T107" i="5" s="1"/>
  <c r="T370" i="7"/>
  <c r="T369" i="7"/>
  <c r="T372" i="7"/>
  <c r="T368" i="7"/>
  <c r="T371" i="7"/>
  <c r="T873" i="7"/>
  <c r="T879" i="7"/>
  <c r="T874" i="7"/>
  <c r="T878" i="7"/>
  <c r="T875" i="7"/>
  <c r="T880" i="7"/>
  <c r="T877" i="7"/>
  <c r="T876" i="7"/>
  <c r="T872" i="7"/>
  <c r="T224" i="26"/>
  <c r="T175" i="34"/>
  <c r="T172" i="6"/>
  <c r="T1174" i="7" s="1"/>
  <c r="U1142" i="7"/>
  <c r="U1143" i="7" s="1"/>
  <c r="T1389" i="7"/>
  <c r="U329" i="26"/>
  <c r="T1165" i="7"/>
  <c r="T82" i="6"/>
  <c r="T209" i="32" s="1"/>
  <c r="T197" i="32"/>
  <c r="T275" i="1"/>
  <c r="T277" i="1" s="1"/>
  <c r="U255" i="7"/>
  <c r="U256" i="7" s="1"/>
  <c r="T499" i="7"/>
  <c r="R16" i="5"/>
  <c r="U311" i="26"/>
  <c r="T1162" i="7"/>
  <c r="U304" i="25"/>
  <c r="T688" i="7"/>
  <c r="U194" i="25"/>
  <c r="V189" i="25"/>
  <c r="V667" i="7" s="1"/>
  <c r="R119" i="2"/>
  <c r="R122" i="2" s="1"/>
  <c r="R124" i="2" s="1"/>
  <c r="S111" i="5"/>
  <c r="S311" i="25"/>
  <c r="S348" i="25"/>
  <c r="U294" i="25"/>
  <c r="U686" i="7" s="1"/>
  <c r="U343" i="25"/>
  <c r="U696" i="7" s="1"/>
  <c r="Q916" i="7"/>
  <c r="T112" i="27"/>
  <c r="U51" i="27"/>
  <c r="U52" i="27"/>
  <c r="V38" i="27"/>
  <c r="V1401" i="7" s="1"/>
  <c r="V48" i="27"/>
  <c r="V1403" i="7" s="1"/>
  <c r="V171" i="25"/>
  <c r="V664" i="7" s="1"/>
  <c r="U192" i="25"/>
  <c r="V189" i="26"/>
  <c r="V1136" i="7" s="1"/>
  <c r="U194" i="26"/>
  <c r="V171" i="26"/>
  <c r="V1133" i="7" s="1"/>
  <c r="V180" i="26"/>
  <c r="T192" i="26"/>
  <c r="T87" i="27"/>
  <c r="T333" i="26"/>
  <c r="V376" i="1"/>
  <c r="V275" i="7" s="1"/>
  <c r="S287" i="7"/>
  <c r="T67" i="5"/>
  <c r="T362" i="1"/>
  <c r="T334" i="26"/>
  <c r="T88" i="27"/>
  <c r="V222" i="1"/>
  <c r="V246" i="7" s="1"/>
  <c r="V355" i="1"/>
  <c r="U270" i="7"/>
  <c r="T397" i="1"/>
  <c r="V308" i="1"/>
  <c r="U260" i="7"/>
  <c r="V240" i="1"/>
  <c r="V249" i="7" s="1"/>
  <c r="U245" i="1"/>
  <c r="V231" i="1"/>
  <c r="T81" i="6"/>
  <c r="T243" i="1"/>
  <c r="T68" i="5"/>
  <c r="T363" i="1"/>
  <c r="V385" i="1"/>
  <c r="V394" i="1"/>
  <c r="V278" i="7" s="1"/>
  <c r="U399" i="1"/>
  <c r="T63" i="5"/>
  <c r="T358" i="1"/>
  <c r="V65" i="27"/>
  <c r="V1423" i="7" s="1"/>
  <c r="V74" i="27"/>
  <c r="V1424" i="7" s="1"/>
  <c r="V345" i="1"/>
  <c r="U268" i="7"/>
  <c r="V83" i="27"/>
  <c r="V1425" i="7" s="1"/>
  <c r="T86" i="27"/>
  <c r="T332" i="26"/>
  <c r="W1225" i="7"/>
  <c r="U457" i="7"/>
  <c r="U460" i="7"/>
  <c r="U458" i="7"/>
  <c r="U461" i="7"/>
  <c r="U456" i="7"/>
  <c r="U462" i="7"/>
  <c r="U454" i="7"/>
  <c r="U455" i="7"/>
  <c r="U459" i="7"/>
  <c r="U402" i="7"/>
  <c r="U398" i="7"/>
  <c r="U394" i="7"/>
  <c r="U400" i="7"/>
  <c r="U401" i="7"/>
  <c r="U399" i="7"/>
  <c r="U396" i="7"/>
  <c r="U397" i="7"/>
  <c r="U395" i="7"/>
  <c r="W1164" i="7" l="1"/>
  <c r="W1135" i="7"/>
  <c r="U666" i="7"/>
  <c r="U665" i="7" s="1"/>
  <c r="U695" i="7"/>
  <c r="U694" i="7" s="1"/>
  <c r="U347" i="25" s="1"/>
  <c r="T159" i="5"/>
  <c r="V149" i="6"/>
  <c r="V1134" i="7"/>
  <c r="V193" i="26" s="1"/>
  <c r="W1395" i="7"/>
  <c r="V1394" i="7"/>
  <c r="V1396" i="7" s="1"/>
  <c r="U176" i="2"/>
  <c r="R118" i="2"/>
  <c r="R113" i="6" s="1"/>
  <c r="T922" i="7"/>
  <c r="T924" i="7" s="1"/>
  <c r="S131" i="2"/>
  <c r="S725" i="7"/>
  <c r="U923" i="7"/>
  <c r="S116" i="5"/>
  <c r="T104" i="6"/>
  <c r="T116" i="5"/>
  <c r="T193" i="25"/>
  <c r="U425" i="7"/>
  <c r="U428" i="7"/>
  <c r="U488" i="7"/>
  <c r="U486" i="7"/>
  <c r="U487" i="7"/>
  <c r="U489" i="7"/>
  <c r="U485" i="7"/>
  <c r="U492" i="7"/>
  <c r="U491" i="7"/>
  <c r="W1227" i="7"/>
  <c r="W1226" i="7"/>
  <c r="W1228" i="7"/>
  <c r="W1229" i="7"/>
  <c r="W1230" i="7"/>
  <c r="W1171" i="7" s="1"/>
  <c r="U164" i="2"/>
  <c r="U167" i="2" s="1"/>
  <c r="U169" i="2" s="1"/>
  <c r="V170" i="6"/>
  <c r="V186" i="34" s="1"/>
  <c r="V483" i="7"/>
  <c r="V486" i="7" s="1"/>
  <c r="V769" i="7"/>
  <c r="U771" i="7"/>
  <c r="U770" i="7"/>
  <c r="U772" i="7"/>
  <c r="U773" i="7"/>
  <c r="U774" i="7"/>
  <c r="U484" i="7"/>
  <c r="U424" i="7"/>
  <c r="U431" i="7"/>
  <c r="U426" i="7"/>
  <c r="U427" i="7"/>
  <c r="U430" i="7"/>
  <c r="U432" i="7"/>
  <c r="V180" i="25"/>
  <c r="V423" i="7"/>
  <c r="V426" i="7" s="1"/>
  <c r="V1458" i="7"/>
  <c r="V111" i="27" s="1"/>
  <c r="V1431" i="7"/>
  <c r="V1459" i="7" s="1"/>
  <c r="T297" i="26"/>
  <c r="W393" i="7"/>
  <c r="W453" i="7"/>
  <c r="V367" i="7"/>
  <c r="T1417" i="7"/>
  <c r="T26" i="5" s="1"/>
  <c r="S1494" i="7"/>
  <c r="N1495" i="7"/>
  <c r="N39" i="2" s="1"/>
  <c r="O498" i="7"/>
  <c r="N84" i="2"/>
  <c r="T1407" i="7"/>
  <c r="T21" i="5" s="1"/>
  <c r="T1415" i="7"/>
  <c r="T25" i="5" s="1"/>
  <c r="T307" i="25"/>
  <c r="U127" i="6"/>
  <c r="S151" i="2"/>
  <c r="S156" i="6" s="1"/>
  <c r="U184" i="33"/>
  <c r="S106" i="2"/>
  <c r="S111" i="6" s="1"/>
  <c r="S36" i="6"/>
  <c r="S1441" i="7" s="1"/>
  <c r="S163" i="2"/>
  <c r="S158" i="6" s="1"/>
  <c r="S195" i="33"/>
  <c r="V673" i="7"/>
  <c r="V184" i="33" s="1"/>
  <c r="U674" i="7"/>
  <c r="T298" i="26"/>
  <c r="T107" i="6"/>
  <c r="T225" i="25"/>
  <c r="T917" i="7"/>
  <c r="T1494" i="7" s="1"/>
  <c r="T102" i="5"/>
  <c r="T723" i="7" s="1"/>
  <c r="T106" i="2" s="1"/>
  <c r="T159" i="10"/>
  <c r="T125" i="6"/>
  <c r="T702" i="7"/>
  <c r="T293" i="26"/>
  <c r="S17" i="6"/>
  <c r="T126" i="6"/>
  <c r="T705" i="7" s="1"/>
  <c r="T37" i="6"/>
  <c r="T185" i="10" s="1"/>
  <c r="V311" i="26"/>
  <c r="U1162" i="7"/>
  <c r="V329" i="26"/>
  <c r="U1165" i="7"/>
  <c r="V325" i="25"/>
  <c r="V693" i="7" s="1"/>
  <c r="U346" i="25"/>
  <c r="V871" i="7"/>
  <c r="V901" i="7"/>
  <c r="T1197" i="7"/>
  <c r="T163" i="2" s="1"/>
  <c r="S119" i="2"/>
  <c r="S122" i="2" s="1"/>
  <c r="S124" i="2" s="1"/>
  <c r="U275" i="1"/>
  <c r="U277" i="1" s="1"/>
  <c r="U82" i="6"/>
  <c r="U209" i="32" s="1"/>
  <c r="V255" i="7"/>
  <c r="V256" i="7" s="1"/>
  <c r="U197" i="32"/>
  <c r="U172" i="6"/>
  <c r="U1174" i="7" s="1"/>
  <c r="V1142" i="7"/>
  <c r="V1143" i="7" s="1"/>
  <c r="U175" i="34"/>
  <c r="U224" i="26"/>
  <c r="U1389" i="7"/>
  <c r="V257" i="25"/>
  <c r="U678" i="7"/>
  <c r="U307" i="25" s="1"/>
  <c r="V243" i="26"/>
  <c r="U1147" i="7"/>
  <c r="U293" i="26" s="1"/>
  <c r="S1390" i="7"/>
  <c r="V320" i="26"/>
  <c r="U1163" i="7"/>
  <c r="S16" i="5"/>
  <c r="U906" i="7"/>
  <c r="U902" i="7"/>
  <c r="U909" i="7"/>
  <c r="U907" i="7"/>
  <c r="U910" i="7"/>
  <c r="U905" i="7"/>
  <c r="U903" i="7"/>
  <c r="U904" i="7"/>
  <c r="U908" i="7"/>
  <c r="V194" i="25"/>
  <c r="W189" i="25"/>
  <c r="W667" i="7" s="1"/>
  <c r="V304" i="25"/>
  <c r="U688" i="7"/>
  <c r="U274" i="1"/>
  <c r="U196" i="32"/>
  <c r="U57" i="5"/>
  <c r="V254" i="7"/>
  <c r="V290" i="26"/>
  <c r="U1157" i="7"/>
  <c r="U155" i="5" s="1"/>
  <c r="V280" i="26"/>
  <c r="U1155" i="7"/>
  <c r="U154" i="5" s="1"/>
  <c r="U876" i="7"/>
  <c r="U877" i="7"/>
  <c r="U875" i="7"/>
  <c r="U873" i="7"/>
  <c r="U880" i="7"/>
  <c r="U878" i="7"/>
  <c r="U874" i="7"/>
  <c r="U879" i="7"/>
  <c r="U872" i="7"/>
  <c r="U173" i="10"/>
  <c r="T112" i="5"/>
  <c r="T312" i="25"/>
  <c r="T276" i="1"/>
  <c r="T62" i="6"/>
  <c r="T58" i="5"/>
  <c r="T146" i="5"/>
  <c r="T1195" i="7" s="1"/>
  <c r="T151" i="2" s="1"/>
  <c r="T152" i="6"/>
  <c r="T225" i="26"/>
  <c r="V334" i="25"/>
  <c r="V1141" i="7"/>
  <c r="U145" i="5"/>
  <c r="U174" i="34"/>
  <c r="U223" i="26"/>
  <c r="U372" i="7"/>
  <c r="U368" i="7"/>
  <c r="U370" i="7"/>
  <c r="U369" i="7"/>
  <c r="U371" i="7"/>
  <c r="V343" i="25"/>
  <c r="V696" i="7" s="1"/>
  <c r="V294" i="25"/>
  <c r="V686" i="7" s="1"/>
  <c r="T348" i="25"/>
  <c r="T725" i="7"/>
  <c r="T311" i="25"/>
  <c r="T111" i="5"/>
  <c r="Q918" i="7"/>
  <c r="U112" i="27"/>
  <c r="V52" i="27"/>
  <c r="V51" i="27"/>
  <c r="W38" i="27"/>
  <c r="W1401" i="7" s="1"/>
  <c r="W48" i="27"/>
  <c r="W1403" i="7" s="1"/>
  <c r="V192" i="25"/>
  <c r="W171" i="25"/>
  <c r="W664" i="7" s="1"/>
  <c r="W171" i="26"/>
  <c r="W1133" i="7" s="1"/>
  <c r="W189" i="26"/>
  <c r="W1136" i="7" s="1"/>
  <c r="V194" i="26"/>
  <c r="U192" i="26"/>
  <c r="W180" i="26"/>
  <c r="W345" i="1"/>
  <c r="V268" i="7"/>
  <c r="T287" i="7"/>
  <c r="W240" i="1"/>
  <c r="W249" i="7" s="1"/>
  <c r="V245" i="1"/>
  <c r="W308" i="1"/>
  <c r="V260" i="7"/>
  <c r="U68" i="5"/>
  <c r="U363" i="1"/>
  <c r="U243" i="1"/>
  <c r="W376" i="1"/>
  <c r="W275" i="7" s="1"/>
  <c r="U67" i="5"/>
  <c r="U362" i="1"/>
  <c r="W394" i="1"/>
  <c r="W278" i="7" s="1"/>
  <c r="V399" i="1"/>
  <c r="U63" i="5"/>
  <c r="U358" i="1"/>
  <c r="U397" i="1"/>
  <c r="W83" i="27"/>
  <c r="W1425" i="7" s="1"/>
  <c r="W74" i="27"/>
  <c r="W1424" i="7" s="1"/>
  <c r="W65" i="27"/>
  <c r="W1423" i="7" s="1"/>
  <c r="W231" i="1"/>
  <c r="U88" i="27"/>
  <c r="U334" i="26"/>
  <c r="U87" i="27"/>
  <c r="U333" i="26"/>
  <c r="U86" i="27"/>
  <c r="U332" i="26"/>
  <c r="W385" i="1"/>
  <c r="W355" i="1"/>
  <c r="V270" i="7"/>
  <c r="W222" i="1"/>
  <c r="W246" i="7" s="1"/>
  <c r="X1225" i="7"/>
  <c r="V396" i="7"/>
  <c r="V401" i="7"/>
  <c r="V399" i="7"/>
  <c r="V397" i="7"/>
  <c r="V395" i="7"/>
  <c r="V402" i="7"/>
  <c r="V398" i="7"/>
  <c r="V394" i="7"/>
  <c r="V400" i="7"/>
  <c r="V456" i="7"/>
  <c r="V458" i="7"/>
  <c r="V459" i="7"/>
  <c r="V457" i="7"/>
  <c r="V461" i="7"/>
  <c r="V462" i="7"/>
  <c r="V455" i="7"/>
  <c r="V454" i="7"/>
  <c r="V460" i="7"/>
  <c r="W1134" i="7" l="1"/>
  <c r="W193" i="26" s="1"/>
  <c r="X1135" i="7"/>
  <c r="X1164" i="7"/>
  <c r="V666" i="7"/>
  <c r="V665" i="7" s="1"/>
  <c r="V695" i="7"/>
  <c r="V694" i="7" s="1"/>
  <c r="U159" i="5"/>
  <c r="W149" i="6"/>
  <c r="X1395" i="7"/>
  <c r="W1394" i="7"/>
  <c r="W1396" i="7" s="1"/>
  <c r="V176" i="2"/>
  <c r="S390" i="25"/>
  <c r="S118" i="2"/>
  <c r="S113" i="6" s="1"/>
  <c r="T131" i="2"/>
  <c r="U922" i="7"/>
  <c r="U924" i="7" s="1"/>
  <c r="U131" i="2" s="1"/>
  <c r="V923" i="7"/>
  <c r="U116" i="5"/>
  <c r="U193" i="25"/>
  <c r="U104" i="6"/>
  <c r="U81" i="6"/>
  <c r="U287" i="7" s="1"/>
  <c r="V485" i="7"/>
  <c r="V484" i="7"/>
  <c r="V490" i="7"/>
  <c r="V487" i="7"/>
  <c r="V488" i="7"/>
  <c r="V489" i="7"/>
  <c r="V492" i="7"/>
  <c r="V771" i="7"/>
  <c r="V770" i="7"/>
  <c r="V772" i="7"/>
  <c r="V773" i="7"/>
  <c r="V774" i="7"/>
  <c r="W170" i="6"/>
  <c r="W186" i="34" s="1"/>
  <c r="V164" i="2"/>
  <c r="V167" i="2" s="1"/>
  <c r="V169" i="2" s="1"/>
  <c r="W483" i="7"/>
  <c r="W485" i="7" s="1"/>
  <c r="W769" i="7"/>
  <c r="X1227" i="7"/>
  <c r="X1226" i="7"/>
  <c r="X1228" i="7"/>
  <c r="X1229" i="7"/>
  <c r="X1230" i="7"/>
  <c r="X1171" i="7" s="1"/>
  <c r="V432" i="7"/>
  <c r="V430" i="7"/>
  <c r="V424" i="7"/>
  <c r="V427" i="7"/>
  <c r="V428" i="7"/>
  <c r="V431" i="7"/>
  <c r="V429" i="7"/>
  <c r="V425" i="7"/>
  <c r="W180" i="25"/>
  <c r="W423" i="7"/>
  <c r="W427" i="7" s="1"/>
  <c r="T111" i="6"/>
  <c r="V127" i="6"/>
  <c r="W1458" i="7"/>
  <c r="W111" i="27" s="1"/>
  <c r="W1431" i="7"/>
  <c r="W1459" i="7" s="1"/>
  <c r="U150" i="5"/>
  <c r="W367" i="7"/>
  <c r="X393" i="7"/>
  <c r="X453" i="7"/>
  <c r="V224" i="25"/>
  <c r="V226" i="25" s="1"/>
  <c r="U1417" i="7"/>
  <c r="U26" i="5" s="1"/>
  <c r="U1407" i="7"/>
  <c r="U21" i="5" s="1"/>
  <c r="O500" i="7"/>
  <c r="O1493" i="7"/>
  <c r="U1415" i="7"/>
  <c r="U25" i="5" s="1"/>
  <c r="T388" i="25"/>
  <c r="T158" i="6"/>
  <c r="T374" i="26"/>
  <c r="T156" i="6"/>
  <c r="V173" i="10"/>
  <c r="U702" i="7"/>
  <c r="W673" i="7"/>
  <c r="W184" i="33" s="1"/>
  <c r="V674" i="7"/>
  <c r="U297" i="26"/>
  <c r="U298" i="26"/>
  <c r="T195" i="33"/>
  <c r="U225" i="25"/>
  <c r="U102" i="5"/>
  <c r="U723" i="7" s="1"/>
  <c r="U388" i="25" s="1"/>
  <c r="U107" i="6"/>
  <c r="U917" i="7"/>
  <c r="T36" i="6"/>
  <c r="T1441" i="7" s="1"/>
  <c r="U1197" i="7"/>
  <c r="U376" i="26" s="1"/>
  <c r="U126" i="6"/>
  <c r="U107" i="5"/>
  <c r="U112" i="5"/>
  <c r="U312" i="25"/>
  <c r="U58" i="5"/>
  <c r="U62" i="6"/>
  <c r="U276" i="1"/>
  <c r="W1141" i="7"/>
  <c r="V145" i="5"/>
  <c r="V174" i="34"/>
  <c r="V223" i="26"/>
  <c r="W304" i="25"/>
  <c r="V688" i="7"/>
  <c r="U152" i="6"/>
  <c r="U225" i="26"/>
  <c r="U146" i="5"/>
  <c r="U1195" i="7" s="1"/>
  <c r="U151" i="2" s="1"/>
  <c r="U156" i="6" s="1"/>
  <c r="W1142" i="7"/>
  <c r="W1143" i="7" s="1"/>
  <c r="V175" i="34"/>
  <c r="V172" i="6"/>
  <c r="V1174" i="7" s="1"/>
  <c r="V224" i="26"/>
  <c r="V1389" i="7"/>
  <c r="V904" i="7"/>
  <c r="V909" i="7"/>
  <c r="V906" i="7"/>
  <c r="V908" i="7"/>
  <c r="V910" i="7"/>
  <c r="V907" i="7"/>
  <c r="V903" i="7"/>
  <c r="V905" i="7"/>
  <c r="V902" i="7"/>
  <c r="V875" i="7"/>
  <c r="V872" i="7"/>
  <c r="V873" i="7"/>
  <c r="V879" i="7"/>
  <c r="V876" i="7"/>
  <c r="V874" i="7"/>
  <c r="V880" i="7"/>
  <c r="V877" i="7"/>
  <c r="V878" i="7"/>
  <c r="T376" i="26"/>
  <c r="U499" i="7"/>
  <c r="W257" i="25"/>
  <c r="V678" i="7"/>
  <c r="W329" i="26"/>
  <c r="V1165" i="7"/>
  <c r="W334" i="25"/>
  <c r="T119" i="2"/>
  <c r="T122" i="2" s="1"/>
  <c r="T124" i="2" s="1"/>
  <c r="U125" i="6"/>
  <c r="V274" i="1"/>
  <c r="V196" i="32"/>
  <c r="W254" i="7"/>
  <c r="V57" i="5"/>
  <c r="W194" i="25"/>
  <c r="X189" i="25"/>
  <c r="X667" i="7" s="1"/>
  <c r="V275" i="1"/>
  <c r="V277" i="1" s="1"/>
  <c r="W255" i="7"/>
  <c r="W256" i="7" s="1"/>
  <c r="V197" i="32"/>
  <c r="V82" i="6"/>
  <c r="V209" i="32" s="1"/>
  <c r="V499" i="7"/>
  <c r="V371" i="7"/>
  <c r="V368" i="7"/>
  <c r="V369" i="7"/>
  <c r="V372" i="7"/>
  <c r="V370" i="7"/>
  <c r="W325" i="25"/>
  <c r="W693" i="7" s="1"/>
  <c r="V346" i="25"/>
  <c r="T17" i="6"/>
  <c r="T1388" i="7"/>
  <c r="T1390" i="7" s="1"/>
  <c r="S174" i="2"/>
  <c r="T16" i="5"/>
  <c r="W280" i="26"/>
  <c r="V1155" i="7"/>
  <c r="V297" i="26" s="1"/>
  <c r="W290" i="26"/>
  <c r="V1157" i="7"/>
  <c r="W320" i="26"/>
  <c r="V1163" i="7"/>
  <c r="W243" i="26"/>
  <c r="V1147" i="7"/>
  <c r="V293" i="26" s="1"/>
  <c r="W871" i="7"/>
  <c r="W901" i="7"/>
  <c r="W311" i="26"/>
  <c r="V1162" i="7"/>
  <c r="U37" i="6"/>
  <c r="U185" i="10" s="1"/>
  <c r="T390" i="25"/>
  <c r="T118" i="2"/>
  <c r="W294" i="25"/>
  <c r="W686" i="7" s="1"/>
  <c r="W343" i="25"/>
  <c r="W696" i="7" s="1"/>
  <c r="U111" i="5"/>
  <c r="U311" i="25"/>
  <c r="U348" i="25"/>
  <c r="U725" i="7"/>
  <c r="R916" i="7"/>
  <c r="R918" i="7" s="1"/>
  <c r="S916" i="7" s="1"/>
  <c r="Q129" i="2"/>
  <c r="V112" i="27"/>
  <c r="W51" i="27"/>
  <c r="W52" i="27"/>
  <c r="X48" i="27"/>
  <c r="X1403" i="7" s="1"/>
  <c r="X38" i="27"/>
  <c r="X1401" i="7" s="1"/>
  <c r="X171" i="25"/>
  <c r="X664" i="7" s="1"/>
  <c r="W192" i="25"/>
  <c r="X180" i="26"/>
  <c r="X171" i="26"/>
  <c r="X1133" i="7" s="1"/>
  <c r="V192" i="26"/>
  <c r="X189" i="26"/>
  <c r="X1136" i="7" s="1"/>
  <c r="W194" i="26"/>
  <c r="X355" i="1"/>
  <c r="W270" i="7"/>
  <c r="V86" i="27"/>
  <c r="V332" i="26"/>
  <c r="V334" i="26"/>
  <c r="V88" i="27"/>
  <c r="V81" i="6"/>
  <c r="V68" i="5"/>
  <c r="V363" i="1"/>
  <c r="X74" i="27"/>
  <c r="X1424" i="7" s="1"/>
  <c r="X376" i="1"/>
  <c r="X275" i="7" s="1"/>
  <c r="X345" i="1"/>
  <c r="W268" i="7"/>
  <c r="X222" i="1"/>
  <c r="X246" i="7" s="1"/>
  <c r="X385" i="1"/>
  <c r="V87" i="27"/>
  <c r="V333" i="26"/>
  <c r="X394" i="1"/>
  <c r="X278" i="7" s="1"/>
  <c r="W399" i="1"/>
  <c r="V397" i="1"/>
  <c r="X308" i="1"/>
  <c r="W260" i="7"/>
  <c r="X240" i="1"/>
  <c r="X249" i="7" s="1"/>
  <c r="W245" i="1"/>
  <c r="V67" i="5"/>
  <c r="V362" i="1"/>
  <c r="V243" i="1"/>
  <c r="X231" i="1"/>
  <c r="X65" i="27"/>
  <c r="X1423" i="7" s="1"/>
  <c r="X83" i="27"/>
  <c r="X1425" i="7" s="1"/>
  <c r="V63" i="5"/>
  <c r="V358" i="1"/>
  <c r="Y1225" i="7"/>
  <c r="W401" i="7"/>
  <c r="W399" i="7"/>
  <c r="W396" i="7"/>
  <c r="W397" i="7"/>
  <c r="W395" i="7"/>
  <c r="W398" i="7"/>
  <c r="W394" i="7"/>
  <c r="W402" i="7"/>
  <c r="W400" i="7"/>
  <c r="W457" i="7"/>
  <c r="W460" i="7"/>
  <c r="W458" i="7"/>
  <c r="W461" i="7"/>
  <c r="W456" i="7"/>
  <c r="W462" i="7"/>
  <c r="W455" i="7"/>
  <c r="W454" i="7"/>
  <c r="W459" i="7"/>
  <c r="Y1164" i="7" l="1"/>
  <c r="Y1135" i="7"/>
  <c r="W695" i="7"/>
  <c r="W694" i="7" s="1"/>
  <c r="W347" i="25" s="1"/>
  <c r="W666" i="7"/>
  <c r="W665" i="7" s="1"/>
  <c r="X1134" i="7"/>
  <c r="X193" i="26" s="1"/>
  <c r="V159" i="5"/>
  <c r="X149" i="6"/>
  <c r="Y1395" i="7"/>
  <c r="X1394" i="7"/>
  <c r="X1396" i="7" s="1"/>
  <c r="W176" i="2"/>
  <c r="T113" i="6"/>
  <c r="U36" i="6"/>
  <c r="U1441" i="7" s="1"/>
  <c r="V922" i="7"/>
  <c r="V924" i="7" s="1"/>
  <c r="W923" i="7"/>
  <c r="V104" i="6"/>
  <c r="W490" i="7"/>
  <c r="V347" i="25"/>
  <c r="V193" i="25"/>
  <c r="W487" i="7"/>
  <c r="W492" i="7"/>
  <c r="W488" i="7"/>
  <c r="W489" i="7"/>
  <c r="Y1227" i="7"/>
  <c r="Y1226" i="7"/>
  <c r="Y1229" i="7"/>
  <c r="Y1228" i="7"/>
  <c r="Y1230" i="7"/>
  <c r="Y1171" i="7" s="1"/>
  <c r="W771" i="7"/>
  <c r="W770" i="7"/>
  <c r="W773" i="7"/>
  <c r="W772" i="7"/>
  <c r="W774" i="7"/>
  <c r="W484" i="7"/>
  <c r="W486" i="7"/>
  <c r="W164" i="2"/>
  <c r="W167" i="2" s="1"/>
  <c r="W169" i="2" s="1"/>
  <c r="X170" i="6"/>
  <c r="X186" i="34" s="1"/>
  <c r="X483" i="7"/>
  <c r="X489" i="7" s="1"/>
  <c r="X769" i="7"/>
  <c r="W424" i="7"/>
  <c r="W431" i="7"/>
  <c r="W432" i="7"/>
  <c r="W429" i="7"/>
  <c r="W428" i="7"/>
  <c r="W425" i="7"/>
  <c r="W430" i="7"/>
  <c r="W426" i="7"/>
  <c r="W81" i="6" s="1"/>
  <c r="X180" i="25"/>
  <c r="X423" i="7"/>
  <c r="X426" i="7" s="1"/>
  <c r="X1431" i="7"/>
  <c r="X1459" i="7" s="1"/>
  <c r="X1458" i="7"/>
  <c r="X111" i="27" s="1"/>
  <c r="Y453" i="7"/>
  <c r="Y393" i="7"/>
  <c r="X367" i="7"/>
  <c r="U163" i="2"/>
  <c r="U158" i="6" s="1"/>
  <c r="U705" i="7"/>
  <c r="U374" i="26"/>
  <c r="V1417" i="7"/>
  <c r="V26" i="5" s="1"/>
  <c r="O1495" i="7"/>
  <c r="O39" i="2" s="1"/>
  <c r="O84" i="2"/>
  <c r="P498" i="7"/>
  <c r="U1494" i="7"/>
  <c r="V1415" i="7"/>
  <c r="V25" i="5" s="1"/>
  <c r="V1407" i="7"/>
  <c r="V21" i="5" s="1"/>
  <c r="V154" i="5"/>
  <c r="W127" i="6"/>
  <c r="U195" i="33"/>
  <c r="W224" i="25"/>
  <c r="W226" i="25" s="1"/>
  <c r="W173" i="10"/>
  <c r="V107" i="5"/>
  <c r="V307" i="25"/>
  <c r="U106" i="2"/>
  <c r="U111" i="6" s="1"/>
  <c r="V1197" i="7"/>
  <c r="V163" i="2" s="1"/>
  <c r="X673" i="7"/>
  <c r="X127" i="6" s="1"/>
  <c r="W674" i="7"/>
  <c r="V37" i="6"/>
  <c r="V185" i="10" s="1"/>
  <c r="V107" i="6"/>
  <c r="V225" i="25"/>
  <c r="V917" i="7"/>
  <c r="V1494" i="7" s="1"/>
  <c r="V102" i="5"/>
  <c r="V723" i="7" s="1"/>
  <c r="V388" i="25" s="1"/>
  <c r="V298" i="26"/>
  <c r="V125" i="6"/>
  <c r="X871" i="7"/>
  <c r="X901" i="7"/>
  <c r="X1141" i="7"/>
  <c r="W145" i="5"/>
  <c r="W174" i="34"/>
  <c r="W223" i="26"/>
  <c r="W872" i="7"/>
  <c r="W874" i="7"/>
  <c r="W875" i="7"/>
  <c r="W876" i="7"/>
  <c r="W877" i="7"/>
  <c r="W873" i="7"/>
  <c r="W880" i="7"/>
  <c r="W879" i="7"/>
  <c r="W878" i="7"/>
  <c r="X243" i="26"/>
  <c r="W1147" i="7"/>
  <c r="W150" i="5" s="1"/>
  <c r="X290" i="26"/>
  <c r="W1157" i="7"/>
  <c r="W298" i="26" s="1"/>
  <c r="T174" i="2"/>
  <c r="U1388" i="7"/>
  <c r="U1390" i="7" s="1"/>
  <c r="V58" i="5"/>
  <c r="V62" i="6"/>
  <c r="V276" i="1"/>
  <c r="W197" i="32"/>
  <c r="W82" i="6"/>
  <c r="W209" i="32" s="1"/>
  <c r="X255" i="7"/>
  <c r="X256" i="7" s="1"/>
  <c r="W275" i="1"/>
  <c r="W277" i="1" s="1"/>
  <c r="W274" i="1"/>
  <c r="X254" i="7"/>
  <c r="W57" i="5"/>
  <c r="W196" i="32"/>
  <c r="V150" i="5"/>
  <c r="V155" i="5"/>
  <c r="V702" i="7"/>
  <c r="V126" i="6"/>
  <c r="V705" i="7" s="1"/>
  <c r="U17" i="6"/>
  <c r="X194" i="25"/>
  <c r="Y189" i="25"/>
  <c r="Y667" i="7" s="1"/>
  <c r="X257" i="25"/>
  <c r="W678" i="7"/>
  <c r="W107" i="5" s="1"/>
  <c r="X304" i="25"/>
  <c r="W688" i="7"/>
  <c r="X311" i="26"/>
  <c r="W1162" i="7"/>
  <c r="W372" i="7"/>
  <c r="W371" i="7"/>
  <c r="W370" i="7"/>
  <c r="W369" i="7"/>
  <c r="W368" i="7"/>
  <c r="X320" i="26"/>
  <c r="W1163" i="7"/>
  <c r="X280" i="26"/>
  <c r="W1155" i="7"/>
  <c r="W297" i="26" s="1"/>
  <c r="X325" i="25"/>
  <c r="X693" i="7" s="1"/>
  <c r="W346" i="25"/>
  <c r="W224" i="26"/>
  <c r="W172" i="6"/>
  <c r="W1174" i="7" s="1"/>
  <c r="W175" i="34"/>
  <c r="X1142" i="7"/>
  <c r="X1143" i="7" s="1"/>
  <c r="W1389" i="7"/>
  <c r="V112" i="5"/>
  <c r="V312" i="25"/>
  <c r="U119" i="2"/>
  <c r="U122" i="2" s="1"/>
  <c r="U124" i="2" s="1"/>
  <c r="W906" i="7"/>
  <c r="W902" i="7"/>
  <c r="W910" i="7"/>
  <c r="W908" i="7"/>
  <c r="W907" i="7"/>
  <c r="W905" i="7"/>
  <c r="W903" i="7"/>
  <c r="W904" i="7"/>
  <c r="W909" i="7"/>
  <c r="X334" i="25"/>
  <c r="X329" i="26"/>
  <c r="W1165" i="7"/>
  <c r="V152" i="6"/>
  <c r="V146" i="5"/>
  <c r="V1195" i="7" s="1"/>
  <c r="V374" i="26" s="1"/>
  <c r="V225" i="26"/>
  <c r="U16" i="5"/>
  <c r="U118" i="2"/>
  <c r="U113" i="6" s="1"/>
  <c r="U390" i="25"/>
  <c r="X343" i="25"/>
  <c r="X696" i="7" s="1"/>
  <c r="X294" i="25"/>
  <c r="X686" i="7" s="1"/>
  <c r="V348" i="25"/>
  <c r="V311" i="25"/>
  <c r="V111" i="5"/>
  <c r="R129" i="2"/>
  <c r="S918" i="7"/>
  <c r="W112" i="27"/>
  <c r="X52" i="27"/>
  <c r="X51" i="27"/>
  <c r="Y48" i="27"/>
  <c r="Y38" i="27"/>
  <c r="Y1401" i="7" s="1"/>
  <c r="X192" i="25"/>
  <c r="Y171" i="25"/>
  <c r="Y664" i="7" s="1"/>
  <c r="Y180" i="26"/>
  <c r="Y189" i="26"/>
  <c r="Y1136" i="7" s="1"/>
  <c r="X194" i="26"/>
  <c r="Y171" i="26"/>
  <c r="Y1133" i="7" s="1"/>
  <c r="W192" i="26"/>
  <c r="W334" i="26"/>
  <c r="W88" i="27"/>
  <c r="W63" i="5"/>
  <c r="W358" i="1"/>
  <c r="Y394" i="1"/>
  <c r="Y278" i="7" s="1"/>
  <c r="X399" i="1"/>
  <c r="W243" i="1"/>
  <c r="W397" i="1"/>
  <c r="Y74" i="27"/>
  <c r="Y1424" i="7" s="1"/>
  <c r="Y65" i="27"/>
  <c r="Y1423" i="7" s="1"/>
  <c r="Y240" i="1"/>
  <c r="Y249" i="7" s="1"/>
  <c r="X245" i="1"/>
  <c r="W87" i="27"/>
  <c r="W333" i="26"/>
  <c r="W86" i="27"/>
  <c r="W332" i="26"/>
  <c r="Y345" i="1"/>
  <c r="X268" i="7"/>
  <c r="Y355" i="1"/>
  <c r="X270" i="7"/>
  <c r="Y83" i="27"/>
  <c r="Y1425" i="7" s="1"/>
  <c r="Y231" i="1"/>
  <c r="Y308" i="1"/>
  <c r="X260" i="7"/>
  <c r="Y385" i="1"/>
  <c r="Y222" i="1"/>
  <c r="Y246" i="7" s="1"/>
  <c r="W67" i="5"/>
  <c r="W362" i="1"/>
  <c r="Y376" i="1"/>
  <c r="Y275" i="7" s="1"/>
  <c r="V287" i="7"/>
  <c r="W68" i="5"/>
  <c r="W363" i="1"/>
  <c r="X456" i="7"/>
  <c r="X457" i="7"/>
  <c r="X459" i="7"/>
  <c r="X458" i="7"/>
  <c r="X461" i="7"/>
  <c r="X462" i="7"/>
  <c r="X455" i="7"/>
  <c r="X454" i="7"/>
  <c r="X460" i="7"/>
  <c r="X398" i="7"/>
  <c r="X394" i="7"/>
  <c r="X402" i="7"/>
  <c r="X400" i="7"/>
  <c r="X396" i="7"/>
  <c r="X401" i="7"/>
  <c r="X399" i="7"/>
  <c r="X397" i="7"/>
  <c r="X395" i="7"/>
  <c r="Z1225" i="7"/>
  <c r="Z1164" i="7" l="1"/>
  <c r="Z1135" i="7"/>
  <c r="X695" i="7"/>
  <c r="X694" i="7" s="1"/>
  <c r="X347" i="25" s="1"/>
  <c r="X666" i="7"/>
  <c r="X665" i="7" s="1"/>
  <c r="Y1134" i="7"/>
  <c r="Y193" i="26" s="1"/>
  <c r="W159" i="5"/>
  <c r="Y149" i="6"/>
  <c r="Z1395" i="7"/>
  <c r="Y1394" i="7"/>
  <c r="Y1396" i="7" s="1"/>
  <c r="X176" i="2"/>
  <c r="W922" i="7"/>
  <c r="W924" i="7" s="1"/>
  <c r="V131" i="2"/>
  <c r="X923" i="7"/>
  <c r="V725" i="7"/>
  <c r="V390" i="25" s="1"/>
  <c r="V116" i="5"/>
  <c r="W116" i="5"/>
  <c r="W104" i="6"/>
  <c r="W193" i="25"/>
  <c r="X492" i="7"/>
  <c r="X490" i="7"/>
  <c r="X485" i="7"/>
  <c r="X488" i="7"/>
  <c r="X487" i="7"/>
  <c r="X486" i="7"/>
  <c r="X81" i="6" s="1"/>
  <c r="X484" i="7"/>
  <c r="Z1227" i="7"/>
  <c r="Z1226" i="7"/>
  <c r="Z1228" i="7"/>
  <c r="Z1229" i="7"/>
  <c r="Z1230" i="7"/>
  <c r="Z1171" i="7" s="1"/>
  <c r="X164" i="2"/>
  <c r="X167" i="2" s="1"/>
  <c r="X169" i="2" s="1"/>
  <c r="Y170" i="6"/>
  <c r="Y186" i="34" s="1"/>
  <c r="Y483" i="7"/>
  <c r="Y485" i="7" s="1"/>
  <c r="Y769" i="7"/>
  <c r="X771" i="7"/>
  <c r="X770" i="7"/>
  <c r="X772" i="7"/>
  <c r="X773" i="7"/>
  <c r="X774" i="7"/>
  <c r="X424" i="7"/>
  <c r="X429" i="7"/>
  <c r="X432" i="7"/>
  <c r="X428" i="7"/>
  <c r="X427" i="7"/>
  <c r="X431" i="7"/>
  <c r="X430" i="7"/>
  <c r="X425" i="7"/>
  <c r="Y180" i="25"/>
  <c r="Y423" i="7"/>
  <c r="Y431" i="7" s="1"/>
  <c r="Y1431" i="7"/>
  <c r="Y1459" i="7" s="1"/>
  <c r="Y1404" i="7"/>
  <c r="Y1403" i="7"/>
  <c r="Y1458" i="7" s="1"/>
  <c r="Y111" i="27" s="1"/>
  <c r="V158" i="6"/>
  <c r="W1417" i="7"/>
  <c r="W26" i="5" s="1"/>
  <c r="Z393" i="7"/>
  <c r="Z453" i="7"/>
  <c r="Y367" i="7"/>
  <c r="V376" i="26"/>
  <c r="P500" i="7"/>
  <c r="P1493" i="7"/>
  <c r="W1407" i="7"/>
  <c r="W21" i="5" s="1"/>
  <c r="W1415" i="7"/>
  <c r="W25" i="5" s="1"/>
  <c r="V106" i="2"/>
  <c r="V111" i="6" s="1"/>
  <c r="V151" i="2"/>
  <c r="V156" i="6" s="1"/>
  <c r="X224" i="25"/>
  <c r="X226" i="25" s="1"/>
  <c r="W37" i="6"/>
  <c r="W185" i="10" s="1"/>
  <c r="X184" i="33"/>
  <c r="X173" i="10"/>
  <c r="Y673" i="7"/>
  <c r="Y674" i="7" s="1"/>
  <c r="X674" i="7"/>
  <c r="W107" i="6"/>
  <c r="W102" i="5"/>
  <c r="W723" i="7" s="1"/>
  <c r="W388" i="25" s="1"/>
  <c r="W917" i="7"/>
  <c r="W225" i="25"/>
  <c r="W307" i="25"/>
  <c r="V195" i="33"/>
  <c r="V36" i="6"/>
  <c r="V1441" i="7" s="1"/>
  <c r="W155" i="5"/>
  <c r="W1197" i="7"/>
  <c r="W163" i="2" s="1"/>
  <c r="W158" i="6" s="1"/>
  <c r="W62" i="6"/>
  <c r="W276" i="1"/>
  <c r="W58" i="5"/>
  <c r="V16" i="5"/>
  <c r="X903" i="7"/>
  <c r="X907" i="7"/>
  <c r="X909" i="7"/>
  <c r="X905" i="7"/>
  <c r="X910" i="7"/>
  <c r="X902" i="7"/>
  <c r="X906" i="7"/>
  <c r="X904" i="7"/>
  <c r="X908" i="7"/>
  <c r="X175" i="34"/>
  <c r="X172" i="6"/>
  <c r="X1174" i="7" s="1"/>
  <c r="X224" i="26"/>
  <c r="Y1142" i="7"/>
  <c r="Y1143" i="7" s="1"/>
  <c r="Y325" i="25"/>
  <c r="Y693" i="7" s="1"/>
  <c r="X346" i="25"/>
  <c r="Y280" i="26"/>
  <c r="X1155" i="7"/>
  <c r="X1415" i="7" s="1"/>
  <c r="X25" i="5" s="1"/>
  <c r="W312" i="25"/>
  <c r="W112" i="5"/>
  <c r="U174" i="2"/>
  <c r="V1388" i="7"/>
  <c r="V1390" i="7" s="1"/>
  <c r="Y243" i="26"/>
  <c r="X1147" i="7"/>
  <c r="X293" i="26" s="1"/>
  <c r="X370" i="7"/>
  <c r="X371" i="7"/>
  <c r="X369" i="7"/>
  <c r="X368" i="7"/>
  <c r="X372" i="7"/>
  <c r="W154" i="5"/>
  <c r="W293" i="26"/>
  <c r="W499" i="7"/>
  <c r="W702" i="7"/>
  <c r="Y329" i="26"/>
  <c r="X1165" i="7"/>
  <c r="W225" i="26"/>
  <c r="W146" i="5"/>
  <c r="W1195" i="7" s="1"/>
  <c r="W374" i="26" s="1"/>
  <c r="W152" i="6"/>
  <c r="Y320" i="26"/>
  <c r="X1163" i="7"/>
  <c r="X82" i="6"/>
  <c r="X209" i="32" s="1"/>
  <c r="Y255" i="7"/>
  <c r="Y256" i="7" s="1"/>
  <c r="X275" i="1"/>
  <c r="X277" i="1" s="1"/>
  <c r="X197" i="32"/>
  <c r="Y290" i="26"/>
  <c r="X1157" i="7"/>
  <c r="X155" i="5" s="1"/>
  <c r="Y1141" i="7"/>
  <c r="X174" i="34"/>
  <c r="X223" i="26"/>
  <c r="X145" i="5"/>
  <c r="X873" i="7"/>
  <c r="X879" i="7"/>
  <c r="X877" i="7"/>
  <c r="X874" i="7"/>
  <c r="X872" i="7"/>
  <c r="X878" i="7"/>
  <c r="X876" i="7"/>
  <c r="X875" i="7"/>
  <c r="X880" i="7"/>
  <c r="V17" i="6"/>
  <c r="Y334" i="25"/>
  <c r="Y311" i="26"/>
  <c r="X1162" i="7"/>
  <c r="Y304" i="25"/>
  <c r="X688" i="7"/>
  <c r="Y257" i="25"/>
  <c r="X678" i="7"/>
  <c r="X307" i="25" s="1"/>
  <c r="Y194" i="25"/>
  <c r="Z189" i="25"/>
  <c r="Z667" i="7" s="1"/>
  <c r="X274" i="1"/>
  <c r="Y254" i="7"/>
  <c r="X57" i="5"/>
  <c r="X196" i="32"/>
  <c r="V119" i="2"/>
  <c r="V122" i="2" s="1"/>
  <c r="V124" i="2" s="1"/>
  <c r="W125" i="6"/>
  <c r="Y871" i="7"/>
  <c r="Y901" i="7"/>
  <c r="W126" i="6"/>
  <c r="W36" i="6" s="1"/>
  <c r="Y294" i="25"/>
  <c r="Y686" i="7" s="1"/>
  <c r="Y343" i="25"/>
  <c r="Y696" i="7" s="1"/>
  <c r="W311" i="25"/>
  <c r="W111" i="5"/>
  <c r="W348" i="25"/>
  <c r="W725" i="7"/>
  <c r="T916" i="7"/>
  <c r="T918" i="7" s="1"/>
  <c r="S129" i="2"/>
  <c r="X112" i="27"/>
  <c r="Y51" i="27"/>
  <c r="Z48" i="27"/>
  <c r="Z1403" i="7" s="1"/>
  <c r="Z38" i="27"/>
  <c r="Z1401" i="7" s="1"/>
  <c r="Y192" i="25"/>
  <c r="Z171" i="25"/>
  <c r="Z664" i="7" s="1"/>
  <c r="Z189" i="26"/>
  <c r="Z1136" i="7" s="1"/>
  <c r="Y194" i="26"/>
  <c r="Z180" i="26"/>
  <c r="Z171" i="26"/>
  <c r="Z1133" i="7" s="1"/>
  <c r="X192" i="26"/>
  <c r="Z231" i="1"/>
  <c r="Z355" i="1"/>
  <c r="Y270" i="7"/>
  <c r="Z376" i="1"/>
  <c r="Z275" i="7" s="1"/>
  <c r="Z222" i="1"/>
  <c r="Z246" i="7" s="1"/>
  <c r="X68" i="5"/>
  <c r="X363" i="1"/>
  <c r="Z394" i="1"/>
  <c r="Z278" i="7" s="1"/>
  <c r="Y399" i="1"/>
  <c r="X397" i="1"/>
  <c r="X243" i="1"/>
  <c r="Z308" i="1"/>
  <c r="Y260" i="7"/>
  <c r="Z83" i="27"/>
  <c r="Z1425" i="7" s="1"/>
  <c r="Z345" i="1"/>
  <c r="Y268" i="7"/>
  <c r="W287" i="7"/>
  <c r="Z240" i="1"/>
  <c r="Z249" i="7" s="1"/>
  <c r="Y245" i="1"/>
  <c r="Z65" i="27"/>
  <c r="Z1423" i="7" s="1"/>
  <c r="Z74" i="27"/>
  <c r="Z1424" i="7" s="1"/>
  <c r="Z385" i="1"/>
  <c r="X63" i="5"/>
  <c r="X358" i="1"/>
  <c r="X334" i="26"/>
  <c r="X88" i="27"/>
  <c r="X67" i="5"/>
  <c r="X362" i="1"/>
  <c r="X86" i="27"/>
  <c r="X332" i="26"/>
  <c r="X87" i="27"/>
  <c r="X333" i="26"/>
  <c r="Y457" i="7"/>
  <c r="Y459" i="7"/>
  <c r="Y458" i="7"/>
  <c r="Y461" i="7"/>
  <c r="Y456" i="7"/>
  <c r="Y462" i="7"/>
  <c r="Y455" i="7"/>
  <c r="Y454" i="7"/>
  <c r="Y460" i="7"/>
  <c r="Y398" i="7"/>
  <c r="Y394" i="7"/>
  <c r="Y402" i="7"/>
  <c r="Y400" i="7"/>
  <c r="Y401" i="7"/>
  <c r="Y399" i="7"/>
  <c r="Y396" i="7"/>
  <c r="Y397" i="7"/>
  <c r="Y395" i="7"/>
  <c r="AA1225" i="7"/>
  <c r="AA1164" i="7" l="1"/>
  <c r="AA1135" i="7"/>
  <c r="Y695" i="7"/>
  <c r="Y694" i="7" s="1"/>
  <c r="Y347" i="25" s="1"/>
  <c r="Y666" i="7"/>
  <c r="Y665" i="7" s="1"/>
  <c r="Z149" i="6"/>
  <c r="Z1134" i="7"/>
  <c r="Z193" i="26" s="1"/>
  <c r="X159" i="5"/>
  <c r="AA1395" i="7"/>
  <c r="Z1394" i="7"/>
  <c r="Z1396" i="7" s="1"/>
  <c r="Y176" i="2"/>
  <c r="V118" i="2"/>
  <c r="V113" i="6" s="1"/>
  <c r="X922" i="7"/>
  <c r="X924" i="7" s="1"/>
  <c r="W131" i="2"/>
  <c r="Y923" i="7"/>
  <c r="X104" i="6"/>
  <c r="X116" i="5"/>
  <c r="X193" i="25"/>
  <c r="Y428" i="7"/>
  <c r="Y489" i="7"/>
  <c r="Y484" i="7"/>
  <c r="Y487" i="7"/>
  <c r="Y488" i="7"/>
  <c r="Y490" i="7"/>
  <c r="Y492" i="7"/>
  <c r="Y486" i="7"/>
  <c r="Z483" i="7"/>
  <c r="Z489" i="7" s="1"/>
  <c r="Z769" i="7"/>
  <c r="Y771" i="7"/>
  <c r="Y770" i="7"/>
  <c r="Y772" i="7"/>
  <c r="Y773" i="7"/>
  <c r="Y774" i="7"/>
  <c r="Z170" i="6"/>
  <c r="Z186" i="34" s="1"/>
  <c r="Y164" i="2"/>
  <c r="Y167" i="2" s="1"/>
  <c r="Y169" i="2" s="1"/>
  <c r="AA1227" i="7"/>
  <c r="AA1226" i="7"/>
  <c r="AA1228" i="7"/>
  <c r="AA1229" i="7"/>
  <c r="AA1230" i="7"/>
  <c r="AA1171" i="7" s="1"/>
  <c r="Y426" i="7"/>
  <c r="Y430" i="7"/>
  <c r="Y427" i="7"/>
  <c r="Y425" i="7"/>
  <c r="Y432" i="7"/>
  <c r="Y429" i="7"/>
  <c r="Y424" i="7"/>
  <c r="Z180" i="25"/>
  <c r="Z423" i="7"/>
  <c r="Z431" i="7" s="1"/>
  <c r="Y52" i="27"/>
  <c r="Z1431" i="7"/>
  <c r="Z1459" i="7" s="1"/>
  <c r="Z1458" i="7"/>
  <c r="Z111" i="27" s="1"/>
  <c r="X298" i="26"/>
  <c r="W151" i="2"/>
  <c r="W156" i="6" s="1"/>
  <c r="AA393" i="7"/>
  <c r="AA453" i="7"/>
  <c r="Z367" i="7"/>
  <c r="X154" i="5"/>
  <c r="X297" i="26"/>
  <c r="W1494" i="7"/>
  <c r="W1441" i="7"/>
  <c r="Y269" i="7"/>
  <c r="Y263" i="7"/>
  <c r="Y261" i="7"/>
  <c r="P1495" i="7"/>
  <c r="P39" i="2" s="1"/>
  <c r="Q498" i="7"/>
  <c r="P84" i="2"/>
  <c r="Y267" i="7"/>
  <c r="Y271" i="7"/>
  <c r="Y265" i="7"/>
  <c r="X1407" i="7"/>
  <c r="X21" i="5" s="1"/>
  <c r="X1417" i="7"/>
  <c r="X26" i="5" s="1"/>
  <c r="X126" i="6"/>
  <c r="X705" i="7" s="1"/>
  <c r="Y173" i="10"/>
  <c r="Y184" i="33"/>
  <c r="Y225" i="25"/>
  <c r="Y107" i="6"/>
  <c r="Y102" i="5"/>
  <c r="Y917" i="7"/>
  <c r="Y127" i="6"/>
  <c r="Y224" i="25"/>
  <c r="Y226" i="25" s="1"/>
  <c r="W376" i="26"/>
  <c r="X287" i="7"/>
  <c r="X37" i="6"/>
  <c r="X185" i="10" s="1"/>
  <c r="Z673" i="7"/>
  <c r="Z184" i="33" s="1"/>
  <c r="W106" i="2"/>
  <c r="W111" i="6" s="1"/>
  <c r="X107" i="6"/>
  <c r="X102" i="5"/>
  <c r="X723" i="7" s="1"/>
  <c r="X106" i="2" s="1"/>
  <c r="X225" i="25"/>
  <c r="X917" i="7"/>
  <c r="X150" i="5"/>
  <c r="X1197" i="7"/>
  <c r="X376" i="26" s="1"/>
  <c r="X702" i="7"/>
  <c r="Z901" i="7"/>
  <c r="Z871" i="7"/>
  <c r="Y875" i="7"/>
  <c r="Y873" i="7"/>
  <c r="Y872" i="7"/>
  <c r="Y878" i="7"/>
  <c r="Y880" i="7"/>
  <c r="Y876" i="7"/>
  <c r="Y874" i="7"/>
  <c r="Y879" i="7"/>
  <c r="Y877" i="7"/>
  <c r="Z257" i="25"/>
  <c r="Y678" i="7"/>
  <c r="Y307" i="25" s="1"/>
  <c r="Z311" i="26"/>
  <c r="Y1162" i="7"/>
  <c r="Z1141" i="7"/>
  <c r="Y174" i="34"/>
  <c r="Y223" i="26"/>
  <c r="Y145" i="5"/>
  <c r="X276" i="1"/>
  <c r="X62" i="6"/>
  <c r="X58" i="5"/>
  <c r="Y82" i="6"/>
  <c r="Z255" i="7"/>
  <c r="Z256" i="7" s="1"/>
  <c r="Y197" i="32"/>
  <c r="Y275" i="1"/>
  <c r="Y277" i="1" s="1"/>
  <c r="V174" i="2"/>
  <c r="W1388" i="7"/>
  <c r="W1390" i="7" s="1"/>
  <c r="X152" i="6"/>
  <c r="X146" i="5"/>
  <c r="X1195" i="7" s="1"/>
  <c r="X151" i="2" s="1"/>
  <c r="X225" i="26"/>
  <c r="W17" i="6"/>
  <c r="Y274" i="1"/>
  <c r="Z254" i="7"/>
  <c r="Y196" i="32"/>
  <c r="Y57" i="5"/>
  <c r="Z290" i="26"/>
  <c r="Y1157" i="7"/>
  <c r="Z320" i="26"/>
  <c r="Y1163" i="7"/>
  <c r="Z325" i="25"/>
  <c r="Z693" i="7" s="1"/>
  <c r="Y346" i="25"/>
  <c r="Z304" i="25"/>
  <c r="Y688" i="7"/>
  <c r="W119" i="2"/>
  <c r="W122" i="2" s="1"/>
  <c r="W124" i="2" s="1"/>
  <c r="X125" i="6"/>
  <c r="Z329" i="26"/>
  <c r="Y1165" i="7"/>
  <c r="Z1142" i="7"/>
  <c r="Z1143" i="7" s="1"/>
  <c r="Y175" i="34"/>
  <c r="Y172" i="6"/>
  <c r="Y1174" i="7" s="1"/>
  <c r="Y224" i="26"/>
  <c r="Y1389" i="7"/>
  <c r="W16" i="5"/>
  <c r="X107" i="5"/>
  <c r="Y372" i="7"/>
  <c r="Y371" i="7"/>
  <c r="Y368" i="7"/>
  <c r="Y370" i="7"/>
  <c r="Y369" i="7"/>
  <c r="Z243" i="26"/>
  <c r="Y1147" i="7"/>
  <c r="W195" i="33"/>
  <c r="W705" i="7"/>
  <c r="Y906" i="7"/>
  <c r="Y904" i="7"/>
  <c r="Y910" i="7"/>
  <c r="Y903" i="7"/>
  <c r="Y902" i="7"/>
  <c r="Y908" i="7"/>
  <c r="Y907" i="7"/>
  <c r="Y905" i="7"/>
  <c r="Y909" i="7"/>
  <c r="Z194" i="25"/>
  <c r="AA189" i="25"/>
  <c r="AA667" i="7" s="1"/>
  <c r="X112" i="5"/>
  <c r="X312" i="25"/>
  <c r="Z334" i="25"/>
  <c r="Z280" i="26"/>
  <c r="Y1155" i="7"/>
  <c r="Y154" i="5" s="1"/>
  <c r="X499" i="7"/>
  <c r="X1389" i="7"/>
  <c r="Z343" i="25"/>
  <c r="Z696" i="7" s="1"/>
  <c r="Z294" i="25"/>
  <c r="Z686" i="7" s="1"/>
  <c r="W390" i="25"/>
  <c r="W118" i="2"/>
  <c r="X348" i="25"/>
  <c r="X725" i="7"/>
  <c r="X111" i="5"/>
  <c r="X311" i="25"/>
  <c r="T129" i="2"/>
  <c r="U916" i="7"/>
  <c r="U918" i="7" s="1"/>
  <c r="U129" i="2" s="1"/>
  <c r="Y112" i="27"/>
  <c r="Z52" i="27"/>
  <c r="Z51" i="27"/>
  <c r="AA38" i="27"/>
  <c r="AA1401" i="7" s="1"/>
  <c r="AA48" i="27"/>
  <c r="AA1403" i="7" s="1"/>
  <c r="AA171" i="25"/>
  <c r="AA664" i="7" s="1"/>
  <c r="Z192" i="25"/>
  <c r="AA189" i="26"/>
  <c r="AA1136" i="7" s="1"/>
  <c r="Z194" i="26"/>
  <c r="AA171" i="26"/>
  <c r="AA1133" i="7" s="1"/>
  <c r="AA180" i="26"/>
  <c r="Y192" i="26"/>
  <c r="AA385" i="1"/>
  <c r="Y86" i="27"/>
  <c r="Y332" i="26"/>
  <c r="Y63" i="5"/>
  <c r="Y358" i="1"/>
  <c r="AA376" i="1"/>
  <c r="AA275" i="7" s="1"/>
  <c r="Y68" i="5"/>
  <c r="Y363" i="1"/>
  <c r="AA74" i="27"/>
  <c r="AA1424" i="7" s="1"/>
  <c r="AA240" i="1"/>
  <c r="AA249" i="7" s="1"/>
  <c r="Z245" i="1"/>
  <c r="AA345" i="1"/>
  <c r="Z268" i="7"/>
  <c r="AA83" i="27"/>
  <c r="AA1425" i="7" s="1"/>
  <c r="Y397" i="1"/>
  <c r="AA231" i="1"/>
  <c r="Y87" i="27"/>
  <c r="Y333" i="26"/>
  <c r="Y67" i="5"/>
  <c r="Y362" i="1"/>
  <c r="Y334" i="26"/>
  <c r="Y88" i="27"/>
  <c r="AA394" i="1"/>
  <c r="AA278" i="7" s="1"/>
  <c r="Z399" i="1"/>
  <c r="AA222" i="1"/>
  <c r="AA246" i="7" s="1"/>
  <c r="AA65" i="27"/>
  <c r="AA1423" i="7" s="1"/>
  <c r="AA308" i="1"/>
  <c r="Z260" i="7"/>
  <c r="Y243" i="1"/>
  <c r="AA355" i="1"/>
  <c r="Z270" i="7"/>
  <c r="Z396" i="7"/>
  <c r="Z402" i="7"/>
  <c r="Z400" i="7"/>
  <c r="Z401" i="7"/>
  <c r="Z399" i="7"/>
  <c r="Z397" i="7"/>
  <c r="Z395" i="7"/>
  <c r="Z398" i="7"/>
  <c r="Z394" i="7"/>
  <c r="Z456" i="7"/>
  <c r="Z458" i="7"/>
  <c r="Z460" i="7"/>
  <c r="Z457" i="7"/>
  <c r="Z461" i="7"/>
  <c r="Z462" i="7"/>
  <c r="Z455" i="7"/>
  <c r="Z454" i="7"/>
  <c r="Z459" i="7"/>
  <c r="AB1225" i="7"/>
  <c r="AB1135" i="7" l="1"/>
  <c r="AB1164" i="7"/>
  <c r="Z666" i="7"/>
  <c r="Z665" i="7" s="1"/>
  <c r="Z695" i="7"/>
  <c r="Z694" i="7" s="1"/>
  <c r="AA1134" i="7"/>
  <c r="AA193" i="26" s="1"/>
  <c r="Y159" i="5"/>
  <c r="AA149" i="6"/>
  <c r="AB1395" i="7"/>
  <c r="AA1394" i="7"/>
  <c r="AA1396" i="7" s="1"/>
  <c r="Z176" i="2"/>
  <c r="W113" i="6"/>
  <c r="X131" i="2"/>
  <c r="Y922" i="7"/>
  <c r="Y924" i="7" s="1"/>
  <c r="Y131" i="2" s="1"/>
  <c r="Z923" i="7"/>
  <c r="Y723" i="7"/>
  <c r="Y388" i="25" s="1"/>
  <c r="Z432" i="7"/>
  <c r="Z428" i="7"/>
  <c r="Y116" i="5"/>
  <c r="Y104" i="6"/>
  <c r="Y193" i="25"/>
  <c r="Z492" i="7"/>
  <c r="Z488" i="7"/>
  <c r="Y81" i="6"/>
  <c r="Y287" i="7" s="1"/>
  <c r="Z485" i="7"/>
  <c r="Z486" i="7"/>
  <c r="Z484" i="7"/>
  <c r="Z490" i="7"/>
  <c r="Z487" i="7"/>
  <c r="AA483" i="7"/>
  <c r="AA486" i="7" s="1"/>
  <c r="AA769" i="7"/>
  <c r="Z771" i="7"/>
  <c r="Z770" i="7"/>
  <c r="Z772" i="7"/>
  <c r="Z773" i="7"/>
  <c r="Z774" i="7"/>
  <c r="AA170" i="6"/>
  <c r="AA186" i="34" s="1"/>
  <c r="Z164" i="2"/>
  <c r="Z167" i="2" s="1"/>
  <c r="Z169" i="2" s="1"/>
  <c r="AB1227" i="7"/>
  <c r="AB1226" i="7"/>
  <c r="AB1228" i="7"/>
  <c r="AB1229" i="7"/>
  <c r="AB1230" i="7"/>
  <c r="AB1171" i="7" s="1"/>
  <c r="AA180" i="25"/>
  <c r="Z429" i="7"/>
  <c r="Z425" i="7"/>
  <c r="Z426" i="7"/>
  <c r="Z424" i="7"/>
  <c r="Z430" i="7"/>
  <c r="Z427" i="7"/>
  <c r="AA423" i="7"/>
  <c r="AA429" i="7" s="1"/>
  <c r="X111" i="6"/>
  <c r="AA1431" i="7"/>
  <c r="AA1459" i="7" s="1"/>
  <c r="AA1458" i="7"/>
  <c r="AA111" i="27" s="1"/>
  <c r="X163" i="2"/>
  <c r="X158" i="6" s="1"/>
  <c r="X156" i="6"/>
  <c r="Y1407" i="7"/>
  <c r="AA367" i="7"/>
  <c r="AB393" i="7"/>
  <c r="AB453" i="7"/>
  <c r="Y1415" i="7"/>
  <c r="Y25" i="5" s="1"/>
  <c r="Q500" i="7"/>
  <c r="Q1493" i="7"/>
  <c r="X1494" i="7"/>
  <c r="Y1417" i="7"/>
  <c r="Y26" i="5" s="1"/>
  <c r="X36" i="6"/>
  <c r="X1441" i="7" s="1"/>
  <c r="X195" i="33"/>
  <c r="X388" i="25"/>
  <c r="Y155" i="5"/>
  <c r="Y164" i="34"/>
  <c r="Y168" i="10" s="1"/>
  <c r="Y1197" i="7"/>
  <c r="Y163" i="2" s="1"/>
  <c r="Y297" i="26"/>
  <c r="Y183" i="32"/>
  <c r="Y293" i="26"/>
  <c r="AA673" i="7"/>
  <c r="Z674" i="7"/>
  <c r="Z127" i="6"/>
  <c r="Z224" i="25"/>
  <c r="Z226" i="25" s="1"/>
  <c r="Y107" i="5"/>
  <c r="Y150" i="5"/>
  <c r="Z173" i="10"/>
  <c r="X374" i="26"/>
  <c r="X17" i="6"/>
  <c r="Y702" i="7"/>
  <c r="AA329" i="26"/>
  <c r="Z1165" i="7"/>
  <c r="Z274" i="1"/>
  <c r="Z196" i="32"/>
  <c r="Z57" i="5"/>
  <c r="AA254" i="7"/>
  <c r="AA334" i="25"/>
  <c r="AA194" i="25"/>
  <c r="AB189" i="25"/>
  <c r="AB667" i="7" s="1"/>
  <c r="Y152" i="6"/>
  <c r="Y225" i="26"/>
  <c r="Y146" i="5"/>
  <c r="Y1195" i="7" s="1"/>
  <c r="Y374" i="26" s="1"/>
  <c r="Y312" i="25"/>
  <c r="Y112" i="5"/>
  <c r="AA320" i="26"/>
  <c r="Z1163" i="7"/>
  <c r="AA290" i="26"/>
  <c r="Z1157" i="7"/>
  <c r="Z298" i="26" s="1"/>
  <c r="Y58" i="5"/>
  <c r="Y276" i="1"/>
  <c r="Y62" i="6"/>
  <c r="AA255" i="7"/>
  <c r="AA256" i="7" s="1"/>
  <c r="Z197" i="32"/>
  <c r="Z82" i="6"/>
  <c r="Z275" i="1"/>
  <c r="Z277" i="1" s="1"/>
  <c r="Z499" i="7"/>
  <c r="AA311" i="26"/>
  <c r="Z1162" i="7"/>
  <c r="Z372" i="7"/>
  <c r="Z369" i="7"/>
  <c r="Z370" i="7"/>
  <c r="Z371" i="7"/>
  <c r="Z368" i="7"/>
  <c r="Y298" i="26"/>
  <c r="AA280" i="26"/>
  <c r="Z1155" i="7"/>
  <c r="Z1415" i="7" s="1"/>
  <c r="Z25" i="5" s="1"/>
  <c r="AA325" i="25"/>
  <c r="AA693" i="7" s="1"/>
  <c r="Z346" i="25"/>
  <c r="Z908" i="7"/>
  <c r="Z902" i="7"/>
  <c r="Z906" i="7"/>
  <c r="Z904" i="7"/>
  <c r="Z909" i="7"/>
  <c r="Z903" i="7"/>
  <c r="Z907" i="7"/>
  <c r="Z905" i="7"/>
  <c r="Z910" i="7"/>
  <c r="AA243" i="26"/>
  <c r="Z1147" i="7"/>
  <c r="Z293" i="26" s="1"/>
  <c r="X16" i="5"/>
  <c r="AA257" i="25"/>
  <c r="Z678" i="7"/>
  <c r="Z307" i="25" s="1"/>
  <c r="X119" i="2"/>
  <c r="X122" i="2" s="1"/>
  <c r="X124" i="2" s="1"/>
  <c r="Y125" i="6"/>
  <c r="Z875" i="7"/>
  <c r="Z874" i="7"/>
  <c r="Z872" i="7"/>
  <c r="Z877" i="7"/>
  <c r="Z880" i="7"/>
  <c r="Z876" i="7"/>
  <c r="Z878" i="7"/>
  <c r="Z873" i="7"/>
  <c r="Z879" i="7"/>
  <c r="Z175" i="34"/>
  <c r="Z172" i="6"/>
  <c r="Z1174" i="7" s="1"/>
  <c r="Z224" i="26"/>
  <c r="AA1142" i="7"/>
  <c r="AA1143" i="7" s="1"/>
  <c r="Z1389" i="7"/>
  <c r="AA304" i="25"/>
  <c r="Z688" i="7"/>
  <c r="X1388" i="7"/>
  <c r="X1390" i="7" s="1"/>
  <c r="W174" i="2"/>
  <c r="Y209" i="32"/>
  <c r="Y37" i="6"/>
  <c r="Y185" i="10" s="1"/>
  <c r="AA1141" i="7"/>
  <c r="Z174" i="34"/>
  <c r="Z223" i="26"/>
  <c r="Z145" i="5"/>
  <c r="AA871" i="7"/>
  <c r="AA901" i="7"/>
  <c r="Y499" i="7"/>
  <c r="Y1494" i="7" s="1"/>
  <c r="Y126" i="6"/>
  <c r="AA294" i="25"/>
  <c r="AA686" i="7" s="1"/>
  <c r="AA343" i="25"/>
  <c r="AA696" i="7" s="1"/>
  <c r="X390" i="25"/>
  <c r="X118" i="2"/>
  <c r="X113" i="6" s="1"/>
  <c r="Y111" i="5"/>
  <c r="Y311" i="25"/>
  <c r="Y348" i="25"/>
  <c r="Y725" i="7"/>
  <c r="V916" i="7"/>
  <c r="V918" i="7" s="1"/>
  <c r="V129" i="2" s="1"/>
  <c r="Z112" i="27"/>
  <c r="AA52" i="27"/>
  <c r="AA51" i="27"/>
  <c r="AB38" i="27"/>
  <c r="AB1401" i="7" s="1"/>
  <c r="AB48" i="27"/>
  <c r="AB1403" i="7" s="1"/>
  <c r="AB171" i="25"/>
  <c r="AB664" i="7" s="1"/>
  <c r="AA192" i="25"/>
  <c r="AB171" i="26"/>
  <c r="AB1133" i="7" s="1"/>
  <c r="AB189" i="26"/>
  <c r="AB1136" i="7" s="1"/>
  <c r="AA194" i="26"/>
  <c r="Z192" i="26"/>
  <c r="AB180" i="26"/>
  <c r="AB65" i="27"/>
  <c r="AB1423" i="7" s="1"/>
  <c r="AB394" i="1"/>
  <c r="AB278" i="7" s="1"/>
  <c r="AA399" i="1"/>
  <c r="AB231" i="1"/>
  <c r="Z67" i="5"/>
  <c r="Z362" i="1"/>
  <c r="Z87" i="27"/>
  <c r="Z333" i="26"/>
  <c r="AB355" i="1"/>
  <c r="AA270" i="7"/>
  <c r="Z86" i="27"/>
  <c r="Z332" i="26"/>
  <c r="AB83" i="27"/>
  <c r="AB1425" i="7" s="1"/>
  <c r="AB240" i="1"/>
  <c r="AB249" i="7" s="1"/>
  <c r="AA245" i="1"/>
  <c r="AB376" i="1"/>
  <c r="AB275" i="7" s="1"/>
  <c r="Z68" i="5"/>
  <c r="Z363" i="1"/>
  <c r="AB308" i="1"/>
  <c r="AA260" i="7"/>
  <c r="AB222" i="1"/>
  <c r="AB246" i="7" s="1"/>
  <c r="Z334" i="26"/>
  <c r="Z88" i="27"/>
  <c r="Z397" i="1"/>
  <c r="Z63" i="5"/>
  <c r="Z358" i="1"/>
  <c r="Z243" i="1"/>
  <c r="AB345" i="1"/>
  <c r="AA268" i="7"/>
  <c r="AB74" i="27"/>
  <c r="AB1424" i="7" s="1"/>
  <c r="AB385" i="1"/>
  <c r="AA457" i="7"/>
  <c r="AA459" i="7"/>
  <c r="AA458" i="7"/>
  <c r="AA461" i="7"/>
  <c r="AA456" i="7"/>
  <c r="AA462" i="7"/>
  <c r="AA455" i="7"/>
  <c r="AA454" i="7"/>
  <c r="AA460" i="7"/>
  <c r="AC1225" i="7"/>
  <c r="AA401" i="7"/>
  <c r="AA399" i="7"/>
  <c r="AA396" i="7"/>
  <c r="AA397" i="7"/>
  <c r="AA395" i="7"/>
  <c r="AA398" i="7"/>
  <c r="AA394" i="7"/>
  <c r="AA402" i="7"/>
  <c r="AA400" i="7"/>
  <c r="AC1135" i="7" l="1"/>
  <c r="AC1164" i="7"/>
  <c r="AA695" i="7"/>
  <c r="AA694" i="7" s="1"/>
  <c r="AA347" i="25" s="1"/>
  <c r="AA666" i="7"/>
  <c r="AA665" i="7" s="1"/>
  <c r="Z159" i="5"/>
  <c r="AB1134" i="7"/>
  <c r="AB193" i="26" s="1"/>
  <c r="AB149" i="6"/>
  <c r="AC1395" i="7"/>
  <c r="AB1394" i="7"/>
  <c r="AB1396" i="7" s="1"/>
  <c r="AA176" i="2"/>
  <c r="Y106" i="2"/>
  <c r="Y111" i="6" s="1"/>
  <c r="Z922" i="7"/>
  <c r="Z924" i="7" s="1"/>
  <c r="Z131" i="2" s="1"/>
  <c r="AA923" i="7"/>
  <c r="AA431" i="7"/>
  <c r="AA427" i="7"/>
  <c r="AA425" i="7"/>
  <c r="AA424" i="7"/>
  <c r="Z104" i="6"/>
  <c r="Z347" i="25"/>
  <c r="Z193" i="25"/>
  <c r="AA430" i="7"/>
  <c r="AA426" i="7"/>
  <c r="AA81" i="6" s="1"/>
  <c r="AA428" i="7"/>
  <c r="AA432" i="7"/>
  <c r="Z81" i="6"/>
  <c r="Z287" i="7" s="1"/>
  <c r="AA488" i="7"/>
  <c r="AA490" i="7"/>
  <c r="AA492" i="7"/>
  <c r="AA485" i="7"/>
  <c r="AC1227" i="7"/>
  <c r="AC1226" i="7"/>
  <c r="AC1228" i="7"/>
  <c r="AC1229" i="7"/>
  <c r="AC1230" i="7"/>
  <c r="AC1171" i="7" s="1"/>
  <c r="AA487" i="7"/>
  <c r="AA489" i="7"/>
  <c r="AB483" i="7"/>
  <c r="AB489" i="7" s="1"/>
  <c r="AB769" i="7"/>
  <c r="AA164" i="2"/>
  <c r="AA167" i="2" s="1"/>
  <c r="AA169" i="2" s="1"/>
  <c r="AB170" i="6"/>
  <c r="AB186" i="34" s="1"/>
  <c r="AA771" i="7"/>
  <c r="AA770" i="7"/>
  <c r="AA773" i="7"/>
  <c r="AA772" i="7"/>
  <c r="AA774" i="7"/>
  <c r="AA484" i="7"/>
  <c r="AB180" i="25"/>
  <c r="AB423" i="7"/>
  <c r="AB428" i="7" s="1"/>
  <c r="Z107" i="5"/>
  <c r="AB1458" i="7"/>
  <c r="AB111" i="27" s="1"/>
  <c r="AB1431" i="7"/>
  <c r="AB1459" i="7" s="1"/>
  <c r="Y158" i="6"/>
  <c r="Y376" i="26"/>
  <c r="AC453" i="7"/>
  <c r="AC393" i="7"/>
  <c r="AB367" i="7"/>
  <c r="Z297" i="26"/>
  <c r="Z154" i="5"/>
  <c r="Z1407" i="7"/>
  <c r="Z21" i="5" s="1"/>
  <c r="Z1417" i="7"/>
  <c r="Z26" i="5" s="1"/>
  <c r="Q1495" i="7"/>
  <c r="Q39" i="2" s="1"/>
  <c r="R498" i="7"/>
  <c r="Q84" i="2"/>
  <c r="Z702" i="7"/>
  <c r="Y151" i="2"/>
  <c r="Y156" i="6" s="1"/>
  <c r="Y21" i="5"/>
  <c r="Z150" i="5"/>
  <c r="Y159" i="10"/>
  <c r="AB673" i="7"/>
  <c r="AA127" i="6"/>
  <c r="AA674" i="7"/>
  <c r="AA184" i="33"/>
  <c r="AA224" i="25"/>
  <c r="AA226" i="25" s="1"/>
  <c r="Z917" i="7"/>
  <c r="Z1494" i="7" s="1"/>
  <c r="Z225" i="25"/>
  <c r="Z102" i="5"/>
  <c r="Z723" i="7" s="1"/>
  <c r="Z106" i="2" s="1"/>
  <c r="Z107" i="6"/>
  <c r="Y17" i="6"/>
  <c r="Z155" i="5"/>
  <c r="Z126" i="6"/>
  <c r="Z705" i="7" s="1"/>
  <c r="Y1388" i="7"/>
  <c r="Y1390" i="7" s="1"/>
  <c r="X174" i="2"/>
  <c r="AB243" i="26"/>
  <c r="AA1147" i="7"/>
  <c r="AA293" i="26" s="1"/>
  <c r="AB325" i="25"/>
  <c r="AB693" i="7" s="1"/>
  <c r="AA346" i="25"/>
  <c r="AB329" i="26"/>
  <c r="AA1165" i="7"/>
  <c r="AA876" i="7"/>
  <c r="AA874" i="7"/>
  <c r="AA873" i="7"/>
  <c r="AA877" i="7"/>
  <c r="AA880" i="7"/>
  <c r="AA879" i="7"/>
  <c r="AA872" i="7"/>
  <c r="AA878" i="7"/>
  <c r="AA875" i="7"/>
  <c r="Z312" i="25"/>
  <c r="Z112" i="5"/>
  <c r="AA224" i="26"/>
  <c r="AA172" i="6"/>
  <c r="AA1174" i="7" s="1"/>
  <c r="AB1142" i="7"/>
  <c r="AB1143" i="7" s="1"/>
  <c r="AA175" i="34"/>
  <c r="AA1389" i="7"/>
  <c r="Z125" i="6"/>
  <c r="Y119" i="2"/>
  <c r="Y122" i="2" s="1"/>
  <c r="Y124" i="2" s="1"/>
  <c r="AB311" i="26"/>
  <c r="AA1162" i="7"/>
  <c r="Z209" i="32"/>
  <c r="Z37" i="6"/>
  <c r="Z185" i="10" s="1"/>
  <c r="AB320" i="26"/>
  <c r="AA1163" i="7"/>
  <c r="Z1197" i="7"/>
  <c r="Z163" i="2" s="1"/>
  <c r="Z158" i="6" s="1"/>
  <c r="Y195" i="33"/>
  <c r="Y705" i="7"/>
  <c r="AB257" i="25"/>
  <c r="AA678" i="7"/>
  <c r="AA107" i="5" s="1"/>
  <c r="AA909" i="7"/>
  <c r="AA903" i="7"/>
  <c r="AA906" i="7"/>
  <c r="AA904" i="7"/>
  <c r="AA910" i="7"/>
  <c r="AA908" i="7"/>
  <c r="AA905" i="7"/>
  <c r="AA907" i="7"/>
  <c r="AA902" i="7"/>
  <c r="AA370" i="7"/>
  <c r="AA371" i="7"/>
  <c r="AA369" i="7"/>
  <c r="AA372" i="7"/>
  <c r="AA368" i="7"/>
  <c r="AB1141" i="7"/>
  <c r="AA223" i="26"/>
  <c r="AA174" i="34"/>
  <c r="AA145" i="5"/>
  <c r="Z152" i="6"/>
  <c r="Z146" i="5"/>
  <c r="Z1195" i="7" s="1"/>
  <c r="Z374" i="26" s="1"/>
  <c r="Z225" i="26"/>
  <c r="AA82" i="6"/>
  <c r="AB255" i="7"/>
  <c r="AB256" i="7" s="1"/>
  <c r="AA275" i="1"/>
  <c r="AA277" i="1" s="1"/>
  <c r="AA197" i="32"/>
  <c r="AA499" i="7"/>
  <c r="AA173" i="10"/>
  <c r="AB290" i="26"/>
  <c r="AA1157" i="7"/>
  <c r="AA298" i="26" s="1"/>
  <c r="AB194" i="25"/>
  <c r="AC189" i="25"/>
  <c r="AC667" i="7" s="1"/>
  <c r="AB901" i="7"/>
  <c r="AB871" i="7"/>
  <c r="AB304" i="25"/>
  <c r="AA688" i="7"/>
  <c r="AB280" i="26"/>
  <c r="AA1155" i="7"/>
  <c r="AA297" i="26" s="1"/>
  <c r="Z58" i="5"/>
  <c r="Z62" i="6"/>
  <c r="Z276" i="1"/>
  <c r="Y16" i="5"/>
  <c r="AB334" i="25"/>
  <c r="AA274" i="1"/>
  <c r="AA196" i="32"/>
  <c r="AA57" i="5"/>
  <c r="AB254" i="7"/>
  <c r="Y36" i="6"/>
  <c r="Y1441" i="7" s="1"/>
  <c r="AB343" i="25"/>
  <c r="AB696" i="7" s="1"/>
  <c r="AB294" i="25"/>
  <c r="AB686" i="7" s="1"/>
  <c r="Y118" i="2"/>
  <c r="Y113" i="6" s="1"/>
  <c r="Y390" i="25"/>
  <c r="Z348" i="25"/>
  <c r="Z311" i="25"/>
  <c r="Z111" i="5"/>
  <c r="W916" i="7"/>
  <c r="AA112" i="27"/>
  <c r="AB52" i="27"/>
  <c r="AB51" i="27"/>
  <c r="AC38" i="27"/>
  <c r="AC1401" i="7" s="1"/>
  <c r="AC48" i="27"/>
  <c r="AB192" i="25"/>
  <c r="AC171" i="25"/>
  <c r="AC664" i="7" s="1"/>
  <c r="AC180" i="26"/>
  <c r="AC171" i="26"/>
  <c r="AC1133" i="7" s="1"/>
  <c r="AA192" i="26"/>
  <c r="AC189" i="26"/>
  <c r="AC1136" i="7" s="1"/>
  <c r="AB194" i="26"/>
  <c r="AA87" i="27"/>
  <c r="AA333" i="26"/>
  <c r="AC222" i="1"/>
  <c r="AC246" i="7" s="1"/>
  <c r="AA397" i="1"/>
  <c r="AC240" i="1"/>
  <c r="AC249" i="7" s="1"/>
  <c r="AB245" i="1"/>
  <c r="AC231" i="1"/>
  <c r="AC65" i="27"/>
  <c r="AC1423" i="7" s="1"/>
  <c r="AC345" i="1"/>
  <c r="AB268" i="7"/>
  <c r="AA243" i="1"/>
  <c r="AA86" i="27"/>
  <c r="AA332" i="26"/>
  <c r="AA67" i="5"/>
  <c r="AA362" i="1"/>
  <c r="AC308" i="1"/>
  <c r="AB260" i="7"/>
  <c r="AC83" i="27"/>
  <c r="AC1425" i="7" s="1"/>
  <c r="AC355" i="1"/>
  <c r="AB270" i="7"/>
  <c r="AC385" i="1"/>
  <c r="AC74" i="27"/>
  <c r="AC1424" i="7" s="1"/>
  <c r="AA63" i="5"/>
  <c r="AA358" i="1"/>
  <c r="AC376" i="1"/>
  <c r="AC275" i="7" s="1"/>
  <c r="AA88" i="27"/>
  <c r="AA334" i="26"/>
  <c r="AA68" i="5"/>
  <c r="AA363" i="1"/>
  <c r="AC394" i="1"/>
  <c r="AC278" i="7" s="1"/>
  <c r="AB399" i="1"/>
  <c r="AB456" i="7"/>
  <c r="AB457" i="7"/>
  <c r="AB459" i="7"/>
  <c r="AB458" i="7"/>
  <c r="AB461" i="7"/>
  <c r="AB462" i="7"/>
  <c r="AB455" i="7"/>
  <c r="AB454" i="7"/>
  <c r="AB460" i="7"/>
  <c r="AB401" i="7"/>
  <c r="AB399" i="7"/>
  <c r="AB397" i="7"/>
  <c r="AB395" i="7"/>
  <c r="AB396" i="7"/>
  <c r="AB398" i="7"/>
  <c r="AB394" i="7"/>
  <c r="AB402" i="7"/>
  <c r="AB400" i="7"/>
  <c r="AD1225" i="7"/>
  <c r="AD1164" i="7" l="1"/>
  <c r="AD1135" i="7"/>
  <c r="AB666" i="7"/>
  <c r="AB665" i="7" s="1"/>
  <c r="AB695" i="7"/>
  <c r="AB694" i="7" s="1"/>
  <c r="AB347" i="25" s="1"/>
  <c r="AC1134" i="7"/>
  <c r="AC193" i="26" s="1"/>
  <c r="AA159" i="5"/>
  <c r="AC149" i="6"/>
  <c r="AD1395" i="7"/>
  <c r="AC1394" i="7"/>
  <c r="AC1396" i="7" s="1"/>
  <c r="AB176" i="2"/>
  <c r="AA922" i="7"/>
  <c r="AA924" i="7" s="1"/>
  <c r="AB922" i="7" s="1"/>
  <c r="Z111" i="6"/>
  <c r="AB923" i="7"/>
  <c r="Z725" i="7"/>
  <c r="Z116" i="5"/>
  <c r="AA104" i="6"/>
  <c r="AA116" i="5"/>
  <c r="AB427" i="7"/>
  <c r="AA193" i="25"/>
  <c r="AB431" i="7"/>
  <c r="AB487" i="7"/>
  <c r="AB492" i="7"/>
  <c r="AB485" i="7"/>
  <c r="AB486" i="7"/>
  <c r="AB484" i="7"/>
  <c r="AB488" i="7"/>
  <c r="AB424" i="7"/>
  <c r="AB430" i="7"/>
  <c r="AB429" i="7"/>
  <c r="AB425" i="7"/>
  <c r="AB426" i="7"/>
  <c r="AB432" i="7"/>
  <c r="AB490" i="7"/>
  <c r="AD1227" i="7"/>
  <c r="AD1226" i="7"/>
  <c r="AD1228" i="7"/>
  <c r="AD1229" i="7"/>
  <c r="AD1230" i="7"/>
  <c r="AD1171" i="7" s="1"/>
  <c r="AB164" i="2"/>
  <c r="AB167" i="2" s="1"/>
  <c r="AB169" i="2" s="1"/>
  <c r="AC170" i="6"/>
  <c r="AC186" i="34" s="1"/>
  <c r="AC483" i="7"/>
  <c r="AC489" i="7" s="1"/>
  <c r="AC769" i="7"/>
  <c r="AB771" i="7"/>
  <c r="AB770" i="7"/>
  <c r="AB772" i="7"/>
  <c r="AB773" i="7"/>
  <c r="AB774" i="7"/>
  <c r="AC180" i="25"/>
  <c r="AC423" i="7"/>
  <c r="AC425" i="7" s="1"/>
  <c r="AC1431" i="7"/>
  <c r="AC1459" i="7" s="1"/>
  <c r="AC1404" i="7"/>
  <c r="AC1403" i="7"/>
  <c r="AC1458" i="7" s="1"/>
  <c r="AC111" i="27" s="1"/>
  <c r="AC367" i="7"/>
  <c r="Z376" i="26"/>
  <c r="AD453" i="7"/>
  <c r="AD393" i="7"/>
  <c r="AA155" i="5"/>
  <c r="Z195" i="33"/>
  <c r="AA1417" i="7"/>
  <c r="AA26" i="5" s="1"/>
  <c r="R500" i="7"/>
  <c r="R1493" i="7"/>
  <c r="AA1407" i="7"/>
  <c r="AA21" i="5" s="1"/>
  <c r="AA1415" i="7"/>
  <c r="AA25" i="5" s="1"/>
  <c r="Z388" i="25"/>
  <c r="AC673" i="7"/>
  <c r="AB674" i="7"/>
  <c r="AB917" i="7" s="1"/>
  <c r="AB184" i="33"/>
  <c r="AB224" i="25"/>
  <c r="AB226" i="25" s="1"/>
  <c r="AB127" i="6"/>
  <c r="AA107" i="6"/>
  <c r="AA102" i="5"/>
  <c r="AA723" i="7" s="1"/>
  <c r="AA388" i="25" s="1"/>
  <c r="AA917" i="7"/>
  <c r="AA1494" i="7" s="1"/>
  <c r="AA225" i="25"/>
  <c r="Z36" i="6"/>
  <c r="Z1441" i="7" s="1"/>
  <c r="AA126" i="6"/>
  <c r="AA705" i="7" s="1"/>
  <c r="AA307" i="25"/>
  <c r="Z151" i="2"/>
  <c r="Z156" i="6" s="1"/>
  <c r="AC1141" i="7"/>
  <c r="AB223" i="26"/>
  <c r="AB174" i="34"/>
  <c r="AB145" i="5"/>
  <c r="AC257" i="25"/>
  <c r="AB678" i="7"/>
  <c r="AB307" i="25" s="1"/>
  <c r="Z16" i="5"/>
  <c r="AB371" i="7"/>
  <c r="AB368" i="7"/>
  <c r="AB369" i="7"/>
  <c r="AB370" i="7"/>
  <c r="AB372" i="7"/>
  <c r="AA58" i="5"/>
  <c r="AA62" i="6"/>
  <c r="AA276" i="1"/>
  <c r="AB197" i="32"/>
  <c r="AB82" i="6"/>
  <c r="AB275" i="1"/>
  <c r="AB277" i="1" s="1"/>
  <c r="AC255" i="7"/>
  <c r="AC256" i="7" s="1"/>
  <c r="AB499" i="7"/>
  <c r="AB173" i="10"/>
  <c r="AC320" i="26"/>
  <c r="AB1163" i="7"/>
  <c r="Z119" i="2"/>
  <c r="Z122" i="2" s="1"/>
  <c r="Z124" i="2" s="1"/>
  <c r="AA125" i="6"/>
  <c r="AC325" i="25"/>
  <c r="AC693" i="7" s="1"/>
  <c r="AB346" i="25"/>
  <c r="AA312" i="25"/>
  <c r="AA112" i="5"/>
  <c r="AB224" i="26"/>
  <c r="AB172" i="6"/>
  <c r="AB1174" i="7" s="1"/>
  <c r="AC1142" i="7"/>
  <c r="AC1143" i="7" s="1"/>
  <c r="AB175" i="34"/>
  <c r="AB1389" i="7"/>
  <c r="AB878" i="7"/>
  <c r="AB877" i="7"/>
  <c r="AB876" i="7"/>
  <c r="AB879" i="7"/>
  <c r="AB873" i="7"/>
  <c r="AB874" i="7"/>
  <c r="AB880" i="7"/>
  <c r="AB875" i="7"/>
  <c r="AB872" i="7"/>
  <c r="AC194" i="25"/>
  <c r="AD189" i="25"/>
  <c r="AD667" i="7" s="1"/>
  <c r="Y174" i="2"/>
  <c r="Z1388" i="7"/>
  <c r="Z1390" i="7" s="1"/>
  <c r="AA150" i="5"/>
  <c r="AA154" i="5"/>
  <c r="AA1197" i="7"/>
  <c r="AA163" i="2" s="1"/>
  <c r="AA158" i="6" s="1"/>
  <c r="Z17" i="6"/>
  <c r="AB274" i="1"/>
  <c r="AB196" i="32"/>
  <c r="AB57" i="5"/>
  <c r="AC254" i="7"/>
  <c r="AA209" i="32"/>
  <c r="AA37" i="6"/>
  <c r="AA185" i="10" s="1"/>
  <c r="AC334" i="25"/>
  <c r="AC280" i="26"/>
  <c r="AB1155" i="7"/>
  <c r="AB154" i="5" s="1"/>
  <c r="AC304" i="25"/>
  <c r="AB688" i="7"/>
  <c r="AC901" i="7"/>
  <c r="AC871" i="7"/>
  <c r="AB902" i="7"/>
  <c r="AB910" i="7"/>
  <c r="AB907" i="7"/>
  <c r="AB904" i="7"/>
  <c r="AB908" i="7"/>
  <c r="AB905" i="7"/>
  <c r="AB906" i="7"/>
  <c r="AB909" i="7"/>
  <c r="AB903" i="7"/>
  <c r="AC290" i="26"/>
  <c r="AB1157" i="7"/>
  <c r="AC311" i="26"/>
  <c r="AB1162" i="7"/>
  <c r="AA152" i="6"/>
  <c r="AA146" i="5"/>
  <c r="AA1195" i="7" s="1"/>
  <c r="AA151" i="2" s="1"/>
  <c r="AA225" i="26"/>
  <c r="AC329" i="26"/>
  <c r="AB1165" i="7"/>
  <c r="AC243" i="26"/>
  <c r="AB1147" i="7"/>
  <c r="AB293" i="26" s="1"/>
  <c r="AA702" i="7"/>
  <c r="AC294" i="25"/>
  <c r="AC686" i="7" s="1"/>
  <c r="AC343" i="25"/>
  <c r="AC696" i="7" s="1"/>
  <c r="AA111" i="5"/>
  <c r="AA311" i="25"/>
  <c r="AA348" i="25"/>
  <c r="AA725" i="7"/>
  <c r="W918" i="7"/>
  <c r="AB112" i="27"/>
  <c r="AC51" i="27"/>
  <c r="AD38" i="27"/>
  <c r="AD1401" i="7" s="1"/>
  <c r="AD48" i="27"/>
  <c r="AC192" i="25"/>
  <c r="AD171" i="25"/>
  <c r="AD664" i="7" s="1"/>
  <c r="AA287" i="7"/>
  <c r="AD180" i="26"/>
  <c r="AD189" i="26"/>
  <c r="AD1136" i="7" s="1"/>
  <c r="AC194" i="26"/>
  <c r="AD171" i="26"/>
  <c r="AD1133" i="7" s="1"/>
  <c r="AB192" i="26"/>
  <c r="AD394" i="1"/>
  <c r="AD278" i="7" s="1"/>
  <c r="AC399" i="1"/>
  <c r="AB87" i="27"/>
  <c r="AB333" i="26"/>
  <c r="AD355" i="1"/>
  <c r="AC270" i="7"/>
  <c r="AD83" i="27"/>
  <c r="AD1425" i="7" s="1"/>
  <c r="AD308" i="1"/>
  <c r="AC260" i="7"/>
  <c r="AD222" i="1"/>
  <c r="AD246" i="7" s="1"/>
  <c r="AD376" i="1"/>
  <c r="AD275" i="7" s="1"/>
  <c r="AD385" i="1"/>
  <c r="AB68" i="5"/>
  <c r="AB363" i="1"/>
  <c r="AB88" i="27"/>
  <c r="AB334" i="26"/>
  <c r="AB63" i="5"/>
  <c r="AB358" i="1"/>
  <c r="AD345" i="1"/>
  <c r="AC268" i="7"/>
  <c r="AD65" i="27"/>
  <c r="AD1423" i="7" s="1"/>
  <c r="AD240" i="1"/>
  <c r="AD249" i="7" s="1"/>
  <c r="AC245" i="1"/>
  <c r="AB243" i="1"/>
  <c r="AB397" i="1"/>
  <c r="AB67" i="5"/>
  <c r="AB362" i="1"/>
  <c r="AB86" i="27"/>
  <c r="AB332" i="26"/>
  <c r="AD74" i="27"/>
  <c r="AD1424" i="7" s="1"/>
  <c r="AD231" i="1"/>
  <c r="AE1225" i="7"/>
  <c r="AC457" i="7"/>
  <c r="AC460" i="7"/>
  <c r="AC458" i="7"/>
  <c r="AC461" i="7"/>
  <c r="AC456" i="7"/>
  <c r="AC462" i="7"/>
  <c r="AC455" i="7"/>
  <c r="AC454" i="7"/>
  <c r="AC459" i="7"/>
  <c r="AC397" i="7"/>
  <c r="AC395" i="7"/>
  <c r="AC398" i="7"/>
  <c r="AC394" i="7"/>
  <c r="AC402" i="7"/>
  <c r="AC400" i="7"/>
  <c r="AC396" i="7"/>
  <c r="AC401" i="7"/>
  <c r="AC399" i="7"/>
  <c r="AE1164" i="7" l="1"/>
  <c r="AE1135" i="7"/>
  <c r="AC666" i="7"/>
  <c r="AC665" i="7" s="1"/>
  <c r="AC695" i="7"/>
  <c r="AC694" i="7" s="1"/>
  <c r="AC347" i="25" s="1"/>
  <c r="AD1134" i="7"/>
  <c r="AD193" i="26" s="1"/>
  <c r="AB159" i="5"/>
  <c r="AD149" i="6"/>
  <c r="AE1395" i="7"/>
  <c r="AD1394" i="7"/>
  <c r="AD1396" i="7" s="1"/>
  <c r="AC176" i="2"/>
  <c r="AA131" i="2"/>
  <c r="AB924" i="7"/>
  <c r="AB131" i="2" s="1"/>
  <c r="AC923" i="7"/>
  <c r="AC428" i="7"/>
  <c r="Z390" i="25"/>
  <c r="Z118" i="2"/>
  <c r="Z113" i="6" s="1"/>
  <c r="AC426" i="7"/>
  <c r="AC430" i="7"/>
  <c r="AB116" i="5"/>
  <c r="AB104" i="6"/>
  <c r="AB193" i="25"/>
  <c r="AB81" i="6"/>
  <c r="AB287" i="7" s="1"/>
  <c r="AC432" i="7"/>
  <c r="AC429" i="7"/>
  <c r="AC424" i="7"/>
  <c r="AC431" i="7"/>
  <c r="AC427" i="7"/>
  <c r="AC485" i="7"/>
  <c r="AC484" i="7"/>
  <c r="AC488" i="7"/>
  <c r="AC490" i="7"/>
  <c r="AC771" i="7"/>
  <c r="AC770" i="7"/>
  <c r="AC772" i="7"/>
  <c r="AC773" i="7"/>
  <c r="AC774" i="7"/>
  <c r="AD170" i="6"/>
  <c r="AD186" i="34" s="1"/>
  <c r="AC164" i="2"/>
  <c r="AC167" i="2" s="1"/>
  <c r="AC169" i="2" s="1"/>
  <c r="AC487" i="7"/>
  <c r="AC486" i="7"/>
  <c r="AC492" i="7"/>
  <c r="AE1227" i="7"/>
  <c r="AE1226" i="7"/>
  <c r="AE1228" i="7"/>
  <c r="AE1229" i="7"/>
  <c r="AE1230" i="7"/>
  <c r="AE1171" i="7" s="1"/>
  <c r="AD483" i="7"/>
  <c r="AD489" i="7" s="1"/>
  <c r="AD769" i="7"/>
  <c r="AD180" i="25"/>
  <c r="AD423" i="7"/>
  <c r="AD426" i="7" s="1"/>
  <c r="AA36" i="6"/>
  <c r="AA1441" i="7" s="1"/>
  <c r="AC52" i="27"/>
  <c r="AD1404" i="7"/>
  <c r="AD1403" i="7"/>
  <c r="AD52" i="27" s="1"/>
  <c r="AD1431" i="7"/>
  <c r="AD1459" i="7" s="1"/>
  <c r="AA376" i="26"/>
  <c r="AE393" i="7"/>
  <c r="AE453" i="7"/>
  <c r="AD367" i="7"/>
  <c r="AB1415" i="7"/>
  <c r="AB25" i="5" s="1"/>
  <c r="AA195" i="33"/>
  <c r="AB1417" i="7"/>
  <c r="AB26" i="5" s="1"/>
  <c r="AC269" i="7"/>
  <c r="AC263" i="7"/>
  <c r="AC267" i="7"/>
  <c r="AB1494" i="7"/>
  <c r="AB1407" i="7"/>
  <c r="AB21" i="5" s="1"/>
  <c r="AC265" i="7"/>
  <c r="AC261" i="7"/>
  <c r="R1495" i="7"/>
  <c r="R39" i="2" s="1"/>
  <c r="R84" i="2"/>
  <c r="S498" i="7"/>
  <c r="AA106" i="2"/>
  <c r="AA111" i="6" s="1"/>
  <c r="AB1197" i="7"/>
  <c r="AB163" i="2" s="1"/>
  <c r="AB158" i="6" s="1"/>
  <c r="AB297" i="26"/>
  <c r="AA374" i="26"/>
  <c r="AB107" i="5"/>
  <c r="AD673" i="7"/>
  <c r="AD674" i="7" s="1"/>
  <c r="AC127" i="6"/>
  <c r="AC184" i="33"/>
  <c r="AC224" i="25"/>
  <c r="AC226" i="25" s="1"/>
  <c r="AB107" i="6"/>
  <c r="AB102" i="5"/>
  <c r="AB723" i="7" s="1"/>
  <c r="AB388" i="25" s="1"/>
  <c r="AB225" i="25"/>
  <c r="AB150" i="5"/>
  <c r="H198" i="32"/>
  <c r="E198" i="32"/>
  <c r="F198" i="32"/>
  <c r="G198" i="32"/>
  <c r="I198" i="32"/>
  <c r="AB298" i="26"/>
  <c r="AA156" i="6"/>
  <c r="AC674" i="7"/>
  <c r="AA17" i="6"/>
  <c r="AB155" i="5"/>
  <c r="AB112" i="5"/>
  <c r="AB312" i="25"/>
  <c r="AD1141" i="7"/>
  <c r="AC223" i="26"/>
  <c r="AC145" i="5"/>
  <c r="AC174" i="34"/>
  <c r="AD311" i="26"/>
  <c r="AC1162" i="7"/>
  <c r="AC368" i="7"/>
  <c r="AC371" i="7"/>
  <c r="AC370" i="7"/>
  <c r="AC369" i="7"/>
  <c r="AC372" i="7"/>
  <c r="AD280" i="26"/>
  <c r="AC1155" i="7"/>
  <c r="AC297" i="26" s="1"/>
  <c r="AA119" i="2"/>
  <c r="AA122" i="2" s="1"/>
  <c r="AA124" i="2" s="1"/>
  <c r="AB125" i="6"/>
  <c r="AD320" i="26"/>
  <c r="AC1163" i="7"/>
  <c r="AC197" i="32"/>
  <c r="AC82" i="6"/>
  <c r="AC275" i="1"/>
  <c r="AC277" i="1" s="1"/>
  <c r="AD255" i="7"/>
  <c r="AD256" i="7" s="1"/>
  <c r="AC173" i="10"/>
  <c r="AD243" i="26"/>
  <c r="AC1147" i="7"/>
  <c r="AD290" i="26"/>
  <c r="AC1157" i="7"/>
  <c r="AC879" i="7"/>
  <c r="AC877" i="7"/>
  <c r="AC876" i="7"/>
  <c r="AC872" i="7"/>
  <c r="AC874" i="7"/>
  <c r="AC880" i="7"/>
  <c r="AC873" i="7"/>
  <c r="AC878" i="7"/>
  <c r="AC875" i="7"/>
  <c r="AA1388" i="7"/>
  <c r="AA1390" i="7" s="1"/>
  <c r="Z174" i="2"/>
  <c r="AD329" i="26"/>
  <c r="AC1165" i="7"/>
  <c r="AC905" i="7"/>
  <c r="AC908" i="7"/>
  <c r="AC903" i="7"/>
  <c r="AC902" i="7"/>
  <c r="AC909" i="7"/>
  <c r="AC904" i="7"/>
  <c r="AC907" i="7"/>
  <c r="AC906" i="7"/>
  <c r="AC910" i="7"/>
  <c r="AD334" i="25"/>
  <c r="AB152" i="6"/>
  <c r="AB225" i="26"/>
  <c r="AB146" i="5"/>
  <c r="AB1195" i="7" s="1"/>
  <c r="AB374" i="26" s="1"/>
  <c r="AD325" i="25"/>
  <c r="AD693" i="7" s="1"/>
  <c r="AC346" i="25"/>
  <c r="T198" i="32"/>
  <c r="U198" i="32"/>
  <c r="W198" i="32"/>
  <c r="Y198" i="32"/>
  <c r="Q198" i="32"/>
  <c r="P198" i="32"/>
  <c r="AG198" i="32"/>
  <c r="K198" i="32"/>
  <c r="M198" i="32"/>
  <c r="X198" i="32"/>
  <c r="S198" i="32"/>
  <c r="R198" i="32"/>
  <c r="AA198" i="32"/>
  <c r="V198" i="32"/>
  <c r="AE198" i="32"/>
  <c r="Z198" i="32"/>
  <c r="AF198" i="32"/>
  <c r="O198" i="32"/>
  <c r="L198" i="32"/>
  <c r="N198" i="32"/>
  <c r="J198" i="32"/>
  <c r="AB198" i="32"/>
  <c r="AB126" i="6"/>
  <c r="AD194" i="25"/>
  <c r="AE189" i="25"/>
  <c r="AE667" i="7" s="1"/>
  <c r="AD257" i="25"/>
  <c r="AC678" i="7"/>
  <c r="AD871" i="7"/>
  <c r="AD901" i="7"/>
  <c r="AD304" i="25"/>
  <c r="AC688" i="7"/>
  <c r="AC274" i="1"/>
  <c r="AD254" i="7"/>
  <c r="AC57" i="5"/>
  <c r="AC196" i="32"/>
  <c r="AC198" i="32" s="1"/>
  <c r="AC175" i="34"/>
  <c r="AC172" i="6"/>
  <c r="AC1174" i="7" s="1"/>
  <c r="AC224" i="26"/>
  <c r="AD1142" i="7"/>
  <c r="AD1143" i="7" s="1"/>
  <c r="AC1389" i="7"/>
  <c r="AB58" i="5"/>
  <c r="AB62" i="6"/>
  <c r="AB276" i="1"/>
  <c r="AB209" i="32"/>
  <c r="AB37" i="6"/>
  <c r="AB185" i="10" s="1"/>
  <c r="AA16" i="5"/>
  <c r="AB702" i="7"/>
  <c r="AD343" i="25"/>
  <c r="AD696" i="7" s="1"/>
  <c r="AD294" i="25"/>
  <c r="AD686" i="7" s="1"/>
  <c r="AA390" i="25"/>
  <c r="AA118" i="2"/>
  <c r="AB348" i="25"/>
  <c r="AB725" i="7"/>
  <c r="AB311" i="25"/>
  <c r="AB111" i="5"/>
  <c r="W129" i="2"/>
  <c r="X916" i="7"/>
  <c r="AC271" i="7"/>
  <c r="AC112" i="27"/>
  <c r="AD51" i="27"/>
  <c r="AE38" i="27"/>
  <c r="AE1401" i="7" s="1"/>
  <c r="AE48" i="27"/>
  <c r="AE1403" i="7" s="1"/>
  <c r="AD192" i="25"/>
  <c r="AE171" i="25"/>
  <c r="AE664" i="7" s="1"/>
  <c r="AE189" i="26"/>
  <c r="AE1136" i="7" s="1"/>
  <c r="AD194" i="26"/>
  <c r="AE180" i="26"/>
  <c r="AE171" i="26"/>
  <c r="AE1133" i="7" s="1"/>
  <c r="AC192" i="26"/>
  <c r="AE65" i="27"/>
  <c r="AE1423" i="7" s="1"/>
  <c r="AE385" i="1"/>
  <c r="AC88" i="27"/>
  <c r="AC334" i="26"/>
  <c r="AC86" i="27"/>
  <c r="AC332" i="26"/>
  <c r="AE308" i="1"/>
  <c r="AD260" i="7"/>
  <c r="AE355" i="1"/>
  <c r="AD270" i="7"/>
  <c r="AE394" i="1"/>
  <c r="AE278" i="7" s="1"/>
  <c r="AD399" i="1"/>
  <c r="AE74" i="27"/>
  <c r="AE1424" i="7" s="1"/>
  <c r="AE240" i="1"/>
  <c r="AE249" i="7" s="1"/>
  <c r="AD245" i="1"/>
  <c r="AE345" i="1"/>
  <c r="AD268" i="7"/>
  <c r="AE376" i="1"/>
  <c r="AE275" i="7" s="1"/>
  <c r="AE222" i="1"/>
  <c r="AE246" i="7" s="1"/>
  <c r="AC63" i="5"/>
  <c r="AC358" i="1"/>
  <c r="AC68" i="5"/>
  <c r="AC363" i="1"/>
  <c r="AE231" i="1"/>
  <c r="AC87" i="27"/>
  <c r="AC333" i="26"/>
  <c r="AC67" i="5"/>
  <c r="AC362" i="1"/>
  <c r="AC397" i="1"/>
  <c r="AC243" i="1"/>
  <c r="AE83" i="27"/>
  <c r="AE1425" i="7" s="1"/>
  <c r="AD456" i="7"/>
  <c r="AD457" i="7"/>
  <c r="AD460" i="7"/>
  <c r="AD458" i="7"/>
  <c r="AD461" i="7"/>
  <c r="AD462" i="7"/>
  <c r="AD455" i="7"/>
  <c r="AD454" i="7"/>
  <c r="AD459" i="7"/>
  <c r="AF1225" i="7"/>
  <c r="AD396" i="7"/>
  <c r="AD397" i="7"/>
  <c r="AD395" i="7"/>
  <c r="AD398" i="7"/>
  <c r="AD394" i="7"/>
  <c r="AD402" i="7"/>
  <c r="AD400" i="7"/>
  <c r="AD401" i="7"/>
  <c r="AD399" i="7"/>
  <c r="AF1135" i="7" l="1"/>
  <c r="AF1164" i="7"/>
  <c r="AD666" i="7"/>
  <c r="AD665" i="7" s="1"/>
  <c r="AD695" i="7"/>
  <c r="AD694" i="7" s="1"/>
  <c r="AD347" i="25" s="1"/>
  <c r="AE1134" i="7"/>
  <c r="AC159" i="5"/>
  <c r="AE149" i="6"/>
  <c r="AF1395" i="7"/>
  <c r="AE1394" i="7"/>
  <c r="AE1396" i="7" s="1"/>
  <c r="AD176" i="2"/>
  <c r="AB36" i="6"/>
  <c r="AB1441" i="7" s="1"/>
  <c r="AC81" i="6"/>
  <c r="AC287" i="7" s="1"/>
  <c r="AC922" i="7"/>
  <c r="AC924" i="7" s="1"/>
  <c r="AC131" i="2" s="1"/>
  <c r="AD923" i="7"/>
  <c r="AD430" i="7"/>
  <c r="AD424" i="7"/>
  <c r="AA113" i="6"/>
  <c r="AC116" i="5"/>
  <c r="AC104" i="6"/>
  <c r="AD432" i="7"/>
  <c r="AD428" i="7"/>
  <c r="AD427" i="7"/>
  <c r="AC193" i="25"/>
  <c r="AD431" i="7"/>
  <c r="AD429" i="7"/>
  <c r="AD425" i="7"/>
  <c r="AD486" i="7"/>
  <c r="AD81" i="6" s="1"/>
  <c r="AD492" i="7"/>
  <c r="AD488" i="7"/>
  <c r="AD485" i="7"/>
  <c r="AD484" i="7"/>
  <c r="AD487" i="7"/>
  <c r="AD490" i="7"/>
  <c r="AF1227" i="7"/>
  <c r="AF1226" i="7"/>
  <c r="AF1228" i="7"/>
  <c r="AF1229" i="7"/>
  <c r="AF1230" i="7"/>
  <c r="AF1171" i="7" s="1"/>
  <c r="AE483" i="7"/>
  <c r="AE490" i="7" s="1"/>
  <c r="AE769" i="7"/>
  <c r="AD771" i="7"/>
  <c r="AD770" i="7"/>
  <c r="AD772" i="7"/>
  <c r="AD773" i="7"/>
  <c r="AD774" i="7"/>
  <c r="AD164" i="2"/>
  <c r="AD167" i="2" s="1"/>
  <c r="AD169" i="2" s="1"/>
  <c r="AE170" i="6"/>
  <c r="AE186" i="34" s="1"/>
  <c r="AD1458" i="7"/>
  <c r="AD111" i="27" s="1"/>
  <c r="AE180" i="25"/>
  <c r="AE423" i="7"/>
  <c r="AE427" i="7" s="1"/>
  <c r="AE1431" i="7"/>
  <c r="AE1459" i="7" s="1"/>
  <c r="AE1458" i="7"/>
  <c r="AE111" i="27" s="1"/>
  <c r="AC1197" i="7"/>
  <c r="AC163" i="2" s="1"/>
  <c r="AC158" i="6" s="1"/>
  <c r="AC1407" i="7"/>
  <c r="AC21" i="5" s="1"/>
  <c r="AE367" i="7"/>
  <c r="AF393" i="7"/>
  <c r="AF453" i="7"/>
  <c r="AB376" i="26"/>
  <c r="AD263" i="7"/>
  <c r="AD261" i="7"/>
  <c r="AD267" i="7"/>
  <c r="S500" i="7"/>
  <c r="S1493" i="7"/>
  <c r="AD271" i="7"/>
  <c r="AD265" i="7"/>
  <c r="AD269" i="7"/>
  <c r="AC1415" i="7"/>
  <c r="AC25" i="5" s="1"/>
  <c r="AC1417" i="7"/>
  <c r="AC293" i="26"/>
  <c r="AC154" i="5"/>
  <c r="AC150" i="5"/>
  <c r="AB151" i="2"/>
  <c r="AB156" i="6" s="1"/>
  <c r="AC155" i="5"/>
  <c r="AD917" i="7"/>
  <c r="AD102" i="5"/>
  <c r="AD107" i="6"/>
  <c r="AD225" i="25"/>
  <c r="AE673" i="7"/>
  <c r="AD224" i="25"/>
  <c r="AD226" i="25" s="1"/>
  <c r="AD184" i="33"/>
  <c r="AD127" i="6"/>
  <c r="AC107" i="6"/>
  <c r="AC102" i="5"/>
  <c r="AC723" i="7" s="1"/>
  <c r="AC388" i="25" s="1"/>
  <c r="AC225" i="25"/>
  <c r="AB106" i="2"/>
  <c r="AB111" i="6" s="1"/>
  <c r="AC298" i="26"/>
  <c r="AC917" i="7"/>
  <c r="AC164" i="34"/>
  <c r="AC168" i="10" s="1"/>
  <c r="AC307" i="25"/>
  <c r="AC183" i="32"/>
  <c r="AC107" i="5"/>
  <c r="AC126" i="6"/>
  <c r="AE1142" i="7"/>
  <c r="AE1143" i="7" s="1"/>
  <c r="AD224" i="26"/>
  <c r="AD175" i="34"/>
  <c r="AD172" i="6"/>
  <c r="AD1174" i="7" s="1"/>
  <c r="AE304" i="25"/>
  <c r="AD688" i="7"/>
  <c r="AD878" i="7"/>
  <c r="AD877" i="7"/>
  <c r="AD874" i="7"/>
  <c r="AD872" i="7"/>
  <c r="AD879" i="7"/>
  <c r="AD876" i="7"/>
  <c r="AD873" i="7"/>
  <c r="AD880" i="7"/>
  <c r="AD875" i="7"/>
  <c r="AE325" i="25"/>
  <c r="AE693" i="7" s="1"/>
  <c r="AD346" i="25"/>
  <c r="AE334" i="25"/>
  <c r="AC62" i="6"/>
  <c r="AC58" i="5"/>
  <c r="AC276" i="1"/>
  <c r="AC209" i="32"/>
  <c r="AC37" i="6"/>
  <c r="AC185" i="10" s="1"/>
  <c r="AE257" i="25"/>
  <c r="AD678" i="7"/>
  <c r="AE329" i="26"/>
  <c r="AD1165" i="7"/>
  <c r="AE243" i="26"/>
  <c r="AD1147" i="7"/>
  <c r="AE320" i="26"/>
  <c r="AD1163" i="7"/>
  <c r="AB16" i="5"/>
  <c r="AC225" i="26"/>
  <c r="AC152" i="6"/>
  <c r="AC146" i="5"/>
  <c r="AC1195" i="7" s="1"/>
  <c r="AC151" i="2" s="1"/>
  <c r="AA174" i="2"/>
  <c r="AB1388" i="7"/>
  <c r="AB1390" i="7" s="1"/>
  <c r="AD197" i="32"/>
  <c r="AD82" i="6"/>
  <c r="AD275" i="1"/>
  <c r="AD277" i="1" s="1"/>
  <c r="AE255" i="7"/>
  <c r="AE256" i="7" s="1"/>
  <c r="AD499" i="7"/>
  <c r="AD173" i="10"/>
  <c r="AE280" i="26"/>
  <c r="AD1155" i="7"/>
  <c r="AE311" i="26"/>
  <c r="AD1162" i="7"/>
  <c r="AE1141" i="7"/>
  <c r="AD223" i="26"/>
  <c r="AD145" i="5"/>
  <c r="AD174" i="34"/>
  <c r="AC702" i="7"/>
  <c r="AC312" i="25"/>
  <c r="AC112" i="5"/>
  <c r="AD904" i="7"/>
  <c r="AD910" i="7"/>
  <c r="AD905" i="7"/>
  <c r="AD907" i="7"/>
  <c r="AD902" i="7"/>
  <c r="AD906" i="7"/>
  <c r="AD909" i="7"/>
  <c r="AD903" i="7"/>
  <c r="AD908" i="7"/>
  <c r="AD274" i="1"/>
  <c r="AE254" i="7"/>
  <c r="AD196" i="32"/>
  <c r="AD57" i="5"/>
  <c r="AD372" i="7"/>
  <c r="AD369" i="7"/>
  <c r="AD370" i="7"/>
  <c r="AD368" i="7"/>
  <c r="AD371" i="7"/>
  <c r="AE871" i="7"/>
  <c r="AE901" i="7"/>
  <c r="AE194" i="25"/>
  <c r="AF189" i="25"/>
  <c r="AF667" i="7" s="1"/>
  <c r="AB195" i="33"/>
  <c r="AB705" i="7"/>
  <c r="AB119" i="2"/>
  <c r="AB122" i="2" s="1"/>
  <c r="AB124" i="2" s="1"/>
  <c r="AC125" i="6"/>
  <c r="AE290" i="26"/>
  <c r="AD1157" i="7"/>
  <c r="AB17" i="6"/>
  <c r="AC499" i="7"/>
  <c r="AB390" i="25"/>
  <c r="AB118" i="2"/>
  <c r="AB113" i="6" s="1"/>
  <c r="AE294" i="25"/>
  <c r="AE686" i="7" s="1"/>
  <c r="AE343" i="25"/>
  <c r="AE696" i="7" s="1"/>
  <c r="AC111" i="5"/>
  <c r="AC311" i="25"/>
  <c r="AC348" i="25"/>
  <c r="AC725" i="7"/>
  <c r="X918" i="7"/>
  <c r="AD112" i="27"/>
  <c r="AE51" i="27"/>
  <c r="AE52" i="27"/>
  <c r="AF38" i="27"/>
  <c r="AF1401" i="7" s="1"/>
  <c r="AF48" i="27"/>
  <c r="AF1403" i="7" s="1"/>
  <c r="AF171" i="25"/>
  <c r="AF664" i="7" s="1"/>
  <c r="AE192" i="25"/>
  <c r="AF189" i="26"/>
  <c r="AF1136" i="7" s="1"/>
  <c r="AE194" i="26"/>
  <c r="AF171" i="26"/>
  <c r="AF1133" i="7" s="1"/>
  <c r="AF180" i="26"/>
  <c r="AE193" i="26"/>
  <c r="AD192" i="26"/>
  <c r="AF83" i="27"/>
  <c r="AF1425" i="7" s="1"/>
  <c r="AD397" i="1"/>
  <c r="AD87" i="27"/>
  <c r="AD333" i="26"/>
  <c r="AF355" i="1"/>
  <c r="AE270" i="7"/>
  <c r="AF385" i="1"/>
  <c r="AF65" i="27"/>
  <c r="AF1423" i="7" s="1"/>
  <c r="AD334" i="26"/>
  <c r="AD88" i="27"/>
  <c r="AF222" i="1"/>
  <c r="AF246" i="7" s="1"/>
  <c r="AF345" i="1"/>
  <c r="AE268" i="7"/>
  <c r="AD68" i="5"/>
  <c r="AD363" i="1"/>
  <c r="AD86" i="27"/>
  <c r="AD332" i="26"/>
  <c r="AF231" i="1"/>
  <c r="AD243" i="1"/>
  <c r="AD67" i="5"/>
  <c r="AD362" i="1"/>
  <c r="AF394" i="1"/>
  <c r="AF278" i="7" s="1"/>
  <c r="AE399" i="1"/>
  <c r="AF308" i="1"/>
  <c r="AE260" i="7"/>
  <c r="AF376" i="1"/>
  <c r="AF275" i="7" s="1"/>
  <c r="AF240" i="1"/>
  <c r="AF249" i="7" s="1"/>
  <c r="AE245" i="1"/>
  <c r="AF74" i="27"/>
  <c r="AF1424" i="7" s="1"/>
  <c r="AD63" i="5"/>
  <c r="AD358" i="1"/>
  <c r="AE458" i="7"/>
  <c r="AE460" i="7"/>
  <c r="AE457" i="7"/>
  <c r="AE461" i="7"/>
  <c r="AE456" i="7"/>
  <c r="AE462" i="7"/>
  <c r="AE455" i="7"/>
  <c r="AE454" i="7"/>
  <c r="AE459" i="7"/>
  <c r="AG1225" i="7"/>
  <c r="AE397" i="7"/>
  <c r="AE394" i="7"/>
  <c r="AE396" i="7"/>
  <c r="AE402" i="7"/>
  <c r="AE400" i="7"/>
  <c r="AE398" i="7"/>
  <c r="AE401" i="7"/>
  <c r="AE399" i="7"/>
  <c r="AE395" i="7"/>
  <c r="AG1164" i="7" l="1"/>
  <c r="AG1135" i="7"/>
  <c r="AE695" i="7"/>
  <c r="AE694" i="7" s="1"/>
  <c r="AE347" i="25" s="1"/>
  <c r="AE666" i="7"/>
  <c r="AE665" i="7" s="1"/>
  <c r="AD159" i="5"/>
  <c r="AF1134" i="7"/>
  <c r="AF193" i="26" s="1"/>
  <c r="AF149" i="6"/>
  <c r="AG1395" i="7"/>
  <c r="AF1394" i="7"/>
  <c r="AF1396" i="7" s="1"/>
  <c r="AE176" i="2"/>
  <c r="AC36" i="6"/>
  <c r="AC1441" i="7" s="1"/>
  <c r="AD922" i="7"/>
  <c r="AD924" i="7" s="1"/>
  <c r="AE923" i="7"/>
  <c r="AD116" i="5"/>
  <c r="AD104" i="6"/>
  <c r="AD193" i="25"/>
  <c r="AE487" i="7"/>
  <c r="AE485" i="7"/>
  <c r="AE488" i="7"/>
  <c r="AE489" i="7"/>
  <c r="AE492" i="7"/>
  <c r="AE486" i="7"/>
  <c r="AE484" i="7"/>
  <c r="AF483" i="7"/>
  <c r="AF490" i="7" s="1"/>
  <c r="AF769" i="7"/>
  <c r="AE164" i="2"/>
  <c r="AE167" i="2" s="1"/>
  <c r="AE169" i="2" s="1"/>
  <c r="AF170" i="6"/>
  <c r="AF186" i="34" s="1"/>
  <c r="AG1227" i="7"/>
  <c r="AG1226" i="7"/>
  <c r="AG1228" i="7"/>
  <c r="AG1229" i="7"/>
  <c r="AG1230" i="7"/>
  <c r="AG1171" i="7" s="1"/>
  <c r="AE771" i="7"/>
  <c r="AE770" i="7"/>
  <c r="AE772" i="7"/>
  <c r="AE773" i="7"/>
  <c r="AE774" i="7"/>
  <c r="AE432" i="7"/>
  <c r="AE430" i="7"/>
  <c r="AE424" i="7"/>
  <c r="AE431" i="7"/>
  <c r="AE428" i="7"/>
  <c r="AE425" i="7"/>
  <c r="AE429" i="7"/>
  <c r="AE426" i="7"/>
  <c r="AD723" i="7"/>
  <c r="AD106" i="2" s="1"/>
  <c r="AF180" i="25"/>
  <c r="AF423" i="7"/>
  <c r="AF431" i="7" s="1"/>
  <c r="AF1458" i="7"/>
  <c r="AF111" i="27" s="1"/>
  <c r="AC376" i="26"/>
  <c r="AF1431" i="7"/>
  <c r="AF1459" i="7" s="1"/>
  <c r="AD298" i="26"/>
  <c r="AC1494" i="7"/>
  <c r="AG453" i="7"/>
  <c r="AG393" i="7"/>
  <c r="AF367" i="7"/>
  <c r="AC705" i="7"/>
  <c r="AC156" i="6"/>
  <c r="AD293" i="26"/>
  <c r="AD154" i="5"/>
  <c r="AD150" i="5"/>
  <c r="AD1407" i="7"/>
  <c r="AD297" i="26"/>
  <c r="AD1417" i="7"/>
  <c r="AD26" i="5" s="1"/>
  <c r="S1495" i="7"/>
  <c r="S39" i="2" s="1"/>
  <c r="S84" i="2"/>
  <c r="T498" i="7"/>
  <c r="AD1415" i="7"/>
  <c r="AD25" i="5" s="1"/>
  <c r="AC26" i="5"/>
  <c r="AC195" i="33"/>
  <c r="AC106" i="2"/>
  <c r="AC111" i="6" s="1"/>
  <c r="AD1197" i="7"/>
  <c r="AD376" i="26" s="1"/>
  <c r="AD155" i="5"/>
  <c r="AD198" i="32"/>
  <c r="AF673" i="7"/>
  <c r="AE224" i="25"/>
  <c r="AE226" i="25" s="1"/>
  <c r="AE674" i="7"/>
  <c r="AE917" i="7" s="1"/>
  <c r="AE184" i="33"/>
  <c r="AE127" i="6"/>
  <c r="AD183" i="32"/>
  <c r="AD164" i="34"/>
  <c r="AD168" i="10" s="1"/>
  <c r="AC374" i="26"/>
  <c r="AC159" i="10"/>
  <c r="AD107" i="5"/>
  <c r="AF194" i="25"/>
  <c r="AG189" i="25"/>
  <c r="AG667" i="7" s="1"/>
  <c r="AE274" i="1"/>
  <c r="AE196" i="32"/>
  <c r="AE57" i="5"/>
  <c r="AF254" i="7"/>
  <c r="AF311" i="26"/>
  <c r="AE1162" i="7"/>
  <c r="AD225" i="26"/>
  <c r="AD146" i="5"/>
  <c r="AD1195" i="7" s="1"/>
  <c r="AD151" i="2" s="1"/>
  <c r="AD156" i="6" s="1"/>
  <c r="AD152" i="6"/>
  <c r="AE372" i="7"/>
  <c r="AE368" i="7"/>
  <c r="AE370" i="7"/>
  <c r="AE371" i="7"/>
  <c r="AE369" i="7"/>
  <c r="AF320" i="26"/>
  <c r="AE1163" i="7"/>
  <c r="AF257" i="25"/>
  <c r="AE678" i="7"/>
  <c r="AE307" i="25" s="1"/>
  <c r="AF334" i="25"/>
  <c r="AF1142" i="7"/>
  <c r="AF1143" i="7" s="1"/>
  <c r="AE175" i="34"/>
  <c r="AE224" i="26"/>
  <c r="AE172" i="6"/>
  <c r="AE1174" i="7" s="1"/>
  <c r="AE1389" i="7"/>
  <c r="AD307" i="25"/>
  <c r="AC17" i="6"/>
  <c r="AD1389" i="7"/>
  <c r="AD1494" i="7" s="1"/>
  <c r="AE902" i="7"/>
  <c r="AE905" i="7"/>
  <c r="AE903" i="7"/>
  <c r="AE906" i="7"/>
  <c r="AE908" i="7"/>
  <c r="AE904" i="7"/>
  <c r="AE909" i="7"/>
  <c r="AE910" i="7"/>
  <c r="AE907" i="7"/>
  <c r="AD276" i="1"/>
  <c r="AD58" i="5"/>
  <c r="AD62" i="6"/>
  <c r="AD209" i="32"/>
  <c r="AD37" i="6"/>
  <c r="AD185" i="10" s="1"/>
  <c r="AC16" i="5"/>
  <c r="AF871" i="7"/>
  <c r="AF901" i="7"/>
  <c r="AF243" i="26"/>
  <c r="AE1147" i="7"/>
  <c r="AF329" i="26"/>
  <c r="AE1165" i="7"/>
  <c r="AF325" i="25"/>
  <c r="AF693" i="7" s="1"/>
  <c r="AE346" i="25"/>
  <c r="AD125" i="6"/>
  <c r="AC119" i="2"/>
  <c r="AC122" i="2" s="1"/>
  <c r="AC124" i="2" s="1"/>
  <c r="AF304" i="25"/>
  <c r="AE688" i="7"/>
  <c r="AD126" i="6"/>
  <c r="AD36" i="6" s="1"/>
  <c r="AF290" i="26"/>
  <c r="AE1157" i="7"/>
  <c r="AE298" i="26" s="1"/>
  <c r="AE872" i="7"/>
  <c r="AE880" i="7"/>
  <c r="AE876" i="7"/>
  <c r="AE874" i="7"/>
  <c r="AE873" i="7"/>
  <c r="AE879" i="7"/>
  <c r="AE877" i="7"/>
  <c r="AE878" i="7"/>
  <c r="AE875" i="7"/>
  <c r="AF1141" i="7"/>
  <c r="AE174" i="34"/>
  <c r="AE145" i="5"/>
  <c r="AE223" i="26"/>
  <c r="AF280" i="26"/>
  <c r="AE1155" i="7"/>
  <c r="AE297" i="26" s="1"/>
  <c r="AE82" i="6"/>
  <c r="AE275" i="1"/>
  <c r="AE277" i="1" s="1"/>
  <c r="AF255" i="7"/>
  <c r="AF256" i="7" s="1"/>
  <c r="AE197" i="32"/>
  <c r="AE499" i="7"/>
  <c r="AE173" i="10"/>
  <c r="AB174" i="2"/>
  <c r="AC1388" i="7"/>
  <c r="AC1390" i="7" s="1"/>
  <c r="AD312" i="25"/>
  <c r="AD112" i="5"/>
  <c r="AD702" i="7"/>
  <c r="AC118" i="2"/>
  <c r="AC113" i="6" s="1"/>
  <c r="AC390" i="25"/>
  <c r="AF343" i="25"/>
  <c r="AF696" i="7" s="1"/>
  <c r="AF294" i="25"/>
  <c r="AF686" i="7" s="1"/>
  <c r="AD348" i="25"/>
  <c r="AD725" i="7"/>
  <c r="AD111" i="5"/>
  <c r="AD311" i="25"/>
  <c r="X129" i="2"/>
  <c r="Y916" i="7"/>
  <c r="AE112" i="27"/>
  <c r="AF52" i="27"/>
  <c r="AF51" i="27"/>
  <c r="AG38" i="27"/>
  <c r="AG1401" i="7" s="1"/>
  <c r="AG48" i="27"/>
  <c r="AG1403" i="7" s="1"/>
  <c r="AG171" i="25"/>
  <c r="AG664" i="7" s="1"/>
  <c r="AG171" i="26"/>
  <c r="AG1133" i="7" s="1"/>
  <c r="AG189" i="26"/>
  <c r="AG1136" i="7" s="1"/>
  <c r="AF194" i="26"/>
  <c r="AE192" i="26"/>
  <c r="AG180" i="26"/>
  <c r="AG1134" i="7" s="1"/>
  <c r="AE397" i="1"/>
  <c r="AE63" i="5"/>
  <c r="AE358" i="1"/>
  <c r="AG222" i="1"/>
  <c r="AG246" i="7" s="1"/>
  <c r="AG385" i="1"/>
  <c r="AG355" i="1"/>
  <c r="AF270" i="7"/>
  <c r="AG74" i="27"/>
  <c r="AG1424" i="7" s="1"/>
  <c r="AG240" i="1"/>
  <c r="AG249" i="7" s="1"/>
  <c r="AF245" i="1"/>
  <c r="AG394" i="1"/>
  <c r="AG278" i="7" s="1"/>
  <c r="AF399" i="1"/>
  <c r="AG231" i="1"/>
  <c r="AE243" i="1"/>
  <c r="AE68" i="5"/>
  <c r="AE363" i="1"/>
  <c r="AG83" i="27"/>
  <c r="AG1425" i="7" s="1"/>
  <c r="AE87" i="27"/>
  <c r="AE333" i="26"/>
  <c r="AG345" i="1"/>
  <c r="AF268" i="7"/>
  <c r="AD287" i="7"/>
  <c r="AG65" i="27"/>
  <c r="AG1423" i="7" s="1"/>
  <c r="AE334" i="26"/>
  <c r="AE88" i="27"/>
  <c r="AG376" i="1"/>
  <c r="AG275" i="7" s="1"/>
  <c r="AG308" i="1"/>
  <c r="AF260" i="7"/>
  <c r="AE67" i="5"/>
  <c r="AE362" i="1"/>
  <c r="AE86" i="27"/>
  <c r="AE332" i="26"/>
  <c r="AF397" i="7"/>
  <c r="AF395" i="7"/>
  <c r="AF398" i="7"/>
  <c r="AF394" i="7"/>
  <c r="AF396" i="7"/>
  <c r="AF402" i="7"/>
  <c r="AF400" i="7"/>
  <c r="AF401" i="7"/>
  <c r="AF399" i="7"/>
  <c r="AH1225" i="7"/>
  <c r="AF456" i="7"/>
  <c r="AF458" i="7"/>
  <c r="AF460" i="7"/>
  <c r="AF457" i="7"/>
  <c r="AF461" i="7"/>
  <c r="AF462" i="7"/>
  <c r="AF455" i="7"/>
  <c r="AF454" i="7"/>
  <c r="AF459" i="7"/>
  <c r="AH1164" i="7" l="1"/>
  <c r="AH1135" i="7"/>
  <c r="AF666" i="7"/>
  <c r="AF665" i="7" s="1"/>
  <c r="AF695" i="7"/>
  <c r="AF694" i="7" s="1"/>
  <c r="AE159" i="5"/>
  <c r="AG149" i="6"/>
  <c r="AH1395" i="7"/>
  <c r="AG1394" i="7"/>
  <c r="AG1396" i="7" s="1"/>
  <c r="AF176" i="2"/>
  <c r="AD131" i="2"/>
  <c r="AE922" i="7"/>
  <c r="AE924" i="7" s="1"/>
  <c r="AF923" i="7"/>
  <c r="AE116" i="5"/>
  <c r="AE104" i="6"/>
  <c r="AE193" i="25"/>
  <c r="AF432" i="7"/>
  <c r="AF487" i="7"/>
  <c r="AF428" i="7"/>
  <c r="AE81" i="6"/>
  <c r="AE287" i="7" s="1"/>
  <c r="AF485" i="7"/>
  <c r="AF484" i="7"/>
  <c r="AF486" i="7"/>
  <c r="AF488" i="7"/>
  <c r="AF489" i="7"/>
  <c r="AF492" i="7"/>
  <c r="AG170" i="6"/>
  <c r="AG186" i="34" s="1"/>
  <c r="AF164" i="2"/>
  <c r="AF167" i="2" s="1"/>
  <c r="AF169" i="2" s="1"/>
  <c r="AF771" i="7"/>
  <c r="AF770" i="7"/>
  <c r="AF772" i="7"/>
  <c r="AF773" i="7"/>
  <c r="AF774" i="7"/>
  <c r="AH1227" i="7"/>
  <c r="AH1226" i="7"/>
  <c r="AH1228" i="7"/>
  <c r="AH167" i="2" s="1"/>
  <c r="AH169" i="2" s="1"/>
  <c r="AH1229" i="7"/>
  <c r="AH1230" i="7"/>
  <c r="AH1171" i="7" s="1"/>
  <c r="AG483" i="7"/>
  <c r="AG489" i="7" s="1"/>
  <c r="AG769" i="7"/>
  <c r="AF430" i="7"/>
  <c r="AF429" i="7"/>
  <c r="AF425" i="7"/>
  <c r="AF426" i="7"/>
  <c r="AF424" i="7"/>
  <c r="AF427" i="7"/>
  <c r="AD388" i="25"/>
  <c r="AG180" i="25"/>
  <c r="AG423" i="7"/>
  <c r="AG429" i="7" s="1"/>
  <c r="AD111" i="6"/>
  <c r="AG1431" i="7"/>
  <c r="AG1459" i="7" s="1"/>
  <c r="AG1458" i="7"/>
  <c r="AG111" i="27" s="1"/>
  <c r="AE155" i="5"/>
  <c r="AE107" i="5"/>
  <c r="AE154" i="5"/>
  <c r="AH453" i="7"/>
  <c r="AH393" i="7"/>
  <c r="AG367" i="7"/>
  <c r="AD163" i="2"/>
  <c r="AD158" i="6" s="1"/>
  <c r="AE1494" i="7"/>
  <c r="AE1417" i="7"/>
  <c r="AE26" i="5" s="1"/>
  <c r="AD1441" i="7"/>
  <c r="AE1407" i="7"/>
  <c r="AE21" i="5" s="1"/>
  <c r="T500" i="7"/>
  <c r="T1493" i="7"/>
  <c r="AE1415" i="7"/>
  <c r="AE25" i="5" s="1"/>
  <c r="AE702" i="7"/>
  <c r="AD21" i="5"/>
  <c r="AD17" i="6"/>
  <c r="AG673" i="7"/>
  <c r="AF184" i="33"/>
  <c r="AF224" i="25"/>
  <c r="AF226" i="25" s="1"/>
  <c r="AF674" i="7"/>
  <c r="AF127" i="6"/>
  <c r="AE225" i="25"/>
  <c r="AE107" i="6"/>
  <c r="AE102" i="5"/>
  <c r="AE723" i="7" s="1"/>
  <c r="AE388" i="25" s="1"/>
  <c r="AD159" i="10"/>
  <c r="AE1197" i="7"/>
  <c r="AE376" i="26" s="1"/>
  <c r="AG1141" i="7"/>
  <c r="AF174" i="34"/>
  <c r="AF145" i="5"/>
  <c r="AF223" i="26"/>
  <c r="AE62" i="6"/>
  <c r="AE276" i="1"/>
  <c r="AE58" i="5"/>
  <c r="AG243" i="26"/>
  <c r="AF1147" i="7"/>
  <c r="AF293" i="26" s="1"/>
  <c r="AF907" i="7"/>
  <c r="AF910" i="7"/>
  <c r="AF909" i="7"/>
  <c r="AF905" i="7"/>
  <c r="AF902" i="7"/>
  <c r="AF906" i="7"/>
  <c r="AF908" i="7"/>
  <c r="AF904" i="7"/>
  <c r="AF903" i="7"/>
  <c r="AF274" i="1"/>
  <c r="AG254" i="7"/>
  <c r="AF196" i="32"/>
  <c r="AF57" i="5"/>
  <c r="AG194" i="25"/>
  <c r="AH189" i="25"/>
  <c r="AE293" i="26"/>
  <c r="AD374" i="26"/>
  <c r="AD195" i="33"/>
  <c r="AD705" i="7"/>
  <c r="AG871" i="7"/>
  <c r="AG901" i="7"/>
  <c r="AF371" i="7"/>
  <c r="AF370" i="7"/>
  <c r="AF368" i="7"/>
  <c r="AF372" i="7"/>
  <c r="AF369" i="7"/>
  <c r="AF175" i="34"/>
  <c r="AG1142" i="7"/>
  <c r="AG1143" i="7" s="1"/>
  <c r="AF224" i="26"/>
  <c r="AF172" i="6"/>
  <c r="AF1174" i="7" s="1"/>
  <c r="AF1389" i="7"/>
  <c r="AG334" i="25"/>
  <c r="AG320" i="26"/>
  <c r="AF1163" i="7"/>
  <c r="AG311" i="26"/>
  <c r="AF1162" i="7"/>
  <c r="AG304" i="25"/>
  <c r="AF688" i="7"/>
  <c r="AG325" i="25"/>
  <c r="AG693" i="7" s="1"/>
  <c r="AF346" i="25"/>
  <c r="AG329" i="26"/>
  <c r="AF1165" i="7"/>
  <c r="AF879" i="7"/>
  <c r="AF873" i="7"/>
  <c r="AF880" i="7"/>
  <c r="AF872" i="7"/>
  <c r="AF874" i="7"/>
  <c r="AF875" i="7"/>
  <c r="AF877" i="7"/>
  <c r="AF878" i="7"/>
  <c r="AF876" i="7"/>
  <c r="AD16" i="5"/>
  <c r="AE146" i="5"/>
  <c r="AE1195" i="7" s="1"/>
  <c r="AE151" i="2" s="1"/>
  <c r="AE156" i="6" s="1"/>
  <c r="AE152" i="6"/>
  <c r="AE225" i="26"/>
  <c r="AE150" i="5"/>
  <c r="AE126" i="6"/>
  <c r="AE705" i="7" s="1"/>
  <c r="AF82" i="6"/>
  <c r="AF197" i="32"/>
  <c r="AG255" i="7"/>
  <c r="AG256" i="7" s="1"/>
  <c r="AF275" i="1"/>
  <c r="AF277" i="1" s="1"/>
  <c r="AF173" i="10"/>
  <c r="AG280" i="26"/>
  <c r="AF1155" i="7"/>
  <c r="AF154" i="5" s="1"/>
  <c r="AG290" i="26"/>
  <c r="AF1157" i="7"/>
  <c r="AF298" i="26" s="1"/>
  <c r="AC174" i="2"/>
  <c r="AD1388" i="7"/>
  <c r="AD1390" i="7" s="1"/>
  <c r="AE209" i="32"/>
  <c r="AE37" i="6"/>
  <c r="AE185" i="10" s="1"/>
  <c r="AE125" i="6"/>
  <c r="AD119" i="2"/>
  <c r="AD122" i="2" s="1"/>
  <c r="AD124" i="2" s="1"/>
  <c r="AE312" i="25"/>
  <c r="AE112" i="5"/>
  <c r="AG257" i="25"/>
  <c r="AF678" i="7"/>
  <c r="AD118" i="2"/>
  <c r="AD113" i="6" s="1"/>
  <c r="AD390" i="25"/>
  <c r="AG294" i="25"/>
  <c r="AG686" i="7" s="1"/>
  <c r="AG343" i="25"/>
  <c r="AG696" i="7" s="1"/>
  <c r="AE311" i="25"/>
  <c r="AE111" i="5"/>
  <c r="AE348" i="25"/>
  <c r="AE725" i="7"/>
  <c r="Y918" i="7"/>
  <c r="AF112" i="27"/>
  <c r="AG51" i="27"/>
  <c r="AG52" i="27"/>
  <c r="AH38" i="27"/>
  <c r="AH1401" i="7" s="1"/>
  <c r="AH48" i="27"/>
  <c r="AH1403" i="7" s="1"/>
  <c r="AF192" i="25"/>
  <c r="AH171" i="25"/>
  <c r="AH664" i="7" s="1"/>
  <c r="AH180" i="26"/>
  <c r="AG193" i="26"/>
  <c r="AH171" i="26"/>
  <c r="AH1133" i="7" s="1"/>
  <c r="AF192" i="26"/>
  <c r="AH189" i="26"/>
  <c r="AH1136" i="7" s="1"/>
  <c r="AG194" i="26"/>
  <c r="AH308" i="1"/>
  <c r="AH260" i="7" s="1"/>
  <c r="AG260" i="7"/>
  <c r="AF86" i="27"/>
  <c r="AF332" i="26"/>
  <c r="AH83" i="27"/>
  <c r="AH1425" i="7" s="1"/>
  <c r="AH394" i="1"/>
  <c r="AH278" i="7" s="1"/>
  <c r="AG399" i="1"/>
  <c r="AH74" i="27"/>
  <c r="AH1424" i="7" s="1"/>
  <c r="AF68" i="5"/>
  <c r="AF363" i="1"/>
  <c r="AF243" i="1"/>
  <c r="AF63" i="5"/>
  <c r="AF358" i="1"/>
  <c r="AH345" i="1"/>
  <c r="AH268" i="7" s="1"/>
  <c r="AG268" i="7"/>
  <c r="AF88" i="27"/>
  <c r="AF334" i="26"/>
  <c r="AF87" i="27"/>
  <c r="AF333" i="26"/>
  <c r="AH385" i="1"/>
  <c r="AH376" i="1"/>
  <c r="AH275" i="7" s="1"/>
  <c r="AF67" i="5"/>
  <c r="AF362" i="1"/>
  <c r="AH231" i="1"/>
  <c r="AH240" i="1"/>
  <c r="AH249" i="7" s="1"/>
  <c r="AG245" i="1"/>
  <c r="AF397" i="1"/>
  <c r="AH65" i="27"/>
  <c r="AH1423" i="7" s="1"/>
  <c r="AH355" i="1"/>
  <c r="AH270" i="7" s="1"/>
  <c r="AG270" i="7"/>
  <c r="AH222" i="1"/>
  <c r="AH246" i="7" s="1"/>
  <c r="AG456" i="7"/>
  <c r="AG454" i="7"/>
  <c r="AG460" i="7"/>
  <c r="AG458" i="7"/>
  <c r="AG459" i="7"/>
  <c r="AG457" i="7"/>
  <c r="AG461" i="7"/>
  <c r="AG462" i="7"/>
  <c r="AG455" i="7"/>
  <c r="AG401" i="7"/>
  <c r="AG399" i="7"/>
  <c r="AG395" i="7"/>
  <c r="AG397" i="7"/>
  <c r="AG394" i="7"/>
  <c r="AG396" i="7"/>
  <c r="AG402" i="7"/>
  <c r="AG400" i="7"/>
  <c r="AG398" i="7"/>
  <c r="AH1134" i="7" l="1"/>
  <c r="I1137" i="7" s="1"/>
  <c r="AG666" i="7"/>
  <c r="AG665" i="7" s="1"/>
  <c r="AG695" i="7"/>
  <c r="AG694" i="7" s="1"/>
  <c r="AH667" i="7"/>
  <c r="AH194" i="25" s="1"/>
  <c r="AF159" i="5"/>
  <c r="AH149" i="6"/>
  <c r="AH1394" i="7"/>
  <c r="AH1396" i="7" s="1"/>
  <c r="AH176" i="2" s="1"/>
  <c r="AG176" i="2"/>
  <c r="AF81" i="6"/>
  <c r="AF287" i="7" s="1"/>
  <c r="AE131" i="2"/>
  <c r="AF922" i="7"/>
  <c r="AF924" i="7" s="1"/>
  <c r="AG922" i="7" s="1"/>
  <c r="AG923" i="7"/>
  <c r="AF104" i="6"/>
  <c r="AF347" i="25"/>
  <c r="AF193" i="25"/>
  <c r="AG488" i="7"/>
  <c r="AG487" i="7"/>
  <c r="AG485" i="7"/>
  <c r="AG486" i="7"/>
  <c r="AG484" i="7"/>
  <c r="AG490" i="7"/>
  <c r="AG771" i="7"/>
  <c r="AG770" i="7"/>
  <c r="AG772" i="7"/>
  <c r="AG773" i="7"/>
  <c r="AG774" i="7"/>
  <c r="AH483" i="7"/>
  <c r="AH489" i="7" s="1"/>
  <c r="AH769" i="7"/>
  <c r="AG164" i="2"/>
  <c r="AG167" i="2" s="1"/>
  <c r="AG169" i="2" s="1"/>
  <c r="AH170" i="6"/>
  <c r="AH186" i="34" s="1"/>
  <c r="AG492" i="7"/>
  <c r="AG491" i="7"/>
  <c r="AF491" i="7" s="1"/>
  <c r="AE491" i="7" s="1"/>
  <c r="AD491" i="7" s="1"/>
  <c r="AC491" i="7" s="1"/>
  <c r="AB491" i="7" s="1"/>
  <c r="AA491" i="7" s="1"/>
  <c r="Z491" i="7" s="1"/>
  <c r="Y491" i="7" s="1"/>
  <c r="X491" i="7" s="1"/>
  <c r="W491" i="7" s="1"/>
  <c r="V491" i="7" s="1"/>
  <c r="AG425" i="7"/>
  <c r="AG427" i="7"/>
  <c r="AG424" i="7"/>
  <c r="AG431" i="7"/>
  <c r="AG430" i="7"/>
  <c r="AG426" i="7"/>
  <c r="AG428" i="7"/>
  <c r="AG432" i="7"/>
  <c r="AH180" i="25"/>
  <c r="AH423" i="7"/>
  <c r="AH428" i="7" s="1"/>
  <c r="AH1402" i="7"/>
  <c r="AH1458" i="7"/>
  <c r="AH111" i="27" s="1"/>
  <c r="AH1431" i="7"/>
  <c r="AH1459" i="7" s="1"/>
  <c r="AH112" i="27" s="1"/>
  <c r="AF155" i="5"/>
  <c r="AF1407" i="7"/>
  <c r="AF21" i="5" s="1"/>
  <c r="AH367" i="7"/>
  <c r="AF107" i="5"/>
  <c r="AF307" i="25"/>
  <c r="AE163" i="2"/>
  <c r="AE158" i="6" s="1"/>
  <c r="AF1417" i="7"/>
  <c r="AF26" i="5" s="1"/>
  <c r="AH271" i="7"/>
  <c r="G30" i="36" s="1"/>
  <c r="AH261" i="7"/>
  <c r="G25" i="36" s="1"/>
  <c r="T1495" i="7"/>
  <c r="T39" i="2" s="1"/>
  <c r="U498" i="7"/>
  <c r="T84" i="2"/>
  <c r="AF1415" i="7"/>
  <c r="AF25" i="5" s="1"/>
  <c r="AH269" i="7"/>
  <c r="G29" i="36" s="1"/>
  <c r="AF150" i="5"/>
  <c r="AE374" i="26"/>
  <c r="AE106" i="2"/>
  <c r="AE111" i="6" s="1"/>
  <c r="AF297" i="26"/>
  <c r="AF702" i="7"/>
  <c r="AH673" i="7"/>
  <c r="AG127" i="6"/>
  <c r="AG674" i="7"/>
  <c r="AG917" i="7" s="1"/>
  <c r="AG184" i="33"/>
  <c r="AG224" i="25"/>
  <c r="AG226" i="25" s="1"/>
  <c r="AF917" i="7"/>
  <c r="AF225" i="25"/>
  <c r="AF107" i="6"/>
  <c r="AF102" i="5"/>
  <c r="AF723" i="7" s="1"/>
  <c r="AF106" i="2" s="1"/>
  <c r="AF1197" i="7"/>
  <c r="AF376" i="26" s="1"/>
  <c r="AE36" i="6"/>
  <c r="AE1441" i="7" s="1"/>
  <c r="AE195" i="33"/>
  <c r="AF276" i="1"/>
  <c r="AF62" i="6"/>
  <c r="AF58" i="5"/>
  <c r="AF125" i="6"/>
  <c r="AE119" i="2"/>
  <c r="AE122" i="2" s="1"/>
  <c r="AE124" i="2" s="1"/>
  <c r="AH311" i="26"/>
  <c r="AH1162" i="7" s="1"/>
  <c r="AG1162" i="7"/>
  <c r="AH871" i="7"/>
  <c r="AH901" i="7"/>
  <c r="AF209" i="32"/>
  <c r="AF37" i="6"/>
  <c r="AF185" i="10" s="1"/>
  <c r="AH325" i="25"/>
  <c r="AG346" i="25"/>
  <c r="AF152" i="6"/>
  <c r="AF146" i="5"/>
  <c r="AF1195" i="7" s="1"/>
  <c r="AF374" i="26" s="1"/>
  <c r="AF225" i="26"/>
  <c r="AG224" i="26"/>
  <c r="AH1142" i="7"/>
  <c r="AH1143" i="7" s="1"/>
  <c r="AG175" i="34"/>
  <c r="AG172" i="6"/>
  <c r="AG1174" i="7" s="1"/>
  <c r="AG1389" i="7"/>
  <c r="AF499" i="7"/>
  <c r="AF126" i="6"/>
  <c r="AH290" i="26"/>
  <c r="AH1157" i="7" s="1"/>
  <c r="AH1158" i="7" s="1"/>
  <c r="G33" i="38" s="1"/>
  <c r="AG1157" i="7"/>
  <c r="AG298" i="26" s="1"/>
  <c r="AG274" i="1"/>
  <c r="AG196" i="32"/>
  <c r="AG57" i="5"/>
  <c r="AH254" i="7"/>
  <c r="AH1141" i="7"/>
  <c r="AG174" i="34"/>
  <c r="AG145" i="5"/>
  <c r="AG223" i="26"/>
  <c r="AE1388" i="7"/>
  <c r="AE1390" i="7" s="1"/>
  <c r="AD174" i="2"/>
  <c r="AH257" i="25"/>
  <c r="AH678" i="7" s="1"/>
  <c r="AG678" i="7"/>
  <c r="AG107" i="5" s="1"/>
  <c r="AH255" i="7"/>
  <c r="AH256" i="7" s="1"/>
  <c r="AG197" i="32"/>
  <c r="AG82" i="6"/>
  <c r="AG275" i="1"/>
  <c r="AG277" i="1" s="1"/>
  <c r="AG173" i="10"/>
  <c r="AH329" i="26"/>
  <c r="AH1165" i="7" s="1"/>
  <c r="AG1165" i="7"/>
  <c r="AH304" i="25"/>
  <c r="AH688" i="7" s="1"/>
  <c r="AH689" i="7" s="1"/>
  <c r="AG688" i="7"/>
  <c r="AG909" i="7"/>
  <c r="AG910" i="7"/>
  <c r="AG902" i="7"/>
  <c r="AG904" i="7"/>
  <c r="AG906" i="7"/>
  <c r="AG905" i="7"/>
  <c r="AG903" i="7"/>
  <c r="AG908" i="7"/>
  <c r="AG907" i="7"/>
  <c r="AG877" i="7"/>
  <c r="AG876" i="7"/>
  <c r="AG872" i="7"/>
  <c r="AG873" i="7"/>
  <c r="AG879" i="7"/>
  <c r="AG875" i="7"/>
  <c r="AG878" i="7"/>
  <c r="AG880" i="7"/>
  <c r="AG874" i="7"/>
  <c r="AH334" i="25"/>
  <c r="AE16" i="5"/>
  <c r="AH280" i="26"/>
  <c r="AH1155" i="7" s="1"/>
  <c r="AG1155" i="7"/>
  <c r="AG1415" i="7" s="1"/>
  <c r="AG25" i="5" s="1"/>
  <c r="AF312" i="25"/>
  <c r="AF112" i="5"/>
  <c r="AH320" i="26"/>
  <c r="AH1163" i="7" s="1"/>
  <c r="AG1163" i="7"/>
  <c r="AG370" i="7"/>
  <c r="AG369" i="7"/>
  <c r="AG368" i="7"/>
  <c r="AG371" i="7"/>
  <c r="AG372" i="7"/>
  <c r="AH243" i="26"/>
  <c r="AH1147" i="7" s="1"/>
  <c r="AG1147" i="7"/>
  <c r="AG150" i="5" s="1"/>
  <c r="AE17" i="6"/>
  <c r="AH343" i="25"/>
  <c r="AH696" i="7" s="1"/>
  <c r="AH294" i="25"/>
  <c r="AH686" i="7" s="1"/>
  <c r="AH687" i="7" s="1"/>
  <c r="AE118" i="2"/>
  <c r="AE113" i="6" s="1"/>
  <c r="AE390" i="25"/>
  <c r="AF348" i="25"/>
  <c r="AF111" i="5"/>
  <c r="AF311" i="25"/>
  <c r="Y129" i="2"/>
  <c r="Z916" i="7"/>
  <c r="AG112" i="27"/>
  <c r="AH52" i="27"/>
  <c r="AH1404" i="7"/>
  <c r="AH51" i="27"/>
  <c r="U1426" i="7"/>
  <c r="L1426" i="7"/>
  <c r="Q1426" i="7"/>
  <c r="AC1426" i="7"/>
  <c r="I1426" i="7"/>
  <c r="J1426" i="7"/>
  <c r="X1426" i="7"/>
  <c r="Y1426" i="7"/>
  <c r="E1426" i="7"/>
  <c r="K1426" i="7"/>
  <c r="W1426" i="7"/>
  <c r="AD1426" i="7"/>
  <c r="F1426" i="7"/>
  <c r="P1426" i="7"/>
  <c r="AA1426" i="7"/>
  <c r="M1426" i="7"/>
  <c r="AG1426" i="7"/>
  <c r="G1426" i="7"/>
  <c r="H1426" i="7"/>
  <c r="AB1426" i="7"/>
  <c r="T1426" i="7"/>
  <c r="AF1426" i="7"/>
  <c r="N1426" i="7"/>
  <c r="Z1426" i="7"/>
  <c r="AH1426" i="7"/>
  <c r="AE1426" i="7"/>
  <c r="S1426" i="7"/>
  <c r="V1426" i="7"/>
  <c r="O1426" i="7"/>
  <c r="R1426" i="7"/>
  <c r="AG192" i="25"/>
  <c r="AH194" i="26"/>
  <c r="AH192" i="26"/>
  <c r="AG192" i="26"/>
  <c r="AH68" i="5"/>
  <c r="AH363" i="1"/>
  <c r="AH397" i="1"/>
  <c r="AH67" i="5"/>
  <c r="AH362" i="1"/>
  <c r="AH87" i="27"/>
  <c r="AH333" i="26"/>
  <c r="AG68" i="5"/>
  <c r="AG363" i="1"/>
  <c r="AH245" i="1"/>
  <c r="AG397" i="1"/>
  <c r="AG67" i="5"/>
  <c r="AG362" i="1"/>
  <c r="AG87" i="27"/>
  <c r="AG333" i="26"/>
  <c r="AH88" i="27"/>
  <c r="AH334" i="26"/>
  <c r="AH243" i="1"/>
  <c r="AH86" i="27"/>
  <c r="AH332" i="26"/>
  <c r="AH399" i="1"/>
  <c r="AG88" i="27"/>
  <c r="AG334" i="26"/>
  <c r="AH63" i="5"/>
  <c r="AH358" i="1"/>
  <c r="AG243" i="1"/>
  <c r="AG86" i="27"/>
  <c r="AG332" i="26"/>
  <c r="AG63" i="5"/>
  <c r="AG358" i="1"/>
  <c r="AH456" i="7"/>
  <c r="AH454" i="7"/>
  <c r="AH460" i="7"/>
  <c r="AH457" i="7"/>
  <c r="AH459" i="7"/>
  <c r="AH458" i="7"/>
  <c r="AH461" i="7"/>
  <c r="AH462" i="7"/>
  <c r="AH455" i="7"/>
  <c r="AH396" i="7"/>
  <c r="AH398" i="7"/>
  <c r="AH394" i="7"/>
  <c r="AH402" i="7"/>
  <c r="AH400" i="7"/>
  <c r="AH401" i="7"/>
  <c r="AH399" i="7"/>
  <c r="AH397" i="7"/>
  <c r="AH395" i="7"/>
  <c r="AH695" i="7" l="1"/>
  <c r="AH694" i="7" s="1"/>
  <c r="AH666" i="7"/>
  <c r="AH665" i="7" s="1"/>
  <c r="AH193" i="25" s="1"/>
  <c r="AH693" i="7"/>
  <c r="AH346" i="25" s="1"/>
  <c r="AG159" i="5"/>
  <c r="AH159" i="5"/>
  <c r="AF131" i="2"/>
  <c r="AG924" i="7"/>
  <c r="AG131" i="2" s="1"/>
  <c r="AH923" i="7"/>
  <c r="AF725" i="7"/>
  <c r="AF118" i="2" s="1"/>
  <c r="AF113" i="6" s="1"/>
  <c r="AG104" i="6"/>
  <c r="AF116" i="5"/>
  <c r="AG347" i="25"/>
  <c r="AH192" i="25"/>
  <c r="AG193" i="25"/>
  <c r="AH492" i="7"/>
  <c r="AH486" i="7"/>
  <c r="AH488" i="7"/>
  <c r="AH485" i="7"/>
  <c r="AH491" i="7"/>
  <c r="AH484" i="7"/>
  <c r="AH490" i="7"/>
  <c r="AG81" i="6"/>
  <c r="AG287" i="7" s="1"/>
  <c r="AH487" i="7"/>
  <c r="AH771" i="7"/>
  <c r="AH770" i="7"/>
  <c r="AH772" i="7"/>
  <c r="AH773" i="7"/>
  <c r="AH774" i="7"/>
  <c r="AH432" i="7"/>
  <c r="AH427" i="7"/>
  <c r="AH424" i="7"/>
  <c r="AH429" i="7"/>
  <c r="AH430" i="7"/>
  <c r="AH425" i="7"/>
  <c r="AH426" i="7"/>
  <c r="AH431" i="7"/>
  <c r="AF111" i="6"/>
  <c r="AH155" i="5"/>
  <c r="AH1156" i="7"/>
  <c r="G32" i="38" s="1"/>
  <c r="AH1148" i="7"/>
  <c r="G28" i="38" s="1"/>
  <c r="AH679" i="7"/>
  <c r="G25" i="37" s="1"/>
  <c r="AG154" i="5"/>
  <c r="AG293" i="26"/>
  <c r="AG297" i="26"/>
  <c r="AH1197" i="7"/>
  <c r="AH163" i="2" s="1"/>
  <c r="AG1417" i="7"/>
  <c r="AG26" i="5" s="1"/>
  <c r="AF163" i="2"/>
  <c r="AF158" i="6" s="1"/>
  <c r="AF1494" i="7"/>
  <c r="AG1407" i="7"/>
  <c r="AG21" i="5" s="1"/>
  <c r="U500" i="7"/>
  <c r="U1493" i="7"/>
  <c r="AH1415" i="7"/>
  <c r="AH1416" i="7" s="1"/>
  <c r="G33" i="35" s="1"/>
  <c r="AH1417" i="7"/>
  <c r="AH1418" i="7" s="1"/>
  <c r="G34" i="35" s="1"/>
  <c r="AH298" i="26"/>
  <c r="AH1407" i="7"/>
  <c r="AH1408" i="7" s="1"/>
  <c r="G29" i="35" s="1"/>
  <c r="AG155" i="5"/>
  <c r="AF388" i="25"/>
  <c r="H1137" i="7"/>
  <c r="AH154" i="5"/>
  <c r="AH107" i="5"/>
  <c r="T1166" i="7"/>
  <c r="AG1137" i="7"/>
  <c r="AF151" i="2"/>
  <c r="AF156" i="6" s="1"/>
  <c r="Z1137" i="7"/>
  <c r="V1137" i="7"/>
  <c r="R1137" i="7"/>
  <c r="AB1137" i="7"/>
  <c r="AH307" i="25"/>
  <c r="J1137" i="7"/>
  <c r="E1137" i="7"/>
  <c r="AG126" i="6"/>
  <c r="AG705" i="7" s="1"/>
  <c r="AH674" i="7"/>
  <c r="AH127" i="6"/>
  <c r="AH184" i="33"/>
  <c r="AH224" i="25"/>
  <c r="AH226" i="25" s="1"/>
  <c r="C210" i="25" s="1"/>
  <c r="AG102" i="5"/>
  <c r="AG723" i="7" s="1"/>
  <c r="AG106" i="2" s="1"/>
  <c r="AG111" i="6" s="1"/>
  <c r="AG107" i="6"/>
  <c r="AG225" i="25"/>
  <c r="P1166" i="7"/>
  <c r="AF17" i="6"/>
  <c r="V1166" i="7"/>
  <c r="AH150" i="5"/>
  <c r="W1166" i="7"/>
  <c r="E1166" i="7"/>
  <c r="AD1166" i="7"/>
  <c r="AH293" i="26"/>
  <c r="AH297" i="26"/>
  <c r="O1166" i="7"/>
  <c r="L1166" i="7"/>
  <c r="AG209" i="32"/>
  <c r="AG37" i="6"/>
  <c r="AG185" i="10" s="1"/>
  <c r="AH174" i="34"/>
  <c r="AH223" i="26"/>
  <c r="AH145" i="5"/>
  <c r="AF119" i="2"/>
  <c r="AF122" i="2" s="1"/>
  <c r="AF124" i="2" s="1"/>
  <c r="AG125" i="6"/>
  <c r="G30" i="37"/>
  <c r="AH312" i="25"/>
  <c r="AH112" i="5"/>
  <c r="AG62" i="6"/>
  <c r="AG58" i="5"/>
  <c r="AG276" i="1"/>
  <c r="AH872" i="7"/>
  <c r="AH878" i="7"/>
  <c r="AH874" i="7"/>
  <c r="AH876" i="7"/>
  <c r="AH873" i="7"/>
  <c r="AH880" i="7"/>
  <c r="AH879" i="7"/>
  <c r="AH875" i="7"/>
  <c r="AH877" i="7"/>
  <c r="S1137" i="7"/>
  <c r="AE1137" i="7"/>
  <c r="AD1137" i="7"/>
  <c r="Q1137" i="7"/>
  <c r="G1137" i="7"/>
  <c r="AA1137" i="7"/>
  <c r="P1137" i="7"/>
  <c r="AA1166" i="7"/>
  <c r="AC1166" i="7"/>
  <c r="R1166" i="7"/>
  <c r="H1166" i="7"/>
  <c r="Y1166" i="7"/>
  <c r="AB1166" i="7"/>
  <c r="Q1166" i="7"/>
  <c r="I1166" i="7"/>
  <c r="AG702" i="7"/>
  <c r="AH193" i="26"/>
  <c r="AF1388" i="7"/>
  <c r="AF1390" i="7" s="1"/>
  <c r="AE174" i="2"/>
  <c r="AF195" i="33"/>
  <c r="AF705" i="7"/>
  <c r="AH902" i="7"/>
  <c r="AH905" i="7"/>
  <c r="AH910" i="7"/>
  <c r="AH903" i="7"/>
  <c r="AH909" i="7"/>
  <c r="AH908" i="7"/>
  <c r="AH906" i="7"/>
  <c r="AH907" i="7"/>
  <c r="AH904" i="7"/>
  <c r="AH371" i="7"/>
  <c r="AH372" i="7"/>
  <c r="AH368" i="7"/>
  <c r="AH370" i="7"/>
  <c r="AH369" i="7"/>
  <c r="AF16" i="5"/>
  <c r="AF36" i="6"/>
  <c r="AG307" i="25"/>
  <c r="W1137" i="7"/>
  <c r="N1137" i="7"/>
  <c r="AF1137" i="7"/>
  <c r="M1137" i="7"/>
  <c r="AH1137" i="7"/>
  <c r="L1137" i="7"/>
  <c r="O1137" i="7"/>
  <c r="F1137" i="7"/>
  <c r="M1166" i="7"/>
  <c r="AE1166" i="7"/>
  <c r="K1166" i="7"/>
  <c r="J1166" i="7"/>
  <c r="G1166" i="7"/>
  <c r="U1166" i="7"/>
  <c r="N1166" i="7"/>
  <c r="AG312" i="25"/>
  <c r="AG112" i="5"/>
  <c r="AH197" i="32"/>
  <c r="AH275" i="1"/>
  <c r="AH277" i="1" s="1"/>
  <c r="AH82" i="6"/>
  <c r="AH173" i="10"/>
  <c r="AH274" i="1"/>
  <c r="AH196" i="32"/>
  <c r="AH57" i="5"/>
  <c r="AG152" i="6"/>
  <c r="AG146" i="5"/>
  <c r="AG1195" i="7" s="1"/>
  <c r="AG151" i="2" s="1"/>
  <c r="AG225" i="26"/>
  <c r="AH172" i="6"/>
  <c r="AH1174" i="7" s="1"/>
  <c r="AH224" i="26"/>
  <c r="AH175" i="34"/>
  <c r="AH1389" i="7"/>
  <c r="AG1197" i="7"/>
  <c r="AG163" i="2" s="1"/>
  <c r="T1137" i="7"/>
  <c r="Y1137" i="7"/>
  <c r="X1137" i="7"/>
  <c r="K1137" i="7"/>
  <c r="AC1137" i="7"/>
  <c r="U1137" i="7"/>
  <c r="S1166" i="7"/>
  <c r="AF1166" i="7"/>
  <c r="AH1166" i="7"/>
  <c r="AG1166" i="7"/>
  <c r="F1166" i="7"/>
  <c r="Z1166" i="7"/>
  <c r="X1166" i="7"/>
  <c r="AG499" i="7"/>
  <c r="AG1494" i="7" s="1"/>
  <c r="G29" i="37"/>
  <c r="AH111" i="5"/>
  <c r="AH311" i="25"/>
  <c r="AH348" i="25"/>
  <c r="AG111" i="5"/>
  <c r="AG311" i="25"/>
  <c r="AG348" i="25"/>
  <c r="Z918" i="7"/>
  <c r="AH347" i="25" l="1"/>
  <c r="AH922" i="7"/>
  <c r="AH924" i="7" s="1"/>
  <c r="AH131" i="2" s="1"/>
  <c r="AG725" i="7"/>
  <c r="AG118" i="2" s="1"/>
  <c r="AG113" i="6" s="1"/>
  <c r="AF668" i="7"/>
  <c r="F697" i="7"/>
  <c r="N697" i="7"/>
  <c r="M668" i="7"/>
  <c r="T697" i="7"/>
  <c r="AF390" i="25"/>
  <c r="E697" i="7"/>
  <c r="X697" i="7"/>
  <c r="V668" i="7"/>
  <c r="E668" i="7"/>
  <c r="Y668" i="7"/>
  <c r="AH668" i="7"/>
  <c r="Y697" i="7"/>
  <c r="S697" i="7"/>
  <c r="W697" i="7"/>
  <c r="AC668" i="7"/>
  <c r="F668" i="7"/>
  <c r="AG116" i="5"/>
  <c r="H668" i="7"/>
  <c r="K668" i="7"/>
  <c r="J668" i="7"/>
  <c r="AD668" i="7"/>
  <c r="Z668" i="7"/>
  <c r="N668" i="7"/>
  <c r="S668" i="7"/>
  <c r="AG668" i="7"/>
  <c r="G668" i="7"/>
  <c r="U668" i="7"/>
  <c r="W668" i="7"/>
  <c r="Q668" i="7"/>
  <c r="O668" i="7"/>
  <c r="R668" i="7"/>
  <c r="X668" i="7"/>
  <c r="T668" i="7"/>
  <c r="AB668" i="7"/>
  <c r="L668" i="7"/>
  <c r="AA668" i="7"/>
  <c r="I668" i="7"/>
  <c r="AE668" i="7"/>
  <c r="P668" i="7"/>
  <c r="AH104" i="6"/>
  <c r="AH116" i="5"/>
  <c r="AC697" i="7"/>
  <c r="R697" i="7"/>
  <c r="AB697" i="7"/>
  <c r="AG697" i="7"/>
  <c r="I697" i="7"/>
  <c r="V697" i="7"/>
  <c r="AA697" i="7"/>
  <c r="H697" i="7"/>
  <c r="AH725" i="7"/>
  <c r="AH390" i="25" s="1"/>
  <c r="Q697" i="7"/>
  <c r="G697" i="7"/>
  <c r="P697" i="7"/>
  <c r="U697" i="7"/>
  <c r="AD697" i="7"/>
  <c r="O697" i="7"/>
  <c r="AH697" i="7"/>
  <c r="J697" i="7"/>
  <c r="M697" i="7"/>
  <c r="AE697" i="7"/>
  <c r="AF697" i="7"/>
  <c r="Z697" i="7"/>
  <c r="K697" i="7"/>
  <c r="L697" i="7"/>
  <c r="AH81" i="6"/>
  <c r="AH287" i="7" s="1"/>
  <c r="AG195" i="33"/>
  <c r="AH376" i="26"/>
  <c r="AG158" i="6"/>
  <c r="AH126" i="6"/>
  <c r="AH705" i="7" s="1"/>
  <c r="AH26" i="5"/>
  <c r="AG156" i="6"/>
  <c r="U1495" i="7"/>
  <c r="U39" i="2" s="1"/>
  <c r="V498" i="7"/>
  <c r="U84" i="2"/>
  <c r="AF1441" i="7"/>
  <c r="AG388" i="25"/>
  <c r="AG374" i="26"/>
  <c r="AH25" i="5"/>
  <c r="AH21" i="5"/>
  <c r="AG36" i="6"/>
  <c r="AG1441" i="7" s="1"/>
  <c r="AH225" i="25"/>
  <c r="AH107" i="6"/>
  <c r="AH102" i="5"/>
  <c r="AH723" i="7" s="1"/>
  <c r="AH388" i="25" s="1"/>
  <c r="AH917" i="7"/>
  <c r="E176" i="34"/>
  <c r="F176" i="34"/>
  <c r="G176" i="34"/>
  <c r="H176" i="34"/>
  <c r="I176" i="34"/>
  <c r="AG376" i="26"/>
  <c r="L17" i="35"/>
  <c r="G34" i="38"/>
  <c r="AH276" i="1"/>
  <c r="AH62" i="6"/>
  <c r="AH58" i="5"/>
  <c r="AH125" i="6"/>
  <c r="AG119" i="2"/>
  <c r="AG122" i="2" s="1"/>
  <c r="AG124" i="2" s="1"/>
  <c r="AH702" i="7"/>
  <c r="AH198" i="32"/>
  <c r="G20" i="36" s="1"/>
  <c r="AH499" i="7"/>
  <c r="AG17" i="6"/>
  <c r="AH225" i="26"/>
  <c r="AH146" i="5"/>
  <c r="AH1195" i="7" s="1"/>
  <c r="AH152" i="6"/>
  <c r="AG16" i="5"/>
  <c r="O176" i="34"/>
  <c r="AE176" i="34"/>
  <c r="X176" i="34"/>
  <c r="J176" i="34"/>
  <c r="R176" i="34"/>
  <c r="AG176" i="34"/>
  <c r="Y176" i="34"/>
  <c r="AB176" i="34"/>
  <c r="AC176" i="34"/>
  <c r="AF176" i="34"/>
  <c r="Z176" i="34"/>
  <c r="V176" i="34"/>
  <c r="L176" i="34"/>
  <c r="U176" i="34"/>
  <c r="T176" i="34"/>
  <c r="S176" i="34"/>
  <c r="W176" i="34"/>
  <c r="AD176" i="34"/>
  <c r="Q176" i="34"/>
  <c r="AA176" i="34"/>
  <c r="M176" i="34"/>
  <c r="N176" i="34"/>
  <c r="P176" i="34"/>
  <c r="K176" i="34"/>
  <c r="AH176" i="34"/>
  <c r="AH209" i="32"/>
  <c r="AH37" i="6"/>
  <c r="AH185" i="10" s="1"/>
  <c r="AF174" i="2"/>
  <c r="AG1388" i="7"/>
  <c r="AG1390" i="7" s="1"/>
  <c r="AH122" i="2"/>
  <c r="AH124" i="2" s="1"/>
  <c r="AA916" i="7"/>
  <c r="Z129" i="2"/>
  <c r="AH158" i="6"/>
  <c r="AH118" i="2" l="1"/>
  <c r="AH113" i="6" s="1"/>
  <c r="AG390" i="25"/>
  <c r="G31" i="37"/>
  <c r="AH195" i="33"/>
  <c r="AH36" i="6"/>
  <c r="AH1441" i="7" s="1"/>
  <c r="AH1494" i="7"/>
  <c r="V500" i="7"/>
  <c r="V1493" i="7"/>
  <c r="AH106" i="2"/>
  <c r="AH111" i="6" s="1"/>
  <c r="AH374" i="26"/>
  <c r="AH151" i="2"/>
  <c r="AH156" i="6" s="1"/>
  <c r="AH16" i="5"/>
  <c r="AG174" i="2"/>
  <c r="AH1388" i="7"/>
  <c r="AH1390" i="7" s="1"/>
  <c r="AH174" i="2" s="1"/>
  <c r="AH17" i="6"/>
  <c r="G21" i="38"/>
  <c r="AA918" i="7"/>
  <c r="F1116" i="7" l="1"/>
  <c r="F1124" i="7"/>
  <c r="F1115" i="7"/>
  <c r="F1123" i="7"/>
  <c r="V1495" i="7"/>
  <c r="V39" i="2" s="1"/>
  <c r="V84" i="2"/>
  <c r="W498" i="7"/>
  <c r="AA129" i="2"/>
  <c r="AB916" i="7"/>
  <c r="F189" i="32" l="1"/>
  <c r="F161" i="34"/>
  <c r="F165" i="10" s="1"/>
  <c r="F290" i="1"/>
  <c r="G1116" i="7"/>
  <c r="F1126" i="7"/>
  <c r="F163" i="34"/>
  <c r="F167" i="10" s="1"/>
  <c r="F176" i="33"/>
  <c r="F239" i="25"/>
  <c r="G1124" i="7"/>
  <c r="F188" i="32"/>
  <c r="F160" i="34"/>
  <c r="F164" i="10" s="1"/>
  <c r="F289" i="1"/>
  <c r="G1115" i="7"/>
  <c r="F175" i="33"/>
  <c r="F162" i="34"/>
  <c r="F166" i="10" s="1"/>
  <c r="F238" i="25"/>
  <c r="G1123" i="7"/>
  <c r="W500" i="7"/>
  <c r="W1493" i="7"/>
  <c r="AB918" i="7"/>
  <c r="G238" i="25" l="1"/>
  <c r="G162" i="34"/>
  <c r="G166" i="10" s="1"/>
  <c r="G175" i="33"/>
  <c r="H1123" i="7"/>
  <c r="G239" i="25"/>
  <c r="G163" i="34"/>
  <c r="G167" i="10" s="1"/>
  <c r="G1126" i="7"/>
  <c r="H1124" i="7"/>
  <c r="G176" i="33"/>
  <c r="H1115" i="7"/>
  <c r="G188" i="32"/>
  <c r="G289" i="1"/>
  <c r="G160" i="34"/>
  <c r="G164" i="10" s="1"/>
  <c r="G189" i="32"/>
  <c r="G290" i="1"/>
  <c r="H1116" i="7"/>
  <c r="G161" i="34"/>
  <c r="G165" i="10" s="1"/>
  <c r="W1495" i="7"/>
  <c r="W39" i="2" s="1"/>
  <c r="X498" i="7"/>
  <c r="W84" i="2"/>
  <c r="AB129" i="2"/>
  <c r="AC916" i="7"/>
  <c r="I1124" i="7" l="1"/>
  <c r="H163" i="34"/>
  <c r="H167" i="10" s="1"/>
  <c r="H1126" i="7"/>
  <c r="H176" i="33"/>
  <c r="H239" i="25"/>
  <c r="I1115" i="7"/>
  <c r="H289" i="1"/>
  <c r="H160" i="34"/>
  <c r="H164" i="10" s="1"/>
  <c r="H188" i="32"/>
  <c r="I1116" i="7"/>
  <c r="H189" i="32"/>
  <c r="H290" i="1"/>
  <c r="H161" i="34"/>
  <c r="H165" i="10" s="1"/>
  <c r="I1123" i="7"/>
  <c r="H175" i="33"/>
  <c r="H162" i="34"/>
  <c r="H166" i="10" s="1"/>
  <c r="H238" i="25"/>
  <c r="X500" i="7"/>
  <c r="X1493" i="7"/>
  <c r="AC918" i="7"/>
  <c r="J1124" i="7" l="1"/>
  <c r="I163" i="34"/>
  <c r="I167" i="10" s="1"/>
  <c r="I176" i="33"/>
  <c r="I1126" i="7"/>
  <c r="I239" i="25"/>
  <c r="I289" i="1"/>
  <c r="I160" i="34"/>
  <c r="I164" i="10" s="1"/>
  <c r="I188" i="32"/>
  <c r="J1115" i="7"/>
  <c r="J1123" i="7"/>
  <c r="I162" i="34"/>
  <c r="I166" i="10" s="1"/>
  <c r="I175" i="33"/>
  <c r="I238" i="25"/>
  <c r="I189" i="32"/>
  <c r="J1116" i="7"/>
  <c r="I290" i="1"/>
  <c r="I161" i="34"/>
  <c r="I165" i="10" s="1"/>
  <c r="X1495" i="7"/>
  <c r="X39" i="2" s="1"/>
  <c r="Y498" i="7"/>
  <c r="X84" i="2"/>
  <c r="AC129" i="2"/>
  <c r="AD916" i="7"/>
  <c r="J289" i="1" l="1"/>
  <c r="J160" i="34"/>
  <c r="J164" i="10" s="1"/>
  <c r="J188" i="32"/>
  <c r="K1115" i="7"/>
  <c r="K1124" i="7"/>
  <c r="J1126" i="7"/>
  <c r="J163" i="34"/>
  <c r="J167" i="10" s="1"/>
  <c r="J176" i="33"/>
  <c r="J239" i="25"/>
  <c r="K1123" i="7"/>
  <c r="J175" i="33"/>
  <c r="J238" i="25"/>
  <c r="J162" i="34"/>
  <c r="J166" i="10" s="1"/>
  <c r="J161" i="34"/>
  <c r="J165" i="10" s="1"/>
  <c r="J189" i="32"/>
  <c r="K1116" i="7"/>
  <c r="J290" i="1"/>
  <c r="Y1493" i="7"/>
  <c r="Y500" i="7"/>
  <c r="AD918" i="7"/>
  <c r="L1116" i="7" l="1"/>
  <c r="K290" i="1"/>
  <c r="K161" i="34"/>
  <c r="K165" i="10" s="1"/>
  <c r="K189" i="32"/>
  <c r="L1124" i="7"/>
  <c r="K163" i="34"/>
  <c r="K167" i="10" s="1"/>
  <c r="K239" i="25"/>
  <c r="K176" i="33"/>
  <c r="K1126" i="7"/>
  <c r="L1123" i="7"/>
  <c r="K162" i="34"/>
  <c r="K166" i="10" s="1"/>
  <c r="K175" i="33"/>
  <c r="K238" i="25"/>
  <c r="K188" i="32"/>
  <c r="L1115" i="7"/>
  <c r="K289" i="1"/>
  <c r="K160" i="34"/>
  <c r="K164" i="10" s="1"/>
  <c r="Y1495" i="7"/>
  <c r="Y39" i="2" s="1"/>
  <c r="Z498" i="7"/>
  <c r="Y84" i="2"/>
  <c r="AE916" i="7"/>
  <c r="AD129" i="2"/>
  <c r="M1124" i="7" l="1"/>
  <c r="L1126" i="7"/>
  <c r="L176" i="33"/>
  <c r="L163" i="34"/>
  <c r="L167" i="10" s="1"/>
  <c r="L239" i="25"/>
  <c r="L189" i="32"/>
  <c r="M1116" i="7"/>
  <c r="L290" i="1"/>
  <c r="L161" i="34"/>
  <c r="L165" i="10" s="1"/>
  <c r="M1123" i="7"/>
  <c r="L238" i="25"/>
  <c r="L175" i="33"/>
  <c r="L162" i="34"/>
  <c r="L166" i="10" s="1"/>
  <c r="M1115" i="7"/>
  <c r="L289" i="1"/>
  <c r="L160" i="34"/>
  <c r="L164" i="10" s="1"/>
  <c r="L188" i="32"/>
  <c r="Z500" i="7"/>
  <c r="Z1493" i="7"/>
  <c r="AE918" i="7"/>
  <c r="N1124" i="7" l="1"/>
  <c r="M176" i="33"/>
  <c r="M1126" i="7"/>
  <c r="M239" i="25"/>
  <c r="M163" i="34"/>
  <c r="M167" i="10" s="1"/>
  <c r="N1123" i="7"/>
  <c r="M175" i="33"/>
  <c r="M238" i="25"/>
  <c r="M162" i="34"/>
  <c r="M166" i="10" s="1"/>
  <c r="M290" i="1"/>
  <c r="M161" i="34"/>
  <c r="M165" i="10" s="1"/>
  <c r="M189" i="32"/>
  <c r="N1116" i="7"/>
  <c r="M188" i="32"/>
  <c r="N1115" i="7"/>
  <c r="M289" i="1"/>
  <c r="M160" i="34"/>
  <c r="M164" i="10" s="1"/>
  <c r="Z1495" i="7"/>
  <c r="Z39" i="2" s="1"/>
  <c r="AA498" i="7"/>
  <c r="Z84" i="2"/>
  <c r="AE129" i="2"/>
  <c r="AF916" i="7"/>
  <c r="N290" i="1" l="1"/>
  <c r="N161" i="34"/>
  <c r="N165" i="10" s="1"/>
  <c r="N189" i="32"/>
  <c r="O1116" i="7"/>
  <c r="O1124" i="7"/>
  <c r="N239" i="25"/>
  <c r="N163" i="34"/>
  <c r="N167" i="10" s="1"/>
  <c r="N1126" i="7"/>
  <c r="N176" i="33"/>
  <c r="O1123" i="7"/>
  <c r="N238" i="25"/>
  <c r="N175" i="33"/>
  <c r="N162" i="34"/>
  <c r="N166" i="10" s="1"/>
  <c r="N289" i="1"/>
  <c r="N160" i="34"/>
  <c r="N164" i="10" s="1"/>
  <c r="N188" i="32"/>
  <c r="O1115" i="7"/>
  <c r="AA500" i="7"/>
  <c r="AA1493" i="7"/>
  <c r="AF918" i="7"/>
  <c r="O188" i="32" l="1"/>
  <c r="P1115" i="7"/>
  <c r="O289" i="1"/>
  <c r="O160" i="34"/>
  <c r="O164" i="10" s="1"/>
  <c r="P1124" i="7"/>
  <c r="O1126" i="7"/>
  <c r="O176" i="33"/>
  <c r="O239" i="25"/>
  <c r="O163" i="34"/>
  <c r="O167" i="10" s="1"/>
  <c r="P1123" i="7"/>
  <c r="O162" i="34"/>
  <c r="O166" i="10" s="1"/>
  <c r="O175" i="33"/>
  <c r="O238" i="25"/>
  <c r="O161" i="34"/>
  <c r="O165" i="10" s="1"/>
  <c r="O189" i="32"/>
  <c r="P1116" i="7"/>
  <c r="O290" i="1"/>
  <c r="AA1495" i="7"/>
  <c r="AA39" i="2" s="1"/>
  <c r="AA84" i="2"/>
  <c r="AB498" i="7"/>
  <c r="AF129" i="2"/>
  <c r="AG916" i="7"/>
  <c r="Q1124" i="7" l="1"/>
  <c r="P176" i="33"/>
  <c r="P1126" i="7"/>
  <c r="P239" i="25"/>
  <c r="P163" i="34"/>
  <c r="P167" i="10" s="1"/>
  <c r="P160" i="34"/>
  <c r="P164" i="10" s="1"/>
  <c r="P188" i="32"/>
  <c r="Q1115" i="7"/>
  <c r="P289" i="1"/>
  <c r="Q1123" i="7"/>
  <c r="P162" i="34"/>
  <c r="P166" i="10" s="1"/>
  <c r="P238" i="25"/>
  <c r="P175" i="33"/>
  <c r="Q1116" i="7"/>
  <c r="P290" i="1"/>
  <c r="P161" i="34"/>
  <c r="P165" i="10" s="1"/>
  <c r="P189" i="32"/>
  <c r="AB500" i="7"/>
  <c r="AB1493" i="7"/>
  <c r="AG918" i="7"/>
  <c r="R1124" i="7" l="1"/>
  <c r="Q1126" i="7"/>
  <c r="Q176" i="33"/>
  <c r="Q239" i="25"/>
  <c r="Q163" i="34"/>
  <c r="Q167" i="10" s="1"/>
  <c r="R1116" i="7"/>
  <c r="Q290" i="1"/>
  <c r="Q161" i="34"/>
  <c r="Q165" i="10" s="1"/>
  <c r="Q189" i="32"/>
  <c r="R1123" i="7"/>
  <c r="Q238" i="25"/>
  <c r="Q175" i="33"/>
  <c r="Q162" i="34"/>
  <c r="Q166" i="10" s="1"/>
  <c r="Q160" i="34"/>
  <c r="Q164" i="10" s="1"/>
  <c r="Q188" i="32"/>
  <c r="R1115" i="7"/>
  <c r="Q289" i="1"/>
  <c r="AB1495" i="7"/>
  <c r="AB39" i="2" s="1"/>
  <c r="AB84" i="2"/>
  <c r="AC498" i="7"/>
  <c r="AH916" i="7"/>
  <c r="AG129" i="2"/>
  <c r="S1124" i="7" l="1"/>
  <c r="R239" i="25"/>
  <c r="R1126" i="7"/>
  <c r="R176" i="33"/>
  <c r="R163" i="34"/>
  <c r="R167" i="10" s="1"/>
  <c r="S1123" i="7"/>
  <c r="R162" i="34"/>
  <c r="R166" i="10" s="1"/>
  <c r="R238" i="25"/>
  <c r="R175" i="33"/>
  <c r="R290" i="1"/>
  <c r="R161" i="34"/>
  <c r="R165" i="10" s="1"/>
  <c r="R189" i="32"/>
  <c r="S1116" i="7"/>
  <c r="S1115" i="7"/>
  <c r="R289" i="1"/>
  <c r="R160" i="34"/>
  <c r="R164" i="10" s="1"/>
  <c r="R188" i="32"/>
  <c r="AC1493" i="7"/>
  <c r="AC500" i="7"/>
  <c r="AH918" i="7"/>
  <c r="S161" i="34" l="1"/>
  <c r="S165" i="10" s="1"/>
  <c r="S189" i="32"/>
  <c r="T1116" i="7"/>
  <c r="S290" i="1"/>
  <c r="T1124" i="7"/>
  <c r="S1126" i="7"/>
  <c r="S163" i="34"/>
  <c r="S167" i="10" s="1"/>
  <c r="S176" i="33"/>
  <c r="S239" i="25"/>
  <c r="S289" i="1"/>
  <c r="S160" i="34"/>
  <c r="S164" i="10" s="1"/>
  <c r="S188" i="32"/>
  <c r="T1115" i="7"/>
  <c r="T1123" i="7"/>
  <c r="S238" i="25"/>
  <c r="S175" i="33"/>
  <c r="S162" i="34"/>
  <c r="S166" i="10" s="1"/>
  <c r="AC1495" i="7"/>
  <c r="AC39" i="2" s="1"/>
  <c r="AD498" i="7"/>
  <c r="AC84" i="2"/>
  <c r="AH129" i="2"/>
  <c r="T289" i="1" l="1"/>
  <c r="T160" i="34"/>
  <c r="T164" i="10" s="1"/>
  <c r="T188" i="32"/>
  <c r="U1115" i="7"/>
  <c r="U1124" i="7"/>
  <c r="T163" i="34"/>
  <c r="T167" i="10" s="1"/>
  <c r="T1126" i="7"/>
  <c r="T239" i="25"/>
  <c r="T176" i="33"/>
  <c r="T179" i="33" s="1"/>
  <c r="U1123" i="7"/>
  <c r="T162" i="34"/>
  <c r="T166" i="10" s="1"/>
  <c r="T175" i="33"/>
  <c r="T178" i="33" s="1"/>
  <c r="T238" i="25"/>
  <c r="T290" i="1"/>
  <c r="T161" i="34"/>
  <c r="T165" i="10" s="1"/>
  <c r="T189" i="32"/>
  <c r="U1116" i="7"/>
  <c r="AD500" i="7"/>
  <c r="AD1493" i="7"/>
  <c r="V1124" i="7" l="1"/>
  <c r="U1126" i="7"/>
  <c r="U239" i="25"/>
  <c r="U176" i="33"/>
  <c r="U163" i="34"/>
  <c r="U167" i="10" s="1"/>
  <c r="U189" i="32"/>
  <c r="V1116" i="7"/>
  <c r="U290" i="1"/>
  <c r="U161" i="34"/>
  <c r="U165" i="10" s="1"/>
  <c r="V1123" i="7"/>
  <c r="U238" i="25"/>
  <c r="U175" i="33"/>
  <c r="U162" i="34"/>
  <c r="U166" i="10" s="1"/>
  <c r="V1115" i="7"/>
  <c r="U289" i="1"/>
  <c r="U160" i="34"/>
  <c r="U164" i="10" s="1"/>
  <c r="U188" i="32"/>
  <c r="AD1495" i="7"/>
  <c r="AD39" i="2" s="1"/>
  <c r="AE498" i="7"/>
  <c r="AD84" i="2"/>
  <c r="V290" i="1" l="1"/>
  <c r="V161" i="34"/>
  <c r="V165" i="10" s="1"/>
  <c r="V189" i="32"/>
  <c r="W1116" i="7"/>
  <c r="W1115" i="7"/>
  <c r="V289" i="1"/>
  <c r="V160" i="34"/>
  <c r="V164" i="10" s="1"/>
  <c r="V188" i="32"/>
  <c r="W1124" i="7"/>
  <c r="V176" i="33"/>
  <c r="V1126" i="7"/>
  <c r="V239" i="25"/>
  <c r="V163" i="34"/>
  <c r="V167" i="10" s="1"/>
  <c r="W1123" i="7"/>
  <c r="V175" i="33"/>
  <c r="V162" i="34"/>
  <c r="V166" i="10" s="1"/>
  <c r="V238" i="25"/>
  <c r="AE500" i="7"/>
  <c r="AE1493" i="7"/>
  <c r="X1124" i="7" l="1"/>
  <c r="W163" i="34"/>
  <c r="W167" i="10" s="1"/>
  <c r="W1126" i="7"/>
  <c r="W176" i="33"/>
  <c r="W239" i="25"/>
  <c r="W188" i="32"/>
  <c r="X1115" i="7"/>
  <c r="W289" i="1"/>
  <c r="W160" i="34"/>
  <c r="W164" i="10" s="1"/>
  <c r="X1123" i="7"/>
  <c r="W162" i="34"/>
  <c r="W166" i="10" s="1"/>
  <c r="W175" i="33"/>
  <c r="W238" i="25"/>
  <c r="W189" i="32"/>
  <c r="X1116" i="7"/>
  <c r="W290" i="1"/>
  <c r="W161" i="34"/>
  <c r="W165" i="10" s="1"/>
  <c r="AE1495" i="7"/>
  <c r="AE39" i="2" s="1"/>
  <c r="AF498" i="7"/>
  <c r="AE84" i="2"/>
  <c r="X189" i="32" l="1"/>
  <c r="Y1116" i="7"/>
  <c r="X290" i="1"/>
  <c r="X161" i="34"/>
  <c r="X165" i="10" s="1"/>
  <c r="Y1124" i="7"/>
  <c r="X239" i="25"/>
  <c r="X1126" i="7"/>
  <c r="X176" i="33"/>
  <c r="X163" i="34"/>
  <c r="X167" i="10" s="1"/>
  <c r="Y1123" i="7"/>
  <c r="X162" i="34"/>
  <c r="X166" i="10" s="1"/>
  <c r="X238" i="25"/>
  <c r="X175" i="33"/>
  <c r="X160" i="34"/>
  <c r="X164" i="10" s="1"/>
  <c r="X188" i="32"/>
  <c r="Y1115" i="7"/>
  <c r="X289" i="1"/>
  <c r="AF500" i="7"/>
  <c r="AF1493" i="7"/>
  <c r="Y160" i="34" l="1"/>
  <c r="Y164" i="10" s="1"/>
  <c r="Y188" i="32"/>
  <c r="Y191" i="32" s="1"/>
  <c r="Z1115" i="7"/>
  <c r="Y289" i="1"/>
  <c r="Z1124" i="7"/>
  <c r="Y176" i="33"/>
  <c r="Y179" i="33" s="1"/>
  <c r="Y1126" i="7"/>
  <c r="Y163" i="34"/>
  <c r="Y167" i="10" s="1"/>
  <c r="Y239" i="25"/>
  <c r="Z1123" i="7"/>
  <c r="Y162" i="34"/>
  <c r="Y166" i="10" s="1"/>
  <c r="Y238" i="25"/>
  <c r="Y175" i="33"/>
  <c r="Y178" i="33" s="1"/>
  <c r="Y290" i="1"/>
  <c r="Y161" i="34"/>
  <c r="Y165" i="10" s="1"/>
  <c r="Y189" i="32"/>
  <c r="Y192" i="32" s="1"/>
  <c r="Z1116" i="7"/>
  <c r="AF1495" i="7"/>
  <c r="AF39" i="2" s="1"/>
  <c r="AF84" i="2"/>
  <c r="AG498" i="7"/>
  <c r="AA1123" i="7" l="1"/>
  <c r="Z238" i="25"/>
  <c r="Z162" i="34"/>
  <c r="Z166" i="10" s="1"/>
  <c r="Z175" i="33"/>
  <c r="AA1116" i="7"/>
  <c r="Z290" i="1"/>
  <c r="Z161" i="34"/>
  <c r="Z165" i="10" s="1"/>
  <c r="Z189" i="32"/>
  <c r="AA1124" i="7"/>
  <c r="Z163" i="34"/>
  <c r="Z167" i="10" s="1"/>
  <c r="Z176" i="33"/>
  <c r="Z1126" i="7"/>
  <c r="Z239" i="25"/>
  <c r="Z160" i="34"/>
  <c r="Z164" i="10" s="1"/>
  <c r="Z188" i="32"/>
  <c r="AA1115" i="7"/>
  <c r="Z289" i="1"/>
  <c r="AG500" i="7"/>
  <c r="AG1493" i="7"/>
  <c r="AA189" i="32" l="1"/>
  <c r="AB1116" i="7"/>
  <c r="AA290" i="1"/>
  <c r="AA161" i="34"/>
  <c r="AA165" i="10" s="1"/>
  <c r="AB1123" i="7"/>
  <c r="AA238" i="25"/>
  <c r="AA162" i="34"/>
  <c r="AA166" i="10" s="1"/>
  <c r="AA175" i="33"/>
  <c r="AA289" i="1"/>
  <c r="AA160" i="34"/>
  <c r="AA164" i="10" s="1"/>
  <c r="AA188" i="32"/>
  <c r="AB1115" i="7"/>
  <c r="AB1124" i="7"/>
  <c r="AA1126" i="7"/>
  <c r="AA176" i="33"/>
  <c r="AA239" i="25"/>
  <c r="AA163" i="34"/>
  <c r="AA167" i="10" s="1"/>
  <c r="AG1495" i="7"/>
  <c r="AG39" i="2" s="1"/>
  <c r="AG84" i="2"/>
  <c r="AH498" i="7"/>
  <c r="AC1124" i="7" l="1"/>
  <c r="AB176" i="33"/>
  <c r="AB1126" i="7"/>
  <c r="AB239" i="25"/>
  <c r="AB163" i="34"/>
  <c r="AB167" i="10" s="1"/>
  <c r="AC1123" i="7"/>
  <c r="AB238" i="25"/>
  <c r="AB162" i="34"/>
  <c r="AB166" i="10" s="1"/>
  <c r="AB175" i="33"/>
  <c r="AB189" i="32"/>
  <c r="AC1116" i="7"/>
  <c r="AB290" i="1"/>
  <c r="AB161" i="34"/>
  <c r="AB165" i="10" s="1"/>
  <c r="AB188" i="32"/>
  <c r="AC1115" i="7"/>
  <c r="AB289" i="1"/>
  <c r="AB160" i="34"/>
  <c r="AB164" i="10" s="1"/>
  <c r="AH500" i="7"/>
  <c r="AH1493" i="7"/>
  <c r="AC189" i="32" l="1"/>
  <c r="AC192" i="32" s="1"/>
  <c r="AD1116" i="7"/>
  <c r="AC290" i="1"/>
  <c r="AC161" i="34"/>
  <c r="AC165" i="10" s="1"/>
  <c r="AD1124" i="7"/>
  <c r="AC1126" i="7"/>
  <c r="AC163" i="34"/>
  <c r="AC167" i="10" s="1"/>
  <c r="AC176" i="33"/>
  <c r="AC179" i="33" s="1"/>
  <c r="AC239" i="25"/>
  <c r="AD1123" i="7"/>
  <c r="AC238" i="25"/>
  <c r="AC162" i="34"/>
  <c r="AC166" i="10" s="1"/>
  <c r="AC175" i="33"/>
  <c r="AC178" i="33" s="1"/>
  <c r="AC289" i="1"/>
  <c r="AC160" i="34"/>
  <c r="AC164" i="10" s="1"/>
  <c r="AC188" i="32"/>
  <c r="AC191" i="32" s="1"/>
  <c r="AD1115" i="7"/>
  <c r="AH84" i="2"/>
  <c r="AH1495" i="7"/>
  <c r="AH39" i="2" s="1"/>
  <c r="AE1124" i="7" l="1"/>
  <c r="AD163" i="34"/>
  <c r="AD167" i="10" s="1"/>
  <c r="AD239" i="25"/>
  <c r="AD1126" i="7"/>
  <c r="AD176" i="33"/>
  <c r="AD179" i="33" s="1"/>
  <c r="AE1123" i="7"/>
  <c r="AD175" i="33"/>
  <c r="AD178" i="33" s="1"/>
  <c r="AD162" i="34"/>
  <c r="AD166" i="10" s="1"/>
  <c r="AD238" i="25"/>
  <c r="AD290" i="1"/>
  <c r="AD161" i="34"/>
  <c r="AD165" i="10" s="1"/>
  <c r="AD189" i="32"/>
  <c r="AD192" i="32" s="1"/>
  <c r="AE1116" i="7"/>
  <c r="AD289" i="1"/>
  <c r="AD160" i="34"/>
  <c r="AD164" i="10" s="1"/>
  <c r="AD188" i="32"/>
  <c r="AD191" i="32" s="1"/>
  <c r="AE1115" i="7"/>
  <c r="E146" i="10"/>
  <c r="AF1115" i="7" l="1"/>
  <c r="AE289" i="1"/>
  <c r="AE160" i="34"/>
  <c r="AE164" i="10" s="1"/>
  <c r="AE188" i="32"/>
  <c r="AE290" i="1"/>
  <c r="AE161" i="34"/>
  <c r="AE165" i="10" s="1"/>
  <c r="AE189" i="32"/>
  <c r="AF1116" i="7"/>
  <c r="AF1124" i="7"/>
  <c r="AE163" i="34"/>
  <c r="AE167" i="10" s="1"/>
  <c r="AE1126" i="7"/>
  <c r="AE176" i="33"/>
  <c r="AE239" i="25"/>
  <c r="AF1123" i="7"/>
  <c r="AE162" i="34"/>
  <c r="AE166" i="10" s="1"/>
  <c r="AE238" i="25"/>
  <c r="AE175" i="33"/>
  <c r="T154" i="32"/>
  <c r="Y154" i="32"/>
  <c r="AC154" i="32"/>
  <c r="AF160" i="34" l="1"/>
  <c r="AF164" i="10" s="1"/>
  <c r="AF188" i="32"/>
  <c r="AG1115" i="7"/>
  <c r="AF289" i="1"/>
  <c r="AG1124" i="7"/>
  <c r="AF163" i="34"/>
  <c r="AF167" i="10" s="1"/>
  <c r="AF1126" i="7"/>
  <c r="AF176" i="33"/>
  <c r="AF239" i="25"/>
  <c r="AG1123" i="7"/>
  <c r="AF162" i="34"/>
  <c r="AF166" i="10" s="1"/>
  <c r="AF175" i="33"/>
  <c r="AF238" i="25"/>
  <c r="AF161" i="34"/>
  <c r="AF165" i="10" s="1"/>
  <c r="AF189" i="32"/>
  <c r="AG1116" i="7"/>
  <c r="AF290" i="1"/>
  <c r="F217" i="7"/>
  <c r="F219" i="7"/>
  <c r="F215" i="7"/>
  <c r="F213" i="7"/>
  <c r="F227" i="7"/>
  <c r="F225" i="7"/>
  <c r="F221" i="7"/>
  <c r="F229" i="7"/>
  <c r="F223" i="7"/>
  <c r="F211" i="7"/>
  <c r="AH1124" i="7" l="1"/>
  <c r="AG1126" i="7"/>
  <c r="AG163" i="34"/>
  <c r="AG167" i="10" s="1"/>
  <c r="AG176" i="33"/>
  <c r="AG239" i="25"/>
  <c r="AH1123" i="7"/>
  <c r="AG238" i="25"/>
  <c r="AG175" i="33"/>
  <c r="AG162" i="34"/>
  <c r="AG166" i="10" s="1"/>
  <c r="AG188" i="32"/>
  <c r="AH1115" i="7"/>
  <c r="AG289" i="1"/>
  <c r="AG160" i="34"/>
  <c r="AG164" i="10" s="1"/>
  <c r="AH1116" i="7"/>
  <c r="AG290" i="1"/>
  <c r="AG161" i="34"/>
  <c r="AG165" i="10" s="1"/>
  <c r="AG189" i="32"/>
  <c r="F655" i="7"/>
  <c r="F653" i="7"/>
  <c r="F651" i="7"/>
  <c r="F201" i="1"/>
  <c r="G223" i="7"/>
  <c r="F179" i="32"/>
  <c r="F224" i="7"/>
  <c r="G227" i="7"/>
  <c r="F203" i="1"/>
  <c r="F228" i="7"/>
  <c r="F181" i="32"/>
  <c r="F218" i="7"/>
  <c r="G217" i="7"/>
  <c r="F176" i="32"/>
  <c r="F198" i="1"/>
  <c r="G225" i="7"/>
  <c r="F226" i="7"/>
  <c r="F180" i="32"/>
  <c r="F202" i="1"/>
  <c r="F200" i="1"/>
  <c r="G221" i="7"/>
  <c r="F178" i="32"/>
  <c r="F222" i="7"/>
  <c r="F175" i="32"/>
  <c r="F216" i="7"/>
  <c r="G215" i="7"/>
  <c r="F197" i="1"/>
  <c r="G211" i="7"/>
  <c r="F195" i="1"/>
  <c r="F173" i="32"/>
  <c r="F212" i="7"/>
  <c r="F199" i="1"/>
  <c r="G219" i="7"/>
  <c r="F220" i="7"/>
  <c r="F177" i="32"/>
  <c r="F182" i="32"/>
  <c r="F204" i="1"/>
  <c r="G229" i="7"/>
  <c r="F230" i="7"/>
  <c r="F174" i="32"/>
  <c r="F196" i="1"/>
  <c r="F214" i="7"/>
  <c r="G213" i="7"/>
  <c r="AH176" i="33" l="1"/>
  <c r="AH179" i="33" s="1"/>
  <c r="AH163" i="34"/>
  <c r="AH167" i="10" s="1"/>
  <c r="AH1126" i="7"/>
  <c r="AH239" i="25"/>
  <c r="AH161" i="34"/>
  <c r="AH165" i="10" s="1"/>
  <c r="AH189" i="32"/>
  <c r="AH192" i="32" s="1"/>
  <c r="AH290" i="1"/>
  <c r="AH238" i="25"/>
  <c r="AH162" i="34"/>
  <c r="AH166" i="10" s="1"/>
  <c r="AH175" i="33"/>
  <c r="AH178" i="33" s="1"/>
  <c r="AH289" i="1"/>
  <c r="AH160" i="34"/>
  <c r="AH188" i="32"/>
  <c r="AH191" i="32" s="1"/>
  <c r="F656" i="7"/>
  <c r="F153" i="25"/>
  <c r="F169" i="33"/>
  <c r="G655" i="7"/>
  <c r="F152" i="25"/>
  <c r="F654" i="7"/>
  <c r="F168" i="33"/>
  <c r="G653" i="7"/>
  <c r="G651" i="7"/>
  <c r="F151" i="25"/>
  <c r="F652" i="7"/>
  <c r="F167" i="33"/>
  <c r="F157" i="10"/>
  <c r="G177" i="32"/>
  <c r="G199" i="1"/>
  <c r="H219" i="7"/>
  <c r="G220" i="7"/>
  <c r="H227" i="7"/>
  <c r="G228" i="7"/>
  <c r="G203" i="1"/>
  <c r="G181" i="32"/>
  <c r="G174" i="32"/>
  <c r="H213" i="7"/>
  <c r="G214" i="7"/>
  <c r="G196" i="1"/>
  <c r="G176" i="32"/>
  <c r="H217" i="7"/>
  <c r="G218" i="7"/>
  <c r="G198" i="1"/>
  <c r="G179" i="32"/>
  <c r="H223" i="7"/>
  <c r="G224" i="7"/>
  <c r="G201" i="1"/>
  <c r="G173" i="32"/>
  <c r="G195" i="1"/>
  <c r="H211" i="7"/>
  <c r="G212" i="7"/>
  <c r="G178" i="32"/>
  <c r="G200" i="1"/>
  <c r="H221" i="7"/>
  <c r="G222" i="7"/>
  <c r="G204" i="1"/>
  <c r="H229" i="7"/>
  <c r="G182" i="32"/>
  <c r="G230" i="7"/>
  <c r="H215" i="7"/>
  <c r="G175" i="32"/>
  <c r="G197" i="1"/>
  <c r="G216" i="7"/>
  <c r="G226" i="7"/>
  <c r="G180" i="32"/>
  <c r="H225" i="7"/>
  <c r="G202" i="1"/>
  <c r="G17" i="38" l="1"/>
  <c r="G18" i="36"/>
  <c r="G19" i="35" s="1"/>
  <c r="G20" i="38"/>
  <c r="G19" i="37"/>
  <c r="G22" i="35" s="1"/>
  <c r="G18" i="37"/>
  <c r="G21" i="35" s="1"/>
  <c r="G19" i="38"/>
  <c r="G19" i="36"/>
  <c r="G20" i="35" s="1"/>
  <c r="G18" i="38"/>
  <c r="AH164" i="34"/>
  <c r="AH168" i="10" s="1"/>
  <c r="AH164" i="10"/>
  <c r="G167" i="33"/>
  <c r="G652" i="7"/>
  <c r="G151" i="25"/>
  <c r="H651" i="7"/>
  <c r="F158" i="10"/>
  <c r="G654" i="7"/>
  <c r="G152" i="25"/>
  <c r="G168" i="33"/>
  <c r="H653" i="7"/>
  <c r="G153" i="25"/>
  <c r="G169" i="33"/>
  <c r="H655" i="7"/>
  <c r="G656" i="7"/>
  <c r="G157" i="10"/>
  <c r="H216" i="7"/>
  <c r="I215" i="7"/>
  <c r="H175" i="32"/>
  <c r="H197" i="1"/>
  <c r="H230" i="7"/>
  <c r="H182" i="32"/>
  <c r="H204" i="1"/>
  <c r="I229" i="7"/>
  <c r="H173" i="32"/>
  <c r="I211" i="7"/>
  <c r="H195" i="1"/>
  <c r="H212" i="7"/>
  <c r="I217" i="7"/>
  <c r="H176" i="32"/>
  <c r="H198" i="1"/>
  <c r="H218" i="7"/>
  <c r="H178" i="32"/>
  <c r="H200" i="1"/>
  <c r="H222" i="7"/>
  <c r="I221" i="7"/>
  <c r="H224" i="7"/>
  <c r="I223" i="7"/>
  <c r="H201" i="1"/>
  <c r="H179" i="32"/>
  <c r="H203" i="1"/>
  <c r="H181" i="32"/>
  <c r="I227" i="7"/>
  <c r="H228" i="7"/>
  <c r="H199" i="1"/>
  <c r="H177" i="32"/>
  <c r="H220" i="7"/>
  <c r="I219" i="7"/>
  <c r="H180" i="32"/>
  <c r="H226" i="7"/>
  <c r="H202" i="1"/>
  <c r="I225" i="7"/>
  <c r="I213" i="7"/>
  <c r="H214" i="7"/>
  <c r="H196" i="1"/>
  <c r="H174" i="32"/>
  <c r="E26" i="31" l="1"/>
  <c r="E25" i="31"/>
  <c r="D1111" i="7" s="1"/>
  <c r="G158" i="10"/>
  <c r="H153" i="25"/>
  <c r="H169" i="33"/>
  <c r="I655" i="7"/>
  <c r="H656" i="7"/>
  <c r="H654" i="7"/>
  <c r="H152" i="25"/>
  <c r="H168" i="33"/>
  <c r="I653" i="7"/>
  <c r="H652" i="7"/>
  <c r="H167" i="33"/>
  <c r="I651" i="7"/>
  <c r="H151" i="25"/>
  <c r="I174" i="32"/>
  <c r="I214" i="7"/>
  <c r="I196" i="1"/>
  <c r="J213" i="7"/>
  <c r="I181" i="32"/>
  <c r="J227" i="7"/>
  <c r="I228" i="7"/>
  <c r="I203" i="1"/>
  <c r="J211" i="7"/>
  <c r="I212" i="7"/>
  <c r="I173" i="32"/>
  <c r="I195" i="1"/>
  <c r="I204" i="1"/>
  <c r="I182" i="32"/>
  <c r="I230" i="7"/>
  <c r="J229" i="7"/>
  <c r="I177" i="32"/>
  <c r="I199" i="1"/>
  <c r="I220" i="7"/>
  <c r="J219" i="7"/>
  <c r="J223" i="7"/>
  <c r="I201" i="1"/>
  <c r="I179" i="32"/>
  <c r="I224" i="7"/>
  <c r="I175" i="32"/>
  <c r="I197" i="1"/>
  <c r="J215" i="7"/>
  <c r="I216" i="7"/>
  <c r="H157" i="10"/>
  <c r="I180" i="32"/>
  <c r="I202" i="1"/>
  <c r="I226" i="7"/>
  <c r="J225" i="7"/>
  <c r="I200" i="1"/>
  <c r="J221" i="7"/>
  <c r="I178" i="32"/>
  <c r="I222" i="7"/>
  <c r="J217" i="7"/>
  <c r="I198" i="1"/>
  <c r="I218" i="7"/>
  <c r="I176" i="32"/>
  <c r="I152" i="25" l="1"/>
  <c r="I168" i="33"/>
  <c r="I654" i="7"/>
  <c r="J653" i="7"/>
  <c r="H158" i="10"/>
  <c r="I652" i="7"/>
  <c r="I167" i="33"/>
  <c r="I151" i="25"/>
  <c r="J651" i="7"/>
  <c r="I169" i="33"/>
  <c r="I153" i="25"/>
  <c r="J655" i="7"/>
  <c r="I656" i="7"/>
  <c r="K223" i="7"/>
  <c r="J224" i="7"/>
  <c r="J179" i="32"/>
  <c r="J201" i="1"/>
  <c r="K225" i="7"/>
  <c r="J180" i="32"/>
  <c r="J226" i="7"/>
  <c r="J202" i="1"/>
  <c r="J230" i="7"/>
  <c r="K229" i="7"/>
  <c r="J204" i="1"/>
  <c r="J182" i="32"/>
  <c r="K211" i="7"/>
  <c r="J195" i="1"/>
  <c r="J212" i="7"/>
  <c r="J173" i="32"/>
  <c r="J228" i="7"/>
  <c r="J181" i="32"/>
  <c r="J203" i="1"/>
  <c r="K227" i="7"/>
  <c r="J175" i="32"/>
  <c r="J197" i="1"/>
  <c r="K215" i="7"/>
  <c r="J216" i="7"/>
  <c r="K219" i="7"/>
  <c r="J177" i="32"/>
  <c r="J220" i="7"/>
  <c r="J199" i="1"/>
  <c r="J176" i="32"/>
  <c r="K217" i="7"/>
  <c r="J198" i="1"/>
  <c r="J218" i="7"/>
  <c r="J178" i="32"/>
  <c r="J222" i="7"/>
  <c r="J200" i="1"/>
  <c r="K221" i="7"/>
  <c r="J174" i="32"/>
  <c r="J196" i="1"/>
  <c r="K213" i="7"/>
  <c r="J214" i="7"/>
  <c r="I157" i="10"/>
  <c r="I158" i="10" l="1"/>
  <c r="J169" i="33"/>
  <c r="J153" i="25"/>
  <c r="K655" i="7"/>
  <c r="J656" i="7"/>
  <c r="J151" i="25"/>
  <c r="J652" i="7"/>
  <c r="J167" i="33"/>
  <c r="K651" i="7"/>
  <c r="J654" i="7"/>
  <c r="K653" i="7"/>
  <c r="J152" i="25"/>
  <c r="J168" i="33"/>
  <c r="L217" i="7"/>
  <c r="K176" i="32"/>
  <c r="K218" i="7"/>
  <c r="K198" i="1"/>
  <c r="K182" i="32"/>
  <c r="L229" i="7"/>
  <c r="K230" i="7"/>
  <c r="K204" i="1"/>
  <c r="L213" i="7"/>
  <c r="K196" i="1"/>
  <c r="K214" i="7"/>
  <c r="K174" i="32"/>
  <c r="K178" i="32"/>
  <c r="K222" i="7"/>
  <c r="L221" i="7"/>
  <c r="K200" i="1"/>
  <c r="K173" i="32"/>
  <c r="K195" i="1"/>
  <c r="L211" i="7"/>
  <c r="K212" i="7"/>
  <c r="J157" i="10"/>
  <c r="K181" i="32"/>
  <c r="K228" i="7"/>
  <c r="K203" i="1"/>
  <c r="L227" i="7"/>
  <c r="K180" i="32"/>
  <c r="K202" i="1"/>
  <c r="L225" i="7"/>
  <c r="K226" i="7"/>
  <c r="K177" i="32"/>
  <c r="K199" i="1"/>
  <c r="K220" i="7"/>
  <c r="L219" i="7"/>
  <c r="K216" i="7"/>
  <c r="K175" i="32"/>
  <c r="K197" i="1"/>
  <c r="L215" i="7"/>
  <c r="L223" i="7"/>
  <c r="K224" i="7"/>
  <c r="K179" i="32"/>
  <c r="K201" i="1"/>
  <c r="K654" i="7" l="1"/>
  <c r="L653" i="7"/>
  <c r="K152" i="25"/>
  <c r="K168" i="33"/>
  <c r="J158" i="10"/>
  <c r="K153" i="25"/>
  <c r="K169" i="33"/>
  <c r="L655" i="7"/>
  <c r="K656" i="7"/>
  <c r="K167" i="33"/>
  <c r="K151" i="25"/>
  <c r="K652" i="7"/>
  <c r="L651" i="7"/>
  <c r="L199" i="1"/>
  <c r="L220" i="7"/>
  <c r="M219" i="7"/>
  <c r="L177" i="32"/>
  <c r="L179" i="32"/>
  <c r="M223" i="7"/>
  <c r="L224" i="7"/>
  <c r="L201" i="1"/>
  <c r="M225" i="7"/>
  <c r="L180" i="32"/>
  <c r="L226" i="7"/>
  <c r="L202" i="1"/>
  <c r="L203" i="1"/>
  <c r="L228" i="7"/>
  <c r="M227" i="7"/>
  <c r="L181" i="32"/>
  <c r="M211" i="7"/>
  <c r="L195" i="1"/>
  <c r="L212" i="7"/>
  <c r="L173" i="32"/>
  <c r="L200" i="1"/>
  <c r="M221" i="7"/>
  <c r="L178" i="32"/>
  <c r="L222" i="7"/>
  <c r="M217" i="7"/>
  <c r="L218" i="7"/>
  <c r="L198" i="1"/>
  <c r="L176" i="32"/>
  <c r="L175" i="32"/>
  <c r="M215" i="7"/>
  <c r="L197" i="1"/>
  <c r="L216" i="7"/>
  <c r="L214" i="7"/>
  <c r="L174" i="32"/>
  <c r="L196" i="1"/>
  <c r="M213" i="7"/>
  <c r="L182" i="32"/>
  <c r="M229" i="7"/>
  <c r="L204" i="1"/>
  <c r="L230" i="7"/>
  <c r="K157" i="10"/>
  <c r="L167" i="33" l="1"/>
  <c r="L652" i="7"/>
  <c r="M651" i="7"/>
  <c r="L151" i="25"/>
  <c r="K158" i="10"/>
  <c r="L656" i="7"/>
  <c r="M655" i="7"/>
  <c r="L153" i="25"/>
  <c r="L169" i="33"/>
  <c r="L168" i="33"/>
  <c r="M653" i="7"/>
  <c r="L654" i="7"/>
  <c r="L152" i="25"/>
  <c r="N221" i="7"/>
  <c r="M200" i="1"/>
  <c r="M178" i="32"/>
  <c r="M222" i="7"/>
  <c r="M204" i="1"/>
  <c r="M182" i="32"/>
  <c r="N229" i="7"/>
  <c r="M230" i="7"/>
  <c r="M173" i="32"/>
  <c r="M195" i="1"/>
  <c r="N211" i="7"/>
  <c r="M212" i="7"/>
  <c r="M181" i="32"/>
  <c r="M203" i="1"/>
  <c r="M228" i="7"/>
  <c r="N227" i="7"/>
  <c r="N217" i="7"/>
  <c r="M218" i="7"/>
  <c r="M176" i="32"/>
  <c r="M198" i="1"/>
  <c r="M199" i="1"/>
  <c r="M220" i="7"/>
  <c r="M177" i="32"/>
  <c r="N219" i="7"/>
  <c r="M214" i="7"/>
  <c r="M196" i="1"/>
  <c r="M174" i="32"/>
  <c r="N213" i="7"/>
  <c r="M180" i="32"/>
  <c r="M202" i="1"/>
  <c r="M226" i="7"/>
  <c r="N225" i="7"/>
  <c r="M197" i="1"/>
  <c r="N215" i="7"/>
  <c r="M175" i="32"/>
  <c r="M216" i="7"/>
  <c r="N223" i="7"/>
  <c r="M201" i="1"/>
  <c r="M179" i="32"/>
  <c r="M224" i="7"/>
  <c r="L157" i="10"/>
  <c r="M654" i="7" l="1"/>
  <c r="M152" i="25"/>
  <c r="N653" i="7"/>
  <c r="M168" i="33"/>
  <c r="M652" i="7"/>
  <c r="M151" i="25"/>
  <c r="M167" i="33"/>
  <c r="N651" i="7"/>
  <c r="M169" i="33"/>
  <c r="N655" i="7"/>
  <c r="M656" i="7"/>
  <c r="M153" i="25"/>
  <c r="L158" i="10"/>
  <c r="N224" i="7"/>
  <c r="N201" i="1"/>
  <c r="O223" i="7"/>
  <c r="N179" i="32"/>
  <c r="N181" i="32"/>
  <c r="N203" i="1"/>
  <c r="O227" i="7"/>
  <c r="N228" i="7"/>
  <c r="N200" i="1"/>
  <c r="N222" i="7"/>
  <c r="O221" i="7"/>
  <c r="N178" i="32"/>
  <c r="N198" i="1"/>
  <c r="O217" i="7"/>
  <c r="N218" i="7"/>
  <c r="N176" i="32"/>
  <c r="N230" i="7"/>
  <c r="N204" i="1"/>
  <c r="O229" i="7"/>
  <c r="N182" i="32"/>
  <c r="N199" i="1"/>
  <c r="N220" i="7"/>
  <c r="O219" i="7"/>
  <c r="N177" i="32"/>
  <c r="M157" i="10"/>
  <c r="N197" i="1"/>
  <c r="O215" i="7"/>
  <c r="N175" i="32"/>
  <c r="N216" i="7"/>
  <c r="N226" i="7"/>
  <c r="N180" i="32"/>
  <c r="O225" i="7"/>
  <c r="N202" i="1"/>
  <c r="O213" i="7"/>
  <c r="N196" i="1"/>
  <c r="N174" i="32"/>
  <c r="N214" i="7"/>
  <c r="N212" i="7"/>
  <c r="O211" i="7"/>
  <c r="N195" i="1"/>
  <c r="N173" i="32"/>
  <c r="N652" i="7" l="1"/>
  <c r="N151" i="25"/>
  <c r="N167" i="33"/>
  <c r="O651" i="7"/>
  <c r="N656" i="7"/>
  <c r="N153" i="25"/>
  <c r="N169" i="33"/>
  <c r="O655" i="7"/>
  <c r="M158" i="10"/>
  <c r="N654" i="7"/>
  <c r="N168" i="33"/>
  <c r="O653" i="7"/>
  <c r="N152" i="25"/>
  <c r="O230" i="7"/>
  <c r="O204" i="1"/>
  <c r="P229" i="7"/>
  <c r="O182" i="32"/>
  <c r="P215" i="7"/>
  <c r="O216" i="7"/>
  <c r="O197" i="1"/>
  <c r="O175" i="32"/>
  <c r="O178" i="32"/>
  <c r="O200" i="1"/>
  <c r="P221" i="7"/>
  <c r="O222" i="7"/>
  <c r="P219" i="7"/>
  <c r="O199" i="1"/>
  <c r="O177" i="32"/>
  <c r="O220" i="7"/>
  <c r="P227" i="7"/>
  <c r="O228" i="7"/>
  <c r="O181" i="32"/>
  <c r="O203" i="1"/>
  <c r="N157" i="10"/>
  <c r="O174" i="32"/>
  <c r="O196" i="1"/>
  <c r="O214" i="7"/>
  <c r="P213" i="7"/>
  <c r="O224" i="7"/>
  <c r="O201" i="1"/>
  <c r="O179" i="32"/>
  <c r="P223" i="7"/>
  <c r="P211" i="7"/>
  <c r="O212" i="7"/>
  <c r="O195" i="1"/>
  <c r="O173" i="32"/>
  <c r="O226" i="7"/>
  <c r="O180" i="32"/>
  <c r="O202" i="1"/>
  <c r="P225" i="7"/>
  <c r="P217" i="7"/>
  <c r="O218" i="7"/>
  <c r="O176" i="32"/>
  <c r="O198" i="1"/>
  <c r="O152" i="25" l="1"/>
  <c r="O654" i="7"/>
  <c r="O168" i="33"/>
  <c r="P653" i="7"/>
  <c r="N158" i="10"/>
  <c r="O656" i="7"/>
  <c r="O153" i="25"/>
  <c r="O169" i="33"/>
  <c r="P655" i="7"/>
  <c r="O167" i="33"/>
  <c r="O151" i="25"/>
  <c r="O652" i="7"/>
  <c r="P651" i="7"/>
  <c r="P198" i="1"/>
  <c r="P218" i="7"/>
  <c r="P176" i="32"/>
  <c r="Q217" i="7"/>
  <c r="P203" i="1"/>
  <c r="P181" i="32"/>
  <c r="Q227" i="7"/>
  <c r="P228" i="7"/>
  <c r="P220" i="7"/>
  <c r="P177" i="32"/>
  <c r="Q219" i="7"/>
  <c r="P199" i="1"/>
  <c r="P222" i="7"/>
  <c r="P178" i="32"/>
  <c r="P200" i="1"/>
  <c r="Q221" i="7"/>
  <c r="P197" i="1"/>
  <c r="P216" i="7"/>
  <c r="Q215" i="7"/>
  <c r="P175" i="32"/>
  <c r="P224" i="7"/>
  <c r="P201" i="1"/>
  <c r="Q223" i="7"/>
  <c r="P179" i="32"/>
  <c r="P182" i="32"/>
  <c r="P230" i="7"/>
  <c r="P204" i="1"/>
  <c r="Q229" i="7"/>
  <c r="O157" i="10"/>
  <c r="P226" i="7"/>
  <c r="P202" i="1"/>
  <c r="P180" i="32"/>
  <c r="Q225" i="7"/>
  <c r="Q211" i="7"/>
  <c r="P195" i="1"/>
  <c r="P212" i="7"/>
  <c r="P173" i="32"/>
  <c r="P174" i="32"/>
  <c r="P196" i="1"/>
  <c r="P214" i="7"/>
  <c r="Q213" i="7"/>
  <c r="P151" i="25" l="1"/>
  <c r="P652" i="7"/>
  <c r="P167" i="33"/>
  <c r="Q651" i="7"/>
  <c r="P153" i="25"/>
  <c r="P169" i="33"/>
  <c r="P656" i="7"/>
  <c r="Q655" i="7"/>
  <c r="O158" i="10"/>
  <c r="P168" i="33"/>
  <c r="Q653" i="7"/>
  <c r="P654" i="7"/>
  <c r="P152" i="25"/>
  <c r="Q218" i="7"/>
  <c r="Q176" i="32"/>
  <c r="R217" i="7"/>
  <c r="Q198" i="1"/>
  <c r="Q226" i="7"/>
  <c r="Q180" i="32"/>
  <c r="Q202" i="1"/>
  <c r="R225" i="7"/>
  <c r="Q199" i="1"/>
  <c r="Q177" i="32"/>
  <c r="R219" i="7"/>
  <c r="Q220" i="7"/>
  <c r="Q204" i="1"/>
  <c r="R229" i="7"/>
  <c r="Q182" i="32"/>
  <c r="Q230" i="7"/>
  <c r="Q201" i="1"/>
  <c r="Q179" i="32"/>
  <c r="R223" i="7"/>
  <c r="Q224" i="7"/>
  <c r="P157" i="10"/>
  <c r="Q212" i="7"/>
  <c r="Q173" i="32"/>
  <c r="R211" i="7"/>
  <c r="Q195" i="1"/>
  <c r="R213" i="7"/>
  <c r="Q214" i="7"/>
  <c r="Q196" i="1"/>
  <c r="Q174" i="32"/>
  <c r="Q197" i="1"/>
  <c r="R215" i="7"/>
  <c r="Q175" i="32"/>
  <c r="Q216" i="7"/>
  <c r="R221" i="7"/>
  <c r="Q178" i="32"/>
  <c r="Q222" i="7"/>
  <c r="Q200" i="1"/>
  <c r="Q228" i="7"/>
  <c r="R227" i="7"/>
  <c r="Q203" i="1"/>
  <c r="Q181" i="32"/>
  <c r="Q168" i="33" l="1"/>
  <c r="Q152" i="25"/>
  <c r="R653" i="7"/>
  <c r="Q654" i="7"/>
  <c r="P158" i="10"/>
  <c r="Q169" i="33"/>
  <c r="R655" i="7"/>
  <c r="Q153" i="25"/>
  <c r="Q656" i="7"/>
  <c r="Q151" i="25"/>
  <c r="Q652" i="7"/>
  <c r="Q167" i="33"/>
  <c r="R651" i="7"/>
  <c r="R200" i="1"/>
  <c r="S221" i="7"/>
  <c r="R178" i="32"/>
  <c r="R222" i="7"/>
  <c r="R224" i="7"/>
  <c r="R201" i="1"/>
  <c r="R179" i="32"/>
  <c r="S223" i="7"/>
  <c r="R216" i="7"/>
  <c r="S215" i="7"/>
  <c r="R175" i="32"/>
  <c r="R197" i="1"/>
  <c r="R177" i="32"/>
  <c r="S219" i="7"/>
  <c r="R199" i="1"/>
  <c r="R220" i="7"/>
  <c r="R226" i="7"/>
  <c r="R180" i="32"/>
  <c r="R202" i="1"/>
  <c r="S225" i="7"/>
  <c r="R176" i="32"/>
  <c r="R218" i="7"/>
  <c r="R198" i="1"/>
  <c r="S217" i="7"/>
  <c r="Q157" i="10"/>
  <c r="R181" i="32"/>
  <c r="R203" i="1"/>
  <c r="S227" i="7"/>
  <c r="R228" i="7"/>
  <c r="S213" i="7"/>
  <c r="R174" i="32"/>
  <c r="R196" i="1"/>
  <c r="R214" i="7"/>
  <c r="S211" i="7"/>
  <c r="R195" i="1"/>
  <c r="R212" i="7"/>
  <c r="R173" i="32"/>
  <c r="R182" i="32"/>
  <c r="R230" i="7"/>
  <c r="R204" i="1"/>
  <c r="S229" i="7"/>
  <c r="Q158" i="10" l="1"/>
  <c r="R151" i="25"/>
  <c r="R167" i="33"/>
  <c r="S651" i="7"/>
  <c r="R652" i="7"/>
  <c r="R656" i="7"/>
  <c r="S655" i="7"/>
  <c r="R153" i="25"/>
  <c r="R169" i="33"/>
  <c r="R152" i="25"/>
  <c r="S653" i="7"/>
  <c r="R654" i="7"/>
  <c r="R168" i="33"/>
  <c r="R157" i="10"/>
  <c r="T211" i="7"/>
  <c r="S173" i="32"/>
  <c r="S195" i="1"/>
  <c r="S212" i="7"/>
  <c r="S178" i="32"/>
  <c r="T221" i="7"/>
  <c r="S222" i="7"/>
  <c r="S200" i="1"/>
  <c r="S182" i="32"/>
  <c r="S204" i="1"/>
  <c r="S230" i="7"/>
  <c r="T229" i="7"/>
  <c r="S226" i="7"/>
  <c r="S180" i="32"/>
  <c r="T225" i="7"/>
  <c r="S202" i="1"/>
  <c r="S220" i="7"/>
  <c r="S199" i="1"/>
  <c r="S177" i="32"/>
  <c r="T219" i="7"/>
  <c r="S203" i="1"/>
  <c r="S228" i="7"/>
  <c r="T227" i="7"/>
  <c r="S181" i="32"/>
  <c r="S174" i="32"/>
  <c r="T213" i="7"/>
  <c r="S196" i="1"/>
  <c r="S214" i="7"/>
  <c r="T223" i="7"/>
  <c r="S179" i="32"/>
  <c r="S224" i="7"/>
  <c r="S201" i="1"/>
  <c r="T217" i="7"/>
  <c r="S176" i="32"/>
  <c r="S218" i="7"/>
  <c r="S198" i="1"/>
  <c r="T215" i="7"/>
  <c r="S216" i="7"/>
  <c r="S175" i="32"/>
  <c r="S197" i="1"/>
  <c r="S168" i="33" l="1"/>
  <c r="T653" i="7"/>
  <c r="S654" i="7"/>
  <c r="S152" i="25"/>
  <c r="T655" i="7"/>
  <c r="S153" i="25"/>
  <c r="S656" i="7"/>
  <c r="S169" i="33"/>
  <c r="R158" i="10"/>
  <c r="S151" i="25"/>
  <c r="T651" i="7"/>
  <c r="S652" i="7"/>
  <c r="S167" i="33"/>
  <c r="T174" i="32"/>
  <c r="T196" i="1"/>
  <c r="U213" i="7"/>
  <c r="T214" i="7"/>
  <c r="U217" i="7"/>
  <c r="T176" i="32"/>
  <c r="T198" i="1"/>
  <c r="T218" i="7"/>
  <c r="U219" i="7"/>
  <c r="T177" i="32"/>
  <c r="T199" i="1"/>
  <c r="T220" i="7"/>
  <c r="T224" i="7"/>
  <c r="T179" i="32"/>
  <c r="U223" i="7"/>
  <c r="T201" i="1"/>
  <c r="T204" i="1"/>
  <c r="T230" i="7"/>
  <c r="U229" i="7"/>
  <c r="T182" i="32"/>
  <c r="T228" i="7"/>
  <c r="U227" i="7"/>
  <c r="T203" i="1"/>
  <c r="T181" i="32"/>
  <c r="T202" i="1"/>
  <c r="T226" i="7"/>
  <c r="U225" i="7"/>
  <c r="T180" i="32"/>
  <c r="T178" i="32"/>
  <c r="U221" i="7"/>
  <c r="T222" i="7"/>
  <c r="T200" i="1"/>
  <c r="S157" i="10"/>
  <c r="T212" i="7"/>
  <c r="U211" i="7"/>
  <c r="T195" i="1"/>
  <c r="T173" i="32"/>
  <c r="T216" i="7"/>
  <c r="T175" i="32"/>
  <c r="U215" i="7"/>
  <c r="T197" i="1"/>
  <c r="S158" i="10" l="1"/>
  <c r="T153" i="25"/>
  <c r="T656" i="7"/>
  <c r="U655" i="7"/>
  <c r="T169" i="33"/>
  <c r="T152" i="25"/>
  <c r="U653" i="7"/>
  <c r="T654" i="7"/>
  <c r="T168" i="33"/>
  <c r="T652" i="7"/>
  <c r="T151" i="25"/>
  <c r="U651" i="7"/>
  <c r="T167" i="33"/>
  <c r="U195" i="1"/>
  <c r="V211" i="7"/>
  <c r="U173" i="32"/>
  <c r="U212" i="7"/>
  <c r="U178" i="32"/>
  <c r="U222" i="7"/>
  <c r="V221" i="7"/>
  <c r="U200" i="1"/>
  <c r="U228" i="7"/>
  <c r="V227" i="7"/>
  <c r="U181" i="32"/>
  <c r="U203" i="1"/>
  <c r="U218" i="7"/>
  <c r="U176" i="32"/>
  <c r="U198" i="1"/>
  <c r="V217" i="7"/>
  <c r="U226" i="7"/>
  <c r="U180" i="32"/>
  <c r="U202" i="1"/>
  <c r="V225" i="7"/>
  <c r="U182" i="32"/>
  <c r="V229" i="7"/>
  <c r="U204" i="1"/>
  <c r="U230" i="7"/>
  <c r="V219" i="7"/>
  <c r="U177" i="32"/>
  <c r="U199" i="1"/>
  <c r="U220" i="7"/>
  <c r="U214" i="7"/>
  <c r="U174" i="32"/>
  <c r="V213" i="7"/>
  <c r="U196" i="1"/>
  <c r="V215" i="7"/>
  <c r="U197" i="1"/>
  <c r="U216" i="7"/>
  <c r="U175" i="32"/>
  <c r="U179" i="32"/>
  <c r="U224" i="7"/>
  <c r="U201" i="1"/>
  <c r="V223" i="7"/>
  <c r="T157" i="10"/>
  <c r="T158" i="10" l="1"/>
  <c r="U152" i="25"/>
  <c r="U168" i="33"/>
  <c r="V653" i="7"/>
  <c r="U654" i="7"/>
  <c r="U652" i="7"/>
  <c r="U151" i="25"/>
  <c r="U167" i="33"/>
  <c r="V651" i="7"/>
  <c r="U153" i="25"/>
  <c r="U656" i="7"/>
  <c r="V655" i="7"/>
  <c r="U169" i="33"/>
  <c r="V198" i="1"/>
  <c r="V176" i="32"/>
  <c r="W217" i="7"/>
  <c r="V218" i="7"/>
  <c r="V196" i="1"/>
  <c r="V214" i="7"/>
  <c r="W213" i="7"/>
  <c r="V174" i="32"/>
  <c r="W219" i="7"/>
  <c r="V177" i="32"/>
  <c r="V199" i="1"/>
  <c r="V220" i="7"/>
  <c r="W211" i="7"/>
  <c r="V195" i="1"/>
  <c r="V173" i="32"/>
  <c r="V212" i="7"/>
  <c r="W223" i="7"/>
  <c r="V201" i="1"/>
  <c r="V179" i="32"/>
  <c r="V224" i="7"/>
  <c r="V197" i="1"/>
  <c r="V216" i="7"/>
  <c r="V175" i="32"/>
  <c r="W215" i="7"/>
  <c r="W229" i="7"/>
  <c r="V204" i="1"/>
  <c r="V182" i="32"/>
  <c r="V230" i="7"/>
  <c r="V202" i="1"/>
  <c r="V226" i="7"/>
  <c r="W225" i="7"/>
  <c r="V180" i="32"/>
  <c r="V181" i="32"/>
  <c r="V228" i="7"/>
  <c r="V203" i="1"/>
  <c r="W227" i="7"/>
  <c r="V178" i="32"/>
  <c r="V222" i="7"/>
  <c r="W221" i="7"/>
  <c r="V200" i="1"/>
  <c r="U157" i="10"/>
  <c r="U158" i="10" l="1"/>
  <c r="V169" i="33"/>
  <c r="W655" i="7"/>
  <c r="V656" i="7"/>
  <c r="V153" i="25"/>
  <c r="V654" i="7"/>
  <c r="W653" i="7"/>
  <c r="V152" i="25"/>
  <c r="V168" i="33"/>
  <c r="V167" i="33"/>
  <c r="W651" i="7"/>
  <c r="V151" i="25"/>
  <c r="V652" i="7"/>
  <c r="W202" i="1"/>
  <c r="X225" i="7"/>
  <c r="W226" i="7"/>
  <c r="W180" i="32"/>
  <c r="W197" i="1"/>
  <c r="W175" i="32"/>
  <c r="X215" i="7"/>
  <c r="W216" i="7"/>
  <c r="W174" i="32"/>
  <c r="W196" i="1"/>
  <c r="X213" i="7"/>
  <c r="W214" i="7"/>
  <c r="X229" i="7"/>
  <c r="W230" i="7"/>
  <c r="W182" i="32"/>
  <c r="W204" i="1"/>
  <c r="W173" i="32"/>
  <c r="W195" i="1"/>
  <c r="W212" i="7"/>
  <c r="X211" i="7"/>
  <c r="V157" i="10"/>
  <c r="W200" i="1"/>
  <c r="W222" i="7"/>
  <c r="X221" i="7"/>
  <c r="W178" i="32"/>
  <c r="X223" i="7"/>
  <c r="W179" i="32"/>
  <c r="W224" i="7"/>
  <c r="W201" i="1"/>
  <c r="X227" i="7"/>
  <c r="W181" i="32"/>
  <c r="W203" i="1"/>
  <c r="W228" i="7"/>
  <c r="W177" i="32"/>
  <c r="W220" i="7"/>
  <c r="X219" i="7"/>
  <c r="W199" i="1"/>
  <c r="X217" i="7"/>
  <c r="W198" i="1"/>
  <c r="W218" i="7"/>
  <c r="W176" i="32"/>
  <c r="V158" i="10" l="1"/>
  <c r="W167" i="33"/>
  <c r="W652" i="7"/>
  <c r="X651" i="7"/>
  <c r="W151" i="25"/>
  <c r="W654" i="7"/>
  <c r="X653" i="7"/>
  <c r="W152" i="25"/>
  <c r="W168" i="33"/>
  <c r="W169" i="33"/>
  <c r="X655" i="7"/>
  <c r="W153" i="25"/>
  <c r="W656" i="7"/>
  <c r="X218" i="7"/>
  <c r="Y217" i="7"/>
  <c r="X198" i="1"/>
  <c r="X176" i="32"/>
  <c r="Y229" i="7"/>
  <c r="X204" i="1"/>
  <c r="X230" i="7"/>
  <c r="X182" i="32"/>
  <c r="X180" i="32"/>
  <c r="X226" i="7"/>
  <c r="X202" i="1"/>
  <c r="Y225" i="7"/>
  <c r="X200" i="1"/>
  <c r="X178" i="32"/>
  <c r="Y221" i="7"/>
  <c r="X222" i="7"/>
  <c r="X212" i="7"/>
  <c r="Y211" i="7"/>
  <c r="X195" i="1"/>
  <c r="X173" i="32"/>
  <c r="X196" i="1"/>
  <c r="X174" i="32"/>
  <c r="Y213" i="7"/>
  <c r="X214" i="7"/>
  <c r="Y215" i="7"/>
  <c r="X216" i="7"/>
  <c r="X197" i="1"/>
  <c r="X175" i="32"/>
  <c r="W157" i="10"/>
  <c r="X177" i="32"/>
  <c r="X220" i="7"/>
  <c r="X199" i="1"/>
  <c r="Y219" i="7"/>
  <c r="X228" i="7"/>
  <c r="X203" i="1"/>
  <c r="X181" i="32"/>
  <c r="Y227" i="7"/>
  <c r="X179" i="32"/>
  <c r="X224" i="7"/>
  <c r="Y223" i="7"/>
  <c r="X201" i="1"/>
  <c r="W158" i="10" l="1"/>
  <c r="X656" i="7"/>
  <c r="Y655" i="7"/>
  <c r="X169" i="33"/>
  <c r="X153" i="25"/>
  <c r="X168" i="33"/>
  <c r="Y653" i="7"/>
  <c r="X654" i="7"/>
  <c r="X152" i="25"/>
  <c r="X167" i="33"/>
  <c r="X151" i="25"/>
  <c r="X652" i="7"/>
  <c r="Y651" i="7"/>
  <c r="Y199" i="1"/>
  <c r="Y220" i="7"/>
  <c r="Z219" i="7"/>
  <c r="Y177" i="32"/>
  <c r="Y196" i="1"/>
  <c r="Y174" i="32"/>
  <c r="Z213" i="7"/>
  <c r="Y214" i="7"/>
  <c r="Y226" i="7"/>
  <c r="Z225" i="7"/>
  <c r="Y180" i="32"/>
  <c r="Y202" i="1"/>
  <c r="Y218" i="7"/>
  <c r="Y176" i="32"/>
  <c r="Y198" i="1"/>
  <c r="Z217" i="7"/>
  <c r="X157" i="10"/>
  <c r="Y228" i="7"/>
  <c r="Z227" i="7"/>
  <c r="Y181" i="32"/>
  <c r="Y203" i="1"/>
  <c r="Z215" i="7"/>
  <c r="Y175" i="32"/>
  <c r="Y197" i="1"/>
  <c r="Y216" i="7"/>
  <c r="Y200" i="1"/>
  <c r="Y222" i="7"/>
  <c r="Y178" i="32"/>
  <c r="Z221" i="7"/>
  <c r="Y182" i="32"/>
  <c r="Z229" i="7"/>
  <c r="Y204" i="1"/>
  <c r="Y230" i="7"/>
  <c r="Y224" i="7"/>
  <c r="Y179" i="32"/>
  <c r="Y201" i="1"/>
  <c r="Z223" i="7"/>
  <c r="Y195" i="1"/>
  <c r="Y212" i="7"/>
  <c r="Y173" i="32"/>
  <c r="Z211" i="7"/>
  <c r="X158" i="10" l="1"/>
  <c r="Y652" i="7"/>
  <c r="Y167" i="33"/>
  <c r="Y151" i="25"/>
  <c r="Z651" i="7"/>
  <c r="Y152" i="25"/>
  <c r="Y168" i="33"/>
  <c r="Y654" i="7"/>
  <c r="Z653" i="7"/>
  <c r="Y656" i="7"/>
  <c r="Y169" i="33"/>
  <c r="Y153" i="25"/>
  <c r="Z655" i="7"/>
  <c r="Y157" i="10"/>
  <c r="AA229" i="7"/>
  <c r="Z204" i="1"/>
  <c r="Z230" i="7"/>
  <c r="Z182" i="32"/>
  <c r="AA227" i="7"/>
  <c r="Z181" i="32"/>
  <c r="Z203" i="1"/>
  <c r="Z228" i="7"/>
  <c r="Z226" i="7"/>
  <c r="Z180" i="32"/>
  <c r="Z202" i="1"/>
  <c r="AA225" i="7"/>
  <c r="AA213" i="7"/>
  <c r="Z196" i="1"/>
  <c r="Z174" i="32"/>
  <c r="Z214" i="7"/>
  <c r="AA219" i="7"/>
  <c r="Z177" i="32"/>
  <c r="Z199" i="1"/>
  <c r="Z220" i="7"/>
  <c r="Z201" i="1"/>
  <c r="Z179" i="32"/>
  <c r="Z224" i="7"/>
  <c r="AA223" i="7"/>
  <c r="Z173" i="32"/>
  <c r="Z195" i="1"/>
  <c r="AA211" i="7"/>
  <c r="Z212" i="7"/>
  <c r="Z200" i="1"/>
  <c r="Z178" i="32"/>
  <c r="Z222" i="7"/>
  <c r="AA221" i="7"/>
  <c r="AA215" i="7"/>
  <c r="Z216" i="7"/>
  <c r="Z175" i="32"/>
  <c r="Z197" i="1"/>
  <c r="Z176" i="32"/>
  <c r="Z198" i="1"/>
  <c r="Z218" i="7"/>
  <c r="AA217" i="7"/>
  <c r="Y158" i="10" l="1"/>
  <c r="Z153" i="25"/>
  <c r="Z169" i="33"/>
  <c r="Z656" i="7"/>
  <c r="AA655" i="7"/>
  <c r="Z654" i="7"/>
  <c r="Z152" i="25"/>
  <c r="Z168" i="33"/>
  <c r="AA653" i="7"/>
  <c r="Z652" i="7"/>
  <c r="Z151" i="25"/>
  <c r="Z167" i="33"/>
  <c r="AA651" i="7"/>
  <c r="AA218" i="7"/>
  <c r="AA176" i="32"/>
  <c r="AA198" i="1"/>
  <c r="AB217" i="7"/>
  <c r="AB215" i="7"/>
  <c r="AA197" i="1"/>
  <c r="AA216" i="7"/>
  <c r="AA175" i="32"/>
  <c r="AB227" i="7"/>
  <c r="AA228" i="7"/>
  <c r="AA203" i="1"/>
  <c r="AA181" i="32"/>
  <c r="AA230" i="7"/>
  <c r="AA204" i="1"/>
  <c r="AB229" i="7"/>
  <c r="AA182" i="32"/>
  <c r="Z157" i="10"/>
  <c r="AB221" i="7"/>
  <c r="AA222" i="7"/>
  <c r="AA178" i="32"/>
  <c r="AA200" i="1"/>
  <c r="AA226" i="7"/>
  <c r="AA180" i="32"/>
  <c r="AB225" i="7"/>
  <c r="AA202" i="1"/>
  <c r="AA173" i="32"/>
  <c r="AB211" i="7"/>
  <c r="AA212" i="7"/>
  <c r="AA195" i="1"/>
  <c r="AB213" i="7"/>
  <c r="AA214" i="7"/>
  <c r="AA174" i="32"/>
  <c r="AA196" i="1"/>
  <c r="AA179" i="32"/>
  <c r="AA224" i="7"/>
  <c r="AA201" i="1"/>
  <c r="AB223" i="7"/>
  <c r="AB219" i="7"/>
  <c r="AA220" i="7"/>
  <c r="AA199" i="1"/>
  <c r="AA177" i="32"/>
  <c r="Z158" i="10" l="1"/>
  <c r="AA652" i="7"/>
  <c r="AA151" i="25"/>
  <c r="AB651" i="7"/>
  <c r="AA167" i="33"/>
  <c r="AA654" i="7"/>
  <c r="AB653" i="7"/>
  <c r="AA152" i="25"/>
  <c r="AA168" i="33"/>
  <c r="AA153" i="25"/>
  <c r="AA656" i="7"/>
  <c r="AA169" i="33"/>
  <c r="AB655" i="7"/>
  <c r="AC219" i="7"/>
  <c r="AB199" i="1"/>
  <c r="AB177" i="32"/>
  <c r="AB220" i="7"/>
  <c r="AB196" i="1"/>
  <c r="AB174" i="32"/>
  <c r="AB214" i="7"/>
  <c r="AC213" i="7"/>
  <c r="AC229" i="7"/>
  <c r="AB182" i="32"/>
  <c r="AB204" i="1"/>
  <c r="AB230" i="7"/>
  <c r="AC217" i="7"/>
  <c r="AB198" i="1"/>
  <c r="AB218" i="7"/>
  <c r="AB176" i="32"/>
  <c r="AB201" i="1"/>
  <c r="AB179" i="32"/>
  <c r="AC223" i="7"/>
  <c r="AB224" i="7"/>
  <c r="AC225" i="7"/>
  <c r="AB180" i="32"/>
  <c r="AB226" i="7"/>
  <c r="AB202" i="1"/>
  <c r="AB200" i="1"/>
  <c r="AB222" i="7"/>
  <c r="AB178" i="32"/>
  <c r="AC221" i="7"/>
  <c r="AC227" i="7"/>
  <c r="AB203" i="1"/>
  <c r="AB228" i="7"/>
  <c r="AB181" i="32"/>
  <c r="AC215" i="7"/>
  <c r="AB175" i="32"/>
  <c r="AB197" i="1"/>
  <c r="AB216" i="7"/>
  <c r="AA157" i="10"/>
  <c r="AC211" i="7"/>
  <c r="AB173" i="32"/>
  <c r="AB212" i="7"/>
  <c r="AB195" i="1"/>
  <c r="AB654" i="7" l="1"/>
  <c r="AC653" i="7"/>
  <c r="AB152" i="25"/>
  <c r="AB168" i="33"/>
  <c r="AB151" i="25"/>
  <c r="AB652" i="7"/>
  <c r="AB167" i="33"/>
  <c r="AC651" i="7"/>
  <c r="AB153" i="25"/>
  <c r="AB169" i="33"/>
  <c r="AB656" i="7"/>
  <c r="AC655" i="7"/>
  <c r="AA158" i="10"/>
  <c r="AB157" i="10"/>
  <c r="AC222" i="7"/>
  <c r="AC200" i="1"/>
  <c r="AD221" i="7"/>
  <c r="AC178" i="32"/>
  <c r="AD213" i="7"/>
  <c r="AC214" i="7"/>
  <c r="AC174" i="32"/>
  <c r="AC196" i="1"/>
  <c r="AC220" i="7"/>
  <c r="AD219" i="7"/>
  <c r="AC199" i="1"/>
  <c r="AC177" i="32"/>
  <c r="AC201" i="1"/>
  <c r="AD223" i="7"/>
  <c r="AC179" i="32"/>
  <c r="AC224" i="7"/>
  <c r="AC228" i="7"/>
  <c r="AC203" i="1"/>
  <c r="AC181" i="32"/>
  <c r="AD227" i="7"/>
  <c r="AC202" i="1"/>
  <c r="AC180" i="32"/>
  <c r="AC226" i="7"/>
  <c r="AD225" i="7"/>
  <c r="AC204" i="1"/>
  <c r="AD229" i="7"/>
  <c r="AC230" i="7"/>
  <c r="AC182" i="32"/>
  <c r="AC212" i="7"/>
  <c r="AC173" i="32"/>
  <c r="AC195" i="1"/>
  <c r="AD211" i="7"/>
  <c r="AC175" i="32"/>
  <c r="AC197" i="1"/>
  <c r="AC216" i="7"/>
  <c r="AD215" i="7"/>
  <c r="AD217" i="7"/>
  <c r="AC218" i="7"/>
  <c r="AC176" i="32"/>
  <c r="AC198" i="1"/>
  <c r="AC168" i="33" l="1"/>
  <c r="AC654" i="7"/>
  <c r="AD653" i="7"/>
  <c r="AC152" i="25"/>
  <c r="AB158" i="10"/>
  <c r="AC153" i="25"/>
  <c r="AC656" i="7"/>
  <c r="AC169" i="33"/>
  <c r="AD655" i="7"/>
  <c r="AC151" i="25"/>
  <c r="AC652" i="7"/>
  <c r="AC167" i="33"/>
  <c r="AD651" i="7"/>
  <c r="AD176" i="32"/>
  <c r="AE217" i="7"/>
  <c r="AD218" i="7"/>
  <c r="AD198" i="1"/>
  <c r="AE229" i="7"/>
  <c r="AD204" i="1"/>
  <c r="AD182" i="32"/>
  <c r="AD230" i="7"/>
  <c r="AD177" i="32"/>
  <c r="AD199" i="1"/>
  <c r="AE219" i="7"/>
  <c r="AD220" i="7"/>
  <c r="AE211" i="7"/>
  <c r="AD212" i="7"/>
  <c r="AD195" i="1"/>
  <c r="AD173" i="32"/>
  <c r="AE213" i="7"/>
  <c r="AD174" i="32"/>
  <c r="AD214" i="7"/>
  <c r="AD196" i="1"/>
  <c r="AD175" i="32"/>
  <c r="AE215" i="7"/>
  <c r="AD216" i="7"/>
  <c r="AD197" i="1"/>
  <c r="AD202" i="1"/>
  <c r="AD226" i="7"/>
  <c r="AD180" i="32"/>
  <c r="AE225" i="7"/>
  <c r="AD203" i="1"/>
  <c r="AD228" i="7"/>
  <c r="AE227" i="7"/>
  <c r="AD181" i="32"/>
  <c r="AD201" i="1"/>
  <c r="AE223" i="7"/>
  <c r="AD179" i="32"/>
  <c r="AD224" i="7"/>
  <c r="AE221" i="7"/>
  <c r="AD200" i="1"/>
  <c r="AD178" i="32"/>
  <c r="AD222" i="7"/>
  <c r="AC157" i="10"/>
  <c r="AD652" i="7" l="1"/>
  <c r="AD167" i="33"/>
  <c r="AE651" i="7"/>
  <c r="AD151" i="25"/>
  <c r="AD153" i="25"/>
  <c r="AD656" i="7"/>
  <c r="AD169" i="33"/>
  <c r="AE655" i="7"/>
  <c r="AD654" i="7"/>
  <c r="AD152" i="25"/>
  <c r="AE653" i="7"/>
  <c r="AD168" i="33"/>
  <c r="AC158" i="10"/>
  <c r="AE197" i="1"/>
  <c r="AE216" i="7"/>
  <c r="AF215" i="7"/>
  <c r="AE175" i="32"/>
  <c r="AF221" i="7"/>
  <c r="AE178" i="32"/>
  <c r="AE200" i="1"/>
  <c r="AE222" i="7"/>
  <c r="AF211" i="7"/>
  <c r="AE212" i="7"/>
  <c r="AE173" i="32"/>
  <c r="AE195" i="1"/>
  <c r="AE176" i="32"/>
  <c r="AF217" i="7"/>
  <c r="AE218" i="7"/>
  <c r="AE198" i="1"/>
  <c r="AD157" i="10"/>
  <c r="AE196" i="1"/>
  <c r="AF213" i="7"/>
  <c r="AE174" i="32"/>
  <c r="AE214" i="7"/>
  <c r="AE220" i="7"/>
  <c r="AF219" i="7"/>
  <c r="AE199" i="1"/>
  <c r="AE177" i="32"/>
  <c r="AE182" i="32"/>
  <c r="AF229" i="7"/>
  <c r="AE204" i="1"/>
  <c r="AE230" i="7"/>
  <c r="AE179" i="32"/>
  <c r="AE201" i="1"/>
  <c r="AF223" i="7"/>
  <c r="AE224" i="7"/>
  <c r="AE181" i="32"/>
  <c r="AE228" i="7"/>
  <c r="AE203" i="1"/>
  <c r="AF227" i="7"/>
  <c r="AE202" i="1"/>
  <c r="AE180" i="32"/>
  <c r="AE226" i="7"/>
  <c r="AF225" i="7"/>
  <c r="AD158" i="10" l="1"/>
  <c r="AE168" i="33"/>
  <c r="AE654" i="7"/>
  <c r="AF653" i="7"/>
  <c r="AE152" i="25"/>
  <c r="AE151" i="25"/>
  <c r="AE652" i="7"/>
  <c r="AF651" i="7"/>
  <c r="AE167" i="33"/>
  <c r="AE656" i="7"/>
  <c r="AE153" i="25"/>
  <c r="AE169" i="33"/>
  <c r="AF655" i="7"/>
  <c r="AF202" i="1"/>
  <c r="AF226" i="7"/>
  <c r="AG225" i="7"/>
  <c r="AF180" i="32"/>
  <c r="AF203" i="1"/>
  <c r="AF228" i="7"/>
  <c r="AG227" i="7"/>
  <c r="AF181" i="32"/>
  <c r="AG229" i="7"/>
  <c r="AF182" i="32"/>
  <c r="AF230" i="7"/>
  <c r="AF204" i="1"/>
  <c r="AF199" i="1"/>
  <c r="AF220" i="7"/>
  <c r="AG219" i="7"/>
  <c r="AF177" i="32"/>
  <c r="AF214" i="7"/>
  <c r="AG213" i="7"/>
  <c r="AF174" i="32"/>
  <c r="AF196" i="1"/>
  <c r="AF195" i="1"/>
  <c r="AF173" i="32"/>
  <c r="AG211" i="7"/>
  <c r="AF212" i="7"/>
  <c r="AF179" i="32"/>
  <c r="AF201" i="1"/>
  <c r="AF224" i="7"/>
  <c r="AG223" i="7"/>
  <c r="AF216" i="7"/>
  <c r="AF175" i="32"/>
  <c r="AF197" i="1"/>
  <c r="AG215" i="7"/>
  <c r="AF198" i="1"/>
  <c r="AF218" i="7"/>
  <c r="AF176" i="32"/>
  <c r="AG217" i="7"/>
  <c r="AF222" i="7"/>
  <c r="AF200" i="1"/>
  <c r="AG221" i="7"/>
  <c r="AF178" i="32"/>
  <c r="AE157" i="10"/>
  <c r="AF151" i="25" l="1"/>
  <c r="AF167" i="33"/>
  <c r="AG651" i="7"/>
  <c r="AF652" i="7"/>
  <c r="AF168" i="33"/>
  <c r="AG653" i="7"/>
  <c r="AF654" i="7"/>
  <c r="AF152" i="25"/>
  <c r="AF656" i="7"/>
  <c r="AG655" i="7"/>
  <c r="AF153" i="25"/>
  <c r="AF169" i="33"/>
  <c r="AE158" i="10"/>
  <c r="AH215" i="7"/>
  <c r="AG216" i="7"/>
  <c r="AG197" i="1"/>
  <c r="AG175" i="32"/>
  <c r="AG218" i="7"/>
  <c r="AG176" i="32"/>
  <c r="AH217" i="7"/>
  <c r="AG198" i="1"/>
  <c r="AG224" i="7"/>
  <c r="AG201" i="1"/>
  <c r="AG179" i="32"/>
  <c r="AH223" i="7"/>
  <c r="AH211" i="7"/>
  <c r="AG173" i="32"/>
  <c r="AG212" i="7"/>
  <c r="AG195" i="1"/>
  <c r="AG199" i="1"/>
  <c r="AH219" i="7"/>
  <c r="AG177" i="32"/>
  <c r="AG220" i="7"/>
  <c r="AH227" i="7"/>
  <c r="AG203" i="1"/>
  <c r="AG181" i="32"/>
  <c r="AG228" i="7"/>
  <c r="AH213" i="7"/>
  <c r="AG196" i="1"/>
  <c r="AG174" i="32"/>
  <c r="AG214" i="7"/>
  <c r="AG178" i="32"/>
  <c r="AG200" i="1"/>
  <c r="AH221" i="7"/>
  <c r="AG222" i="7"/>
  <c r="AG182" i="32"/>
  <c r="AG230" i="7"/>
  <c r="AG204" i="1"/>
  <c r="AH229" i="7"/>
  <c r="AG226" i="7"/>
  <c r="AG202" i="1"/>
  <c r="AG180" i="32"/>
  <c r="AH225" i="7"/>
  <c r="AF157" i="10"/>
  <c r="AF158" i="10" l="1"/>
  <c r="AG153" i="25"/>
  <c r="AH655" i="7"/>
  <c r="AG656" i="7"/>
  <c r="AG169" i="33"/>
  <c r="AH653" i="7"/>
  <c r="AG152" i="25"/>
  <c r="AG168" i="33"/>
  <c r="AG654" i="7"/>
  <c r="AG167" i="33"/>
  <c r="AG652" i="7"/>
  <c r="AH651" i="7"/>
  <c r="AG151" i="25"/>
  <c r="AH198" i="1"/>
  <c r="AH218" i="7"/>
  <c r="AH176" i="32"/>
  <c r="AH226" i="7"/>
  <c r="AH202" i="1"/>
  <c r="AH180" i="32"/>
  <c r="AH175" i="32"/>
  <c r="AH197" i="1"/>
  <c r="AH216" i="7"/>
  <c r="AH174" i="32"/>
  <c r="AH196" i="1"/>
  <c r="AH214" i="7"/>
  <c r="AH228" i="7"/>
  <c r="AH181" i="32"/>
  <c r="AH203" i="1"/>
  <c r="AH199" i="1"/>
  <c r="AH177" i="32"/>
  <c r="AH220" i="7"/>
  <c r="AG157" i="10"/>
  <c r="AH182" i="32"/>
  <c r="AH204" i="1"/>
  <c r="AH230" i="7"/>
  <c r="AH173" i="32"/>
  <c r="AH212" i="7"/>
  <c r="AH195" i="1"/>
  <c r="AH200" i="1"/>
  <c r="AH178" i="32"/>
  <c r="AH222" i="7"/>
  <c r="AH179" i="32"/>
  <c r="AH201" i="1"/>
  <c r="AH224" i="7"/>
  <c r="AG158" i="10" l="1"/>
  <c r="AH152" i="25"/>
  <c r="AH654" i="7"/>
  <c r="AH168" i="33"/>
  <c r="AH151" i="25"/>
  <c r="AH167" i="33"/>
  <c r="AH652" i="7"/>
  <c r="AH169" i="33"/>
  <c r="AH656" i="7"/>
  <c r="AH153" i="25"/>
  <c r="AH183" i="32"/>
  <c r="AH157" i="10"/>
  <c r="G17" i="36" l="1"/>
  <c r="E25" i="30" s="1"/>
  <c r="D207" i="7" s="1"/>
  <c r="AH158" i="10"/>
  <c r="AH159" i="10" s="1"/>
  <c r="J170" i="33"/>
  <c r="G170" i="33"/>
  <c r="F170" i="33"/>
  <c r="I170" i="33"/>
  <c r="AD170" i="33"/>
  <c r="AF170" i="33"/>
  <c r="U170" i="33"/>
  <c r="E170" i="33"/>
  <c r="X170" i="33"/>
  <c r="AH170" i="33"/>
  <c r="V170" i="33"/>
  <c r="AA170" i="33"/>
  <c r="O170" i="33"/>
  <c r="P170" i="33"/>
  <c r="S170" i="33"/>
  <c r="T170" i="33"/>
  <c r="M170" i="33"/>
  <c r="K170" i="33"/>
  <c r="AB170" i="33"/>
  <c r="H170" i="33"/>
  <c r="AG170" i="33"/>
  <c r="AE170" i="33"/>
  <c r="N170" i="33"/>
  <c r="R170" i="33"/>
  <c r="L170" i="33"/>
  <c r="Q170" i="33"/>
  <c r="Y170" i="33"/>
  <c r="AC170" i="33"/>
  <c r="W170" i="33"/>
  <c r="Z170" i="33"/>
  <c r="G17" i="35"/>
  <c r="E26" i="30" l="1"/>
  <c r="G17" i="37"/>
  <c r="E26" i="17" s="1"/>
  <c r="E25" i="28" l="1"/>
  <c r="D647" i="7" s="1"/>
  <c r="G18" i="35"/>
  <c r="E26" i="28"/>
  <c r="E25" i="17"/>
  <c r="F620" i="7" l="1"/>
  <c r="G620" i="7" s="1"/>
  <c r="H620" i="7" s="1"/>
  <c r="F621" i="7"/>
  <c r="F619" i="7"/>
  <c r="G619" i="7" s="1"/>
  <c r="H619" i="7" s="1"/>
  <c r="H628" i="7" l="1"/>
  <c r="H160" i="33"/>
  <c r="H658" i="7"/>
  <c r="I619" i="7"/>
  <c r="F136" i="7"/>
  <c r="F139" i="7"/>
  <c r="F143" i="7"/>
  <c r="F141" i="7"/>
  <c r="F135" i="7"/>
  <c r="F138" i="7"/>
  <c r="F137" i="7"/>
  <c r="F134" i="7"/>
  <c r="F159" i="32" s="1"/>
  <c r="F140" i="7"/>
  <c r="F142" i="7"/>
  <c r="H161" i="33"/>
  <c r="H659" i="7"/>
  <c r="H629" i="7"/>
  <c r="G160" i="33"/>
  <c r="G658" i="7"/>
  <c r="G628" i="7"/>
  <c r="F659" i="7"/>
  <c r="F629" i="7"/>
  <c r="F161" i="33"/>
  <c r="G659" i="7"/>
  <c r="G629" i="7"/>
  <c r="G161" i="33"/>
  <c r="G621" i="7"/>
  <c r="F630" i="7"/>
  <c r="F162" i="33"/>
  <c r="F660" i="7"/>
  <c r="I620" i="7"/>
  <c r="F160" i="33"/>
  <c r="F622" i="7"/>
  <c r="F672" i="7" s="1"/>
  <c r="F658" i="7"/>
  <c r="F628" i="7"/>
  <c r="F100" i="5" l="1"/>
  <c r="F13" i="5" s="1"/>
  <c r="F165" i="32"/>
  <c r="F238" i="7"/>
  <c r="F233" i="7"/>
  <c r="F160" i="32"/>
  <c r="F234" i="7"/>
  <c r="F161" i="32"/>
  <c r="F240" i="7"/>
  <c r="F167" i="32"/>
  <c r="F163" i="32"/>
  <c r="F236" i="7"/>
  <c r="F237" i="7"/>
  <c r="F164" i="32"/>
  <c r="F235" i="7"/>
  <c r="F162" i="32"/>
  <c r="F168" i="32"/>
  <c r="F241" i="7"/>
  <c r="F239" i="7"/>
  <c r="F166" i="32"/>
  <c r="F101" i="5"/>
  <c r="F15" i="5" s="1"/>
  <c r="F223" i="25"/>
  <c r="F183" i="33"/>
  <c r="F172" i="10"/>
  <c r="G634" i="7"/>
  <c r="G639" i="7" s="1"/>
  <c r="G146" i="33"/>
  <c r="G137" i="7"/>
  <c r="F159" i="7"/>
  <c r="F170" i="7"/>
  <c r="F148" i="7"/>
  <c r="G143" i="7"/>
  <c r="F165" i="7"/>
  <c r="F176" i="7"/>
  <c r="F154" i="7"/>
  <c r="H145" i="33"/>
  <c r="H633" i="7"/>
  <c r="F146" i="33"/>
  <c r="F634" i="7"/>
  <c r="F639" i="7" s="1"/>
  <c r="F232" i="7"/>
  <c r="G134" i="7"/>
  <c r="F167" i="7"/>
  <c r="F145" i="7"/>
  <c r="F156" i="7"/>
  <c r="G141" i="7"/>
  <c r="F174" i="7"/>
  <c r="F152" i="7"/>
  <c r="F163" i="7"/>
  <c r="I628" i="7"/>
  <c r="I658" i="7"/>
  <c r="I160" i="33"/>
  <c r="J619" i="7"/>
  <c r="I161" i="33"/>
  <c r="I659" i="7"/>
  <c r="I629" i="7"/>
  <c r="J620" i="7"/>
  <c r="H621" i="7"/>
  <c r="G162" i="33"/>
  <c r="G241" i="33" s="1"/>
  <c r="G660" i="7"/>
  <c r="G100" i="5" s="1"/>
  <c r="G630" i="7"/>
  <c r="G631" i="7" s="1"/>
  <c r="G633" i="7"/>
  <c r="G145" i="33"/>
  <c r="H634" i="7"/>
  <c r="H639" i="7" s="1"/>
  <c r="H146" i="33"/>
  <c r="G140" i="7"/>
  <c r="F162" i="7"/>
  <c r="F173" i="7"/>
  <c r="F150" i="32" s="1"/>
  <c r="F151" i="7"/>
  <c r="G135" i="7"/>
  <c r="F157" i="7"/>
  <c r="F168" i="7"/>
  <c r="F146" i="7"/>
  <c r="F158" i="7"/>
  <c r="G136" i="7"/>
  <c r="F147" i="7"/>
  <c r="F169" i="7"/>
  <c r="F680" i="7"/>
  <c r="F145" i="33"/>
  <c r="F1125" i="7"/>
  <c r="F633" i="7"/>
  <c r="F631" i="7"/>
  <c r="F230" i="33"/>
  <c r="F227" i="33" s="1"/>
  <c r="F241" i="33"/>
  <c r="F147" i="33"/>
  <c r="F635" i="7"/>
  <c r="F640" i="7" s="1"/>
  <c r="G142" i="7"/>
  <c r="G167" i="32" s="1"/>
  <c r="F164" i="7"/>
  <c r="F153" i="7"/>
  <c r="F175" i="7"/>
  <c r="G138" i="7"/>
  <c r="F160" i="7"/>
  <c r="F171" i="7"/>
  <c r="F149" i="7"/>
  <c r="G139" i="7"/>
  <c r="G237" i="7" s="1"/>
  <c r="F150" i="7"/>
  <c r="F161" i="7"/>
  <c r="F172" i="7"/>
  <c r="G622" i="7"/>
  <c r="G672" i="7" s="1"/>
  <c r="G230" i="33" l="1"/>
  <c r="G227" i="33" s="1"/>
  <c r="F103" i="5"/>
  <c r="F712" i="7" s="1"/>
  <c r="F56" i="5"/>
  <c r="F59" i="5" s="1"/>
  <c r="F255" i="32"/>
  <c r="F244" i="32"/>
  <c r="F241" i="32" s="1"/>
  <c r="G236" i="7"/>
  <c r="G163" i="32"/>
  <c r="F181" i="7"/>
  <c r="F193" i="7" s="1"/>
  <c r="F146" i="32"/>
  <c r="F186" i="7"/>
  <c r="F198" i="7" s="1"/>
  <c r="F151" i="32"/>
  <c r="F188" i="7"/>
  <c r="F200" i="7" s="1"/>
  <c r="F153" i="32"/>
  <c r="F182" i="7"/>
  <c r="F194" i="7" s="1"/>
  <c r="F147" i="32"/>
  <c r="F262" i="7"/>
  <c r="G160" i="32"/>
  <c r="G233" i="7"/>
  <c r="G165" i="32"/>
  <c r="G238" i="7"/>
  <c r="F183" i="7"/>
  <c r="F195" i="7" s="1"/>
  <c r="F148" i="32"/>
  <c r="G161" i="32"/>
  <c r="G234" i="7"/>
  <c r="G168" i="32"/>
  <c r="G241" i="7"/>
  <c r="G235" i="7"/>
  <c r="G162" i="32"/>
  <c r="F184" i="7"/>
  <c r="F196" i="7" s="1"/>
  <c r="F149" i="32"/>
  <c r="F187" i="7"/>
  <c r="F199" i="7" s="1"/>
  <c r="F152" i="32"/>
  <c r="G239" i="7"/>
  <c r="G166" i="32"/>
  <c r="G159" i="32"/>
  <c r="G232" i="7"/>
  <c r="G1125" i="7"/>
  <c r="G106" i="5" s="1"/>
  <c r="F638" i="7"/>
  <c r="F682" i="7"/>
  <c r="F722" i="7" s="1"/>
  <c r="F636" i="7"/>
  <c r="I146" i="33"/>
  <c r="I634" i="7"/>
  <c r="I639" i="7" s="1"/>
  <c r="H134" i="7"/>
  <c r="H232" i="7" s="1"/>
  <c r="G167" i="7"/>
  <c r="G144" i="32" s="1"/>
  <c r="G145" i="7"/>
  <c r="G156" i="7"/>
  <c r="G164" i="32"/>
  <c r="G150" i="7"/>
  <c r="G161" i="7"/>
  <c r="G172" i="7"/>
  <c r="H139" i="7"/>
  <c r="G160" i="7"/>
  <c r="H138" i="7"/>
  <c r="G171" i="7"/>
  <c r="G149" i="7"/>
  <c r="G240" i="7"/>
  <c r="G175" i="7"/>
  <c r="G164" i="7"/>
  <c r="H142" i="7"/>
  <c r="G153" i="7"/>
  <c r="G680" i="7"/>
  <c r="F308" i="25"/>
  <c r="F108" i="5"/>
  <c r="G157" i="7"/>
  <c r="H135" i="7"/>
  <c r="G146" i="7"/>
  <c r="G168" i="7"/>
  <c r="G151" i="7"/>
  <c r="G162" i="7"/>
  <c r="G173" i="7"/>
  <c r="H140" i="7"/>
  <c r="G147" i="33"/>
  <c r="G635" i="7"/>
  <c r="G640" i="7" s="1"/>
  <c r="J161" i="33"/>
  <c r="J629" i="7"/>
  <c r="J659" i="7"/>
  <c r="K620" i="7"/>
  <c r="I145" i="33"/>
  <c r="I633" i="7"/>
  <c r="I638" i="7" s="1"/>
  <c r="G152" i="7"/>
  <c r="G174" i="7"/>
  <c r="G163" i="7"/>
  <c r="H141" i="7"/>
  <c r="F144" i="32"/>
  <c r="F179" i="7"/>
  <c r="F1117" i="7"/>
  <c r="F177" i="7"/>
  <c r="H136" i="7"/>
  <c r="H234" i="7" s="1"/>
  <c r="G158" i="7"/>
  <c r="G169" i="7"/>
  <c r="G147" i="7"/>
  <c r="G638" i="7"/>
  <c r="G636" i="7"/>
  <c r="H630" i="7"/>
  <c r="H162" i="33"/>
  <c r="H660" i="7"/>
  <c r="H100" i="5" s="1"/>
  <c r="I621" i="7"/>
  <c r="H622" i="7"/>
  <c r="H672" i="7" s="1"/>
  <c r="J628" i="7"/>
  <c r="J160" i="33"/>
  <c r="J658" i="7"/>
  <c r="K619" i="7"/>
  <c r="G101" i="5"/>
  <c r="G15" i="5" s="1"/>
  <c r="G183" i="33"/>
  <c r="G172" i="10"/>
  <c r="G223" i="25"/>
  <c r="F106" i="5"/>
  <c r="F145" i="32"/>
  <c r="F180" i="7"/>
  <c r="F192" i="7" s="1"/>
  <c r="F185" i="7"/>
  <c r="F197" i="7" s="1"/>
  <c r="G13" i="5"/>
  <c r="H638" i="7"/>
  <c r="G165" i="7"/>
  <c r="G154" i="7"/>
  <c r="G176" i="7"/>
  <c r="H143" i="7"/>
  <c r="G148" i="7"/>
  <c r="H137" i="7"/>
  <c r="G170" i="7"/>
  <c r="G159" i="7"/>
  <c r="F1118" i="7"/>
  <c r="F139" i="33" l="1"/>
  <c r="F721" i="7"/>
  <c r="F386" i="25" s="1"/>
  <c r="G641" i="7"/>
  <c r="F12" i="5"/>
  <c r="G103" i="5"/>
  <c r="G712" i="7" s="1"/>
  <c r="H241" i="7"/>
  <c r="H168" i="32"/>
  <c r="H239" i="7"/>
  <c r="H166" i="32"/>
  <c r="H238" i="7"/>
  <c r="H165" i="32"/>
  <c r="G180" i="7"/>
  <c r="G192" i="7" s="1"/>
  <c r="G145" i="32"/>
  <c r="G255" i="32"/>
  <c r="G244" i="32"/>
  <c r="G241" i="32" s="1"/>
  <c r="H235" i="7"/>
  <c r="H162" i="32"/>
  <c r="G187" i="7"/>
  <c r="G199" i="7" s="1"/>
  <c r="G152" i="32"/>
  <c r="H236" i="7"/>
  <c r="H163" i="32"/>
  <c r="F294" i="7"/>
  <c r="F138" i="32"/>
  <c r="F303" i="7"/>
  <c r="G56" i="5"/>
  <c r="G182" i="7"/>
  <c r="G194" i="7" s="1"/>
  <c r="G147" i="32"/>
  <c r="G188" i="7"/>
  <c r="G200" i="7" s="1"/>
  <c r="G153" i="32"/>
  <c r="G186" i="7"/>
  <c r="G198" i="7" s="1"/>
  <c r="G151" i="32"/>
  <c r="H233" i="7"/>
  <c r="H160" i="32"/>
  <c r="G183" i="7"/>
  <c r="G195" i="7" s="1"/>
  <c r="G148" i="32"/>
  <c r="G184" i="7"/>
  <c r="G196" i="7" s="1"/>
  <c r="G149" i="32"/>
  <c r="F264" i="7"/>
  <c r="F304" i="7" s="1"/>
  <c r="G181" i="7"/>
  <c r="G193" i="7" s="1"/>
  <c r="G146" i="32"/>
  <c r="G185" i="7"/>
  <c r="G197" i="7" s="1"/>
  <c r="G150" i="32"/>
  <c r="H167" i="32"/>
  <c r="H240" i="7"/>
  <c r="H164" i="32"/>
  <c r="H237" i="7"/>
  <c r="G262" i="7"/>
  <c r="F64" i="5"/>
  <c r="F359" i="1"/>
  <c r="F62" i="5"/>
  <c r="F20" i="5" s="1"/>
  <c r="H165" i="7"/>
  <c r="H176" i="7"/>
  <c r="H154" i="7"/>
  <c r="I143" i="7"/>
  <c r="K160" i="33"/>
  <c r="K658" i="7"/>
  <c r="K628" i="7"/>
  <c r="L619" i="7"/>
  <c r="I162" i="33"/>
  <c r="I660" i="7"/>
  <c r="I100" i="5" s="1"/>
  <c r="I630" i="7"/>
  <c r="J621" i="7"/>
  <c r="I622" i="7"/>
  <c r="I672" i="7" s="1"/>
  <c r="H680" i="7"/>
  <c r="G108" i="5"/>
  <c r="G308" i="25"/>
  <c r="H171" i="7"/>
  <c r="I138" i="7"/>
  <c r="H149" i="7"/>
  <c r="H160" i="7"/>
  <c r="H159" i="32"/>
  <c r="H156" i="7"/>
  <c r="H167" i="7"/>
  <c r="H144" i="32" s="1"/>
  <c r="H145" i="7"/>
  <c r="I134" i="7"/>
  <c r="F641" i="7"/>
  <c r="F684" i="7"/>
  <c r="H635" i="7"/>
  <c r="H147" i="33"/>
  <c r="H1125" i="7"/>
  <c r="H631" i="7"/>
  <c r="H163" i="7"/>
  <c r="I141" i="7"/>
  <c r="H174" i="7"/>
  <c r="H152" i="7"/>
  <c r="J634" i="7"/>
  <c r="J639" i="7" s="1"/>
  <c r="J146" i="33"/>
  <c r="H173" i="7"/>
  <c r="I140" i="7"/>
  <c r="H162" i="7"/>
  <c r="H151" i="7"/>
  <c r="G177" i="7"/>
  <c r="G179" i="7"/>
  <c r="G1117" i="7"/>
  <c r="F309" i="25"/>
  <c r="F109" i="5"/>
  <c r="G682" i="7"/>
  <c r="H159" i="7"/>
  <c r="I137" i="7"/>
  <c r="H170" i="7"/>
  <c r="H148" i="7"/>
  <c r="H172" i="10"/>
  <c r="H223" i="25"/>
  <c r="H101" i="5"/>
  <c r="H15" i="5" s="1"/>
  <c r="H183" i="33"/>
  <c r="H241" i="33"/>
  <c r="H230" i="33"/>
  <c r="H227" i="33" s="1"/>
  <c r="H175" i="7"/>
  <c r="H153" i="7"/>
  <c r="I142" i="7"/>
  <c r="H164" i="7"/>
  <c r="I139" i="7"/>
  <c r="H150" i="7"/>
  <c r="H161" i="7"/>
  <c r="H172" i="7"/>
  <c r="J145" i="33"/>
  <c r="J633" i="7"/>
  <c r="J638" i="7" s="1"/>
  <c r="H13" i="5"/>
  <c r="H161" i="32"/>
  <c r="I136" i="7"/>
  <c r="H147" i="7"/>
  <c r="H158" i="7"/>
  <c r="H169" i="7"/>
  <c r="F191" i="7"/>
  <c r="F189" i="7"/>
  <c r="K629" i="7"/>
  <c r="K161" i="33"/>
  <c r="K659" i="7"/>
  <c r="L620" i="7"/>
  <c r="I135" i="7"/>
  <c r="H157" i="7"/>
  <c r="H146" i="7"/>
  <c r="H168" i="7"/>
  <c r="F105" i="2"/>
  <c r="F110" i="6" s="1"/>
  <c r="F387" i="25"/>
  <c r="G1118" i="7"/>
  <c r="F104" i="2" l="1"/>
  <c r="F109" i="6" s="1"/>
  <c r="G721" i="7"/>
  <c r="G386" i="25" s="1"/>
  <c r="G139" i="33"/>
  <c r="H56" i="5"/>
  <c r="H59" i="5" s="1"/>
  <c r="I237" i="7"/>
  <c r="I164" i="32"/>
  <c r="F201" i="7"/>
  <c r="F266" i="7"/>
  <c r="F306" i="7" s="1"/>
  <c r="I161" i="32"/>
  <c r="I234" i="7"/>
  <c r="H184" i="7"/>
  <c r="H196" i="7" s="1"/>
  <c r="H149" i="32"/>
  <c r="I168" i="32"/>
  <c r="I241" i="7"/>
  <c r="G59" i="5"/>
  <c r="G12" i="5"/>
  <c r="G62" i="5"/>
  <c r="G20" i="5" s="1"/>
  <c r="I162" i="32"/>
  <c r="I235" i="7"/>
  <c r="I166" i="32"/>
  <c r="I239" i="7"/>
  <c r="I159" i="32"/>
  <c r="I232" i="7"/>
  <c r="H255" i="32"/>
  <c r="H244" i="32"/>
  <c r="H241" i="32" s="1"/>
  <c r="H183" i="7"/>
  <c r="H195" i="7" s="1"/>
  <c r="H148" i="32"/>
  <c r="F438" i="1"/>
  <c r="F60" i="2"/>
  <c r="F65" i="6" s="1"/>
  <c r="G264" i="7"/>
  <c r="G304" i="7" s="1"/>
  <c r="F65" i="5"/>
  <c r="F360" i="1"/>
  <c r="H180" i="7"/>
  <c r="H192" i="7" s="1"/>
  <c r="H145" i="32"/>
  <c r="H182" i="7"/>
  <c r="H194" i="7" s="1"/>
  <c r="H147" i="32"/>
  <c r="H185" i="7"/>
  <c r="H197" i="7" s="1"/>
  <c r="H150" i="32"/>
  <c r="H186" i="7"/>
  <c r="H198" i="7" s="1"/>
  <c r="H151" i="32"/>
  <c r="I236" i="7"/>
  <c r="I163" i="32"/>
  <c r="H188" i="7"/>
  <c r="H200" i="7" s="1"/>
  <c r="H153" i="32"/>
  <c r="G64" i="5"/>
  <c r="G359" i="1"/>
  <c r="H262" i="7"/>
  <c r="F59" i="2"/>
  <c r="F64" i="6" s="1"/>
  <c r="F437" i="1"/>
  <c r="H187" i="7"/>
  <c r="H199" i="7" s="1"/>
  <c r="H152" i="32"/>
  <c r="I160" i="32"/>
  <c r="I233" i="7"/>
  <c r="H181" i="7"/>
  <c r="H193" i="7" s="1"/>
  <c r="H146" i="32"/>
  <c r="I167" i="32"/>
  <c r="I240" i="7"/>
  <c r="I165" i="32"/>
  <c r="I238" i="7"/>
  <c r="H103" i="5"/>
  <c r="H139" i="33" s="1"/>
  <c r="L629" i="7"/>
  <c r="L659" i="7"/>
  <c r="L161" i="33"/>
  <c r="M620" i="7"/>
  <c r="I164" i="7"/>
  <c r="I175" i="7"/>
  <c r="I153" i="7"/>
  <c r="J142" i="7"/>
  <c r="J141" i="7"/>
  <c r="I163" i="7"/>
  <c r="I174" i="7"/>
  <c r="I152" i="7"/>
  <c r="H640" i="7"/>
  <c r="H641" i="7" s="1"/>
  <c r="H636" i="7"/>
  <c r="I167" i="7"/>
  <c r="I144" i="32" s="1"/>
  <c r="I145" i="7"/>
  <c r="J134" i="7"/>
  <c r="I156" i="7"/>
  <c r="J660" i="7"/>
  <c r="J100" i="5" s="1"/>
  <c r="J162" i="33"/>
  <c r="J630" i="7"/>
  <c r="K621" i="7"/>
  <c r="J622" i="7"/>
  <c r="J672" i="7" s="1"/>
  <c r="I165" i="7"/>
  <c r="I176" i="7"/>
  <c r="I154" i="7"/>
  <c r="J143" i="7"/>
  <c r="I168" i="7"/>
  <c r="I145" i="32" s="1"/>
  <c r="I146" i="7"/>
  <c r="J135" i="7"/>
  <c r="I157" i="7"/>
  <c r="K146" i="33"/>
  <c r="K634" i="7"/>
  <c r="K639" i="7" s="1"/>
  <c r="I160" i="7"/>
  <c r="I171" i="7"/>
  <c r="I149" i="7"/>
  <c r="J138" i="7"/>
  <c r="I230" i="33"/>
  <c r="I227" i="33" s="1"/>
  <c r="I241" i="33"/>
  <c r="H1118" i="7"/>
  <c r="I161" i="7"/>
  <c r="I172" i="7"/>
  <c r="I150" i="7"/>
  <c r="J139" i="7"/>
  <c r="I173" i="7"/>
  <c r="I162" i="7"/>
  <c r="J140" i="7"/>
  <c r="I151" i="7"/>
  <c r="H106" i="5"/>
  <c r="H179" i="7"/>
  <c r="H177" i="7"/>
  <c r="H1117" i="7"/>
  <c r="I223" i="25"/>
  <c r="I183" i="33"/>
  <c r="I172" i="10"/>
  <c r="I101" i="5"/>
  <c r="I15" i="5" s="1"/>
  <c r="I13" i="5"/>
  <c r="L160" i="33"/>
  <c r="L628" i="7"/>
  <c r="L658" i="7"/>
  <c r="M619" i="7"/>
  <c r="I169" i="7"/>
  <c r="I158" i="7"/>
  <c r="J136" i="7"/>
  <c r="I147" i="7"/>
  <c r="I159" i="7"/>
  <c r="I170" i="7"/>
  <c r="J137" i="7"/>
  <c r="I148" i="7"/>
  <c r="G722" i="7"/>
  <c r="G109" i="5"/>
  <c r="H682" i="7"/>
  <c r="H722" i="7" s="1"/>
  <c r="G309" i="25"/>
  <c r="G191" i="7"/>
  <c r="G201" i="7" s="1"/>
  <c r="G189" i="7"/>
  <c r="F110" i="5"/>
  <c r="F113" i="5" s="1"/>
  <c r="F310" i="25"/>
  <c r="G684" i="7"/>
  <c r="G724" i="7" s="1"/>
  <c r="F724" i="7"/>
  <c r="I680" i="7"/>
  <c r="H308" i="25"/>
  <c r="H108" i="5"/>
  <c r="I635" i="7"/>
  <c r="I147" i="33"/>
  <c r="I1125" i="7"/>
  <c r="I631" i="7"/>
  <c r="K145" i="33"/>
  <c r="K633" i="7"/>
  <c r="H62" i="5" l="1"/>
  <c r="H20" i="5"/>
  <c r="H712" i="7"/>
  <c r="G104" i="2"/>
  <c r="G109" i="6" s="1"/>
  <c r="H721" i="7"/>
  <c r="H386" i="25" s="1"/>
  <c r="H12" i="5"/>
  <c r="I181" i="7"/>
  <c r="I193" i="7" s="1"/>
  <c r="I146" i="32"/>
  <c r="I184" i="7"/>
  <c r="I196" i="7" s="1"/>
  <c r="I149" i="32"/>
  <c r="I188" i="7"/>
  <c r="I200" i="7" s="1"/>
  <c r="I153" i="32"/>
  <c r="J159" i="32"/>
  <c r="J232" i="7"/>
  <c r="J166" i="32"/>
  <c r="J239" i="7"/>
  <c r="G294" i="7"/>
  <c r="G303" i="7"/>
  <c r="G138" i="32"/>
  <c r="I56" i="5"/>
  <c r="I182" i="7"/>
  <c r="I194" i="7" s="1"/>
  <c r="I147" i="32"/>
  <c r="J165" i="32"/>
  <c r="J238" i="7"/>
  <c r="I183" i="7"/>
  <c r="I195" i="7" s="1"/>
  <c r="I148" i="32"/>
  <c r="J160" i="32"/>
  <c r="J233" i="7"/>
  <c r="J167" i="32"/>
  <c r="J240" i="7"/>
  <c r="H359" i="1"/>
  <c r="I262" i="7"/>
  <c r="H64" i="5"/>
  <c r="G266" i="7"/>
  <c r="F361" i="1"/>
  <c r="F66" i="5"/>
  <c r="F69" i="5" s="1"/>
  <c r="H303" i="7"/>
  <c r="H138" i="32"/>
  <c r="H294" i="7"/>
  <c r="J161" i="32"/>
  <c r="J234" i="7"/>
  <c r="J164" i="32"/>
  <c r="J237" i="7"/>
  <c r="F72" i="2"/>
  <c r="F440" i="1"/>
  <c r="G438" i="1"/>
  <c r="G60" i="2"/>
  <c r="G65" i="6" s="1"/>
  <c r="J162" i="32"/>
  <c r="J235" i="7"/>
  <c r="J168" i="32"/>
  <c r="J241" i="7"/>
  <c r="I186" i="7"/>
  <c r="I198" i="7" s="1"/>
  <c r="I151" i="32"/>
  <c r="I185" i="7"/>
  <c r="I197" i="7" s="1"/>
  <c r="I150" i="32"/>
  <c r="J236" i="7"/>
  <c r="J163" i="32"/>
  <c r="I187" i="7"/>
  <c r="I199" i="7" s="1"/>
  <c r="I152" i="32"/>
  <c r="H264" i="7"/>
  <c r="G360" i="1"/>
  <c r="G65" i="5"/>
  <c r="I244" i="32"/>
  <c r="I241" i="32" s="1"/>
  <c r="I255" i="32"/>
  <c r="I103" i="5"/>
  <c r="I721" i="7" s="1"/>
  <c r="F223" i="33"/>
  <c r="F140" i="33"/>
  <c r="F141" i="33" s="1"/>
  <c r="F118" i="5"/>
  <c r="F122" i="5" s="1"/>
  <c r="F125" i="5" s="1"/>
  <c r="F127" i="5" s="1"/>
  <c r="F222" i="33"/>
  <c r="G117" i="2"/>
  <c r="G389" i="25"/>
  <c r="I640" i="7"/>
  <c r="I641" i="7" s="1"/>
  <c r="I636" i="7"/>
  <c r="H109" i="5"/>
  <c r="H309" i="25"/>
  <c r="I682" i="7"/>
  <c r="I722" i="7" s="1"/>
  <c r="K137" i="7"/>
  <c r="J159" i="7"/>
  <c r="J170" i="7"/>
  <c r="J148" i="7"/>
  <c r="M658" i="7"/>
  <c r="M628" i="7"/>
  <c r="M160" i="33"/>
  <c r="N619" i="7"/>
  <c r="H104" i="2"/>
  <c r="J147" i="33"/>
  <c r="J635" i="7"/>
  <c r="J631" i="7"/>
  <c r="J1125" i="7"/>
  <c r="I1118" i="7"/>
  <c r="F389" i="25"/>
  <c r="F117" i="2"/>
  <c r="H191" i="7"/>
  <c r="H201" i="7" s="1"/>
  <c r="H189" i="7"/>
  <c r="K140" i="7"/>
  <c r="J162" i="7"/>
  <c r="J173" i="7"/>
  <c r="J151" i="7"/>
  <c r="I180" i="7"/>
  <c r="I192" i="7" s="1"/>
  <c r="K660" i="7"/>
  <c r="K100" i="5" s="1"/>
  <c r="K162" i="33"/>
  <c r="K630" i="7"/>
  <c r="L621" i="7"/>
  <c r="K622" i="7"/>
  <c r="K672" i="7" s="1"/>
  <c r="I179" i="7"/>
  <c r="I177" i="7"/>
  <c r="I1117" i="7"/>
  <c r="K142" i="7"/>
  <c r="J153" i="7"/>
  <c r="J164" i="7"/>
  <c r="J175" i="7"/>
  <c r="M161" i="33"/>
  <c r="M629" i="7"/>
  <c r="M659" i="7"/>
  <c r="N620" i="7"/>
  <c r="I106" i="5"/>
  <c r="H387" i="25"/>
  <c r="H105" i="2"/>
  <c r="J680" i="7"/>
  <c r="I108" i="5"/>
  <c r="I308" i="25"/>
  <c r="G105" i="2"/>
  <c r="G110" i="6" s="1"/>
  <c r="G387" i="25"/>
  <c r="L633" i="7"/>
  <c r="L638" i="7" s="1"/>
  <c r="L145" i="33"/>
  <c r="K139" i="7"/>
  <c r="J150" i="7"/>
  <c r="J172" i="7"/>
  <c r="J161" i="7"/>
  <c r="J13" i="5"/>
  <c r="L634" i="7"/>
  <c r="L639" i="7" s="1"/>
  <c r="L146" i="33"/>
  <c r="K638" i="7"/>
  <c r="G310" i="25"/>
  <c r="H684" i="7"/>
  <c r="G110" i="5"/>
  <c r="G113" i="5" s="1"/>
  <c r="J158" i="7"/>
  <c r="J169" i="7"/>
  <c r="J147" i="7"/>
  <c r="K136" i="7"/>
  <c r="K138" i="7"/>
  <c r="J149" i="7"/>
  <c r="J160" i="7"/>
  <c r="J171" i="7"/>
  <c r="J157" i="7"/>
  <c r="K135" i="7"/>
  <c r="J146" i="7"/>
  <c r="J168" i="7"/>
  <c r="J145" i="32" s="1"/>
  <c r="K143" i="7"/>
  <c r="J154" i="7"/>
  <c r="J176" i="7"/>
  <c r="J165" i="7"/>
  <c r="J101" i="5"/>
  <c r="J15" i="5" s="1"/>
  <c r="J223" i="25"/>
  <c r="J183" i="33"/>
  <c r="J172" i="10"/>
  <c r="J241" i="33"/>
  <c r="J230" i="33"/>
  <c r="J227" i="33" s="1"/>
  <c r="J156" i="7"/>
  <c r="J167" i="7"/>
  <c r="J144" i="32" s="1"/>
  <c r="J145" i="7"/>
  <c r="K134" i="7"/>
  <c r="J174" i="7"/>
  <c r="J152" i="7"/>
  <c r="J163" i="7"/>
  <c r="K141" i="7"/>
  <c r="H109" i="6" l="1"/>
  <c r="I139" i="33"/>
  <c r="I712" i="7"/>
  <c r="I62" i="5"/>
  <c r="I20" i="5" s="1"/>
  <c r="J188" i="7"/>
  <c r="J200" i="7" s="1"/>
  <c r="J153" i="32"/>
  <c r="J187" i="7"/>
  <c r="J199" i="7" s="1"/>
  <c r="J152" i="32"/>
  <c r="K165" i="32"/>
  <c r="K238" i="7"/>
  <c r="H304" i="7"/>
  <c r="I264" i="7"/>
  <c r="H360" i="1"/>
  <c r="H65" i="5"/>
  <c r="F67" i="6"/>
  <c r="H437" i="1"/>
  <c r="H59" i="2"/>
  <c r="J183" i="7"/>
  <c r="J195" i="7" s="1"/>
  <c r="J148" i="32"/>
  <c r="K161" i="32"/>
  <c r="K234" i="7"/>
  <c r="J184" i="7"/>
  <c r="J196" i="7" s="1"/>
  <c r="J149" i="32"/>
  <c r="K167" i="32"/>
  <c r="K240" i="7"/>
  <c r="K162" i="32"/>
  <c r="K235" i="7"/>
  <c r="H266" i="7"/>
  <c r="G66" i="5"/>
  <c r="G69" i="5" s="1"/>
  <c r="G361" i="1"/>
  <c r="G306" i="7"/>
  <c r="J186" i="7"/>
  <c r="J198" i="7" s="1"/>
  <c r="J151" i="32"/>
  <c r="K168" i="32"/>
  <c r="K241" i="7"/>
  <c r="K236" i="7"/>
  <c r="K163" i="32"/>
  <c r="J185" i="7"/>
  <c r="J197" i="7" s="1"/>
  <c r="J150" i="32"/>
  <c r="I359" i="1"/>
  <c r="I64" i="5"/>
  <c r="J262" i="7"/>
  <c r="I59" i="5"/>
  <c r="I12" i="5"/>
  <c r="J255" i="32"/>
  <c r="J244" i="32"/>
  <c r="J241" i="32" s="1"/>
  <c r="I189" i="7"/>
  <c r="K166" i="32"/>
  <c r="K239" i="7"/>
  <c r="K159" i="32"/>
  <c r="K232" i="7"/>
  <c r="K160" i="32"/>
  <c r="K233" i="7"/>
  <c r="J181" i="7"/>
  <c r="J193" i="7" s="1"/>
  <c r="J146" i="32"/>
  <c r="K237" i="7"/>
  <c r="K164" i="32"/>
  <c r="J182" i="7"/>
  <c r="J194" i="7" s="1"/>
  <c r="J147" i="32"/>
  <c r="F139" i="32"/>
  <c r="F140" i="32" s="1"/>
  <c r="F236" i="32"/>
  <c r="F237" i="32"/>
  <c r="G59" i="2"/>
  <c r="G64" i="6" s="1"/>
  <c r="G437" i="1"/>
  <c r="J56" i="5"/>
  <c r="I191" i="7"/>
  <c r="I201" i="7" s="1"/>
  <c r="H110" i="6"/>
  <c r="K174" i="7"/>
  <c r="K152" i="7"/>
  <c r="K163" i="7"/>
  <c r="L141" i="7"/>
  <c r="L136" i="7"/>
  <c r="K158" i="7"/>
  <c r="K169" i="7"/>
  <c r="K147" i="7"/>
  <c r="M634" i="7"/>
  <c r="M639" i="7" s="1"/>
  <c r="M146" i="33"/>
  <c r="K13" i="5"/>
  <c r="G112" i="6"/>
  <c r="G114" i="6" s="1"/>
  <c r="G120" i="2"/>
  <c r="J1118" i="7"/>
  <c r="G140" i="33"/>
  <c r="G141" i="33" s="1"/>
  <c r="G118" i="5"/>
  <c r="G122" i="5" s="1"/>
  <c r="G222" i="33"/>
  <c r="G223" i="33"/>
  <c r="J179" i="7"/>
  <c r="J1117" i="7"/>
  <c r="J177" i="7"/>
  <c r="J180" i="7"/>
  <c r="J192" i="7" s="1"/>
  <c r="K172" i="10"/>
  <c r="K223" i="25"/>
  <c r="K101" i="5"/>
  <c r="K15" i="5" s="1"/>
  <c r="K183" i="33"/>
  <c r="K230" i="33"/>
  <c r="K227" i="33" s="1"/>
  <c r="K241" i="33"/>
  <c r="L137" i="7"/>
  <c r="K148" i="7"/>
  <c r="K170" i="7"/>
  <c r="K159" i="7"/>
  <c r="K165" i="7"/>
  <c r="K176" i="7"/>
  <c r="K154" i="7"/>
  <c r="L143" i="7"/>
  <c r="K171" i="7"/>
  <c r="L138" i="7"/>
  <c r="K149" i="7"/>
  <c r="K160" i="7"/>
  <c r="H110" i="5"/>
  <c r="H113" i="5" s="1"/>
  <c r="H310" i="25"/>
  <c r="I684" i="7"/>
  <c r="H724" i="7"/>
  <c r="I386" i="25"/>
  <c r="I104" i="2"/>
  <c r="I109" i="6" s="1"/>
  <c r="I387" i="25"/>
  <c r="I105" i="2"/>
  <c r="I110" i="6" s="1"/>
  <c r="N629" i="7"/>
  <c r="N659" i="7"/>
  <c r="N161" i="33"/>
  <c r="O620" i="7"/>
  <c r="K635" i="7"/>
  <c r="K147" i="33"/>
  <c r="K631" i="7"/>
  <c r="K1125" i="7"/>
  <c r="K173" i="7"/>
  <c r="L140" i="7"/>
  <c r="K162" i="7"/>
  <c r="K151" i="7"/>
  <c r="J106" i="5"/>
  <c r="N160" i="33"/>
  <c r="N658" i="7"/>
  <c r="N628" i="7"/>
  <c r="O619" i="7"/>
  <c r="M633" i="7"/>
  <c r="M145" i="33"/>
  <c r="F102" i="6"/>
  <c r="F711" i="7"/>
  <c r="F713" i="7" s="1"/>
  <c r="K167" i="7"/>
  <c r="K144" i="32" s="1"/>
  <c r="L134" i="7"/>
  <c r="K145" i="7"/>
  <c r="K156" i="7"/>
  <c r="K157" i="7"/>
  <c r="K168" i="7"/>
  <c r="K145" i="32" s="1"/>
  <c r="K146" i="7"/>
  <c r="L135" i="7"/>
  <c r="L139" i="7"/>
  <c r="K161" i="7"/>
  <c r="K172" i="7"/>
  <c r="K150" i="7"/>
  <c r="J108" i="5"/>
  <c r="K680" i="7"/>
  <c r="J308" i="25"/>
  <c r="K175" i="7"/>
  <c r="K153" i="7"/>
  <c r="L142" i="7"/>
  <c r="K164" i="7"/>
  <c r="L162" i="33"/>
  <c r="L660" i="7"/>
  <c r="L100" i="5" s="1"/>
  <c r="L630" i="7"/>
  <c r="M621" i="7"/>
  <c r="L622" i="7"/>
  <c r="L672" i="7" s="1"/>
  <c r="F112" i="6"/>
  <c r="F114" i="6" s="1"/>
  <c r="F120" i="2"/>
  <c r="J640" i="7"/>
  <c r="J641" i="7" s="1"/>
  <c r="J636" i="7"/>
  <c r="I309" i="25"/>
  <c r="J682" i="7"/>
  <c r="I109" i="5"/>
  <c r="J103" i="5"/>
  <c r="F115" i="6" l="1"/>
  <c r="J62" i="5"/>
  <c r="J20" i="5" s="1"/>
  <c r="K187" i="7"/>
  <c r="K199" i="7" s="1"/>
  <c r="K152" i="32"/>
  <c r="L160" i="32"/>
  <c r="L233" i="7"/>
  <c r="K185" i="7"/>
  <c r="K197" i="7" s="1"/>
  <c r="K150" i="32"/>
  <c r="K183" i="7"/>
  <c r="K195" i="7" s="1"/>
  <c r="K148" i="32"/>
  <c r="L162" i="32"/>
  <c r="L235" i="7"/>
  <c r="L161" i="32"/>
  <c r="L234" i="7"/>
  <c r="K186" i="7"/>
  <c r="K198" i="7" s="1"/>
  <c r="K151" i="32"/>
  <c r="K255" i="32"/>
  <c r="K244" i="32"/>
  <c r="K241" i="32" s="1"/>
  <c r="G440" i="1"/>
  <c r="G72" i="2"/>
  <c r="L237" i="7"/>
  <c r="L164" i="32"/>
  <c r="L165" i="32"/>
  <c r="L238" i="7"/>
  <c r="L163" i="32"/>
  <c r="L236" i="7"/>
  <c r="K188" i="7"/>
  <c r="K200" i="7" s="1"/>
  <c r="K153" i="32"/>
  <c r="J59" i="5"/>
  <c r="J12" i="5"/>
  <c r="I294" i="7"/>
  <c r="I138" i="32"/>
  <c r="I303" i="7"/>
  <c r="I266" i="7"/>
  <c r="I306" i="7" s="1"/>
  <c r="H361" i="1"/>
  <c r="H66" i="5"/>
  <c r="H69" i="5" s="1"/>
  <c r="K56" i="5"/>
  <c r="H64" i="6"/>
  <c r="L167" i="32"/>
  <c r="L240" i="7"/>
  <c r="L159" i="32"/>
  <c r="L232" i="7"/>
  <c r="K182" i="7"/>
  <c r="K194" i="7" s="1"/>
  <c r="K147" i="32"/>
  <c r="K181" i="7"/>
  <c r="K193" i="7" s="1"/>
  <c r="K146" i="32"/>
  <c r="G139" i="32"/>
  <c r="G140" i="32" s="1"/>
  <c r="G237" i="32"/>
  <c r="G236" i="32"/>
  <c r="H438" i="1"/>
  <c r="H60" i="2"/>
  <c r="H65" i="6" s="1"/>
  <c r="H306" i="7"/>
  <c r="K184" i="7"/>
  <c r="K196" i="7" s="1"/>
  <c r="K149" i="32"/>
  <c r="L168" i="32"/>
  <c r="L241" i="7"/>
  <c r="L166" i="32"/>
  <c r="L239" i="7"/>
  <c r="K262" i="7"/>
  <c r="J359" i="1"/>
  <c r="J64" i="5"/>
  <c r="I304" i="7"/>
  <c r="I65" i="5"/>
  <c r="J264" i="7"/>
  <c r="I360" i="1"/>
  <c r="J712" i="7"/>
  <c r="J139" i="33"/>
  <c r="J721" i="7"/>
  <c r="J109" i="5"/>
  <c r="K682" i="7"/>
  <c r="K722" i="7" s="1"/>
  <c r="J309" i="25"/>
  <c r="F729" i="7"/>
  <c r="F212" i="33"/>
  <c r="F125" i="2"/>
  <c r="M162" i="33"/>
  <c r="M660" i="7"/>
  <c r="M100" i="5" s="1"/>
  <c r="M630" i="7"/>
  <c r="N621" i="7"/>
  <c r="M622" i="7"/>
  <c r="M672" i="7" s="1"/>
  <c r="L172" i="7"/>
  <c r="L150" i="7"/>
  <c r="M139" i="7"/>
  <c r="L161" i="7"/>
  <c r="L156" i="7"/>
  <c r="L167" i="7"/>
  <c r="L144" i="32" s="1"/>
  <c r="L145" i="7"/>
  <c r="M134" i="7"/>
  <c r="N145" i="33"/>
  <c r="N633" i="7"/>
  <c r="N638" i="7" s="1"/>
  <c r="O161" i="33"/>
  <c r="O629" i="7"/>
  <c r="O659" i="7"/>
  <c r="P620" i="7"/>
  <c r="L160" i="7"/>
  <c r="L171" i="7"/>
  <c r="M138" i="7"/>
  <c r="L149" i="7"/>
  <c r="L163" i="7"/>
  <c r="L152" i="7"/>
  <c r="L174" i="7"/>
  <c r="M141" i="7"/>
  <c r="L223" i="25"/>
  <c r="L183" i="33"/>
  <c r="L172" i="10"/>
  <c r="L101" i="5"/>
  <c r="L15" i="5" s="1"/>
  <c r="L230" i="33"/>
  <c r="L227" i="33" s="1"/>
  <c r="L241" i="33"/>
  <c r="K108" i="5"/>
  <c r="L680" i="7"/>
  <c r="K308" i="25"/>
  <c r="K180" i="7"/>
  <c r="K192" i="7" s="1"/>
  <c r="O160" i="33"/>
  <c r="O628" i="7"/>
  <c r="O658" i="7"/>
  <c r="P619" i="7"/>
  <c r="K106" i="5"/>
  <c r="K640" i="7"/>
  <c r="K641" i="7" s="1"/>
  <c r="K636" i="7"/>
  <c r="N146" i="33"/>
  <c r="N634" i="7"/>
  <c r="N639" i="7" s="1"/>
  <c r="I310" i="25"/>
  <c r="I110" i="5"/>
  <c r="I113" i="5" s="1"/>
  <c r="J684" i="7"/>
  <c r="J724" i="7" s="1"/>
  <c r="I724" i="7"/>
  <c r="L13" i="5"/>
  <c r="L176" i="7"/>
  <c r="L154" i="7"/>
  <c r="M143" i="7"/>
  <c r="L165" i="7"/>
  <c r="L159" i="7"/>
  <c r="L170" i="7"/>
  <c r="L148" i="7"/>
  <c r="M137" i="7"/>
  <c r="J191" i="7"/>
  <c r="J201" i="7" s="1"/>
  <c r="J189" i="7"/>
  <c r="M136" i="7"/>
  <c r="L147" i="7"/>
  <c r="L169" i="7"/>
  <c r="L158" i="7"/>
  <c r="K1118" i="7"/>
  <c r="L635" i="7"/>
  <c r="L147" i="33"/>
  <c r="L631" i="7"/>
  <c r="L1125" i="7"/>
  <c r="L164" i="7"/>
  <c r="L175" i="7"/>
  <c r="L153" i="7"/>
  <c r="M142" i="7"/>
  <c r="L157" i="7"/>
  <c r="M135" i="7"/>
  <c r="L168" i="7"/>
  <c r="L145" i="32" s="1"/>
  <c r="L146" i="7"/>
  <c r="K179" i="7"/>
  <c r="K1117" i="7"/>
  <c r="K177" i="7"/>
  <c r="M140" i="7"/>
  <c r="L151" i="7"/>
  <c r="L173" i="7"/>
  <c r="L162" i="7"/>
  <c r="H117" i="2"/>
  <c r="H389" i="25"/>
  <c r="H222" i="33"/>
  <c r="H140" i="33"/>
  <c r="H141" i="33" s="1"/>
  <c r="H223" i="33"/>
  <c r="H118" i="5"/>
  <c r="H122" i="5" s="1"/>
  <c r="G125" i="2"/>
  <c r="G212" i="33"/>
  <c r="G729" i="7"/>
  <c r="J722" i="7"/>
  <c r="M638" i="7"/>
  <c r="K103" i="5"/>
  <c r="K62" i="5" l="1"/>
  <c r="K20" i="5" s="1"/>
  <c r="I440" i="1"/>
  <c r="I72" i="2"/>
  <c r="M165" i="32"/>
  <c r="M238" i="7"/>
  <c r="M167" i="32"/>
  <c r="M240" i="7"/>
  <c r="M161" i="32"/>
  <c r="M234" i="7"/>
  <c r="M168" i="32"/>
  <c r="M241" i="7"/>
  <c r="M164" i="32"/>
  <c r="M237" i="7"/>
  <c r="I438" i="1"/>
  <c r="I60" i="2"/>
  <c r="I65" i="6" s="1"/>
  <c r="K359" i="1"/>
  <c r="K64" i="5"/>
  <c r="L262" i="7"/>
  <c r="H236" i="32"/>
  <c r="H237" i="32"/>
  <c r="H139" i="32"/>
  <c r="H140" i="32" s="1"/>
  <c r="I437" i="1"/>
  <c r="I59" i="2"/>
  <c r="I64" i="6" s="1"/>
  <c r="G67" i="6"/>
  <c r="M235" i="7"/>
  <c r="M162" i="32"/>
  <c r="L183" i="7"/>
  <c r="L195" i="7" s="1"/>
  <c r="L148" i="32"/>
  <c r="M159" i="32"/>
  <c r="M232" i="7"/>
  <c r="L244" i="32"/>
  <c r="L241" i="32" s="1"/>
  <c r="L255" i="32"/>
  <c r="K12" i="5"/>
  <c r="K59" i="5"/>
  <c r="J138" i="32"/>
  <c r="J294" i="7"/>
  <c r="J303" i="7"/>
  <c r="L185" i="7"/>
  <c r="L197" i="7" s="1"/>
  <c r="L150" i="32"/>
  <c r="M160" i="32"/>
  <c r="M233" i="7"/>
  <c r="L187" i="7"/>
  <c r="L199" i="7" s="1"/>
  <c r="L152" i="32"/>
  <c r="L181" i="7"/>
  <c r="L193" i="7" s="1"/>
  <c r="L146" i="32"/>
  <c r="L188" i="7"/>
  <c r="L200" i="7" s="1"/>
  <c r="L153" i="32"/>
  <c r="L186" i="7"/>
  <c r="L198" i="7" s="1"/>
  <c r="L151" i="32"/>
  <c r="M163" i="32"/>
  <c r="M236" i="7"/>
  <c r="L184" i="7"/>
  <c r="L196" i="7" s="1"/>
  <c r="L149" i="32"/>
  <c r="J304" i="7"/>
  <c r="J65" i="5"/>
  <c r="K264" i="7"/>
  <c r="J360" i="1"/>
  <c r="H440" i="1"/>
  <c r="H72" i="2"/>
  <c r="J266" i="7"/>
  <c r="J306" i="7" s="1"/>
  <c r="I66" i="5"/>
  <c r="I69" i="5" s="1"/>
  <c r="I361" i="1"/>
  <c r="L56" i="5"/>
  <c r="L182" i="7"/>
  <c r="L194" i="7" s="1"/>
  <c r="L147" i="32"/>
  <c r="M166" i="32"/>
  <c r="M239" i="7"/>
  <c r="L103" i="5"/>
  <c r="L721" i="7" s="1"/>
  <c r="J389" i="25"/>
  <c r="J117" i="2"/>
  <c r="J105" i="2"/>
  <c r="J110" i="6" s="1"/>
  <c r="J387" i="25"/>
  <c r="K712" i="7"/>
  <c r="K139" i="33"/>
  <c r="K721" i="7"/>
  <c r="M168" i="7"/>
  <c r="M146" i="7"/>
  <c r="N135" i="7"/>
  <c r="M157" i="7"/>
  <c r="N137" i="7"/>
  <c r="M148" i="7"/>
  <c r="M159" i="7"/>
  <c r="M170" i="7"/>
  <c r="L308" i="25"/>
  <c r="L108" i="5"/>
  <c r="M680" i="7"/>
  <c r="L179" i="7"/>
  <c r="L1117" i="7"/>
  <c r="L177" i="7"/>
  <c r="N162" i="33"/>
  <c r="N630" i="7"/>
  <c r="N660" i="7"/>
  <c r="N100" i="5" s="1"/>
  <c r="O621" i="7"/>
  <c r="N622" i="7"/>
  <c r="N672" i="7" s="1"/>
  <c r="L180" i="7"/>
  <c r="L192" i="7" s="1"/>
  <c r="L106" i="5"/>
  <c r="I117" i="2"/>
  <c r="I389" i="25"/>
  <c r="F701" i="7"/>
  <c r="F189" i="33"/>
  <c r="F193" i="33" s="1"/>
  <c r="O634" i="7"/>
  <c r="O639" i="7" s="1"/>
  <c r="O146" i="33"/>
  <c r="M161" i="7"/>
  <c r="M150" i="7"/>
  <c r="N139" i="7"/>
  <c r="M172" i="7"/>
  <c r="M172" i="10"/>
  <c r="M101" i="5"/>
  <c r="M15" i="5" s="1"/>
  <c r="M223" i="25"/>
  <c r="M183" i="33"/>
  <c r="M241" i="33"/>
  <c r="M230" i="33"/>
  <c r="M227" i="33" s="1"/>
  <c r="N142" i="7"/>
  <c r="M164" i="7"/>
  <c r="M175" i="7"/>
  <c r="M153" i="7"/>
  <c r="L640" i="7"/>
  <c r="L641" i="7" s="1"/>
  <c r="L636" i="7"/>
  <c r="I222" i="33"/>
  <c r="I140" i="33"/>
  <c r="I141" i="33" s="1"/>
  <c r="I223" i="33"/>
  <c r="I118" i="5"/>
  <c r="I122" i="5" s="1"/>
  <c r="P658" i="7"/>
  <c r="P628" i="7"/>
  <c r="P160" i="33"/>
  <c r="Q619" i="7"/>
  <c r="K105" i="2"/>
  <c r="K387" i="25"/>
  <c r="M171" i="7"/>
  <c r="M149" i="7"/>
  <c r="N138" i="7"/>
  <c r="M160" i="7"/>
  <c r="M156" i="7"/>
  <c r="M145" i="7"/>
  <c r="M167" i="7"/>
  <c r="M144" i="32" s="1"/>
  <c r="N134" i="7"/>
  <c r="M13" i="5"/>
  <c r="H120" i="2"/>
  <c r="H112" i="6"/>
  <c r="H114" i="6" s="1"/>
  <c r="M173" i="7"/>
  <c r="M162" i="7"/>
  <c r="N140" i="7"/>
  <c r="M151" i="7"/>
  <c r="K191" i="7"/>
  <c r="K201" i="7" s="1"/>
  <c r="K189" i="7"/>
  <c r="M158" i="7"/>
  <c r="N136" i="7"/>
  <c r="M147" i="7"/>
  <c r="M169" i="7"/>
  <c r="M176" i="7"/>
  <c r="M154" i="7"/>
  <c r="M165" i="7"/>
  <c r="N143" i="7"/>
  <c r="J110" i="5"/>
  <c r="J113" i="5" s="1"/>
  <c r="J310" i="25"/>
  <c r="K684" i="7"/>
  <c r="O633" i="7"/>
  <c r="O638" i="7" s="1"/>
  <c r="O145" i="33"/>
  <c r="N141" i="7"/>
  <c r="M152" i="7"/>
  <c r="M174" i="7"/>
  <c r="M163" i="7"/>
  <c r="P629" i="7"/>
  <c r="P659" i="7"/>
  <c r="P161" i="33"/>
  <c r="Q620" i="7"/>
  <c r="M635" i="7"/>
  <c r="M147" i="33"/>
  <c r="M1125" i="7"/>
  <c r="M631" i="7"/>
  <c r="L682" i="7"/>
  <c r="K309" i="25"/>
  <c r="K109" i="5"/>
  <c r="J104" i="2"/>
  <c r="J109" i="6" s="1"/>
  <c r="J386" i="25"/>
  <c r="L1118" i="7"/>
  <c r="L139" i="33" l="1"/>
  <c r="M103" i="5"/>
  <c r="M721" i="7" s="1"/>
  <c r="K110" i="6"/>
  <c r="L712" i="7"/>
  <c r="M185" i="7"/>
  <c r="M197" i="7" s="1"/>
  <c r="M150" i="32"/>
  <c r="M183" i="7"/>
  <c r="M195" i="7" s="1"/>
  <c r="M148" i="32"/>
  <c r="N240" i="7"/>
  <c r="N167" i="32"/>
  <c r="N164" i="32"/>
  <c r="N237" i="7"/>
  <c r="N162" i="32"/>
  <c r="N235" i="7"/>
  <c r="M180" i="7"/>
  <c r="M192" i="7" s="1"/>
  <c r="M145" i="32"/>
  <c r="I139" i="32"/>
  <c r="I140" i="32" s="1"/>
  <c r="I237" i="32"/>
  <c r="I236" i="32"/>
  <c r="J437" i="1"/>
  <c r="J59" i="2"/>
  <c r="J64" i="6" s="1"/>
  <c r="M255" i="32"/>
  <c r="M244" i="32"/>
  <c r="M241" i="32" s="1"/>
  <c r="N168" i="32"/>
  <c r="N241" i="7"/>
  <c r="M181" i="7"/>
  <c r="M193" i="7" s="1"/>
  <c r="M146" i="32"/>
  <c r="M184" i="7"/>
  <c r="M196" i="7" s="1"/>
  <c r="M149" i="32"/>
  <c r="J72" i="2"/>
  <c r="J440" i="1"/>
  <c r="J438" i="1"/>
  <c r="J60" i="2"/>
  <c r="J65" i="6" s="1"/>
  <c r="K303" i="7"/>
  <c r="K294" i="7"/>
  <c r="K138" i="32"/>
  <c r="I67" i="6"/>
  <c r="M56" i="5"/>
  <c r="M188" i="7"/>
  <c r="M200" i="7" s="1"/>
  <c r="M153" i="32"/>
  <c r="N165" i="32"/>
  <c r="N238" i="7"/>
  <c r="N163" i="32"/>
  <c r="N236" i="7"/>
  <c r="M187" i="7"/>
  <c r="M199" i="7" s="1"/>
  <c r="M152" i="32"/>
  <c r="N233" i="7"/>
  <c r="N160" i="32"/>
  <c r="H67" i="6"/>
  <c r="L64" i="5"/>
  <c r="M262" i="7"/>
  <c r="L359" i="1"/>
  <c r="M186" i="7"/>
  <c r="M198" i="7" s="1"/>
  <c r="M151" i="32"/>
  <c r="N239" i="7"/>
  <c r="N166" i="32"/>
  <c r="N161" i="32"/>
  <c r="N234" i="7"/>
  <c r="N232" i="7"/>
  <c r="N159" i="32"/>
  <c r="M182" i="7"/>
  <c r="M194" i="7" s="1"/>
  <c r="M147" i="32"/>
  <c r="L12" i="5"/>
  <c r="L59" i="5"/>
  <c r="J66" i="5"/>
  <c r="J69" i="5" s="1"/>
  <c r="J361" i="1"/>
  <c r="K266" i="7"/>
  <c r="K360" i="1"/>
  <c r="K65" i="5"/>
  <c r="L264" i="7"/>
  <c r="L62" i="5"/>
  <c r="L20" i="5" s="1"/>
  <c r="K304" i="7"/>
  <c r="M640" i="7"/>
  <c r="M641" i="7" s="1"/>
  <c r="M636" i="7"/>
  <c r="P146" i="33"/>
  <c r="P634" i="7"/>
  <c r="P639" i="7" s="1"/>
  <c r="N163" i="7"/>
  <c r="O141" i="7"/>
  <c r="N174" i="7"/>
  <c r="N152" i="7"/>
  <c r="J222" i="33"/>
  <c r="J140" i="33"/>
  <c r="J141" i="33" s="1"/>
  <c r="J118" i="5"/>
  <c r="J122" i="5" s="1"/>
  <c r="J223" i="33"/>
  <c r="N162" i="7"/>
  <c r="O140" i="7"/>
  <c r="N173" i="7"/>
  <c r="N151" i="7"/>
  <c r="H125" i="2"/>
  <c r="H212" i="33"/>
  <c r="H729" i="7"/>
  <c r="N156" i="7"/>
  <c r="O134" i="7"/>
  <c r="N167" i="7"/>
  <c r="N144" i="32" s="1"/>
  <c r="N145" i="7"/>
  <c r="N101" i="5"/>
  <c r="N15" i="5" s="1"/>
  <c r="N183" i="33"/>
  <c r="N172" i="10"/>
  <c r="N223" i="25"/>
  <c r="N230" i="33"/>
  <c r="N227" i="33" s="1"/>
  <c r="N241" i="33"/>
  <c r="L191" i="7"/>
  <c r="L201" i="7" s="1"/>
  <c r="L189" i="7"/>
  <c r="M108" i="5"/>
  <c r="N680" i="7"/>
  <c r="M308" i="25"/>
  <c r="N159" i="7"/>
  <c r="O137" i="7"/>
  <c r="N170" i="7"/>
  <c r="N148" i="7"/>
  <c r="L109" i="5"/>
  <c r="L309" i="25"/>
  <c r="M682" i="7"/>
  <c r="N169" i="7"/>
  <c r="N147" i="7"/>
  <c r="O136" i="7"/>
  <c r="N158" i="7"/>
  <c r="Q160" i="33"/>
  <c r="Q658" i="7"/>
  <c r="Q628" i="7"/>
  <c r="R619" i="7"/>
  <c r="N147" i="33"/>
  <c r="N635" i="7"/>
  <c r="N631" i="7"/>
  <c r="N1125" i="7"/>
  <c r="J112" i="6"/>
  <c r="J114" i="6" s="1"/>
  <c r="J120" i="2"/>
  <c r="M1118" i="7"/>
  <c r="L722" i="7"/>
  <c r="K110" i="5"/>
  <c r="K113" i="5" s="1"/>
  <c r="K310" i="25"/>
  <c r="L684" i="7"/>
  <c r="L724" i="7" s="1"/>
  <c r="K724" i="7"/>
  <c r="P145" i="33"/>
  <c r="P633" i="7"/>
  <c r="N164" i="7"/>
  <c r="N175" i="7"/>
  <c r="O142" i="7"/>
  <c r="N153" i="7"/>
  <c r="N172" i="7"/>
  <c r="N161" i="7"/>
  <c r="O139" i="7"/>
  <c r="N150" i="7"/>
  <c r="N13" i="5"/>
  <c r="L104" i="2"/>
  <c r="L386" i="25"/>
  <c r="N157" i="7"/>
  <c r="O135" i="7"/>
  <c r="N168" i="7"/>
  <c r="N145" i="32" s="1"/>
  <c r="N146" i="7"/>
  <c r="M106" i="5"/>
  <c r="Q161" i="33"/>
  <c r="Q659" i="7"/>
  <c r="Q629" i="7"/>
  <c r="R620" i="7"/>
  <c r="N165" i="7"/>
  <c r="O143" i="7"/>
  <c r="N176" i="7"/>
  <c r="N154" i="7"/>
  <c r="M179" i="7"/>
  <c r="M177" i="7"/>
  <c r="M1117" i="7"/>
  <c r="N171" i="7"/>
  <c r="O138" i="7"/>
  <c r="N149" i="7"/>
  <c r="N160" i="7"/>
  <c r="F703" i="7"/>
  <c r="F706" i="7"/>
  <c r="I112" i="6"/>
  <c r="I114" i="6" s="1"/>
  <c r="I120" i="2"/>
  <c r="O162" i="33"/>
  <c r="O630" i="7"/>
  <c r="O660" i="7"/>
  <c r="O100" i="5" s="1"/>
  <c r="P621" i="7"/>
  <c r="O622" i="7"/>
  <c r="O672" i="7" s="1"/>
  <c r="K386" i="25"/>
  <c r="K104" i="2"/>
  <c r="K109" i="6" s="1"/>
  <c r="M712" i="7" l="1"/>
  <c r="N103" i="5"/>
  <c r="N139" i="33" s="1"/>
  <c r="M139" i="33"/>
  <c r="M62" i="5"/>
  <c r="M20" i="5" s="1"/>
  <c r="N56" i="5"/>
  <c r="N12" i="5" s="1"/>
  <c r="O241" i="7"/>
  <c r="O168" i="32"/>
  <c r="N185" i="7"/>
  <c r="N197" i="7" s="1"/>
  <c r="N150" i="32"/>
  <c r="N186" i="7"/>
  <c r="N198" i="7" s="1"/>
  <c r="N151" i="32"/>
  <c r="L304" i="7"/>
  <c r="L360" i="1"/>
  <c r="L65" i="5"/>
  <c r="M264" i="7"/>
  <c r="M359" i="1"/>
  <c r="M64" i="5"/>
  <c r="N262" i="7"/>
  <c r="N183" i="7"/>
  <c r="N195" i="7" s="1"/>
  <c r="N148" i="32"/>
  <c r="N188" i="7"/>
  <c r="N200" i="7" s="1"/>
  <c r="N153" i="32"/>
  <c r="N184" i="7"/>
  <c r="N196" i="7" s="1"/>
  <c r="N149" i="32"/>
  <c r="O161" i="32"/>
  <c r="O234" i="7"/>
  <c r="O162" i="32"/>
  <c r="O235" i="7"/>
  <c r="K438" i="1"/>
  <c r="K60" i="2"/>
  <c r="K65" i="6" s="1"/>
  <c r="L266" i="7"/>
  <c r="L306" i="7" s="1"/>
  <c r="K66" i="5"/>
  <c r="K69" i="5" s="1"/>
  <c r="K361" i="1"/>
  <c r="K306" i="7"/>
  <c r="O236" i="7"/>
  <c r="O163" i="32"/>
  <c r="O160" i="32"/>
  <c r="O233" i="7"/>
  <c r="N187" i="7"/>
  <c r="N199" i="7" s="1"/>
  <c r="N152" i="32"/>
  <c r="N182" i="7"/>
  <c r="N194" i="7" s="1"/>
  <c r="N147" i="32"/>
  <c r="O159" i="32"/>
  <c r="O232" i="7"/>
  <c r="L138" i="32"/>
  <c r="L303" i="7"/>
  <c r="L294" i="7"/>
  <c r="N244" i="32"/>
  <c r="N241" i="32" s="1"/>
  <c r="N255" i="32"/>
  <c r="M59" i="5"/>
  <c r="M12" i="5"/>
  <c r="K437" i="1"/>
  <c r="K59" i="2"/>
  <c r="K64" i="6" s="1"/>
  <c r="J67" i="6"/>
  <c r="O164" i="32"/>
  <c r="O237" i="7"/>
  <c r="O167" i="32"/>
  <c r="O240" i="7"/>
  <c r="N181" i="7"/>
  <c r="N193" i="7" s="1"/>
  <c r="N146" i="32"/>
  <c r="O165" i="32"/>
  <c r="O238" i="7"/>
  <c r="O239" i="7"/>
  <c r="O166" i="32"/>
  <c r="J237" i="32"/>
  <c r="J139" i="32"/>
  <c r="J140" i="32" s="1"/>
  <c r="J236" i="32"/>
  <c r="K223" i="33"/>
  <c r="K140" i="33"/>
  <c r="K141" i="33" s="1"/>
  <c r="K118" i="5"/>
  <c r="K122" i="5" s="1"/>
  <c r="K222" i="33"/>
  <c r="I729" i="7"/>
  <c r="I125" i="2"/>
  <c r="I212" i="33"/>
  <c r="O147" i="33"/>
  <c r="O635" i="7"/>
  <c r="O1125" i="7"/>
  <c r="O631" i="7"/>
  <c r="M386" i="25"/>
  <c r="M104" i="2"/>
  <c r="M109" i="6" s="1"/>
  <c r="O165" i="7"/>
  <c r="O176" i="7"/>
  <c r="O154" i="7"/>
  <c r="P143" i="7"/>
  <c r="L117" i="2"/>
  <c r="L389" i="25"/>
  <c r="L105" i="2"/>
  <c r="L110" i="6" s="1"/>
  <c r="L387" i="25"/>
  <c r="N640" i="7"/>
  <c r="N641" i="7" s="1"/>
  <c r="N636" i="7"/>
  <c r="P134" i="7"/>
  <c r="O145" i="7"/>
  <c r="O156" i="7"/>
  <c r="O167" i="7"/>
  <c r="O144" i="32" s="1"/>
  <c r="M191" i="7"/>
  <c r="M201" i="7" s="1"/>
  <c r="M189" i="7"/>
  <c r="Q634" i="7"/>
  <c r="Q639" i="7" s="1"/>
  <c r="Q146" i="33"/>
  <c r="K117" i="2"/>
  <c r="K389" i="25"/>
  <c r="Q633" i="7"/>
  <c r="Q638" i="7" s="1"/>
  <c r="Q145" i="33"/>
  <c r="N179" i="7"/>
  <c r="N191" i="7" s="1"/>
  <c r="N177" i="7"/>
  <c r="N1117" i="7"/>
  <c r="O162" i="7"/>
  <c r="O173" i="7"/>
  <c r="O151" i="7"/>
  <c r="P140" i="7"/>
  <c r="O174" i="7"/>
  <c r="O152" i="7"/>
  <c r="O163" i="7"/>
  <c r="P141" i="7"/>
  <c r="P630" i="7"/>
  <c r="P660" i="7"/>
  <c r="P100" i="5" s="1"/>
  <c r="P162" i="33"/>
  <c r="Q621" i="7"/>
  <c r="P622" i="7"/>
  <c r="P672" i="7" s="1"/>
  <c r="O160" i="7"/>
  <c r="O171" i="7"/>
  <c r="P138" i="7"/>
  <c r="O149" i="7"/>
  <c r="R161" i="33"/>
  <c r="R629" i="7"/>
  <c r="R659" i="7"/>
  <c r="S620" i="7"/>
  <c r="O157" i="7"/>
  <c r="O168" i="7"/>
  <c r="O146" i="7"/>
  <c r="P135" i="7"/>
  <c r="P139" i="7"/>
  <c r="O161" i="7"/>
  <c r="O172" i="7"/>
  <c r="O149" i="32" s="1"/>
  <c r="O150" i="7"/>
  <c r="P142" i="7"/>
  <c r="O164" i="7"/>
  <c r="O175" i="7"/>
  <c r="O153" i="7"/>
  <c r="R628" i="7"/>
  <c r="R160" i="33"/>
  <c r="R658" i="7"/>
  <c r="S619" i="7"/>
  <c r="L109" i="6"/>
  <c r="O13" i="5"/>
  <c r="O101" i="5"/>
  <c r="O15" i="5" s="1"/>
  <c r="O183" i="33"/>
  <c r="O172" i="10"/>
  <c r="O223" i="25"/>
  <c r="O241" i="33"/>
  <c r="O230" i="33"/>
  <c r="O227" i="33" s="1"/>
  <c r="F707" i="7"/>
  <c r="F131" i="6" s="1"/>
  <c r="F920" i="7" s="1"/>
  <c r="F921" i="7" s="1"/>
  <c r="F206" i="33"/>
  <c r="N180" i="7"/>
  <c r="N192" i="7" s="1"/>
  <c r="L310" i="25"/>
  <c r="L110" i="5"/>
  <c r="L113" i="5" s="1"/>
  <c r="M684" i="7"/>
  <c r="J212" i="33"/>
  <c r="J729" i="7"/>
  <c r="J125" i="2"/>
  <c r="N106" i="5"/>
  <c r="O158" i="7"/>
  <c r="O169" i="7"/>
  <c r="O147" i="7"/>
  <c r="P136" i="7"/>
  <c r="M722" i="7"/>
  <c r="M109" i="5"/>
  <c r="M309" i="25"/>
  <c r="N682" i="7"/>
  <c r="P137" i="7"/>
  <c r="O170" i="7"/>
  <c r="O148" i="7"/>
  <c r="O159" i="7"/>
  <c r="N108" i="5"/>
  <c r="N308" i="25"/>
  <c r="O680" i="7"/>
  <c r="P638" i="7"/>
  <c r="N1118" i="7"/>
  <c r="N59" i="5" l="1"/>
  <c r="N294" i="7" s="1"/>
  <c r="N721" i="7"/>
  <c r="N386" i="25" s="1"/>
  <c r="N712" i="7"/>
  <c r="P162" i="32"/>
  <c r="P235" i="7"/>
  <c r="O187" i="7"/>
  <c r="O199" i="7" s="1"/>
  <c r="O152" i="32"/>
  <c r="P163" i="32"/>
  <c r="P236" i="7"/>
  <c r="P166" i="32"/>
  <c r="P239" i="7"/>
  <c r="P165" i="32"/>
  <c r="P238" i="7"/>
  <c r="P241" i="7"/>
  <c r="P168" i="32"/>
  <c r="M294" i="7"/>
  <c r="M138" i="32"/>
  <c r="M303" i="7"/>
  <c r="L59" i="2"/>
  <c r="L64" i="6" s="1"/>
  <c r="L437" i="1"/>
  <c r="N64" i="5"/>
  <c r="O262" i="7"/>
  <c r="N359" i="1"/>
  <c r="N62" i="5"/>
  <c r="N20" i="5" s="1"/>
  <c r="O56" i="5"/>
  <c r="O181" i="7"/>
  <c r="O193" i="7" s="1"/>
  <c r="O146" i="32"/>
  <c r="P233" i="7"/>
  <c r="P160" i="32"/>
  <c r="O186" i="7"/>
  <c r="O198" i="7" s="1"/>
  <c r="O151" i="32"/>
  <c r="M266" i="7"/>
  <c r="L66" i="5"/>
  <c r="L69" i="5" s="1"/>
  <c r="L361" i="1"/>
  <c r="M304" i="7"/>
  <c r="M360" i="1"/>
  <c r="M65" i="5"/>
  <c r="N264" i="7"/>
  <c r="P167" i="32"/>
  <c r="P240" i="7"/>
  <c r="P164" i="32"/>
  <c r="P237" i="7"/>
  <c r="O185" i="7"/>
  <c r="O197" i="7" s="1"/>
  <c r="O150" i="32"/>
  <c r="O188" i="7"/>
  <c r="O200" i="7" s="1"/>
  <c r="O153" i="32"/>
  <c r="L72" i="2"/>
  <c r="L440" i="1"/>
  <c r="K440" i="1"/>
  <c r="K72" i="2"/>
  <c r="K139" i="32"/>
  <c r="K140" i="32" s="1"/>
  <c r="K236" i="32"/>
  <c r="K237" i="32"/>
  <c r="L60" i="2"/>
  <c r="L65" i="6" s="1"/>
  <c r="L438" i="1"/>
  <c r="O182" i="7"/>
  <c r="O194" i="7" s="1"/>
  <c r="O147" i="32"/>
  <c r="P234" i="7"/>
  <c r="P161" i="32"/>
  <c r="O180" i="7"/>
  <c r="O192" i="7" s="1"/>
  <c r="O145" i="32"/>
  <c r="O183" i="7"/>
  <c r="O195" i="7" s="1"/>
  <c r="O148" i="32"/>
  <c r="P159" i="32"/>
  <c r="P232" i="7"/>
  <c r="O244" i="32"/>
  <c r="O241" i="32" s="1"/>
  <c r="O255" i="32"/>
  <c r="N201" i="7"/>
  <c r="M387" i="25"/>
  <c r="M105" i="2"/>
  <c r="M110" i="6" s="1"/>
  <c r="L140" i="33"/>
  <c r="L141" i="33" s="1"/>
  <c r="L223" i="33"/>
  <c r="L118" i="5"/>
  <c r="L122" i="5" s="1"/>
  <c r="L222" i="33"/>
  <c r="S658" i="7"/>
  <c r="S628" i="7"/>
  <c r="S160" i="33"/>
  <c r="T619" i="7"/>
  <c r="R146" i="33"/>
  <c r="R634" i="7"/>
  <c r="R639" i="7" s="1"/>
  <c r="Q162" i="33"/>
  <c r="Q660" i="7"/>
  <c r="Q100" i="5" s="1"/>
  <c r="Q630" i="7"/>
  <c r="R621" i="7"/>
  <c r="Q622" i="7"/>
  <c r="Q672" i="7" s="1"/>
  <c r="P156" i="7"/>
  <c r="P167" i="7"/>
  <c r="P144" i="32" s="1"/>
  <c r="P145" i="7"/>
  <c r="Q134" i="7"/>
  <c r="O103" i="5"/>
  <c r="M724" i="7"/>
  <c r="M310" i="25"/>
  <c r="N684" i="7"/>
  <c r="M110" i="5"/>
  <c r="M113" i="5" s="1"/>
  <c r="O184" i="7"/>
  <c r="O196" i="7" s="1"/>
  <c r="P160" i="7"/>
  <c r="P171" i="7"/>
  <c r="Q138" i="7"/>
  <c r="P149" i="7"/>
  <c r="P183" i="33"/>
  <c r="P172" i="10"/>
  <c r="P101" i="5"/>
  <c r="P15" i="5" s="1"/>
  <c r="P223" i="25"/>
  <c r="P147" i="33"/>
  <c r="P635" i="7"/>
  <c r="P631" i="7"/>
  <c r="P1125" i="7"/>
  <c r="K112" i="6"/>
  <c r="K114" i="6" s="1"/>
  <c r="K120" i="2"/>
  <c r="P165" i="7"/>
  <c r="P176" i="7"/>
  <c r="P154" i="7"/>
  <c r="Q143" i="7"/>
  <c r="O640" i="7"/>
  <c r="O641" i="7" s="1"/>
  <c r="O636" i="7"/>
  <c r="P157" i="7"/>
  <c r="P168" i="7"/>
  <c r="Q135" i="7"/>
  <c r="P146" i="7"/>
  <c r="S161" i="33"/>
  <c r="S629" i="7"/>
  <c r="S659" i="7"/>
  <c r="T620" i="7"/>
  <c r="P13" i="5"/>
  <c r="P163" i="7"/>
  <c r="Q141" i="7"/>
  <c r="P152" i="7"/>
  <c r="P174" i="7"/>
  <c r="L112" i="6"/>
  <c r="L114" i="6" s="1"/>
  <c r="L120" i="2"/>
  <c r="O106" i="5"/>
  <c r="O1118" i="7"/>
  <c r="P159" i="7"/>
  <c r="Q137" i="7"/>
  <c r="P170" i="7"/>
  <c r="P148" i="7"/>
  <c r="O308" i="25"/>
  <c r="O108" i="5"/>
  <c r="P680" i="7"/>
  <c r="N722" i="7"/>
  <c r="N309" i="25"/>
  <c r="O682" i="7"/>
  <c r="N109" i="5"/>
  <c r="Q136" i="7"/>
  <c r="P147" i="7"/>
  <c r="P169" i="7"/>
  <c r="P158" i="7"/>
  <c r="F133" i="6"/>
  <c r="F135" i="6" s="1"/>
  <c r="F198" i="33"/>
  <c r="R145" i="33"/>
  <c r="R633" i="7"/>
  <c r="R638" i="7" s="1"/>
  <c r="Q142" i="7"/>
  <c r="P164" i="7"/>
  <c r="P175" i="7"/>
  <c r="P153" i="7"/>
  <c r="P161" i="7"/>
  <c r="P172" i="7"/>
  <c r="P150" i="7"/>
  <c r="Q139" i="7"/>
  <c r="P230" i="33"/>
  <c r="P227" i="33" s="1"/>
  <c r="P241" i="33"/>
  <c r="Q140" i="7"/>
  <c r="P151" i="7"/>
  <c r="P173" i="7"/>
  <c r="P162" i="7"/>
  <c r="O179" i="7"/>
  <c r="O177" i="7"/>
  <c r="O1117" i="7"/>
  <c r="N189" i="7"/>
  <c r="N303" i="7" l="1"/>
  <c r="N59" i="2" s="1"/>
  <c r="N138" i="32"/>
  <c r="N104" i="2"/>
  <c r="N109" i="6" s="1"/>
  <c r="P103" i="5"/>
  <c r="P721" i="7" s="1"/>
  <c r="O62" i="5"/>
  <c r="O20" i="5" s="1"/>
  <c r="P56" i="5"/>
  <c r="P59" i="5" s="1"/>
  <c r="P184" i="7"/>
  <c r="P196" i="7" s="1"/>
  <c r="P149" i="32"/>
  <c r="P181" i="7"/>
  <c r="P193" i="7" s="1"/>
  <c r="P146" i="32"/>
  <c r="Q162" i="32"/>
  <c r="Q235" i="7"/>
  <c r="Q166" i="32"/>
  <c r="Q239" i="7"/>
  <c r="P188" i="7"/>
  <c r="P200" i="7" s="1"/>
  <c r="P153" i="32"/>
  <c r="P183" i="7"/>
  <c r="P195" i="7" s="1"/>
  <c r="P148" i="32"/>
  <c r="Q159" i="32"/>
  <c r="Q232" i="7"/>
  <c r="P255" i="32"/>
  <c r="P244" i="32"/>
  <c r="P241" i="32" s="1"/>
  <c r="L67" i="6"/>
  <c r="L237" i="32"/>
  <c r="L139" i="32"/>
  <c r="L140" i="32" s="1"/>
  <c r="L236" i="32"/>
  <c r="M59" i="2"/>
  <c r="M64" i="6" s="1"/>
  <c r="M437" i="1"/>
  <c r="Q165" i="32"/>
  <c r="Q238" i="7"/>
  <c r="P187" i="7"/>
  <c r="P199" i="7" s="1"/>
  <c r="P152" i="32"/>
  <c r="P182" i="7"/>
  <c r="P194" i="7" s="1"/>
  <c r="P147" i="32"/>
  <c r="Q236" i="7"/>
  <c r="Q163" i="32"/>
  <c r="O264" i="7"/>
  <c r="N360" i="1"/>
  <c r="N65" i="5"/>
  <c r="P262" i="7"/>
  <c r="O359" i="1"/>
  <c r="O64" i="5"/>
  <c r="Q161" i="32"/>
  <c r="Q234" i="7"/>
  <c r="P186" i="7"/>
  <c r="P198" i="7" s="1"/>
  <c r="P151" i="32"/>
  <c r="P180" i="7"/>
  <c r="P192" i="7" s="1"/>
  <c r="P145" i="32"/>
  <c r="Q168" i="32"/>
  <c r="Q241" i="7"/>
  <c r="M438" i="1"/>
  <c r="M60" i="2"/>
  <c r="M65" i="6" s="1"/>
  <c r="O59" i="5"/>
  <c r="O12" i="5"/>
  <c r="Q164" i="32"/>
  <c r="Q237" i="7"/>
  <c r="P185" i="7"/>
  <c r="P197" i="7" s="1"/>
  <c r="P150" i="32"/>
  <c r="Q240" i="7"/>
  <c r="Q167" i="32"/>
  <c r="Q160" i="32"/>
  <c r="Q233" i="7"/>
  <c r="K67" i="6"/>
  <c r="M66" i="5"/>
  <c r="M69" i="5" s="1"/>
  <c r="N266" i="7"/>
  <c r="N306" i="7" s="1"/>
  <c r="M361" i="1"/>
  <c r="M306" i="7"/>
  <c r="N304" i="7"/>
  <c r="Q164" i="7"/>
  <c r="Q175" i="7"/>
  <c r="R142" i="7"/>
  <c r="Q153" i="7"/>
  <c r="O722" i="7"/>
  <c r="O109" i="5"/>
  <c r="P682" i="7"/>
  <c r="P722" i="7" s="1"/>
  <c r="O309" i="25"/>
  <c r="Q157" i="7"/>
  <c r="Q168" i="7"/>
  <c r="Q145" i="32" s="1"/>
  <c r="R135" i="7"/>
  <c r="Q146" i="7"/>
  <c r="R138" i="7"/>
  <c r="Q149" i="7"/>
  <c r="Q160" i="7"/>
  <c r="Q171" i="7"/>
  <c r="M140" i="33"/>
  <c r="M141" i="33" s="1"/>
  <c r="M118" i="5"/>
  <c r="M122" i="5" s="1"/>
  <c r="M223" i="33"/>
  <c r="M222" i="33"/>
  <c r="P179" i="7"/>
  <c r="P177" i="7"/>
  <c r="P1117" i="7"/>
  <c r="R660" i="7"/>
  <c r="R100" i="5" s="1"/>
  <c r="R162" i="33"/>
  <c r="R630" i="7"/>
  <c r="S621" i="7"/>
  <c r="R622" i="7"/>
  <c r="R672" i="7" s="1"/>
  <c r="F130" i="2"/>
  <c r="F132" i="2" s="1"/>
  <c r="G919" i="7"/>
  <c r="L125" i="2"/>
  <c r="L729" i="7"/>
  <c r="L212" i="33"/>
  <c r="Q163" i="7"/>
  <c r="Q174" i="7"/>
  <c r="Q152" i="7"/>
  <c r="R141" i="7"/>
  <c r="T659" i="7"/>
  <c r="T161" i="33"/>
  <c r="T629" i="7"/>
  <c r="U620" i="7"/>
  <c r="R143" i="7"/>
  <c r="Q165" i="7"/>
  <c r="Q176" i="7"/>
  <c r="Q154" i="7"/>
  <c r="M389" i="25"/>
  <c r="M117" i="2"/>
  <c r="Q183" i="33"/>
  <c r="Q172" i="10"/>
  <c r="Q101" i="5"/>
  <c r="Q15" i="5" s="1"/>
  <c r="Q223" i="25"/>
  <c r="Q241" i="33"/>
  <c r="Q230" i="33"/>
  <c r="Q227" i="33" s="1"/>
  <c r="O191" i="7"/>
  <c r="O201" i="7" s="1"/>
  <c r="O189" i="7"/>
  <c r="Q162" i="7"/>
  <c r="R140" i="7"/>
  <c r="Q151" i="7"/>
  <c r="Q173" i="7"/>
  <c r="N387" i="25"/>
  <c r="N105" i="2"/>
  <c r="N110" i="6" s="1"/>
  <c r="R137" i="7"/>
  <c r="Q148" i="7"/>
  <c r="Q159" i="7"/>
  <c r="Q170" i="7"/>
  <c r="K729" i="7"/>
  <c r="K212" i="33"/>
  <c r="K125" i="2"/>
  <c r="P106" i="5"/>
  <c r="O721" i="7"/>
  <c r="O712" i="7"/>
  <c r="O139" i="33"/>
  <c r="Q156" i="7"/>
  <c r="Q167" i="7"/>
  <c r="Q144" i="32" s="1"/>
  <c r="R134" i="7"/>
  <c r="Q145" i="7"/>
  <c r="Q13" i="5"/>
  <c r="T628" i="7"/>
  <c r="T160" i="33"/>
  <c r="T658" i="7"/>
  <c r="U619" i="7"/>
  <c r="Q161" i="7"/>
  <c r="Q172" i="7"/>
  <c r="Q150" i="7"/>
  <c r="R139" i="7"/>
  <c r="F190" i="33"/>
  <c r="F736" i="7"/>
  <c r="F737" i="7" s="1"/>
  <c r="Q169" i="7"/>
  <c r="Q158" i="7"/>
  <c r="R136" i="7"/>
  <c r="Q147" i="7"/>
  <c r="P308" i="25"/>
  <c r="P108" i="5"/>
  <c r="Q680" i="7"/>
  <c r="S146" i="33"/>
  <c r="S634" i="7"/>
  <c r="S639" i="7" s="1"/>
  <c r="P640" i="7"/>
  <c r="P641" i="7" s="1"/>
  <c r="P636" i="7"/>
  <c r="N310" i="25"/>
  <c r="O684" i="7"/>
  <c r="N110" i="5"/>
  <c r="N113" i="5" s="1"/>
  <c r="N724" i="7"/>
  <c r="Q635" i="7"/>
  <c r="Q147" i="33"/>
  <c r="Q631" i="7"/>
  <c r="Q1125" i="7"/>
  <c r="S633" i="7"/>
  <c r="S638" i="7" s="1"/>
  <c r="S145" i="33"/>
  <c r="P1118" i="7"/>
  <c r="N437" i="1" l="1"/>
  <c r="P139" i="33"/>
  <c r="P712" i="7"/>
  <c r="P12" i="5"/>
  <c r="N64" i="6"/>
  <c r="N440" i="1"/>
  <c r="N72" i="2"/>
  <c r="R161" i="32"/>
  <c r="R234" i="7"/>
  <c r="R237" i="7"/>
  <c r="R164" i="32"/>
  <c r="Q182" i="7"/>
  <c r="Q194" i="7" s="1"/>
  <c r="Q147" i="32"/>
  <c r="R238" i="7"/>
  <c r="R165" i="32"/>
  <c r="R166" i="32"/>
  <c r="R239" i="7"/>
  <c r="R163" i="32"/>
  <c r="R236" i="7"/>
  <c r="P359" i="1"/>
  <c r="P64" i="5"/>
  <c r="Q262" i="7"/>
  <c r="P303" i="7"/>
  <c r="P138" i="32"/>
  <c r="P294" i="7"/>
  <c r="Q56" i="5"/>
  <c r="R162" i="32"/>
  <c r="R235" i="7"/>
  <c r="R168" i="32"/>
  <c r="R241" i="7"/>
  <c r="Q187" i="7"/>
  <c r="Q199" i="7" s="1"/>
  <c r="Q152" i="32"/>
  <c r="M72" i="2"/>
  <c r="M440" i="1"/>
  <c r="O294" i="7"/>
  <c r="O138" i="32"/>
  <c r="O303" i="7"/>
  <c r="O360" i="1"/>
  <c r="O65" i="5"/>
  <c r="P264" i="7"/>
  <c r="R232" i="7"/>
  <c r="R159" i="32"/>
  <c r="Q185" i="7"/>
  <c r="Q197" i="7" s="1"/>
  <c r="Q150" i="32"/>
  <c r="Q186" i="7"/>
  <c r="Q198" i="7" s="1"/>
  <c r="Q151" i="32"/>
  <c r="R160" i="32"/>
  <c r="R233" i="7"/>
  <c r="R240" i="7"/>
  <c r="R167" i="32"/>
  <c r="M139" i="32"/>
  <c r="M140" i="32" s="1"/>
  <c r="M236" i="32"/>
  <c r="M237" i="32"/>
  <c r="P62" i="5"/>
  <c r="P20" i="5" s="1"/>
  <c r="Q184" i="7"/>
  <c r="Q196" i="7" s="1"/>
  <c r="Q149" i="32"/>
  <c r="Q181" i="7"/>
  <c r="Q193" i="7" s="1"/>
  <c r="Q146" i="32"/>
  <c r="Q188" i="7"/>
  <c r="Q200" i="7" s="1"/>
  <c r="Q153" i="32"/>
  <c r="Q183" i="7"/>
  <c r="Q195" i="7" s="1"/>
  <c r="Q148" i="32"/>
  <c r="N60" i="2"/>
  <c r="N65" i="6" s="1"/>
  <c r="N438" i="1"/>
  <c r="O266" i="7"/>
  <c r="N361" i="1"/>
  <c r="N66" i="5"/>
  <c r="N69" i="5" s="1"/>
  <c r="Q244" i="32"/>
  <c r="Q241" i="32" s="1"/>
  <c r="Q255" i="32"/>
  <c r="O304" i="7"/>
  <c r="Q103" i="5"/>
  <c r="Q721" i="7" s="1"/>
  <c r="P104" i="2"/>
  <c r="P386" i="25"/>
  <c r="P387" i="25"/>
  <c r="P105" i="2"/>
  <c r="F740" i="7"/>
  <c r="F103" i="2"/>
  <c r="G735" i="7"/>
  <c r="G738" i="7" s="1"/>
  <c r="G739" i="7" s="1"/>
  <c r="G124" i="5" s="1"/>
  <c r="U658" i="7"/>
  <c r="U628" i="7"/>
  <c r="U160" i="33"/>
  <c r="V619" i="7"/>
  <c r="S143" i="7"/>
  <c r="R154" i="7"/>
  <c r="R176" i="7"/>
  <c r="R165" i="7"/>
  <c r="S630" i="7"/>
  <c r="S660" i="7"/>
  <c r="S100" i="5" s="1"/>
  <c r="S162" i="33"/>
  <c r="T621" i="7"/>
  <c r="S622" i="7"/>
  <c r="S672" i="7" s="1"/>
  <c r="O387" i="25"/>
  <c r="O105" i="2"/>
  <c r="O110" i="6" s="1"/>
  <c r="Q1118" i="7"/>
  <c r="N117" i="2"/>
  <c r="N389" i="25"/>
  <c r="Q179" i="7"/>
  <c r="Q177" i="7"/>
  <c r="Q1117" i="7"/>
  <c r="S137" i="7"/>
  <c r="R170" i="7"/>
  <c r="R147" i="32" s="1"/>
  <c r="R148" i="7"/>
  <c r="R159" i="7"/>
  <c r="M120" i="2"/>
  <c r="M112" i="6"/>
  <c r="M114" i="6" s="1"/>
  <c r="R183" i="33"/>
  <c r="R172" i="10"/>
  <c r="R223" i="25"/>
  <c r="R101" i="5"/>
  <c r="R15" i="5" s="1"/>
  <c r="R13" i="5"/>
  <c r="P191" i="7"/>
  <c r="P201" i="7" s="1"/>
  <c r="P189" i="7"/>
  <c r="R171" i="7"/>
  <c r="S138" i="7"/>
  <c r="R149" i="7"/>
  <c r="R160" i="7"/>
  <c r="Q106" i="5"/>
  <c r="Q640" i="7"/>
  <c r="Q641" i="7" s="1"/>
  <c r="Q636" i="7"/>
  <c r="O310" i="25"/>
  <c r="O110" i="5"/>
  <c r="O113" i="5" s="1"/>
  <c r="P684" i="7"/>
  <c r="S139" i="7"/>
  <c r="R172" i="7"/>
  <c r="R161" i="7"/>
  <c r="R150" i="7"/>
  <c r="R167" i="7"/>
  <c r="R144" i="32" s="1"/>
  <c r="R145" i="7"/>
  <c r="S134" i="7"/>
  <c r="R156" i="7"/>
  <c r="O104" i="2"/>
  <c r="O109" i="6" s="1"/>
  <c r="O386" i="25"/>
  <c r="T634" i="7"/>
  <c r="T639" i="7" s="1"/>
  <c r="T146" i="33"/>
  <c r="R230" i="33"/>
  <c r="R227" i="33" s="1"/>
  <c r="R241" i="33"/>
  <c r="Q180" i="7"/>
  <c r="Q192" i="7" s="1"/>
  <c r="P109" i="5"/>
  <c r="P309" i="25"/>
  <c r="Q682" i="7"/>
  <c r="R175" i="7"/>
  <c r="R153" i="7"/>
  <c r="S142" i="7"/>
  <c r="R164" i="7"/>
  <c r="N140" i="33"/>
  <c r="N141" i="33" s="1"/>
  <c r="N223" i="33"/>
  <c r="N222" i="33"/>
  <c r="N118" i="5"/>
  <c r="N122" i="5" s="1"/>
  <c r="Q308" i="25"/>
  <c r="Q108" i="5"/>
  <c r="R680" i="7"/>
  <c r="R169" i="7"/>
  <c r="R147" i="7"/>
  <c r="S136" i="7"/>
  <c r="R158" i="7"/>
  <c r="T633" i="7"/>
  <c r="T145" i="33"/>
  <c r="S140" i="7"/>
  <c r="R162" i="7"/>
  <c r="R173" i="7"/>
  <c r="R151" i="7"/>
  <c r="U659" i="7"/>
  <c r="U161" i="33"/>
  <c r="U629" i="7"/>
  <c r="V620" i="7"/>
  <c r="R163" i="7"/>
  <c r="S141" i="7"/>
  <c r="R174" i="7"/>
  <c r="R152" i="7"/>
  <c r="F714" i="7"/>
  <c r="F715" i="7" s="1"/>
  <c r="F207" i="33"/>
  <c r="F133" i="2"/>
  <c r="R147" i="33"/>
  <c r="R635" i="7"/>
  <c r="R631" i="7"/>
  <c r="R1125" i="7"/>
  <c r="S135" i="7"/>
  <c r="R168" i="7"/>
  <c r="R146" i="7"/>
  <c r="R157" i="7"/>
  <c r="O724" i="7"/>
  <c r="Q139" i="33" l="1"/>
  <c r="Q712" i="7"/>
  <c r="R180" i="7"/>
  <c r="R192" i="7" s="1"/>
  <c r="R145" i="32"/>
  <c r="S233" i="7"/>
  <c r="S160" i="32"/>
  <c r="R187" i="7"/>
  <c r="R199" i="7" s="1"/>
  <c r="R152" i="32"/>
  <c r="S159" i="32"/>
  <c r="S232" i="7"/>
  <c r="R184" i="7"/>
  <c r="R196" i="7" s="1"/>
  <c r="R149" i="32"/>
  <c r="S235" i="7"/>
  <c r="S162" i="32"/>
  <c r="Q59" i="5"/>
  <c r="Q12" i="5"/>
  <c r="R56" i="5"/>
  <c r="S165" i="32"/>
  <c r="S238" i="7"/>
  <c r="S234" i="7"/>
  <c r="S161" i="32"/>
  <c r="R183" i="7"/>
  <c r="R195" i="7" s="1"/>
  <c r="R148" i="32"/>
  <c r="R188" i="7"/>
  <c r="R200" i="7" s="1"/>
  <c r="R153" i="32"/>
  <c r="O60" i="2"/>
  <c r="O65" i="6" s="1"/>
  <c r="O438" i="1"/>
  <c r="O361" i="1"/>
  <c r="P266" i="7"/>
  <c r="P306" i="7" s="1"/>
  <c r="O66" i="5"/>
  <c r="O69" i="5" s="1"/>
  <c r="R255" i="32"/>
  <c r="R244" i="32"/>
  <c r="R241" i="32" s="1"/>
  <c r="R262" i="7"/>
  <c r="Q359" i="1"/>
  <c r="Q64" i="5"/>
  <c r="N67" i="6"/>
  <c r="S236" i="7"/>
  <c r="S163" i="32"/>
  <c r="P304" i="7"/>
  <c r="Q264" i="7"/>
  <c r="P360" i="1"/>
  <c r="P65" i="5"/>
  <c r="O437" i="1"/>
  <c r="O59" i="2"/>
  <c r="O64" i="6" s="1"/>
  <c r="O306" i="7"/>
  <c r="S166" i="32"/>
  <c r="S239" i="7"/>
  <c r="S167" i="32"/>
  <c r="S240" i="7"/>
  <c r="R186" i="7"/>
  <c r="R198" i="7" s="1"/>
  <c r="R151" i="32"/>
  <c r="R185" i="7"/>
  <c r="R197" i="7" s="1"/>
  <c r="R150" i="32"/>
  <c r="R181" i="7"/>
  <c r="R193" i="7" s="1"/>
  <c r="R146" i="32"/>
  <c r="S237" i="7"/>
  <c r="S164" i="32"/>
  <c r="S168" i="32"/>
  <c r="S241" i="7"/>
  <c r="N237" i="32"/>
  <c r="N139" i="32"/>
  <c r="N140" i="32" s="1"/>
  <c r="N236" i="32"/>
  <c r="M67" i="6"/>
  <c r="P437" i="1"/>
  <c r="P59" i="2"/>
  <c r="Q62" i="5"/>
  <c r="Q20" i="5" s="1"/>
  <c r="R106" i="5"/>
  <c r="V161" i="33"/>
  <c r="V629" i="7"/>
  <c r="V659" i="7"/>
  <c r="W620" i="7"/>
  <c r="S164" i="7"/>
  <c r="S175" i="7"/>
  <c r="T142" i="7"/>
  <c r="S153" i="7"/>
  <c r="Q722" i="7"/>
  <c r="Q109" i="5"/>
  <c r="Q309" i="25"/>
  <c r="R682" i="7"/>
  <c r="R722" i="7" s="1"/>
  <c r="R179" i="7"/>
  <c r="R177" i="7"/>
  <c r="R1117" i="7"/>
  <c r="Q386" i="25"/>
  <c r="Q104" i="2"/>
  <c r="Q109" i="6" s="1"/>
  <c r="P310" i="25"/>
  <c r="Q684" i="7"/>
  <c r="Q724" i="7" s="1"/>
  <c r="P110" i="5"/>
  <c r="P113" i="5" s="1"/>
  <c r="P724" i="7"/>
  <c r="N112" i="6"/>
  <c r="N114" i="6" s="1"/>
  <c r="N120" i="2"/>
  <c r="T630" i="7"/>
  <c r="T660" i="7"/>
  <c r="T100" i="5" s="1"/>
  <c r="T162" i="33"/>
  <c r="U621" i="7"/>
  <c r="T622" i="7"/>
  <c r="T672" i="7" s="1"/>
  <c r="G103" i="6"/>
  <c r="G130" i="6" s="1"/>
  <c r="G197" i="33" s="1"/>
  <c r="G125" i="5"/>
  <c r="G127" i="5" s="1"/>
  <c r="O389" i="25"/>
  <c r="O117" i="2"/>
  <c r="S168" i="7"/>
  <c r="S146" i="7"/>
  <c r="T135" i="7"/>
  <c r="S157" i="7"/>
  <c r="R640" i="7"/>
  <c r="R641" i="7" s="1"/>
  <c r="R636" i="7"/>
  <c r="F217" i="33"/>
  <c r="S162" i="7"/>
  <c r="S151" i="7"/>
  <c r="T140" i="7"/>
  <c r="S173" i="7"/>
  <c r="T638" i="7"/>
  <c r="S680" i="7"/>
  <c r="R108" i="5"/>
  <c r="R308" i="25"/>
  <c r="S160" i="7"/>
  <c r="T138" i="7"/>
  <c r="S171" i="7"/>
  <c r="S149" i="7"/>
  <c r="S101" i="5"/>
  <c r="S15" i="5" s="1"/>
  <c r="S183" i="33"/>
  <c r="S172" i="10"/>
  <c r="S223" i="25"/>
  <c r="S635" i="7"/>
  <c r="S147" i="33"/>
  <c r="S631" i="7"/>
  <c r="S1125" i="7"/>
  <c r="S154" i="7"/>
  <c r="S165" i="7"/>
  <c r="S176" i="7"/>
  <c r="T143" i="7"/>
  <c r="R103" i="5"/>
  <c r="P110" i="6"/>
  <c r="P109" i="6"/>
  <c r="T141" i="7"/>
  <c r="S174" i="7"/>
  <c r="S152" i="7"/>
  <c r="S163" i="7"/>
  <c r="S158" i="7"/>
  <c r="S169" i="7"/>
  <c r="T136" i="7"/>
  <c r="S147" i="7"/>
  <c r="T134" i="7"/>
  <c r="S156" i="7"/>
  <c r="S167" i="7"/>
  <c r="S144" i="32" s="1"/>
  <c r="S145" i="7"/>
  <c r="S172" i="7"/>
  <c r="S161" i="7"/>
  <c r="S150" i="7"/>
  <c r="T139" i="7"/>
  <c r="M212" i="33"/>
  <c r="M729" i="7"/>
  <c r="M125" i="2"/>
  <c r="T137" i="7"/>
  <c r="S159" i="7"/>
  <c r="S170" i="7"/>
  <c r="S148" i="7"/>
  <c r="Q191" i="7"/>
  <c r="Q201" i="7" s="1"/>
  <c r="Q189" i="7"/>
  <c r="S13" i="5"/>
  <c r="V628" i="7"/>
  <c r="V160" i="33"/>
  <c r="V658" i="7"/>
  <c r="W619" i="7"/>
  <c r="U146" i="33"/>
  <c r="U634" i="7"/>
  <c r="U639" i="7" s="1"/>
  <c r="O140" i="33"/>
  <c r="O141" i="33" s="1"/>
  <c r="O222" i="33"/>
  <c r="O118" i="5"/>
  <c r="O122" i="5" s="1"/>
  <c r="O223" i="33"/>
  <c r="R182" i="7"/>
  <c r="R194" i="7" s="1"/>
  <c r="S230" i="33"/>
  <c r="S227" i="33" s="1"/>
  <c r="S241" i="33"/>
  <c r="U145" i="33"/>
  <c r="U633" i="7"/>
  <c r="F727" i="7"/>
  <c r="G137" i="6"/>
  <c r="F107" i="2"/>
  <c r="F138" i="6"/>
  <c r="F134" i="2"/>
  <c r="R1118" i="7"/>
  <c r="P64" i="6" l="1"/>
  <c r="T161" i="32"/>
  <c r="T234" i="7"/>
  <c r="T163" i="32"/>
  <c r="T236" i="7"/>
  <c r="T165" i="32"/>
  <c r="T238" i="7"/>
  <c r="S187" i="7"/>
  <c r="S199" i="7" s="1"/>
  <c r="S152" i="32"/>
  <c r="O72" i="2"/>
  <c r="O440" i="1"/>
  <c r="Q266" i="7"/>
  <c r="Q306" i="7" s="1"/>
  <c r="P66" i="5"/>
  <c r="P69" i="5" s="1"/>
  <c r="P361" i="1"/>
  <c r="R12" i="5"/>
  <c r="R59" i="5"/>
  <c r="T235" i="7"/>
  <c r="T162" i="32"/>
  <c r="T164" i="32"/>
  <c r="T237" i="7"/>
  <c r="S188" i="7"/>
  <c r="S200" i="7" s="1"/>
  <c r="S153" i="32"/>
  <c r="S183" i="7"/>
  <c r="S195" i="7" s="1"/>
  <c r="S148" i="32"/>
  <c r="S185" i="7"/>
  <c r="S197" i="7" s="1"/>
  <c r="S150" i="32"/>
  <c r="T160" i="32"/>
  <c r="T233" i="7"/>
  <c r="T240" i="7"/>
  <c r="T167" i="32"/>
  <c r="P438" i="1"/>
  <c r="P60" i="2"/>
  <c r="P65" i="6" s="1"/>
  <c r="S262" i="7"/>
  <c r="R359" i="1"/>
  <c r="R64" i="5"/>
  <c r="O139" i="32"/>
  <c r="O140" i="32" s="1"/>
  <c r="O237" i="32"/>
  <c r="O236" i="32"/>
  <c r="R62" i="5"/>
  <c r="R20" i="5" s="1"/>
  <c r="S184" i="7"/>
  <c r="S196" i="7" s="1"/>
  <c r="S149" i="32"/>
  <c r="T159" i="32"/>
  <c r="T232" i="7"/>
  <c r="T166" i="32"/>
  <c r="T239" i="7"/>
  <c r="T168" i="32"/>
  <c r="T241" i="7"/>
  <c r="Q304" i="7"/>
  <c r="Q360" i="1"/>
  <c r="Q65" i="5"/>
  <c r="R264" i="7"/>
  <c r="Q294" i="7"/>
  <c r="Q303" i="7"/>
  <c r="Q138" i="32"/>
  <c r="S255" i="32"/>
  <c r="S244" i="32"/>
  <c r="S241" i="32" s="1"/>
  <c r="S182" i="7"/>
  <c r="S194" i="7" s="1"/>
  <c r="S147" i="32"/>
  <c r="S181" i="7"/>
  <c r="S193" i="7" s="1"/>
  <c r="S146" i="32"/>
  <c r="S186" i="7"/>
  <c r="S198" i="7" s="1"/>
  <c r="S151" i="32"/>
  <c r="S180" i="7"/>
  <c r="S192" i="7" s="1"/>
  <c r="S145" i="32"/>
  <c r="P72" i="2"/>
  <c r="P440" i="1"/>
  <c r="S56" i="5"/>
  <c r="S103" i="5"/>
  <c r="S712" i="7" s="1"/>
  <c r="W160" i="33"/>
  <c r="W658" i="7"/>
  <c r="W628" i="7"/>
  <c r="X619" i="7"/>
  <c r="R721" i="7"/>
  <c r="R712" i="7"/>
  <c r="R139" i="33"/>
  <c r="U135" i="7"/>
  <c r="T146" i="7"/>
  <c r="T157" i="7"/>
  <c r="T168" i="7"/>
  <c r="T241" i="33"/>
  <c r="T230" i="33"/>
  <c r="T227" i="33" s="1"/>
  <c r="Q110" i="5"/>
  <c r="Q113" i="5" s="1"/>
  <c r="Q310" i="25"/>
  <c r="R684" i="7"/>
  <c r="R191" i="7"/>
  <c r="R189" i="7"/>
  <c r="V634" i="7"/>
  <c r="V639" i="7" s="1"/>
  <c r="V146" i="33"/>
  <c r="S1118" i="7"/>
  <c r="F731" i="7"/>
  <c r="F391" i="25"/>
  <c r="Q117" i="2"/>
  <c r="Q389" i="25"/>
  <c r="S179" i="7"/>
  <c r="S1117" i="7"/>
  <c r="S177" i="7"/>
  <c r="U136" i="7"/>
  <c r="T147" i="7"/>
  <c r="T169" i="7"/>
  <c r="T158" i="7"/>
  <c r="T171" i="7"/>
  <c r="T149" i="7"/>
  <c r="U138" i="7"/>
  <c r="T160" i="7"/>
  <c r="R387" i="25"/>
  <c r="R105" i="2"/>
  <c r="O112" i="6"/>
  <c r="O114" i="6" s="1"/>
  <c r="O120" i="2"/>
  <c r="U162" i="33"/>
  <c r="U630" i="7"/>
  <c r="U660" i="7"/>
  <c r="U100" i="5" s="1"/>
  <c r="V621" i="7"/>
  <c r="U622" i="7"/>
  <c r="U672" i="7" s="1"/>
  <c r="N125" i="2"/>
  <c r="N212" i="33"/>
  <c r="N729" i="7"/>
  <c r="P140" i="33"/>
  <c r="P141" i="33" s="1"/>
  <c r="P118" i="5"/>
  <c r="P122" i="5" s="1"/>
  <c r="P222" i="33"/>
  <c r="P223" i="33"/>
  <c r="T175" i="7"/>
  <c r="T153" i="7"/>
  <c r="U142" i="7"/>
  <c r="T164" i="7"/>
  <c r="R201" i="7"/>
  <c r="U143" i="7"/>
  <c r="T154" i="7"/>
  <c r="T176" i="7"/>
  <c r="T165" i="7"/>
  <c r="S106" i="5"/>
  <c r="S640" i="7"/>
  <c r="S641" i="7" s="1"/>
  <c r="S636" i="7"/>
  <c r="S108" i="5"/>
  <c r="T680" i="7"/>
  <c r="S308" i="25"/>
  <c r="T173" i="7"/>
  <c r="T162" i="7"/>
  <c r="U140" i="7"/>
  <c r="T151" i="7"/>
  <c r="T172" i="10"/>
  <c r="T223" i="25"/>
  <c r="T101" i="5"/>
  <c r="T15" i="5" s="1"/>
  <c r="T183" i="33"/>
  <c r="T147" i="33"/>
  <c r="T635" i="7"/>
  <c r="T631" i="7"/>
  <c r="T1125" i="7"/>
  <c r="R309" i="25"/>
  <c r="R109" i="5"/>
  <c r="S682" i="7"/>
  <c r="W161" i="33"/>
  <c r="W659" i="7"/>
  <c r="W629" i="7"/>
  <c r="X620" i="7"/>
  <c r="F112" i="2"/>
  <c r="F728" i="7"/>
  <c r="F730" i="7" s="1"/>
  <c r="F211" i="33"/>
  <c r="F213" i="33" s="1"/>
  <c r="U638" i="7"/>
  <c r="V633" i="7"/>
  <c r="V145" i="33"/>
  <c r="T170" i="7"/>
  <c r="T148" i="7"/>
  <c r="U137" i="7"/>
  <c r="T159" i="7"/>
  <c r="T161" i="7"/>
  <c r="T150" i="7"/>
  <c r="U139" i="7"/>
  <c r="T172" i="7"/>
  <c r="T167" i="7"/>
  <c r="T144" i="32" s="1"/>
  <c r="U134" i="7"/>
  <c r="T145" i="7"/>
  <c r="T156" i="7"/>
  <c r="T163" i="7"/>
  <c r="U141" i="7"/>
  <c r="T152" i="7"/>
  <c r="T174" i="7"/>
  <c r="G102" i="6"/>
  <c r="G115" i="6" s="1"/>
  <c r="G711" i="7"/>
  <c r="G713" i="7" s="1"/>
  <c r="T13" i="5"/>
  <c r="P117" i="2"/>
  <c r="P389" i="25"/>
  <c r="Q105" i="2"/>
  <c r="Q110" i="6" s="1"/>
  <c r="Q387" i="25"/>
  <c r="S721" i="7" l="1"/>
  <c r="S386" i="25" s="1"/>
  <c r="S139" i="33"/>
  <c r="Q72" i="2"/>
  <c r="Q440" i="1"/>
  <c r="U239" i="7"/>
  <c r="U166" i="32"/>
  <c r="T186" i="7"/>
  <c r="T198" i="7" s="1"/>
  <c r="T151" i="32"/>
  <c r="T184" i="7"/>
  <c r="T196" i="7" s="1"/>
  <c r="T149" i="32"/>
  <c r="T185" i="7"/>
  <c r="T197" i="7" s="1"/>
  <c r="T150" i="32"/>
  <c r="T188" i="7"/>
  <c r="T200" i="7" s="1"/>
  <c r="T153" i="32"/>
  <c r="U167" i="32"/>
  <c r="U240" i="7"/>
  <c r="U163" i="32"/>
  <c r="U236" i="7"/>
  <c r="T181" i="7"/>
  <c r="T193" i="7" s="1"/>
  <c r="T146" i="32"/>
  <c r="T180" i="7"/>
  <c r="T192" i="7" s="1"/>
  <c r="T145" i="32"/>
  <c r="S12" i="5"/>
  <c r="S59" i="5"/>
  <c r="R304" i="7"/>
  <c r="S264" i="7"/>
  <c r="R360" i="1"/>
  <c r="R65" i="5"/>
  <c r="T255" i="32"/>
  <c r="T244" i="32"/>
  <c r="T241" i="32" s="1"/>
  <c r="S62" i="5"/>
  <c r="S20" i="5" s="1"/>
  <c r="U159" i="32"/>
  <c r="U232" i="7"/>
  <c r="T182" i="7"/>
  <c r="T194" i="7" s="1"/>
  <c r="T147" i="32"/>
  <c r="U160" i="32"/>
  <c r="U233" i="7"/>
  <c r="Q437" i="1"/>
  <c r="Q59" i="2"/>
  <c r="Q64" i="6" s="1"/>
  <c r="Q438" i="1"/>
  <c r="Q60" i="2"/>
  <c r="Q65" i="6" s="1"/>
  <c r="R138" i="32"/>
  <c r="R303" i="7"/>
  <c r="R294" i="7"/>
  <c r="Q66" i="5"/>
  <c r="Q69" i="5" s="1"/>
  <c r="R266" i="7"/>
  <c r="Q361" i="1"/>
  <c r="O67" i="6"/>
  <c r="T56" i="5"/>
  <c r="U241" i="7"/>
  <c r="U168" i="32"/>
  <c r="T187" i="7"/>
  <c r="T199" i="7" s="1"/>
  <c r="T152" i="32"/>
  <c r="T183" i="7"/>
  <c r="T195" i="7" s="1"/>
  <c r="T148" i="32"/>
  <c r="U234" i="7"/>
  <c r="U161" i="32"/>
  <c r="P67" i="6"/>
  <c r="P139" i="32"/>
  <c r="P140" i="32" s="1"/>
  <c r="P236" i="32"/>
  <c r="P237" i="32"/>
  <c r="U165" i="32"/>
  <c r="U238" i="7"/>
  <c r="U237" i="7"/>
  <c r="U164" i="32"/>
  <c r="U162" i="32"/>
  <c r="U235" i="7"/>
  <c r="S359" i="1"/>
  <c r="S64" i="5"/>
  <c r="T262" i="7"/>
  <c r="T103" i="5"/>
  <c r="T721" i="7" s="1"/>
  <c r="W634" i="7"/>
  <c r="W639" i="7" s="1"/>
  <c r="W146" i="33"/>
  <c r="S109" i="5"/>
  <c r="T682" i="7"/>
  <c r="T722" i="7" s="1"/>
  <c r="S309" i="25"/>
  <c r="T106" i="5"/>
  <c r="U165" i="7"/>
  <c r="U176" i="7"/>
  <c r="U154" i="7"/>
  <c r="V143" i="7"/>
  <c r="U175" i="7"/>
  <c r="V142" i="7"/>
  <c r="U153" i="7"/>
  <c r="U164" i="7"/>
  <c r="V660" i="7"/>
  <c r="V100" i="5" s="1"/>
  <c r="V630" i="7"/>
  <c r="V162" i="33"/>
  <c r="W621" i="7"/>
  <c r="V622" i="7"/>
  <c r="V672" i="7" s="1"/>
  <c r="O125" i="2"/>
  <c r="O729" i="7"/>
  <c r="O212" i="33"/>
  <c r="Q140" i="33"/>
  <c r="Q141" i="33" s="1"/>
  <c r="Q118" i="5"/>
  <c r="Q122" i="5" s="1"/>
  <c r="Q223" i="33"/>
  <c r="Q222" i="33"/>
  <c r="R104" i="2"/>
  <c r="R109" i="6" s="1"/>
  <c r="R386" i="25"/>
  <c r="W633" i="7"/>
  <c r="W638" i="7" s="1"/>
  <c r="W145" i="33"/>
  <c r="T1118" i="7"/>
  <c r="T179" i="7"/>
  <c r="T177" i="7"/>
  <c r="T1117" i="7"/>
  <c r="V638" i="7"/>
  <c r="X629" i="7"/>
  <c r="X161" i="33"/>
  <c r="X659" i="7"/>
  <c r="Y620" i="7"/>
  <c r="U680" i="7"/>
  <c r="T308" i="25"/>
  <c r="T108" i="5"/>
  <c r="U230" i="33"/>
  <c r="U227" i="33" s="1"/>
  <c r="U241" i="33"/>
  <c r="V136" i="7"/>
  <c r="U147" i="7"/>
  <c r="U169" i="7"/>
  <c r="U158" i="7"/>
  <c r="S191" i="7"/>
  <c r="S201" i="7" s="1"/>
  <c r="S189" i="7"/>
  <c r="X658" i="7"/>
  <c r="X628" i="7"/>
  <c r="X160" i="33"/>
  <c r="Y619" i="7"/>
  <c r="G701" i="7"/>
  <c r="G189" i="33"/>
  <c r="G193" i="33" s="1"/>
  <c r="T640" i="7"/>
  <c r="T641" i="7" s="1"/>
  <c r="T636" i="7"/>
  <c r="U223" i="25"/>
  <c r="U101" i="5"/>
  <c r="U15" i="5" s="1"/>
  <c r="U183" i="33"/>
  <c r="U172" i="10"/>
  <c r="U635" i="7"/>
  <c r="U147" i="33"/>
  <c r="U1125" i="7"/>
  <c r="U631" i="7"/>
  <c r="R310" i="25"/>
  <c r="S684" i="7"/>
  <c r="R110" i="5"/>
  <c r="R113" i="5" s="1"/>
  <c r="R724" i="7"/>
  <c r="U157" i="7"/>
  <c r="U168" i="7"/>
  <c r="U146" i="7"/>
  <c r="V135" i="7"/>
  <c r="R110" i="6"/>
  <c r="U167" i="7"/>
  <c r="U144" i="32" s="1"/>
  <c r="U145" i="7"/>
  <c r="V134" i="7"/>
  <c r="U156" i="7"/>
  <c r="P112" i="6"/>
  <c r="P114" i="6" s="1"/>
  <c r="P120" i="2"/>
  <c r="U163" i="7"/>
  <c r="U152" i="7"/>
  <c r="U174" i="7"/>
  <c r="V141" i="7"/>
  <c r="U161" i="7"/>
  <c r="U172" i="7"/>
  <c r="U150" i="7"/>
  <c r="V139" i="7"/>
  <c r="V137" i="7"/>
  <c r="U148" i="7"/>
  <c r="U159" i="7"/>
  <c r="U170" i="7"/>
  <c r="U147" i="32" s="1"/>
  <c r="F716" i="7"/>
  <c r="F717" i="7" s="1"/>
  <c r="V140" i="7"/>
  <c r="U151" i="7"/>
  <c r="U173" i="7"/>
  <c r="U162" i="7"/>
  <c r="U13" i="5"/>
  <c r="U171" i="7"/>
  <c r="U160" i="7"/>
  <c r="U149" i="7"/>
  <c r="V138" i="7"/>
  <c r="Q112" i="6"/>
  <c r="Q114" i="6" s="1"/>
  <c r="Q120" i="2"/>
  <c r="S722" i="7"/>
  <c r="U103" i="5" l="1"/>
  <c r="U721" i="7" s="1"/>
  <c r="S104" i="2"/>
  <c r="S109" i="6" s="1"/>
  <c r="V163" i="32"/>
  <c r="V236" i="7"/>
  <c r="U183" i="7"/>
  <c r="U195" i="7" s="1"/>
  <c r="U148" i="32"/>
  <c r="V162" i="32"/>
  <c r="V235" i="7"/>
  <c r="V159" i="32"/>
  <c r="V232" i="7"/>
  <c r="V160" i="32"/>
  <c r="V233" i="7"/>
  <c r="U188" i="7"/>
  <c r="U200" i="7" s="1"/>
  <c r="U153" i="32"/>
  <c r="T12" i="5"/>
  <c r="T59" i="5"/>
  <c r="R306" i="7"/>
  <c r="R361" i="1"/>
  <c r="R66" i="5"/>
  <c r="R69" i="5" s="1"/>
  <c r="S266" i="7"/>
  <c r="R437" i="1"/>
  <c r="R59" i="2"/>
  <c r="R64" i="6" s="1"/>
  <c r="Q67" i="6"/>
  <c r="T62" i="5"/>
  <c r="T20" i="5" s="1"/>
  <c r="T712" i="7"/>
  <c r="U185" i="7"/>
  <c r="U197" i="7" s="1"/>
  <c r="U150" i="32"/>
  <c r="V165" i="32"/>
  <c r="V238" i="7"/>
  <c r="U184" i="7"/>
  <c r="U196" i="7" s="1"/>
  <c r="U149" i="32"/>
  <c r="U181" i="7"/>
  <c r="U193" i="7" s="1"/>
  <c r="U146" i="32"/>
  <c r="U187" i="7"/>
  <c r="U199" i="7" s="1"/>
  <c r="U152" i="32"/>
  <c r="U262" i="7"/>
  <c r="T359" i="1"/>
  <c r="T64" i="5"/>
  <c r="U255" i="32"/>
  <c r="U244" i="32"/>
  <c r="U241" i="32" s="1"/>
  <c r="S294" i="7"/>
  <c r="S138" i="32"/>
  <c r="S303" i="7"/>
  <c r="U186" i="7"/>
  <c r="U198" i="7" s="1"/>
  <c r="U151" i="32"/>
  <c r="U180" i="7"/>
  <c r="U192" i="7" s="1"/>
  <c r="U145" i="32"/>
  <c r="V240" i="7"/>
  <c r="V167" i="32"/>
  <c r="V168" i="32"/>
  <c r="V241" i="7"/>
  <c r="R438" i="1"/>
  <c r="R60" i="2"/>
  <c r="R65" i="6" s="1"/>
  <c r="U56" i="5"/>
  <c r="V164" i="32"/>
  <c r="V237" i="7"/>
  <c r="V239" i="7"/>
  <c r="V166" i="32"/>
  <c r="V161" i="32"/>
  <c r="V234" i="7"/>
  <c r="Q236" i="32"/>
  <c r="Q237" i="32"/>
  <c r="Q139" i="32"/>
  <c r="Q140" i="32" s="1"/>
  <c r="S304" i="7"/>
  <c r="T264" i="7"/>
  <c r="T304" i="7" s="1"/>
  <c r="S360" i="1"/>
  <c r="S65" i="5"/>
  <c r="T139" i="33"/>
  <c r="P729" i="7"/>
  <c r="P212" i="33"/>
  <c r="P125" i="2"/>
  <c r="V167" i="7"/>
  <c r="V144" i="32" s="1"/>
  <c r="W134" i="7"/>
  <c r="V145" i="7"/>
  <c r="V156" i="7"/>
  <c r="R140" i="33"/>
  <c r="R141" i="33" s="1"/>
  <c r="R223" i="33"/>
  <c r="R222" i="33"/>
  <c r="R118" i="5"/>
  <c r="R122" i="5" s="1"/>
  <c r="X145" i="33"/>
  <c r="X633" i="7"/>
  <c r="T191" i="7"/>
  <c r="T201" i="7" s="1"/>
  <c r="T189" i="7"/>
  <c r="V172" i="10"/>
  <c r="V223" i="25"/>
  <c r="V101" i="5"/>
  <c r="V15" i="5" s="1"/>
  <c r="V183" i="33"/>
  <c r="V13" i="5"/>
  <c r="W143" i="7"/>
  <c r="V176" i="7"/>
  <c r="V154" i="7"/>
  <c r="V165" i="7"/>
  <c r="U682" i="7"/>
  <c r="U722" i="7" s="1"/>
  <c r="T309" i="25"/>
  <c r="T109" i="5"/>
  <c r="Q212" i="33"/>
  <c r="Q125" i="2"/>
  <c r="Q729" i="7"/>
  <c r="U106" i="5"/>
  <c r="V158" i="7"/>
  <c r="V169" i="7"/>
  <c r="V147" i="7"/>
  <c r="W136" i="7"/>
  <c r="T387" i="25"/>
  <c r="T105" i="2"/>
  <c r="Y161" i="33"/>
  <c r="Y629" i="7"/>
  <c r="Y659" i="7"/>
  <c r="Z620" i="7"/>
  <c r="V635" i="7"/>
  <c r="V147" i="33"/>
  <c r="V631" i="7"/>
  <c r="V1125" i="7"/>
  <c r="V164" i="7"/>
  <c r="V153" i="7"/>
  <c r="V175" i="7"/>
  <c r="W142" i="7"/>
  <c r="U1118" i="7"/>
  <c r="S105" i="2"/>
  <c r="S110" i="6" s="1"/>
  <c r="S387" i="25"/>
  <c r="V162" i="7"/>
  <c r="V173" i="7"/>
  <c r="V151" i="7"/>
  <c r="W140" i="7"/>
  <c r="U182" i="7"/>
  <c r="U194" i="7" s="1"/>
  <c r="V172" i="7"/>
  <c r="V149" i="32" s="1"/>
  <c r="V161" i="7"/>
  <c r="V150" i="7"/>
  <c r="W139" i="7"/>
  <c r="V174" i="7"/>
  <c r="V152" i="7"/>
  <c r="V163" i="7"/>
  <c r="W141" i="7"/>
  <c r="U179" i="7"/>
  <c r="U191" i="7" s="1"/>
  <c r="U1117" i="7"/>
  <c r="U177" i="7"/>
  <c r="V168" i="7"/>
  <c r="V157" i="7"/>
  <c r="W135" i="7"/>
  <c r="V146" i="7"/>
  <c r="R117" i="2"/>
  <c r="R389" i="25"/>
  <c r="G703" i="7"/>
  <c r="G706" i="7"/>
  <c r="U308" i="25"/>
  <c r="U108" i="5"/>
  <c r="V680" i="7"/>
  <c r="X146" i="33"/>
  <c r="X634" i="7"/>
  <c r="X639" i="7" s="1"/>
  <c r="V241" i="33"/>
  <c r="V230" i="33"/>
  <c r="V227" i="33" s="1"/>
  <c r="V171" i="7"/>
  <c r="W138" i="7"/>
  <c r="V149" i="7"/>
  <c r="V160" i="7"/>
  <c r="F218" i="33"/>
  <c r="V170" i="7"/>
  <c r="V148" i="7"/>
  <c r="V159" i="7"/>
  <c r="W137" i="7"/>
  <c r="S724" i="7"/>
  <c r="S310" i="25"/>
  <c r="S110" i="5"/>
  <c r="S113" i="5" s="1"/>
  <c r="T684" i="7"/>
  <c r="U640" i="7"/>
  <c r="U641" i="7" s="1"/>
  <c r="U636" i="7"/>
  <c r="Y658" i="7"/>
  <c r="Y628" i="7"/>
  <c r="Y160" i="33"/>
  <c r="Z619" i="7"/>
  <c r="W162" i="33"/>
  <c r="W660" i="7"/>
  <c r="W100" i="5" s="1"/>
  <c r="W630" i="7"/>
  <c r="X621" i="7"/>
  <c r="W622" i="7"/>
  <c r="W672" i="7" s="1"/>
  <c r="T386" i="25"/>
  <c r="T104" i="2"/>
  <c r="U712" i="7" l="1"/>
  <c r="U139" i="33"/>
  <c r="T109" i="6"/>
  <c r="U62" i="5"/>
  <c r="U20" i="5" s="1"/>
  <c r="T60" i="2"/>
  <c r="T438" i="1"/>
  <c r="W162" i="32"/>
  <c r="W235" i="7"/>
  <c r="W163" i="32"/>
  <c r="W236" i="7"/>
  <c r="V180" i="7"/>
  <c r="V192" i="7" s="1"/>
  <c r="V145" i="32"/>
  <c r="W166" i="32"/>
  <c r="W239" i="7"/>
  <c r="W164" i="32"/>
  <c r="W237" i="7"/>
  <c r="V188" i="7"/>
  <c r="V200" i="7" s="1"/>
  <c r="V153" i="32"/>
  <c r="R237" i="32"/>
  <c r="R236" i="32"/>
  <c r="R139" i="32"/>
  <c r="R140" i="32" s="1"/>
  <c r="V186" i="7"/>
  <c r="V198" i="7" s="1"/>
  <c r="V151" i="32"/>
  <c r="V185" i="7"/>
  <c r="V197" i="7" s="1"/>
  <c r="V150" i="32"/>
  <c r="W234" i="7"/>
  <c r="W161" i="32"/>
  <c r="U12" i="5"/>
  <c r="U59" i="5"/>
  <c r="S361" i="1"/>
  <c r="S66" i="5"/>
  <c r="S69" i="5" s="1"/>
  <c r="T266" i="7"/>
  <c r="S306" i="7"/>
  <c r="T303" i="7"/>
  <c r="T138" i="32"/>
  <c r="T294" i="7"/>
  <c r="W160" i="32"/>
  <c r="W233" i="7"/>
  <c r="V187" i="7"/>
  <c r="V199" i="7" s="1"/>
  <c r="V152" i="32"/>
  <c r="S438" i="1"/>
  <c r="S60" i="2"/>
  <c r="S65" i="6" s="1"/>
  <c r="S437" i="1"/>
  <c r="S59" i="2"/>
  <c r="S64" i="6" s="1"/>
  <c r="U64" i="5"/>
  <c r="V262" i="7"/>
  <c r="U359" i="1"/>
  <c r="R440" i="1"/>
  <c r="R72" i="2"/>
  <c r="V244" i="32"/>
  <c r="V241" i="32" s="1"/>
  <c r="V255" i="32"/>
  <c r="V182" i="7"/>
  <c r="V194" i="7" s="1"/>
  <c r="V147" i="32"/>
  <c r="V183" i="7"/>
  <c r="V195" i="7" s="1"/>
  <c r="V148" i="32"/>
  <c r="W165" i="32"/>
  <c r="W238" i="7"/>
  <c r="W240" i="7"/>
  <c r="W167" i="32"/>
  <c r="V181" i="7"/>
  <c r="V193" i="7" s="1"/>
  <c r="V146" i="32"/>
  <c r="W168" i="32"/>
  <c r="W241" i="7"/>
  <c r="W232" i="7"/>
  <c r="W159" i="32"/>
  <c r="T360" i="1"/>
  <c r="T65" i="5"/>
  <c r="U264" i="7"/>
  <c r="V56" i="5"/>
  <c r="V103" i="5"/>
  <c r="V721" i="7" s="1"/>
  <c r="U201" i="7"/>
  <c r="W183" i="33"/>
  <c r="W172" i="10"/>
  <c r="W223" i="25"/>
  <c r="W101" i="5"/>
  <c r="W15" i="5" s="1"/>
  <c r="W147" i="33"/>
  <c r="W635" i="7"/>
  <c r="W1125" i="7"/>
  <c r="W631" i="7"/>
  <c r="Y633" i="7"/>
  <c r="Y145" i="33"/>
  <c r="W13" i="5"/>
  <c r="S140" i="33"/>
  <c r="S141" i="33" s="1"/>
  <c r="S222" i="33"/>
  <c r="S118" i="5"/>
  <c r="S122" i="5" s="1"/>
  <c r="S223" i="33"/>
  <c r="U105" i="2"/>
  <c r="U110" i="6" s="1"/>
  <c r="U387" i="25"/>
  <c r="V184" i="7"/>
  <c r="V196" i="7" s="1"/>
  <c r="Z161" i="33"/>
  <c r="Z629" i="7"/>
  <c r="Z659" i="7"/>
  <c r="AA620" i="7"/>
  <c r="W156" i="7"/>
  <c r="W145" i="7"/>
  <c r="W167" i="7"/>
  <c r="W144" i="32" s="1"/>
  <c r="X134" i="7"/>
  <c r="U189" i="7"/>
  <c r="T724" i="7"/>
  <c r="U684" i="7"/>
  <c r="T310" i="25"/>
  <c r="T110" i="5"/>
  <c r="T113" i="5" s="1"/>
  <c r="X137" i="7"/>
  <c r="W170" i="7"/>
  <c r="W148" i="7"/>
  <c r="W159" i="7"/>
  <c r="U104" i="2"/>
  <c r="U109" i="6" s="1"/>
  <c r="U386" i="25"/>
  <c r="W160" i="7"/>
  <c r="W171" i="7"/>
  <c r="X138" i="7"/>
  <c r="W149" i="7"/>
  <c r="R112" i="6"/>
  <c r="R114" i="6" s="1"/>
  <c r="R120" i="2"/>
  <c r="W162" i="7"/>
  <c r="X140" i="7"/>
  <c r="W173" i="7"/>
  <c r="W151" i="7"/>
  <c r="W175" i="7"/>
  <c r="W153" i="7"/>
  <c r="W164" i="7"/>
  <c r="X142" i="7"/>
  <c r="V106" i="5"/>
  <c r="V640" i="7"/>
  <c r="V641" i="7" s="1"/>
  <c r="V636" i="7"/>
  <c r="X136" i="7"/>
  <c r="W158" i="7"/>
  <c r="W169" i="7"/>
  <c r="W147" i="7"/>
  <c r="Z658" i="7"/>
  <c r="Z160" i="33"/>
  <c r="Z628" i="7"/>
  <c r="AA619" i="7"/>
  <c r="S117" i="2"/>
  <c r="S389" i="25"/>
  <c r="Y146" i="33"/>
  <c r="Y634" i="7"/>
  <c r="Y639" i="7" s="1"/>
  <c r="U109" i="5"/>
  <c r="V682" i="7"/>
  <c r="V722" i="7" s="1"/>
  <c r="U309" i="25"/>
  <c r="X143" i="7"/>
  <c r="W165" i="7"/>
  <c r="W176" i="7"/>
  <c r="W154" i="7"/>
  <c r="V1118" i="7"/>
  <c r="X630" i="7"/>
  <c r="X660" i="7"/>
  <c r="X100" i="5" s="1"/>
  <c r="X162" i="33"/>
  <c r="Y621" i="7"/>
  <c r="X622" i="7"/>
  <c r="X672" i="7" s="1"/>
  <c r="W241" i="33"/>
  <c r="W230" i="33"/>
  <c r="W227" i="33" s="1"/>
  <c r="V108" i="5"/>
  <c r="W680" i="7"/>
  <c r="V308" i="25"/>
  <c r="G707" i="7"/>
  <c r="G131" i="6" s="1"/>
  <c r="G206" i="33"/>
  <c r="X135" i="7"/>
  <c r="W157" i="7"/>
  <c r="W168" i="7"/>
  <c r="W145" i="32" s="1"/>
  <c r="W146" i="7"/>
  <c r="W163" i="7"/>
  <c r="W174" i="7"/>
  <c r="W152" i="7"/>
  <c r="X141" i="7"/>
  <c r="X139" i="7"/>
  <c r="W172" i="7"/>
  <c r="W150" i="7"/>
  <c r="W161" i="7"/>
  <c r="X638" i="7"/>
  <c r="V179" i="7"/>
  <c r="V1117" i="7"/>
  <c r="V177" i="7"/>
  <c r="T110" i="6"/>
  <c r="V712" i="7" l="1"/>
  <c r="V139" i="33"/>
  <c r="V62" i="5"/>
  <c r="V20" i="5" s="1"/>
  <c r="X164" i="32"/>
  <c r="X237" i="7"/>
  <c r="X160" i="32"/>
  <c r="X233" i="7"/>
  <c r="W185" i="7"/>
  <c r="W197" i="7" s="1"/>
  <c r="W150" i="32"/>
  <c r="X159" i="32"/>
  <c r="X232" i="7"/>
  <c r="V12" i="5"/>
  <c r="V59" i="5"/>
  <c r="W244" i="32"/>
  <c r="W241" i="32" s="1"/>
  <c r="W255" i="32"/>
  <c r="R67" i="6"/>
  <c r="W262" i="7"/>
  <c r="V359" i="1"/>
  <c r="V64" i="5"/>
  <c r="S139" i="32"/>
  <c r="S140" i="32" s="1"/>
  <c r="S237" i="32"/>
  <c r="S236" i="32"/>
  <c r="T65" i="6"/>
  <c r="W184" i="7"/>
  <c r="W196" i="7" s="1"/>
  <c r="W149" i="32"/>
  <c r="W186" i="7"/>
  <c r="W198" i="7" s="1"/>
  <c r="W151" i="32"/>
  <c r="W188" i="7"/>
  <c r="W200" i="7" s="1"/>
  <c r="W153" i="32"/>
  <c r="X161" i="32"/>
  <c r="X234" i="7"/>
  <c r="X167" i="32"/>
  <c r="X240" i="7"/>
  <c r="W183" i="7"/>
  <c r="W195" i="7" s="1"/>
  <c r="W148" i="32"/>
  <c r="T361" i="1"/>
  <c r="T66" i="5"/>
  <c r="T69" i="5" s="1"/>
  <c r="U266" i="7"/>
  <c r="U306" i="7" s="1"/>
  <c r="T306" i="7"/>
  <c r="W187" i="7"/>
  <c r="W199" i="7" s="1"/>
  <c r="W152" i="32"/>
  <c r="X163" i="32"/>
  <c r="X236" i="7"/>
  <c r="X162" i="32"/>
  <c r="X235" i="7"/>
  <c r="S72" i="2"/>
  <c r="S440" i="1"/>
  <c r="U303" i="7"/>
  <c r="U138" i="32"/>
  <c r="U294" i="7"/>
  <c r="X166" i="32"/>
  <c r="X239" i="7"/>
  <c r="X241" i="7"/>
  <c r="X168" i="32"/>
  <c r="W181" i="7"/>
  <c r="W193" i="7" s="1"/>
  <c r="W146" i="32"/>
  <c r="X238" i="7"/>
  <c r="X165" i="32"/>
  <c r="W182" i="7"/>
  <c r="W194" i="7" s="1"/>
  <c r="W147" i="32"/>
  <c r="U304" i="7"/>
  <c r="U65" i="5"/>
  <c r="V264" i="7"/>
  <c r="U360" i="1"/>
  <c r="T437" i="1"/>
  <c r="T59" i="2"/>
  <c r="T64" i="6" s="1"/>
  <c r="W56" i="5"/>
  <c r="W103" i="5"/>
  <c r="W139" i="33" s="1"/>
  <c r="V191" i="7"/>
  <c r="V201" i="7" s="1"/>
  <c r="V189" i="7"/>
  <c r="W180" i="7"/>
  <c r="W192" i="7" s="1"/>
  <c r="G133" i="6"/>
  <c r="G135" i="6" s="1"/>
  <c r="G198" i="33"/>
  <c r="G920" i="7"/>
  <c r="G921" i="7" s="1"/>
  <c r="X172" i="10"/>
  <c r="X101" i="5"/>
  <c r="X15" i="5" s="1"/>
  <c r="X223" i="25"/>
  <c r="X183" i="33"/>
  <c r="X147" i="33"/>
  <c r="X635" i="7"/>
  <c r="X1125" i="7"/>
  <c r="X631" i="7"/>
  <c r="X165" i="7"/>
  <c r="X176" i="7"/>
  <c r="X154" i="7"/>
  <c r="Y143" i="7"/>
  <c r="S120" i="2"/>
  <c r="S112" i="6"/>
  <c r="S114" i="6" s="1"/>
  <c r="V104" i="2"/>
  <c r="V109" i="6" s="1"/>
  <c r="V386" i="25"/>
  <c r="X160" i="7"/>
  <c r="X171" i="7"/>
  <c r="X149" i="7"/>
  <c r="Y138" i="7"/>
  <c r="W179" i="7"/>
  <c r="W1117" i="7"/>
  <c r="W177" i="7"/>
  <c r="Y141" i="7"/>
  <c r="X152" i="7"/>
  <c r="X174" i="7"/>
  <c r="X163" i="7"/>
  <c r="V387" i="25"/>
  <c r="V105" i="2"/>
  <c r="V110" i="6" s="1"/>
  <c r="X13" i="5"/>
  <c r="W682" i="7"/>
  <c r="W722" i="7" s="1"/>
  <c r="V109" i="5"/>
  <c r="V309" i="25"/>
  <c r="X164" i="7"/>
  <c r="X175" i="7"/>
  <c r="X153" i="7"/>
  <c r="Y142" i="7"/>
  <c r="T140" i="33"/>
  <c r="T141" i="33" s="1"/>
  <c r="T223" i="33"/>
  <c r="T118" i="5"/>
  <c r="T122" i="5" s="1"/>
  <c r="T222" i="33"/>
  <c r="X156" i="7"/>
  <c r="X167" i="7"/>
  <c r="X144" i="32" s="1"/>
  <c r="X145" i="7"/>
  <c r="Y134" i="7"/>
  <c r="AA659" i="7"/>
  <c r="AA161" i="33"/>
  <c r="AA629" i="7"/>
  <c r="AB620" i="7"/>
  <c r="X161" i="7"/>
  <c r="X172" i="7"/>
  <c r="X150" i="7"/>
  <c r="Y139" i="7"/>
  <c r="X157" i="7"/>
  <c r="X168" i="7"/>
  <c r="X146" i="7"/>
  <c r="Y135" i="7"/>
  <c r="X241" i="33"/>
  <c r="X230" i="33"/>
  <c r="X227" i="33" s="1"/>
  <c r="Z145" i="33"/>
  <c r="Z633" i="7"/>
  <c r="Y136" i="7"/>
  <c r="X147" i="7"/>
  <c r="X169" i="7"/>
  <c r="X158" i="7"/>
  <c r="T117" i="2"/>
  <c r="T389" i="25"/>
  <c r="W640" i="7"/>
  <c r="W641" i="7" s="1"/>
  <c r="W636" i="7"/>
  <c r="W1118" i="7"/>
  <c r="X680" i="7"/>
  <c r="W108" i="5"/>
  <c r="W308" i="25"/>
  <c r="Y162" i="33"/>
  <c r="Y630" i="7"/>
  <c r="Y660" i="7"/>
  <c r="Y100" i="5" s="1"/>
  <c r="Z621" i="7"/>
  <c r="Y622" i="7"/>
  <c r="Y672" i="7" s="1"/>
  <c r="AA160" i="33"/>
  <c r="AA658" i="7"/>
  <c r="AA628" i="7"/>
  <c r="AB619" i="7"/>
  <c r="Y140" i="7"/>
  <c r="X151" i="7"/>
  <c r="X173" i="7"/>
  <c r="X162" i="7"/>
  <c r="R212" i="33"/>
  <c r="R125" i="2"/>
  <c r="R729" i="7"/>
  <c r="X170" i="7"/>
  <c r="X148" i="7"/>
  <c r="X159" i="7"/>
  <c r="Y137" i="7"/>
  <c r="U724" i="7"/>
  <c r="U310" i="25"/>
  <c r="V684" i="7"/>
  <c r="U110" i="5"/>
  <c r="U113" i="5" s="1"/>
  <c r="Z634" i="7"/>
  <c r="Z639" i="7" s="1"/>
  <c r="Z146" i="33"/>
  <c r="Y638" i="7"/>
  <c r="W106" i="5"/>
  <c r="X103" i="5" l="1"/>
  <c r="X712" i="7" s="1"/>
  <c r="W712" i="7"/>
  <c r="W721" i="7"/>
  <c r="W104" i="2" s="1"/>
  <c r="W109" i="6" s="1"/>
  <c r="U440" i="1"/>
  <c r="U72" i="2"/>
  <c r="X182" i="7"/>
  <c r="X194" i="7" s="1"/>
  <c r="X147" i="32"/>
  <c r="Y234" i="7"/>
  <c r="Y161" i="32"/>
  <c r="X183" i="7"/>
  <c r="X195" i="7" s="1"/>
  <c r="X148" i="32"/>
  <c r="X188" i="7"/>
  <c r="X200" i="7" s="1"/>
  <c r="X153" i="32"/>
  <c r="T237" i="32"/>
  <c r="T236" i="32"/>
  <c r="T139" i="32"/>
  <c r="T140" i="32" s="1"/>
  <c r="W62" i="5"/>
  <c r="W20" i="5" s="1"/>
  <c r="X56" i="5"/>
  <c r="Y238" i="7"/>
  <c r="Y165" i="32"/>
  <c r="X180" i="7"/>
  <c r="X192" i="7" s="1"/>
  <c r="X145" i="32"/>
  <c r="X184" i="7"/>
  <c r="X196" i="7" s="1"/>
  <c r="X149" i="32"/>
  <c r="X187" i="7"/>
  <c r="X199" i="7" s="1"/>
  <c r="X152" i="32"/>
  <c r="Y166" i="32"/>
  <c r="Y239" i="7"/>
  <c r="U60" i="2"/>
  <c r="U65" i="6" s="1"/>
  <c r="U438" i="1"/>
  <c r="S67" i="6"/>
  <c r="U361" i="1"/>
  <c r="U66" i="5"/>
  <c r="U69" i="5" s="1"/>
  <c r="V266" i="7"/>
  <c r="V306" i="7" s="1"/>
  <c r="X181" i="7"/>
  <c r="X193" i="7" s="1"/>
  <c r="X146" i="32"/>
  <c r="Y163" i="32"/>
  <c r="Y236" i="7"/>
  <c r="Y241" i="7"/>
  <c r="Y168" i="32"/>
  <c r="T440" i="1"/>
  <c r="T72" i="2"/>
  <c r="V294" i="7"/>
  <c r="V138" i="32"/>
  <c r="V303" i="7"/>
  <c r="Y162" i="32"/>
  <c r="Y235" i="7"/>
  <c r="X185" i="7"/>
  <c r="X197" i="7" s="1"/>
  <c r="X150" i="32"/>
  <c r="Y233" i="7"/>
  <c r="Y160" i="32"/>
  <c r="Y164" i="32"/>
  <c r="Y237" i="7"/>
  <c r="Y159" i="32"/>
  <c r="Y232" i="7"/>
  <c r="Y240" i="7"/>
  <c r="Y167" i="32"/>
  <c r="X186" i="7"/>
  <c r="X198" i="7" s="1"/>
  <c r="X151" i="32"/>
  <c r="W59" i="5"/>
  <c r="W12" i="5"/>
  <c r="V304" i="7"/>
  <c r="W264" i="7"/>
  <c r="W304" i="7" s="1"/>
  <c r="V360" i="1"/>
  <c r="V65" i="5"/>
  <c r="U437" i="1"/>
  <c r="U59" i="2"/>
  <c r="U64" i="6" s="1"/>
  <c r="W359" i="1"/>
  <c r="W64" i="5"/>
  <c r="X262" i="7"/>
  <c r="X244" i="32"/>
  <c r="X241" i="32" s="1"/>
  <c r="X255" i="32"/>
  <c r="Z137" i="7"/>
  <c r="Y148" i="7"/>
  <c r="Y159" i="7"/>
  <c r="Y170" i="7"/>
  <c r="U389" i="25"/>
  <c r="U117" i="2"/>
  <c r="W684" i="7"/>
  <c r="V110" i="5"/>
  <c r="V113" i="5" s="1"/>
  <c r="V310" i="25"/>
  <c r="V724" i="7"/>
  <c r="AA145" i="33"/>
  <c r="AA633" i="7"/>
  <c r="AA638" i="7" s="1"/>
  <c r="Y172" i="10"/>
  <c r="Y101" i="5"/>
  <c r="Y15" i="5" s="1"/>
  <c r="Y223" i="25"/>
  <c r="Y183" i="33"/>
  <c r="Y635" i="7"/>
  <c r="Y636" i="7" s="1"/>
  <c r="Y147" i="33"/>
  <c r="Y1125" i="7"/>
  <c r="Y631" i="7"/>
  <c r="W387" i="25"/>
  <c r="W105" i="2"/>
  <c r="W110" i="6" s="1"/>
  <c r="AA634" i="7"/>
  <c r="AA639" i="7" s="1"/>
  <c r="AA146" i="33"/>
  <c r="Z134" i="7"/>
  <c r="Y156" i="7"/>
  <c r="Y167" i="7"/>
  <c r="Y144" i="32" s="1"/>
  <c r="Y145" i="7"/>
  <c r="Z142" i="7"/>
  <c r="Y153" i="7"/>
  <c r="Y164" i="7"/>
  <c r="Y175" i="7"/>
  <c r="Y163" i="7"/>
  <c r="Y174" i="7"/>
  <c r="Z141" i="7"/>
  <c r="Y152" i="7"/>
  <c r="Y176" i="7"/>
  <c r="Y154" i="7"/>
  <c r="Z143" i="7"/>
  <c r="Y165" i="7"/>
  <c r="Y13" i="5"/>
  <c r="Y680" i="7"/>
  <c r="X308" i="25"/>
  <c r="X108" i="5"/>
  <c r="AB161" i="33"/>
  <c r="AB659" i="7"/>
  <c r="AB629" i="7"/>
  <c r="AC620" i="7"/>
  <c r="Z138" i="7"/>
  <c r="Y149" i="7"/>
  <c r="Y160" i="7"/>
  <c r="Y171" i="7"/>
  <c r="S125" i="2"/>
  <c r="S212" i="33"/>
  <c r="S729" i="7"/>
  <c r="X640" i="7"/>
  <c r="X641" i="7" s="1"/>
  <c r="X636" i="7"/>
  <c r="G736" i="7"/>
  <c r="G737" i="7" s="1"/>
  <c r="G190" i="33"/>
  <c r="X1118" i="7"/>
  <c r="U140" i="33"/>
  <c r="U141" i="33" s="1"/>
  <c r="U223" i="33"/>
  <c r="U222" i="33"/>
  <c r="U118" i="5"/>
  <c r="U122" i="5" s="1"/>
  <c r="AB628" i="7"/>
  <c r="AB160" i="33"/>
  <c r="AB658" i="7"/>
  <c r="AC619" i="7"/>
  <c r="Z630" i="7"/>
  <c r="Z162" i="33"/>
  <c r="Z660" i="7"/>
  <c r="Z100" i="5" s="1"/>
  <c r="AA621" i="7"/>
  <c r="Z622" i="7"/>
  <c r="Z672" i="7" s="1"/>
  <c r="Y157" i="7"/>
  <c r="Y168" i="7"/>
  <c r="Z135" i="7"/>
  <c r="Y146" i="7"/>
  <c r="Y161" i="7"/>
  <c r="Y172" i="7"/>
  <c r="Y150" i="7"/>
  <c r="Z139" i="7"/>
  <c r="X179" i="7"/>
  <c r="X177" i="7"/>
  <c r="X1117" i="7"/>
  <c r="X62" i="5" s="1"/>
  <c r="W191" i="7"/>
  <c r="W201" i="7" s="1"/>
  <c r="W189" i="7"/>
  <c r="X106" i="5"/>
  <c r="Z638" i="7"/>
  <c r="Y162" i="7"/>
  <c r="Z140" i="7"/>
  <c r="Y151" i="7"/>
  <c r="Y173" i="7"/>
  <c r="Y241" i="33"/>
  <c r="Y230" i="33"/>
  <c r="Y227" i="33" s="1"/>
  <c r="T112" i="6"/>
  <c r="T114" i="6" s="1"/>
  <c r="T120" i="2"/>
  <c r="Y158" i="7"/>
  <c r="Z136" i="7"/>
  <c r="Y147" i="7"/>
  <c r="Y169" i="7"/>
  <c r="X682" i="7"/>
  <c r="W109" i="5"/>
  <c r="W309" i="25"/>
  <c r="G130" i="2"/>
  <c r="G132" i="2" s="1"/>
  <c r="H919" i="7"/>
  <c r="X20" i="5" l="1"/>
  <c r="X139" i="33"/>
  <c r="X721" i="7"/>
  <c r="X104" i="2" s="1"/>
  <c r="X109" i="6" s="1"/>
  <c r="Y640" i="7"/>
  <c r="Y641" i="7" s="1"/>
  <c r="W386" i="25"/>
  <c r="V440" i="1"/>
  <c r="V72" i="2"/>
  <c r="Y181" i="7"/>
  <c r="Y193" i="7" s="1"/>
  <c r="Y146" i="32"/>
  <c r="Z234" i="7"/>
  <c r="Z161" i="32"/>
  <c r="Z238" i="7"/>
  <c r="Z165" i="32"/>
  <c r="Y184" i="7"/>
  <c r="Y196" i="7" s="1"/>
  <c r="Y149" i="32"/>
  <c r="Y180" i="7"/>
  <c r="Y192" i="7" s="1"/>
  <c r="Y145" i="32"/>
  <c r="Z168" i="32"/>
  <c r="Z241" i="7"/>
  <c r="Z166" i="32"/>
  <c r="Z239" i="7"/>
  <c r="Y182" i="7"/>
  <c r="Y194" i="7" s="1"/>
  <c r="Y147" i="32"/>
  <c r="T67" i="6"/>
  <c r="Z233" i="7"/>
  <c r="Z160" i="32"/>
  <c r="Y183" i="7"/>
  <c r="Y195" i="7" s="1"/>
  <c r="Y148" i="32"/>
  <c r="Y187" i="7"/>
  <c r="Y199" i="7" s="1"/>
  <c r="Y152" i="32"/>
  <c r="Z162" i="32"/>
  <c r="Z235" i="7"/>
  <c r="X359" i="1"/>
  <c r="X64" i="5"/>
  <c r="Y262" i="7"/>
  <c r="V438" i="1"/>
  <c r="V60" i="2"/>
  <c r="V65" i="6" s="1"/>
  <c r="Y255" i="32"/>
  <c r="Y244" i="32"/>
  <c r="Y241" i="32" s="1"/>
  <c r="Y185" i="7"/>
  <c r="Y197" i="7" s="1"/>
  <c r="Y150" i="32"/>
  <c r="Z164" i="32"/>
  <c r="Z237" i="7"/>
  <c r="Z163" i="32"/>
  <c r="Z236" i="7"/>
  <c r="Y188" i="7"/>
  <c r="Y200" i="7" s="1"/>
  <c r="Y153" i="32"/>
  <c r="Z167" i="32"/>
  <c r="Z240" i="7"/>
  <c r="Z159" i="32"/>
  <c r="Z232" i="7"/>
  <c r="W438" i="1"/>
  <c r="W60" i="2"/>
  <c r="X264" i="7"/>
  <c r="W360" i="1"/>
  <c r="W65" i="5"/>
  <c r="U237" i="32"/>
  <c r="U139" i="32"/>
  <c r="U140" i="32" s="1"/>
  <c r="U236" i="32"/>
  <c r="X12" i="5"/>
  <c r="X59" i="5"/>
  <c r="U67" i="6"/>
  <c r="Y56" i="5"/>
  <c r="Y186" i="7"/>
  <c r="Y198" i="7" s="1"/>
  <c r="Y151" i="32"/>
  <c r="W303" i="7"/>
  <c r="W294" i="7"/>
  <c r="W138" i="32"/>
  <c r="V437" i="1"/>
  <c r="V59" i="2"/>
  <c r="V64" i="6" s="1"/>
  <c r="W266" i="7"/>
  <c r="V361" i="1"/>
  <c r="V66" i="5"/>
  <c r="V69" i="5" s="1"/>
  <c r="Y103" i="5"/>
  <c r="Y721" i="7" s="1"/>
  <c r="Z169" i="7"/>
  <c r="Z147" i="7"/>
  <c r="AA136" i="7"/>
  <c r="Z158" i="7"/>
  <c r="G714" i="7"/>
  <c r="G715" i="7" s="1"/>
  <c r="G207" i="33"/>
  <c r="G133" i="2"/>
  <c r="X191" i="7"/>
  <c r="X201" i="7" s="1"/>
  <c r="X189" i="7"/>
  <c r="Z13" i="5"/>
  <c r="AB633" i="7"/>
  <c r="AB145" i="33"/>
  <c r="H735" i="7"/>
  <c r="H738" i="7" s="1"/>
  <c r="H739" i="7" s="1"/>
  <c r="H124" i="5" s="1"/>
  <c r="G740" i="7"/>
  <c r="G103" i="2"/>
  <c r="Z176" i="7"/>
  <c r="Z154" i="7"/>
  <c r="Z165" i="7"/>
  <c r="AA143" i="7"/>
  <c r="Z174" i="7"/>
  <c r="Z163" i="7"/>
  <c r="AA141" i="7"/>
  <c r="Z152" i="7"/>
  <c r="V140" i="33"/>
  <c r="V141" i="33" s="1"/>
  <c r="V118" i="5"/>
  <c r="V122" i="5" s="1"/>
  <c r="V222" i="33"/>
  <c r="V223" i="33"/>
  <c r="T212" i="33"/>
  <c r="T729" i="7"/>
  <c r="T125" i="2"/>
  <c r="AA162" i="33"/>
  <c r="AA630" i="7"/>
  <c r="AA660" i="7"/>
  <c r="AA100" i="5" s="1"/>
  <c r="AB621" i="7"/>
  <c r="AA622" i="7"/>
  <c r="AA672" i="7" s="1"/>
  <c r="AC628" i="7"/>
  <c r="AC160" i="33"/>
  <c r="AC658" i="7"/>
  <c r="AD619" i="7"/>
  <c r="AB634" i="7"/>
  <c r="AB639" i="7" s="1"/>
  <c r="AB146" i="33"/>
  <c r="Z156" i="7"/>
  <c r="Z167" i="7"/>
  <c r="Z144" i="32" s="1"/>
  <c r="Z145" i="7"/>
  <c r="AA134" i="7"/>
  <c r="Y106" i="5"/>
  <c r="AA137" i="7"/>
  <c r="Z170" i="7"/>
  <c r="Z148" i="7"/>
  <c r="Z159" i="7"/>
  <c r="X722" i="7"/>
  <c r="Y682" i="7"/>
  <c r="Y722" i="7" s="1"/>
  <c r="X309" i="25"/>
  <c r="X109" i="5"/>
  <c r="Z157" i="7"/>
  <c r="AA135" i="7"/>
  <c r="Z146" i="7"/>
  <c r="Z168" i="7"/>
  <c r="Z635" i="7"/>
  <c r="Z636" i="7" s="1"/>
  <c r="Z147" i="33"/>
  <c r="Z631" i="7"/>
  <c r="Z1125" i="7"/>
  <c r="AC161" i="33"/>
  <c r="AC659" i="7"/>
  <c r="AC629" i="7"/>
  <c r="AD620" i="7"/>
  <c r="Y108" i="5"/>
  <c r="Y308" i="25"/>
  <c r="Z680" i="7"/>
  <c r="Z164" i="7"/>
  <c r="Z175" i="7"/>
  <c r="AA142" i="7"/>
  <c r="Z153" i="7"/>
  <c r="U112" i="6"/>
  <c r="U114" i="6" s="1"/>
  <c r="U120" i="2"/>
  <c r="Y1118" i="7"/>
  <c r="Z173" i="7"/>
  <c r="Z151" i="7"/>
  <c r="AA140" i="7"/>
  <c r="Z162" i="7"/>
  <c r="AA139" i="7"/>
  <c r="Z150" i="7"/>
  <c r="Z172" i="7"/>
  <c r="Z161" i="7"/>
  <c r="Z101" i="5"/>
  <c r="Z15" i="5" s="1"/>
  <c r="Z172" i="10"/>
  <c r="Z223" i="25"/>
  <c r="Z183" i="33"/>
  <c r="Z230" i="33"/>
  <c r="Z227" i="33" s="1"/>
  <c r="Z241" i="33"/>
  <c r="AA138" i="7"/>
  <c r="Z160" i="7"/>
  <c r="Z171" i="7"/>
  <c r="Z149" i="7"/>
  <c r="Y179" i="7"/>
  <c r="Y177" i="7"/>
  <c r="Y1117" i="7"/>
  <c r="V117" i="2"/>
  <c r="V389" i="25"/>
  <c r="X684" i="7"/>
  <c r="W110" i="5"/>
  <c r="W113" i="5" s="1"/>
  <c r="W310" i="25"/>
  <c r="W724" i="7"/>
  <c r="X386" i="25" l="1"/>
  <c r="Y139" i="33"/>
  <c r="W65" i="6"/>
  <c r="Y189" i="7"/>
  <c r="Z56" i="5"/>
  <c r="Z59" i="5" s="1"/>
  <c r="AA163" i="32"/>
  <c r="AA236" i="7"/>
  <c r="Z184" i="7"/>
  <c r="Z196" i="7" s="1"/>
  <c r="Z149" i="32"/>
  <c r="AA165" i="32"/>
  <c r="AA238" i="7"/>
  <c r="Z187" i="7"/>
  <c r="Z199" i="7" s="1"/>
  <c r="Z152" i="32"/>
  <c r="AA162" i="32"/>
  <c r="AA235" i="7"/>
  <c r="Z186" i="7"/>
  <c r="Z198" i="7" s="1"/>
  <c r="Z151" i="32"/>
  <c r="Z188" i="7"/>
  <c r="Z200" i="7" s="1"/>
  <c r="Z153" i="32"/>
  <c r="W306" i="7"/>
  <c r="W361" i="1"/>
  <c r="W66" i="5"/>
  <c r="W69" i="5" s="1"/>
  <c r="X266" i="7"/>
  <c r="X306" i="7" s="1"/>
  <c r="X138" i="32"/>
  <c r="X303" i="7"/>
  <c r="X294" i="7"/>
  <c r="X304" i="7"/>
  <c r="X360" i="1"/>
  <c r="X65" i="5"/>
  <c r="Y264" i="7"/>
  <c r="Z244" i="32"/>
  <c r="Z241" i="32" s="1"/>
  <c r="Z255" i="32"/>
  <c r="AA167" i="32"/>
  <c r="AA240" i="7"/>
  <c r="AA233" i="7"/>
  <c r="AA160" i="32"/>
  <c r="Z182" i="7"/>
  <c r="Z194" i="7" s="1"/>
  <c r="Z147" i="32"/>
  <c r="AA161" i="32"/>
  <c r="AA234" i="7"/>
  <c r="Y64" i="5"/>
  <c r="Z262" i="7"/>
  <c r="Y359" i="1"/>
  <c r="V67" i="6"/>
  <c r="AA164" i="32"/>
  <c r="AA237" i="7"/>
  <c r="Z185" i="7"/>
  <c r="Z197" i="7" s="1"/>
  <c r="Z150" i="32"/>
  <c r="AA159" i="32"/>
  <c r="AA232" i="7"/>
  <c r="AA166" i="32"/>
  <c r="AA239" i="7"/>
  <c r="V237" i="32"/>
  <c r="V236" i="32"/>
  <c r="V139" i="32"/>
  <c r="V140" i="32" s="1"/>
  <c r="W59" i="2"/>
  <c r="W64" i="6" s="1"/>
  <c r="W437" i="1"/>
  <c r="Z183" i="7"/>
  <c r="Z195" i="7" s="1"/>
  <c r="Z148" i="32"/>
  <c r="Z180" i="7"/>
  <c r="Z192" i="7" s="1"/>
  <c r="Z145" i="32"/>
  <c r="AA168" i="32"/>
  <c r="AA241" i="7"/>
  <c r="Z181" i="7"/>
  <c r="Z193" i="7" s="1"/>
  <c r="Z146" i="32"/>
  <c r="Y59" i="5"/>
  <c r="Y12" i="5"/>
  <c r="Y62" i="5"/>
  <c r="Y20" i="5" s="1"/>
  <c r="Y712" i="7"/>
  <c r="AA172" i="7"/>
  <c r="AA150" i="7"/>
  <c r="AB139" i="7"/>
  <c r="AA161" i="7"/>
  <c r="AA162" i="7"/>
  <c r="AA173" i="7"/>
  <c r="AA151" i="7"/>
  <c r="AB140" i="7"/>
  <c r="Y104" i="2"/>
  <c r="Y109" i="6" s="1"/>
  <c r="Y386" i="25"/>
  <c r="AC633" i="7"/>
  <c r="AC638" i="7" s="1"/>
  <c r="AC145" i="33"/>
  <c r="AA13" i="5"/>
  <c r="AA163" i="7"/>
  <c r="AB141" i="7"/>
  <c r="AA174" i="7"/>
  <c r="AA152" i="7"/>
  <c r="Z640" i="7"/>
  <c r="Z641" i="7" s="1"/>
  <c r="Z1118" i="7"/>
  <c r="W117" i="2"/>
  <c r="W389" i="25"/>
  <c r="X110" i="5"/>
  <c r="X113" i="5" s="1"/>
  <c r="X310" i="25"/>
  <c r="Y684" i="7"/>
  <c r="X387" i="25"/>
  <c r="X105" i="2"/>
  <c r="X110" i="6" s="1"/>
  <c r="Z179" i="7"/>
  <c r="Z1117" i="7"/>
  <c r="Z177" i="7"/>
  <c r="AD628" i="7"/>
  <c r="AD658" i="7"/>
  <c r="AD160" i="33"/>
  <c r="AE619" i="7"/>
  <c r="AB660" i="7"/>
  <c r="AB100" i="5" s="1"/>
  <c r="AB162" i="33"/>
  <c r="AB630" i="7"/>
  <c r="AC621" i="7"/>
  <c r="AB622" i="7"/>
  <c r="AB672" i="7" s="1"/>
  <c r="AA165" i="7"/>
  <c r="AA176" i="7"/>
  <c r="AA154" i="7"/>
  <c r="AB143" i="7"/>
  <c r="G107" i="2"/>
  <c r="G134" i="2"/>
  <c r="H137" i="6"/>
  <c r="G727" i="7"/>
  <c r="G138" i="6"/>
  <c r="AA158" i="7"/>
  <c r="AA169" i="7"/>
  <c r="AA147" i="7"/>
  <c r="AB136" i="7"/>
  <c r="X724" i="7"/>
  <c r="W140" i="33"/>
  <c r="W141" i="33" s="1"/>
  <c r="W223" i="33"/>
  <c r="W118" i="5"/>
  <c r="W122" i="5" s="1"/>
  <c r="W222" i="33"/>
  <c r="AA171" i="7"/>
  <c r="AA149" i="7"/>
  <c r="AB138" i="7"/>
  <c r="AA160" i="7"/>
  <c r="U125" i="2"/>
  <c r="U729" i="7"/>
  <c r="U212" i="33"/>
  <c r="Z108" i="5"/>
  <c r="AA680" i="7"/>
  <c r="Z308" i="25"/>
  <c r="AC634" i="7"/>
  <c r="AC639" i="7" s="1"/>
  <c r="AC146" i="33"/>
  <c r="Z682" i="7"/>
  <c r="Z722" i="7" s="1"/>
  <c r="Y309" i="25"/>
  <c r="Y109" i="5"/>
  <c r="AA223" i="25"/>
  <c r="AA101" i="5"/>
  <c r="AA15" i="5" s="1"/>
  <c r="AA183" i="33"/>
  <c r="AA172" i="10"/>
  <c r="AA241" i="33"/>
  <c r="AA230" i="33"/>
  <c r="AA227" i="33" s="1"/>
  <c r="AB638" i="7"/>
  <c r="V112" i="6"/>
  <c r="V114" i="6" s="1"/>
  <c r="V120" i="2"/>
  <c r="AB142" i="7"/>
  <c r="AA153" i="7"/>
  <c r="AA164" i="7"/>
  <c r="AA175" i="7"/>
  <c r="Y105" i="2"/>
  <c r="Y387" i="25"/>
  <c r="AD629" i="7"/>
  <c r="AD161" i="33"/>
  <c r="AD659" i="7"/>
  <c r="AE620" i="7"/>
  <c r="Z106" i="5"/>
  <c r="AB135" i="7"/>
  <c r="AA146" i="7"/>
  <c r="AA157" i="7"/>
  <c r="AA168" i="7"/>
  <c r="AB137" i="7"/>
  <c r="AA148" i="7"/>
  <c r="AA170" i="7"/>
  <c r="AA159" i="7"/>
  <c r="AA167" i="7"/>
  <c r="AA144" i="32" s="1"/>
  <c r="AA145" i="7"/>
  <c r="AB134" i="7"/>
  <c r="AA156" i="7"/>
  <c r="AA147" i="33"/>
  <c r="AA635" i="7"/>
  <c r="AA636" i="7" s="1"/>
  <c r="AA631" i="7"/>
  <c r="AA1125" i="7"/>
  <c r="H103" i="6"/>
  <c r="H130" i="6" s="1"/>
  <c r="H197" i="33" s="1"/>
  <c r="H125" i="5"/>
  <c r="H127" i="5" s="1"/>
  <c r="G217" i="33"/>
  <c r="Y191" i="7"/>
  <c r="Y201" i="7" s="1"/>
  <c r="Z103" i="5"/>
  <c r="Z62" i="5" l="1"/>
  <c r="Z20" i="5" s="1"/>
  <c r="Z12" i="5"/>
  <c r="AA56" i="5"/>
  <c r="AA59" i="5" s="1"/>
  <c r="AB233" i="7"/>
  <c r="AB160" i="32"/>
  <c r="AB159" i="32"/>
  <c r="AB232" i="7"/>
  <c r="AA182" i="7"/>
  <c r="AA194" i="7" s="1"/>
  <c r="AA147" i="32"/>
  <c r="AB241" i="7"/>
  <c r="AB168" i="32"/>
  <c r="AA185" i="7"/>
  <c r="AA197" i="7" s="1"/>
  <c r="AA150" i="32"/>
  <c r="Y294" i="7"/>
  <c r="Y303" i="7"/>
  <c r="Y138" i="32"/>
  <c r="AA255" i="32"/>
  <c r="AA244" i="32"/>
  <c r="AA241" i="32" s="1"/>
  <c r="Z359" i="1"/>
  <c r="Z64" i="5"/>
  <c r="AA262" i="7"/>
  <c r="X437" i="1"/>
  <c r="X59" i="2"/>
  <c r="X64" i="6" s="1"/>
  <c r="AA180" i="7"/>
  <c r="AA192" i="7" s="1"/>
  <c r="AA145" i="32"/>
  <c r="AB163" i="32"/>
  <c r="AB236" i="7"/>
  <c r="AB161" i="32"/>
  <c r="AB234" i="7"/>
  <c r="AB239" i="7"/>
  <c r="AB166" i="32"/>
  <c r="AB164" i="32"/>
  <c r="AB237" i="7"/>
  <c r="X72" i="2"/>
  <c r="X440" i="1"/>
  <c r="W237" i="32"/>
  <c r="W139" i="32"/>
  <c r="W140" i="32" s="1"/>
  <c r="W236" i="32"/>
  <c r="AB162" i="32"/>
  <c r="AB235" i="7"/>
  <c r="AA187" i="7"/>
  <c r="AA199" i="7" s="1"/>
  <c r="AA152" i="32"/>
  <c r="AA188" i="7"/>
  <c r="AA200" i="7" s="1"/>
  <c r="AA153" i="32"/>
  <c r="AA186" i="7"/>
  <c r="AA198" i="7" s="1"/>
  <c r="AA151" i="32"/>
  <c r="AB238" i="7"/>
  <c r="AB165" i="32"/>
  <c r="Z138" i="32"/>
  <c r="Z303" i="7"/>
  <c r="Z294" i="7"/>
  <c r="Y304" i="7"/>
  <c r="Y360" i="1"/>
  <c r="Y65" i="5"/>
  <c r="Z264" i="7"/>
  <c r="X361" i="1"/>
  <c r="X66" i="5"/>
  <c r="X69" i="5" s="1"/>
  <c r="Y266" i="7"/>
  <c r="AB167" i="32"/>
  <c r="AB240" i="7"/>
  <c r="AA183" i="7"/>
  <c r="AA195" i="7" s="1"/>
  <c r="AA148" i="32"/>
  <c r="AA181" i="7"/>
  <c r="AA193" i="7" s="1"/>
  <c r="AA146" i="32"/>
  <c r="AA184" i="7"/>
  <c r="AA196" i="7" s="1"/>
  <c r="AA149" i="32"/>
  <c r="X60" i="2"/>
  <c r="X65" i="6" s="1"/>
  <c r="X438" i="1"/>
  <c r="W440" i="1"/>
  <c r="W72" i="2"/>
  <c r="Y110" i="6"/>
  <c r="AA1118" i="7"/>
  <c r="AA640" i="7"/>
  <c r="AA641" i="7" s="1"/>
  <c r="AA106" i="5"/>
  <c r="AB156" i="7"/>
  <c r="AB167" i="7"/>
  <c r="AB144" i="32" s="1"/>
  <c r="AB145" i="7"/>
  <c r="AC134" i="7"/>
  <c r="AD634" i="7"/>
  <c r="AD639" i="7" s="1"/>
  <c r="AD146" i="33"/>
  <c r="V729" i="7"/>
  <c r="V125" i="2"/>
  <c r="V212" i="33"/>
  <c r="AB13" i="5"/>
  <c r="AC141" i="7"/>
  <c r="AB163" i="7"/>
  <c r="AB174" i="7"/>
  <c r="AB152" i="7"/>
  <c r="AB164" i="7"/>
  <c r="AB175" i="7"/>
  <c r="AB153" i="7"/>
  <c r="AC142" i="7"/>
  <c r="Z105" i="2"/>
  <c r="Z110" i="6" s="1"/>
  <c r="Z387" i="25"/>
  <c r="AB171" i="7"/>
  <c r="AB149" i="7"/>
  <c r="AC138" i="7"/>
  <c r="AB160" i="7"/>
  <c r="G731" i="7"/>
  <c r="G391" i="25"/>
  <c r="AB165" i="7"/>
  <c r="AB176" i="7"/>
  <c r="AC143" i="7"/>
  <c r="AB154" i="7"/>
  <c r="AB172" i="10"/>
  <c r="AB101" i="5"/>
  <c r="AB15" i="5" s="1"/>
  <c r="AB223" i="25"/>
  <c r="AB183" i="33"/>
  <c r="AB241" i="33"/>
  <c r="AB230" i="33"/>
  <c r="AB227" i="33" s="1"/>
  <c r="Y724" i="7"/>
  <c r="Z684" i="7"/>
  <c r="Z724" i="7" s="1"/>
  <c r="Y110" i="5"/>
  <c r="Y113" i="5" s="1"/>
  <c r="Y310" i="25"/>
  <c r="W112" i="6"/>
  <c r="W114" i="6" s="1"/>
  <c r="W120" i="2"/>
  <c r="AA103" i="5"/>
  <c r="Z139" i="33"/>
  <c r="Z721" i="7"/>
  <c r="Z712" i="7"/>
  <c r="H102" i="6"/>
  <c r="H115" i="6" s="1"/>
  <c r="H711" i="7"/>
  <c r="H713" i="7" s="1"/>
  <c r="AA179" i="7"/>
  <c r="AA1117" i="7"/>
  <c r="AA177" i="7"/>
  <c r="AC137" i="7"/>
  <c r="AB170" i="7"/>
  <c r="AB148" i="7"/>
  <c r="AB159" i="7"/>
  <c r="AB157" i="7"/>
  <c r="AB168" i="7"/>
  <c r="AB146" i="7"/>
  <c r="AC135" i="7"/>
  <c r="Z309" i="25"/>
  <c r="Z109" i="5"/>
  <c r="AA682" i="7"/>
  <c r="X117" i="2"/>
  <c r="X389" i="25"/>
  <c r="AC136" i="7"/>
  <c r="AB147" i="7"/>
  <c r="AB169" i="7"/>
  <c r="AB158" i="7"/>
  <c r="G728" i="7"/>
  <c r="G730" i="7" s="1"/>
  <c r="G211" i="33"/>
  <c r="G213" i="33" s="1"/>
  <c r="G112" i="2"/>
  <c r="AB635" i="7"/>
  <c r="AB147" i="33"/>
  <c r="AB631" i="7"/>
  <c r="AB1125" i="7"/>
  <c r="AD633" i="7"/>
  <c r="AD638" i="7" s="1"/>
  <c r="AD145" i="33"/>
  <c r="Z191" i="7"/>
  <c r="Z201" i="7" s="1"/>
  <c r="Z189" i="7"/>
  <c r="AB161" i="7"/>
  <c r="AB172" i="7"/>
  <c r="AC139" i="7"/>
  <c r="AB150" i="7"/>
  <c r="AE161" i="33"/>
  <c r="AE659" i="7"/>
  <c r="AE629" i="7"/>
  <c r="AF620" i="7"/>
  <c r="AB680" i="7"/>
  <c r="AA308" i="25"/>
  <c r="AA108" i="5"/>
  <c r="AC630" i="7"/>
  <c r="AC162" i="33"/>
  <c r="AC660" i="7"/>
  <c r="AC100" i="5" s="1"/>
  <c r="AD621" i="7"/>
  <c r="AC622" i="7"/>
  <c r="AC672" i="7" s="1"/>
  <c r="AE658" i="7"/>
  <c r="AE628" i="7"/>
  <c r="AE160" i="33"/>
  <c r="AF619" i="7"/>
  <c r="X140" i="33"/>
  <c r="X141" i="33" s="1"/>
  <c r="X223" i="33"/>
  <c r="X222" i="33"/>
  <c r="X118" i="5"/>
  <c r="X122" i="5" s="1"/>
  <c r="AB162" i="7"/>
  <c r="AB151" i="7"/>
  <c r="AC140" i="7"/>
  <c r="AB173" i="7"/>
  <c r="AA62" i="5" l="1"/>
  <c r="AA20" i="5"/>
  <c r="AA12" i="5"/>
  <c r="AB185" i="7"/>
  <c r="AB197" i="7" s="1"/>
  <c r="AB150" i="32"/>
  <c r="AB181" i="7"/>
  <c r="AB193" i="7" s="1"/>
  <c r="AB146" i="32"/>
  <c r="AC233" i="7"/>
  <c r="AC160" i="32"/>
  <c r="AC163" i="32"/>
  <c r="AC236" i="7"/>
  <c r="AC166" i="32"/>
  <c r="AC239" i="7"/>
  <c r="Z304" i="7"/>
  <c r="Z360" i="1"/>
  <c r="Z65" i="5"/>
  <c r="AA264" i="7"/>
  <c r="X67" i="6"/>
  <c r="AC162" i="32"/>
  <c r="AC235" i="7"/>
  <c r="AB188" i="7"/>
  <c r="AB200" i="7" s="1"/>
  <c r="AB153" i="32"/>
  <c r="AB187" i="7"/>
  <c r="AB199" i="7" s="1"/>
  <c r="AB152" i="32"/>
  <c r="AC232" i="7"/>
  <c r="AC159" i="32"/>
  <c r="Y60" i="2"/>
  <c r="Y65" i="6" s="1"/>
  <c r="Y438" i="1"/>
  <c r="AB184" i="7"/>
  <c r="AB196" i="7" s="1"/>
  <c r="AB149" i="32"/>
  <c r="AC161" i="32"/>
  <c r="AC234" i="7"/>
  <c r="AB180" i="7"/>
  <c r="AB192" i="7" s="1"/>
  <c r="AB145" i="32"/>
  <c r="AB182" i="7"/>
  <c r="AB194" i="7" s="1"/>
  <c r="AB147" i="32"/>
  <c r="AC168" i="32"/>
  <c r="AC241" i="7"/>
  <c r="AB183" i="7"/>
  <c r="AB195" i="7" s="1"/>
  <c r="AB148" i="32"/>
  <c r="AB186" i="7"/>
  <c r="AB198" i="7" s="1"/>
  <c r="AB151" i="32"/>
  <c r="W67" i="6"/>
  <c r="X139" i="32"/>
  <c r="X140" i="32" s="1"/>
  <c r="X237" i="32"/>
  <c r="X236" i="32"/>
  <c r="Z437" i="1"/>
  <c r="Z59" i="2"/>
  <c r="AB262" i="7"/>
  <c r="AA359" i="1"/>
  <c r="AA64" i="5"/>
  <c r="AB255" i="32"/>
  <c r="AB244" i="32"/>
  <c r="AB241" i="32" s="1"/>
  <c r="AC165" i="32"/>
  <c r="AC238" i="7"/>
  <c r="AC164" i="32"/>
  <c r="AC237" i="7"/>
  <c r="AC167" i="32"/>
  <c r="AC240" i="7"/>
  <c r="Y306" i="7"/>
  <c r="Y361" i="1"/>
  <c r="Y66" i="5"/>
  <c r="Y69" i="5" s="1"/>
  <c r="Z266" i="7"/>
  <c r="Z306" i="7" s="1"/>
  <c r="AA138" i="32"/>
  <c r="AA303" i="7"/>
  <c r="AA294" i="7"/>
  <c r="Y59" i="2"/>
  <c r="Y64" i="6" s="1"/>
  <c r="Y437" i="1"/>
  <c r="AB56" i="5"/>
  <c r="AC13" i="5"/>
  <c r="AF629" i="7"/>
  <c r="AF161" i="33"/>
  <c r="AF659" i="7"/>
  <c r="AG620" i="7"/>
  <c r="Z389" i="25"/>
  <c r="Z117" i="2"/>
  <c r="AB106" i="5"/>
  <c r="G716" i="7"/>
  <c r="G717" i="7" s="1"/>
  <c r="X112" i="6"/>
  <c r="X114" i="6" s="1"/>
  <c r="X120" i="2"/>
  <c r="AC159" i="7"/>
  <c r="AC170" i="7"/>
  <c r="AC148" i="7"/>
  <c r="AD137" i="7"/>
  <c r="AA191" i="7"/>
  <c r="AA201" i="7" s="1"/>
  <c r="AA189" i="7"/>
  <c r="Z104" i="2"/>
  <c r="Z109" i="6" s="1"/>
  <c r="Z386" i="25"/>
  <c r="AF160" i="33"/>
  <c r="AF628" i="7"/>
  <c r="AF658" i="7"/>
  <c r="AG619" i="7"/>
  <c r="AD630" i="7"/>
  <c r="AD162" i="33"/>
  <c r="AD660" i="7"/>
  <c r="AD100" i="5" s="1"/>
  <c r="AE621" i="7"/>
  <c r="AD622" i="7"/>
  <c r="AD672" i="7" s="1"/>
  <c r="AB108" i="5"/>
  <c r="AC680" i="7"/>
  <c r="AB308" i="25"/>
  <c r="AB640" i="7"/>
  <c r="AB641" i="7" s="1"/>
  <c r="AB636" i="7"/>
  <c r="H701" i="7"/>
  <c r="H189" i="33"/>
  <c r="H193" i="33" s="1"/>
  <c r="AA712" i="7"/>
  <c r="AA139" i="33"/>
  <c r="AA721" i="7"/>
  <c r="Y389" i="25"/>
  <c r="Y117" i="2"/>
  <c r="AC165" i="7"/>
  <c r="AC176" i="7"/>
  <c r="AD143" i="7"/>
  <c r="AC154" i="7"/>
  <c r="AC164" i="7"/>
  <c r="AC175" i="7"/>
  <c r="AD142" i="7"/>
  <c r="AC153" i="7"/>
  <c r="AC156" i="7"/>
  <c r="AC167" i="7"/>
  <c r="AC144" i="32" s="1"/>
  <c r="AC145" i="7"/>
  <c r="AD134" i="7"/>
  <c r="AB103" i="5"/>
  <c r="AC172" i="10"/>
  <c r="AC223" i="25"/>
  <c r="AC101" i="5"/>
  <c r="AC15" i="5" s="1"/>
  <c r="AC183" i="33"/>
  <c r="AC147" i="33"/>
  <c r="AC635" i="7"/>
  <c r="AC1125" i="7"/>
  <c r="AC631" i="7"/>
  <c r="AC161" i="7"/>
  <c r="AC172" i="7"/>
  <c r="AC150" i="7"/>
  <c r="AD139" i="7"/>
  <c r="AC158" i="7"/>
  <c r="AD136" i="7"/>
  <c r="AC147" i="7"/>
  <c r="AC169" i="7"/>
  <c r="AA722" i="7"/>
  <c r="AA309" i="25"/>
  <c r="AA109" i="5"/>
  <c r="AB682" i="7"/>
  <c r="AA684" i="7"/>
  <c r="Z310" i="25"/>
  <c r="Z110" i="5"/>
  <c r="Z113" i="5" s="1"/>
  <c r="R185" i="33"/>
  <c r="X185" i="33"/>
  <c r="G185" i="33"/>
  <c r="Y185" i="33"/>
  <c r="P185" i="33"/>
  <c r="O185" i="33"/>
  <c r="N185" i="33"/>
  <c r="AB185" i="33"/>
  <c r="Z185" i="33"/>
  <c r="F185" i="33"/>
  <c r="V185" i="33"/>
  <c r="W185" i="33"/>
  <c r="J185" i="33"/>
  <c r="S185" i="33"/>
  <c r="Q185" i="33"/>
  <c r="AD185" i="33"/>
  <c r="AC185" i="33"/>
  <c r="AE185" i="33"/>
  <c r="U185" i="33"/>
  <c r="E185" i="33"/>
  <c r="H185" i="33"/>
  <c r="T185" i="33"/>
  <c r="AF185" i="33"/>
  <c r="L185" i="33"/>
  <c r="M185" i="33"/>
  <c r="AA185" i="33"/>
  <c r="I185" i="33"/>
  <c r="K185" i="33"/>
  <c r="AG185" i="33"/>
  <c r="AC174" i="7"/>
  <c r="AC152" i="7"/>
  <c r="AD141" i="7"/>
  <c r="AC163" i="7"/>
  <c r="AB1118" i="7"/>
  <c r="AC162" i="7"/>
  <c r="AD140" i="7"/>
  <c r="AC151" i="7"/>
  <c r="AC173" i="7"/>
  <c r="AE145" i="33"/>
  <c r="AE633" i="7"/>
  <c r="AE638" i="7" s="1"/>
  <c r="AC230" i="33"/>
  <c r="AC227" i="33" s="1"/>
  <c r="AC241" i="33"/>
  <c r="AE146" i="33"/>
  <c r="AE634" i="7"/>
  <c r="AE639" i="7" s="1"/>
  <c r="AD135" i="7"/>
  <c r="AC157" i="7"/>
  <c r="AC168" i="7"/>
  <c r="AC145" i="32" s="1"/>
  <c r="AC146" i="7"/>
  <c r="W729" i="7"/>
  <c r="W125" i="2"/>
  <c r="W212" i="33"/>
  <c r="Y140" i="33"/>
  <c r="Y141" i="33" s="1"/>
  <c r="Y118" i="5"/>
  <c r="Y122" i="5" s="1"/>
  <c r="Y223" i="33"/>
  <c r="Y222" i="33"/>
  <c r="X174" i="10"/>
  <c r="G174" i="10"/>
  <c r="AD174" i="10"/>
  <c r="AE174" i="10"/>
  <c r="Q174" i="10"/>
  <c r="N174" i="10"/>
  <c r="P174" i="10"/>
  <c r="AG174" i="10"/>
  <c r="AA174" i="10"/>
  <c r="F174" i="10"/>
  <c r="H174" i="10"/>
  <c r="V174" i="10"/>
  <c r="R174" i="10"/>
  <c r="S174" i="10"/>
  <c r="AB174" i="10"/>
  <c r="Y174" i="10"/>
  <c r="K174" i="10"/>
  <c r="M174" i="10"/>
  <c r="U174" i="10"/>
  <c r="L174" i="10"/>
  <c r="Z174" i="10"/>
  <c r="I174" i="10"/>
  <c r="AF174" i="10"/>
  <c r="AC174" i="10"/>
  <c r="J174" i="10"/>
  <c r="O174" i="10"/>
  <c r="E174" i="10"/>
  <c r="W174" i="10"/>
  <c r="T174" i="10"/>
  <c r="AC160" i="7"/>
  <c r="AC171" i="7"/>
  <c r="AC149" i="7"/>
  <c r="AD138" i="7"/>
  <c r="AB179" i="7"/>
  <c r="AB177" i="7"/>
  <c r="AB1117" i="7"/>
  <c r="AB62" i="5" l="1"/>
  <c r="AB20" i="5" s="1"/>
  <c r="AC56" i="5"/>
  <c r="AC59" i="5" s="1"/>
  <c r="AD161" i="32"/>
  <c r="AD234" i="7"/>
  <c r="AC184" i="7"/>
  <c r="AC196" i="7" s="1"/>
  <c r="AC149" i="32"/>
  <c r="AD167" i="32"/>
  <c r="AD240" i="7"/>
  <c r="AD168" i="32"/>
  <c r="AD241" i="7"/>
  <c r="AD235" i="7"/>
  <c r="AD162" i="32"/>
  <c r="Z440" i="1"/>
  <c r="Z72" i="2"/>
  <c r="Y139" i="32"/>
  <c r="Y140" i="32" s="1"/>
  <c r="Y236" i="32"/>
  <c r="Y237" i="32"/>
  <c r="Z438" i="1"/>
  <c r="Z60" i="2"/>
  <c r="Z65" i="6" s="1"/>
  <c r="AD238" i="7"/>
  <c r="AD165" i="32"/>
  <c r="AD239" i="7"/>
  <c r="AD166" i="32"/>
  <c r="AD159" i="32"/>
  <c r="AD232" i="7"/>
  <c r="AB12" i="5"/>
  <c r="AB59" i="5"/>
  <c r="Z361" i="1"/>
  <c r="Z66" i="5"/>
  <c r="Z69" i="5" s="1"/>
  <c r="AA266" i="7"/>
  <c r="AC255" i="32"/>
  <c r="AC244" i="32"/>
  <c r="AC241" i="32" s="1"/>
  <c r="Z64" i="6"/>
  <c r="AD233" i="7"/>
  <c r="AD160" i="32"/>
  <c r="AC181" i="7"/>
  <c r="AC193" i="7" s="1"/>
  <c r="AC146" i="32"/>
  <c r="AD237" i="7"/>
  <c r="AD164" i="32"/>
  <c r="AC182" i="7"/>
  <c r="AC194" i="7" s="1"/>
  <c r="AC147" i="32"/>
  <c r="Y72" i="2"/>
  <c r="Y440" i="1"/>
  <c r="AC262" i="7"/>
  <c r="AB359" i="1"/>
  <c r="AB64" i="5"/>
  <c r="AD236" i="7"/>
  <c r="AD163" i="32"/>
  <c r="AC183" i="7"/>
  <c r="AC195" i="7" s="1"/>
  <c r="AC148" i="32"/>
  <c r="AC185" i="7"/>
  <c r="AC197" i="7" s="1"/>
  <c r="AC150" i="32"/>
  <c r="AC186" i="7"/>
  <c r="AC198" i="7" s="1"/>
  <c r="AC151" i="32"/>
  <c r="AC187" i="7"/>
  <c r="AC199" i="7" s="1"/>
  <c r="AC152" i="32"/>
  <c r="AC188" i="7"/>
  <c r="AC200" i="7" s="1"/>
  <c r="AC153" i="32"/>
  <c r="AA437" i="1"/>
  <c r="AA59" i="2"/>
  <c r="AA64" i="6" s="1"/>
  <c r="AA304" i="7"/>
  <c r="AB264" i="7"/>
  <c r="AA360" i="1"/>
  <c r="AA65" i="5"/>
  <c r="AD160" i="7"/>
  <c r="AD171" i="7"/>
  <c r="AE138" i="7"/>
  <c r="AD149" i="7"/>
  <c r="AC180" i="7"/>
  <c r="AC192" i="7" s="1"/>
  <c r="AA110" i="5"/>
  <c r="AA113" i="5" s="1"/>
  <c r="AB684" i="7"/>
  <c r="AA310" i="25"/>
  <c r="AA724" i="7"/>
  <c r="AB722" i="7"/>
  <c r="AB309" i="25"/>
  <c r="AB109" i="5"/>
  <c r="AC682" i="7"/>
  <c r="AC179" i="7"/>
  <c r="AC177" i="7"/>
  <c r="AC1117" i="7"/>
  <c r="AD13" i="5"/>
  <c r="AE137" i="7"/>
  <c r="AD148" i="7"/>
  <c r="AD159" i="7"/>
  <c r="AD170" i="7"/>
  <c r="AD147" i="32" s="1"/>
  <c r="X729" i="7"/>
  <c r="X212" i="33"/>
  <c r="X125" i="2"/>
  <c r="AF634" i="7"/>
  <c r="AF639" i="7" s="1"/>
  <c r="AF146" i="33"/>
  <c r="AD162" i="7"/>
  <c r="AE140" i="7"/>
  <c r="AD173" i="7"/>
  <c r="AD151" i="7"/>
  <c r="AA105" i="2"/>
  <c r="AA110" i="6" s="1"/>
  <c r="AA387" i="25"/>
  <c r="AC106" i="5"/>
  <c r="AB139" i="33"/>
  <c r="AB721" i="7"/>
  <c r="AB712" i="7"/>
  <c r="AD164" i="7"/>
  <c r="AD175" i="7"/>
  <c r="AD153" i="7"/>
  <c r="AE142" i="7"/>
  <c r="H703" i="7"/>
  <c r="H706" i="7"/>
  <c r="AD680" i="7"/>
  <c r="AC308" i="25"/>
  <c r="AC108" i="5"/>
  <c r="AE162" i="33"/>
  <c r="AE630" i="7"/>
  <c r="AE660" i="7"/>
  <c r="AE100" i="5" s="1"/>
  <c r="AF621" i="7"/>
  <c r="AE622" i="7"/>
  <c r="AE672" i="7" s="1"/>
  <c r="AG658" i="7"/>
  <c r="AG628" i="7"/>
  <c r="AG160" i="33"/>
  <c r="AH619" i="7"/>
  <c r="Z112" i="6"/>
  <c r="Z114" i="6" s="1"/>
  <c r="Z120" i="2"/>
  <c r="AB191" i="7"/>
  <c r="AB201" i="7" s="1"/>
  <c r="AB189" i="7"/>
  <c r="AD157" i="7"/>
  <c r="AE135" i="7"/>
  <c r="AD146" i="7"/>
  <c r="AD168" i="7"/>
  <c r="Z140" i="33"/>
  <c r="Z141" i="33" s="1"/>
  <c r="Z223" i="33"/>
  <c r="Z222" i="33"/>
  <c r="Z118" i="5"/>
  <c r="Z122" i="5" s="1"/>
  <c r="AD158" i="7"/>
  <c r="AE136" i="7"/>
  <c r="AD169" i="7"/>
  <c r="AD147" i="7"/>
  <c r="AD161" i="7"/>
  <c r="AE139" i="7"/>
  <c r="AD150" i="7"/>
  <c r="AD172" i="7"/>
  <c r="AD167" i="7"/>
  <c r="AD144" i="32" s="1"/>
  <c r="AD145" i="7"/>
  <c r="AE134" i="7"/>
  <c r="AD156" i="7"/>
  <c r="AD176" i="7"/>
  <c r="AD165" i="7"/>
  <c r="AE143" i="7"/>
  <c r="AD154" i="7"/>
  <c r="AA386" i="25"/>
  <c r="AA104" i="2"/>
  <c r="AA109" i="6" s="1"/>
  <c r="AD223" i="25"/>
  <c r="AD101" i="5"/>
  <c r="AD15" i="5" s="1"/>
  <c r="AD183" i="33"/>
  <c r="AD172" i="10"/>
  <c r="AD147" i="33"/>
  <c r="AD635" i="7"/>
  <c r="AD1125" i="7"/>
  <c r="AD631" i="7"/>
  <c r="AF145" i="33"/>
  <c r="AF633" i="7"/>
  <c r="G218" i="33"/>
  <c r="AD163" i="7"/>
  <c r="AE141" i="7"/>
  <c r="AD174" i="7"/>
  <c r="AD152" i="7"/>
  <c r="AC640" i="7"/>
  <c r="AC641" i="7" s="1"/>
  <c r="AC636" i="7"/>
  <c r="Y120" i="2"/>
  <c r="Y112" i="6"/>
  <c r="Y114" i="6" s="1"/>
  <c r="AD241" i="33"/>
  <c r="AD230" i="33"/>
  <c r="AD227" i="33" s="1"/>
  <c r="AG629" i="7"/>
  <c r="AG659" i="7"/>
  <c r="AG161" i="33"/>
  <c r="AH620" i="7"/>
  <c r="AC1118" i="7"/>
  <c r="AB724" i="7"/>
  <c r="AC103" i="5"/>
  <c r="AC12" i="5" l="1"/>
  <c r="AD184" i="7"/>
  <c r="AD196" i="7" s="1"/>
  <c r="AD149" i="32"/>
  <c r="AD188" i="7"/>
  <c r="AD200" i="7" s="1"/>
  <c r="AD153" i="32"/>
  <c r="AE163" i="32"/>
  <c r="AE236" i="7"/>
  <c r="Z237" i="32"/>
  <c r="Z236" i="32"/>
  <c r="Z139" i="32"/>
  <c r="Z140" i="32" s="1"/>
  <c r="AD56" i="5"/>
  <c r="AE166" i="32"/>
  <c r="AE239" i="7"/>
  <c r="AE164" i="32"/>
  <c r="AE237" i="7"/>
  <c r="AE161" i="32"/>
  <c r="AE234" i="7"/>
  <c r="AE233" i="7"/>
  <c r="AE160" i="32"/>
  <c r="AE240" i="7"/>
  <c r="AE167" i="32"/>
  <c r="AE165" i="32"/>
  <c r="AE238" i="7"/>
  <c r="Y67" i="6"/>
  <c r="AA361" i="1"/>
  <c r="AA66" i="5"/>
  <c r="AA69" i="5" s="1"/>
  <c r="AB266" i="7"/>
  <c r="AA306" i="7"/>
  <c r="AC303" i="7"/>
  <c r="AC294" i="7"/>
  <c r="AC138" i="32"/>
  <c r="AC62" i="5"/>
  <c r="AC20" i="5" s="1"/>
  <c r="AE168" i="32"/>
  <c r="AE241" i="7"/>
  <c r="AE159" i="32"/>
  <c r="AE232" i="7"/>
  <c r="AD181" i="7"/>
  <c r="AD193" i="7" s="1"/>
  <c r="AD146" i="32"/>
  <c r="AD185" i="7"/>
  <c r="AD197" i="7" s="1"/>
  <c r="AD150" i="32"/>
  <c r="AA438" i="1"/>
  <c r="AA60" i="2"/>
  <c r="AA65" i="6" s="1"/>
  <c r="AB303" i="7"/>
  <c r="AB138" i="32"/>
  <c r="AB294" i="7"/>
  <c r="AD186" i="7"/>
  <c r="AD198" i="7" s="1"/>
  <c r="AD151" i="32"/>
  <c r="AD180" i="7"/>
  <c r="AD192" i="7" s="1"/>
  <c r="AD145" i="32"/>
  <c r="AD187" i="7"/>
  <c r="AD199" i="7" s="1"/>
  <c r="AD152" i="32"/>
  <c r="AE162" i="32"/>
  <c r="AE235" i="7"/>
  <c r="AD183" i="7"/>
  <c r="AD195" i="7" s="1"/>
  <c r="AD148" i="32"/>
  <c r="AB304" i="7"/>
  <c r="AB360" i="1"/>
  <c r="AB65" i="5"/>
  <c r="AC264" i="7"/>
  <c r="AC64" i="5"/>
  <c r="AD262" i="7"/>
  <c r="AC359" i="1"/>
  <c r="AD255" i="32"/>
  <c r="AD244" i="32"/>
  <c r="AD241" i="32" s="1"/>
  <c r="Z67" i="6"/>
  <c r="AC189" i="7"/>
  <c r="AC191" i="7"/>
  <c r="AC201" i="7" s="1"/>
  <c r="AD1118" i="7"/>
  <c r="AG146" i="33"/>
  <c r="AG634" i="7"/>
  <c r="AG639" i="7" s="1"/>
  <c r="Y212" i="33"/>
  <c r="Y125" i="2"/>
  <c r="Y729" i="7"/>
  <c r="AE167" i="7"/>
  <c r="AE144" i="32" s="1"/>
  <c r="AE145" i="7"/>
  <c r="AF134" i="7"/>
  <c r="AE156" i="7"/>
  <c r="AE230" i="33"/>
  <c r="AE227" i="33" s="1"/>
  <c r="AE241" i="33"/>
  <c r="AF142" i="7"/>
  <c r="AE153" i="7"/>
  <c r="AE164" i="7"/>
  <c r="AE175" i="7"/>
  <c r="AB386" i="25"/>
  <c r="AB104" i="2"/>
  <c r="AB109" i="6" s="1"/>
  <c r="AC722" i="7"/>
  <c r="AC309" i="25"/>
  <c r="AD682" i="7"/>
  <c r="AD722" i="7" s="1"/>
  <c r="AC109" i="5"/>
  <c r="AA117" i="2"/>
  <c r="AA389" i="25"/>
  <c r="AA140" i="33"/>
  <c r="AA141" i="33" s="1"/>
  <c r="AA223" i="33"/>
  <c r="AA222" i="33"/>
  <c r="AA118" i="5"/>
  <c r="AA122" i="5" s="1"/>
  <c r="AD103" i="5"/>
  <c r="AE165" i="7"/>
  <c r="AE176" i="7"/>
  <c r="AE154" i="7"/>
  <c r="AF143" i="7"/>
  <c r="Z125" i="2"/>
  <c r="Z212" i="33"/>
  <c r="Z729" i="7"/>
  <c r="AE223" i="25"/>
  <c r="AE172" i="10"/>
  <c r="AE101" i="5"/>
  <c r="AE15" i="5" s="1"/>
  <c r="AE183" i="33"/>
  <c r="AE635" i="7"/>
  <c r="AE147" i="33"/>
  <c r="AE631" i="7"/>
  <c r="AE1125" i="7"/>
  <c r="H707" i="7"/>
  <c r="H131" i="6" s="1"/>
  <c r="H206" i="33"/>
  <c r="AB387" i="25"/>
  <c r="AB105" i="2"/>
  <c r="AB110" i="6" s="1"/>
  <c r="AB110" i="5"/>
  <c r="AB113" i="5" s="1"/>
  <c r="AB310" i="25"/>
  <c r="AC684" i="7"/>
  <c r="AC712" i="7"/>
  <c r="AC139" i="33"/>
  <c r="AC721" i="7"/>
  <c r="AD640" i="7"/>
  <c r="AD641" i="7" s="1"/>
  <c r="AD636" i="7"/>
  <c r="AD179" i="7"/>
  <c r="AD1117" i="7"/>
  <c r="AD177" i="7"/>
  <c r="AE13" i="5"/>
  <c r="AD182" i="7"/>
  <c r="AD194" i="7" s="1"/>
  <c r="AF138" i="7"/>
  <c r="AE149" i="7"/>
  <c r="AE160" i="7"/>
  <c r="AE171" i="7"/>
  <c r="AB117" i="2"/>
  <c r="AB389" i="25"/>
  <c r="AH629" i="7"/>
  <c r="AH161" i="33"/>
  <c r="AH659" i="7"/>
  <c r="AE163" i="7"/>
  <c r="AF141" i="7"/>
  <c r="AE174" i="7"/>
  <c r="AE152" i="7"/>
  <c r="AD106" i="5"/>
  <c r="AE161" i="7"/>
  <c r="AE172" i="7"/>
  <c r="AF139" i="7"/>
  <c r="AE150" i="7"/>
  <c r="AE169" i="7"/>
  <c r="AE147" i="7"/>
  <c r="AF136" i="7"/>
  <c r="AE158" i="7"/>
  <c r="AE157" i="7"/>
  <c r="AE168" i="7"/>
  <c r="AE146" i="7"/>
  <c r="AF135" i="7"/>
  <c r="AH160" i="33"/>
  <c r="AH658" i="7"/>
  <c r="AH628" i="7"/>
  <c r="AG633" i="7"/>
  <c r="AG638" i="7" s="1"/>
  <c r="AG145" i="33"/>
  <c r="AF162" i="33"/>
  <c r="AF630" i="7"/>
  <c r="AF660" i="7"/>
  <c r="AF100" i="5" s="1"/>
  <c r="AG621" i="7"/>
  <c r="AF622" i="7"/>
  <c r="AF672" i="7" s="1"/>
  <c r="AD108" i="5"/>
  <c r="AD308" i="25"/>
  <c r="AE680" i="7"/>
  <c r="AE162" i="7"/>
  <c r="AE173" i="7"/>
  <c r="AE151" i="7"/>
  <c r="AF140" i="7"/>
  <c r="AE159" i="7"/>
  <c r="AF137" i="7"/>
  <c r="AE170" i="7"/>
  <c r="AE148" i="7"/>
  <c r="AF638" i="7"/>
  <c r="AD62" i="5" l="1"/>
  <c r="AD20" i="5" s="1"/>
  <c r="AE56" i="5"/>
  <c r="AE12" i="5" s="1"/>
  <c r="AF162" i="32"/>
  <c r="AF235" i="7"/>
  <c r="AE185" i="7"/>
  <c r="AE197" i="7" s="1"/>
  <c r="AE150" i="32"/>
  <c r="AF233" i="7"/>
  <c r="AF160" i="32"/>
  <c r="AE188" i="7"/>
  <c r="AE200" i="7" s="1"/>
  <c r="AE153" i="32"/>
  <c r="AB361" i="1"/>
  <c r="AB66" i="5"/>
  <c r="AB69" i="5" s="1"/>
  <c r="AC266" i="7"/>
  <c r="AB306" i="7"/>
  <c r="AE182" i="7"/>
  <c r="AE194" i="7" s="1"/>
  <c r="AE147" i="32"/>
  <c r="AE181" i="7"/>
  <c r="AE193" i="7" s="1"/>
  <c r="AE146" i="32"/>
  <c r="AF166" i="32"/>
  <c r="AF239" i="7"/>
  <c r="AE187" i="7"/>
  <c r="AE199" i="7" s="1"/>
  <c r="AE152" i="32"/>
  <c r="AB437" i="1"/>
  <c r="AB59" i="2"/>
  <c r="AB64" i="6" s="1"/>
  <c r="AE255" i="32"/>
  <c r="AE244" i="32"/>
  <c r="AE241" i="32" s="1"/>
  <c r="AA72" i="2"/>
  <c r="AA440" i="1"/>
  <c r="AE180" i="7"/>
  <c r="AE192" i="7" s="1"/>
  <c r="AE145" i="32"/>
  <c r="AE184" i="7"/>
  <c r="AE196" i="7" s="1"/>
  <c r="AE149" i="32"/>
  <c r="AE186" i="7"/>
  <c r="AE198" i="7" s="1"/>
  <c r="AE151" i="32"/>
  <c r="AE183" i="7"/>
  <c r="AE195" i="7" s="1"/>
  <c r="AE148" i="32"/>
  <c r="AF168" i="32"/>
  <c r="AF241" i="7"/>
  <c r="AF240" i="7"/>
  <c r="AF167" i="32"/>
  <c r="AF159" i="32"/>
  <c r="AF232" i="7"/>
  <c r="AD359" i="1"/>
  <c r="AD64" i="5"/>
  <c r="AE262" i="7"/>
  <c r="AC304" i="7"/>
  <c r="AC360" i="1"/>
  <c r="AD264" i="7"/>
  <c r="AC65" i="5"/>
  <c r="AC59" i="2"/>
  <c r="AC437" i="1"/>
  <c r="AF238" i="7"/>
  <c r="AF165" i="32"/>
  <c r="AF161" i="32"/>
  <c r="AF234" i="7"/>
  <c r="AF164" i="32"/>
  <c r="AF237" i="7"/>
  <c r="AF163" i="32"/>
  <c r="AF236" i="7"/>
  <c r="AB438" i="1"/>
  <c r="AB60" i="2"/>
  <c r="AB65" i="6" s="1"/>
  <c r="AA237" i="32"/>
  <c r="AA139" i="32"/>
  <c r="AA140" i="32" s="1"/>
  <c r="AA236" i="32"/>
  <c r="AD59" i="5"/>
  <c r="AD12" i="5"/>
  <c r="AE103" i="5"/>
  <c r="AE712" i="7" s="1"/>
  <c r="AD387" i="25"/>
  <c r="AD105" i="2"/>
  <c r="AF147" i="33"/>
  <c r="AF635" i="7"/>
  <c r="AF1125" i="7"/>
  <c r="AF631" i="7"/>
  <c r="AH145" i="33"/>
  <c r="AH633" i="7"/>
  <c r="AD191" i="7"/>
  <c r="AD201" i="7" s="1"/>
  <c r="AD189" i="7"/>
  <c r="H133" i="6"/>
  <c r="H135" i="6" s="1"/>
  <c r="H198" i="33"/>
  <c r="H920" i="7"/>
  <c r="H921" i="7" s="1"/>
  <c r="AE682" i="7"/>
  <c r="AD109" i="5"/>
  <c r="AD309" i="25"/>
  <c r="AF156" i="7"/>
  <c r="AF167" i="7"/>
  <c r="AF144" i="32" s="1"/>
  <c r="AF145" i="7"/>
  <c r="AG134" i="7"/>
  <c r="AF13" i="5"/>
  <c r="AB112" i="6"/>
  <c r="AB114" i="6" s="1"/>
  <c r="AB120" i="2"/>
  <c r="AB140" i="33"/>
  <c r="AB141" i="33" s="1"/>
  <c r="AB118" i="5"/>
  <c r="AB122" i="5" s="1"/>
  <c r="AB222" i="33"/>
  <c r="AB223" i="33"/>
  <c r="AF164" i="7"/>
  <c r="AG142" i="7"/>
  <c r="AF153" i="7"/>
  <c r="AF175" i="7"/>
  <c r="AE1118" i="7"/>
  <c r="AF159" i="7"/>
  <c r="AG137" i="7"/>
  <c r="AF170" i="7"/>
  <c r="AF147" i="32" s="1"/>
  <c r="AF148" i="7"/>
  <c r="AG140" i="7"/>
  <c r="AF151" i="7"/>
  <c r="AF173" i="7"/>
  <c r="AF162" i="7"/>
  <c r="AG660" i="7"/>
  <c r="AG100" i="5" s="1"/>
  <c r="AG630" i="7"/>
  <c r="AG162" i="33"/>
  <c r="AH621" i="7"/>
  <c r="AG622" i="7"/>
  <c r="AG672" i="7" s="1"/>
  <c r="AG136" i="7"/>
  <c r="AF147" i="7"/>
  <c r="AF169" i="7"/>
  <c r="AF158" i="7"/>
  <c r="AF161" i="7"/>
  <c r="AF172" i="7"/>
  <c r="AF150" i="7"/>
  <c r="AG139" i="7"/>
  <c r="AF171" i="7"/>
  <c r="AG138" i="7"/>
  <c r="AF149" i="7"/>
  <c r="AF160" i="7"/>
  <c r="AC386" i="25"/>
  <c r="AC104" i="2"/>
  <c r="AC109" i="6" s="1"/>
  <c r="AC387" i="25"/>
  <c r="AC105" i="2"/>
  <c r="AC110" i="6" s="1"/>
  <c r="AE179" i="7"/>
  <c r="AE177" i="7"/>
  <c r="AE1117" i="7"/>
  <c r="AE108" i="5"/>
  <c r="AF680" i="7"/>
  <c r="AE308" i="25"/>
  <c r="AF183" i="33"/>
  <c r="AF223" i="25"/>
  <c r="AF172" i="10"/>
  <c r="AF101" i="5"/>
  <c r="AF15" i="5" s="1"/>
  <c r="AF241" i="33"/>
  <c r="AF230" i="33"/>
  <c r="AF227" i="33" s="1"/>
  <c r="AF168" i="7"/>
  <c r="AF146" i="7"/>
  <c r="AG135" i="7"/>
  <c r="AF157" i="7"/>
  <c r="AF163" i="7"/>
  <c r="AG141" i="7"/>
  <c r="AF174" i="7"/>
  <c r="AF152" i="7"/>
  <c r="AH146" i="33"/>
  <c r="AH634" i="7"/>
  <c r="AH639" i="7" s="1"/>
  <c r="AC310" i="25"/>
  <c r="AD684" i="7"/>
  <c r="AC110" i="5"/>
  <c r="AC113" i="5" s="1"/>
  <c r="AC724" i="7"/>
  <c r="AE106" i="5"/>
  <c r="AE640" i="7"/>
  <c r="AE641" i="7" s="1"/>
  <c r="AE636" i="7"/>
  <c r="AF176" i="7"/>
  <c r="AF154" i="7"/>
  <c r="AG143" i="7"/>
  <c r="AF165" i="7"/>
  <c r="AD139" i="33"/>
  <c r="AD721" i="7"/>
  <c r="AD712" i="7"/>
  <c r="AA112" i="6"/>
  <c r="AA114" i="6" s="1"/>
  <c r="AA120" i="2"/>
  <c r="AE59" i="5" l="1"/>
  <c r="AE303" i="7" s="1"/>
  <c r="AE62" i="5"/>
  <c r="AE20" i="5" s="1"/>
  <c r="AE139" i="33"/>
  <c r="AE721" i="7"/>
  <c r="AE104" i="2" s="1"/>
  <c r="AC64" i="6"/>
  <c r="AF188" i="7"/>
  <c r="AF200" i="7" s="1"/>
  <c r="AF153" i="32"/>
  <c r="AG166" i="32"/>
  <c r="AG239" i="7"/>
  <c r="AF183" i="7"/>
  <c r="AF195" i="7" s="1"/>
  <c r="AF148" i="32"/>
  <c r="AG161" i="32"/>
  <c r="AG234" i="7"/>
  <c r="AG235" i="7"/>
  <c r="AG162" i="32"/>
  <c r="AD303" i="7"/>
  <c r="AD138" i="32"/>
  <c r="AD294" i="7"/>
  <c r="AD65" i="5"/>
  <c r="AE264" i="7"/>
  <c r="AE304" i="7" s="1"/>
  <c r="AD360" i="1"/>
  <c r="AF255" i="32"/>
  <c r="AF244" i="32"/>
  <c r="AF241" i="32" s="1"/>
  <c r="AB236" i="32"/>
  <c r="AB139" i="32"/>
  <c r="AB140" i="32" s="1"/>
  <c r="AB237" i="32"/>
  <c r="AD304" i="7"/>
  <c r="AF180" i="7"/>
  <c r="AF192" i="7" s="1"/>
  <c r="AF145" i="32"/>
  <c r="AF186" i="7"/>
  <c r="AF198" i="7" s="1"/>
  <c r="AF151" i="32"/>
  <c r="AG233" i="7"/>
  <c r="AG160" i="32"/>
  <c r="AG236" i="7"/>
  <c r="AG163" i="32"/>
  <c r="AF184" i="7"/>
  <c r="AF196" i="7" s="1"/>
  <c r="AF149" i="32"/>
  <c r="AF185" i="7"/>
  <c r="AF197" i="7" s="1"/>
  <c r="AF150" i="32"/>
  <c r="AF187" i="7"/>
  <c r="AF199" i="7" s="1"/>
  <c r="AF152" i="32"/>
  <c r="AC306" i="7"/>
  <c r="AC66" i="5"/>
  <c r="AC69" i="5" s="1"/>
  <c r="AD266" i="7"/>
  <c r="AC361" i="1"/>
  <c r="AF56" i="5"/>
  <c r="AG168" i="32"/>
  <c r="AG241" i="7"/>
  <c r="AF181" i="7"/>
  <c r="AF193" i="7" s="1"/>
  <c r="AF146" i="32"/>
  <c r="AG159" i="32"/>
  <c r="AG232" i="7"/>
  <c r="AC60" i="2"/>
  <c r="AC65" i="6" s="1"/>
  <c r="AC438" i="1"/>
  <c r="AB440" i="1"/>
  <c r="AB72" i="2"/>
  <c r="AG237" i="7"/>
  <c r="AG164" i="32"/>
  <c r="AG238" i="7"/>
  <c r="AG165" i="32"/>
  <c r="AG167" i="32"/>
  <c r="AG240" i="7"/>
  <c r="AE359" i="1"/>
  <c r="AE64" i="5"/>
  <c r="AF262" i="7"/>
  <c r="AA67" i="6"/>
  <c r="AD386" i="25"/>
  <c r="AD104" i="2"/>
  <c r="AD109" i="6" s="1"/>
  <c r="AG176" i="7"/>
  <c r="AG154" i="7"/>
  <c r="AH143" i="7"/>
  <c r="AG165" i="7"/>
  <c r="AG174" i="7"/>
  <c r="AG152" i="7"/>
  <c r="AH141" i="7"/>
  <c r="AG163" i="7"/>
  <c r="AD110" i="5"/>
  <c r="AD113" i="5" s="1"/>
  <c r="AD310" i="25"/>
  <c r="AE684" i="7"/>
  <c r="AD724" i="7"/>
  <c r="AF108" i="5"/>
  <c r="AG680" i="7"/>
  <c r="AF308" i="25"/>
  <c r="AG160" i="7"/>
  <c r="AG171" i="7"/>
  <c r="AH138" i="7"/>
  <c r="AG149" i="7"/>
  <c r="AH660" i="7"/>
  <c r="AH100" i="5" s="1"/>
  <c r="AH630" i="7"/>
  <c r="AH162" i="33"/>
  <c r="AH622" i="7"/>
  <c r="AH672" i="7" s="1"/>
  <c r="AG164" i="7"/>
  <c r="AG175" i="7"/>
  <c r="AH142" i="7"/>
  <c r="AG153" i="7"/>
  <c r="AB125" i="2"/>
  <c r="AB729" i="7"/>
  <c r="AB212" i="33"/>
  <c r="AF640" i="7"/>
  <c r="AF641" i="7" s="1"/>
  <c r="AF636" i="7"/>
  <c r="AC140" i="33"/>
  <c r="AC141" i="33" s="1"/>
  <c r="AC118" i="5"/>
  <c r="AC122" i="5" s="1"/>
  <c r="AC222" i="33"/>
  <c r="AC223" i="33"/>
  <c r="AE191" i="7"/>
  <c r="AE201" i="7" s="1"/>
  <c r="AE189" i="7"/>
  <c r="AG13" i="5"/>
  <c r="AG173" i="7"/>
  <c r="AG162" i="7"/>
  <c r="AH140" i="7"/>
  <c r="AG151" i="7"/>
  <c r="AG167" i="7"/>
  <c r="AG144" i="32" s="1"/>
  <c r="AG145" i="7"/>
  <c r="AH134" i="7"/>
  <c r="AG156" i="7"/>
  <c r="I919" i="7"/>
  <c r="H130" i="2"/>
  <c r="H132" i="2" s="1"/>
  <c r="AF106" i="5"/>
  <c r="AD110" i="6"/>
  <c r="AG161" i="7"/>
  <c r="AG172" i="7"/>
  <c r="AG150" i="7"/>
  <c r="AH139" i="7"/>
  <c r="AG183" i="33"/>
  <c r="AG223" i="25"/>
  <c r="AG101" i="5"/>
  <c r="AG15" i="5" s="1"/>
  <c r="AG172" i="10"/>
  <c r="AG147" i="33"/>
  <c r="AG635" i="7"/>
  <c r="AG1125" i="7"/>
  <c r="AG631" i="7"/>
  <c r="AH137" i="7"/>
  <c r="AG148" i="7"/>
  <c r="AG159" i="7"/>
  <c r="AG170" i="7"/>
  <c r="AE722" i="7"/>
  <c r="AE309" i="25"/>
  <c r="AE109" i="5"/>
  <c r="AF682" i="7"/>
  <c r="AF722" i="7" s="1"/>
  <c r="AF103" i="5"/>
  <c r="AF1118" i="7"/>
  <c r="AA125" i="2"/>
  <c r="AA212" i="33"/>
  <c r="AA729" i="7"/>
  <c r="AC117" i="2"/>
  <c r="AC389" i="25"/>
  <c r="AG168" i="7"/>
  <c r="AH135" i="7"/>
  <c r="AG157" i="7"/>
  <c r="AG146" i="7"/>
  <c r="AG169" i="7"/>
  <c r="AG158" i="7"/>
  <c r="AH136" i="7"/>
  <c r="AG147" i="7"/>
  <c r="AG230" i="33"/>
  <c r="AG227" i="33" s="1"/>
  <c r="AG241" i="33"/>
  <c r="AF182" i="7"/>
  <c r="AF194" i="7" s="1"/>
  <c r="AF179" i="7"/>
  <c r="AF177" i="7"/>
  <c r="AF1117" i="7"/>
  <c r="H736" i="7"/>
  <c r="H737" i="7" s="1"/>
  <c r="H190" i="33"/>
  <c r="AH638" i="7"/>
  <c r="AE294" i="7" l="1"/>
  <c r="AE138" i="32"/>
  <c r="AE386" i="25"/>
  <c r="AG181" i="7"/>
  <c r="AG193" i="7" s="1"/>
  <c r="AG146" i="32"/>
  <c r="AG180" i="7"/>
  <c r="AG192" i="7" s="1"/>
  <c r="AG145" i="32"/>
  <c r="AG182" i="7"/>
  <c r="AG194" i="7" s="1"/>
  <c r="AG147" i="32"/>
  <c r="AH164" i="32"/>
  <c r="AH237" i="7"/>
  <c r="AG186" i="7"/>
  <c r="AG198" i="7" s="1"/>
  <c r="AG151" i="32"/>
  <c r="AG188" i="7"/>
  <c r="AG200" i="7" s="1"/>
  <c r="AG153" i="32"/>
  <c r="AF12" i="5"/>
  <c r="AF59" i="5"/>
  <c r="AD361" i="1"/>
  <c r="AD66" i="5"/>
  <c r="AD69" i="5" s="1"/>
  <c r="AE266" i="7"/>
  <c r="AD306" i="7"/>
  <c r="AH233" i="7"/>
  <c r="AH160" i="32"/>
  <c r="AH162" i="32"/>
  <c r="AH235" i="7"/>
  <c r="AG185" i="7"/>
  <c r="AG197" i="7" s="1"/>
  <c r="AG150" i="32"/>
  <c r="AG262" i="7"/>
  <c r="AF64" i="5"/>
  <c r="AF359" i="1"/>
  <c r="AG244" i="32"/>
  <c r="AG241" i="32" s="1"/>
  <c r="AG255" i="32"/>
  <c r="AF62" i="5"/>
  <c r="AF20" i="5" s="1"/>
  <c r="AH161" i="32"/>
  <c r="AH234" i="7"/>
  <c r="AG184" i="7"/>
  <c r="AG196" i="7" s="1"/>
  <c r="AG149" i="32"/>
  <c r="AG187" i="7"/>
  <c r="AG199" i="7" s="1"/>
  <c r="AG152" i="32"/>
  <c r="AG183" i="7"/>
  <c r="AG195" i="7" s="1"/>
  <c r="AG148" i="32"/>
  <c r="AH166" i="32"/>
  <c r="AH239" i="7"/>
  <c r="AH168" i="32"/>
  <c r="AH241" i="7"/>
  <c r="AE438" i="1"/>
  <c r="AE60" i="2"/>
  <c r="AB67" i="6"/>
  <c r="AC440" i="1"/>
  <c r="AC72" i="2"/>
  <c r="AD437" i="1"/>
  <c r="AD59" i="2"/>
  <c r="AD64" i="6" s="1"/>
  <c r="AG56" i="5"/>
  <c r="AH232" i="7"/>
  <c r="AH159" i="32"/>
  <c r="AH238" i="7"/>
  <c r="AH165" i="32"/>
  <c r="AH167" i="32"/>
  <c r="AH240" i="7"/>
  <c r="AH163" i="32"/>
  <c r="AH236" i="7"/>
  <c r="AE59" i="2"/>
  <c r="AE437" i="1"/>
  <c r="AC237" i="32"/>
  <c r="AC139" i="32"/>
  <c r="AC140" i="32" s="1"/>
  <c r="AC236" i="32"/>
  <c r="AD438" i="1"/>
  <c r="AD60" i="2"/>
  <c r="AD65" i="6" s="1"/>
  <c r="AF264" i="7"/>
  <c r="AE360" i="1"/>
  <c r="AE65" i="5"/>
  <c r="AE109" i="6"/>
  <c r="AF387" i="25"/>
  <c r="AF105" i="2"/>
  <c r="H103" i="2"/>
  <c r="I735" i="7"/>
  <c r="I738" i="7" s="1"/>
  <c r="I739" i="7" s="1"/>
  <c r="I124" i="5" s="1"/>
  <c r="H740" i="7"/>
  <c r="AH168" i="7"/>
  <c r="AH145" i="32" s="1"/>
  <c r="AH157" i="7"/>
  <c r="AH146" i="7"/>
  <c r="AE105" i="2"/>
  <c r="AE110" i="6" s="1"/>
  <c r="AE387" i="25"/>
  <c r="AH170" i="7"/>
  <c r="AH159" i="7"/>
  <c r="AH148" i="7"/>
  <c r="AG640" i="7"/>
  <c r="AG641" i="7" s="1"/>
  <c r="AG636" i="7"/>
  <c r="AG179" i="7"/>
  <c r="AG177" i="7"/>
  <c r="AG1117" i="7"/>
  <c r="AH164" i="7"/>
  <c r="AH175" i="7"/>
  <c r="AH153" i="7"/>
  <c r="AF191" i="7"/>
  <c r="AF201" i="7" s="1"/>
  <c r="AF189" i="7"/>
  <c r="AG106" i="5"/>
  <c r="AH172" i="10"/>
  <c r="AH174" i="10" s="1"/>
  <c r="G23" i="35" s="1"/>
  <c r="AH223" i="25"/>
  <c r="AH101" i="5"/>
  <c r="AH15" i="5" s="1"/>
  <c r="AH183" i="33"/>
  <c r="AH185" i="33" s="1"/>
  <c r="G20" i="37" s="1"/>
  <c r="AH13" i="5"/>
  <c r="AG108" i="5"/>
  <c r="AG308" i="25"/>
  <c r="AH680" i="7"/>
  <c r="AE724" i="7"/>
  <c r="AF684" i="7"/>
  <c r="AF724" i="7" s="1"/>
  <c r="AE310" i="25"/>
  <c r="AE110" i="5"/>
  <c r="AE113" i="5" s="1"/>
  <c r="AH174" i="7"/>
  <c r="AH163" i="7"/>
  <c r="AH152" i="7"/>
  <c r="AH176" i="7"/>
  <c r="AH154" i="7"/>
  <c r="AH165" i="7"/>
  <c r="AH172" i="7"/>
  <c r="AH161" i="7"/>
  <c r="AH150" i="7"/>
  <c r="H207" i="33"/>
  <c r="H714" i="7"/>
  <c r="H715" i="7" s="1"/>
  <c r="H133" i="2"/>
  <c r="AH156" i="7"/>
  <c r="AH167" i="7"/>
  <c r="AH144" i="32" s="1"/>
  <c r="AH145" i="7"/>
  <c r="AH162" i="7"/>
  <c r="AH173" i="7"/>
  <c r="AH151" i="7"/>
  <c r="AH635" i="7"/>
  <c r="AH147" i="33"/>
  <c r="AH148" i="33" s="1"/>
  <c r="I21" i="33" s="1"/>
  <c r="AH1125" i="7"/>
  <c r="AH631" i="7"/>
  <c r="AC112" i="6"/>
  <c r="AC114" i="6" s="1"/>
  <c r="AC120" i="2"/>
  <c r="AH158" i="7"/>
  <c r="AH169" i="7"/>
  <c r="AH147" i="7"/>
  <c r="AF721" i="7"/>
  <c r="AF139" i="33"/>
  <c r="AF712" i="7"/>
  <c r="AF309" i="25"/>
  <c r="AF109" i="5"/>
  <c r="AG682" i="7"/>
  <c r="AH163" i="33"/>
  <c r="AH241" i="33"/>
  <c r="O65" i="37" s="1"/>
  <c r="AH230" i="33"/>
  <c r="AH227" i="33" s="1"/>
  <c r="O64" i="37" s="1"/>
  <c r="AH160" i="7"/>
  <c r="AH171" i="7"/>
  <c r="AH149" i="7"/>
  <c r="AD389" i="25"/>
  <c r="AD117" i="2"/>
  <c r="AD140" i="33"/>
  <c r="AD141" i="33" s="1"/>
  <c r="AD223" i="33"/>
  <c r="AD222" i="33"/>
  <c r="AD118" i="5"/>
  <c r="AD122" i="5" s="1"/>
  <c r="AG1118" i="7"/>
  <c r="AG103" i="5"/>
  <c r="AE64" i="6" l="1"/>
  <c r="AH56" i="5"/>
  <c r="AH12" i="5" s="1"/>
  <c r="AH188" i="7"/>
  <c r="AH200" i="7" s="1"/>
  <c r="AH153" i="32"/>
  <c r="AH187" i="7"/>
  <c r="AH199" i="7" s="1"/>
  <c r="AH152" i="32"/>
  <c r="AH255" i="32"/>
  <c r="O65" i="36" s="1"/>
  <c r="AH244" i="32"/>
  <c r="AH241" i="32" s="1"/>
  <c r="O64" i="36" s="1"/>
  <c r="AH169" i="32"/>
  <c r="F11" i="36" s="1"/>
  <c r="AD440" i="1"/>
  <c r="AD72" i="2"/>
  <c r="AF138" i="32"/>
  <c r="AF303" i="7"/>
  <c r="AF294" i="7"/>
  <c r="AH185" i="7"/>
  <c r="AH197" i="7" s="1"/>
  <c r="AH150" i="32"/>
  <c r="AH186" i="7"/>
  <c r="AH198" i="7" s="1"/>
  <c r="AH151" i="32"/>
  <c r="AF304" i="7"/>
  <c r="AG264" i="7"/>
  <c r="AG304" i="7" s="1"/>
  <c r="AF360" i="1"/>
  <c r="AF65" i="5"/>
  <c r="AH181" i="7"/>
  <c r="AH193" i="7" s="1"/>
  <c r="AH146" i="32"/>
  <c r="AG12" i="5"/>
  <c r="AG59" i="5"/>
  <c r="AD139" i="32"/>
  <c r="AD140" i="32" s="1"/>
  <c r="AD237" i="32"/>
  <c r="AD236" i="32"/>
  <c r="AG62" i="5"/>
  <c r="AG20" i="5" s="1"/>
  <c r="AH183" i="7"/>
  <c r="AH195" i="7" s="1"/>
  <c r="AH148" i="32"/>
  <c r="AH184" i="7"/>
  <c r="AH196" i="7" s="1"/>
  <c r="AH149" i="32"/>
  <c r="AH182" i="7"/>
  <c r="AH194" i="7" s="1"/>
  <c r="AH147" i="32"/>
  <c r="AC67" i="6"/>
  <c r="AH262" i="7"/>
  <c r="AG359" i="1"/>
  <c r="AG64" i="5"/>
  <c r="AF266" i="7"/>
  <c r="AE361" i="1"/>
  <c r="AE66" i="5"/>
  <c r="AE69" i="5" s="1"/>
  <c r="AE306" i="7"/>
  <c r="AE65" i="6"/>
  <c r="AH103" i="5"/>
  <c r="AH712" i="7" s="1"/>
  <c r="AF110" i="6"/>
  <c r="AF389" i="25"/>
  <c r="AF117" i="2"/>
  <c r="AG712" i="7"/>
  <c r="AG139" i="33"/>
  <c r="AG721" i="7"/>
  <c r="AG309" i="25"/>
  <c r="AG109" i="5"/>
  <c r="AH682" i="7"/>
  <c r="AH722" i="7" s="1"/>
  <c r="AF386" i="25"/>
  <c r="AF104" i="2"/>
  <c r="AF109" i="6" s="1"/>
  <c r="AC729" i="7"/>
  <c r="AC212" i="33"/>
  <c r="AC125" i="2"/>
  <c r="AH640" i="7"/>
  <c r="AH641" i="7" s="1"/>
  <c r="AH636" i="7"/>
  <c r="AE140" i="33"/>
  <c r="AE141" i="33" s="1"/>
  <c r="AE223" i="33"/>
  <c r="AE222" i="33"/>
  <c r="AE118" i="5"/>
  <c r="AE122" i="5" s="1"/>
  <c r="AG191" i="7"/>
  <c r="AG201" i="7" s="1"/>
  <c r="AG189" i="7"/>
  <c r="H134" i="2"/>
  <c r="I137" i="6"/>
  <c r="H727" i="7"/>
  <c r="H138" i="6"/>
  <c r="H107" i="2"/>
  <c r="AE117" i="2"/>
  <c r="AE389" i="25"/>
  <c r="AH681" i="7"/>
  <c r="G26" i="37" s="1"/>
  <c r="AH308" i="25"/>
  <c r="AH108" i="5"/>
  <c r="AH180" i="7"/>
  <c r="AH192" i="7" s="1"/>
  <c r="I103" i="6"/>
  <c r="I130" i="6" s="1"/>
  <c r="I197" i="33" s="1"/>
  <c r="I125" i="5"/>
  <c r="I127" i="5" s="1"/>
  <c r="AH1118" i="7"/>
  <c r="AD112" i="6"/>
  <c r="AD114" i="6" s="1"/>
  <c r="AD120" i="2"/>
  <c r="F11" i="37"/>
  <c r="G26" i="28" s="1"/>
  <c r="AD21" i="33"/>
  <c r="K47" i="37"/>
  <c r="O63" i="37" s="1"/>
  <c r="AH106" i="5"/>
  <c r="AH179" i="7"/>
  <c r="AH1117" i="7"/>
  <c r="AH177" i="7"/>
  <c r="AG684" i="7"/>
  <c r="AF110" i="5"/>
  <c r="AF113" i="5" s="1"/>
  <c r="AF310" i="25"/>
  <c r="AG722" i="7"/>
  <c r="H217" i="33"/>
  <c r="AH62" i="5" l="1"/>
  <c r="AH20" i="5" s="1"/>
  <c r="AH139" i="33"/>
  <c r="AH59" i="5"/>
  <c r="AH294" i="7" s="1"/>
  <c r="AH721" i="7"/>
  <c r="AH386" i="25" s="1"/>
  <c r="AH154" i="32"/>
  <c r="I21" i="32" s="1"/>
  <c r="AF66" i="5"/>
  <c r="AF69" i="5" s="1"/>
  <c r="AG266" i="7"/>
  <c r="AF361" i="1"/>
  <c r="AH64" i="5"/>
  <c r="AH263" i="7"/>
  <c r="G26" i="36" s="1"/>
  <c r="AH359" i="1"/>
  <c r="AG65" i="5"/>
  <c r="AG360" i="1"/>
  <c r="AH264" i="7"/>
  <c r="AF437" i="1"/>
  <c r="AF59" i="2"/>
  <c r="AF64" i="6" s="1"/>
  <c r="G25" i="30"/>
  <c r="D130" i="7" s="1"/>
  <c r="G26" i="30"/>
  <c r="AF306" i="7"/>
  <c r="AE139" i="32"/>
  <c r="AE140" i="32" s="1"/>
  <c r="AE236" i="32"/>
  <c r="AE237" i="32"/>
  <c r="AG138" i="32"/>
  <c r="AG303" i="7"/>
  <c r="AG294" i="7"/>
  <c r="AD67" i="6"/>
  <c r="AE440" i="1"/>
  <c r="AE72" i="2"/>
  <c r="AG438" i="1"/>
  <c r="AG60" i="2"/>
  <c r="AF438" i="1"/>
  <c r="AF60" i="2"/>
  <c r="AF65" i="6" s="1"/>
  <c r="AG387" i="25"/>
  <c r="AG105" i="2"/>
  <c r="AG110" i="6" s="1"/>
  <c r="AG110" i="5"/>
  <c r="AG113" i="5" s="1"/>
  <c r="AG310" i="25"/>
  <c r="AH684" i="7"/>
  <c r="AE112" i="6"/>
  <c r="AE114" i="6" s="1"/>
  <c r="AE120" i="2"/>
  <c r="AF140" i="33"/>
  <c r="AF141" i="33" s="1"/>
  <c r="AF118" i="5"/>
  <c r="AF122" i="5" s="1"/>
  <c r="AF222" i="33"/>
  <c r="AF223" i="33"/>
  <c r="AH191" i="7"/>
  <c r="AH201" i="7" s="1"/>
  <c r="AH189" i="7"/>
  <c r="AH105" i="2"/>
  <c r="AH387" i="25"/>
  <c r="H731" i="7"/>
  <c r="H391" i="25"/>
  <c r="AG386" i="25"/>
  <c r="AG104" i="2"/>
  <c r="AG109" i="6" s="1"/>
  <c r="AF112" i="6"/>
  <c r="AF114" i="6" s="1"/>
  <c r="AF120" i="2"/>
  <c r="AD125" i="2"/>
  <c r="AD212" i="33"/>
  <c r="AD729" i="7"/>
  <c r="I102" i="6"/>
  <c r="I115" i="6" s="1"/>
  <c r="I711" i="7"/>
  <c r="I713" i="7" s="1"/>
  <c r="H728" i="7"/>
  <c r="H730" i="7" s="1"/>
  <c r="H211" i="33"/>
  <c r="H213" i="33" s="1"/>
  <c r="H112" i="2"/>
  <c r="AH309" i="25"/>
  <c r="AH109" i="5"/>
  <c r="AH683" i="7"/>
  <c r="G27" i="37" s="1"/>
  <c r="AG724" i="7"/>
  <c r="AH104" i="2" l="1"/>
  <c r="AH109" i="6" s="1"/>
  <c r="AH303" i="7"/>
  <c r="AH437" i="1" s="1"/>
  <c r="AH138" i="32"/>
  <c r="K47" i="36"/>
  <c r="O63" i="36" s="1"/>
  <c r="AF440" i="1"/>
  <c r="AF72" i="2"/>
  <c r="AG65" i="6"/>
  <c r="AG437" i="1"/>
  <c r="AG59" i="2"/>
  <c r="AG64" i="6" s="1"/>
  <c r="AE67" i="6"/>
  <c r="AH304" i="7"/>
  <c r="AH265" i="7"/>
  <c r="G27" i="36" s="1"/>
  <c r="AH65" i="5"/>
  <c r="AH360" i="1"/>
  <c r="AF139" i="32"/>
  <c r="AF140" i="32" s="1"/>
  <c r="AF236" i="32"/>
  <c r="AF237" i="32"/>
  <c r="AG306" i="7"/>
  <c r="AH266" i="7"/>
  <c r="AG361" i="1"/>
  <c r="AG66" i="5"/>
  <c r="AG69" i="5" s="1"/>
  <c r="AH110" i="6"/>
  <c r="I189" i="33"/>
  <c r="I193" i="33" s="1"/>
  <c r="I701" i="7"/>
  <c r="AH310" i="25"/>
  <c r="AH110" i="5"/>
  <c r="AH113" i="5" s="1"/>
  <c r="AH685" i="7"/>
  <c r="G28" i="37" s="1"/>
  <c r="AH724" i="7"/>
  <c r="H716" i="7"/>
  <c r="H717" i="7" s="1"/>
  <c r="AF212" i="33"/>
  <c r="AF729" i="7"/>
  <c r="AF125" i="2"/>
  <c r="AG140" i="33"/>
  <c r="AG141" i="33" s="1"/>
  <c r="AG118" i="5"/>
  <c r="AG122" i="5" s="1"/>
  <c r="AG223" i="33"/>
  <c r="AG222" i="33"/>
  <c r="AG117" i="2"/>
  <c r="AG389" i="25"/>
  <c r="AE212" i="33"/>
  <c r="AE729" i="7"/>
  <c r="AE125" i="2"/>
  <c r="AH59" i="2" l="1"/>
  <c r="AH64" i="6" s="1"/>
  <c r="AH306" i="7"/>
  <c r="AH361" i="1"/>
  <c r="AH66" i="5"/>
  <c r="AH69" i="5" s="1"/>
  <c r="AH267" i="7"/>
  <c r="G28" i="36" s="1"/>
  <c r="AG237" i="32"/>
  <c r="AG139" i="32"/>
  <c r="AG140" i="32" s="1"/>
  <c r="AG236" i="32"/>
  <c r="AF67" i="6"/>
  <c r="AG440" i="1"/>
  <c r="AG72" i="2"/>
  <c r="AH60" i="2"/>
  <c r="AH65" i="6" s="1"/>
  <c r="AH438" i="1"/>
  <c r="AG112" i="6"/>
  <c r="AG114" i="6" s="1"/>
  <c r="AG120" i="2"/>
  <c r="H218" i="33"/>
  <c r="AH117" i="2"/>
  <c r="AH389" i="25"/>
  <c r="AH140" i="33"/>
  <c r="AH141" i="33" s="1"/>
  <c r="AH223" i="33"/>
  <c r="AH118" i="5"/>
  <c r="AH122" i="5" s="1"/>
  <c r="AH222" i="33"/>
  <c r="I706" i="7"/>
  <c r="I703" i="7"/>
  <c r="AH440" i="1" l="1"/>
  <c r="AH72" i="2"/>
  <c r="AH139" i="32"/>
  <c r="AH140" i="32" s="1"/>
  <c r="AH237" i="32"/>
  <c r="AH236" i="32"/>
  <c r="AG67" i="6"/>
  <c r="N90" i="37"/>
  <c r="O90" i="37" s="1"/>
  <c r="N91" i="37"/>
  <c r="O91" i="37" s="1"/>
  <c r="N92" i="37"/>
  <c r="I707" i="7"/>
  <c r="I131" i="6" s="1"/>
  <c r="I206" i="33"/>
  <c r="F66" i="37"/>
  <c r="F90" i="37"/>
  <c r="G90" i="37" s="1"/>
  <c r="F65" i="37"/>
  <c r="G65" i="37" s="1"/>
  <c r="F92" i="37"/>
  <c r="F91" i="37"/>
  <c r="G91" i="37" s="1"/>
  <c r="F64" i="37"/>
  <c r="G64" i="37" s="1"/>
  <c r="AG729" i="7"/>
  <c r="AG212" i="33"/>
  <c r="AG125" i="2"/>
  <c r="N95" i="37"/>
  <c r="O95" i="37" s="1"/>
  <c r="F76" i="37"/>
  <c r="G76" i="37" s="1"/>
  <c r="N94" i="37"/>
  <c r="O94" i="37" s="1"/>
  <c r="N96" i="37"/>
  <c r="F77" i="37"/>
  <c r="G77" i="37" s="1"/>
  <c r="F78" i="37"/>
  <c r="AH112" i="6"/>
  <c r="AH114" i="6" s="1"/>
  <c r="AH120" i="2"/>
  <c r="F78" i="36" l="1"/>
  <c r="F77" i="36"/>
  <c r="G77" i="36" s="1"/>
  <c r="F76" i="36"/>
  <c r="G76" i="36" s="1"/>
  <c r="N96" i="36"/>
  <c r="N95" i="36"/>
  <c r="O95" i="36" s="1"/>
  <c r="N94" i="36"/>
  <c r="O94" i="36" s="1"/>
  <c r="N90" i="36"/>
  <c r="O90" i="36" s="1"/>
  <c r="N91" i="36"/>
  <c r="O91" i="36" s="1"/>
  <c r="N92" i="36"/>
  <c r="AH67" i="6"/>
  <c r="F64" i="36"/>
  <c r="G64" i="36" s="1"/>
  <c r="F66" i="36"/>
  <c r="F90" i="36"/>
  <c r="G90" i="36" s="1"/>
  <c r="F92" i="36"/>
  <c r="F65" i="36"/>
  <c r="G65" i="36" s="1"/>
  <c r="F91" i="36"/>
  <c r="G91" i="36" s="1"/>
  <c r="AH212" i="33"/>
  <c r="AH125" i="2"/>
  <c r="AH729" i="7"/>
  <c r="I133" i="6"/>
  <c r="I135" i="6" s="1"/>
  <c r="I198" i="33"/>
  <c r="I920" i="7"/>
  <c r="I921" i="7" s="1"/>
  <c r="I130" i="2" l="1"/>
  <c r="I132" i="2" s="1"/>
  <c r="J919" i="7"/>
  <c r="I190" i="33"/>
  <c r="I736" i="7"/>
  <c r="I737" i="7" s="1"/>
  <c r="I714" i="7" l="1"/>
  <c r="I715" i="7" s="1"/>
  <c r="I207" i="33"/>
  <c r="I133" i="2"/>
  <c r="I740" i="7"/>
  <c r="J735" i="7"/>
  <c r="J738" i="7" s="1"/>
  <c r="J739" i="7" s="1"/>
  <c r="J124" i="5" s="1"/>
  <c r="I103" i="2"/>
  <c r="J103" i="6" l="1"/>
  <c r="J130" i="6" s="1"/>
  <c r="J197" i="33" s="1"/>
  <c r="J125" i="5"/>
  <c r="J127" i="5" s="1"/>
  <c r="I217" i="33"/>
  <c r="I727" i="7"/>
  <c r="I134" i="2"/>
  <c r="J137" i="6"/>
  <c r="I138" i="6"/>
  <c r="I107" i="2"/>
  <c r="I211" i="33" l="1"/>
  <c r="I213" i="33" s="1"/>
  <c r="I728" i="7"/>
  <c r="I730" i="7" s="1"/>
  <c r="I112" i="2"/>
  <c r="I731" i="7"/>
  <c r="I391" i="25"/>
  <c r="J102" i="6"/>
  <c r="J115" i="6" s="1"/>
  <c r="J711" i="7"/>
  <c r="J713" i="7" s="1"/>
  <c r="J701" i="7" l="1"/>
  <c r="J189" i="33"/>
  <c r="J193" i="33" s="1"/>
  <c r="I716" i="7"/>
  <c r="I717" i="7" s="1"/>
  <c r="J703" i="7" l="1"/>
  <c r="J706" i="7"/>
  <c r="I218" i="33"/>
  <c r="J707" i="7" l="1"/>
  <c r="J131" i="6" s="1"/>
  <c r="J206" i="33"/>
  <c r="J133" i="6" l="1"/>
  <c r="J135" i="6" s="1"/>
  <c r="J198" i="33"/>
  <c r="J920" i="7"/>
  <c r="J921" i="7" s="1"/>
  <c r="J190" i="33" l="1"/>
  <c r="J736" i="7"/>
  <c r="J737" i="7" s="1"/>
  <c r="J130" i="2"/>
  <c r="J132" i="2" s="1"/>
  <c r="K919" i="7"/>
  <c r="J103" i="2" l="1"/>
  <c r="J740" i="7"/>
  <c r="K735" i="7"/>
  <c r="K738" i="7" s="1"/>
  <c r="K739" i="7" s="1"/>
  <c r="K124" i="5" s="1"/>
  <c r="J714" i="7"/>
  <c r="J715" i="7" s="1"/>
  <c r="J207" i="33"/>
  <c r="J133" i="2"/>
  <c r="J138" i="6" l="1"/>
  <c r="J134" i="2"/>
  <c r="J727" i="7"/>
  <c r="K137" i="6"/>
  <c r="J107" i="2"/>
  <c r="K103" i="6"/>
  <c r="K130" i="6" s="1"/>
  <c r="K197" i="33" s="1"/>
  <c r="K125" i="5"/>
  <c r="K127" i="5" s="1"/>
  <c r="J217" i="33"/>
  <c r="K102" i="6" l="1"/>
  <c r="K115" i="6" s="1"/>
  <c r="K711" i="7"/>
  <c r="K713" i="7" s="1"/>
  <c r="J391" i="25"/>
  <c r="J731" i="7"/>
  <c r="J112" i="2"/>
  <c r="J728" i="7"/>
  <c r="J730" i="7" s="1"/>
  <c r="J211" i="33"/>
  <c r="J213" i="33" s="1"/>
  <c r="K189" i="33" l="1"/>
  <c r="K193" i="33" s="1"/>
  <c r="K701" i="7"/>
  <c r="J716" i="7"/>
  <c r="J717" i="7" s="1"/>
  <c r="K706" i="7" l="1"/>
  <c r="K703" i="7"/>
  <c r="J218" i="33"/>
  <c r="K707" i="7" l="1"/>
  <c r="K131" i="6" s="1"/>
  <c r="K206" i="33"/>
  <c r="K133" i="6" l="1"/>
  <c r="K135" i="6" s="1"/>
  <c r="K198" i="33"/>
  <c r="K920" i="7"/>
  <c r="K921" i="7" s="1"/>
  <c r="K736" i="7" l="1"/>
  <c r="K737" i="7" s="1"/>
  <c r="K190" i="33"/>
  <c r="K130" i="2"/>
  <c r="K132" i="2" s="1"/>
  <c r="L919" i="7"/>
  <c r="K740" i="7" l="1"/>
  <c r="L735" i="7"/>
  <c r="L738" i="7" s="1"/>
  <c r="L739" i="7" s="1"/>
  <c r="L124" i="5" s="1"/>
  <c r="K103" i="2"/>
  <c r="K714" i="7"/>
  <c r="K715" i="7" s="1"/>
  <c r="K217" i="33" s="1"/>
  <c r="K207" i="33"/>
  <c r="K133" i="2"/>
  <c r="L103" i="6" l="1"/>
  <c r="L130" i="6" s="1"/>
  <c r="L197" i="33" s="1"/>
  <c r="L125" i="5"/>
  <c r="L127" i="5" s="1"/>
  <c r="K107" i="2"/>
  <c r="K134" i="2"/>
  <c r="K138" i="6"/>
  <c r="K727" i="7"/>
  <c r="L137" i="6"/>
  <c r="L102" i="6" l="1"/>
  <c r="L115" i="6" s="1"/>
  <c r="L711" i="7"/>
  <c r="L713" i="7" s="1"/>
  <c r="K728" i="7"/>
  <c r="K730" i="7" s="1"/>
  <c r="K112" i="2"/>
  <c r="K211" i="33"/>
  <c r="K213" i="33" s="1"/>
  <c r="K731" i="7"/>
  <c r="K391" i="25"/>
  <c r="K716" i="7" l="1"/>
  <c r="K717" i="7" s="1"/>
  <c r="K218" i="33" s="1"/>
  <c r="L701" i="7"/>
  <c r="L189" i="33"/>
  <c r="L193" i="33" s="1"/>
  <c r="L706" i="7" l="1"/>
  <c r="L703" i="7"/>
  <c r="L707" i="7" l="1"/>
  <c r="L131" i="6" s="1"/>
  <c r="L206" i="33"/>
  <c r="L133" i="6" l="1"/>
  <c r="L135" i="6" s="1"/>
  <c r="L198" i="33"/>
  <c r="L920" i="7"/>
  <c r="L921" i="7" s="1"/>
  <c r="L736" i="7" l="1"/>
  <c r="L737" i="7" s="1"/>
  <c r="L190" i="33"/>
  <c r="M919" i="7"/>
  <c r="L130" i="2"/>
  <c r="L132" i="2" s="1"/>
  <c r="L103" i="2" l="1"/>
  <c r="L740" i="7"/>
  <c r="M735" i="7"/>
  <c r="M738" i="7" s="1"/>
  <c r="M739" i="7" s="1"/>
  <c r="M124" i="5" s="1"/>
  <c r="L714" i="7"/>
  <c r="L715" i="7" s="1"/>
  <c r="L217" i="33" s="1"/>
  <c r="L207" i="33"/>
  <c r="L133" i="2"/>
  <c r="M137" i="6" l="1"/>
  <c r="L138" i="6"/>
  <c r="L107" i="2"/>
  <c r="L134" i="2"/>
  <c r="L727" i="7"/>
  <c r="M103" i="6"/>
  <c r="M130" i="6" s="1"/>
  <c r="M197" i="33" s="1"/>
  <c r="M125" i="5"/>
  <c r="M127" i="5" s="1"/>
  <c r="L731" i="7" l="1"/>
  <c r="L391" i="25"/>
  <c r="M102" i="6"/>
  <c r="M115" i="6" s="1"/>
  <c r="M711" i="7"/>
  <c r="M713" i="7" s="1"/>
  <c r="L112" i="2"/>
  <c r="L728" i="7"/>
  <c r="L730" i="7" s="1"/>
  <c r="L211" i="33"/>
  <c r="L213" i="33" s="1"/>
  <c r="L716" i="7" l="1"/>
  <c r="L717" i="7" s="1"/>
  <c r="L218" i="33" s="1"/>
  <c r="M189" i="33"/>
  <c r="M193" i="33" s="1"/>
  <c r="M701" i="7"/>
  <c r="M703" i="7" l="1"/>
  <c r="M706" i="7"/>
  <c r="M206" i="33" l="1"/>
  <c r="M707" i="7"/>
  <c r="M131" i="6" s="1"/>
  <c r="M133" i="6" l="1"/>
  <c r="M135" i="6" s="1"/>
  <c r="M198" i="33"/>
  <c r="M920" i="7"/>
  <c r="M921" i="7" s="1"/>
  <c r="M190" i="33" l="1"/>
  <c r="M736" i="7"/>
  <c r="M737" i="7" s="1"/>
  <c r="N919" i="7"/>
  <c r="M130" i="2"/>
  <c r="M132" i="2" s="1"/>
  <c r="M103" i="2" l="1"/>
  <c r="M740" i="7"/>
  <c r="N735" i="7"/>
  <c r="N738" i="7" s="1"/>
  <c r="N739" i="7" s="1"/>
  <c r="N124" i="5" s="1"/>
  <c r="M207" i="33"/>
  <c r="M714" i="7"/>
  <c r="M715" i="7" s="1"/>
  <c r="M217" i="33" s="1"/>
  <c r="M133" i="2"/>
  <c r="M107" i="2" l="1"/>
  <c r="M138" i="6"/>
  <c r="M727" i="7"/>
  <c r="N137" i="6"/>
  <c r="M134" i="2"/>
  <c r="N103" i="6"/>
  <c r="N130" i="6" s="1"/>
  <c r="N197" i="33" s="1"/>
  <c r="N125" i="5"/>
  <c r="N127" i="5" s="1"/>
  <c r="M211" i="33" l="1"/>
  <c r="M213" i="33" s="1"/>
  <c r="M728" i="7"/>
  <c r="M730" i="7" s="1"/>
  <c r="M112" i="2"/>
  <c r="N102" i="6"/>
  <c r="N115" i="6" s="1"/>
  <c r="N711" i="7"/>
  <c r="N713" i="7" s="1"/>
  <c r="M731" i="7"/>
  <c r="M391" i="25"/>
  <c r="M716" i="7" l="1"/>
  <c r="M717" i="7" s="1"/>
  <c r="M218" i="33" s="1"/>
  <c r="N189" i="33"/>
  <c r="N193" i="33" s="1"/>
  <c r="N701" i="7"/>
  <c r="N706" i="7" l="1"/>
  <c r="N703" i="7"/>
  <c r="N707" i="7" l="1"/>
  <c r="N131" i="6" s="1"/>
  <c r="N206" i="33"/>
  <c r="N133" i="6" l="1"/>
  <c r="N135" i="6" s="1"/>
  <c r="N198" i="33"/>
  <c r="N920" i="7"/>
  <c r="N921" i="7" s="1"/>
  <c r="N736" i="7" l="1"/>
  <c r="N737" i="7" s="1"/>
  <c r="N190" i="33"/>
  <c r="N130" i="2"/>
  <c r="N132" i="2" s="1"/>
  <c r="O919" i="7"/>
  <c r="N103" i="2" l="1"/>
  <c r="N740" i="7"/>
  <c r="O735" i="7"/>
  <c r="O738" i="7" s="1"/>
  <c r="O739" i="7" s="1"/>
  <c r="O124" i="5" s="1"/>
  <c r="N714" i="7"/>
  <c r="N715" i="7" s="1"/>
  <c r="N217" i="33" s="1"/>
  <c r="N207" i="33"/>
  <c r="N133" i="2"/>
  <c r="N107" i="2" l="1"/>
  <c r="N727" i="7"/>
  <c r="N134" i="2"/>
  <c r="O137" i="6"/>
  <c r="N138" i="6"/>
  <c r="O103" i="6"/>
  <c r="O130" i="6" s="1"/>
  <c r="O197" i="33" s="1"/>
  <c r="O125" i="5"/>
  <c r="O127" i="5" s="1"/>
  <c r="N728" i="7" l="1"/>
  <c r="N730" i="7" s="1"/>
  <c r="N112" i="2"/>
  <c r="N211" i="33"/>
  <c r="N213" i="33" s="1"/>
  <c r="N731" i="7"/>
  <c r="N391" i="25"/>
  <c r="O102" i="6"/>
  <c r="O115" i="6" s="1"/>
  <c r="O711" i="7"/>
  <c r="O713" i="7" s="1"/>
  <c r="O701" i="7" l="1"/>
  <c r="O189" i="33"/>
  <c r="O193" i="33" s="1"/>
  <c r="N716" i="7"/>
  <c r="N717" i="7" s="1"/>
  <c r="N218" i="33" s="1"/>
  <c r="O703" i="7" l="1"/>
  <c r="O706" i="7"/>
  <c r="O707" i="7" l="1"/>
  <c r="O131" i="6" s="1"/>
  <c r="O206" i="33"/>
  <c r="O133" i="6" l="1"/>
  <c r="O135" i="6" s="1"/>
  <c r="O198" i="33"/>
  <c r="O920" i="7"/>
  <c r="O921" i="7" s="1"/>
  <c r="O190" i="33" l="1"/>
  <c r="O736" i="7"/>
  <c r="O737" i="7" s="1"/>
  <c r="O130" i="2"/>
  <c r="O132" i="2" s="1"/>
  <c r="P919" i="7"/>
  <c r="O103" i="2" l="1"/>
  <c r="P735" i="7"/>
  <c r="P738" i="7" s="1"/>
  <c r="P739" i="7" s="1"/>
  <c r="P124" i="5" s="1"/>
  <c r="O740" i="7"/>
  <c r="O714" i="7"/>
  <c r="O715" i="7" s="1"/>
  <c r="O217" i="33" s="1"/>
  <c r="O207" i="33"/>
  <c r="O133" i="2"/>
  <c r="O727" i="7" l="1"/>
  <c r="O107" i="2"/>
  <c r="P137" i="6"/>
  <c r="O138" i="6"/>
  <c r="O134" i="2"/>
  <c r="P103" i="6"/>
  <c r="P130" i="6" s="1"/>
  <c r="P197" i="33" s="1"/>
  <c r="P125" i="5"/>
  <c r="P127" i="5" s="1"/>
  <c r="O731" i="7" l="1"/>
  <c r="O391" i="25"/>
  <c r="O112" i="2"/>
  <c r="O211" i="33"/>
  <c r="O213" i="33" s="1"/>
  <c r="O728" i="7"/>
  <c r="O730" i="7" s="1"/>
  <c r="P102" i="6"/>
  <c r="P115" i="6" s="1"/>
  <c r="P711" i="7"/>
  <c r="P713" i="7" s="1"/>
  <c r="P701" i="7" l="1"/>
  <c r="P189" i="33"/>
  <c r="P193" i="33" s="1"/>
  <c r="O716" i="7"/>
  <c r="O717" i="7" s="1"/>
  <c r="O218" i="33" s="1"/>
  <c r="P703" i="7" l="1"/>
  <c r="P706" i="7"/>
  <c r="P707" i="7" l="1"/>
  <c r="P131" i="6" s="1"/>
  <c r="P206" i="33"/>
  <c r="P133" i="6" l="1"/>
  <c r="P135" i="6" s="1"/>
  <c r="P198" i="33"/>
  <c r="P920" i="7"/>
  <c r="P921" i="7" s="1"/>
  <c r="P736" i="7" l="1"/>
  <c r="P737" i="7" s="1"/>
  <c r="P190" i="33"/>
  <c r="P130" i="2"/>
  <c r="P132" i="2" s="1"/>
  <c r="Q919" i="7"/>
  <c r="Q735" i="7" l="1"/>
  <c r="Q738" i="7" s="1"/>
  <c r="Q739" i="7" s="1"/>
  <c r="Q124" i="5" s="1"/>
  <c r="P740" i="7"/>
  <c r="P103" i="2"/>
  <c r="P207" i="33"/>
  <c r="P714" i="7"/>
  <c r="P715" i="7" s="1"/>
  <c r="P217" i="33" s="1"/>
  <c r="P133" i="2"/>
  <c r="Q103" i="6" l="1"/>
  <c r="Q130" i="6" s="1"/>
  <c r="Q197" i="33" s="1"/>
  <c r="Q125" i="5"/>
  <c r="Q127" i="5" s="1"/>
  <c r="P134" i="2"/>
  <c r="P727" i="7"/>
  <c r="Q137" i="6"/>
  <c r="P138" i="6"/>
  <c r="P107" i="2"/>
  <c r="Q102" i="6" l="1"/>
  <c r="Q115" i="6" s="1"/>
  <c r="Q711" i="7"/>
  <c r="Q713" i="7" s="1"/>
  <c r="P112" i="2"/>
  <c r="P211" i="33"/>
  <c r="P213" i="33" s="1"/>
  <c r="P728" i="7"/>
  <c r="P730" i="7" s="1"/>
  <c r="P391" i="25"/>
  <c r="P731" i="7"/>
  <c r="Q189" i="33" l="1"/>
  <c r="Q193" i="33" s="1"/>
  <c r="Q701" i="7"/>
  <c r="P716" i="7"/>
  <c r="P717" i="7" s="1"/>
  <c r="P218" i="33" s="1"/>
  <c r="Q706" i="7" l="1"/>
  <c r="Q703" i="7"/>
  <c r="Q707" i="7" l="1"/>
  <c r="Q131" i="6" s="1"/>
  <c r="Q206" i="33"/>
  <c r="Q133" i="6" l="1"/>
  <c r="Q135" i="6" s="1"/>
  <c r="Q198" i="33"/>
  <c r="Q920" i="7"/>
  <c r="Q921" i="7" s="1"/>
  <c r="Q190" i="33" l="1"/>
  <c r="Q736" i="7"/>
  <c r="Q737" i="7" s="1"/>
  <c r="R919" i="7"/>
  <c r="Q130" i="2"/>
  <c r="Q132" i="2" s="1"/>
  <c r="Q740" i="7" l="1"/>
  <c r="Q103" i="2"/>
  <c r="R735" i="7"/>
  <c r="R738" i="7" s="1"/>
  <c r="R739" i="7" s="1"/>
  <c r="R124" i="5" s="1"/>
  <c r="Q714" i="7"/>
  <c r="Q715" i="7" s="1"/>
  <c r="Q217" i="33" s="1"/>
  <c r="Q207" i="33"/>
  <c r="Q133" i="2"/>
  <c r="Q107" i="2" l="1"/>
  <c r="Q134" i="2"/>
  <c r="R137" i="6"/>
  <c r="Q138" i="6"/>
  <c r="Q727" i="7"/>
  <c r="R103" i="6"/>
  <c r="R130" i="6" s="1"/>
  <c r="R197" i="33" s="1"/>
  <c r="R125" i="5"/>
  <c r="R127" i="5" s="1"/>
  <c r="Q391" i="25" l="1"/>
  <c r="Q731" i="7"/>
  <c r="Q112" i="2"/>
  <c r="Q728" i="7"/>
  <c r="Q730" i="7" s="1"/>
  <c r="Q211" i="33"/>
  <c r="Q213" i="33" s="1"/>
  <c r="R102" i="6"/>
  <c r="R115" i="6" s="1"/>
  <c r="R711" i="7"/>
  <c r="R713" i="7" s="1"/>
  <c r="R701" i="7" l="1"/>
  <c r="R189" i="33"/>
  <c r="R193" i="33" s="1"/>
  <c r="Q716" i="7"/>
  <c r="Q717" i="7" s="1"/>
  <c r="Q218" i="33" s="1"/>
  <c r="R703" i="7" l="1"/>
  <c r="R706" i="7"/>
  <c r="R707" i="7" l="1"/>
  <c r="R131" i="6" s="1"/>
  <c r="R206" i="33"/>
  <c r="R133" i="6" l="1"/>
  <c r="R135" i="6" s="1"/>
  <c r="R198" i="33"/>
  <c r="R920" i="7"/>
  <c r="R921" i="7" s="1"/>
  <c r="R736" i="7" l="1"/>
  <c r="R737" i="7" s="1"/>
  <c r="R190" i="33"/>
  <c r="R130" i="2"/>
  <c r="R132" i="2" s="1"/>
  <c r="S919" i="7"/>
  <c r="R103" i="2" l="1"/>
  <c r="R740" i="7"/>
  <c r="S735" i="7"/>
  <c r="S738" i="7" s="1"/>
  <c r="S739" i="7" s="1"/>
  <c r="S124" i="5" s="1"/>
  <c r="R207" i="33"/>
  <c r="R714" i="7"/>
  <c r="R715" i="7" s="1"/>
  <c r="R217" i="33" s="1"/>
  <c r="R133" i="2"/>
  <c r="R107" i="2" l="1"/>
  <c r="S137" i="6"/>
  <c r="R134" i="2"/>
  <c r="R138" i="6"/>
  <c r="R727" i="7"/>
  <c r="S103" i="6"/>
  <c r="S130" i="6" s="1"/>
  <c r="S197" i="33" s="1"/>
  <c r="S125" i="5"/>
  <c r="S127" i="5" s="1"/>
  <c r="R391" i="25" l="1"/>
  <c r="R731" i="7"/>
  <c r="R211" i="33"/>
  <c r="R213" i="33" s="1"/>
  <c r="R112" i="2"/>
  <c r="R728" i="7"/>
  <c r="R730" i="7" s="1"/>
  <c r="S102" i="6"/>
  <c r="S115" i="6" s="1"/>
  <c r="S711" i="7"/>
  <c r="S713" i="7" s="1"/>
  <c r="S189" i="33" l="1"/>
  <c r="S193" i="33" s="1"/>
  <c r="S701" i="7"/>
  <c r="R716" i="7"/>
  <c r="R717" i="7" s="1"/>
  <c r="R218" i="33" s="1"/>
  <c r="S706" i="7" l="1"/>
  <c r="S703" i="7"/>
  <c r="S206" i="33" l="1"/>
  <c r="S707" i="7"/>
  <c r="S131" i="6" s="1"/>
  <c r="S133" i="6" l="1"/>
  <c r="S135" i="6" s="1"/>
  <c r="S198" i="33"/>
  <c r="S920" i="7"/>
  <c r="S921" i="7" s="1"/>
  <c r="S736" i="7" l="1"/>
  <c r="S737" i="7" s="1"/>
  <c r="S190" i="33"/>
  <c r="S130" i="2"/>
  <c r="S132" i="2" s="1"/>
  <c r="T919" i="7"/>
  <c r="T735" i="7" l="1"/>
  <c r="T738" i="7" s="1"/>
  <c r="T739" i="7" s="1"/>
  <c r="T124" i="5" s="1"/>
  <c r="S740" i="7"/>
  <c r="S103" i="2"/>
  <c r="S207" i="33"/>
  <c r="S714" i="7"/>
  <c r="S715" i="7" s="1"/>
  <c r="S217" i="33" s="1"/>
  <c r="S133" i="2"/>
  <c r="T103" i="6" l="1"/>
  <c r="T130" i="6" s="1"/>
  <c r="T197" i="33" s="1"/>
  <c r="T125" i="5"/>
  <c r="T127" i="5" s="1"/>
  <c r="S107" i="2"/>
  <c r="S134" i="2"/>
  <c r="T137" i="6"/>
  <c r="S138" i="6"/>
  <c r="S727" i="7"/>
  <c r="T102" i="6" l="1"/>
  <c r="T115" i="6" s="1"/>
  <c r="T711" i="7"/>
  <c r="T713" i="7" s="1"/>
  <c r="S391" i="25"/>
  <c r="S731" i="7"/>
  <c r="S211" i="33"/>
  <c r="S213" i="33" s="1"/>
  <c r="S728" i="7"/>
  <c r="S730" i="7" s="1"/>
  <c r="S112" i="2"/>
  <c r="T189" i="33" l="1"/>
  <c r="T193" i="33" s="1"/>
  <c r="T701" i="7"/>
  <c r="S716" i="7"/>
  <c r="S717" i="7" s="1"/>
  <c r="S218" i="33" s="1"/>
  <c r="T706" i="7" l="1"/>
  <c r="T703" i="7"/>
  <c r="T206" i="33" l="1"/>
  <c r="T707" i="7"/>
  <c r="T131" i="6" s="1"/>
  <c r="T133" i="6" l="1"/>
  <c r="T135" i="6" s="1"/>
  <c r="T198" i="33"/>
  <c r="T920" i="7"/>
  <c r="T921" i="7" s="1"/>
  <c r="T190" i="33" l="1"/>
  <c r="T736" i="7"/>
  <c r="T737" i="7" s="1"/>
  <c r="T130" i="2"/>
  <c r="T132" i="2" s="1"/>
  <c r="U919" i="7"/>
  <c r="T740" i="7" l="1"/>
  <c r="U735" i="7"/>
  <c r="U738" i="7" s="1"/>
  <c r="U739" i="7" s="1"/>
  <c r="U124" i="5" s="1"/>
  <c r="T103" i="2"/>
  <c r="T207" i="33"/>
  <c r="T714" i="7"/>
  <c r="T715" i="7" s="1"/>
  <c r="T217" i="33" s="1"/>
  <c r="T133" i="2"/>
  <c r="U103" i="6" l="1"/>
  <c r="U130" i="6" s="1"/>
  <c r="U197" i="33" s="1"/>
  <c r="U125" i="5"/>
  <c r="U127" i="5" s="1"/>
  <c r="T727" i="7"/>
  <c r="T134" i="2"/>
  <c r="T107" i="2"/>
  <c r="U137" i="6"/>
  <c r="T138" i="6"/>
  <c r="T211" i="33" l="1"/>
  <c r="T213" i="33" s="1"/>
  <c r="T112" i="2"/>
  <c r="T728" i="7"/>
  <c r="T730" i="7" s="1"/>
  <c r="U102" i="6"/>
  <c r="U115" i="6" s="1"/>
  <c r="U711" i="7"/>
  <c r="U713" i="7" s="1"/>
  <c r="T391" i="25"/>
  <c r="T731" i="7"/>
  <c r="T716" i="7" l="1"/>
  <c r="T717" i="7" s="1"/>
  <c r="T218" i="33" s="1"/>
  <c r="U189" i="33"/>
  <c r="U193" i="33" s="1"/>
  <c r="U701" i="7"/>
  <c r="U706" i="7" l="1"/>
  <c r="U703" i="7"/>
  <c r="U707" i="7" l="1"/>
  <c r="U131" i="6" s="1"/>
  <c r="U206" i="33"/>
  <c r="U133" i="6" l="1"/>
  <c r="U135" i="6" s="1"/>
  <c r="U198" i="33"/>
  <c r="U920" i="7"/>
  <c r="U921" i="7" s="1"/>
  <c r="U190" i="33" l="1"/>
  <c r="U736" i="7"/>
  <c r="U737" i="7" s="1"/>
  <c r="V919" i="7"/>
  <c r="U130" i="2"/>
  <c r="U132" i="2" s="1"/>
  <c r="U740" i="7" l="1"/>
  <c r="V735" i="7"/>
  <c r="V738" i="7" s="1"/>
  <c r="V739" i="7" s="1"/>
  <c r="V124" i="5" s="1"/>
  <c r="U103" i="2"/>
  <c r="U207" i="33"/>
  <c r="U714" i="7"/>
  <c r="U715" i="7" s="1"/>
  <c r="U217" i="33" s="1"/>
  <c r="U133" i="2"/>
  <c r="V103" i="6" l="1"/>
  <c r="V130" i="6" s="1"/>
  <c r="V197" i="33" s="1"/>
  <c r="V125" i="5"/>
  <c r="V127" i="5" s="1"/>
  <c r="U107" i="2"/>
  <c r="U134" i="2"/>
  <c r="V137" i="6"/>
  <c r="U138" i="6"/>
  <c r="U727" i="7"/>
  <c r="V102" i="6" l="1"/>
  <c r="V115" i="6" s="1"/>
  <c r="V711" i="7"/>
  <c r="V713" i="7" s="1"/>
  <c r="U391" i="25"/>
  <c r="U731" i="7"/>
  <c r="U211" i="33"/>
  <c r="U213" i="33" s="1"/>
  <c r="U112" i="2"/>
  <c r="U728" i="7"/>
  <c r="U730" i="7" s="1"/>
  <c r="V189" i="33" l="1"/>
  <c r="V193" i="33" s="1"/>
  <c r="V701" i="7"/>
  <c r="U716" i="7"/>
  <c r="U717" i="7" s="1"/>
  <c r="U218" i="33" s="1"/>
  <c r="V703" i="7" l="1"/>
  <c r="V706" i="7"/>
  <c r="V707" i="7" l="1"/>
  <c r="V131" i="6" s="1"/>
  <c r="V206" i="33"/>
  <c r="V133" i="6" l="1"/>
  <c r="V135" i="6" s="1"/>
  <c r="V198" i="33"/>
  <c r="V920" i="7"/>
  <c r="V921" i="7" s="1"/>
  <c r="V190" i="33" l="1"/>
  <c r="V736" i="7"/>
  <c r="V737" i="7" s="1"/>
  <c r="V130" i="2"/>
  <c r="V132" i="2" s="1"/>
  <c r="W919" i="7"/>
  <c r="V740" i="7" l="1"/>
  <c r="V103" i="2"/>
  <c r="W735" i="7"/>
  <c r="W738" i="7" s="1"/>
  <c r="W739" i="7" s="1"/>
  <c r="W124" i="5" s="1"/>
  <c r="V714" i="7"/>
  <c r="V715" i="7" s="1"/>
  <c r="V217" i="33" s="1"/>
  <c r="V207" i="33"/>
  <c r="V133" i="2"/>
  <c r="V107" i="2" l="1"/>
  <c r="W137" i="6"/>
  <c r="V134" i="2"/>
  <c r="V138" i="6"/>
  <c r="V727" i="7"/>
  <c r="W103" i="6"/>
  <c r="W130" i="6" s="1"/>
  <c r="W197" i="33" s="1"/>
  <c r="W125" i="5"/>
  <c r="W127" i="5" s="1"/>
  <c r="V731" i="7" l="1"/>
  <c r="V391" i="25"/>
  <c r="V112" i="2"/>
  <c r="V211" i="33"/>
  <c r="V213" i="33" s="1"/>
  <c r="V728" i="7"/>
  <c r="V730" i="7" s="1"/>
  <c r="W102" i="6"/>
  <c r="W115" i="6" s="1"/>
  <c r="W711" i="7"/>
  <c r="W713" i="7" s="1"/>
  <c r="W701" i="7" l="1"/>
  <c r="W189" i="33"/>
  <c r="W193" i="33" s="1"/>
  <c r="V716" i="7"/>
  <c r="V717" i="7" s="1"/>
  <c r="V218" i="33" s="1"/>
  <c r="W703" i="7" l="1"/>
  <c r="W706" i="7"/>
  <c r="W707" i="7" l="1"/>
  <c r="W131" i="6" s="1"/>
  <c r="W206" i="33"/>
  <c r="W133" i="6" l="1"/>
  <c r="W135" i="6" s="1"/>
  <c r="W198" i="33"/>
  <c r="W920" i="7"/>
  <c r="W921" i="7" s="1"/>
  <c r="W736" i="7" l="1"/>
  <c r="W737" i="7" s="1"/>
  <c r="W190" i="33"/>
  <c r="X919" i="7"/>
  <c r="W130" i="2"/>
  <c r="W132" i="2" s="1"/>
  <c r="W103" i="2" l="1"/>
  <c r="W740" i="7"/>
  <c r="X735" i="7"/>
  <c r="X738" i="7" s="1"/>
  <c r="X739" i="7" s="1"/>
  <c r="X124" i="5" s="1"/>
  <c r="W714" i="7"/>
  <c r="W715" i="7" s="1"/>
  <c r="W217" i="33" s="1"/>
  <c r="W207" i="33"/>
  <c r="W133" i="2"/>
  <c r="X137" i="6" l="1"/>
  <c r="W107" i="2"/>
  <c r="W134" i="2"/>
  <c r="W138" i="6"/>
  <c r="W727" i="7"/>
  <c r="X103" i="6"/>
  <c r="X130" i="6" s="1"/>
  <c r="X197" i="33" s="1"/>
  <c r="X125" i="5"/>
  <c r="X127" i="5" s="1"/>
  <c r="W391" i="25" l="1"/>
  <c r="W731" i="7"/>
  <c r="W211" i="33"/>
  <c r="W213" i="33" s="1"/>
  <c r="W112" i="2"/>
  <c r="W728" i="7"/>
  <c r="W730" i="7" s="1"/>
  <c r="X102" i="6"/>
  <c r="X115" i="6" s="1"/>
  <c r="X711" i="7"/>
  <c r="X713" i="7" s="1"/>
  <c r="X189" i="33" l="1"/>
  <c r="X193" i="33" s="1"/>
  <c r="X701" i="7"/>
  <c r="W716" i="7"/>
  <c r="W717" i="7" s="1"/>
  <c r="W218" i="33" s="1"/>
  <c r="X703" i="7" l="1"/>
  <c r="X706" i="7"/>
  <c r="X707" i="7" l="1"/>
  <c r="X131" i="6" s="1"/>
  <c r="X206" i="33"/>
  <c r="X133" i="6" l="1"/>
  <c r="X135" i="6" s="1"/>
  <c r="X198" i="33"/>
  <c r="X920" i="7"/>
  <c r="X921" i="7" s="1"/>
  <c r="X190" i="33" l="1"/>
  <c r="X736" i="7"/>
  <c r="X737" i="7" s="1"/>
  <c r="Y919" i="7"/>
  <c r="X130" i="2"/>
  <c r="X132" i="2" s="1"/>
  <c r="Y735" i="7" l="1"/>
  <c r="Y738" i="7" s="1"/>
  <c r="Y739" i="7" s="1"/>
  <c r="Y124" i="5" s="1"/>
  <c r="X740" i="7"/>
  <c r="X103" i="2"/>
  <c r="X207" i="33"/>
  <c r="X714" i="7"/>
  <c r="X715" i="7" s="1"/>
  <c r="X217" i="33" s="1"/>
  <c r="X133" i="2"/>
  <c r="Y103" i="6" l="1"/>
  <c r="Y130" i="6" s="1"/>
  <c r="Y197" i="33" s="1"/>
  <c r="Y125" i="5"/>
  <c r="Y127" i="5" s="1"/>
  <c r="X107" i="2"/>
  <c r="X134" i="2"/>
  <c r="Y137" i="6"/>
  <c r="X138" i="6"/>
  <c r="X727" i="7"/>
  <c r="Y102" i="6" l="1"/>
  <c r="Y115" i="6" s="1"/>
  <c r="Y711" i="7"/>
  <c r="Y713" i="7" s="1"/>
  <c r="X731" i="7"/>
  <c r="X391" i="25"/>
  <c r="X112" i="2"/>
  <c r="X211" i="33"/>
  <c r="X213" i="33" s="1"/>
  <c r="X728" i="7"/>
  <c r="X730" i="7" s="1"/>
  <c r="Y701" i="7" l="1"/>
  <c r="Y189" i="33"/>
  <c r="Y193" i="33" s="1"/>
  <c r="X716" i="7"/>
  <c r="X717" i="7" s="1"/>
  <c r="X218" i="33" s="1"/>
  <c r="Y706" i="7" l="1"/>
  <c r="Y703" i="7"/>
  <c r="Y206" i="33" l="1"/>
  <c r="Y707" i="7"/>
  <c r="Y131" i="6" s="1"/>
  <c r="Y133" i="6" l="1"/>
  <c r="Y135" i="6" s="1"/>
  <c r="Y198" i="33"/>
  <c r="Y920" i="7"/>
  <c r="Y921" i="7" s="1"/>
  <c r="Y736" i="7" l="1"/>
  <c r="Y737" i="7" s="1"/>
  <c r="Y190" i="33"/>
  <c r="Z919" i="7"/>
  <c r="Y130" i="2"/>
  <c r="Y132" i="2" s="1"/>
  <c r="Y103" i="2" l="1"/>
  <c r="Z735" i="7"/>
  <c r="Z738" i="7" s="1"/>
  <c r="Z739" i="7" s="1"/>
  <c r="Z124" i="5" s="1"/>
  <c r="Y740" i="7"/>
  <c r="Y714" i="7"/>
  <c r="Y715" i="7" s="1"/>
  <c r="Y217" i="33" s="1"/>
  <c r="Y207" i="33"/>
  <c r="Y133" i="2"/>
  <c r="Z137" i="6" l="1"/>
  <c r="Y134" i="2"/>
  <c r="Y727" i="7"/>
  <c r="Y138" i="6"/>
  <c r="Y107" i="2"/>
  <c r="Z103" i="6"/>
  <c r="Z130" i="6" s="1"/>
  <c r="Z197" i="33" s="1"/>
  <c r="Z125" i="5"/>
  <c r="Z127" i="5" s="1"/>
  <c r="Y211" i="33" l="1"/>
  <c r="Y213" i="33" s="1"/>
  <c r="Y728" i="7"/>
  <c r="Y730" i="7" s="1"/>
  <c r="Y112" i="2"/>
  <c r="Z102" i="6"/>
  <c r="Z115" i="6" s="1"/>
  <c r="Z711" i="7"/>
  <c r="Z713" i="7" s="1"/>
  <c r="Y731" i="7"/>
  <c r="Y391" i="25"/>
  <c r="Y716" i="7" l="1"/>
  <c r="Y717" i="7" s="1"/>
  <c r="Y218" i="33" s="1"/>
  <c r="Z701" i="7"/>
  <c r="Z189" i="33"/>
  <c r="Z193" i="33" s="1"/>
  <c r="Z706" i="7" l="1"/>
  <c r="Z703" i="7"/>
  <c r="Z206" i="33" l="1"/>
  <c r="Z707" i="7"/>
  <c r="Z131" i="6" s="1"/>
  <c r="Z133" i="6" l="1"/>
  <c r="Z135" i="6" s="1"/>
  <c r="Z198" i="33"/>
  <c r="Z920" i="7"/>
  <c r="Z921" i="7" s="1"/>
  <c r="Z736" i="7" l="1"/>
  <c r="Z737" i="7" s="1"/>
  <c r="Z190" i="33"/>
  <c r="Z130" i="2"/>
  <c r="Z132" i="2" s="1"/>
  <c r="AA919" i="7"/>
  <c r="Z740" i="7" l="1"/>
  <c r="AA735" i="7"/>
  <c r="AA738" i="7" s="1"/>
  <c r="AA739" i="7" s="1"/>
  <c r="AA124" i="5" s="1"/>
  <c r="Z103" i="2"/>
  <c r="Z207" i="33"/>
  <c r="Z714" i="7"/>
  <c r="Z715" i="7" s="1"/>
  <c r="Z217" i="33" s="1"/>
  <c r="Z133" i="2"/>
  <c r="AA103" i="6" l="1"/>
  <c r="AA130" i="6" s="1"/>
  <c r="AA197" i="33" s="1"/>
  <c r="AA125" i="5"/>
  <c r="AA127" i="5" s="1"/>
  <c r="Z134" i="2"/>
  <c r="Z727" i="7"/>
  <c r="Z107" i="2"/>
  <c r="AA137" i="6"/>
  <c r="Z138" i="6"/>
  <c r="Z728" i="7" l="1"/>
  <c r="Z730" i="7" s="1"/>
  <c r="Z112" i="2"/>
  <c r="Z211" i="33"/>
  <c r="Z213" i="33" s="1"/>
  <c r="AA102" i="6"/>
  <c r="AA115" i="6" s="1"/>
  <c r="AA711" i="7"/>
  <c r="AA713" i="7" s="1"/>
  <c r="Z731" i="7"/>
  <c r="Z391" i="25"/>
  <c r="Z716" i="7" l="1"/>
  <c r="Z717" i="7" s="1"/>
  <c r="Z218" i="33" s="1"/>
  <c r="AA189" i="33"/>
  <c r="AA193" i="33" s="1"/>
  <c r="AA701" i="7"/>
  <c r="AA706" i="7" l="1"/>
  <c r="AA703" i="7"/>
  <c r="AA206" i="33" l="1"/>
  <c r="AA707" i="7"/>
  <c r="AA131" i="6" s="1"/>
  <c r="AA133" i="6" l="1"/>
  <c r="AA135" i="6" s="1"/>
  <c r="AA198" i="33"/>
  <c r="AA920" i="7"/>
  <c r="AA921" i="7" s="1"/>
  <c r="AA736" i="7" l="1"/>
  <c r="AA737" i="7" s="1"/>
  <c r="AA190" i="33"/>
  <c r="AA130" i="2"/>
  <c r="AA132" i="2" s="1"/>
  <c r="AB919" i="7"/>
  <c r="AB735" i="7" l="1"/>
  <c r="AB738" i="7" s="1"/>
  <c r="AB739" i="7" s="1"/>
  <c r="AB124" i="5" s="1"/>
  <c r="AA103" i="2"/>
  <c r="AA740" i="7"/>
  <c r="AA207" i="33"/>
  <c r="AA714" i="7"/>
  <c r="AA715" i="7" s="1"/>
  <c r="AA217" i="33" s="1"/>
  <c r="AA133" i="2"/>
  <c r="AB103" i="6" l="1"/>
  <c r="AB130" i="6" s="1"/>
  <c r="AB197" i="33" s="1"/>
  <c r="AB125" i="5"/>
  <c r="AB127" i="5" s="1"/>
  <c r="AA107" i="2"/>
  <c r="AA134" i="2"/>
  <c r="AB137" i="6"/>
  <c r="AA138" i="6"/>
  <c r="AA727" i="7"/>
  <c r="AB102" i="6" l="1"/>
  <c r="AB115" i="6" s="1"/>
  <c r="AB711" i="7"/>
  <c r="AB713" i="7" s="1"/>
  <c r="AA391" i="25"/>
  <c r="AA731" i="7"/>
  <c r="AA728" i="7"/>
  <c r="AA730" i="7" s="1"/>
  <c r="AA112" i="2"/>
  <c r="AA211" i="33"/>
  <c r="AA213" i="33" s="1"/>
  <c r="AB189" i="33" l="1"/>
  <c r="AB193" i="33" s="1"/>
  <c r="AB701" i="7"/>
  <c r="AA716" i="7"/>
  <c r="AA717" i="7" s="1"/>
  <c r="AA218" i="33" s="1"/>
  <c r="AB706" i="7" l="1"/>
  <c r="AB703" i="7"/>
  <c r="AB707" i="7" l="1"/>
  <c r="AB131" i="6" s="1"/>
  <c r="AB206" i="33"/>
  <c r="AB133" i="6" l="1"/>
  <c r="AB135" i="6" s="1"/>
  <c r="AB198" i="33"/>
  <c r="AB920" i="7"/>
  <c r="AB921" i="7" s="1"/>
  <c r="AB190" i="33" l="1"/>
  <c r="AB736" i="7"/>
  <c r="AB737" i="7" s="1"/>
  <c r="AB130" i="2"/>
  <c r="AB132" i="2" s="1"/>
  <c r="AC919" i="7"/>
  <c r="AB740" i="7" l="1"/>
  <c r="AC735" i="7"/>
  <c r="AC738" i="7" s="1"/>
  <c r="AC739" i="7" s="1"/>
  <c r="AC124" i="5" s="1"/>
  <c r="AB103" i="2"/>
  <c r="AB207" i="33"/>
  <c r="AB714" i="7"/>
  <c r="AB715" i="7" s="1"/>
  <c r="AB217" i="33" s="1"/>
  <c r="AB133" i="2"/>
  <c r="AC103" i="6" l="1"/>
  <c r="AC130" i="6" s="1"/>
  <c r="AC197" i="33" s="1"/>
  <c r="AC125" i="5"/>
  <c r="AC127" i="5" s="1"/>
  <c r="AB134" i="2"/>
  <c r="AC137" i="6"/>
  <c r="AB138" i="6"/>
  <c r="AB727" i="7"/>
  <c r="AB107" i="2"/>
  <c r="AC102" i="6" l="1"/>
  <c r="AC115" i="6" s="1"/>
  <c r="AC711" i="7"/>
  <c r="AC713" i="7" s="1"/>
  <c r="AB211" i="33"/>
  <c r="AB213" i="33" s="1"/>
  <c r="AB112" i="2"/>
  <c r="AB728" i="7"/>
  <c r="AB730" i="7" s="1"/>
  <c r="AB391" i="25"/>
  <c r="AB731" i="7"/>
  <c r="AB716" i="7" l="1"/>
  <c r="AB717" i="7" s="1"/>
  <c r="AB218" i="33" s="1"/>
  <c r="AC701" i="7"/>
  <c r="AC189" i="33"/>
  <c r="AC193" i="33" s="1"/>
  <c r="AC706" i="7" l="1"/>
  <c r="AC703" i="7"/>
  <c r="AC707" i="7" l="1"/>
  <c r="AC131" i="6" s="1"/>
  <c r="AC206" i="33"/>
  <c r="AC133" i="6" l="1"/>
  <c r="AC135" i="6" s="1"/>
  <c r="AC198" i="33"/>
  <c r="AC920" i="7"/>
  <c r="AC921" i="7" s="1"/>
  <c r="AC736" i="7" l="1"/>
  <c r="AC737" i="7" s="1"/>
  <c r="AC190" i="33"/>
  <c r="AC130" i="2"/>
  <c r="AC132" i="2" s="1"/>
  <c r="AD919" i="7"/>
  <c r="AC740" i="7" l="1"/>
  <c r="AC103" i="2"/>
  <c r="AD735" i="7"/>
  <c r="AD738" i="7" s="1"/>
  <c r="AD739" i="7" s="1"/>
  <c r="AD124" i="5" s="1"/>
  <c r="AC714" i="7"/>
  <c r="AC715" i="7" s="1"/>
  <c r="AC217" i="33" s="1"/>
  <c r="AC207" i="33"/>
  <c r="AC133" i="2"/>
  <c r="AC107" i="2" l="1"/>
  <c r="AC134" i="2"/>
  <c r="AC138" i="6"/>
  <c r="AC727" i="7"/>
  <c r="AD137" i="6"/>
  <c r="AD103" i="6"/>
  <c r="AD130" i="6" s="1"/>
  <c r="AD197" i="33" s="1"/>
  <c r="AD125" i="5"/>
  <c r="AD127" i="5" s="1"/>
  <c r="AC728" i="7" l="1"/>
  <c r="AC730" i="7" s="1"/>
  <c r="AC211" i="33"/>
  <c r="AC213" i="33" s="1"/>
  <c r="AC112" i="2"/>
  <c r="AD102" i="6"/>
  <c r="AD115" i="6" s="1"/>
  <c r="AD711" i="7"/>
  <c r="AD713" i="7" s="1"/>
  <c r="AC391" i="25"/>
  <c r="AC731" i="7"/>
  <c r="AC716" i="7" l="1"/>
  <c r="AC717" i="7" s="1"/>
  <c r="AC218" i="33" s="1"/>
  <c r="AD189" i="33"/>
  <c r="AD193" i="33" s="1"/>
  <c r="AD701" i="7"/>
  <c r="AD706" i="7" l="1"/>
  <c r="AD703" i="7"/>
  <c r="AD707" i="7" l="1"/>
  <c r="AD131" i="6" s="1"/>
  <c r="AD206" i="33"/>
  <c r="AD133" i="6" l="1"/>
  <c r="AD135" i="6" s="1"/>
  <c r="AD198" i="33"/>
  <c r="AD920" i="7"/>
  <c r="AD921" i="7" s="1"/>
  <c r="AD736" i="7" l="1"/>
  <c r="AD737" i="7" s="1"/>
  <c r="AD190" i="33"/>
  <c r="AD130" i="2"/>
  <c r="AD132" i="2" s="1"/>
  <c r="AE919" i="7"/>
  <c r="AD740" i="7" l="1"/>
  <c r="AD103" i="2"/>
  <c r="AE735" i="7"/>
  <c r="AE738" i="7" s="1"/>
  <c r="AE739" i="7" s="1"/>
  <c r="AE124" i="5" s="1"/>
  <c r="AD714" i="7"/>
  <c r="AD715" i="7" s="1"/>
  <c r="AD217" i="33" s="1"/>
  <c r="AD207" i="33"/>
  <c r="AD133" i="2"/>
  <c r="AD134" i="2" l="1"/>
  <c r="AD727" i="7"/>
  <c r="AE137" i="6"/>
  <c r="AD138" i="6"/>
  <c r="AD107" i="2"/>
  <c r="AE103" i="6"/>
  <c r="AE130" i="6" s="1"/>
  <c r="AE197" i="33" s="1"/>
  <c r="AE125" i="5"/>
  <c r="AE127" i="5" s="1"/>
  <c r="AD112" i="2" l="1"/>
  <c r="AD716" i="7" s="1"/>
  <c r="AD717" i="7" s="1"/>
  <c r="AD218" i="33" s="1"/>
  <c r="AD211" i="33"/>
  <c r="AD213" i="33" s="1"/>
  <c r="AD728" i="7"/>
  <c r="AD730" i="7" s="1"/>
  <c r="AD391" i="25"/>
  <c r="AD731" i="7"/>
  <c r="AE102" i="6"/>
  <c r="AE115" i="6" s="1"/>
  <c r="AE711" i="7"/>
  <c r="AE713" i="7" s="1"/>
  <c r="AE701" i="7" l="1"/>
  <c r="AE189" i="33"/>
  <c r="AE193" i="33" s="1"/>
  <c r="AE706" i="7" l="1"/>
  <c r="AE703" i="7"/>
  <c r="AE707" i="7" l="1"/>
  <c r="AE131" i="6" s="1"/>
  <c r="AE206" i="33"/>
  <c r="AE133" i="6" l="1"/>
  <c r="AE135" i="6" s="1"/>
  <c r="AE198" i="33"/>
  <c r="AE920" i="7"/>
  <c r="AE921" i="7" s="1"/>
  <c r="AE736" i="7" l="1"/>
  <c r="AE737" i="7" s="1"/>
  <c r="AE190" i="33"/>
  <c r="AE130" i="2"/>
  <c r="AE132" i="2" s="1"/>
  <c r="AF919" i="7"/>
  <c r="AE740" i="7" l="1"/>
  <c r="AE103" i="2"/>
  <c r="AF735" i="7"/>
  <c r="AF738" i="7" s="1"/>
  <c r="AF739" i="7" s="1"/>
  <c r="AF124" i="5" s="1"/>
  <c r="AE714" i="7"/>
  <c r="AE715" i="7" s="1"/>
  <c r="AE217" i="33" s="1"/>
  <c r="AE207" i="33"/>
  <c r="AE133" i="2"/>
  <c r="AE107" i="2" l="1"/>
  <c r="AE727" i="7"/>
  <c r="AF137" i="6"/>
  <c r="AE138" i="6"/>
  <c r="AE134" i="2"/>
  <c r="AF103" i="6"/>
  <c r="AF130" i="6" s="1"/>
  <c r="AF197" i="33" s="1"/>
  <c r="AF125" i="5"/>
  <c r="AF127" i="5" s="1"/>
  <c r="AE211" i="33" l="1"/>
  <c r="AE213" i="33" s="1"/>
  <c r="AE112" i="2"/>
  <c r="AE716" i="7" s="1"/>
  <c r="AE717" i="7" s="1"/>
  <c r="AE218" i="33" s="1"/>
  <c r="AE728" i="7"/>
  <c r="AE730" i="7" s="1"/>
  <c r="AE731" i="7"/>
  <c r="AE391" i="25"/>
  <c r="AF102" i="6"/>
  <c r="AF115" i="6" s="1"/>
  <c r="AF711" i="7"/>
  <c r="AF713" i="7" s="1"/>
  <c r="AF701" i="7" l="1"/>
  <c r="AF189" i="33"/>
  <c r="AF193" i="33" s="1"/>
  <c r="AF706" i="7" l="1"/>
  <c r="AF703" i="7"/>
  <c r="AF707" i="7" l="1"/>
  <c r="AF131" i="6" s="1"/>
  <c r="AF206" i="33"/>
  <c r="AF133" i="6" l="1"/>
  <c r="AF135" i="6" s="1"/>
  <c r="AF198" i="33"/>
  <c r="AF920" i="7"/>
  <c r="AF921" i="7" s="1"/>
  <c r="AF190" i="33" l="1"/>
  <c r="AF736" i="7"/>
  <c r="AF737" i="7" s="1"/>
  <c r="AG919" i="7"/>
  <c r="AF130" i="2"/>
  <c r="AF132" i="2" s="1"/>
  <c r="AG735" i="7" l="1"/>
  <c r="AG738" i="7" s="1"/>
  <c r="AG739" i="7" s="1"/>
  <c r="AG124" i="5" s="1"/>
  <c r="AF740" i="7"/>
  <c r="AF103" i="2"/>
  <c r="AF714" i="7"/>
  <c r="AF715" i="7" s="1"/>
  <c r="AF217" i="33" s="1"/>
  <c r="AF207" i="33"/>
  <c r="AF133" i="2"/>
  <c r="AG103" i="6" l="1"/>
  <c r="AG130" i="6" s="1"/>
  <c r="AG197" i="33" s="1"/>
  <c r="AG125" i="5"/>
  <c r="AG127" i="5" s="1"/>
  <c r="AF134" i="2"/>
  <c r="AG137" i="6"/>
  <c r="AF727" i="7"/>
  <c r="AF138" i="6"/>
  <c r="AF107" i="2"/>
  <c r="AF731" i="7" l="1"/>
  <c r="AF391" i="25"/>
  <c r="AG102" i="6"/>
  <c r="AG115" i="6" s="1"/>
  <c r="AG711" i="7"/>
  <c r="AG713" i="7" s="1"/>
  <c r="AF728" i="7"/>
  <c r="AF730" i="7" s="1"/>
  <c r="AF112" i="2"/>
  <c r="AF716" i="7" s="1"/>
  <c r="AF717" i="7" s="1"/>
  <c r="AF218" i="33" s="1"/>
  <c r="AF211" i="33"/>
  <c r="AF213" i="33" s="1"/>
  <c r="AG701" i="7" l="1"/>
  <c r="AG189" i="33"/>
  <c r="AG193" i="33" s="1"/>
  <c r="AG706" i="7" l="1"/>
  <c r="AG703" i="7"/>
  <c r="AG206" i="33" l="1"/>
  <c r="AG707" i="7"/>
  <c r="AG131" i="6" s="1"/>
  <c r="AG133" i="6" l="1"/>
  <c r="AG135" i="6" s="1"/>
  <c r="AG198" i="33"/>
  <c r="AG920" i="7"/>
  <c r="AG921" i="7" s="1"/>
  <c r="AG736" i="7" l="1"/>
  <c r="AG737" i="7" s="1"/>
  <c r="AG190" i="33"/>
  <c r="AH919" i="7"/>
  <c r="AG130" i="2"/>
  <c r="AG132" i="2" s="1"/>
  <c r="AH735" i="7" l="1"/>
  <c r="AH738" i="7" s="1"/>
  <c r="AH739" i="7" s="1"/>
  <c r="AH124" i="5" s="1"/>
  <c r="AG740" i="7"/>
  <c r="AG103" i="2"/>
  <c r="AG714" i="7"/>
  <c r="AG715" i="7" s="1"/>
  <c r="AG217" i="33" s="1"/>
  <c r="AG207" i="33"/>
  <c r="AG133" i="2"/>
  <c r="AH103" i="6" l="1"/>
  <c r="AH130" i="6" s="1"/>
  <c r="AH197" i="33" s="1"/>
  <c r="AH125" i="5"/>
  <c r="AH127" i="5" s="1"/>
  <c r="AG727" i="7"/>
  <c r="AH137" i="6"/>
  <c r="AG138" i="6"/>
  <c r="AG134" i="2"/>
  <c r="AG107" i="2"/>
  <c r="AH102" i="6" l="1"/>
  <c r="AH115" i="6" s="1"/>
  <c r="AH711" i="7"/>
  <c r="AH713" i="7" s="1"/>
  <c r="AG728" i="7"/>
  <c r="AG730" i="7" s="1"/>
  <c r="AG112" i="2"/>
  <c r="AG211" i="33"/>
  <c r="AG213" i="33" s="1"/>
  <c r="AG391" i="25"/>
  <c r="AG731" i="7"/>
  <c r="AG716" i="7" l="1"/>
  <c r="AG717" i="7" s="1"/>
  <c r="AG218" i="33" s="1"/>
  <c r="AH701" i="7"/>
  <c r="AH189" i="33"/>
  <c r="AH193" i="33" s="1"/>
  <c r="F69" i="37"/>
  <c r="G69" i="37" s="1"/>
  <c r="F94" i="37"/>
  <c r="G94" i="37" s="1"/>
  <c r="F95" i="37"/>
  <c r="G95" i="37" s="1"/>
  <c r="F70" i="37"/>
  <c r="F68" i="37"/>
  <c r="G68" i="37" s="1"/>
  <c r="F96" i="37"/>
  <c r="AH706" i="7" l="1"/>
  <c r="AH703" i="7"/>
  <c r="AH707" i="7" l="1"/>
  <c r="AH131" i="6" s="1"/>
  <c r="AH206" i="33"/>
  <c r="AH133" i="6" l="1"/>
  <c r="AH135" i="6" s="1"/>
  <c r="AH198" i="33"/>
  <c r="AH920" i="7"/>
  <c r="AH921" i="7" s="1"/>
  <c r="F72" i="37"/>
  <c r="G72" i="37" s="1"/>
  <c r="F108" i="37"/>
  <c r="F106" i="37"/>
  <c r="F73" i="37"/>
  <c r="G73" i="37" s="1"/>
  <c r="F107" i="37"/>
  <c r="G107" i="37" s="1"/>
  <c r="F74" i="37"/>
  <c r="AH130" i="2" l="1"/>
  <c r="AH132" i="2" s="1"/>
  <c r="AH190" i="33"/>
  <c r="AH736" i="7"/>
  <c r="AH737" i="7" s="1"/>
  <c r="G106" i="37"/>
  <c r="K23" i="28"/>
  <c r="AH714" i="7" l="1"/>
  <c r="AH715" i="7" s="1"/>
  <c r="AH217" i="33" s="1"/>
  <c r="AH207" i="33"/>
  <c r="F110" i="37" s="1"/>
  <c r="G110" i="37" s="1"/>
  <c r="AH133" i="2"/>
  <c r="AH740" i="7"/>
  <c r="AH103" i="2"/>
  <c r="O110" i="37" l="1"/>
  <c r="Q110" i="37" s="1"/>
  <c r="F98" i="37"/>
  <c r="K24" i="28" s="1"/>
  <c r="F99" i="37"/>
  <c r="G99" i="37" s="1"/>
  <c r="F100" i="37"/>
  <c r="F112" i="37"/>
  <c r="F111" i="37"/>
  <c r="G111" i="37" s="1"/>
  <c r="AH138" i="6"/>
  <c r="AH107" i="2"/>
  <c r="AH727" i="7"/>
  <c r="AH134" i="2"/>
  <c r="O111" i="37" s="1"/>
  <c r="Q111" i="37" s="1"/>
  <c r="K25" i="28" l="1"/>
  <c r="K21" i="28" s="1"/>
  <c r="G98" i="37"/>
  <c r="AH112" i="2"/>
  <c r="AH211" i="33"/>
  <c r="AH213" i="33" s="1"/>
  <c r="AH728" i="7"/>
  <c r="AH730" i="7" s="1"/>
  <c r="AH731" i="7"/>
  <c r="AH391" i="25"/>
  <c r="O109" i="37" l="1"/>
  <c r="Q109" i="37" s="1"/>
  <c r="AH716" i="7"/>
  <c r="AH717" i="7" s="1"/>
  <c r="F81" i="37"/>
  <c r="G81" i="37" s="1"/>
  <c r="N98" i="37"/>
  <c r="O98" i="37" s="1"/>
  <c r="F80" i="37"/>
  <c r="G80" i="37" s="1"/>
  <c r="N100" i="37"/>
  <c r="N99" i="37"/>
  <c r="O99" i="37" s="1"/>
  <c r="F82" i="37"/>
  <c r="N104" i="37"/>
  <c r="N102" i="37"/>
  <c r="O102" i="37" s="1"/>
  <c r="N103" i="37"/>
  <c r="O103" i="37" s="1"/>
  <c r="AH218" i="33" l="1"/>
  <c r="F102" i="37"/>
  <c r="G102" i="37" s="1"/>
  <c r="F103" i="37"/>
  <c r="G103" i="37" s="1"/>
  <c r="F104" i="37"/>
  <c r="F1083" i="7"/>
  <c r="F1092" i="7" s="1"/>
  <c r="F1088" i="7"/>
  <c r="G1088" i="7" s="1"/>
  <c r="H1088" i="7" s="1"/>
  <c r="I1088" i="7" s="1"/>
  <c r="J1088" i="7" s="1"/>
  <c r="K1088" i="7" s="1"/>
  <c r="L1088" i="7" s="1"/>
  <c r="M1088" i="7" s="1"/>
  <c r="N1088" i="7" s="1"/>
  <c r="O1088" i="7" s="1"/>
  <c r="P1088" i="7" s="1"/>
  <c r="Q1088" i="7" s="1"/>
  <c r="R1088" i="7" s="1"/>
  <c r="S1088" i="7" s="1"/>
  <c r="T1088" i="7" s="1"/>
  <c r="U1088" i="7" s="1"/>
  <c r="V1088" i="7" s="1"/>
  <c r="W1088" i="7" s="1"/>
  <c r="X1088" i="7" s="1"/>
  <c r="Y1088" i="7" s="1"/>
  <c r="Z1088" i="7" s="1"/>
  <c r="AA1088" i="7" s="1"/>
  <c r="AB1088" i="7" s="1"/>
  <c r="AC1088" i="7" s="1"/>
  <c r="AD1088" i="7" s="1"/>
  <c r="AE1088" i="7" s="1"/>
  <c r="AF1088" i="7" s="1"/>
  <c r="AG1088" i="7" s="1"/>
  <c r="AH1088" i="7" s="1"/>
  <c r="F1098" i="7" l="1"/>
  <c r="F1103" i="7" s="1"/>
  <c r="G1083" i="7"/>
  <c r="G1092" i="7" s="1"/>
  <c r="F1041" i="7"/>
  <c r="F1048" i="7" s="1"/>
  <c r="F1037" i="7"/>
  <c r="F1051" i="7" s="1"/>
  <c r="F1040" i="7"/>
  <c r="F1089" i="7"/>
  <c r="G1089" i="7" s="1"/>
  <c r="H1089" i="7" s="1"/>
  <c r="I1089" i="7" s="1"/>
  <c r="J1089" i="7" s="1"/>
  <c r="K1089" i="7" s="1"/>
  <c r="L1089" i="7" s="1"/>
  <c r="M1089" i="7" s="1"/>
  <c r="N1089" i="7" s="1"/>
  <c r="O1089" i="7" s="1"/>
  <c r="P1089" i="7" s="1"/>
  <c r="Q1089" i="7" s="1"/>
  <c r="R1089" i="7" s="1"/>
  <c r="S1089" i="7" s="1"/>
  <c r="T1089" i="7" s="1"/>
  <c r="U1089" i="7" s="1"/>
  <c r="V1089" i="7" s="1"/>
  <c r="W1089" i="7" s="1"/>
  <c r="X1089" i="7" s="1"/>
  <c r="Y1089" i="7" s="1"/>
  <c r="Z1089" i="7" s="1"/>
  <c r="AA1089" i="7" s="1"/>
  <c r="AB1089" i="7" s="1"/>
  <c r="AC1089" i="7" s="1"/>
  <c r="AD1089" i="7" s="1"/>
  <c r="AE1089" i="7" s="1"/>
  <c r="AF1089" i="7" s="1"/>
  <c r="AG1089" i="7" s="1"/>
  <c r="AH1089" i="7" s="1"/>
  <c r="F1084" i="7"/>
  <c r="F1042" i="7"/>
  <c r="F1038" i="7"/>
  <c r="F1087" i="7"/>
  <c r="F1082" i="7"/>
  <c r="G1041" i="7"/>
  <c r="G1037" i="7"/>
  <c r="G1039" i="7"/>
  <c r="H1083" i="7"/>
  <c r="F1058" i="7" l="1"/>
  <c r="F1066" i="7" s="1"/>
  <c r="F1055" i="7"/>
  <c r="F1062" i="7"/>
  <c r="F1070" i="7" s="1"/>
  <c r="F1078" i="7" s="1"/>
  <c r="G1042" i="7"/>
  <c r="F1063" i="7"/>
  <c r="F1056" i="7"/>
  <c r="F1049" i="7"/>
  <c r="F1044" i="7"/>
  <c r="G1038" i="7"/>
  <c r="F1059" i="7"/>
  <c r="F1052" i="7"/>
  <c r="F1045" i="7"/>
  <c r="G1040" i="7"/>
  <c r="F1061" i="7"/>
  <c r="F1054" i="7"/>
  <c r="F1047" i="7"/>
  <c r="G1087" i="7"/>
  <c r="F1128" i="7"/>
  <c r="G1082" i="7"/>
  <c r="F153" i="34"/>
  <c r="F152" i="10" s="1"/>
  <c r="F1091" i="7"/>
  <c r="F1085" i="7"/>
  <c r="G1084" i="7"/>
  <c r="F1093" i="7"/>
  <c r="H1041" i="7"/>
  <c r="G1062" i="7"/>
  <c r="G1055" i="7"/>
  <c r="G1048" i="7"/>
  <c r="I1083" i="7"/>
  <c r="H1092" i="7"/>
  <c r="H1039" i="7"/>
  <c r="G1060" i="7"/>
  <c r="G1053" i="7"/>
  <c r="G1046" i="7"/>
  <c r="G1098" i="7"/>
  <c r="G1103" i="7" s="1"/>
  <c r="H1037" i="7"/>
  <c r="G1058" i="7"/>
  <c r="G1051" i="7"/>
  <c r="G1044" i="7"/>
  <c r="G152" i="34" l="1"/>
  <c r="G151" i="10" s="1"/>
  <c r="G1085" i="7"/>
  <c r="G153" i="34"/>
  <c r="G152" i="10" s="1"/>
  <c r="H1082" i="7"/>
  <c r="G1091" i="7"/>
  <c r="F1071" i="7"/>
  <c r="F1069" i="7"/>
  <c r="F1077" i="7" s="1"/>
  <c r="F1067" i="7"/>
  <c r="F1075" i="7" s="1"/>
  <c r="H1042" i="7"/>
  <c r="G1049" i="7"/>
  <c r="G1063" i="7"/>
  <c r="G1071" i="7" s="1"/>
  <c r="G1079" i="7" s="1"/>
  <c r="G1056" i="7"/>
  <c r="F1099" i="7"/>
  <c r="F1104" i="7" s="1"/>
  <c r="G1093" i="7"/>
  <c r="G1099" i="7" s="1"/>
  <c r="G1104" i="7" s="1"/>
  <c r="H1084" i="7"/>
  <c r="F1094" i="7"/>
  <c r="F1097" i="7"/>
  <c r="F1102" i="7" s="1"/>
  <c r="F1127" i="7"/>
  <c r="F1129" i="7" s="1"/>
  <c r="F146" i="34"/>
  <c r="F145" i="10" s="1"/>
  <c r="H1087" i="7"/>
  <c r="G1128" i="7"/>
  <c r="G1047" i="7"/>
  <c r="H1040" i="7"/>
  <c r="G1054" i="7"/>
  <c r="G1061" i="7"/>
  <c r="G1045" i="7"/>
  <c r="G1052" i="7"/>
  <c r="G1059" i="7"/>
  <c r="G1067" i="7" s="1"/>
  <c r="G1075" i="7" s="1"/>
  <c r="H1038" i="7"/>
  <c r="I1037" i="7"/>
  <c r="H1058" i="7"/>
  <c r="H1051" i="7"/>
  <c r="H1044" i="7"/>
  <c r="G1068" i="7"/>
  <c r="G1076" i="7" s="1"/>
  <c r="H1098" i="7"/>
  <c r="H1103" i="7" s="1"/>
  <c r="I1041" i="7"/>
  <c r="H1062" i="7"/>
  <c r="H1055" i="7"/>
  <c r="H1048" i="7"/>
  <c r="F1074" i="7"/>
  <c r="G1066" i="7"/>
  <c r="G1074" i="7" s="1"/>
  <c r="H1060" i="7"/>
  <c r="I1039" i="7"/>
  <c r="H1053" i="7"/>
  <c r="H1046" i="7"/>
  <c r="J1083" i="7"/>
  <c r="I1092" i="7"/>
  <c r="G1070" i="7"/>
  <c r="G1078" i="7" s="1"/>
  <c r="G1120" i="7" l="1"/>
  <c r="G1119" i="7"/>
  <c r="F1079" i="7"/>
  <c r="I1038" i="7"/>
  <c r="H1045" i="7"/>
  <c r="H1059" i="7"/>
  <c r="H1067" i="7" s="1"/>
  <c r="H1075" i="7" s="1"/>
  <c r="H1052" i="7"/>
  <c r="H1128" i="7"/>
  <c r="I1087" i="7"/>
  <c r="H1049" i="7"/>
  <c r="H1056" i="7"/>
  <c r="I1042" i="7"/>
  <c r="H1063" i="7"/>
  <c r="F1100" i="7"/>
  <c r="G1069" i="7"/>
  <c r="G1072" i="7" s="1"/>
  <c r="F177" i="33"/>
  <c r="F169" i="34"/>
  <c r="H1093" i="7"/>
  <c r="H1099" i="7" s="1"/>
  <c r="H1104" i="7" s="1"/>
  <c r="I1084" i="7"/>
  <c r="H1091" i="7"/>
  <c r="H153" i="34"/>
  <c r="H152" i="10" s="1"/>
  <c r="I1082" i="7"/>
  <c r="H1085" i="7"/>
  <c r="F1105" i="7"/>
  <c r="G221" i="10"/>
  <c r="G232" i="10" s="1"/>
  <c r="H152" i="34"/>
  <c r="H151" i="10" s="1"/>
  <c r="H1061" i="7"/>
  <c r="H1054" i="7"/>
  <c r="H1047" i="7"/>
  <c r="I1040" i="7"/>
  <c r="G1127" i="7"/>
  <c r="G1129" i="7" s="1"/>
  <c r="G1094" i="7"/>
  <c r="G1097" i="7"/>
  <c r="G1100" i="7" s="1"/>
  <c r="G146" i="34"/>
  <c r="G145" i="10" s="1"/>
  <c r="G221" i="34"/>
  <c r="G218" i="34" s="1"/>
  <c r="G145" i="34"/>
  <c r="G144" i="10" s="1"/>
  <c r="G1064" i="7"/>
  <c r="I1062" i="7"/>
  <c r="J1041" i="7"/>
  <c r="I1055" i="7"/>
  <c r="I1048" i="7"/>
  <c r="J1092" i="7"/>
  <c r="K1083" i="7"/>
  <c r="H1068" i="7"/>
  <c r="H1076" i="7" s="1"/>
  <c r="H1070" i="7"/>
  <c r="H1078" i="7" s="1"/>
  <c r="I1098" i="7"/>
  <c r="I1103" i="7" s="1"/>
  <c r="I1060" i="7"/>
  <c r="J1039" i="7"/>
  <c r="I1053" i="7"/>
  <c r="I1046" i="7"/>
  <c r="I1058" i="7"/>
  <c r="J1037" i="7"/>
  <c r="I1051" i="7"/>
  <c r="I1044" i="7"/>
  <c r="H1066" i="7"/>
  <c r="H1120" i="7" l="1"/>
  <c r="H221" i="10"/>
  <c r="H232" i="10" s="1"/>
  <c r="G1121" i="7"/>
  <c r="G190" i="32" s="1"/>
  <c r="G218" i="10"/>
  <c r="H145" i="34"/>
  <c r="H144" i="10" s="1"/>
  <c r="H221" i="34"/>
  <c r="H218" i="34" s="1"/>
  <c r="H1119" i="7"/>
  <c r="H1064" i="7"/>
  <c r="G148" i="34"/>
  <c r="G147" i="10" s="1"/>
  <c r="G1102" i="7"/>
  <c r="G1105" i="7" s="1"/>
  <c r="G169" i="34"/>
  <c r="G177" i="33"/>
  <c r="I1047" i="7"/>
  <c r="I1054" i="7"/>
  <c r="I1061" i="7"/>
  <c r="I1069" i="7" s="1"/>
  <c r="I1077" i="7" s="1"/>
  <c r="J1040" i="7"/>
  <c r="H1127" i="7"/>
  <c r="H1129" i="7" s="1"/>
  <c r="H1097" i="7"/>
  <c r="H1100" i="7" s="1"/>
  <c r="H146" i="34"/>
  <c r="H145" i="10" s="1"/>
  <c r="H1094" i="7"/>
  <c r="I1052" i="7"/>
  <c r="J1038" i="7"/>
  <c r="I1059" i="7"/>
  <c r="I1045" i="7"/>
  <c r="H1069" i="7"/>
  <c r="I1093" i="7"/>
  <c r="J1084" i="7"/>
  <c r="H1071" i="7"/>
  <c r="H1079" i="7" s="1"/>
  <c r="I1128" i="7"/>
  <c r="J1087" i="7"/>
  <c r="G232" i="34"/>
  <c r="G1077" i="7"/>
  <c r="G1080" i="7" s="1"/>
  <c r="I1063" i="7"/>
  <c r="I1049" i="7"/>
  <c r="J1042" i="7"/>
  <c r="I1056" i="7"/>
  <c r="I153" i="34"/>
  <c r="I152" i="10" s="1"/>
  <c r="J1082" i="7"/>
  <c r="I1085" i="7"/>
  <c r="I1091" i="7"/>
  <c r="I152" i="34"/>
  <c r="K1037" i="7"/>
  <c r="J1058" i="7"/>
  <c r="J1051" i="7"/>
  <c r="J1044" i="7"/>
  <c r="I1066" i="7"/>
  <c r="I1074" i="7" s="1"/>
  <c r="L1083" i="7"/>
  <c r="K1092" i="7"/>
  <c r="K1041" i="7"/>
  <c r="J1062" i="7"/>
  <c r="J1055" i="7"/>
  <c r="J1048" i="7"/>
  <c r="H1074" i="7"/>
  <c r="I1068" i="7"/>
  <c r="I1076" i="7" s="1"/>
  <c r="K1039" i="7"/>
  <c r="J1060" i="7"/>
  <c r="J1053" i="7"/>
  <c r="J1046" i="7"/>
  <c r="J1098" i="7"/>
  <c r="J1103" i="7" s="1"/>
  <c r="I1070" i="7"/>
  <c r="I1078" i="7" s="1"/>
  <c r="I221" i="34" l="1"/>
  <c r="H1121" i="7"/>
  <c r="H190" i="32" s="1"/>
  <c r="H218" i="10"/>
  <c r="G14" i="5"/>
  <c r="G17" i="5" s="1"/>
  <c r="G138" i="10" s="1"/>
  <c r="J152" i="34"/>
  <c r="G144" i="5"/>
  <c r="G147" i="5" s="1"/>
  <c r="G168" i="34"/>
  <c r="H232" i="34"/>
  <c r="I1120" i="7"/>
  <c r="I151" i="10"/>
  <c r="I221" i="10" s="1"/>
  <c r="I232" i="10" s="1"/>
  <c r="H1072" i="7"/>
  <c r="I1067" i="7"/>
  <c r="I1075" i="7" s="1"/>
  <c r="I1071" i="7"/>
  <c r="I1079" i="7" s="1"/>
  <c r="J1052" i="7"/>
  <c r="K1038" i="7"/>
  <c r="J1045" i="7"/>
  <c r="J1059" i="7"/>
  <c r="I145" i="34"/>
  <c r="I144" i="10" s="1"/>
  <c r="I1064" i="7"/>
  <c r="H1077" i="7"/>
  <c r="H1080" i="7" s="1"/>
  <c r="H1102" i="7"/>
  <c r="H1105" i="7" s="1"/>
  <c r="J1085" i="7"/>
  <c r="J153" i="34"/>
  <c r="J152" i="10" s="1"/>
  <c r="J1091" i="7"/>
  <c r="K1082" i="7"/>
  <c r="I1099" i="7"/>
  <c r="I1104" i="7" s="1"/>
  <c r="J1056" i="7"/>
  <c r="K1042" i="7"/>
  <c r="J1049" i="7"/>
  <c r="J1063" i="7"/>
  <c r="J1071" i="7" s="1"/>
  <c r="J1079" i="7" s="1"/>
  <c r="K1087" i="7"/>
  <c r="J1128" i="7"/>
  <c r="K1084" i="7"/>
  <c r="J1093" i="7"/>
  <c r="J1047" i="7"/>
  <c r="K1040" i="7"/>
  <c r="J1054" i="7"/>
  <c r="J1061" i="7"/>
  <c r="J1069" i="7" s="1"/>
  <c r="J1077" i="7" s="1"/>
  <c r="I1119" i="7"/>
  <c r="H148" i="34"/>
  <c r="H147" i="10" s="1"/>
  <c r="I1094" i="7"/>
  <c r="I146" i="34"/>
  <c r="I145" i="10" s="1"/>
  <c r="I1127" i="7"/>
  <c r="I1129" i="7" s="1"/>
  <c r="I1097" i="7"/>
  <c r="H177" i="33"/>
  <c r="H169" i="34"/>
  <c r="J1068" i="7"/>
  <c r="J1076" i="7" s="1"/>
  <c r="M1083" i="7"/>
  <c r="L1092" i="7"/>
  <c r="L1037" i="7"/>
  <c r="K1058" i="7"/>
  <c r="K1051" i="7"/>
  <c r="K1044" i="7"/>
  <c r="K1098" i="7"/>
  <c r="K1103" i="7" s="1"/>
  <c r="L1041" i="7"/>
  <c r="K1062" i="7"/>
  <c r="K1055" i="7"/>
  <c r="K1048" i="7"/>
  <c r="J1066" i="7"/>
  <c r="L1039" i="7"/>
  <c r="K1060" i="7"/>
  <c r="K1053" i="7"/>
  <c r="K1046" i="7"/>
  <c r="I232" i="34"/>
  <c r="I218" i="34"/>
  <c r="J1070" i="7"/>
  <c r="J1078" i="7" s="1"/>
  <c r="I218" i="10" l="1"/>
  <c r="I148" i="34"/>
  <c r="I147" i="10" s="1"/>
  <c r="K152" i="34"/>
  <c r="K151" i="10" s="1"/>
  <c r="H144" i="5"/>
  <c r="H147" i="5" s="1"/>
  <c r="H168" i="34"/>
  <c r="H14" i="5"/>
  <c r="H17" i="5" s="1"/>
  <c r="H1448" i="7" s="1"/>
  <c r="G1448" i="7"/>
  <c r="J221" i="34"/>
  <c r="J218" i="34" s="1"/>
  <c r="J151" i="10"/>
  <c r="J221" i="10" s="1"/>
  <c r="J232" i="10" s="1"/>
  <c r="I1100" i="7"/>
  <c r="J1120" i="7"/>
  <c r="I1121" i="7"/>
  <c r="I190" i="32" s="1"/>
  <c r="J1064" i="7"/>
  <c r="J1119" i="7"/>
  <c r="J145" i="34"/>
  <c r="J144" i="10" s="1"/>
  <c r="I1072" i="7"/>
  <c r="I1102" i="7"/>
  <c r="I1105" i="7" s="1"/>
  <c r="I1080" i="7"/>
  <c r="I177" i="33"/>
  <c r="I169" i="34"/>
  <c r="J1099" i="7"/>
  <c r="J1104" i="7" s="1"/>
  <c r="K1052" i="7"/>
  <c r="K1059" i="7"/>
  <c r="L1038" i="7"/>
  <c r="K1045" i="7"/>
  <c r="K1128" i="7"/>
  <c r="L1087" i="7"/>
  <c r="J1094" i="7"/>
  <c r="J146" i="34"/>
  <c r="J145" i="10" s="1"/>
  <c r="J1097" i="7"/>
  <c r="J1127" i="7"/>
  <c r="J1129" i="7" s="1"/>
  <c r="K1061" i="7"/>
  <c r="K1047" i="7"/>
  <c r="K1054" i="7"/>
  <c r="L1040" i="7"/>
  <c r="K1049" i="7"/>
  <c r="K1063" i="7"/>
  <c r="K1071" i="7" s="1"/>
  <c r="K1079" i="7" s="1"/>
  <c r="K1056" i="7"/>
  <c r="L1042" i="7"/>
  <c r="K1091" i="7"/>
  <c r="K1085" i="7"/>
  <c r="K153" i="34"/>
  <c r="K152" i="10" s="1"/>
  <c r="L1082" i="7"/>
  <c r="J1067" i="7"/>
  <c r="J1072" i="7" s="1"/>
  <c r="J1074" i="7"/>
  <c r="K1093" i="7"/>
  <c r="K1099" i="7" s="1"/>
  <c r="K1104" i="7" s="1"/>
  <c r="L1084" i="7"/>
  <c r="M1041" i="7"/>
  <c r="L1062" i="7"/>
  <c r="L1055" i="7"/>
  <c r="L1048" i="7"/>
  <c r="G1190" i="7"/>
  <c r="G1181" i="7"/>
  <c r="G138" i="34"/>
  <c r="L1060" i="7"/>
  <c r="M1039" i="7"/>
  <c r="L1053" i="7"/>
  <c r="L1046" i="7"/>
  <c r="K1070" i="7"/>
  <c r="K1078" i="7" s="1"/>
  <c r="M1037" i="7"/>
  <c r="L1058" i="7"/>
  <c r="L1051" i="7"/>
  <c r="L1044" i="7"/>
  <c r="N1083" i="7"/>
  <c r="M1092" i="7"/>
  <c r="K1068" i="7"/>
  <c r="K1076" i="7" s="1"/>
  <c r="K1066" i="7"/>
  <c r="K1074" i="7" s="1"/>
  <c r="L1098" i="7"/>
  <c r="L1103" i="7" s="1"/>
  <c r="H138" i="10" l="1"/>
  <c r="L152" i="34"/>
  <c r="L151" i="10" s="1"/>
  <c r="J232" i="34"/>
  <c r="I168" i="34"/>
  <c r="J218" i="10"/>
  <c r="I14" i="5"/>
  <c r="I17" i="5" s="1"/>
  <c r="I1448" i="7" s="1"/>
  <c r="J1121" i="7"/>
  <c r="J190" i="32" s="1"/>
  <c r="I144" i="5"/>
  <c r="I147" i="5" s="1"/>
  <c r="K145" i="34"/>
  <c r="J1100" i="7"/>
  <c r="K221" i="10"/>
  <c r="K218" i="10" s="1"/>
  <c r="K221" i="34"/>
  <c r="K218" i="34" s="1"/>
  <c r="K1064" i="7"/>
  <c r="J1102" i="7"/>
  <c r="J1105" i="7" s="1"/>
  <c r="K1120" i="7"/>
  <c r="J148" i="34"/>
  <c r="J147" i="10" s="1"/>
  <c r="K1119" i="7"/>
  <c r="L1093" i="7"/>
  <c r="L1099" i="7" s="1"/>
  <c r="L1104" i="7" s="1"/>
  <c r="M1084" i="7"/>
  <c r="K1097" i="7"/>
  <c r="K1094" i="7"/>
  <c r="K146" i="34"/>
  <c r="K145" i="10" s="1"/>
  <c r="K1127" i="7"/>
  <c r="K1129" i="7" s="1"/>
  <c r="K1069" i="7"/>
  <c r="K1077" i="7" s="1"/>
  <c r="M1087" i="7"/>
  <c r="L1128" i="7"/>
  <c r="J1075" i="7"/>
  <c r="J1080" i="7" s="1"/>
  <c r="J177" i="33"/>
  <c r="J169" i="34"/>
  <c r="K1067" i="7"/>
  <c r="K1075" i="7" s="1"/>
  <c r="L1091" i="7"/>
  <c r="L153" i="34"/>
  <c r="L152" i="10" s="1"/>
  <c r="L1085" i="7"/>
  <c r="M1082" i="7"/>
  <c r="L1049" i="7"/>
  <c r="L1063" i="7"/>
  <c r="M1042" i="7"/>
  <c r="L1056" i="7"/>
  <c r="L1054" i="7"/>
  <c r="L1047" i="7"/>
  <c r="M1040" i="7"/>
  <c r="L1061" i="7"/>
  <c r="L1069" i="7" s="1"/>
  <c r="L1077" i="7" s="1"/>
  <c r="L1052" i="7"/>
  <c r="L1059" i="7"/>
  <c r="L1067" i="7" s="1"/>
  <c r="L1075" i="7" s="1"/>
  <c r="M1038" i="7"/>
  <c r="L1045" i="7"/>
  <c r="J168" i="34"/>
  <c r="H1190" i="7"/>
  <c r="H1181" i="7"/>
  <c r="H138" i="34"/>
  <c r="M1058" i="7"/>
  <c r="N1037" i="7"/>
  <c r="M1051" i="7"/>
  <c r="M1044" i="7"/>
  <c r="M1060" i="7"/>
  <c r="N1039" i="7"/>
  <c r="M1053" i="7"/>
  <c r="M1046" i="7"/>
  <c r="G149" i="2"/>
  <c r="G372" i="26"/>
  <c r="G1193" i="7"/>
  <c r="G1191" i="7"/>
  <c r="G1463" i="7" s="1"/>
  <c r="G1470" i="7" s="1"/>
  <c r="G1192" i="7"/>
  <c r="M1062" i="7"/>
  <c r="N1041" i="7"/>
  <c r="M1055" i="7"/>
  <c r="M1048" i="7"/>
  <c r="M1098" i="7"/>
  <c r="M1103" i="7" s="1"/>
  <c r="L1068" i="7"/>
  <c r="L1076" i="7" s="1"/>
  <c r="N1092" i="7"/>
  <c r="O1083" i="7"/>
  <c r="L1066" i="7"/>
  <c r="L1074" i="7" s="1"/>
  <c r="L1070" i="7"/>
  <c r="L1078" i="7" s="1"/>
  <c r="M152" i="34" l="1"/>
  <c r="M151" i="10" s="1"/>
  <c r="K232" i="34"/>
  <c r="K1121" i="7"/>
  <c r="K190" i="32" s="1"/>
  <c r="K232" i="10"/>
  <c r="I138" i="10"/>
  <c r="J144" i="5"/>
  <c r="J147" i="5" s="1"/>
  <c r="J14" i="5"/>
  <c r="J17" i="5" s="1"/>
  <c r="J138" i="10" s="1"/>
  <c r="K148" i="34"/>
  <c r="K147" i="10" s="1"/>
  <c r="K144" i="10"/>
  <c r="L1120" i="7"/>
  <c r="L145" i="34"/>
  <c r="L144" i="10" s="1"/>
  <c r="K1072" i="7"/>
  <c r="L221" i="10"/>
  <c r="L232" i="10" s="1"/>
  <c r="L1119" i="7"/>
  <c r="L1064" i="7"/>
  <c r="K1080" i="7"/>
  <c r="L1071" i="7"/>
  <c r="L1072" i="7" s="1"/>
  <c r="M1128" i="7"/>
  <c r="N1087" i="7"/>
  <c r="M1061" i="7"/>
  <c r="M1047" i="7"/>
  <c r="N1040" i="7"/>
  <c r="M1054" i="7"/>
  <c r="N1042" i="7"/>
  <c r="M1063" i="7"/>
  <c r="M1071" i="7" s="1"/>
  <c r="M1079" i="7" s="1"/>
  <c r="M1049" i="7"/>
  <c r="M1056" i="7"/>
  <c r="K177" i="33"/>
  <c r="K169" i="34"/>
  <c r="M1093" i="7"/>
  <c r="M1099" i="7" s="1"/>
  <c r="M1104" i="7" s="1"/>
  <c r="N1084" i="7"/>
  <c r="L221" i="34"/>
  <c r="L232" i="34" s="1"/>
  <c r="N1082" i="7"/>
  <c r="M153" i="34"/>
  <c r="M152" i="10" s="1"/>
  <c r="M1091" i="7"/>
  <c r="M1085" i="7"/>
  <c r="K1102" i="7"/>
  <c r="K1105" i="7" s="1"/>
  <c r="K1100" i="7"/>
  <c r="M1052" i="7"/>
  <c r="N1038" i="7"/>
  <c r="M1059" i="7"/>
  <c r="M1045" i="7"/>
  <c r="L1127" i="7"/>
  <c r="L1129" i="7" s="1"/>
  <c r="L1097" i="7"/>
  <c r="L1100" i="7" s="1"/>
  <c r="L1094" i="7"/>
  <c r="L146" i="34"/>
  <c r="L145" i="10" s="1"/>
  <c r="G1462" i="7"/>
  <c r="G1464" i="7" s="1"/>
  <c r="N1098" i="7"/>
  <c r="N1103" i="7" s="1"/>
  <c r="O1037" i="7"/>
  <c r="N1058" i="7"/>
  <c r="N1051" i="7"/>
  <c r="N1044" i="7"/>
  <c r="P1083" i="7"/>
  <c r="O1092" i="7"/>
  <c r="O1039" i="7"/>
  <c r="N1060" i="7"/>
  <c r="N1053" i="7"/>
  <c r="N1046" i="7"/>
  <c r="O1041" i="7"/>
  <c r="N1062" i="7"/>
  <c r="N1055" i="7"/>
  <c r="N1048" i="7"/>
  <c r="M1068" i="7"/>
  <c r="M1076" i="7" s="1"/>
  <c r="M1070" i="7"/>
  <c r="M1078" i="7" s="1"/>
  <c r="M1066" i="7"/>
  <c r="M1074" i="7" s="1"/>
  <c r="H149" i="2"/>
  <c r="H154" i="6" s="1"/>
  <c r="H372" i="26"/>
  <c r="H1193" i="7"/>
  <c r="H1191" i="7"/>
  <c r="H1463" i="7" s="1"/>
  <c r="H1470" i="7" s="1"/>
  <c r="H1192" i="7"/>
  <c r="I1190" i="7"/>
  <c r="I1181" i="7"/>
  <c r="I138" i="34"/>
  <c r="M1120" i="7" l="1"/>
  <c r="L1121" i="7"/>
  <c r="L190" i="32" s="1"/>
  <c r="J1448" i="7"/>
  <c r="M221" i="34"/>
  <c r="M218" i="34" s="1"/>
  <c r="M221" i="10"/>
  <c r="M232" i="10" s="1"/>
  <c r="K168" i="34"/>
  <c r="K144" i="5"/>
  <c r="K147" i="5" s="1"/>
  <c r="K14" i="5"/>
  <c r="K17" i="5" s="1"/>
  <c r="K1448" i="7" s="1"/>
  <c r="M1064" i="7"/>
  <c r="L218" i="10"/>
  <c r="M1119" i="7"/>
  <c r="M1121" i="7" s="1"/>
  <c r="M190" i="32" s="1"/>
  <c r="M145" i="34"/>
  <c r="L218" i="34"/>
  <c r="G14" i="2"/>
  <c r="L148" i="34"/>
  <c r="L147" i="10" s="1"/>
  <c r="O1082" i="7"/>
  <c r="N1085" i="7"/>
  <c r="N153" i="34"/>
  <c r="N152" i="10" s="1"/>
  <c r="N1091" i="7"/>
  <c r="N1045" i="7"/>
  <c r="N1059" i="7"/>
  <c r="N1052" i="7"/>
  <c r="O1038" i="7"/>
  <c r="O1084" i="7"/>
  <c r="N1093" i="7"/>
  <c r="N1099" i="7" s="1"/>
  <c r="N1104" i="7" s="1"/>
  <c r="L1102" i="7"/>
  <c r="L1105" i="7" s="1"/>
  <c r="L1079" i="7"/>
  <c r="L1080" i="7" s="1"/>
  <c r="L177" i="33"/>
  <c r="L169" i="34"/>
  <c r="N1054" i="7"/>
  <c r="O1040" i="7"/>
  <c r="N1061" i="7"/>
  <c r="N1069" i="7" s="1"/>
  <c r="N1077" i="7" s="1"/>
  <c r="N1047" i="7"/>
  <c r="M1067" i="7"/>
  <c r="M1075" i="7" s="1"/>
  <c r="M1127" i="7"/>
  <c r="M1129" i="7" s="1"/>
  <c r="M1097" i="7"/>
  <c r="M1100" i="7" s="1"/>
  <c r="M146" i="34"/>
  <c r="M145" i="10" s="1"/>
  <c r="M1094" i="7"/>
  <c r="O1042" i="7"/>
  <c r="N1049" i="7"/>
  <c r="N1056" i="7"/>
  <c r="N1063" i="7"/>
  <c r="M1069" i="7"/>
  <c r="O1087" i="7"/>
  <c r="N1128" i="7"/>
  <c r="N152" i="34"/>
  <c r="N151" i="10" s="1"/>
  <c r="I149" i="2"/>
  <c r="I154" i="6" s="1"/>
  <c r="I372" i="26"/>
  <c r="I1192" i="7"/>
  <c r="I1193" i="7"/>
  <c r="I1191" i="7"/>
  <c r="I1463" i="7" s="1"/>
  <c r="I1470" i="7" s="1"/>
  <c r="M144" i="10"/>
  <c r="N1070" i="7"/>
  <c r="N1078" i="7" s="1"/>
  <c r="J1190" i="7"/>
  <c r="J1181" i="7"/>
  <c r="J138" i="34"/>
  <c r="N1068" i="7"/>
  <c r="N1076" i="7" s="1"/>
  <c r="L144" i="5"/>
  <c r="Q1083" i="7"/>
  <c r="P1092" i="7"/>
  <c r="O1098" i="7"/>
  <c r="O1103" i="7" s="1"/>
  <c r="P1037" i="7"/>
  <c r="O1058" i="7"/>
  <c r="O1051" i="7"/>
  <c r="O1044" i="7"/>
  <c r="H1462" i="7"/>
  <c r="P1041" i="7"/>
  <c r="O1062" i="7"/>
  <c r="O1055" i="7"/>
  <c r="O1048" i="7"/>
  <c r="P1039" i="7"/>
  <c r="O1060" i="7"/>
  <c r="O1053" i="7"/>
  <c r="O1046" i="7"/>
  <c r="N1066" i="7"/>
  <c r="L14" i="5" l="1"/>
  <c r="L17" i="5" s="1"/>
  <c r="L138" i="10" s="1"/>
  <c r="L168" i="34"/>
  <c r="M232" i="34"/>
  <c r="M218" i="10"/>
  <c r="K138" i="10"/>
  <c r="M148" i="34"/>
  <c r="M147" i="10" s="1"/>
  <c r="O152" i="34"/>
  <c r="O151" i="10" s="1"/>
  <c r="N1064" i="7"/>
  <c r="N145" i="34"/>
  <c r="N144" i="10" s="1"/>
  <c r="N1119" i="7"/>
  <c r="M1072" i="7"/>
  <c r="N1120" i="7"/>
  <c r="O1056" i="7"/>
  <c r="P1042" i="7"/>
  <c r="O1049" i="7"/>
  <c r="O1063" i="7"/>
  <c r="N1067" i="7"/>
  <c r="N1075" i="7" s="1"/>
  <c r="N1074" i="7"/>
  <c r="N221" i="34"/>
  <c r="N218" i="34" s="1"/>
  <c r="M1077" i="7"/>
  <c r="M1080" i="7" s="1"/>
  <c r="M1102" i="7"/>
  <c r="M1105" i="7" s="1"/>
  <c r="O1128" i="7"/>
  <c r="P1087" i="7"/>
  <c r="P1040" i="7"/>
  <c r="O1061" i="7"/>
  <c r="O1069" i="7" s="1"/>
  <c r="O1077" i="7" s="1"/>
  <c r="O1047" i="7"/>
  <c r="O1054" i="7"/>
  <c r="O1059" i="7"/>
  <c r="O1067" i="7" s="1"/>
  <c r="O1075" i="7" s="1"/>
  <c r="O1045" i="7"/>
  <c r="P1038" i="7"/>
  <c r="O1052" i="7"/>
  <c r="N1127" i="7"/>
  <c r="N1129" i="7" s="1"/>
  <c r="N1097" i="7"/>
  <c r="N1100" i="7" s="1"/>
  <c r="N1094" i="7"/>
  <c r="N146" i="34"/>
  <c r="N145" i="10" s="1"/>
  <c r="N1071" i="7"/>
  <c r="M169" i="34"/>
  <c r="M177" i="33"/>
  <c r="O1093" i="7"/>
  <c r="P1084" i="7"/>
  <c r="O1091" i="7"/>
  <c r="O153" i="34"/>
  <c r="O152" i="10" s="1"/>
  <c r="O1085" i="7"/>
  <c r="P1082" i="7"/>
  <c r="N221" i="10"/>
  <c r="N232" i="10" s="1"/>
  <c r="O1070" i="7"/>
  <c r="O1078" i="7" s="1"/>
  <c r="O1068" i="7"/>
  <c r="O1076" i="7" s="1"/>
  <c r="Q1041" i="7"/>
  <c r="P1062" i="7"/>
  <c r="P1055" i="7"/>
  <c r="P1048" i="7"/>
  <c r="O1066" i="7"/>
  <c r="J149" i="2"/>
  <c r="J154" i="6" s="1"/>
  <c r="J372" i="26"/>
  <c r="J1192" i="7"/>
  <c r="J1193" i="7"/>
  <c r="J1191" i="7"/>
  <c r="J1463" i="7" s="1"/>
  <c r="J1470" i="7" s="1"/>
  <c r="H14" i="2"/>
  <c r="H19" i="6" s="1"/>
  <c r="H1464" i="7"/>
  <c r="R1083" i="7"/>
  <c r="Q1092" i="7"/>
  <c r="I1462" i="7"/>
  <c r="P1060" i="7"/>
  <c r="Q1039" i="7"/>
  <c r="P1053" i="7"/>
  <c r="P1046" i="7"/>
  <c r="M144" i="5"/>
  <c r="M14" i="5"/>
  <c r="M17" i="5" s="1"/>
  <c r="M168" i="34"/>
  <c r="Q1037" i="7"/>
  <c r="P1058" i="7"/>
  <c r="P1051" i="7"/>
  <c r="P1044" i="7"/>
  <c r="P1098" i="7"/>
  <c r="P1103" i="7" s="1"/>
  <c r="L147" i="5"/>
  <c r="K1190" i="7"/>
  <c r="K1181" i="7"/>
  <c r="K138" i="34"/>
  <c r="L1448" i="7" l="1"/>
  <c r="N1072" i="7"/>
  <c r="N148" i="34"/>
  <c r="N147" i="10" s="1"/>
  <c r="P152" i="34"/>
  <c r="P151" i="10" s="1"/>
  <c r="N1121" i="7"/>
  <c r="N190" i="32" s="1"/>
  <c r="O221" i="10"/>
  <c r="O218" i="10" s="1"/>
  <c r="O221" i="34"/>
  <c r="O232" i="34" s="1"/>
  <c r="O1064" i="7"/>
  <c r="N1079" i="7"/>
  <c r="N1080" i="7" s="1"/>
  <c r="O1120" i="7"/>
  <c r="O1119" i="7"/>
  <c r="O145" i="34"/>
  <c r="O144" i="10" s="1"/>
  <c r="P153" i="34"/>
  <c r="P152" i="10" s="1"/>
  <c r="P1091" i="7"/>
  <c r="Q1082" i="7"/>
  <c r="P1085" i="7"/>
  <c r="Q1084" i="7"/>
  <c r="P1093" i="7"/>
  <c r="P1059" i="7"/>
  <c r="Q1038" i="7"/>
  <c r="P1045" i="7"/>
  <c r="P1052" i="7"/>
  <c r="N232" i="34"/>
  <c r="N218" i="10"/>
  <c r="N1102" i="7"/>
  <c r="N1105" i="7" s="1"/>
  <c r="Q1087" i="7"/>
  <c r="P1128" i="7"/>
  <c r="P1049" i="7"/>
  <c r="P1056" i="7"/>
  <c r="P1063" i="7"/>
  <c r="P1071" i="7" s="1"/>
  <c r="P1079" i="7" s="1"/>
  <c r="Q1042" i="7"/>
  <c r="O1097" i="7"/>
  <c r="O1102" i="7" s="1"/>
  <c r="O1127" i="7"/>
  <c r="O1129" i="7" s="1"/>
  <c r="O1094" i="7"/>
  <c r="O146" i="34"/>
  <c r="O145" i="10" s="1"/>
  <c r="N169" i="34"/>
  <c r="N177" i="33"/>
  <c r="P1061" i="7"/>
  <c r="P1069" i="7" s="1"/>
  <c r="P1077" i="7" s="1"/>
  <c r="P1047" i="7"/>
  <c r="Q1040" i="7"/>
  <c r="P1054" i="7"/>
  <c r="O1099" i="7"/>
  <c r="O1104" i="7" s="1"/>
  <c r="O1071" i="7"/>
  <c r="O1072" i="7" s="1"/>
  <c r="M1448" i="7"/>
  <c r="M138" i="10"/>
  <c r="P1066" i="7"/>
  <c r="M147" i="5"/>
  <c r="P1068" i="7"/>
  <c r="P1076" i="7" s="1"/>
  <c r="Q1062" i="7"/>
  <c r="R1041" i="7"/>
  <c r="Q1055" i="7"/>
  <c r="Q1048" i="7"/>
  <c r="O1074" i="7"/>
  <c r="Q1060" i="7"/>
  <c r="R1039" i="7"/>
  <c r="Q1053" i="7"/>
  <c r="Q1046" i="7"/>
  <c r="K149" i="2"/>
  <c r="K154" i="6" s="1"/>
  <c r="K372" i="26"/>
  <c r="K1192" i="7"/>
  <c r="K1193" i="7"/>
  <c r="K1191" i="7"/>
  <c r="K1463" i="7" s="1"/>
  <c r="K1470" i="7" s="1"/>
  <c r="L1190" i="7"/>
  <c r="L1181" i="7"/>
  <c r="L138" i="34"/>
  <c r="I14" i="2"/>
  <c r="I19" i="6" s="1"/>
  <c r="I1464" i="7"/>
  <c r="Q1098" i="7"/>
  <c r="Q1103" i="7" s="1"/>
  <c r="J1462" i="7"/>
  <c r="R1092" i="7"/>
  <c r="S1083" i="7"/>
  <c r="P1070" i="7"/>
  <c r="P1078" i="7" s="1"/>
  <c r="Q1058" i="7"/>
  <c r="R1037" i="7"/>
  <c r="Q1051" i="7"/>
  <c r="Q1044" i="7"/>
  <c r="O218" i="34" l="1"/>
  <c r="O232" i="10"/>
  <c r="N144" i="5"/>
  <c r="N147" i="5" s="1"/>
  <c r="N14" i="5"/>
  <c r="N17" i="5" s="1"/>
  <c r="N138" i="10" s="1"/>
  <c r="N168" i="34"/>
  <c r="P221" i="10"/>
  <c r="P232" i="10" s="1"/>
  <c r="O1121" i="7"/>
  <c r="O190" i="32" s="1"/>
  <c r="Q152" i="34"/>
  <c r="Q151" i="10" s="1"/>
  <c r="P1119" i="7"/>
  <c r="O148" i="34"/>
  <c r="O147" i="10" s="1"/>
  <c r="O1079" i="7"/>
  <c r="O1080" i="7" s="1"/>
  <c r="P1120" i="7"/>
  <c r="Q1054" i="7"/>
  <c r="R1040" i="7"/>
  <c r="Q1061" i="7"/>
  <c r="Q1069" i="7" s="1"/>
  <c r="Q1077" i="7" s="1"/>
  <c r="Q1047" i="7"/>
  <c r="O177" i="33"/>
  <c r="O169" i="34"/>
  <c r="O1105" i="7"/>
  <c r="Q1049" i="7"/>
  <c r="Q1063" i="7"/>
  <c r="Q1071" i="7" s="1"/>
  <c r="Q1079" i="7" s="1"/>
  <c r="Q1056" i="7"/>
  <c r="R1042" i="7"/>
  <c r="P1067" i="7"/>
  <c r="P1075" i="7" s="1"/>
  <c r="P1099" i="7"/>
  <c r="P1104" i="7" s="1"/>
  <c r="P1094" i="7"/>
  <c r="P146" i="34"/>
  <c r="P145" i="10" s="1"/>
  <c r="P1127" i="7"/>
  <c r="P1129" i="7" s="1"/>
  <c r="P1097" i="7"/>
  <c r="P145" i="34"/>
  <c r="P144" i="10" s="1"/>
  <c r="P221" i="34"/>
  <c r="P232" i="34" s="1"/>
  <c r="R1087" i="7"/>
  <c r="Q1128" i="7"/>
  <c r="R1084" i="7"/>
  <c r="Q1093" i="7"/>
  <c r="Q1099" i="7" s="1"/>
  <c r="Q1104" i="7" s="1"/>
  <c r="Q1052" i="7"/>
  <c r="Q1059" i="7"/>
  <c r="Q1067" i="7" s="1"/>
  <c r="Q1075" i="7" s="1"/>
  <c r="R1038" i="7"/>
  <c r="Q1045" i="7"/>
  <c r="Q1085" i="7"/>
  <c r="Q1091" i="7"/>
  <c r="R1082" i="7"/>
  <c r="Q153" i="34"/>
  <c r="Q152" i="10" s="1"/>
  <c r="P1064" i="7"/>
  <c r="O1100" i="7"/>
  <c r="Q1070" i="7"/>
  <c r="Q1078" i="7" s="1"/>
  <c r="T1083" i="7"/>
  <c r="S1092" i="7"/>
  <c r="J14" i="2"/>
  <c r="J19" i="6" s="1"/>
  <c r="J1464" i="7"/>
  <c r="Q1068" i="7"/>
  <c r="Q1076" i="7" s="1"/>
  <c r="S1039" i="7"/>
  <c r="R1060" i="7"/>
  <c r="R1053" i="7"/>
  <c r="R1046" i="7"/>
  <c r="Q1066" i="7"/>
  <c r="Q1074" i="7" s="1"/>
  <c r="S1041" i="7"/>
  <c r="R1062" i="7"/>
  <c r="R1055" i="7"/>
  <c r="R1048" i="7"/>
  <c r="K1462" i="7"/>
  <c r="P1074" i="7"/>
  <c r="M1190" i="7"/>
  <c r="M1181" i="7"/>
  <c r="M138" i="34"/>
  <c r="S1037" i="7"/>
  <c r="R1058" i="7"/>
  <c r="R1051" i="7"/>
  <c r="R1044" i="7"/>
  <c r="R1098" i="7"/>
  <c r="R1103" i="7" s="1"/>
  <c r="L149" i="2"/>
  <c r="L154" i="6" s="1"/>
  <c r="L372" i="26"/>
  <c r="L1193" i="7"/>
  <c r="L1191" i="7"/>
  <c r="L1463" i="7" s="1"/>
  <c r="L1470" i="7" s="1"/>
  <c r="L1192" i="7"/>
  <c r="P1100" i="7" l="1"/>
  <c r="P218" i="10"/>
  <c r="P1072" i="7"/>
  <c r="O168" i="34"/>
  <c r="O144" i="5"/>
  <c r="O147" i="5" s="1"/>
  <c r="O14" i="5"/>
  <c r="O17" i="5" s="1"/>
  <c r="O1448" i="7" s="1"/>
  <c r="P1121" i="7"/>
  <c r="P190" i="32" s="1"/>
  <c r="N1448" i="7"/>
  <c r="Q1120" i="7"/>
  <c r="Q221" i="10"/>
  <c r="Q218" i="10" s="1"/>
  <c r="P218" i="34"/>
  <c r="P148" i="34"/>
  <c r="P147" i="10" s="1"/>
  <c r="Q221" i="34"/>
  <c r="Q218" i="34" s="1"/>
  <c r="S1082" i="7"/>
  <c r="R153" i="34"/>
  <c r="R152" i="10" s="1"/>
  <c r="R1085" i="7"/>
  <c r="R1091" i="7"/>
  <c r="Q1094" i="7"/>
  <c r="Q146" i="34"/>
  <c r="Q145" i="10" s="1"/>
  <c r="Q1127" i="7"/>
  <c r="Q1129" i="7" s="1"/>
  <c r="Q1097" i="7"/>
  <c r="Q1100" i="7" s="1"/>
  <c r="S1087" i="7"/>
  <c r="R1128" i="7"/>
  <c r="S1040" i="7"/>
  <c r="R1061" i="7"/>
  <c r="R1069" i="7" s="1"/>
  <c r="R1077" i="7" s="1"/>
  <c r="R1047" i="7"/>
  <c r="R1054" i="7"/>
  <c r="P1102" i="7"/>
  <c r="P1105" i="7" s="1"/>
  <c r="R1045" i="7"/>
  <c r="R1052" i="7"/>
  <c r="S1038" i="7"/>
  <c r="R1059" i="7"/>
  <c r="R1067" i="7" s="1"/>
  <c r="R1075" i="7" s="1"/>
  <c r="R1093" i="7"/>
  <c r="R1099" i="7" s="1"/>
  <c r="R1104" i="7" s="1"/>
  <c r="S1084" i="7"/>
  <c r="P177" i="33"/>
  <c r="P169" i="34"/>
  <c r="Q1119" i="7"/>
  <c r="S1042" i="7"/>
  <c r="R1056" i="7"/>
  <c r="R1049" i="7"/>
  <c r="R1063" i="7"/>
  <c r="L1462" i="7"/>
  <c r="L14" i="2" s="1"/>
  <c r="R152" i="34"/>
  <c r="R151" i="10" s="1"/>
  <c r="P1080" i="7"/>
  <c r="Q145" i="34"/>
  <c r="Q144" i="10" s="1"/>
  <c r="Q1064" i="7"/>
  <c r="N1190" i="7"/>
  <c r="N1181" i="7"/>
  <c r="N138" i="34"/>
  <c r="M149" i="2"/>
  <c r="M154" i="6" s="1"/>
  <c r="M372" i="26"/>
  <c r="M1193" i="7"/>
  <c r="M1191" i="7"/>
  <c r="M1463" i="7" s="1"/>
  <c r="M1470" i="7" s="1"/>
  <c r="M1192" i="7"/>
  <c r="K14" i="2"/>
  <c r="K19" i="6" s="1"/>
  <c r="K1464" i="7"/>
  <c r="T1041" i="7"/>
  <c r="S1062" i="7"/>
  <c r="S1055" i="7"/>
  <c r="S1048" i="7"/>
  <c r="T1037" i="7"/>
  <c r="S1058" i="7"/>
  <c r="S1051" i="7"/>
  <c r="S1044" i="7"/>
  <c r="T1039" i="7"/>
  <c r="S1060" i="7"/>
  <c r="S1053" i="7"/>
  <c r="S1046" i="7"/>
  <c r="U1083" i="7"/>
  <c r="T1092" i="7"/>
  <c r="Q1072" i="7"/>
  <c r="R1070" i="7"/>
  <c r="R1078" i="7" s="1"/>
  <c r="R1066" i="7"/>
  <c r="R1074" i="7" s="1"/>
  <c r="R1068" i="7"/>
  <c r="R1076" i="7" s="1"/>
  <c r="S1098" i="7"/>
  <c r="S1103" i="7" s="1"/>
  <c r="Q1080" i="7"/>
  <c r="Q1121" i="7" l="1"/>
  <c r="Q190" i="32" s="1"/>
  <c r="R221" i="10"/>
  <c r="P14" i="5"/>
  <c r="P17" i="5" s="1"/>
  <c r="P138" i="10" s="1"/>
  <c r="O138" i="10"/>
  <c r="P168" i="34"/>
  <c r="Q148" i="34"/>
  <c r="Q147" i="10" s="1"/>
  <c r="P144" i="5"/>
  <c r="P147" i="5" s="1"/>
  <c r="Q232" i="34"/>
  <c r="Q232" i="10"/>
  <c r="S152" i="34"/>
  <c r="R1119" i="7"/>
  <c r="L1464" i="7"/>
  <c r="R221" i="34"/>
  <c r="R232" i="34" s="1"/>
  <c r="R1120" i="7"/>
  <c r="T1087" i="7"/>
  <c r="S1128" i="7"/>
  <c r="S1085" i="7"/>
  <c r="T1082" i="7"/>
  <c r="S1091" i="7"/>
  <c r="S153" i="34"/>
  <c r="S152" i="10" s="1"/>
  <c r="Q1102" i="7"/>
  <c r="Q1105" i="7" s="1"/>
  <c r="S1093" i="7"/>
  <c r="S1099" i="7" s="1"/>
  <c r="S1104" i="7" s="1"/>
  <c r="T1084" i="7"/>
  <c r="T1042" i="7"/>
  <c r="S1049" i="7"/>
  <c r="S1063" i="7"/>
  <c r="S1056" i="7"/>
  <c r="S1061" i="7"/>
  <c r="S1069" i="7" s="1"/>
  <c r="S1077" i="7" s="1"/>
  <c r="S1047" i="7"/>
  <c r="T1040" i="7"/>
  <c r="S1054" i="7"/>
  <c r="R1071" i="7"/>
  <c r="R1079" i="7" s="1"/>
  <c r="R1080" i="7" s="1"/>
  <c r="T1038" i="7"/>
  <c r="S1059" i="7"/>
  <c r="S1067" i="7" s="1"/>
  <c r="S1075" i="7" s="1"/>
  <c r="S1045" i="7"/>
  <c r="S1052" i="7"/>
  <c r="Q169" i="34"/>
  <c r="Q177" i="33"/>
  <c r="R1094" i="7"/>
  <c r="R146" i="34"/>
  <c r="R145" i="10" s="1"/>
  <c r="R1127" i="7"/>
  <c r="R1129" i="7" s="1"/>
  <c r="R1097" i="7"/>
  <c r="R145" i="34"/>
  <c r="R144" i="10" s="1"/>
  <c r="R1064" i="7"/>
  <c r="Q144" i="5"/>
  <c r="Q14" i="5"/>
  <c r="Q17" i="5" s="1"/>
  <c r="Q168" i="34"/>
  <c r="T1098" i="7"/>
  <c r="T1103" i="7" s="1"/>
  <c r="R232" i="10"/>
  <c r="R218" i="10"/>
  <c r="U1041" i="7"/>
  <c r="T1062" i="7"/>
  <c r="T1055" i="7"/>
  <c r="T1048" i="7"/>
  <c r="V1083" i="7"/>
  <c r="U1092" i="7"/>
  <c r="S1068" i="7"/>
  <c r="S1076" i="7" s="1"/>
  <c r="S1066" i="7"/>
  <c r="S1074" i="7" s="1"/>
  <c r="N149" i="2"/>
  <c r="N154" i="6" s="1"/>
  <c r="N372" i="26"/>
  <c r="N1192" i="7"/>
  <c r="N1191" i="7"/>
  <c r="N1463" i="7" s="1"/>
  <c r="N1470" i="7" s="1"/>
  <c r="N1193" i="7"/>
  <c r="O1190" i="7"/>
  <c r="O1181" i="7"/>
  <c r="O138" i="34"/>
  <c r="S1070" i="7"/>
  <c r="S1078" i="7" s="1"/>
  <c r="M1462" i="7"/>
  <c r="T1060" i="7"/>
  <c r="U1039" i="7"/>
  <c r="T1053" i="7"/>
  <c r="T1046" i="7"/>
  <c r="U1037" i="7"/>
  <c r="T1058" i="7"/>
  <c r="T1051" i="7"/>
  <c r="T1044" i="7"/>
  <c r="L19" i="6"/>
  <c r="P1448" i="7" l="1"/>
  <c r="R1072" i="7"/>
  <c r="R218" i="34"/>
  <c r="R1121" i="7"/>
  <c r="R190" i="32" s="1"/>
  <c r="S221" i="34"/>
  <c r="S218" i="34" s="1"/>
  <c r="S151" i="10"/>
  <c r="S221" i="10" s="1"/>
  <c r="S232" i="10" s="1"/>
  <c r="S1119" i="7"/>
  <c r="R148" i="34"/>
  <c r="R147" i="10" s="1"/>
  <c r="S1120" i="7"/>
  <c r="T152" i="34"/>
  <c r="T151" i="10" s="1"/>
  <c r="R177" i="33"/>
  <c r="R169" i="34"/>
  <c r="T1052" i="7"/>
  <c r="T1059" i="7"/>
  <c r="U1038" i="7"/>
  <c r="T1045" i="7"/>
  <c r="T1063" i="7"/>
  <c r="T1071" i="7" s="1"/>
  <c r="T1079" i="7" s="1"/>
  <c r="U1042" i="7"/>
  <c r="T1056" i="7"/>
  <c r="T1049" i="7"/>
  <c r="T1093" i="7"/>
  <c r="U1084" i="7"/>
  <c r="R1102" i="7"/>
  <c r="R1105" i="7" s="1"/>
  <c r="R1100" i="7"/>
  <c r="U1082" i="7"/>
  <c r="T1085" i="7"/>
  <c r="T1091" i="7"/>
  <c r="T153" i="34"/>
  <c r="T152" i="10" s="1"/>
  <c r="T1047" i="7"/>
  <c r="T1054" i="7"/>
  <c r="T1061" i="7"/>
  <c r="U1040" i="7"/>
  <c r="S1071" i="7"/>
  <c r="S1079" i="7" s="1"/>
  <c r="S1080" i="7" s="1"/>
  <c r="S1097" i="7"/>
  <c r="S1100" i="7" s="1"/>
  <c r="S1094" i="7"/>
  <c r="S146" i="34"/>
  <c r="S145" i="10" s="1"/>
  <c r="S1127" i="7"/>
  <c r="S1129" i="7" s="1"/>
  <c r="U1087" i="7"/>
  <c r="T1128" i="7"/>
  <c r="S145" i="34"/>
  <c r="S144" i="10" s="1"/>
  <c r="S1064" i="7"/>
  <c r="U1060" i="7"/>
  <c r="U1053" i="7"/>
  <c r="V1039" i="7"/>
  <c r="U1046" i="7"/>
  <c r="P1190" i="7"/>
  <c r="P1181" i="7"/>
  <c r="P138" i="34"/>
  <c r="U1098" i="7"/>
  <c r="U1103" i="7" s="1"/>
  <c r="Q1448" i="7"/>
  <c r="Q138" i="10"/>
  <c r="U1058" i="7"/>
  <c r="V1037" i="7"/>
  <c r="U1051" i="7"/>
  <c r="U1044" i="7"/>
  <c r="M14" i="2"/>
  <c r="M19" i="6" s="1"/>
  <c r="M1464" i="7"/>
  <c r="U1062" i="7"/>
  <c r="V1041" i="7"/>
  <c r="U1055" i="7"/>
  <c r="U1048" i="7"/>
  <c r="O149" i="2"/>
  <c r="O154" i="6" s="1"/>
  <c r="O372" i="26"/>
  <c r="O1193" i="7"/>
  <c r="O1191" i="7"/>
  <c r="O1463" i="7" s="1"/>
  <c r="O1470" i="7" s="1"/>
  <c r="O1192" i="7"/>
  <c r="T1066" i="7"/>
  <c r="T1074" i="7" s="1"/>
  <c r="T1068" i="7"/>
  <c r="T1076" i="7" s="1"/>
  <c r="V1092" i="7"/>
  <c r="W1083" i="7"/>
  <c r="T1070" i="7"/>
  <c r="T1078" i="7" s="1"/>
  <c r="Q147" i="5"/>
  <c r="N1462" i="7"/>
  <c r="R14" i="5" l="1"/>
  <c r="R17" i="5" s="1"/>
  <c r="S148" i="34"/>
  <c r="S147" i="10" s="1"/>
  <c r="R168" i="34"/>
  <c r="R144" i="5"/>
  <c r="R147" i="5" s="1"/>
  <c r="S1121" i="7"/>
  <c r="S190" i="32" s="1"/>
  <c r="S1072" i="7"/>
  <c r="S232" i="34"/>
  <c r="T221" i="10"/>
  <c r="T232" i="10" s="1"/>
  <c r="S218" i="10"/>
  <c r="S1102" i="7"/>
  <c r="S1105" i="7" s="1"/>
  <c r="T1120" i="7"/>
  <c r="U152" i="34"/>
  <c r="U151" i="10" s="1"/>
  <c r="T145" i="34"/>
  <c r="T144" i="10" s="1"/>
  <c r="T1064" i="7"/>
  <c r="T1119" i="7"/>
  <c r="T221" i="34"/>
  <c r="T218" i="34" s="1"/>
  <c r="V1087" i="7"/>
  <c r="U1128" i="7"/>
  <c r="U1047" i="7"/>
  <c r="U1061" i="7"/>
  <c r="V1040" i="7"/>
  <c r="U1054" i="7"/>
  <c r="U1093" i="7"/>
  <c r="V1084" i="7"/>
  <c r="U1063" i="7"/>
  <c r="U1049" i="7"/>
  <c r="V1042" i="7"/>
  <c r="U1056" i="7"/>
  <c r="T1067" i="7"/>
  <c r="T1075" i="7" s="1"/>
  <c r="U1085" i="7"/>
  <c r="V1082" i="7"/>
  <c r="U153" i="34"/>
  <c r="U152" i="10" s="1"/>
  <c r="U1091" i="7"/>
  <c r="U1059" i="7"/>
  <c r="U1067" i="7" s="1"/>
  <c r="U1075" i="7" s="1"/>
  <c r="U1045" i="7"/>
  <c r="V1038" i="7"/>
  <c r="U1052" i="7"/>
  <c r="S177" i="33"/>
  <c r="S169" i="34"/>
  <c r="T1069" i="7"/>
  <c r="T1077" i="7" s="1"/>
  <c r="T1094" i="7"/>
  <c r="T1127" i="7"/>
  <c r="T1129" i="7" s="1"/>
  <c r="T1097" i="7"/>
  <c r="T146" i="34"/>
  <c r="T145" i="10" s="1"/>
  <c r="T1099" i="7"/>
  <c r="T1104" i="7" s="1"/>
  <c r="V1098" i="7"/>
  <c r="V1103" i="7" s="1"/>
  <c r="W1037" i="7"/>
  <c r="V1058" i="7"/>
  <c r="V1051" i="7"/>
  <c r="V1044" i="7"/>
  <c r="W1039" i="7"/>
  <c r="V1060" i="7"/>
  <c r="V1053" i="7"/>
  <c r="V1046" i="7"/>
  <c r="N14" i="2"/>
  <c r="N19" i="6" s="1"/>
  <c r="N1464" i="7"/>
  <c r="X1083" i="7"/>
  <c r="W1092" i="7"/>
  <c r="U1070" i="7"/>
  <c r="U1078" i="7" s="1"/>
  <c r="R1448" i="7"/>
  <c r="R138" i="10"/>
  <c r="P149" i="2"/>
  <c r="P154" i="6" s="1"/>
  <c r="P372" i="26"/>
  <c r="P1192" i="7"/>
  <c r="P1191" i="7"/>
  <c r="P1463" i="7" s="1"/>
  <c r="P1470" i="7" s="1"/>
  <c r="P1193" i="7"/>
  <c r="U1068" i="7"/>
  <c r="U1076" i="7" s="1"/>
  <c r="O1462" i="7"/>
  <c r="Q1190" i="7"/>
  <c r="Q1181" i="7"/>
  <c r="Q138" i="34"/>
  <c r="W1041" i="7"/>
  <c r="V1062" i="7"/>
  <c r="V1055" i="7"/>
  <c r="V1048" i="7"/>
  <c r="U1066" i="7"/>
  <c r="U1074" i="7" s="1"/>
  <c r="T1121" i="7" l="1"/>
  <c r="T190" i="32" s="1"/>
  <c r="T218" i="10"/>
  <c r="S168" i="34"/>
  <c r="S144" i="5"/>
  <c r="S147" i="5" s="1"/>
  <c r="U221" i="34"/>
  <c r="U218" i="34" s="1"/>
  <c r="S14" i="5"/>
  <c r="S17" i="5" s="1"/>
  <c r="S1448" i="7" s="1"/>
  <c r="U221" i="10"/>
  <c r="U232" i="10" s="1"/>
  <c r="U1120" i="7"/>
  <c r="U1119" i="7"/>
  <c r="V152" i="34"/>
  <c r="V151" i="10" s="1"/>
  <c r="T148" i="34"/>
  <c r="T147" i="10" s="1"/>
  <c r="U145" i="34"/>
  <c r="U1064" i="7"/>
  <c r="T1072" i="7"/>
  <c r="T232" i="34"/>
  <c r="T1080" i="7"/>
  <c r="U1097" i="7"/>
  <c r="U1102" i="7" s="1"/>
  <c r="U1094" i="7"/>
  <c r="U146" i="34"/>
  <c r="U145" i="10" s="1"/>
  <c r="U1127" i="7"/>
  <c r="U1129" i="7" s="1"/>
  <c r="T177" i="33"/>
  <c r="T169" i="34"/>
  <c r="V1063" i="7"/>
  <c r="V1071" i="7" s="1"/>
  <c r="V1079" i="7" s="1"/>
  <c r="W1042" i="7"/>
  <c r="V1049" i="7"/>
  <c r="V1056" i="7"/>
  <c r="U1099" i="7"/>
  <c r="U1104" i="7" s="1"/>
  <c r="V153" i="34"/>
  <c r="V152" i="10" s="1"/>
  <c r="V1091" i="7"/>
  <c r="W1082" i="7"/>
  <c r="V1085" i="7"/>
  <c r="W1084" i="7"/>
  <c r="V1093" i="7"/>
  <c r="U1069" i="7"/>
  <c r="U1077" i="7" s="1"/>
  <c r="T1100" i="7"/>
  <c r="V1059" i="7"/>
  <c r="V1067" i="7" s="1"/>
  <c r="V1075" i="7" s="1"/>
  <c r="V1052" i="7"/>
  <c r="W1038" i="7"/>
  <c r="V1045" i="7"/>
  <c r="U1071" i="7"/>
  <c r="U1079" i="7" s="1"/>
  <c r="V1054" i="7"/>
  <c r="W1040" i="7"/>
  <c r="V1061" i="7"/>
  <c r="V1047" i="7"/>
  <c r="W1087" i="7"/>
  <c r="V1128" i="7"/>
  <c r="T1102" i="7"/>
  <c r="T1105" i="7" s="1"/>
  <c r="U144" i="10"/>
  <c r="U232" i="34"/>
  <c r="X1041" i="7"/>
  <c r="W1062" i="7"/>
  <c r="W1055" i="7"/>
  <c r="W1048" i="7"/>
  <c r="V1070" i="7"/>
  <c r="V1078" i="7" s="1"/>
  <c r="R1190" i="7"/>
  <c r="R1181" i="7"/>
  <c r="R138" i="34"/>
  <c r="Y1083" i="7"/>
  <c r="X1092" i="7"/>
  <c r="V1068" i="7"/>
  <c r="V1076" i="7" s="1"/>
  <c r="X1037" i="7"/>
  <c r="W1058" i="7"/>
  <c r="W1051" i="7"/>
  <c r="W1044" i="7"/>
  <c r="T144" i="5"/>
  <c r="P1462" i="7"/>
  <c r="X1039" i="7"/>
  <c r="W1060" i="7"/>
  <c r="W1053" i="7"/>
  <c r="W1046" i="7"/>
  <c r="Q149" i="2"/>
  <c r="Q154" i="6" s="1"/>
  <c r="Q372" i="26"/>
  <c r="Q1192" i="7"/>
  <c r="Q1191" i="7"/>
  <c r="Q1463" i="7" s="1"/>
  <c r="Q1470" i="7" s="1"/>
  <c r="Q1193" i="7"/>
  <c r="O14" i="2"/>
  <c r="O19" i="6" s="1"/>
  <c r="O1464" i="7"/>
  <c r="W1098" i="7"/>
  <c r="W1103" i="7" s="1"/>
  <c r="V1066" i="7"/>
  <c r="T14" i="5" l="1"/>
  <c r="T17" i="5" s="1"/>
  <c r="T1448" i="7" s="1"/>
  <c r="T168" i="34"/>
  <c r="S138" i="10"/>
  <c r="U218" i="10"/>
  <c r="U148" i="34"/>
  <c r="U147" i="10" s="1"/>
  <c r="W152" i="34"/>
  <c r="W151" i="10" s="1"/>
  <c r="U1121" i="7"/>
  <c r="U190" i="32" s="1"/>
  <c r="V221" i="10"/>
  <c r="V218" i="10" s="1"/>
  <c r="V145" i="34"/>
  <c r="V144" i="10" s="1"/>
  <c r="V221" i="34"/>
  <c r="V232" i="34" s="1"/>
  <c r="V1120" i="7"/>
  <c r="U1080" i="7"/>
  <c r="V1119" i="7"/>
  <c r="V1064" i="7"/>
  <c r="U1072" i="7"/>
  <c r="V1069" i="7"/>
  <c r="V1077" i="7" s="1"/>
  <c r="V1099" i="7"/>
  <c r="V1104" i="7" s="1"/>
  <c r="V1127" i="7"/>
  <c r="V1129" i="7" s="1"/>
  <c r="V1097" i="7"/>
  <c r="V146" i="34"/>
  <c r="V145" i="10" s="1"/>
  <c r="V1094" i="7"/>
  <c r="W1085" i="7"/>
  <c r="X1082" i="7"/>
  <c r="W1091" i="7"/>
  <c r="W153" i="34"/>
  <c r="W152" i="10" s="1"/>
  <c r="X1087" i="7"/>
  <c r="W1128" i="7"/>
  <c r="W1052" i="7"/>
  <c r="W1059" i="7"/>
  <c r="X1038" i="7"/>
  <c r="W1045" i="7"/>
  <c r="W1063" i="7"/>
  <c r="X1042" i="7"/>
  <c r="W1049" i="7"/>
  <c r="W1056" i="7"/>
  <c r="U177" i="33"/>
  <c r="U169" i="34"/>
  <c r="U1105" i="7"/>
  <c r="X1040" i="7"/>
  <c r="W1061" i="7"/>
  <c r="W1069" i="7" s="1"/>
  <c r="W1077" i="7" s="1"/>
  <c r="W1047" i="7"/>
  <c r="W1054" i="7"/>
  <c r="W1093" i="7"/>
  <c r="X1084" i="7"/>
  <c r="U1100" i="7"/>
  <c r="S1190" i="7"/>
  <c r="S1181" i="7"/>
  <c r="S138" i="34"/>
  <c r="W1070" i="7"/>
  <c r="W1078" i="7" s="1"/>
  <c r="X1060" i="7"/>
  <c r="Y1039" i="7"/>
  <c r="X1053" i="7"/>
  <c r="X1046" i="7"/>
  <c r="T147" i="5"/>
  <c r="W1066" i="7"/>
  <c r="W1074" i="7" s="1"/>
  <c r="Y1041" i="7"/>
  <c r="X1062" i="7"/>
  <c r="X1055" i="7"/>
  <c r="X1048" i="7"/>
  <c r="V1072" i="7"/>
  <c r="Q1462" i="7"/>
  <c r="P14" i="2"/>
  <c r="P19" i="6" s="1"/>
  <c r="P1464" i="7"/>
  <c r="X1098" i="7"/>
  <c r="X1103" i="7" s="1"/>
  <c r="V1074" i="7"/>
  <c r="W1068" i="7"/>
  <c r="W1076" i="7" s="1"/>
  <c r="Z1083" i="7"/>
  <c r="Y1092" i="7"/>
  <c r="Y1037" i="7"/>
  <c r="X1058" i="7"/>
  <c r="X1051" i="7"/>
  <c r="X1044" i="7"/>
  <c r="R149" i="2"/>
  <c r="R154" i="6" s="1"/>
  <c r="R372" i="26"/>
  <c r="R1192" i="7"/>
  <c r="R1193" i="7"/>
  <c r="R1191" i="7"/>
  <c r="R1463" i="7" s="1"/>
  <c r="R1470" i="7" s="1"/>
  <c r="V232" i="10" l="1"/>
  <c r="T138" i="10"/>
  <c r="W221" i="34"/>
  <c r="W232" i="34" s="1"/>
  <c r="V218" i="34"/>
  <c r="U168" i="34"/>
  <c r="W1064" i="7"/>
  <c r="U144" i="5"/>
  <c r="U147" i="5" s="1"/>
  <c r="V1121" i="7"/>
  <c r="V190" i="32" s="1"/>
  <c r="U14" i="5"/>
  <c r="U17" i="5" s="1"/>
  <c r="U1448" i="7" s="1"/>
  <c r="W221" i="10"/>
  <c r="W232" i="10" s="1"/>
  <c r="X152" i="34"/>
  <c r="W145" i="34"/>
  <c r="W144" i="10" s="1"/>
  <c r="V148" i="34"/>
  <c r="V147" i="10" s="1"/>
  <c r="W1119" i="7"/>
  <c r="W1120" i="7"/>
  <c r="W1071" i="7"/>
  <c r="W1079" i="7" s="1"/>
  <c r="W1097" i="7"/>
  <c r="W1094" i="7"/>
  <c r="W146" i="34"/>
  <c r="W145" i="10" s="1"/>
  <c r="W1127" i="7"/>
  <c r="W1129" i="7" s="1"/>
  <c r="W1099" i="7"/>
  <c r="W1104" i="7" s="1"/>
  <c r="X1061" i="7"/>
  <c r="X1069" i="7" s="1"/>
  <c r="X1077" i="7" s="1"/>
  <c r="X1047" i="7"/>
  <c r="X1054" i="7"/>
  <c r="Y1040" i="7"/>
  <c r="X1056" i="7"/>
  <c r="X1063" i="7"/>
  <c r="X1071" i="7" s="1"/>
  <c r="X1079" i="7" s="1"/>
  <c r="Y1042" i="7"/>
  <c r="X1049" i="7"/>
  <c r="W1067" i="7"/>
  <c r="W1075" i="7" s="1"/>
  <c r="V169" i="34"/>
  <c r="V177" i="33"/>
  <c r="Y1084" i="7"/>
  <c r="X1093" i="7"/>
  <c r="X1099" i="7" s="1"/>
  <c r="X1104" i="7" s="1"/>
  <c r="X1052" i="7"/>
  <c r="X1059" i="7"/>
  <c r="X1067" i="7" s="1"/>
  <c r="X1075" i="7" s="1"/>
  <c r="Y1038" i="7"/>
  <c r="X1045" i="7"/>
  <c r="X1128" i="7"/>
  <c r="Y1087" i="7"/>
  <c r="V1100" i="7"/>
  <c r="V1102" i="7"/>
  <c r="V1105" i="7" s="1"/>
  <c r="X1085" i="7"/>
  <c r="Y1082" i="7"/>
  <c r="X1091" i="7"/>
  <c r="X153" i="34"/>
  <c r="X152" i="10" s="1"/>
  <c r="V1080" i="7"/>
  <c r="Y1058" i="7"/>
  <c r="Z1037" i="7"/>
  <c r="Y1051" i="7"/>
  <c r="Y1044" i="7"/>
  <c r="Z1092" i="7"/>
  <c r="AA1083" i="7"/>
  <c r="Y1062" i="7"/>
  <c r="Z1041" i="7"/>
  <c r="Y1055" i="7"/>
  <c r="Y1048" i="7"/>
  <c r="Y1060" i="7"/>
  <c r="Z1039" i="7"/>
  <c r="Y1053" i="7"/>
  <c r="Y1046" i="7"/>
  <c r="R1462" i="7"/>
  <c r="X1070" i="7"/>
  <c r="X1078" i="7" s="1"/>
  <c r="Q14" i="2"/>
  <c r="Q19" i="6" s="1"/>
  <c r="Q1464" i="7"/>
  <c r="X1066" i="7"/>
  <c r="Y1098" i="7"/>
  <c r="Y1103" i="7" s="1"/>
  <c r="T1190" i="7"/>
  <c r="T1181" i="7"/>
  <c r="T138" i="34"/>
  <c r="X1068" i="7"/>
  <c r="X1076" i="7" s="1"/>
  <c r="S149" i="2"/>
  <c r="S154" i="6" s="1"/>
  <c r="S372" i="26"/>
  <c r="S1193" i="7"/>
  <c r="S1191" i="7"/>
  <c r="S1463" i="7" s="1"/>
  <c r="S1470" i="7" s="1"/>
  <c r="S1192" i="7"/>
  <c r="W218" i="34" l="1"/>
  <c r="W218" i="10"/>
  <c r="V14" i="5"/>
  <c r="V17" i="5" s="1"/>
  <c r="V1448" i="7" s="1"/>
  <c r="V144" i="5"/>
  <c r="V147" i="5" s="1"/>
  <c r="V168" i="34"/>
  <c r="U138" i="10"/>
  <c r="Y152" i="34"/>
  <c r="Y151" i="10" s="1"/>
  <c r="X221" i="34"/>
  <c r="X218" i="34" s="1"/>
  <c r="W1121" i="7"/>
  <c r="W190" i="32" s="1"/>
  <c r="X151" i="10"/>
  <c r="X221" i="10" s="1"/>
  <c r="X232" i="10" s="1"/>
  <c r="X1120" i="7"/>
  <c r="X1064" i="7"/>
  <c r="X1119" i="7"/>
  <c r="W148" i="34"/>
  <c r="W147" i="10" s="1"/>
  <c r="X145" i="34"/>
  <c r="X144" i="10" s="1"/>
  <c r="W1072" i="7"/>
  <c r="W1080" i="7"/>
  <c r="Y1049" i="7"/>
  <c r="Y1056" i="7"/>
  <c r="Y1063" i="7"/>
  <c r="Y1071" i="7" s="1"/>
  <c r="Y1079" i="7" s="1"/>
  <c r="Z1042" i="7"/>
  <c r="Y1128" i="7"/>
  <c r="Z1087" i="7"/>
  <c r="Z1040" i="7"/>
  <c r="Y1047" i="7"/>
  <c r="Y1054" i="7"/>
  <c r="Y1061" i="7"/>
  <c r="Y1069" i="7" s="1"/>
  <c r="Y1077" i="7" s="1"/>
  <c r="Y1091" i="7"/>
  <c r="Y153" i="34"/>
  <c r="Y152" i="10" s="1"/>
  <c r="Y1085" i="7"/>
  <c r="Z1082" i="7"/>
  <c r="Y1052" i="7"/>
  <c r="Y1059" i="7"/>
  <c r="Y1067" i="7" s="1"/>
  <c r="Y1075" i="7" s="1"/>
  <c r="Z1038" i="7"/>
  <c r="Y1045" i="7"/>
  <c r="Y1093" i="7"/>
  <c r="Y1099" i="7" s="1"/>
  <c r="Y1104" i="7" s="1"/>
  <c r="Z1084" i="7"/>
  <c r="W169" i="34"/>
  <c r="W177" i="33"/>
  <c r="X1097" i="7"/>
  <c r="X1100" i="7" s="1"/>
  <c r="X1094" i="7"/>
  <c r="X146" i="34"/>
  <c r="X145" i="10" s="1"/>
  <c r="X1127" i="7"/>
  <c r="X1129" i="7" s="1"/>
  <c r="W1100" i="7"/>
  <c r="W1102" i="7"/>
  <c r="W1105" i="7" s="1"/>
  <c r="AA1039" i="7"/>
  <c r="Z1060" i="7"/>
  <c r="Z1053" i="7"/>
  <c r="Z1046" i="7"/>
  <c r="AA1041" i="7"/>
  <c r="Z1062" i="7"/>
  <c r="Z1055" i="7"/>
  <c r="Z1048" i="7"/>
  <c r="Z1098" i="7"/>
  <c r="Z1103" i="7" s="1"/>
  <c r="AB1083" i="7"/>
  <c r="AA1092" i="7"/>
  <c r="Y1066" i="7"/>
  <c r="Y1074" i="7" s="1"/>
  <c r="S1462" i="7"/>
  <c r="X1072" i="7"/>
  <c r="T149" i="2"/>
  <c r="T154" i="6" s="1"/>
  <c r="T372" i="26"/>
  <c r="T1193" i="7"/>
  <c r="T1192" i="7"/>
  <c r="T1191" i="7"/>
  <c r="T1463" i="7" s="1"/>
  <c r="T1470" i="7" s="1"/>
  <c r="U1190" i="7"/>
  <c r="U1181" i="7"/>
  <c r="U138" i="34"/>
  <c r="R14" i="2"/>
  <c r="R19" i="6" s="1"/>
  <c r="R1464" i="7"/>
  <c r="Y1068" i="7"/>
  <c r="Y1076" i="7" s="1"/>
  <c r="Y1070" i="7"/>
  <c r="Y1078" i="7" s="1"/>
  <c r="AA1037" i="7"/>
  <c r="Z1058" i="7"/>
  <c r="Z1051" i="7"/>
  <c r="Z1044" i="7"/>
  <c r="X1074" i="7"/>
  <c r="X1080" i="7" s="1"/>
  <c r="X232" i="34" l="1"/>
  <c r="V138" i="10"/>
  <c r="X1121" i="7"/>
  <c r="X190" i="32" s="1"/>
  <c r="Y221" i="34"/>
  <c r="Y218" i="34" s="1"/>
  <c r="W168" i="34"/>
  <c r="W144" i="5"/>
  <c r="W147" i="5" s="1"/>
  <c r="W14" i="5"/>
  <c r="W17" i="5" s="1"/>
  <c r="W1448" i="7" s="1"/>
  <c r="X148" i="34"/>
  <c r="X147" i="10" s="1"/>
  <c r="Z152" i="34"/>
  <c r="Z151" i="10" s="1"/>
  <c r="Y221" i="10"/>
  <c r="Y218" i="10" s="1"/>
  <c r="Y145" i="34"/>
  <c r="Y1120" i="7"/>
  <c r="X218" i="10"/>
  <c r="Y1119" i="7"/>
  <c r="Y1064" i="7"/>
  <c r="X177" i="33"/>
  <c r="X169" i="34"/>
  <c r="Y1094" i="7"/>
  <c r="Y146" i="34"/>
  <c r="Y145" i="10" s="1"/>
  <c r="Y1127" i="7"/>
  <c r="Y1129" i="7" s="1"/>
  <c r="Y1097" i="7"/>
  <c r="Y1100" i="7" s="1"/>
  <c r="Z1054" i="7"/>
  <c r="AA1040" i="7"/>
  <c r="Z1061" i="7"/>
  <c r="Z1047" i="7"/>
  <c r="Z1056" i="7"/>
  <c r="Z1063" i="7"/>
  <c r="AA1042" i="7"/>
  <c r="Z1049" i="7"/>
  <c r="X1102" i="7"/>
  <c r="X1105" i="7" s="1"/>
  <c r="Z1093" i="7"/>
  <c r="Z1099" i="7" s="1"/>
  <c r="Z1104" i="7" s="1"/>
  <c r="AA1084" i="7"/>
  <c r="Z1052" i="7"/>
  <c r="AA1038" i="7"/>
  <c r="Z1059" i="7"/>
  <c r="Z1045" i="7"/>
  <c r="AA1082" i="7"/>
  <c r="Z1085" i="7"/>
  <c r="Z153" i="34"/>
  <c r="Z152" i="10" s="1"/>
  <c r="Z1091" i="7"/>
  <c r="Z1128" i="7"/>
  <c r="AA1087" i="7"/>
  <c r="Y144" i="10"/>
  <c r="AC1083" i="7"/>
  <c r="AB1092" i="7"/>
  <c r="Z1070" i="7"/>
  <c r="Z1078" i="7" s="1"/>
  <c r="Y1080" i="7"/>
  <c r="AB1037" i="7"/>
  <c r="AA1058" i="7"/>
  <c r="AA1051" i="7"/>
  <c r="AA1044" i="7"/>
  <c r="V1190" i="7"/>
  <c r="V1181" i="7"/>
  <c r="V138" i="34"/>
  <c r="Z1068" i="7"/>
  <c r="Z1076" i="7" s="1"/>
  <c r="Y1072" i="7"/>
  <c r="AA1098" i="7"/>
  <c r="AA1103" i="7" s="1"/>
  <c r="AB1039" i="7"/>
  <c r="AA1060" i="7"/>
  <c r="AA1053" i="7"/>
  <c r="AA1046" i="7"/>
  <c r="Z1066" i="7"/>
  <c r="U149" i="2"/>
  <c r="U154" i="6" s="1"/>
  <c r="U372" i="26"/>
  <c r="U1191" i="7"/>
  <c r="U1463" i="7" s="1"/>
  <c r="U1470" i="7" s="1"/>
  <c r="U1192" i="7"/>
  <c r="U1193" i="7"/>
  <c r="S14" i="2"/>
  <c r="S19" i="6" s="1"/>
  <c r="S1464" i="7"/>
  <c r="AB1041" i="7"/>
  <c r="AA1062" i="7"/>
  <c r="AA1055" i="7"/>
  <c r="AA1048" i="7"/>
  <c r="T1462" i="7"/>
  <c r="Y232" i="10" l="1"/>
  <c r="X168" i="34"/>
  <c r="Y232" i="34"/>
  <c r="X144" i="5"/>
  <c r="X147" i="5" s="1"/>
  <c r="X14" i="5"/>
  <c r="X17" i="5" s="1"/>
  <c r="X138" i="10" s="1"/>
  <c r="W138" i="10"/>
  <c r="Y148" i="34"/>
  <c r="Y147" i="10" s="1"/>
  <c r="Z1064" i="7"/>
  <c r="AA152" i="34"/>
  <c r="AA151" i="10" s="1"/>
  <c r="Y1121" i="7"/>
  <c r="Y190" i="32" s="1"/>
  <c r="Z221" i="10"/>
  <c r="Z218" i="10" s="1"/>
  <c r="Z1119" i="7"/>
  <c r="Z221" i="34"/>
  <c r="Z232" i="34" s="1"/>
  <c r="Z145" i="34"/>
  <c r="Z144" i="10" s="1"/>
  <c r="Z1120" i="7"/>
  <c r="U1462" i="7"/>
  <c r="U14" i="2" s="1"/>
  <c r="AB1082" i="7"/>
  <c r="AA1091" i="7"/>
  <c r="AA153" i="34"/>
  <c r="AA152" i="10" s="1"/>
  <c r="AA1085" i="7"/>
  <c r="AA1049" i="7"/>
  <c r="AA1056" i="7"/>
  <c r="AA1063" i="7"/>
  <c r="AA1071" i="7" s="1"/>
  <c r="AA1079" i="7" s="1"/>
  <c r="AB1042" i="7"/>
  <c r="Z1069" i="7"/>
  <c r="Z1077" i="7" s="1"/>
  <c r="Y169" i="34"/>
  <c r="Y177" i="33"/>
  <c r="AA1128" i="7"/>
  <c r="AB1087" i="7"/>
  <c r="AA1059" i="7"/>
  <c r="AB1038" i="7"/>
  <c r="AA1045" i="7"/>
  <c r="AA1052" i="7"/>
  <c r="Y1102" i="7"/>
  <c r="Y1105" i="7" s="1"/>
  <c r="Z1067" i="7"/>
  <c r="Z1075" i="7" s="1"/>
  <c r="Z1094" i="7"/>
  <c r="Z146" i="34"/>
  <c r="Z145" i="10" s="1"/>
  <c r="Z1127" i="7"/>
  <c r="Z1129" i="7" s="1"/>
  <c r="Z1097" i="7"/>
  <c r="Z1100" i="7" s="1"/>
  <c r="AB1084" i="7"/>
  <c r="AA1093" i="7"/>
  <c r="AA1099" i="7" s="1"/>
  <c r="AA1104" i="7" s="1"/>
  <c r="Z1071" i="7"/>
  <c r="AB1040" i="7"/>
  <c r="AA1061" i="7"/>
  <c r="AA1047" i="7"/>
  <c r="AA1054" i="7"/>
  <c r="Z1074" i="7"/>
  <c r="AA1070" i="7"/>
  <c r="AA1078" i="7" s="1"/>
  <c r="AC1041" i="7"/>
  <c r="AB1062" i="7"/>
  <c r="AB1055" i="7"/>
  <c r="AB1048" i="7"/>
  <c r="AA1068" i="7"/>
  <c r="AA1076" i="7" s="1"/>
  <c r="AC1037" i="7"/>
  <c r="AB1058" i="7"/>
  <c r="AB1051" i="7"/>
  <c r="AB1044" i="7"/>
  <c r="AD1083" i="7"/>
  <c r="AC1092" i="7"/>
  <c r="AA1066" i="7"/>
  <c r="AB1098" i="7"/>
  <c r="AB1103" i="7" s="1"/>
  <c r="T14" i="2"/>
  <c r="T19" i="6" s="1"/>
  <c r="T1464" i="7"/>
  <c r="AB1060" i="7"/>
  <c r="AC1039" i="7"/>
  <c r="AB1053" i="7"/>
  <c r="AB1046" i="7"/>
  <c r="V149" i="2"/>
  <c r="V154" i="6" s="1"/>
  <c r="V372" i="26"/>
  <c r="V1191" i="7"/>
  <c r="V1463" i="7" s="1"/>
  <c r="V1470" i="7" s="1"/>
  <c r="V1193" i="7"/>
  <c r="V1192" i="7"/>
  <c r="W1190" i="7"/>
  <c r="W1181" i="7"/>
  <c r="W138" i="34"/>
  <c r="Z218" i="34" l="1"/>
  <c r="X1448" i="7"/>
  <c r="Y14" i="5"/>
  <c r="Y17" i="5" s="1"/>
  <c r="Y1448" i="7" s="1"/>
  <c r="Z1121" i="7"/>
  <c r="Z190" i="32" s="1"/>
  <c r="Z232" i="10"/>
  <c r="AA221" i="10"/>
  <c r="AA218" i="10" s="1"/>
  <c r="Y144" i="5"/>
  <c r="Y147" i="5" s="1"/>
  <c r="Y168" i="34"/>
  <c r="Z148" i="34"/>
  <c r="Z147" i="10" s="1"/>
  <c r="AB152" i="34"/>
  <c r="AB151" i="10" s="1"/>
  <c r="AA221" i="34"/>
  <c r="AA218" i="34" s="1"/>
  <c r="AA1119" i="7"/>
  <c r="AA1120" i="7"/>
  <c r="AA1064" i="7"/>
  <c r="AA145" i="34"/>
  <c r="AA144" i="10" s="1"/>
  <c r="U1464" i="7"/>
  <c r="Z1072" i="7"/>
  <c r="Z1079" i="7"/>
  <c r="Z1080" i="7" s="1"/>
  <c r="Z1102" i="7"/>
  <c r="Z1105" i="7" s="1"/>
  <c r="AB1128" i="7"/>
  <c r="AC1087" i="7"/>
  <c r="AB1085" i="7"/>
  <c r="AB153" i="34"/>
  <c r="AB152" i="10" s="1"/>
  <c r="AB1091" i="7"/>
  <c r="AC1082" i="7"/>
  <c r="AB1047" i="7"/>
  <c r="AB1054" i="7"/>
  <c r="AC1040" i="7"/>
  <c r="AB1061" i="7"/>
  <c r="AB1093" i="7"/>
  <c r="AC1084" i="7"/>
  <c r="AA1067" i="7"/>
  <c r="AA1094" i="7"/>
  <c r="AA146" i="34"/>
  <c r="AA145" i="10" s="1"/>
  <c r="AA1127" i="7"/>
  <c r="AA1129" i="7" s="1"/>
  <c r="AA1097" i="7"/>
  <c r="AA1069" i="7"/>
  <c r="AA1077" i="7" s="1"/>
  <c r="Z169" i="34"/>
  <c r="Z177" i="33"/>
  <c r="AB1052" i="7"/>
  <c r="AB1059" i="7"/>
  <c r="AB1045" i="7"/>
  <c r="AC1038" i="7"/>
  <c r="AB1056" i="7"/>
  <c r="AB1063" i="7"/>
  <c r="AC1042" i="7"/>
  <c r="AB1049" i="7"/>
  <c r="AD1092" i="7"/>
  <c r="AE1083" i="7"/>
  <c r="AC1058" i="7"/>
  <c r="AD1037" i="7"/>
  <c r="AC1051" i="7"/>
  <c r="AC1044" i="7"/>
  <c r="U19" i="6"/>
  <c r="AC1062" i="7"/>
  <c r="AD1041" i="7"/>
  <c r="AC1055" i="7"/>
  <c r="AC1048" i="7"/>
  <c r="AB1068" i="7"/>
  <c r="AB1076" i="7" s="1"/>
  <c r="X1190" i="7"/>
  <c r="X1181" i="7"/>
  <c r="X138" i="34"/>
  <c r="AC1098" i="7"/>
  <c r="AC1103" i="7" s="1"/>
  <c r="AB1066" i="7"/>
  <c r="AB1070" i="7"/>
  <c r="AB1078" i="7" s="1"/>
  <c r="V1462" i="7"/>
  <c r="AA1074" i="7"/>
  <c r="W149" i="2"/>
  <c r="W154" i="6" s="1"/>
  <c r="W372" i="26"/>
  <c r="W1193" i="7"/>
  <c r="W1192" i="7"/>
  <c r="W1191" i="7"/>
  <c r="W1463" i="7" s="1"/>
  <c r="W1470" i="7" s="1"/>
  <c r="AC1060" i="7"/>
  <c r="AD1039" i="7"/>
  <c r="AC1053" i="7"/>
  <c r="AC1046" i="7"/>
  <c r="AA232" i="10" l="1"/>
  <c r="Z168" i="34"/>
  <c r="Y138" i="10"/>
  <c r="Z14" i="5"/>
  <c r="Z17" i="5" s="1"/>
  <c r="Z138" i="10" s="1"/>
  <c r="Z144" i="5"/>
  <c r="Z147" i="5" s="1"/>
  <c r="AA1121" i="7"/>
  <c r="AA190" i="32" s="1"/>
  <c r="AB1064" i="7"/>
  <c r="AC152" i="34"/>
  <c r="AC151" i="10" s="1"/>
  <c r="AA148" i="34"/>
  <c r="AA147" i="10" s="1"/>
  <c r="AB1119" i="7"/>
  <c r="AB145" i="34"/>
  <c r="AB144" i="10" s="1"/>
  <c r="AA232" i="34"/>
  <c r="AB1120" i="7"/>
  <c r="AB221" i="34"/>
  <c r="AB232" i="34" s="1"/>
  <c r="AA1072" i="7"/>
  <c r="AB221" i="10"/>
  <c r="AB218" i="10" s="1"/>
  <c r="AA1075" i="7"/>
  <c r="AA1080" i="7" s="1"/>
  <c r="AB1099" i="7"/>
  <c r="AB1104" i="7" s="1"/>
  <c r="AB1071" i="7"/>
  <c r="AB1079" i="7" s="1"/>
  <c r="AB1067" i="7"/>
  <c r="AB1075" i="7" s="1"/>
  <c r="AC1093" i="7"/>
  <c r="AC1099" i="7" s="1"/>
  <c r="AC1104" i="7" s="1"/>
  <c r="AD1084" i="7"/>
  <c r="AB1094" i="7"/>
  <c r="AB146" i="34"/>
  <c r="AB145" i="10" s="1"/>
  <c r="AB1127" i="7"/>
  <c r="AB1129" i="7" s="1"/>
  <c r="AB1097" i="7"/>
  <c r="AD1042" i="7"/>
  <c r="AC1049" i="7"/>
  <c r="AC1056" i="7"/>
  <c r="AC1063" i="7"/>
  <c r="AA177" i="33"/>
  <c r="AA169" i="34"/>
  <c r="AC1054" i="7"/>
  <c r="AC1061" i="7"/>
  <c r="AC1069" i="7" s="1"/>
  <c r="AC1077" i="7" s="1"/>
  <c r="AD1040" i="7"/>
  <c r="AC1047" i="7"/>
  <c r="AC153" i="34"/>
  <c r="AC152" i="10" s="1"/>
  <c r="AC1085" i="7"/>
  <c r="AD1082" i="7"/>
  <c r="AC1091" i="7"/>
  <c r="AC1128" i="7"/>
  <c r="AD1087" i="7"/>
  <c r="AC1045" i="7"/>
  <c r="AC1052" i="7"/>
  <c r="AC1059" i="7"/>
  <c r="AD1038" i="7"/>
  <c r="AA1100" i="7"/>
  <c r="AA1102" i="7"/>
  <c r="AA1105" i="7" s="1"/>
  <c r="AB1069" i="7"/>
  <c r="AB1077" i="7" s="1"/>
  <c r="X149" i="2"/>
  <c r="X154" i="6" s="1"/>
  <c r="X372" i="26"/>
  <c r="X1191" i="7"/>
  <c r="X1463" i="7" s="1"/>
  <c r="X1470" i="7" s="1"/>
  <c r="X1192" i="7"/>
  <c r="X1193" i="7"/>
  <c r="AC1070" i="7"/>
  <c r="AC1078" i="7" s="1"/>
  <c r="Y1190" i="7"/>
  <c r="Y1181" i="7"/>
  <c r="Y138" i="34"/>
  <c r="AF1083" i="7"/>
  <c r="AE1092" i="7"/>
  <c r="W1462" i="7"/>
  <c r="AC1066" i="7"/>
  <c r="AC1074" i="7" s="1"/>
  <c r="AC1068" i="7"/>
  <c r="AC1076" i="7" s="1"/>
  <c r="AE1037" i="7"/>
  <c r="AD1058" i="7"/>
  <c r="AD1051" i="7"/>
  <c r="AD1044" i="7"/>
  <c r="AE1041" i="7"/>
  <c r="AD1062" i="7"/>
  <c r="AD1055" i="7"/>
  <c r="AD1048" i="7"/>
  <c r="AE1039" i="7"/>
  <c r="AD1060" i="7"/>
  <c r="AD1053" i="7"/>
  <c r="AD1046" i="7"/>
  <c r="V14" i="2"/>
  <c r="V19" i="6" s="1"/>
  <c r="V1464" i="7"/>
  <c r="AD1098" i="7"/>
  <c r="AD1103" i="7" s="1"/>
  <c r="AB1074" i="7"/>
  <c r="AD152" i="34" l="1"/>
  <c r="AD151" i="10" s="1"/>
  <c r="AB218" i="34"/>
  <c r="Z1448" i="7"/>
  <c r="AA168" i="34"/>
  <c r="AA144" i="5"/>
  <c r="AA147" i="5" s="1"/>
  <c r="AA14" i="5"/>
  <c r="AA17" i="5" s="1"/>
  <c r="AA1448" i="7" s="1"/>
  <c r="AB232" i="10"/>
  <c r="AB148" i="34"/>
  <c r="AB147" i="10" s="1"/>
  <c r="AC1119" i="7"/>
  <c r="AC1064" i="7"/>
  <c r="AB1121" i="7"/>
  <c r="AB190" i="32" s="1"/>
  <c r="AC145" i="34"/>
  <c r="AC144" i="10" s="1"/>
  <c r="AC1120" i="7"/>
  <c r="AB1072" i="7"/>
  <c r="AC221" i="10"/>
  <c r="AC232" i="10" s="1"/>
  <c r="AC221" i="34"/>
  <c r="AC218" i="34" s="1"/>
  <c r="AD1045" i="7"/>
  <c r="AD1052" i="7"/>
  <c r="AD1059" i="7"/>
  <c r="AE1038" i="7"/>
  <c r="AD1091" i="7"/>
  <c r="AE1082" i="7"/>
  <c r="AD1085" i="7"/>
  <c r="AD153" i="34"/>
  <c r="AD152" i="10" s="1"/>
  <c r="AE1040" i="7"/>
  <c r="AD1047" i="7"/>
  <c r="AD1061" i="7"/>
  <c r="AD1054" i="7"/>
  <c r="AE1042" i="7"/>
  <c r="AD1049" i="7"/>
  <c r="AD1056" i="7"/>
  <c r="AD1063" i="7"/>
  <c r="AD1071" i="7" s="1"/>
  <c r="AD1079" i="7" s="1"/>
  <c r="AB177" i="33"/>
  <c r="AB169" i="34"/>
  <c r="AC1094" i="7"/>
  <c r="AC146" i="34"/>
  <c r="AC145" i="10" s="1"/>
  <c r="AC1127" i="7"/>
  <c r="AC1129" i="7" s="1"/>
  <c r="AC1097" i="7"/>
  <c r="AB1100" i="7"/>
  <c r="AB1102" i="7"/>
  <c r="AB1105" i="7" s="1"/>
  <c r="AD1093" i="7"/>
  <c r="AD1099" i="7" s="1"/>
  <c r="AD1104" i="7" s="1"/>
  <c r="AE1084" i="7"/>
  <c r="AC1067" i="7"/>
  <c r="AC1075" i="7" s="1"/>
  <c r="AE1087" i="7"/>
  <c r="AD1128" i="7"/>
  <c r="AC1071" i="7"/>
  <c r="AC1079" i="7" s="1"/>
  <c r="AB1080" i="7"/>
  <c r="AF1041" i="7"/>
  <c r="AE1062" i="7"/>
  <c r="AE1055" i="7"/>
  <c r="AE1048" i="7"/>
  <c r="Z1190" i="7"/>
  <c r="Z1181" i="7"/>
  <c r="Z138" i="34"/>
  <c r="AF1037" i="7"/>
  <c r="AE1058" i="7"/>
  <c r="AE1051" i="7"/>
  <c r="AE1044" i="7"/>
  <c r="AG1083" i="7"/>
  <c r="AF1092" i="7"/>
  <c r="AF1039" i="7"/>
  <c r="AE1060" i="7"/>
  <c r="AE1053" i="7"/>
  <c r="AE1046" i="7"/>
  <c r="AD1068" i="7"/>
  <c r="AD1076" i="7" s="1"/>
  <c r="AD1070" i="7"/>
  <c r="AD1078" i="7" s="1"/>
  <c r="AD1066" i="7"/>
  <c r="AE1098" i="7"/>
  <c r="AE1103" i="7" s="1"/>
  <c r="Y149" i="2"/>
  <c r="Y154" i="6" s="1"/>
  <c r="Y372" i="26"/>
  <c r="Y1192" i="7"/>
  <c r="Y1193" i="7"/>
  <c r="Y1191" i="7"/>
  <c r="Y1463" i="7" s="1"/>
  <c r="Y1470" i="7" s="1"/>
  <c r="W14" i="2"/>
  <c r="W19" i="6" s="1"/>
  <c r="W1464" i="7"/>
  <c r="X1462" i="7"/>
  <c r="AC218" i="10" l="1"/>
  <c r="AA138" i="10"/>
  <c r="AB14" i="5"/>
  <c r="AB17" i="5" s="1"/>
  <c r="AB138" i="10" s="1"/>
  <c r="AC1121" i="7"/>
  <c r="AC190" i="32" s="1"/>
  <c r="AB168" i="34"/>
  <c r="AB144" i="5"/>
  <c r="AB147" i="5" s="1"/>
  <c r="AD221" i="10"/>
  <c r="AD218" i="10" s="1"/>
  <c r="AC1072" i="7"/>
  <c r="AD1120" i="7"/>
  <c r="AD1064" i="7"/>
  <c r="AC148" i="34"/>
  <c r="AC147" i="10" s="1"/>
  <c r="AD145" i="34"/>
  <c r="AD144" i="10" s="1"/>
  <c r="AD221" i="34"/>
  <c r="AD232" i="34" s="1"/>
  <c r="AE152" i="34"/>
  <c r="AD1119" i="7"/>
  <c r="AC232" i="34"/>
  <c r="AC1080" i="7"/>
  <c r="AE1059" i="7"/>
  <c r="AE1067" i="7" s="1"/>
  <c r="AE1075" i="7" s="1"/>
  <c r="AF1038" i="7"/>
  <c r="AE1045" i="7"/>
  <c r="AE1052" i="7"/>
  <c r="AE1056" i="7"/>
  <c r="AE1063" i="7"/>
  <c r="AF1042" i="7"/>
  <c r="AE1049" i="7"/>
  <c r="AE1054" i="7"/>
  <c r="AF1040" i="7"/>
  <c r="AE1061" i="7"/>
  <c r="AE1069" i="7" s="1"/>
  <c r="AE1077" i="7" s="1"/>
  <c r="AE1047" i="7"/>
  <c r="AD1094" i="7"/>
  <c r="AD146" i="34"/>
  <c r="AD145" i="10" s="1"/>
  <c r="AD1127" i="7"/>
  <c r="AD1129" i="7" s="1"/>
  <c r="AD1097" i="7"/>
  <c r="AE1128" i="7"/>
  <c r="AF1087" i="7"/>
  <c r="AC169" i="34"/>
  <c r="AC177" i="33"/>
  <c r="AE153" i="34"/>
  <c r="AE152" i="10" s="1"/>
  <c r="AE1091" i="7"/>
  <c r="AE1085" i="7"/>
  <c r="AF1082" i="7"/>
  <c r="AE1093" i="7"/>
  <c r="AF1084" i="7"/>
  <c r="AC1100" i="7"/>
  <c r="AC1102" i="7"/>
  <c r="AC1105" i="7" s="1"/>
  <c r="AD1069" i="7"/>
  <c r="AD1077" i="7" s="1"/>
  <c r="AD1067" i="7"/>
  <c r="AD1075" i="7" s="1"/>
  <c r="AF1060" i="7"/>
  <c r="AG1039" i="7"/>
  <c r="AF1053" i="7"/>
  <c r="AF1046" i="7"/>
  <c r="Y1462" i="7"/>
  <c r="AE1068" i="7"/>
  <c r="AE1076" i="7" s="1"/>
  <c r="AG1037" i="7"/>
  <c r="AF1058" i="7"/>
  <c r="AF1051" i="7"/>
  <c r="AF1044" i="7"/>
  <c r="AG1041" i="7"/>
  <c r="AF1062" i="7"/>
  <c r="AF1055" i="7"/>
  <c r="AF1048" i="7"/>
  <c r="AA1190" i="7"/>
  <c r="AA1181" i="7"/>
  <c r="AA138" i="34"/>
  <c r="AH1083" i="7"/>
  <c r="AH1092" i="7" s="1"/>
  <c r="AG1092" i="7"/>
  <c r="AE1066" i="7"/>
  <c r="Z149" i="2"/>
  <c r="Z154" i="6" s="1"/>
  <c r="Z372" i="26"/>
  <c r="Z1193" i="7"/>
  <c r="Z1191" i="7"/>
  <c r="Z1463" i="7" s="1"/>
  <c r="Z1470" i="7" s="1"/>
  <c r="Z1192" i="7"/>
  <c r="AE1070" i="7"/>
  <c r="AE1078" i="7" s="1"/>
  <c r="AD1074" i="7"/>
  <c r="X14" i="2"/>
  <c r="X19" i="6" s="1"/>
  <c r="X1464" i="7"/>
  <c r="AF1098" i="7"/>
  <c r="AF1103" i="7" s="1"/>
  <c r="AC144" i="5" l="1"/>
  <c r="AC147" i="5" s="1"/>
  <c r="AD232" i="10"/>
  <c r="AB1448" i="7"/>
  <c r="AC14" i="5"/>
  <c r="AC17" i="5" s="1"/>
  <c r="AC138" i="10" s="1"/>
  <c r="AC168" i="34"/>
  <c r="AE221" i="34"/>
  <c r="AE218" i="34" s="1"/>
  <c r="AE151" i="10"/>
  <c r="AE221" i="10" s="1"/>
  <c r="AD148" i="34"/>
  <c r="AD147" i="10" s="1"/>
  <c r="AD218" i="34"/>
  <c r="AE145" i="34"/>
  <c r="AE144" i="10" s="1"/>
  <c r="AD1121" i="7"/>
  <c r="AD190" i="32" s="1"/>
  <c r="AF152" i="34"/>
  <c r="AF151" i="10" s="1"/>
  <c r="AE1120" i="7"/>
  <c r="AE1119" i="7"/>
  <c r="AD1072" i="7"/>
  <c r="AE1064" i="7"/>
  <c r="AE1099" i="7"/>
  <c r="AE1104" i="7" s="1"/>
  <c r="AE1127" i="7"/>
  <c r="AE1129" i="7" s="1"/>
  <c r="AE1097" i="7"/>
  <c r="AE1094" i="7"/>
  <c r="AE146" i="34"/>
  <c r="AE145" i="10" s="1"/>
  <c r="AF1128" i="7"/>
  <c r="AG1087" i="7"/>
  <c r="AD169" i="34"/>
  <c r="AD177" i="33"/>
  <c r="AF1056" i="7"/>
  <c r="AF1063" i="7"/>
  <c r="AG1042" i="7"/>
  <c r="AF1049" i="7"/>
  <c r="AF1093" i="7"/>
  <c r="AG1084" i="7"/>
  <c r="AD1102" i="7"/>
  <c r="AD1105" i="7" s="1"/>
  <c r="AD1100" i="7"/>
  <c r="Z1462" i="7"/>
  <c r="Z14" i="2" s="1"/>
  <c r="AE1074" i="7"/>
  <c r="AG1082" i="7"/>
  <c r="AF1091" i="7"/>
  <c r="AF1085" i="7"/>
  <c r="AF153" i="34"/>
  <c r="AF152" i="10" s="1"/>
  <c r="AF1045" i="7"/>
  <c r="AF1052" i="7"/>
  <c r="AF1059" i="7"/>
  <c r="AF1067" i="7" s="1"/>
  <c r="AF1075" i="7" s="1"/>
  <c r="AG1038" i="7"/>
  <c r="AD1080" i="7"/>
  <c r="AF1061" i="7"/>
  <c r="AF1069" i="7" s="1"/>
  <c r="AF1077" i="7" s="1"/>
  <c r="AF1047" i="7"/>
  <c r="AF1054" i="7"/>
  <c r="AG1040" i="7"/>
  <c r="AE1071" i="7"/>
  <c r="AE1072" i="7" s="1"/>
  <c r="AH1098" i="7"/>
  <c r="AH1103" i="7" s="1"/>
  <c r="AF1068" i="7"/>
  <c r="AF1076" i="7" s="1"/>
  <c r="AG1058" i="7"/>
  <c r="AH1037" i="7"/>
  <c r="AG1051" i="7"/>
  <c r="AG1044" i="7"/>
  <c r="AG1060" i="7"/>
  <c r="AH1039" i="7"/>
  <c r="AG1053" i="7"/>
  <c r="AG1046" i="7"/>
  <c r="AG1098" i="7"/>
  <c r="AG1103" i="7" s="1"/>
  <c r="AA149" i="2"/>
  <c r="AA154" i="6" s="1"/>
  <c r="AA372" i="26"/>
  <c r="AA1191" i="7"/>
  <c r="AA1463" i="7" s="1"/>
  <c r="AA1470" i="7" s="1"/>
  <c r="AA1193" i="7"/>
  <c r="AA1192" i="7"/>
  <c r="AB1190" i="7"/>
  <c r="AB1181" i="7"/>
  <c r="AB138" i="34"/>
  <c r="AG1062" i="7"/>
  <c r="AH1041" i="7"/>
  <c r="AG1055" i="7"/>
  <c r="AG1048" i="7"/>
  <c r="AF1066" i="7"/>
  <c r="AF1074" i="7" s="1"/>
  <c r="Y14" i="2"/>
  <c r="Y19" i="6" s="1"/>
  <c r="Y1464" i="7"/>
  <c r="AF1070" i="7"/>
  <c r="AF1078" i="7" s="1"/>
  <c r="AE232" i="34" l="1"/>
  <c r="AC1448" i="7"/>
  <c r="AD168" i="34"/>
  <c r="AD14" i="5"/>
  <c r="AD17" i="5" s="1"/>
  <c r="AD1448" i="7" s="1"/>
  <c r="AD144" i="5"/>
  <c r="AD147" i="5" s="1"/>
  <c r="AE218" i="10"/>
  <c r="AE232" i="10"/>
  <c r="AF221" i="10"/>
  <c r="AF232" i="10" s="1"/>
  <c r="AF221" i="34"/>
  <c r="AF232" i="34" s="1"/>
  <c r="Z1464" i="7"/>
  <c r="AE1079" i="7"/>
  <c r="AE1080" i="7" s="1"/>
  <c r="AE1121" i="7"/>
  <c r="AE190" i="32" s="1"/>
  <c r="AF1120" i="7"/>
  <c r="AE148" i="34"/>
  <c r="AE147" i="10" s="1"/>
  <c r="AF145" i="34"/>
  <c r="AF144" i="10" s="1"/>
  <c r="AG152" i="34"/>
  <c r="AG151" i="10" s="1"/>
  <c r="AF1064" i="7"/>
  <c r="AF1119" i="7"/>
  <c r="AH1082" i="7"/>
  <c r="AG1091" i="7"/>
  <c r="AG153" i="34"/>
  <c r="AG152" i="10" s="1"/>
  <c r="AG1085" i="7"/>
  <c r="AF1099" i="7"/>
  <c r="AF1104" i="7" s="1"/>
  <c r="AF1071" i="7"/>
  <c r="AF1079" i="7" s="1"/>
  <c r="AF1080" i="7" s="1"/>
  <c r="AG1128" i="7"/>
  <c r="AH1087" i="7"/>
  <c r="AH1128" i="7" s="1"/>
  <c r="AE1100" i="7"/>
  <c r="AE1102" i="7"/>
  <c r="AE1105" i="7" s="1"/>
  <c r="AF1127" i="7"/>
  <c r="AF1129" i="7" s="1"/>
  <c r="AF1097" i="7"/>
  <c r="AF1094" i="7"/>
  <c r="AF146" i="34"/>
  <c r="AF145" i="10" s="1"/>
  <c r="AG1093" i="7"/>
  <c r="AG1099" i="7" s="1"/>
  <c r="AG1104" i="7" s="1"/>
  <c r="AH1084" i="7"/>
  <c r="AH1093" i="7" s="1"/>
  <c r="AG1063" i="7"/>
  <c r="AH1042" i="7"/>
  <c r="AG1049" i="7"/>
  <c r="AG1056" i="7"/>
  <c r="AA1462" i="7"/>
  <c r="AA14" i="2" s="1"/>
  <c r="AA19" i="6" s="1"/>
  <c r="AG1047" i="7"/>
  <c r="AG1054" i="7"/>
  <c r="AG1061" i="7"/>
  <c r="AG1069" i="7" s="1"/>
  <c r="AG1077" i="7" s="1"/>
  <c r="AH1040" i="7"/>
  <c r="AH1038" i="7"/>
  <c r="AG1045" i="7"/>
  <c r="AG1052" i="7"/>
  <c r="AG1059" i="7"/>
  <c r="AE177" i="33"/>
  <c r="AE169" i="34"/>
  <c r="AG1066" i="7"/>
  <c r="AG1074" i="7" s="1"/>
  <c r="AG1070" i="7"/>
  <c r="AG1078" i="7" s="1"/>
  <c r="AG1068" i="7"/>
  <c r="AG1076" i="7" s="1"/>
  <c r="AH1058" i="7"/>
  <c r="AH1051" i="7"/>
  <c r="AH1044" i="7"/>
  <c r="AC1190" i="7"/>
  <c r="AC1181" i="7"/>
  <c r="AC138" i="34"/>
  <c r="AH1062" i="7"/>
  <c r="AH1055" i="7"/>
  <c r="AH1048" i="7"/>
  <c r="AB149" i="2"/>
  <c r="AB154" i="6" s="1"/>
  <c r="AB372" i="26"/>
  <c r="AB1191" i="7"/>
  <c r="AB1463" i="7" s="1"/>
  <c r="AB1470" i="7" s="1"/>
  <c r="AB1192" i="7"/>
  <c r="AB1193" i="7"/>
  <c r="AH1060" i="7"/>
  <c r="AH1053" i="7"/>
  <c r="AH1046" i="7"/>
  <c r="Z19" i="6"/>
  <c r="AF218" i="34" l="1"/>
  <c r="AF218" i="10"/>
  <c r="AE168" i="34"/>
  <c r="AD138" i="10"/>
  <c r="AF1072" i="7"/>
  <c r="AG1120" i="7"/>
  <c r="AF1121" i="7"/>
  <c r="AF190" i="32" s="1"/>
  <c r="AH152" i="34"/>
  <c r="AE14" i="5"/>
  <c r="AE17" i="5" s="1"/>
  <c r="AE138" i="10" s="1"/>
  <c r="AE144" i="5"/>
  <c r="AE147" i="5" s="1"/>
  <c r="AA1464" i="7"/>
  <c r="AF1100" i="7"/>
  <c r="AG1064" i="7"/>
  <c r="AG221" i="10"/>
  <c r="AG218" i="10" s="1"/>
  <c r="AG1119" i="7"/>
  <c r="AF148" i="34"/>
  <c r="AF147" i="10" s="1"/>
  <c r="AG145" i="34"/>
  <c r="AG144" i="10" s="1"/>
  <c r="AG221" i="34"/>
  <c r="AG218" i="34" s="1"/>
  <c r="AH1052" i="7"/>
  <c r="AH1045" i="7"/>
  <c r="AH1059" i="7"/>
  <c r="AH1067" i="7" s="1"/>
  <c r="AH1075" i="7" s="1"/>
  <c r="AB1462" i="7"/>
  <c r="AB14" i="2" s="1"/>
  <c r="AB19" i="6" s="1"/>
  <c r="AF1102" i="7"/>
  <c r="AF1105" i="7" s="1"/>
  <c r="AH1099" i="7"/>
  <c r="AH1104" i="7" s="1"/>
  <c r="AH1091" i="7"/>
  <c r="AH153" i="34"/>
  <c r="AH1085" i="7"/>
  <c r="AG1071" i="7"/>
  <c r="AG1079" i="7" s="1"/>
  <c r="AG1127" i="7"/>
  <c r="AG1129" i="7" s="1"/>
  <c r="AG1097" i="7"/>
  <c r="AG1100" i="7" s="1"/>
  <c r="AG1094" i="7"/>
  <c r="AG146" i="34"/>
  <c r="AG145" i="10" s="1"/>
  <c r="AG1067" i="7"/>
  <c r="AG1075" i="7" s="1"/>
  <c r="AH1047" i="7"/>
  <c r="AH1054" i="7"/>
  <c r="AH1061" i="7"/>
  <c r="AH1049" i="7"/>
  <c r="AH1063" i="7"/>
  <c r="AH1056" i="7"/>
  <c r="AF169" i="34"/>
  <c r="AF177" i="33"/>
  <c r="AD1190" i="7"/>
  <c r="AD1181" i="7"/>
  <c r="AD138" i="34"/>
  <c r="AH1070" i="7"/>
  <c r="AH1078" i="7" s="1"/>
  <c r="AC149" i="2"/>
  <c r="AC154" i="6" s="1"/>
  <c r="AC372" i="26"/>
  <c r="AC1193" i="7"/>
  <c r="AC1191" i="7"/>
  <c r="AC1463" i="7" s="1"/>
  <c r="AC1470" i="7" s="1"/>
  <c r="AC1192" i="7"/>
  <c r="AH1066" i="7"/>
  <c r="AH1068" i="7"/>
  <c r="AH1076" i="7" s="1"/>
  <c r="AG232" i="10" l="1"/>
  <c r="AF168" i="34"/>
  <c r="AF14" i="5"/>
  <c r="AF17" i="5" s="1"/>
  <c r="AF1448" i="7" s="1"/>
  <c r="AF144" i="5"/>
  <c r="AF147" i="5" s="1"/>
  <c r="AG1121" i="7"/>
  <c r="AG190" i="32" s="1"/>
  <c r="AH156" i="34"/>
  <c r="AH151" i="10"/>
  <c r="AH154" i="34"/>
  <c r="AH221" i="34"/>
  <c r="AH232" i="34" s="1"/>
  <c r="AG1072" i="7"/>
  <c r="AE1448" i="7"/>
  <c r="AB1464" i="7"/>
  <c r="AG232" i="34"/>
  <c r="AH145" i="34"/>
  <c r="AH144" i="10" s="1"/>
  <c r="AH1119" i="7"/>
  <c r="AH1064" i="7"/>
  <c r="AH1120" i="7"/>
  <c r="AG148" i="34"/>
  <c r="AG147" i="10" s="1"/>
  <c r="AG1080" i="7"/>
  <c r="AH155" i="34"/>
  <c r="AD37" i="34" s="1"/>
  <c r="AH152" i="10"/>
  <c r="AH1071" i="7"/>
  <c r="AH1079" i="7" s="1"/>
  <c r="AG169" i="34"/>
  <c r="AG177" i="33"/>
  <c r="AH1069" i="7"/>
  <c r="AH1077" i="7" s="1"/>
  <c r="AH1094" i="7"/>
  <c r="AH1127" i="7"/>
  <c r="AH1129" i="7" s="1"/>
  <c r="AH146" i="34"/>
  <c r="AH145" i="10" s="1"/>
  <c r="AH1097" i="7"/>
  <c r="AH1100" i="7" s="1"/>
  <c r="AH1095" i="7"/>
  <c r="AG1102" i="7"/>
  <c r="AG1105" i="7" s="1"/>
  <c r="AD149" i="2"/>
  <c r="AD154" i="6" s="1"/>
  <c r="AD372" i="26"/>
  <c r="AD1192" i="7"/>
  <c r="AD1191" i="7"/>
  <c r="AD1463" i="7" s="1"/>
  <c r="AD1470" i="7" s="1"/>
  <c r="AD1193" i="7"/>
  <c r="AE1190" i="7"/>
  <c r="AE1181" i="7"/>
  <c r="AE138" i="34"/>
  <c r="AH1074" i="7"/>
  <c r="AC1462" i="7"/>
  <c r="AH218" i="34" l="1"/>
  <c r="AF138" i="10"/>
  <c r="AH221" i="10"/>
  <c r="AH218" i="10" s="1"/>
  <c r="AG144" i="5"/>
  <c r="AG147" i="5" s="1"/>
  <c r="AG14" i="5"/>
  <c r="AG17" i="5" s="1"/>
  <c r="AG138" i="10" s="1"/>
  <c r="AG168" i="34"/>
  <c r="AH153" i="10"/>
  <c r="K42" i="35" s="1"/>
  <c r="O58" i="35" s="1"/>
  <c r="AH1121" i="7"/>
  <c r="AH190" i="32" s="1"/>
  <c r="AH1072" i="7"/>
  <c r="AH147" i="34"/>
  <c r="K50" i="38" s="1"/>
  <c r="O66" i="38" s="1"/>
  <c r="AH148" i="34"/>
  <c r="AH147" i="10" s="1"/>
  <c r="AH1080" i="7"/>
  <c r="AH1102" i="7"/>
  <c r="AH1105" i="7" s="1"/>
  <c r="AH177" i="33"/>
  <c r="AH169" i="34"/>
  <c r="AE149" i="2"/>
  <c r="AE154" i="6" s="1"/>
  <c r="AE372" i="26"/>
  <c r="AE1192" i="7"/>
  <c r="AE1193" i="7"/>
  <c r="AE1191" i="7"/>
  <c r="AE1463" i="7" s="1"/>
  <c r="AE1470" i="7" s="1"/>
  <c r="AC14" i="2"/>
  <c r="AC19" i="6" s="1"/>
  <c r="AC1464" i="7"/>
  <c r="AF1190" i="7"/>
  <c r="AF1181" i="7"/>
  <c r="AF138" i="34"/>
  <c r="AD1462" i="7"/>
  <c r="AH144" i="5" l="1"/>
  <c r="AH147" i="5" s="1"/>
  <c r="F11" i="35"/>
  <c r="G25" i="17" s="1"/>
  <c r="D615" i="7" s="1"/>
  <c r="AH232" i="10"/>
  <c r="AD21" i="10"/>
  <c r="AG1448" i="7"/>
  <c r="AH146" i="10"/>
  <c r="I21" i="10" s="1"/>
  <c r="F11" i="38"/>
  <c r="G26" i="31" s="1"/>
  <c r="I21" i="34"/>
  <c r="AH168" i="34"/>
  <c r="AH14" i="5"/>
  <c r="AH17" i="5" s="1"/>
  <c r="AH1448" i="7" s="1"/>
  <c r="AD14" i="2"/>
  <c r="AD19" i="6" s="1"/>
  <c r="AD1464" i="7"/>
  <c r="AG1190" i="7"/>
  <c r="AG1181" i="7"/>
  <c r="AG138" i="34"/>
  <c r="AF149" i="2"/>
  <c r="AF154" i="6" s="1"/>
  <c r="AF372" i="26"/>
  <c r="AF1192" i="7"/>
  <c r="AF1191" i="7"/>
  <c r="AF1463" i="7" s="1"/>
  <c r="AF1470" i="7" s="1"/>
  <c r="AF1193" i="7"/>
  <c r="AE1462" i="7"/>
  <c r="G26" i="17" l="1"/>
  <c r="G25" i="31"/>
  <c r="D1033" i="7" s="1"/>
  <c r="F1039" i="7" s="1"/>
  <c r="F1053" i="7" s="1"/>
  <c r="F1120" i="7" s="1"/>
  <c r="AH138" i="10"/>
  <c r="AH1190" i="7"/>
  <c r="AH1181" i="7"/>
  <c r="AH138" i="34"/>
  <c r="AF1462" i="7"/>
  <c r="AG149" i="2"/>
  <c r="AG154" i="6" s="1"/>
  <c r="AG372" i="26"/>
  <c r="AG1192" i="7"/>
  <c r="AG1193" i="7"/>
  <c r="AG1191" i="7"/>
  <c r="AG1463" i="7" s="1"/>
  <c r="AG1470" i="7" s="1"/>
  <c r="AE14" i="2"/>
  <c r="AE19" i="6" s="1"/>
  <c r="AE1464" i="7"/>
  <c r="F1060" i="7" l="1"/>
  <c r="F145" i="34" s="1"/>
  <c r="F152" i="34"/>
  <c r="F151" i="10" s="1"/>
  <c r="F221" i="10" s="1"/>
  <c r="F1046" i="7"/>
  <c r="AH149" i="2"/>
  <c r="AH154" i="6" s="1"/>
  <c r="AH372" i="26"/>
  <c r="AH1191" i="7"/>
  <c r="AH1463" i="7" s="1"/>
  <c r="AH1470" i="7" s="1"/>
  <c r="AH1192" i="7"/>
  <c r="AH1193" i="7"/>
  <c r="AF14" i="2"/>
  <c r="AF19" i="6" s="1"/>
  <c r="AF1464" i="7"/>
  <c r="AG1462" i="7"/>
  <c r="F1119" i="7" l="1"/>
  <c r="F1121" i="7" s="1"/>
  <c r="F190" i="32" s="1"/>
  <c r="F221" i="34"/>
  <c r="F218" i="34" s="1"/>
  <c r="O67" i="38" s="1"/>
  <c r="F1068" i="7"/>
  <c r="F1072" i="7" s="1"/>
  <c r="F1151" i="7" s="1"/>
  <c r="F1064" i="7"/>
  <c r="F1149" i="7" s="1"/>
  <c r="F1409" i="7" s="1"/>
  <c r="F22" i="5" s="1"/>
  <c r="F144" i="10"/>
  <c r="F148" i="34"/>
  <c r="F232" i="10"/>
  <c r="O60" i="35" s="1"/>
  <c r="F218" i="10"/>
  <c r="O59" i="35" s="1"/>
  <c r="AG14" i="2"/>
  <c r="AG19" i="6" s="1"/>
  <c r="AG1464" i="7"/>
  <c r="AH1462" i="7"/>
  <c r="F1076" i="7" l="1"/>
  <c r="F1080" i="7" s="1"/>
  <c r="F1153" i="7" s="1"/>
  <c r="F153" i="5" s="1"/>
  <c r="G1149" i="7"/>
  <c r="G294" i="26" s="1"/>
  <c r="F151" i="5"/>
  <c r="F294" i="26"/>
  <c r="F232" i="34"/>
  <c r="O68" i="38" s="1"/>
  <c r="F144" i="5"/>
  <c r="F168" i="34"/>
  <c r="F14" i="5"/>
  <c r="F17" i="5" s="1"/>
  <c r="F147" i="10"/>
  <c r="F9" i="35"/>
  <c r="F9" i="38"/>
  <c r="F1194" i="7"/>
  <c r="G1151" i="7"/>
  <c r="F295" i="26"/>
  <c r="F152" i="5"/>
  <c r="F1411" i="7"/>
  <c r="F23" i="5" s="1"/>
  <c r="AH14" i="2"/>
  <c r="AH19" i="6" s="1"/>
  <c r="AH1464" i="7"/>
  <c r="F296" i="26" l="1"/>
  <c r="F1413" i="7"/>
  <c r="F24" i="5" s="1"/>
  <c r="F27" i="5" s="1"/>
  <c r="F213" i="10" s="1"/>
  <c r="G1153" i="7"/>
  <c r="G153" i="5" s="1"/>
  <c r="F1196" i="7"/>
  <c r="F162" i="2" s="1"/>
  <c r="G1409" i="7"/>
  <c r="G22" i="5" s="1"/>
  <c r="G151" i="5"/>
  <c r="H1149" i="7"/>
  <c r="I1149" i="7" s="1"/>
  <c r="F156" i="5"/>
  <c r="F139" i="34" s="1"/>
  <c r="G295" i="26"/>
  <c r="G1411" i="7"/>
  <c r="G23" i="5" s="1"/>
  <c r="G152" i="5"/>
  <c r="H1151" i="7"/>
  <c r="J170" i="34"/>
  <c r="T170" i="34"/>
  <c r="AC170" i="34"/>
  <c r="G170" i="34"/>
  <c r="H170" i="34"/>
  <c r="AB170" i="34"/>
  <c r="R170" i="34"/>
  <c r="AE170" i="34"/>
  <c r="O170" i="34"/>
  <c r="AF170" i="34"/>
  <c r="K170" i="34"/>
  <c r="F170" i="34"/>
  <c r="S170" i="34"/>
  <c r="Y170" i="34"/>
  <c r="W170" i="34"/>
  <c r="AH170" i="34"/>
  <c r="P170" i="34"/>
  <c r="V170" i="34"/>
  <c r="U170" i="34"/>
  <c r="X170" i="34"/>
  <c r="M170" i="34"/>
  <c r="AA170" i="34"/>
  <c r="L170" i="34"/>
  <c r="Q170" i="34"/>
  <c r="AG170" i="34"/>
  <c r="E170" i="34"/>
  <c r="I170" i="34"/>
  <c r="Z170" i="34"/>
  <c r="N170" i="34"/>
  <c r="AD170" i="34"/>
  <c r="F150" i="2"/>
  <c r="F155" i="6" s="1"/>
  <c r="F373" i="26"/>
  <c r="F1465" i="7"/>
  <c r="F147" i="5"/>
  <c r="F138" i="10"/>
  <c r="F1448" i="7"/>
  <c r="G1194" i="7"/>
  <c r="F375" i="26" l="1"/>
  <c r="G1413" i="7"/>
  <c r="G24" i="5" s="1"/>
  <c r="G27" i="5" s="1"/>
  <c r="H1153" i="7"/>
  <c r="H1196" i="7" s="1"/>
  <c r="H162" i="2" s="1"/>
  <c r="G1196" i="7"/>
  <c r="G162" i="2" s="1"/>
  <c r="G296" i="26"/>
  <c r="H1409" i="7"/>
  <c r="H22" i="5" s="1"/>
  <c r="H294" i="26"/>
  <c r="H151" i="5"/>
  <c r="H1194" i="7"/>
  <c r="H373" i="26" s="1"/>
  <c r="G156" i="5"/>
  <c r="G214" i="34" s="1"/>
  <c r="F214" i="10"/>
  <c r="F139" i="10"/>
  <c r="F140" i="10" s="1"/>
  <c r="G373" i="26"/>
  <c r="G1465" i="7"/>
  <c r="G150" i="2"/>
  <c r="G155" i="6" s="1"/>
  <c r="F161" i="5"/>
  <c r="F165" i="5" s="1"/>
  <c r="F168" i="5" s="1"/>
  <c r="F170" i="5" s="1"/>
  <c r="F1190" i="7"/>
  <c r="F1181" i="7"/>
  <c r="F138" i="34"/>
  <c r="F140" i="34" s="1"/>
  <c r="F214" i="34"/>
  <c r="I1409" i="7"/>
  <c r="I22" i="5" s="1"/>
  <c r="I294" i="26"/>
  <c r="I151" i="5"/>
  <c r="J1149" i="7"/>
  <c r="F157" i="6"/>
  <c r="F165" i="2"/>
  <c r="F15" i="2"/>
  <c r="F20" i="6" s="1"/>
  <c r="F1466" i="7"/>
  <c r="H295" i="26"/>
  <c r="H152" i="5"/>
  <c r="H1411" i="7"/>
  <c r="H23" i="5" s="1"/>
  <c r="I1151" i="7"/>
  <c r="I1194" i="7" s="1"/>
  <c r="F213" i="34"/>
  <c r="G1469" i="7" l="1"/>
  <c r="G1471" i="7" s="1"/>
  <c r="H1465" i="7"/>
  <c r="H1466" i="7" s="1"/>
  <c r="G375" i="26"/>
  <c r="H1413" i="7"/>
  <c r="H24" i="5" s="1"/>
  <c r="H27" i="5" s="1"/>
  <c r="H296" i="26"/>
  <c r="I1153" i="7"/>
  <c r="I1413" i="7" s="1"/>
  <c r="I24" i="5" s="1"/>
  <c r="H153" i="5"/>
  <c r="H156" i="5" s="1"/>
  <c r="H213" i="34" s="1"/>
  <c r="H150" i="2"/>
  <c r="H155" i="6" s="1"/>
  <c r="G139" i="34"/>
  <c r="G140" i="34" s="1"/>
  <c r="G161" i="5"/>
  <c r="G165" i="5" s="1"/>
  <c r="H1469" i="7"/>
  <c r="G213" i="34"/>
  <c r="H375" i="26"/>
  <c r="I373" i="26"/>
  <c r="I1465" i="7"/>
  <c r="I150" i="2"/>
  <c r="F149" i="2"/>
  <c r="F372" i="26"/>
  <c r="F1192" i="7"/>
  <c r="F1191" i="7"/>
  <c r="F1463" i="7" s="1"/>
  <c r="F1470" i="7" s="1"/>
  <c r="F1469" i="7" s="1"/>
  <c r="F1193" i="7"/>
  <c r="G213" i="10"/>
  <c r="G214" i="10"/>
  <c r="G139" i="10"/>
  <c r="G140" i="10" s="1"/>
  <c r="H157" i="6"/>
  <c r="H165" i="2"/>
  <c r="G165" i="2"/>
  <c r="G157" i="6"/>
  <c r="I295" i="26"/>
  <c r="I152" i="5"/>
  <c r="I1411" i="7"/>
  <c r="I23" i="5" s="1"/>
  <c r="J1151" i="7"/>
  <c r="J1194" i="7" s="1"/>
  <c r="J151" i="5"/>
  <c r="K1149" i="7"/>
  <c r="J1409" i="7"/>
  <c r="J22" i="5" s="1"/>
  <c r="J294" i="26"/>
  <c r="F1201" i="7"/>
  <c r="F170" i="2"/>
  <c r="F203" i="34"/>
  <c r="F147" i="6"/>
  <c r="F1180" i="7"/>
  <c r="F1182" i="7" s="1"/>
  <c r="G1466" i="7"/>
  <c r="G15" i="2"/>
  <c r="G20" i="6" s="1"/>
  <c r="G27" i="2" l="1"/>
  <c r="H15" i="2"/>
  <c r="H20" i="6" s="1"/>
  <c r="I153" i="5"/>
  <c r="I156" i="5" s="1"/>
  <c r="I296" i="26"/>
  <c r="I1196" i="7"/>
  <c r="I162" i="2" s="1"/>
  <c r="J1153" i="7"/>
  <c r="J296" i="26" s="1"/>
  <c r="I155" i="6"/>
  <c r="H1471" i="7"/>
  <c r="H27" i="2"/>
  <c r="H159" i="6"/>
  <c r="H139" i="34"/>
  <c r="H140" i="34" s="1"/>
  <c r="H161" i="5"/>
  <c r="H165" i="5" s="1"/>
  <c r="H214" i="34"/>
  <c r="F1462" i="7"/>
  <c r="F1464" i="7" s="1"/>
  <c r="M7" i="35" s="1"/>
  <c r="I27" i="5"/>
  <c r="I213" i="10" s="1"/>
  <c r="J1465" i="7"/>
  <c r="J150" i="2"/>
  <c r="J155" i="6" s="1"/>
  <c r="J373" i="26"/>
  <c r="J1411" i="7"/>
  <c r="J23" i="5" s="1"/>
  <c r="J152" i="5"/>
  <c r="J295" i="26"/>
  <c r="K1151" i="7"/>
  <c r="I1466" i="7"/>
  <c r="I15" i="2"/>
  <c r="H139" i="10"/>
  <c r="H140" i="10" s="1"/>
  <c r="H214" i="10"/>
  <c r="H213" i="10"/>
  <c r="K294" i="26"/>
  <c r="K151" i="5"/>
  <c r="K1409" i="7"/>
  <c r="K22" i="5" s="1"/>
  <c r="L1149" i="7"/>
  <c r="G203" i="34"/>
  <c r="G1201" i="7"/>
  <c r="G170" i="2"/>
  <c r="H203" i="34"/>
  <c r="H170" i="2"/>
  <c r="H1201" i="7"/>
  <c r="F1471" i="7"/>
  <c r="F27" i="2"/>
  <c r="F154" i="6"/>
  <c r="F159" i="6" s="1"/>
  <c r="F160" i="6" s="1"/>
  <c r="G154" i="6"/>
  <c r="G159" i="6" s="1"/>
  <c r="G22" i="6" l="1"/>
  <c r="I375" i="26"/>
  <c r="H22" i="6"/>
  <c r="I1469" i="7"/>
  <c r="I1471" i="7" s="1"/>
  <c r="J1196" i="7"/>
  <c r="J162" i="2" s="1"/>
  <c r="K1153" i="7"/>
  <c r="K296" i="26" s="1"/>
  <c r="J153" i="5"/>
  <c r="J156" i="5" s="1"/>
  <c r="J1413" i="7"/>
  <c r="J24" i="5" s="1"/>
  <c r="J27" i="5" s="1"/>
  <c r="I20" i="6"/>
  <c r="I139" i="10"/>
  <c r="I140" i="10" s="1"/>
  <c r="F14" i="2"/>
  <c r="F19" i="6" s="1"/>
  <c r="I214" i="10"/>
  <c r="L1409" i="7"/>
  <c r="L22" i="5" s="1"/>
  <c r="L294" i="26"/>
  <c r="L151" i="5"/>
  <c r="M1149" i="7"/>
  <c r="K152" i="5"/>
  <c r="K295" i="26"/>
  <c r="L1151" i="7"/>
  <c r="K1411" i="7"/>
  <c r="K23" i="5" s="1"/>
  <c r="F22" i="6"/>
  <c r="J15" i="2"/>
  <c r="J20" i="6" s="1"/>
  <c r="J1466" i="7"/>
  <c r="F180" i="34"/>
  <c r="F184" i="34" s="1"/>
  <c r="F1170" i="7"/>
  <c r="I157" i="6"/>
  <c r="I159" i="6" s="1"/>
  <c r="I165" i="2"/>
  <c r="I139" i="34"/>
  <c r="I140" i="34" s="1"/>
  <c r="I161" i="5"/>
  <c r="I165" i="5" s="1"/>
  <c r="I214" i="34"/>
  <c r="I213" i="34"/>
  <c r="K1194" i="7"/>
  <c r="I27" i="2" l="1"/>
  <c r="I22" i="6" s="1"/>
  <c r="J1469" i="7"/>
  <c r="J27" i="2" s="1"/>
  <c r="J375" i="26"/>
  <c r="L1153" i="7"/>
  <c r="M1153" i="7" s="1"/>
  <c r="K153" i="5"/>
  <c r="K156" i="5" s="1"/>
  <c r="K1196" i="7"/>
  <c r="K375" i="26" s="1"/>
  <c r="K1413" i="7"/>
  <c r="K24" i="5" s="1"/>
  <c r="K27" i="5" s="1"/>
  <c r="K139" i="10" s="1"/>
  <c r="K140" i="10" s="1"/>
  <c r="G19" i="6"/>
  <c r="M151" i="5"/>
  <c r="M1409" i="7"/>
  <c r="M22" i="5" s="1"/>
  <c r="M294" i="26"/>
  <c r="N1149" i="7"/>
  <c r="K373" i="26"/>
  <c r="K1465" i="7"/>
  <c r="K150" i="2"/>
  <c r="K155" i="6" s="1"/>
  <c r="I170" i="2"/>
  <c r="I203" i="34"/>
  <c r="I1201" i="7"/>
  <c r="F1175" i="7"/>
  <c r="F1172" i="7"/>
  <c r="L1194" i="7"/>
  <c r="J157" i="6"/>
  <c r="J159" i="6" s="1"/>
  <c r="J165" i="2"/>
  <c r="J213" i="10"/>
  <c r="J139" i="10"/>
  <c r="J140" i="10" s="1"/>
  <c r="J214" i="10"/>
  <c r="J161" i="5"/>
  <c r="J165" i="5" s="1"/>
  <c r="J139" i="34"/>
  <c r="J140" i="34" s="1"/>
  <c r="J213" i="34"/>
  <c r="J214" i="34"/>
  <c r="L1411" i="7"/>
  <c r="L23" i="5" s="1"/>
  <c r="L152" i="5"/>
  <c r="L295" i="26"/>
  <c r="M1151" i="7"/>
  <c r="M1194" i="7" s="1"/>
  <c r="L296" i="26" l="1"/>
  <c r="J1471" i="7"/>
  <c r="K162" i="2"/>
  <c r="K157" i="6" s="1"/>
  <c r="K159" i="6" s="1"/>
  <c r="K1469" i="7"/>
  <c r="K1471" i="7" s="1"/>
  <c r="L1413" i="7"/>
  <c r="L24" i="5" s="1"/>
  <c r="L27" i="5" s="1"/>
  <c r="L139" i="10" s="1"/>
  <c r="L140" i="10" s="1"/>
  <c r="L153" i="5"/>
  <c r="L156" i="5" s="1"/>
  <c r="L214" i="34" s="1"/>
  <c r="L1196" i="7"/>
  <c r="L375" i="26" s="1"/>
  <c r="K214" i="10"/>
  <c r="K213" i="10"/>
  <c r="M150" i="2"/>
  <c r="M373" i="26"/>
  <c r="M1465" i="7"/>
  <c r="M1413" i="7"/>
  <c r="M24" i="5" s="1"/>
  <c r="M296" i="26"/>
  <c r="N1153" i="7"/>
  <c r="M153" i="5"/>
  <c r="M1411" i="7"/>
  <c r="M23" i="5" s="1"/>
  <c r="M152" i="5"/>
  <c r="M295" i="26"/>
  <c r="N1151" i="7"/>
  <c r="N1194" i="7" s="1"/>
  <c r="J22" i="6"/>
  <c r="L1465" i="7"/>
  <c r="L373" i="26"/>
  <c r="L150" i="2"/>
  <c r="L155" i="6" s="1"/>
  <c r="N151" i="5"/>
  <c r="O1149" i="7"/>
  <c r="N1409" i="7"/>
  <c r="N22" i="5" s="1"/>
  <c r="N294" i="26"/>
  <c r="K161" i="5"/>
  <c r="K165" i="5" s="1"/>
  <c r="K139" i="34"/>
  <c r="K140" i="34" s="1"/>
  <c r="K214" i="34"/>
  <c r="K213" i="34"/>
  <c r="K15" i="2"/>
  <c r="K20" i="6" s="1"/>
  <c r="K1466" i="7"/>
  <c r="J1201" i="7"/>
  <c r="J203" i="34"/>
  <c r="J170" i="2"/>
  <c r="F197" i="34"/>
  <c r="F1176" i="7"/>
  <c r="F176" i="6" s="1"/>
  <c r="M1196" i="7"/>
  <c r="L1469" i="7" l="1"/>
  <c r="L1471" i="7" s="1"/>
  <c r="K165" i="2"/>
  <c r="K1201" i="7" s="1"/>
  <c r="K27" i="2"/>
  <c r="K22" i="6" s="1"/>
  <c r="L162" i="2"/>
  <c r="L157" i="6" s="1"/>
  <c r="L159" i="6" s="1"/>
  <c r="L161" i="5"/>
  <c r="L165" i="5" s="1"/>
  <c r="L213" i="34"/>
  <c r="L139" i="34"/>
  <c r="L140" i="34" s="1"/>
  <c r="L214" i="10"/>
  <c r="L213" i="10"/>
  <c r="N373" i="26"/>
  <c r="N1465" i="7"/>
  <c r="N150" i="2"/>
  <c r="N155" i="6" s="1"/>
  <c r="M375" i="26"/>
  <c r="M162" i="2"/>
  <c r="M1469" i="7"/>
  <c r="L15" i="2"/>
  <c r="L20" i="6" s="1"/>
  <c r="L1466" i="7"/>
  <c r="M155" i="6"/>
  <c r="N295" i="26"/>
  <c r="N1411" i="7"/>
  <c r="N23" i="5" s="1"/>
  <c r="N152" i="5"/>
  <c r="O1151" i="7"/>
  <c r="O1194" i="7" s="1"/>
  <c r="O1409" i="7"/>
  <c r="O22" i="5" s="1"/>
  <c r="O294" i="26"/>
  <c r="O151" i="5"/>
  <c r="P1149" i="7"/>
  <c r="M1466" i="7"/>
  <c r="M15" i="2"/>
  <c r="N1196" i="7"/>
  <c r="M156" i="5"/>
  <c r="F178" i="6"/>
  <c r="F180" i="6" s="1"/>
  <c r="F189" i="34"/>
  <c r="F1392" i="7"/>
  <c r="F1393" i="7" s="1"/>
  <c r="N1413" i="7"/>
  <c r="N24" i="5" s="1"/>
  <c r="N296" i="26"/>
  <c r="N153" i="5"/>
  <c r="O1153" i="7"/>
  <c r="M27" i="5"/>
  <c r="L27" i="2" l="1"/>
  <c r="L22" i="6" s="1"/>
  <c r="K203" i="34"/>
  <c r="K170" i="2"/>
  <c r="L165" i="2"/>
  <c r="L1201" i="7" s="1"/>
  <c r="M20" i="6"/>
  <c r="N156" i="5"/>
  <c r="N161" i="5" s="1"/>
  <c r="N165" i="5" s="1"/>
  <c r="O153" i="5"/>
  <c r="O1413" i="7"/>
  <c r="O24" i="5" s="1"/>
  <c r="P1153" i="7"/>
  <c r="O296" i="26"/>
  <c r="P151" i="5"/>
  <c r="P1409" i="7"/>
  <c r="P22" i="5" s="1"/>
  <c r="P294" i="26"/>
  <c r="Q1149" i="7"/>
  <c r="G1391" i="7"/>
  <c r="F175" i="2"/>
  <c r="F177" i="2" s="1"/>
  <c r="M213" i="10"/>
  <c r="M214" i="10"/>
  <c r="M139" i="10"/>
  <c r="M140" i="10" s="1"/>
  <c r="M161" i="5"/>
  <c r="M165" i="5" s="1"/>
  <c r="M214" i="34"/>
  <c r="M213" i="34"/>
  <c r="M139" i="34"/>
  <c r="M140" i="34" s="1"/>
  <c r="M165" i="2"/>
  <c r="M157" i="6"/>
  <c r="M159" i="6" s="1"/>
  <c r="N1466" i="7"/>
  <c r="N15" i="2"/>
  <c r="N20" i="6" s="1"/>
  <c r="O1196" i="7"/>
  <c r="N27" i="5"/>
  <c r="F181" i="34"/>
  <c r="F1208" i="7"/>
  <c r="F1209" i="7" s="1"/>
  <c r="N162" i="2"/>
  <c r="N375" i="26"/>
  <c r="N1469" i="7"/>
  <c r="O373" i="26"/>
  <c r="O150" i="2"/>
  <c r="O155" i="6" s="1"/>
  <c r="O1465" i="7"/>
  <c r="O1411" i="7"/>
  <c r="O23" i="5" s="1"/>
  <c r="O295" i="26"/>
  <c r="P1151" i="7"/>
  <c r="O152" i="5"/>
  <c r="M27" i="2"/>
  <c r="M1471" i="7"/>
  <c r="L203" i="34" l="1"/>
  <c r="L170" i="2"/>
  <c r="N139" i="34"/>
  <c r="N140" i="34" s="1"/>
  <c r="P1196" i="7"/>
  <c r="P375" i="26" s="1"/>
  <c r="N213" i="34"/>
  <c r="N214" i="34"/>
  <c r="N213" i="10"/>
  <c r="N214" i="10"/>
  <c r="N139" i="10"/>
  <c r="N140" i="10" s="1"/>
  <c r="O1466" i="7"/>
  <c r="O15" i="2"/>
  <c r="O20" i="6" s="1"/>
  <c r="O375" i="26"/>
  <c r="O162" i="2"/>
  <c r="O1469" i="7"/>
  <c r="M170" i="2"/>
  <c r="M1201" i="7"/>
  <c r="M203" i="34"/>
  <c r="O27" i="5"/>
  <c r="O156" i="5"/>
  <c r="N1471" i="7"/>
  <c r="N27" i="2"/>
  <c r="F1212" i="7"/>
  <c r="F148" i="2"/>
  <c r="G1207" i="7"/>
  <c r="G1210" i="7" s="1"/>
  <c r="G1211" i="7" s="1"/>
  <c r="G167" i="5" s="1"/>
  <c r="P1413" i="7"/>
  <c r="P24" i="5" s="1"/>
  <c r="P153" i="5"/>
  <c r="P296" i="26"/>
  <c r="Q1153" i="7"/>
  <c r="R1149" i="7"/>
  <c r="Q1409" i="7"/>
  <c r="Q22" i="5" s="1"/>
  <c r="Q294" i="26"/>
  <c r="Q151" i="5"/>
  <c r="M22" i="6"/>
  <c r="P152" i="5"/>
  <c r="P295" i="26"/>
  <c r="P1411" i="7"/>
  <c r="P23" i="5" s="1"/>
  <c r="Q1151" i="7"/>
  <c r="Q1194" i="7" s="1"/>
  <c r="N165" i="2"/>
  <c r="N157" i="6"/>
  <c r="N159" i="6" s="1"/>
  <c r="F198" i="34"/>
  <c r="F1183" i="7"/>
  <c r="F1184" i="7" s="1"/>
  <c r="F208" i="34" s="1"/>
  <c r="F178" i="2"/>
  <c r="P1194" i="7"/>
  <c r="P162" i="2" l="1"/>
  <c r="P165" i="2" s="1"/>
  <c r="P1469" i="7"/>
  <c r="P1471" i="7" s="1"/>
  <c r="P156" i="5"/>
  <c r="P213" i="34" s="1"/>
  <c r="Q1196" i="7"/>
  <c r="Q1469" i="7" s="1"/>
  <c r="Q373" i="26"/>
  <c r="Q1465" i="7"/>
  <c r="Q150" i="2"/>
  <c r="G182" i="6"/>
  <c r="F179" i="2"/>
  <c r="F1199" i="7"/>
  <c r="F152" i="2"/>
  <c r="F183" i="6"/>
  <c r="O1471" i="7"/>
  <c r="O27" i="2"/>
  <c r="N1201" i="7"/>
  <c r="N170" i="2"/>
  <c r="N203" i="34"/>
  <c r="O157" i="6"/>
  <c r="O159" i="6" s="1"/>
  <c r="O165" i="2"/>
  <c r="P150" i="2"/>
  <c r="P155" i="6" s="1"/>
  <c r="P373" i="26"/>
  <c r="P1465" i="7"/>
  <c r="Q296" i="26"/>
  <c r="Q1413" i="7"/>
  <c r="Q24" i="5" s="1"/>
  <c r="Q153" i="5"/>
  <c r="R1153" i="7"/>
  <c r="G148" i="6"/>
  <c r="G175" i="6" s="1"/>
  <c r="G168" i="5"/>
  <c r="G170" i="5" s="1"/>
  <c r="O161" i="5"/>
  <c r="O165" i="5" s="1"/>
  <c r="O139" i="34"/>
  <c r="O140" i="34" s="1"/>
  <c r="O213" i="34"/>
  <c r="O214" i="34"/>
  <c r="R151" i="5"/>
  <c r="R294" i="26"/>
  <c r="S1149" i="7"/>
  <c r="R1409" i="7"/>
  <c r="R22" i="5" s="1"/>
  <c r="Q295" i="26"/>
  <c r="Q1411" i="7"/>
  <c r="Q23" i="5" s="1"/>
  <c r="Q152" i="5"/>
  <c r="R1151" i="7"/>
  <c r="N22" i="6"/>
  <c r="O214" i="10"/>
  <c r="O139" i="10"/>
  <c r="O140" i="10" s="1"/>
  <c r="O213" i="10"/>
  <c r="P27" i="5"/>
  <c r="Q162" i="2" l="1"/>
  <c r="Q157" i="6" s="1"/>
  <c r="Q27" i="5"/>
  <c r="Q139" i="10" s="1"/>
  <c r="Q140" i="10" s="1"/>
  <c r="P157" i="6"/>
  <c r="P159" i="6" s="1"/>
  <c r="Q156" i="5"/>
  <c r="Q214" i="34" s="1"/>
  <c r="P27" i="2"/>
  <c r="P22" i="6" s="1"/>
  <c r="P161" i="5"/>
  <c r="P165" i="5" s="1"/>
  <c r="P214" i="34"/>
  <c r="P139" i="34"/>
  <c r="P140" i="34" s="1"/>
  <c r="Q375" i="26"/>
  <c r="R1411" i="7"/>
  <c r="R23" i="5" s="1"/>
  <c r="R295" i="26"/>
  <c r="S1151" i="7"/>
  <c r="S1194" i="7" s="1"/>
  <c r="R152" i="5"/>
  <c r="G188" i="34"/>
  <c r="F1203" i="7"/>
  <c r="F377" i="26"/>
  <c r="Q1471" i="7"/>
  <c r="Q27" i="2"/>
  <c r="R1413" i="7"/>
  <c r="R24" i="5" s="1"/>
  <c r="R296" i="26"/>
  <c r="S1153" i="7"/>
  <c r="R153" i="5"/>
  <c r="P1466" i="7"/>
  <c r="P15" i="2"/>
  <c r="P20" i="6" s="1"/>
  <c r="O170" i="2"/>
  <c r="O203" i="34"/>
  <c r="O1201" i="7"/>
  <c r="R1196" i="7"/>
  <c r="O22" i="6"/>
  <c r="Q1466" i="7"/>
  <c r="Q15" i="2"/>
  <c r="S151" i="5"/>
  <c r="S294" i="26"/>
  <c r="S1409" i="7"/>
  <c r="S22" i="5" s="1"/>
  <c r="T1149" i="7"/>
  <c r="G1180" i="7"/>
  <c r="G1182" i="7" s="1"/>
  <c r="G147" i="6"/>
  <c r="G160" i="6" s="1"/>
  <c r="F202" i="34"/>
  <c r="F204" i="34" s="1"/>
  <c r="F1200" i="7"/>
  <c r="F1202" i="7" s="1"/>
  <c r="F157" i="2"/>
  <c r="R1194" i="7"/>
  <c r="Q155" i="6"/>
  <c r="P139" i="10"/>
  <c r="P140" i="10" s="1"/>
  <c r="P213" i="10"/>
  <c r="P214" i="10"/>
  <c r="P170" i="2"/>
  <c r="P203" i="34"/>
  <c r="P1201" i="7"/>
  <c r="Q165" i="2" l="1"/>
  <c r="Q203" i="34" s="1"/>
  <c r="Q159" i="6"/>
  <c r="Q213" i="34"/>
  <c r="Q161" i="5"/>
  <c r="Q165" i="5" s="1"/>
  <c r="Q20" i="6"/>
  <c r="Q213" i="10"/>
  <c r="Q139" i="34"/>
  <c r="Q140" i="34" s="1"/>
  <c r="Q214" i="10"/>
  <c r="S1196" i="7"/>
  <c r="S1469" i="7" s="1"/>
  <c r="R27" i="5"/>
  <c r="R213" i="10" s="1"/>
  <c r="F1185" i="7"/>
  <c r="F1186" i="7" s="1"/>
  <c r="F209" i="34" s="1"/>
  <c r="G180" i="34"/>
  <c r="G184" i="34" s="1"/>
  <c r="G1170" i="7"/>
  <c r="T294" i="26"/>
  <c r="T151" i="5"/>
  <c r="T1409" i="7"/>
  <c r="T22" i="5" s="1"/>
  <c r="U1149" i="7"/>
  <c r="R373" i="26"/>
  <c r="R1465" i="7"/>
  <c r="R150" i="2"/>
  <c r="R155" i="6" s="1"/>
  <c r="S1465" i="7"/>
  <c r="S150" i="2"/>
  <c r="S373" i="26"/>
  <c r="R162" i="2"/>
  <c r="R375" i="26"/>
  <c r="R1469" i="7"/>
  <c r="Q22" i="6"/>
  <c r="S153" i="5"/>
  <c r="S296" i="26"/>
  <c r="S1413" i="7"/>
  <c r="S24" i="5" s="1"/>
  <c r="T1153" i="7"/>
  <c r="S152" i="5"/>
  <c r="S295" i="26"/>
  <c r="S1411" i="7"/>
  <c r="S23" i="5" s="1"/>
  <c r="T1151" i="7"/>
  <c r="T1194" i="7" s="1"/>
  <c r="R156" i="5"/>
  <c r="Q170" i="2" l="1"/>
  <c r="Q1201" i="7"/>
  <c r="S162" i="2"/>
  <c r="S157" i="6" s="1"/>
  <c r="R139" i="10"/>
  <c r="R140" i="10" s="1"/>
  <c r="S375" i="26"/>
  <c r="S27" i="5"/>
  <c r="S156" i="5"/>
  <c r="S214" i="34" s="1"/>
  <c r="R214" i="10"/>
  <c r="S155" i="6"/>
  <c r="T373" i="26"/>
  <c r="T1465" i="7"/>
  <c r="T150" i="2"/>
  <c r="T155" i="6" s="1"/>
  <c r="S1466" i="7"/>
  <c r="S15" i="2"/>
  <c r="T152" i="5"/>
  <c r="T1411" i="7"/>
  <c r="T23" i="5" s="1"/>
  <c r="T295" i="26"/>
  <c r="U1151" i="7"/>
  <c r="U1194" i="7" s="1"/>
  <c r="R157" i="6"/>
  <c r="R159" i="6" s="1"/>
  <c r="R165" i="2"/>
  <c r="T1196" i="7"/>
  <c r="R139" i="34"/>
  <c r="R140" i="34" s="1"/>
  <c r="R161" i="5"/>
  <c r="R165" i="5" s="1"/>
  <c r="R214" i="34"/>
  <c r="R213" i="34"/>
  <c r="R1466" i="7"/>
  <c r="R15" i="2"/>
  <c r="R20" i="6" s="1"/>
  <c r="T1413" i="7"/>
  <c r="T24" i="5" s="1"/>
  <c r="T296" i="26"/>
  <c r="T153" i="5"/>
  <c r="U1153" i="7"/>
  <c r="S27" i="2"/>
  <c r="S1471" i="7"/>
  <c r="R1471" i="7"/>
  <c r="R27" i="2"/>
  <c r="U294" i="26"/>
  <c r="U151" i="5"/>
  <c r="U1409" i="7"/>
  <c r="U22" i="5" s="1"/>
  <c r="V1149" i="7"/>
  <c r="G1172" i="7"/>
  <c r="G1175" i="7"/>
  <c r="S165" i="2" l="1"/>
  <c r="S170" i="2" s="1"/>
  <c r="U1196" i="7"/>
  <c r="U1469" i="7" s="1"/>
  <c r="S159" i="6"/>
  <c r="S139" i="10"/>
  <c r="S140" i="10" s="1"/>
  <c r="S214" i="10"/>
  <c r="S213" i="10"/>
  <c r="S213" i="34"/>
  <c r="S139" i="34"/>
  <c r="S140" i="34" s="1"/>
  <c r="S161" i="5"/>
  <c r="S165" i="5" s="1"/>
  <c r="S20" i="6"/>
  <c r="T156" i="5"/>
  <c r="T213" i="34" s="1"/>
  <c r="G1176" i="7"/>
  <c r="G176" i="6" s="1"/>
  <c r="G197" i="34"/>
  <c r="T375" i="26"/>
  <c r="T162" i="2"/>
  <c r="T1469" i="7"/>
  <c r="T27" i="5"/>
  <c r="V294" i="26"/>
  <c r="V1409" i="7"/>
  <c r="V22" i="5" s="1"/>
  <c r="W1149" i="7"/>
  <c r="V151" i="5"/>
  <c r="R22" i="6"/>
  <c r="U296" i="26"/>
  <c r="U1413" i="7"/>
  <c r="U24" i="5" s="1"/>
  <c r="U153" i="5"/>
  <c r="V1153" i="7"/>
  <c r="T1466" i="7"/>
  <c r="T15" i="2"/>
  <c r="T20" i="6" s="1"/>
  <c r="U373" i="26"/>
  <c r="U1465" i="7"/>
  <c r="U150" i="2"/>
  <c r="U155" i="6" s="1"/>
  <c r="S22" i="6"/>
  <c r="R170" i="2"/>
  <c r="R203" i="34"/>
  <c r="R1201" i="7"/>
  <c r="U1411" i="7"/>
  <c r="U23" i="5" s="1"/>
  <c r="U152" i="5"/>
  <c r="U295" i="26"/>
  <c r="V1151" i="7"/>
  <c r="S203" i="34" l="1"/>
  <c r="S1201" i="7"/>
  <c r="U375" i="26"/>
  <c r="U162" i="2"/>
  <c r="U157" i="6" s="1"/>
  <c r="U159" i="6" s="1"/>
  <c r="U27" i="5"/>
  <c r="U139" i="10" s="1"/>
  <c r="U140" i="10" s="1"/>
  <c r="U156" i="5"/>
  <c r="U214" i="34" s="1"/>
  <c r="T214" i="34"/>
  <c r="T161" i="5"/>
  <c r="T165" i="5" s="1"/>
  <c r="T139" i="34"/>
  <c r="T140" i="34" s="1"/>
  <c r="V1411" i="7"/>
  <c r="V23" i="5" s="1"/>
  <c r="V295" i="26"/>
  <c r="V152" i="5"/>
  <c r="W1151" i="7"/>
  <c r="W1194" i="7" s="1"/>
  <c r="U1471" i="7"/>
  <c r="U27" i="2"/>
  <c r="T1471" i="7"/>
  <c r="T27" i="2"/>
  <c r="G189" i="34"/>
  <c r="G178" i="6"/>
  <c r="G180" i="6" s="1"/>
  <c r="G1392" i="7"/>
  <c r="G1393" i="7" s="1"/>
  <c r="V1196" i="7"/>
  <c r="V1413" i="7"/>
  <c r="V24" i="5" s="1"/>
  <c r="V153" i="5"/>
  <c r="W1153" i="7"/>
  <c r="V296" i="26"/>
  <c r="T214" i="10"/>
  <c r="T213" i="10"/>
  <c r="T139" i="10"/>
  <c r="T140" i="10" s="1"/>
  <c r="W151" i="5"/>
  <c r="W294" i="26"/>
  <c r="W1409" i="7"/>
  <c r="W22" i="5" s="1"/>
  <c r="X1149" i="7"/>
  <c r="U15" i="2"/>
  <c r="U20" i="6" s="1"/>
  <c r="U1466" i="7"/>
  <c r="T165" i="2"/>
  <c r="T157" i="6"/>
  <c r="T159" i="6" s="1"/>
  <c r="V1194" i="7"/>
  <c r="U139" i="34" l="1"/>
  <c r="U140" i="34" s="1"/>
  <c r="U165" i="2"/>
  <c r="U1201" i="7" s="1"/>
  <c r="V156" i="5"/>
  <c r="V213" i="34" s="1"/>
  <c r="U214" i="10"/>
  <c r="U213" i="10"/>
  <c r="V27" i="5"/>
  <c r="V213" i="10" s="1"/>
  <c r="U161" i="5"/>
  <c r="U165" i="5" s="1"/>
  <c r="U213" i="34"/>
  <c r="V373" i="26"/>
  <c r="V150" i="2"/>
  <c r="V155" i="6" s="1"/>
  <c r="V1465" i="7"/>
  <c r="V162" i="2"/>
  <c r="V375" i="26"/>
  <c r="V1469" i="7"/>
  <c r="X1409" i="7"/>
  <c r="X22" i="5" s="1"/>
  <c r="Y1149" i="7"/>
  <c r="X294" i="26"/>
  <c r="X151" i="5"/>
  <c r="W153" i="5"/>
  <c r="W1413" i="7"/>
  <c r="W24" i="5" s="1"/>
  <c r="W296" i="26"/>
  <c r="X1153" i="7"/>
  <c r="U22" i="6"/>
  <c r="W150" i="2"/>
  <c r="W373" i="26"/>
  <c r="W1465" i="7"/>
  <c r="H1391" i="7"/>
  <c r="G175" i="2"/>
  <c r="G177" i="2" s="1"/>
  <c r="G1208" i="7"/>
  <c r="G1209" i="7" s="1"/>
  <c r="G181" i="34"/>
  <c r="T1201" i="7"/>
  <c r="T203" i="34"/>
  <c r="T170" i="2"/>
  <c r="T22" i="6"/>
  <c r="W1411" i="7"/>
  <c r="W23" i="5" s="1"/>
  <c r="W295" i="26"/>
  <c r="X1151" i="7"/>
  <c r="W152" i="5"/>
  <c r="W1196" i="7"/>
  <c r="V139" i="34" l="1"/>
  <c r="V140" i="34" s="1"/>
  <c r="U170" i="2"/>
  <c r="U203" i="34"/>
  <c r="V214" i="34"/>
  <c r="V161" i="5"/>
  <c r="V165" i="5" s="1"/>
  <c r="V214" i="10"/>
  <c r="W27" i="5"/>
  <c r="V139" i="10"/>
  <c r="V140" i="10" s="1"/>
  <c r="W156" i="5"/>
  <c r="W161" i="5" s="1"/>
  <c r="W165" i="5" s="1"/>
  <c r="X152" i="5"/>
  <c r="X1411" i="7"/>
  <c r="X23" i="5" s="1"/>
  <c r="X295" i="26"/>
  <c r="Y1151" i="7"/>
  <c r="Y1194" i="7" s="1"/>
  <c r="W1466" i="7"/>
  <c r="W15" i="2"/>
  <c r="X1413" i="7"/>
  <c r="X24" i="5" s="1"/>
  <c r="X296" i="26"/>
  <c r="X153" i="5"/>
  <c r="Y1153" i="7"/>
  <c r="V27" i="2"/>
  <c r="V1471" i="7"/>
  <c r="W162" i="2"/>
  <c r="W375" i="26"/>
  <c r="W1469" i="7"/>
  <c r="G1183" i="7"/>
  <c r="G1184" i="7" s="1"/>
  <c r="G208" i="34" s="1"/>
  <c r="G198" i="34"/>
  <c r="G178" i="2"/>
  <c r="V15" i="2"/>
  <c r="V20" i="6" s="1"/>
  <c r="V1466" i="7"/>
  <c r="W155" i="6"/>
  <c r="X1194" i="7"/>
  <c r="G1212" i="7"/>
  <c r="H1207" i="7"/>
  <c r="H1210" i="7" s="1"/>
  <c r="H1211" i="7" s="1"/>
  <c r="H167" i="5" s="1"/>
  <c r="G148" i="2"/>
  <c r="Y1409" i="7"/>
  <c r="Y22" i="5" s="1"/>
  <c r="Y151" i="5"/>
  <c r="Y294" i="26"/>
  <c r="Z1149" i="7"/>
  <c r="V165" i="2"/>
  <c r="V157" i="6"/>
  <c r="V159" i="6" s="1"/>
  <c r="X1196" i="7"/>
  <c r="Y1196" i="7" l="1"/>
  <c r="Y1469" i="7" s="1"/>
  <c r="W139" i="34"/>
  <c r="W140" i="34" s="1"/>
  <c r="W139" i="10"/>
  <c r="W140" i="10" s="1"/>
  <c r="W213" i="10"/>
  <c r="W214" i="10"/>
  <c r="W214" i="34"/>
  <c r="W213" i="34"/>
  <c r="W20" i="6"/>
  <c r="X27" i="5"/>
  <c r="X213" i="10" s="1"/>
  <c r="Y150" i="2"/>
  <c r="Y373" i="26"/>
  <c r="Y1465" i="7"/>
  <c r="G152" i="2"/>
  <c r="G1199" i="7"/>
  <c r="H182" i="6"/>
  <c r="G179" i="2"/>
  <c r="G183" i="6"/>
  <c r="V170" i="2"/>
  <c r="V203" i="34"/>
  <c r="V1201" i="7"/>
  <c r="H148" i="6"/>
  <c r="H175" i="6" s="1"/>
  <c r="H168" i="5"/>
  <c r="H170" i="5" s="1"/>
  <c r="W1471" i="7"/>
  <c r="W27" i="2"/>
  <c r="V22" i="6"/>
  <c r="X156" i="5"/>
  <c r="Z1409" i="7"/>
  <c r="Z22" i="5" s="1"/>
  <c r="AA1149" i="7"/>
  <c r="Z294" i="26"/>
  <c r="Z151" i="5"/>
  <c r="W165" i="2"/>
  <c r="W157" i="6"/>
  <c r="W159" i="6" s="1"/>
  <c r="X162" i="2"/>
  <c r="X375" i="26"/>
  <c r="X1469" i="7"/>
  <c r="X373" i="26"/>
  <c r="X1465" i="7"/>
  <c r="X150" i="2"/>
  <c r="X155" i="6" s="1"/>
  <c r="Y153" i="5"/>
  <c r="Y296" i="26"/>
  <c r="Y1413" i="7"/>
  <c r="Y24" i="5" s="1"/>
  <c r="Z1153" i="7"/>
  <c r="Y152" i="5"/>
  <c r="Y1411" i="7"/>
  <c r="Y23" i="5" s="1"/>
  <c r="Y295" i="26"/>
  <c r="Z1151" i="7"/>
  <c r="Z1194" i="7" s="1"/>
  <c r="Y162" i="2" l="1"/>
  <c r="Y165" i="2" s="1"/>
  <c r="Y375" i="26"/>
  <c r="Y27" i="5"/>
  <c r="Y214" i="10" s="1"/>
  <c r="X214" i="10"/>
  <c r="X139" i="10"/>
  <c r="X140" i="10" s="1"/>
  <c r="Z150" i="2"/>
  <c r="Z155" i="6" s="1"/>
  <c r="Z1465" i="7"/>
  <c r="Z373" i="26"/>
  <c r="X1466" i="7"/>
  <c r="X15" i="2"/>
  <c r="X20" i="6" s="1"/>
  <c r="H1180" i="7"/>
  <c r="H1182" i="7" s="1"/>
  <c r="H147" i="6"/>
  <c r="H160" i="6" s="1"/>
  <c r="G1203" i="7"/>
  <c r="G377" i="26"/>
  <c r="Y155" i="6"/>
  <c r="Z153" i="5"/>
  <c r="Z296" i="26"/>
  <c r="Z1413" i="7"/>
  <c r="Z24" i="5" s="1"/>
  <c r="AA1153" i="7"/>
  <c r="X165" i="2"/>
  <c r="X157" i="6"/>
  <c r="X159" i="6" s="1"/>
  <c r="Y27" i="2"/>
  <c r="Y1471" i="7"/>
  <c r="W22" i="6"/>
  <c r="Y15" i="2"/>
  <c r="Y1466" i="7"/>
  <c r="Y156" i="5"/>
  <c r="Z152" i="5"/>
  <c r="Z1411" i="7"/>
  <c r="Z23" i="5" s="1"/>
  <c r="Z295" i="26"/>
  <c r="AA1151" i="7"/>
  <c r="AA1194" i="7" s="1"/>
  <c r="X139" i="34"/>
  <c r="X140" i="34" s="1"/>
  <c r="X214" i="34"/>
  <c r="X161" i="5"/>
  <c r="X165" i="5" s="1"/>
  <c r="X213" i="34"/>
  <c r="X1471" i="7"/>
  <c r="X27" i="2"/>
  <c r="W203" i="34"/>
  <c r="W1201" i="7"/>
  <c r="W170" i="2"/>
  <c r="AA294" i="26"/>
  <c r="AA1409" i="7"/>
  <c r="AA22" i="5" s="1"/>
  <c r="AA151" i="5"/>
  <c r="AB1149" i="7"/>
  <c r="H188" i="34"/>
  <c r="G202" i="34"/>
  <c r="G204" i="34" s="1"/>
  <c r="G157" i="2"/>
  <c r="G1200" i="7"/>
  <c r="G1202" i="7" s="1"/>
  <c r="Z1196" i="7"/>
  <c r="Y157" i="6" l="1"/>
  <c r="Y159" i="6" s="1"/>
  <c r="Y20" i="6"/>
  <c r="Y213" i="10"/>
  <c r="Y139" i="10"/>
  <c r="Y140" i="10" s="1"/>
  <c r="AA1196" i="7"/>
  <c r="AA375" i="26" s="1"/>
  <c r="AA1465" i="7"/>
  <c r="AA373" i="26"/>
  <c r="AA150" i="2"/>
  <c r="AA155" i="6" s="1"/>
  <c r="Z162" i="2"/>
  <c r="Z375" i="26"/>
  <c r="Z1469" i="7"/>
  <c r="G1185" i="7"/>
  <c r="G1186" i="7" s="1"/>
  <c r="G209" i="34" s="1"/>
  <c r="X22" i="6"/>
  <c r="Y22" i="6"/>
  <c r="X170" i="2"/>
  <c r="X1201" i="7"/>
  <c r="X203" i="34"/>
  <c r="Z156" i="5"/>
  <c r="Z1466" i="7"/>
  <c r="Z15" i="2"/>
  <c r="Z20" i="6" s="1"/>
  <c r="AA1411" i="7"/>
  <c r="AA23" i="5" s="1"/>
  <c r="AA152" i="5"/>
  <c r="AA295" i="26"/>
  <c r="AB1151" i="7"/>
  <c r="AB1194" i="7" s="1"/>
  <c r="Y139" i="34"/>
  <c r="Y140" i="34" s="1"/>
  <c r="Y161" i="5"/>
  <c r="Y165" i="5" s="1"/>
  <c r="Y213" i="34"/>
  <c r="Y214" i="34"/>
  <c r="H180" i="34"/>
  <c r="H184" i="34" s="1"/>
  <c r="H1170" i="7"/>
  <c r="Z27" i="5"/>
  <c r="Y1201" i="7"/>
  <c r="Y203" i="34"/>
  <c r="Y170" i="2"/>
  <c r="AB151" i="5"/>
  <c r="AB294" i="26"/>
  <c r="AB1409" i="7"/>
  <c r="AB22" i="5" s="1"/>
  <c r="AC1149" i="7"/>
  <c r="AA1413" i="7"/>
  <c r="AA24" i="5" s="1"/>
  <c r="AA296" i="26"/>
  <c r="AA153" i="5"/>
  <c r="AB1153" i="7"/>
  <c r="AA1469" i="7" l="1"/>
  <c r="AA27" i="2" s="1"/>
  <c r="AA162" i="2"/>
  <c r="AA157" i="6" s="1"/>
  <c r="AA159" i="6" s="1"/>
  <c r="AA27" i="5"/>
  <c r="AA139" i="10" s="1"/>
  <c r="AA140" i="10" s="1"/>
  <c r="AA156" i="5"/>
  <c r="AA139" i="34" s="1"/>
  <c r="AA140" i="34" s="1"/>
  <c r="AB150" i="2"/>
  <c r="AB155" i="6" s="1"/>
  <c r="AB373" i="26"/>
  <c r="AB1465" i="7"/>
  <c r="H1175" i="7"/>
  <c r="H1172" i="7"/>
  <c r="AA15" i="2"/>
  <c r="AA20" i="6" s="1"/>
  <c r="AA1466" i="7"/>
  <c r="Z214" i="10"/>
  <c r="Z213" i="10"/>
  <c r="Z139" i="10"/>
  <c r="Z140" i="10" s="1"/>
  <c r="AB152" i="5"/>
  <c r="AB1411" i="7"/>
  <c r="AB23" i="5" s="1"/>
  <c r="AC1151" i="7"/>
  <c r="AB295" i="26"/>
  <c r="Z1471" i="7"/>
  <c r="Z27" i="2"/>
  <c r="AC1409" i="7"/>
  <c r="AC22" i="5" s="1"/>
  <c r="AC151" i="5"/>
  <c r="AD1149" i="7"/>
  <c r="AC294" i="26"/>
  <c r="AB153" i="5"/>
  <c r="AB296" i="26"/>
  <c r="AB1413" i="7"/>
  <c r="AB24" i="5" s="1"/>
  <c r="AC1153" i="7"/>
  <c r="Z139" i="34"/>
  <c r="Z140" i="34" s="1"/>
  <c r="Z214" i="34"/>
  <c r="Z213" i="34"/>
  <c r="Z161" i="5"/>
  <c r="Z165" i="5" s="1"/>
  <c r="Z165" i="2"/>
  <c r="Z157" i="6"/>
  <c r="Z159" i="6" s="1"/>
  <c r="AB1196" i="7"/>
  <c r="AA161" i="5" l="1"/>
  <c r="AA165" i="5" s="1"/>
  <c r="AA1471" i="7"/>
  <c r="AA165" i="2"/>
  <c r="AA1201" i="7" s="1"/>
  <c r="AA213" i="10"/>
  <c r="AA214" i="10"/>
  <c r="AA213" i="34"/>
  <c r="AA214" i="34"/>
  <c r="AB27" i="5"/>
  <c r="AB139" i="10" s="1"/>
  <c r="AB140" i="10" s="1"/>
  <c r="AC296" i="26"/>
  <c r="AC1413" i="7"/>
  <c r="AC24" i="5" s="1"/>
  <c r="AC153" i="5"/>
  <c r="AD1153" i="7"/>
  <c r="H1176" i="7"/>
  <c r="H176" i="6" s="1"/>
  <c r="H197" i="34"/>
  <c r="AC1196" i="7"/>
  <c r="AB156" i="5"/>
  <c r="AD1409" i="7"/>
  <c r="AD22" i="5" s="1"/>
  <c r="AD151" i="5"/>
  <c r="AD294" i="26"/>
  <c r="AE1149" i="7"/>
  <c r="AA22" i="6"/>
  <c r="AC152" i="5"/>
  <c r="AC1411" i="7"/>
  <c r="AC23" i="5" s="1"/>
  <c r="AC295" i="26"/>
  <c r="AD1151" i="7"/>
  <c r="AB15" i="2"/>
  <c r="AB20" i="6" s="1"/>
  <c r="AB1466" i="7"/>
  <c r="AB162" i="2"/>
  <c r="AB375" i="26"/>
  <c r="AB1469" i="7"/>
  <c r="Z22" i="6"/>
  <c r="Z170" i="2"/>
  <c r="Z1201" i="7"/>
  <c r="Z203" i="34"/>
  <c r="AC1194" i="7"/>
  <c r="AA170" i="2" l="1"/>
  <c r="AA203" i="34"/>
  <c r="AD1196" i="7"/>
  <c r="AD1469" i="7" s="1"/>
  <c r="AB214" i="10"/>
  <c r="AD1194" i="7"/>
  <c r="AD1465" i="7" s="1"/>
  <c r="AB213" i="10"/>
  <c r="AC1465" i="7"/>
  <c r="AC373" i="26"/>
  <c r="AC150" i="2"/>
  <c r="AC155" i="6" s="1"/>
  <c r="AB1471" i="7"/>
  <c r="AB27" i="2"/>
  <c r="AE151" i="5"/>
  <c r="AE294" i="26"/>
  <c r="AE1409" i="7"/>
  <c r="AE22" i="5" s="1"/>
  <c r="AF1149" i="7"/>
  <c r="H189" i="34"/>
  <c r="H1392" i="7"/>
  <c r="H1393" i="7" s="1"/>
  <c r="H178" i="6"/>
  <c r="H180" i="6" s="1"/>
  <c r="AB157" i="6"/>
  <c r="AB159" i="6" s="1"/>
  <c r="AB165" i="2"/>
  <c r="AC162" i="2"/>
  <c r="AC375" i="26"/>
  <c r="AC1469" i="7"/>
  <c r="AC27" i="5"/>
  <c r="AC156" i="5"/>
  <c r="AD152" i="5"/>
  <c r="AD295" i="26"/>
  <c r="AD1411" i="7"/>
  <c r="AD23" i="5" s="1"/>
  <c r="AE1151" i="7"/>
  <c r="AE1194" i="7" s="1"/>
  <c r="AB139" i="34"/>
  <c r="AB140" i="34" s="1"/>
  <c r="AB161" i="5"/>
  <c r="AB165" i="5" s="1"/>
  <c r="AB213" i="34"/>
  <c r="AB214" i="34"/>
  <c r="AE1153" i="7"/>
  <c r="AD1413" i="7"/>
  <c r="AD24" i="5" s="1"/>
  <c r="AD153" i="5"/>
  <c r="AD296" i="26"/>
  <c r="AD150" i="2" l="1"/>
  <c r="AD155" i="6" s="1"/>
  <c r="AD375" i="26"/>
  <c r="AD162" i="2"/>
  <c r="AD157" i="6" s="1"/>
  <c r="AD156" i="5"/>
  <c r="AD161" i="5" s="1"/>
  <c r="AD165" i="5" s="1"/>
  <c r="AD373" i="26"/>
  <c r="AD27" i="5"/>
  <c r="AD139" i="10" s="1"/>
  <c r="AD140" i="10" s="1"/>
  <c r="AE373" i="26"/>
  <c r="AE150" i="2"/>
  <c r="AE1465" i="7"/>
  <c r="AC1471" i="7"/>
  <c r="AC27" i="2"/>
  <c r="AE1196" i="7"/>
  <c r="AF1153" i="7"/>
  <c r="AE1413" i="7"/>
  <c r="AE24" i="5" s="1"/>
  <c r="AE153" i="5"/>
  <c r="AE296" i="26"/>
  <c r="AB170" i="2"/>
  <c r="AB203" i="34"/>
  <c r="AB1201" i="7"/>
  <c r="AD1466" i="7"/>
  <c r="AD15" i="2"/>
  <c r="I1391" i="7"/>
  <c r="H175" i="2"/>
  <c r="H177" i="2" s="1"/>
  <c r="AF294" i="26"/>
  <c r="AF1409" i="7"/>
  <c r="AF22" i="5" s="1"/>
  <c r="AF151" i="5"/>
  <c r="AG1149" i="7"/>
  <c r="AC1466" i="7"/>
  <c r="AC15" i="2"/>
  <c r="AC20" i="6" s="1"/>
  <c r="AC213" i="10"/>
  <c r="AC139" i="10"/>
  <c r="AC140" i="10" s="1"/>
  <c r="AC214" i="10"/>
  <c r="AD1471" i="7"/>
  <c r="AD27" i="2"/>
  <c r="H181" i="34"/>
  <c r="H1208" i="7"/>
  <c r="H1209" i="7" s="1"/>
  <c r="AB22" i="6"/>
  <c r="AF1151" i="7"/>
  <c r="AF1194" i="7" s="1"/>
  <c r="AE295" i="26"/>
  <c r="AE152" i="5"/>
  <c r="AE1411" i="7"/>
  <c r="AE23" i="5" s="1"/>
  <c r="AC139" i="34"/>
  <c r="AC140" i="34" s="1"/>
  <c r="AC213" i="34"/>
  <c r="AC214" i="34"/>
  <c r="AC161" i="5"/>
  <c r="AC165" i="5" s="1"/>
  <c r="AC165" i="2"/>
  <c r="AC157" i="6"/>
  <c r="AC159" i="6" s="1"/>
  <c r="AD213" i="34" l="1"/>
  <c r="AE155" i="6"/>
  <c r="AD214" i="34"/>
  <c r="AD159" i="6"/>
  <c r="AD165" i="2"/>
  <c r="AD203" i="34" s="1"/>
  <c r="AD139" i="34"/>
  <c r="AD140" i="34" s="1"/>
  <c r="AD213" i="10"/>
  <c r="AD214" i="10"/>
  <c r="H148" i="2"/>
  <c r="I1207" i="7"/>
  <c r="I1210" i="7" s="1"/>
  <c r="I1211" i="7" s="1"/>
  <c r="I167" i="5" s="1"/>
  <c r="H1212" i="7"/>
  <c r="AC170" i="2"/>
  <c r="AC1201" i="7"/>
  <c r="AC203" i="34"/>
  <c r="AF295" i="26"/>
  <c r="AF152" i="5"/>
  <c r="AG1151" i="7"/>
  <c r="AF1411" i="7"/>
  <c r="AF23" i="5" s="1"/>
  <c r="AG294" i="26"/>
  <c r="AG151" i="5"/>
  <c r="AG1409" i="7"/>
  <c r="AG22" i="5" s="1"/>
  <c r="AH1149" i="7"/>
  <c r="H1183" i="7"/>
  <c r="H1184" i="7" s="1"/>
  <c r="H208" i="34" s="1"/>
  <c r="H198" i="34"/>
  <c r="H178" i="2"/>
  <c r="AC22" i="6"/>
  <c r="AE156" i="5"/>
  <c r="AF1465" i="7"/>
  <c r="AF150" i="2"/>
  <c r="AF155" i="6" s="1"/>
  <c r="AF373" i="26"/>
  <c r="AE162" i="2"/>
  <c r="AE375" i="26"/>
  <c r="AE1469" i="7"/>
  <c r="AG1153" i="7"/>
  <c r="AF1413" i="7"/>
  <c r="AF24" i="5" s="1"/>
  <c r="AF296" i="26"/>
  <c r="AF153" i="5"/>
  <c r="AE1466" i="7"/>
  <c r="AE15" i="2"/>
  <c r="AE20" i="6" s="1"/>
  <c r="AF1196" i="7"/>
  <c r="AD20" i="6"/>
  <c r="AD22" i="6"/>
  <c r="AE27" i="5"/>
  <c r="AD1201" i="7" l="1"/>
  <c r="AD170" i="2"/>
  <c r="AF156" i="5"/>
  <c r="AF139" i="34" s="1"/>
  <c r="AF140" i="34" s="1"/>
  <c r="AF27" i="5"/>
  <c r="AF139" i="10" s="1"/>
  <c r="AF140" i="10" s="1"/>
  <c r="AG1196" i="7"/>
  <c r="AG153" i="5"/>
  <c r="AG296" i="26"/>
  <c r="AG1413" i="7"/>
  <c r="AG24" i="5" s="1"/>
  <c r="AH1153" i="7"/>
  <c r="AG1411" i="7"/>
  <c r="AG23" i="5" s="1"/>
  <c r="AG152" i="5"/>
  <c r="AG295" i="26"/>
  <c r="AH1151" i="7"/>
  <c r="AH1194" i="7" s="1"/>
  <c r="H152" i="2"/>
  <c r="H183" i="6"/>
  <c r="H1199" i="7"/>
  <c r="I182" i="6"/>
  <c r="H179" i="2"/>
  <c r="AE213" i="10"/>
  <c r="AE214" i="10"/>
  <c r="AE139" i="10"/>
  <c r="AE140" i="10" s="1"/>
  <c r="AE1471" i="7"/>
  <c r="AE27" i="2"/>
  <c r="I148" i="6"/>
  <c r="I175" i="6" s="1"/>
  <c r="I168" i="5"/>
  <c r="I170" i="5" s="1"/>
  <c r="AF1466" i="7"/>
  <c r="AF15" i="2"/>
  <c r="AF20" i="6" s="1"/>
  <c r="AH294" i="26"/>
  <c r="AH1150" i="7"/>
  <c r="G29" i="38" s="1"/>
  <c r="AH151" i="5"/>
  <c r="AH1409" i="7"/>
  <c r="AF162" i="2"/>
  <c r="AF375" i="26"/>
  <c r="AF1469" i="7"/>
  <c r="AE165" i="2"/>
  <c r="AE157" i="6"/>
  <c r="AE159" i="6" s="1"/>
  <c r="AE214" i="34"/>
  <c r="AE213" i="34"/>
  <c r="AE161" i="5"/>
  <c r="AE165" i="5" s="1"/>
  <c r="AE139" i="34"/>
  <c r="AE140" i="34" s="1"/>
  <c r="AG1194" i="7"/>
  <c r="AF214" i="34" l="1"/>
  <c r="AF161" i="5"/>
  <c r="AF165" i="5" s="1"/>
  <c r="AF213" i="34"/>
  <c r="AF214" i="10"/>
  <c r="AF213" i="10"/>
  <c r="AH150" i="2"/>
  <c r="AH373" i="26"/>
  <c r="AH1465" i="7"/>
  <c r="AF1471" i="7"/>
  <c r="AF27" i="2"/>
  <c r="AF157" i="6"/>
  <c r="AF159" i="6" s="1"/>
  <c r="AF165" i="2"/>
  <c r="AH22" i="5"/>
  <c r="AH1410" i="7"/>
  <c r="G30" i="35" s="1"/>
  <c r="I188" i="34"/>
  <c r="AH1154" i="7"/>
  <c r="G31" i="38" s="1"/>
  <c r="AH296" i="26"/>
  <c r="AH1413" i="7"/>
  <c r="AH153" i="5"/>
  <c r="AG375" i="26"/>
  <c r="AG162" i="2"/>
  <c r="AG1469" i="7"/>
  <c r="AG150" i="2"/>
  <c r="AG155" i="6" s="1"/>
  <c r="AG1465" i="7"/>
  <c r="AG373" i="26"/>
  <c r="I147" i="6"/>
  <c r="I160" i="6" s="1"/>
  <c r="I1180" i="7"/>
  <c r="I1182" i="7" s="1"/>
  <c r="H1203" i="7"/>
  <c r="H377" i="26"/>
  <c r="AH1196" i="7"/>
  <c r="AG156" i="5"/>
  <c r="AH1411" i="7"/>
  <c r="AH1152" i="7"/>
  <c r="G30" i="38" s="1"/>
  <c r="AH295" i="26"/>
  <c r="AH152" i="5"/>
  <c r="AE203" i="34"/>
  <c r="AE1201" i="7"/>
  <c r="AE170" i="2"/>
  <c r="AE22" i="6"/>
  <c r="H1200" i="7"/>
  <c r="H1202" i="7" s="1"/>
  <c r="H202" i="34"/>
  <c r="H204" i="34" s="1"/>
  <c r="H157" i="2"/>
  <c r="AG27" i="5"/>
  <c r="AH156" i="5" l="1"/>
  <c r="AH214" i="34" s="1"/>
  <c r="AH375" i="26"/>
  <c r="AH162" i="2"/>
  <c r="AH1469" i="7"/>
  <c r="AG165" i="2"/>
  <c r="AG157" i="6"/>
  <c r="AG159" i="6" s="1"/>
  <c r="AF22" i="6"/>
  <c r="AG214" i="10"/>
  <c r="AG139" i="10"/>
  <c r="AG140" i="10" s="1"/>
  <c r="AG213" i="10"/>
  <c r="AG139" i="34"/>
  <c r="AG140" i="34" s="1"/>
  <c r="AG161" i="5"/>
  <c r="AG165" i="5" s="1"/>
  <c r="AG213" i="34"/>
  <c r="AG214" i="34"/>
  <c r="AG27" i="2"/>
  <c r="AG1471" i="7"/>
  <c r="AH1414" i="7"/>
  <c r="G32" i="35" s="1"/>
  <c r="AH24" i="5"/>
  <c r="AH155" i="6"/>
  <c r="AH1412" i="7"/>
  <c r="G31" i="35" s="1"/>
  <c r="AH23" i="5"/>
  <c r="AH1466" i="7" s="1"/>
  <c r="AF170" i="2"/>
  <c r="AF1201" i="7"/>
  <c r="AF203" i="34"/>
  <c r="AH15" i="2"/>
  <c r="H1185" i="7"/>
  <c r="H1186" i="7" s="1"/>
  <c r="H209" i="34" s="1"/>
  <c r="I1170" i="7"/>
  <c r="I180" i="34"/>
  <c r="I184" i="34" s="1"/>
  <c r="AG1466" i="7"/>
  <c r="AG15" i="2"/>
  <c r="AG20" i="6" s="1"/>
  <c r="AH213" i="34" l="1"/>
  <c r="N93" i="38" s="1"/>
  <c r="O93" i="38" s="1"/>
  <c r="AH139" i="34"/>
  <c r="AH140" i="34" s="1"/>
  <c r="F67" i="38" s="1"/>
  <c r="G67" i="38" s="1"/>
  <c r="AH161" i="5"/>
  <c r="AH165" i="5" s="1"/>
  <c r="AH20" i="6"/>
  <c r="M8" i="35"/>
  <c r="AG203" i="34"/>
  <c r="AG1201" i="7"/>
  <c r="AG170" i="2"/>
  <c r="N97" i="38"/>
  <c r="O97" i="38" s="1"/>
  <c r="F79" i="38"/>
  <c r="G79" i="38" s="1"/>
  <c r="N98" i="38"/>
  <c r="O98" i="38" s="1"/>
  <c r="N99" i="38"/>
  <c r="F81" i="38"/>
  <c r="F80" i="38"/>
  <c r="G80" i="38" s="1"/>
  <c r="AH27" i="5"/>
  <c r="I1175" i="7"/>
  <c r="I1172" i="7"/>
  <c r="AG22" i="6"/>
  <c r="AH165" i="2"/>
  <c r="AH157" i="6"/>
  <c r="AH159" i="6" s="1"/>
  <c r="AH1471" i="7"/>
  <c r="M10" i="35" s="1"/>
  <c r="AH27" i="2"/>
  <c r="N94" i="38" l="1"/>
  <c r="O94" i="38" s="1"/>
  <c r="F69" i="38"/>
  <c r="N95" i="38"/>
  <c r="F95" i="38"/>
  <c r="F68" i="38"/>
  <c r="G68" i="38" s="1"/>
  <c r="F93" i="38"/>
  <c r="G93" i="38" s="1"/>
  <c r="F94" i="38"/>
  <c r="G94" i="38" s="1"/>
  <c r="AH1201" i="7"/>
  <c r="AH170" i="2"/>
  <c r="AH203" i="34"/>
  <c r="AH214" i="10"/>
  <c r="AH139" i="10"/>
  <c r="AH140" i="10" s="1"/>
  <c r="AH213" i="10"/>
  <c r="I1176" i="7"/>
  <c r="I176" i="6" s="1"/>
  <c r="I197" i="34"/>
  <c r="AH22" i="6"/>
  <c r="F60" i="35" l="1"/>
  <c r="G60" i="35" s="1"/>
  <c r="F61" i="35"/>
  <c r="F85" i="35"/>
  <c r="G85" i="35" s="1"/>
  <c r="F86" i="35"/>
  <c r="G86" i="35" s="1"/>
  <c r="F59" i="35"/>
  <c r="G59" i="35" s="1"/>
  <c r="F87" i="35"/>
  <c r="N86" i="35"/>
  <c r="O86" i="35" s="1"/>
  <c r="N87" i="35"/>
  <c r="N85" i="35"/>
  <c r="O85" i="35" s="1"/>
  <c r="I189" i="34"/>
  <c r="I178" i="6"/>
  <c r="I180" i="6" s="1"/>
  <c r="I1392" i="7"/>
  <c r="I1393" i="7" s="1"/>
  <c r="F73" i="35"/>
  <c r="N89" i="35"/>
  <c r="O89" i="35" s="1"/>
  <c r="F72" i="35"/>
  <c r="G72" i="35" s="1"/>
  <c r="N90" i="35"/>
  <c r="O90" i="35" s="1"/>
  <c r="N91" i="35"/>
  <c r="F71" i="35"/>
  <c r="G71" i="35" s="1"/>
  <c r="I1208" i="7" l="1"/>
  <c r="I1209" i="7" s="1"/>
  <c r="I181" i="34"/>
  <c r="J1391" i="7"/>
  <c r="I175" i="2"/>
  <c r="I177" i="2" s="1"/>
  <c r="I198" i="34" l="1"/>
  <c r="I1183" i="7"/>
  <c r="I1184" i="7" s="1"/>
  <c r="I208" i="34" s="1"/>
  <c r="I178" i="2"/>
  <c r="I1212" i="7"/>
  <c r="J1207" i="7"/>
  <c r="J1210" i="7" s="1"/>
  <c r="J1211" i="7" s="1"/>
  <c r="J167" i="5" s="1"/>
  <c r="I148" i="2"/>
  <c r="J148" i="6" l="1"/>
  <c r="J175" i="6" s="1"/>
  <c r="J168" i="5"/>
  <c r="J170" i="5" s="1"/>
  <c r="I183" i="6"/>
  <c r="I152" i="2"/>
  <c r="J182" i="6"/>
  <c r="I179" i="2"/>
  <c r="I1199" i="7"/>
  <c r="J1180" i="7" l="1"/>
  <c r="J1182" i="7" s="1"/>
  <c r="J147" i="6"/>
  <c r="J160" i="6" s="1"/>
  <c r="I1200" i="7"/>
  <c r="I1202" i="7" s="1"/>
  <c r="I157" i="2"/>
  <c r="I202" i="34"/>
  <c r="I204" i="34" s="1"/>
  <c r="J188" i="34"/>
  <c r="I1203" i="7"/>
  <c r="I377" i="26"/>
  <c r="I1185" i="7" l="1"/>
  <c r="I1186" i="7" s="1"/>
  <c r="I209" i="34" s="1"/>
  <c r="J1170" i="7"/>
  <c r="J180" i="34"/>
  <c r="J184" i="34" s="1"/>
  <c r="J1172" i="7" l="1"/>
  <c r="J1175" i="7"/>
  <c r="J197" i="34" l="1"/>
  <c r="J1176" i="7"/>
  <c r="J176" i="6" s="1"/>
  <c r="J189" i="34" l="1"/>
  <c r="J1392" i="7"/>
  <c r="J1393" i="7" s="1"/>
  <c r="J178" i="6"/>
  <c r="J180" i="6" s="1"/>
  <c r="J181" i="34" l="1"/>
  <c r="J1208" i="7"/>
  <c r="J1209" i="7" s="1"/>
  <c r="K1391" i="7"/>
  <c r="J175" i="2"/>
  <c r="J177" i="2" s="1"/>
  <c r="J1212" i="7" l="1"/>
  <c r="K1207" i="7"/>
  <c r="K1210" i="7" s="1"/>
  <c r="K1211" i="7" s="1"/>
  <c r="K167" i="5" s="1"/>
  <c r="J148" i="2"/>
  <c r="J1183" i="7"/>
  <c r="J1184" i="7" s="1"/>
  <c r="J208" i="34" s="1"/>
  <c r="J178" i="2"/>
  <c r="J198" i="34"/>
  <c r="K168" i="5" l="1"/>
  <c r="K170" i="5" s="1"/>
  <c r="K148" i="6"/>
  <c r="K175" i="6" s="1"/>
  <c r="K182" i="6"/>
  <c r="J1199" i="7"/>
  <c r="J183" i="6"/>
  <c r="J152" i="2"/>
  <c r="J179" i="2"/>
  <c r="K1180" i="7" l="1"/>
  <c r="K1182" i="7" s="1"/>
  <c r="K147" i="6"/>
  <c r="K160" i="6" s="1"/>
  <c r="J377" i="26"/>
  <c r="J1203" i="7"/>
  <c r="J1200" i="7"/>
  <c r="J1202" i="7" s="1"/>
  <c r="J202" i="34"/>
  <c r="J204" i="34" s="1"/>
  <c r="J157" i="2"/>
  <c r="K188" i="34"/>
  <c r="J1185" i="7" l="1"/>
  <c r="J1186" i="7" s="1"/>
  <c r="J209" i="34" s="1"/>
  <c r="K1170" i="7"/>
  <c r="K180" i="34"/>
  <c r="K184" i="34" s="1"/>
  <c r="K1175" i="7" l="1"/>
  <c r="K1172" i="7"/>
  <c r="K197" i="34" l="1"/>
  <c r="K1176" i="7"/>
  <c r="K176" i="6" s="1"/>
  <c r="K189" i="34" l="1"/>
  <c r="K178" i="6"/>
  <c r="K180" i="6" s="1"/>
  <c r="K1392" i="7"/>
  <c r="K1393" i="7" s="1"/>
  <c r="L1391" i="7" l="1"/>
  <c r="K175" i="2"/>
  <c r="K177" i="2" s="1"/>
  <c r="K181" i="34"/>
  <c r="K1208" i="7"/>
  <c r="K1209" i="7" s="1"/>
  <c r="K198" i="34" l="1"/>
  <c r="K1183" i="7"/>
  <c r="K1184" i="7" s="1"/>
  <c r="K208" i="34" s="1"/>
  <c r="K178" i="2"/>
  <c r="K148" i="2"/>
  <c r="L1207" i="7"/>
  <c r="L1210" i="7" s="1"/>
  <c r="L1211" i="7" s="1"/>
  <c r="L167" i="5" s="1"/>
  <c r="K1212" i="7"/>
  <c r="K152" i="2" l="1"/>
  <c r="K183" i="6"/>
  <c r="K1199" i="7"/>
  <c r="K179" i="2"/>
  <c r="L182" i="6"/>
  <c r="L148" i="6"/>
  <c r="L175" i="6" s="1"/>
  <c r="L168" i="5"/>
  <c r="L170" i="5" s="1"/>
  <c r="L188" i="34" l="1"/>
  <c r="K1200" i="7"/>
  <c r="K1202" i="7" s="1"/>
  <c r="K157" i="2"/>
  <c r="K202" i="34"/>
  <c r="K204" i="34" s="1"/>
  <c r="L147" i="6"/>
  <c r="L160" i="6" s="1"/>
  <c r="L1180" i="7"/>
  <c r="L1182" i="7" s="1"/>
  <c r="K377" i="26"/>
  <c r="K1203" i="7"/>
  <c r="L180" i="34" l="1"/>
  <c r="L184" i="34" s="1"/>
  <c r="L1170" i="7"/>
  <c r="K1185" i="7"/>
  <c r="K1186" i="7" s="1"/>
  <c r="K209" i="34" s="1"/>
  <c r="L1172" i="7" l="1"/>
  <c r="L1175" i="7"/>
  <c r="L197" i="34" l="1"/>
  <c r="L1176" i="7"/>
  <c r="L176" i="6" s="1"/>
  <c r="L189" i="34" l="1"/>
  <c r="L1392" i="7"/>
  <c r="L1393" i="7" s="1"/>
  <c r="L178" i="6"/>
  <c r="L180" i="6" s="1"/>
  <c r="L175" i="2" l="1"/>
  <c r="L177" i="2" s="1"/>
  <c r="M1391" i="7"/>
  <c r="L181" i="34"/>
  <c r="L1208" i="7"/>
  <c r="L1209" i="7" s="1"/>
  <c r="L1183" i="7" l="1"/>
  <c r="L1184" i="7" s="1"/>
  <c r="L208" i="34" s="1"/>
  <c r="L178" i="2"/>
  <c r="L198" i="34"/>
  <c r="L1212" i="7"/>
  <c r="L148" i="2"/>
  <c r="M1207" i="7"/>
  <c r="M1210" i="7" s="1"/>
  <c r="M1211" i="7" s="1"/>
  <c r="M167" i="5" s="1"/>
  <c r="M148" i="6" l="1"/>
  <c r="M175" i="6" s="1"/>
  <c r="M168" i="5"/>
  <c r="M170" i="5" s="1"/>
  <c r="L179" i="2"/>
  <c r="L1199" i="7"/>
  <c r="M182" i="6"/>
  <c r="L152" i="2"/>
  <c r="L183" i="6"/>
  <c r="M188" i="34" l="1"/>
  <c r="L202" i="34"/>
  <c r="L204" i="34" s="1"/>
  <c r="L157" i="2"/>
  <c r="L1200" i="7"/>
  <c r="L1202" i="7" s="1"/>
  <c r="M1180" i="7"/>
  <c r="M1182" i="7" s="1"/>
  <c r="M147" i="6"/>
  <c r="M160" i="6" s="1"/>
  <c r="L1203" i="7"/>
  <c r="L377" i="26"/>
  <c r="M180" i="34" l="1"/>
  <c r="M184" i="34" s="1"/>
  <c r="M1170" i="7"/>
  <c r="L1185" i="7"/>
  <c r="L1186" i="7" s="1"/>
  <c r="L209" i="34" s="1"/>
  <c r="M1175" i="7" l="1"/>
  <c r="M1172" i="7"/>
  <c r="M1176" i="7" l="1"/>
  <c r="M176" i="6" s="1"/>
  <c r="M197" i="34"/>
  <c r="M189" i="34" l="1"/>
  <c r="M178" i="6"/>
  <c r="M180" i="6" s="1"/>
  <c r="M1392" i="7"/>
  <c r="M1393" i="7" s="1"/>
  <c r="M181" i="34" l="1"/>
  <c r="M1208" i="7"/>
  <c r="M1209" i="7" s="1"/>
  <c r="M175" i="2"/>
  <c r="M177" i="2" s="1"/>
  <c r="N1391" i="7"/>
  <c r="M148" i="2" l="1"/>
  <c r="N1207" i="7"/>
  <c r="N1210" i="7" s="1"/>
  <c r="N1211" i="7" s="1"/>
  <c r="N167" i="5" s="1"/>
  <c r="M1212" i="7"/>
  <c r="M178" i="2"/>
  <c r="M1183" i="7"/>
  <c r="M1184" i="7" s="1"/>
  <c r="M208" i="34" s="1"/>
  <c r="M198" i="34"/>
  <c r="M152" i="2" l="1"/>
  <c r="M183" i="6"/>
  <c r="N182" i="6"/>
  <c r="M1199" i="7"/>
  <c r="M179" i="2"/>
  <c r="N168" i="5"/>
  <c r="N170" i="5" s="1"/>
  <c r="N148" i="6"/>
  <c r="N175" i="6" s="1"/>
  <c r="N147" i="6" l="1"/>
  <c r="N160" i="6" s="1"/>
  <c r="N1180" i="7"/>
  <c r="N1182" i="7" s="1"/>
  <c r="N188" i="34"/>
  <c r="M377" i="26"/>
  <c r="M1203" i="7"/>
  <c r="M157" i="2"/>
  <c r="M1200" i="7"/>
  <c r="M1202" i="7" s="1"/>
  <c r="M202" i="34"/>
  <c r="M204" i="34" s="1"/>
  <c r="N180" i="34" l="1"/>
  <c r="N184" i="34" s="1"/>
  <c r="N1170" i="7"/>
  <c r="M1185" i="7"/>
  <c r="M1186" i="7" s="1"/>
  <c r="M209" i="34" s="1"/>
  <c r="N1175" i="7" l="1"/>
  <c r="N1172" i="7"/>
  <c r="N197" i="34" l="1"/>
  <c r="N1176" i="7"/>
  <c r="N176" i="6" s="1"/>
  <c r="N189" i="34" l="1"/>
  <c r="N1392" i="7"/>
  <c r="N1393" i="7" s="1"/>
  <c r="N178" i="6"/>
  <c r="N180" i="6" s="1"/>
  <c r="N1208" i="7" l="1"/>
  <c r="N1209" i="7" s="1"/>
  <c r="N181" i="34"/>
  <c r="N175" i="2"/>
  <c r="N177" i="2" s="1"/>
  <c r="O1391" i="7"/>
  <c r="N1183" i="7" l="1"/>
  <c r="N1184" i="7" s="1"/>
  <c r="N208" i="34" s="1"/>
  <c r="N178" i="2"/>
  <c r="N198" i="34"/>
  <c r="N148" i="2"/>
  <c r="O1207" i="7"/>
  <c r="O1210" i="7" s="1"/>
  <c r="O1211" i="7" s="1"/>
  <c r="O167" i="5" s="1"/>
  <c r="N1212" i="7"/>
  <c r="O168" i="5" l="1"/>
  <c r="O170" i="5" s="1"/>
  <c r="O148" i="6"/>
  <c r="O175" i="6" s="1"/>
  <c r="N179" i="2"/>
  <c r="O182" i="6"/>
  <c r="N152" i="2"/>
  <c r="N183" i="6"/>
  <c r="N1199" i="7"/>
  <c r="O1180" i="7" l="1"/>
  <c r="O1182" i="7" s="1"/>
  <c r="O147" i="6"/>
  <c r="O160" i="6" s="1"/>
  <c r="N1203" i="7"/>
  <c r="N377" i="26"/>
  <c r="O188" i="34"/>
  <c r="N157" i="2"/>
  <c r="N1200" i="7"/>
  <c r="N1202" i="7" s="1"/>
  <c r="N202" i="34"/>
  <c r="N204" i="34" s="1"/>
  <c r="N1185" i="7" l="1"/>
  <c r="N1186" i="7" s="1"/>
  <c r="N209" i="34" s="1"/>
  <c r="O1170" i="7"/>
  <c r="O180" i="34"/>
  <c r="O184" i="34" s="1"/>
  <c r="O1172" i="7" l="1"/>
  <c r="O1175" i="7"/>
  <c r="O1176" i="7" l="1"/>
  <c r="O176" i="6" s="1"/>
  <c r="O197" i="34"/>
  <c r="O189" i="34" l="1"/>
  <c r="O178" i="6"/>
  <c r="O180" i="6" s="1"/>
  <c r="O1392" i="7"/>
  <c r="O1393" i="7" s="1"/>
  <c r="O1208" i="7" l="1"/>
  <c r="O1209" i="7" s="1"/>
  <c r="O181" i="34"/>
  <c r="P1391" i="7"/>
  <c r="O175" i="2"/>
  <c r="O177" i="2" s="1"/>
  <c r="O198" i="34" l="1"/>
  <c r="O178" i="2"/>
  <c r="O1183" i="7"/>
  <c r="O1184" i="7" s="1"/>
  <c r="O208" i="34" s="1"/>
  <c r="O148" i="2"/>
  <c r="O1212" i="7"/>
  <c r="P1207" i="7"/>
  <c r="P1210" i="7" s="1"/>
  <c r="P1211" i="7" s="1"/>
  <c r="P167" i="5" s="1"/>
  <c r="P148" i="6" l="1"/>
  <c r="P175" i="6" s="1"/>
  <c r="P168" i="5"/>
  <c r="P170" i="5" s="1"/>
  <c r="P182" i="6"/>
  <c r="O1199" i="7"/>
  <c r="O179" i="2"/>
  <c r="O152" i="2"/>
  <c r="O183" i="6"/>
  <c r="O1203" i="7" l="1"/>
  <c r="O377" i="26"/>
  <c r="O157" i="2"/>
  <c r="O1200" i="7"/>
  <c r="O1202" i="7" s="1"/>
  <c r="O202" i="34"/>
  <c r="O204" i="34" s="1"/>
  <c r="P1180" i="7"/>
  <c r="P1182" i="7" s="1"/>
  <c r="P147" i="6"/>
  <c r="P160" i="6" s="1"/>
  <c r="P188" i="34"/>
  <c r="P180" i="34" l="1"/>
  <c r="P184" i="34" s="1"/>
  <c r="P1170" i="7"/>
  <c r="O1185" i="7"/>
  <c r="O1186" i="7" s="1"/>
  <c r="O209" i="34" s="1"/>
  <c r="P1172" i="7" l="1"/>
  <c r="P1175" i="7"/>
  <c r="P197" i="34" l="1"/>
  <c r="P1176" i="7"/>
  <c r="P176" i="6" s="1"/>
  <c r="P189" i="34" l="1"/>
  <c r="P1392" i="7"/>
  <c r="P1393" i="7" s="1"/>
  <c r="P178" i="6"/>
  <c r="P180" i="6" s="1"/>
  <c r="P181" i="34" l="1"/>
  <c r="P1208" i="7"/>
  <c r="P1209" i="7" s="1"/>
  <c r="P175" i="2"/>
  <c r="P177" i="2" s="1"/>
  <c r="Q1391" i="7"/>
  <c r="P1212" i="7" l="1"/>
  <c r="Q1207" i="7"/>
  <c r="Q1210" i="7" s="1"/>
  <c r="Q1211" i="7" s="1"/>
  <c r="Q167" i="5" s="1"/>
  <c r="P148" i="2"/>
  <c r="P178" i="2"/>
  <c r="P1183" i="7"/>
  <c r="P1184" i="7" s="1"/>
  <c r="P208" i="34" s="1"/>
  <c r="P198" i="34"/>
  <c r="Q148" i="6" l="1"/>
  <c r="Q175" i="6" s="1"/>
  <c r="Q168" i="5"/>
  <c r="Q170" i="5" s="1"/>
  <c r="P1199" i="7"/>
  <c r="Q182" i="6"/>
  <c r="P152" i="2"/>
  <c r="P183" i="6"/>
  <c r="P179" i="2"/>
  <c r="P1203" i="7" l="1"/>
  <c r="P377" i="26"/>
  <c r="Q188" i="34"/>
  <c r="P202" i="34"/>
  <c r="P204" i="34" s="1"/>
  <c r="P1200" i="7"/>
  <c r="P1202" i="7" s="1"/>
  <c r="P157" i="2"/>
  <c r="Q1180" i="7"/>
  <c r="Q1182" i="7" s="1"/>
  <c r="Q147" i="6"/>
  <c r="Q160" i="6" s="1"/>
  <c r="Q180" i="34" l="1"/>
  <c r="Q184" i="34" s="1"/>
  <c r="Q1170" i="7"/>
  <c r="P1185" i="7"/>
  <c r="P1186" i="7" s="1"/>
  <c r="P209" i="34" s="1"/>
  <c r="Q1172" i="7" l="1"/>
  <c r="Q1175" i="7"/>
  <c r="Q1176" i="7" l="1"/>
  <c r="Q176" i="6" s="1"/>
  <c r="Q197" i="34"/>
  <c r="Q189" i="34" l="1"/>
  <c r="Q178" i="6"/>
  <c r="Q180" i="6" s="1"/>
  <c r="Q1392" i="7"/>
  <c r="Q1393" i="7" s="1"/>
  <c r="R1391" i="7" l="1"/>
  <c r="Q175" i="2"/>
  <c r="Q177" i="2" s="1"/>
  <c r="Q1208" i="7"/>
  <c r="Q1209" i="7" s="1"/>
  <c r="Q181" i="34"/>
  <c r="Q198" i="34" l="1"/>
  <c r="Q178" i="2"/>
  <c r="Q1183" i="7"/>
  <c r="Q1184" i="7" s="1"/>
  <c r="Q208" i="34" s="1"/>
  <c r="Q148" i="2"/>
  <c r="R1207" i="7"/>
  <c r="R1210" i="7" s="1"/>
  <c r="R1211" i="7" s="1"/>
  <c r="R167" i="5" s="1"/>
  <c r="Q1212" i="7"/>
  <c r="R182" i="6" l="1"/>
  <c r="Q152" i="2"/>
  <c r="Q1199" i="7"/>
  <c r="Q179" i="2"/>
  <c r="Q183" i="6"/>
  <c r="R168" i="5"/>
  <c r="R170" i="5" s="1"/>
  <c r="R148" i="6"/>
  <c r="R175" i="6" s="1"/>
  <c r="R1180" i="7" l="1"/>
  <c r="R1182" i="7" s="1"/>
  <c r="R147" i="6"/>
  <c r="R160" i="6" s="1"/>
  <c r="Q157" i="2"/>
  <c r="Q1200" i="7"/>
  <c r="Q1202" i="7" s="1"/>
  <c r="Q202" i="34"/>
  <c r="Q204" i="34" s="1"/>
  <c r="R188" i="34"/>
  <c r="Q1203" i="7"/>
  <c r="Q377" i="26"/>
  <c r="Q1185" i="7" l="1"/>
  <c r="Q1186" i="7" s="1"/>
  <c r="Q209" i="34" s="1"/>
  <c r="R1170" i="7"/>
  <c r="R180" i="34"/>
  <c r="R184" i="34" s="1"/>
  <c r="R1175" i="7" l="1"/>
  <c r="R1172" i="7"/>
  <c r="R1176" i="7" l="1"/>
  <c r="R176" i="6" s="1"/>
  <c r="R197" i="34"/>
  <c r="R189" i="34" l="1"/>
  <c r="R178" i="6"/>
  <c r="R180" i="6" s="1"/>
  <c r="R1392" i="7"/>
  <c r="R1393" i="7" s="1"/>
  <c r="R1208" i="7" l="1"/>
  <c r="R1209" i="7" s="1"/>
  <c r="R181" i="34"/>
  <c r="R175" i="2"/>
  <c r="R177" i="2" s="1"/>
  <c r="S1391" i="7"/>
  <c r="R1183" i="7" l="1"/>
  <c r="R1184" i="7" s="1"/>
  <c r="R208" i="34" s="1"/>
  <c r="R178" i="2"/>
  <c r="R198" i="34"/>
  <c r="R148" i="2"/>
  <c r="S1207" i="7"/>
  <c r="S1210" i="7" s="1"/>
  <c r="S1211" i="7" s="1"/>
  <c r="S167" i="5" s="1"/>
  <c r="R1212" i="7"/>
  <c r="S168" i="5" l="1"/>
  <c r="S170" i="5" s="1"/>
  <c r="S148" i="6"/>
  <c r="S175" i="6" s="1"/>
  <c r="R152" i="2"/>
  <c r="S182" i="6"/>
  <c r="R1199" i="7"/>
  <c r="R179" i="2"/>
  <c r="R183" i="6"/>
  <c r="R377" i="26" l="1"/>
  <c r="R1203" i="7"/>
  <c r="S1180" i="7"/>
  <c r="S1182" i="7" s="1"/>
  <c r="S147" i="6"/>
  <c r="S160" i="6" s="1"/>
  <c r="R202" i="34"/>
  <c r="R204" i="34" s="1"/>
  <c r="R1200" i="7"/>
  <c r="R1202" i="7" s="1"/>
  <c r="R157" i="2"/>
  <c r="S188" i="34"/>
  <c r="R1185" i="7" l="1"/>
  <c r="R1186" i="7" s="1"/>
  <c r="R209" i="34" s="1"/>
  <c r="S1170" i="7"/>
  <c r="S180" i="34"/>
  <c r="S184" i="34" s="1"/>
  <c r="S1175" i="7" l="1"/>
  <c r="S1172" i="7"/>
  <c r="S197" i="34" l="1"/>
  <c r="S1176" i="7"/>
  <c r="S176" i="6" s="1"/>
  <c r="S189" i="34" l="1"/>
  <c r="S178" i="6"/>
  <c r="S180" i="6" s="1"/>
  <c r="S1392" i="7"/>
  <c r="S1393" i="7" s="1"/>
  <c r="S1208" i="7" l="1"/>
  <c r="S1209" i="7" s="1"/>
  <c r="S181" i="34"/>
  <c r="S175" i="2"/>
  <c r="S177" i="2" s="1"/>
  <c r="T1391" i="7"/>
  <c r="S1212" i="7" l="1"/>
  <c r="S148" i="2"/>
  <c r="T1207" i="7"/>
  <c r="T1210" i="7" s="1"/>
  <c r="T1211" i="7" s="1"/>
  <c r="T167" i="5" s="1"/>
  <c r="S198" i="34"/>
  <c r="S1183" i="7"/>
  <c r="S1184" i="7" s="1"/>
  <c r="S208" i="34" s="1"/>
  <c r="S178" i="2"/>
  <c r="T148" i="6" l="1"/>
  <c r="T175" i="6" s="1"/>
  <c r="T168" i="5"/>
  <c r="T170" i="5" s="1"/>
  <c r="T182" i="6"/>
  <c r="S179" i="2"/>
  <c r="S152" i="2"/>
  <c r="S183" i="6"/>
  <c r="S1199" i="7"/>
  <c r="S1203" i="7" l="1"/>
  <c r="S377" i="26"/>
  <c r="S202" i="34"/>
  <c r="S204" i="34" s="1"/>
  <c r="S157" i="2"/>
  <c r="S1200" i="7"/>
  <c r="S1202" i="7" s="1"/>
  <c r="T188" i="34"/>
  <c r="T147" i="6"/>
  <c r="T160" i="6" s="1"/>
  <c r="T1180" i="7"/>
  <c r="T1182" i="7" s="1"/>
  <c r="T180" i="34" l="1"/>
  <c r="T184" i="34" s="1"/>
  <c r="T1170" i="7"/>
  <c r="S1185" i="7"/>
  <c r="S1186" i="7" s="1"/>
  <c r="S209" i="34" s="1"/>
  <c r="T1175" i="7" l="1"/>
  <c r="T1172" i="7"/>
  <c r="T1176" i="7" l="1"/>
  <c r="T176" i="6" s="1"/>
  <c r="T197" i="34"/>
  <c r="T189" i="34" l="1"/>
  <c r="T178" i="6"/>
  <c r="T180" i="6" s="1"/>
  <c r="T1392" i="7"/>
  <c r="T1393" i="7" s="1"/>
  <c r="T175" i="2" l="1"/>
  <c r="T177" i="2" s="1"/>
  <c r="U1391" i="7"/>
  <c r="T181" i="34"/>
  <c r="T1208" i="7"/>
  <c r="T1209" i="7" s="1"/>
  <c r="T198" i="34" l="1"/>
  <c r="T1183" i="7"/>
  <c r="T1184" i="7" s="1"/>
  <c r="T208" i="34" s="1"/>
  <c r="T178" i="2"/>
  <c r="T148" i="2"/>
  <c r="U1207" i="7"/>
  <c r="U1210" i="7" s="1"/>
  <c r="U1211" i="7" s="1"/>
  <c r="U167" i="5" s="1"/>
  <c r="T1212" i="7"/>
  <c r="T179" i="2" l="1"/>
  <c r="T152" i="2"/>
  <c r="T1199" i="7"/>
  <c r="U182" i="6"/>
  <c r="T183" i="6"/>
  <c r="U148" i="6"/>
  <c r="U175" i="6" s="1"/>
  <c r="U168" i="5"/>
  <c r="U170" i="5" s="1"/>
  <c r="U188" i="34" l="1"/>
  <c r="U1180" i="7"/>
  <c r="U1182" i="7" s="1"/>
  <c r="U147" i="6"/>
  <c r="U160" i="6" s="1"/>
  <c r="T157" i="2"/>
  <c r="T1200" i="7"/>
  <c r="T1202" i="7" s="1"/>
  <c r="T202" i="34"/>
  <c r="T204" i="34" s="1"/>
  <c r="T377" i="26"/>
  <c r="T1203" i="7"/>
  <c r="U180" i="34" l="1"/>
  <c r="U184" i="34" s="1"/>
  <c r="U1170" i="7"/>
  <c r="T1185" i="7"/>
  <c r="T1186" i="7" s="1"/>
  <c r="T209" i="34" s="1"/>
  <c r="U1172" i="7" l="1"/>
  <c r="U1175" i="7"/>
  <c r="U1176" i="7" l="1"/>
  <c r="U176" i="6" s="1"/>
  <c r="U197" i="34"/>
  <c r="U189" i="34" l="1"/>
  <c r="U178" i="6"/>
  <c r="U180" i="6" s="1"/>
  <c r="U1392" i="7"/>
  <c r="U1393" i="7" s="1"/>
  <c r="U175" i="2" l="1"/>
  <c r="U177" i="2" s="1"/>
  <c r="V1391" i="7"/>
  <c r="U181" i="34"/>
  <c r="U1208" i="7"/>
  <c r="U1209" i="7" s="1"/>
  <c r="U1212" i="7" l="1"/>
  <c r="U148" i="2"/>
  <c r="V1207" i="7"/>
  <c r="V1210" i="7" s="1"/>
  <c r="V1211" i="7" s="1"/>
  <c r="V167" i="5" s="1"/>
  <c r="U1183" i="7"/>
  <c r="U1184" i="7" s="1"/>
  <c r="U208" i="34" s="1"/>
  <c r="U178" i="2"/>
  <c r="U198" i="34"/>
  <c r="V148" i="6" l="1"/>
  <c r="V175" i="6" s="1"/>
  <c r="V168" i="5"/>
  <c r="V170" i="5" s="1"/>
  <c r="U152" i="2"/>
  <c r="U179" i="2"/>
  <c r="U1199" i="7"/>
  <c r="U183" i="6"/>
  <c r="V182" i="6"/>
  <c r="U202" i="34" l="1"/>
  <c r="U204" i="34" s="1"/>
  <c r="U1200" i="7"/>
  <c r="U1202" i="7" s="1"/>
  <c r="U157" i="2"/>
  <c r="V188" i="34"/>
  <c r="U377" i="26"/>
  <c r="U1203" i="7"/>
  <c r="V1180" i="7"/>
  <c r="V1182" i="7" s="1"/>
  <c r="V147" i="6"/>
  <c r="V160" i="6" s="1"/>
  <c r="U1185" i="7" l="1"/>
  <c r="U1186" i="7" s="1"/>
  <c r="U209" i="34" s="1"/>
  <c r="V180" i="34"/>
  <c r="V184" i="34" s="1"/>
  <c r="V1170" i="7"/>
  <c r="V1175" i="7" l="1"/>
  <c r="V1172" i="7"/>
  <c r="V197" i="34" l="1"/>
  <c r="V1176" i="7"/>
  <c r="V176" i="6" s="1"/>
  <c r="V189" i="34" l="1"/>
  <c r="V1392" i="7"/>
  <c r="V1393" i="7" s="1"/>
  <c r="V178" i="6"/>
  <c r="V180" i="6" s="1"/>
  <c r="V1208" i="7" l="1"/>
  <c r="V1209" i="7" s="1"/>
  <c r="V181" i="34"/>
  <c r="W1391" i="7"/>
  <c r="V175" i="2"/>
  <c r="V177" i="2" s="1"/>
  <c r="V148" i="2" l="1"/>
  <c r="W1207" i="7"/>
  <c r="W1210" i="7" s="1"/>
  <c r="W1211" i="7" s="1"/>
  <c r="W167" i="5" s="1"/>
  <c r="V1212" i="7"/>
  <c r="V1183" i="7"/>
  <c r="V1184" i="7" s="1"/>
  <c r="V208" i="34" s="1"/>
  <c r="V198" i="34"/>
  <c r="V178" i="2"/>
  <c r="V1199" i="7" l="1"/>
  <c r="V183" i="6"/>
  <c r="W182" i="6"/>
  <c r="V152" i="2"/>
  <c r="V179" i="2"/>
  <c r="W168" i="5"/>
  <c r="W170" i="5" s="1"/>
  <c r="W148" i="6"/>
  <c r="W175" i="6" s="1"/>
  <c r="W147" i="6" l="1"/>
  <c r="W160" i="6" s="1"/>
  <c r="W1180" i="7"/>
  <c r="W1182" i="7" s="1"/>
  <c r="V157" i="2"/>
  <c r="V202" i="34"/>
  <c r="V204" i="34" s="1"/>
  <c r="V1200" i="7"/>
  <c r="V1202" i="7" s="1"/>
  <c r="W188" i="34"/>
  <c r="V377" i="26"/>
  <c r="V1203" i="7"/>
  <c r="V1185" i="7" l="1"/>
  <c r="V1186" i="7" s="1"/>
  <c r="V209" i="34" s="1"/>
  <c r="W180" i="34"/>
  <c r="W184" i="34" s="1"/>
  <c r="W1170" i="7"/>
  <c r="W1175" i="7" l="1"/>
  <c r="W1172" i="7"/>
  <c r="W197" i="34" l="1"/>
  <c r="W1176" i="7"/>
  <c r="W176" i="6" s="1"/>
  <c r="W189" i="34" l="1"/>
  <c r="W178" i="6"/>
  <c r="W180" i="6" s="1"/>
  <c r="W1392" i="7"/>
  <c r="W1393" i="7" s="1"/>
  <c r="W175" i="2" l="1"/>
  <c r="W177" i="2" s="1"/>
  <c r="X1391" i="7"/>
  <c r="W1208" i="7"/>
  <c r="W1209" i="7" s="1"/>
  <c r="W181" i="34"/>
  <c r="W198" i="34" l="1"/>
  <c r="W178" i="2"/>
  <c r="W1183" i="7"/>
  <c r="W1184" i="7" s="1"/>
  <c r="W208" i="34" s="1"/>
  <c r="W148" i="2"/>
  <c r="X1207" i="7"/>
  <c r="X1210" i="7" s="1"/>
  <c r="X1211" i="7" s="1"/>
  <c r="X167" i="5" s="1"/>
  <c r="W1212" i="7"/>
  <c r="X182" i="6" l="1"/>
  <c r="W179" i="2"/>
  <c r="W183" i="6"/>
  <c r="W1199" i="7"/>
  <c r="W152" i="2"/>
  <c r="X168" i="5"/>
  <c r="X170" i="5" s="1"/>
  <c r="X148" i="6"/>
  <c r="X175" i="6" s="1"/>
  <c r="W202" i="34" l="1"/>
  <c r="W204" i="34" s="1"/>
  <c r="W157" i="2"/>
  <c r="W1200" i="7"/>
  <c r="W1202" i="7" s="1"/>
  <c r="X1180" i="7"/>
  <c r="X1182" i="7" s="1"/>
  <c r="X147" i="6"/>
  <c r="X160" i="6" s="1"/>
  <c r="X188" i="34"/>
  <c r="W377" i="26"/>
  <c r="W1203" i="7"/>
  <c r="X180" i="34" l="1"/>
  <c r="X184" i="34" s="1"/>
  <c r="X1170" i="7"/>
  <c r="W1185" i="7"/>
  <c r="W1186" i="7" s="1"/>
  <c r="W209" i="34" s="1"/>
  <c r="X1175" i="7" l="1"/>
  <c r="X1172" i="7"/>
  <c r="X1176" i="7" l="1"/>
  <c r="X176" i="6" s="1"/>
  <c r="X197" i="34"/>
  <c r="X189" i="34" l="1"/>
  <c r="X178" i="6"/>
  <c r="X180" i="6" s="1"/>
  <c r="X1392" i="7"/>
  <c r="X1393" i="7" s="1"/>
  <c r="Y1391" i="7" l="1"/>
  <c r="X175" i="2"/>
  <c r="X177" i="2" s="1"/>
  <c r="X1208" i="7"/>
  <c r="X1209" i="7" s="1"/>
  <c r="X181" i="34"/>
  <c r="X1212" i="7" l="1"/>
  <c r="Y1207" i="7"/>
  <c r="Y1210" i="7" s="1"/>
  <c r="Y1211" i="7" s="1"/>
  <c r="Y167" i="5" s="1"/>
  <c r="X148" i="2"/>
  <c r="X178" i="2"/>
  <c r="X198" i="34"/>
  <c r="X1183" i="7"/>
  <c r="X1184" i="7" s="1"/>
  <c r="X208" i="34" s="1"/>
  <c r="X183" i="6" l="1"/>
  <c r="X179" i="2"/>
  <c r="X152" i="2"/>
  <c r="X1199" i="7"/>
  <c r="Y182" i="6"/>
  <c r="Y148" i="6"/>
  <c r="Y175" i="6" s="1"/>
  <c r="Y168" i="5"/>
  <c r="Y170" i="5" s="1"/>
  <c r="X1200" i="7" l="1"/>
  <c r="X1202" i="7" s="1"/>
  <c r="X157" i="2"/>
  <c r="X202" i="34"/>
  <c r="X204" i="34" s="1"/>
  <c r="Y188" i="34"/>
  <c r="X377" i="26"/>
  <c r="X1203" i="7"/>
  <c r="Y1180" i="7"/>
  <c r="Y1182" i="7" s="1"/>
  <c r="Y147" i="6"/>
  <c r="Y160" i="6" s="1"/>
  <c r="X1185" i="7" l="1"/>
  <c r="X1186" i="7" s="1"/>
  <c r="X209" i="34" s="1"/>
  <c r="Y180" i="34"/>
  <c r="Y184" i="34" s="1"/>
  <c r="Y1170" i="7"/>
  <c r="Y1175" i="7" l="1"/>
  <c r="Y1172" i="7"/>
  <c r="Y1176" i="7" l="1"/>
  <c r="Y176" i="6" s="1"/>
  <c r="Y197" i="34"/>
  <c r="Y189" i="34" l="1"/>
  <c r="Y1392" i="7"/>
  <c r="Y1393" i="7" s="1"/>
  <c r="Y178" i="6"/>
  <c r="Y180" i="6" s="1"/>
  <c r="Y1208" i="7" l="1"/>
  <c r="Y1209" i="7" s="1"/>
  <c r="Y181" i="34"/>
  <c r="Y175" i="2"/>
  <c r="Y177" i="2" s="1"/>
  <c r="Z1391" i="7"/>
  <c r="Y1183" i="7" l="1"/>
  <c r="Y1184" i="7" s="1"/>
  <c r="Y208" i="34" s="1"/>
  <c r="Y198" i="34"/>
  <c r="Y178" i="2"/>
  <c r="Y1212" i="7"/>
  <c r="Y148" i="2"/>
  <c r="Z1207" i="7"/>
  <c r="Z1210" i="7" s="1"/>
  <c r="Z1211" i="7" s="1"/>
  <c r="Z167" i="5" s="1"/>
  <c r="Z168" i="5" l="1"/>
  <c r="Z170" i="5" s="1"/>
  <c r="Z148" i="6"/>
  <c r="Z175" i="6" s="1"/>
  <c r="Z182" i="6"/>
  <c r="Y179" i="2"/>
  <c r="Y1199" i="7"/>
  <c r="Y152" i="2"/>
  <c r="Y183" i="6"/>
  <c r="Y1203" i="7" l="1"/>
  <c r="Y377" i="26"/>
  <c r="Z1180" i="7"/>
  <c r="Z1182" i="7" s="1"/>
  <c r="Z147" i="6"/>
  <c r="Z160" i="6" s="1"/>
  <c r="Z188" i="34"/>
  <c r="Y1200" i="7"/>
  <c r="Y1202" i="7" s="1"/>
  <c r="Y202" i="34"/>
  <c r="Y204" i="34" s="1"/>
  <c r="Y157" i="2"/>
  <c r="Z180" i="34" l="1"/>
  <c r="Z184" i="34" s="1"/>
  <c r="Z1170" i="7"/>
  <c r="Y1185" i="7"/>
  <c r="Y1186" i="7" s="1"/>
  <c r="Y209" i="34" s="1"/>
  <c r="Z1172" i="7" l="1"/>
  <c r="Z1175" i="7"/>
  <c r="Z197" i="34" l="1"/>
  <c r="Z1176" i="7"/>
  <c r="Z176" i="6" s="1"/>
  <c r="Z189" i="34" l="1"/>
  <c r="Z1392" i="7"/>
  <c r="Z1393" i="7" s="1"/>
  <c r="Z178" i="6"/>
  <c r="Z180" i="6" s="1"/>
  <c r="Z181" i="34" l="1"/>
  <c r="Z1208" i="7"/>
  <c r="Z1209" i="7" s="1"/>
  <c r="Z175" i="2"/>
  <c r="Z177" i="2" s="1"/>
  <c r="AA1391" i="7"/>
  <c r="AA1207" i="7" l="1"/>
  <c r="AA1210" i="7" s="1"/>
  <c r="AA1211" i="7" s="1"/>
  <c r="AA167" i="5" s="1"/>
  <c r="Z1212" i="7"/>
  <c r="Z148" i="2"/>
  <c r="Z1183" i="7"/>
  <c r="Z1184" i="7" s="1"/>
  <c r="Z208" i="34" s="1"/>
  <c r="Z178" i="2"/>
  <c r="Z198" i="34"/>
  <c r="AA168" i="5" l="1"/>
  <c r="AA170" i="5" s="1"/>
  <c r="AA148" i="6"/>
  <c r="AA175" i="6" s="1"/>
  <c r="AA182" i="6"/>
  <c r="Z1199" i="7"/>
  <c r="Z183" i="6"/>
  <c r="Z179" i="2"/>
  <c r="Z152" i="2"/>
  <c r="AA147" i="6" l="1"/>
  <c r="AA160" i="6" s="1"/>
  <c r="AA1180" i="7"/>
  <c r="AA1182" i="7" s="1"/>
  <c r="Z1200" i="7"/>
  <c r="Z1202" i="7" s="1"/>
  <c r="Z157" i="2"/>
  <c r="Z202" i="34"/>
  <c r="Z204" i="34" s="1"/>
  <c r="Z377" i="26"/>
  <c r="Z1203" i="7"/>
  <c r="AA188" i="34"/>
  <c r="Z1185" i="7" l="1"/>
  <c r="Z1186" i="7" s="1"/>
  <c r="Z209" i="34" s="1"/>
  <c r="AA180" i="34"/>
  <c r="AA184" i="34" s="1"/>
  <c r="AA1170" i="7"/>
  <c r="AA1172" i="7" l="1"/>
  <c r="AA1175" i="7"/>
  <c r="AA197" i="34" l="1"/>
  <c r="AA1176" i="7"/>
  <c r="AA176" i="6" s="1"/>
  <c r="AA189" i="34" l="1"/>
  <c r="AA1392" i="7"/>
  <c r="AA1393" i="7" s="1"/>
  <c r="AA178" i="6"/>
  <c r="AA180" i="6" s="1"/>
  <c r="AA181" i="34" l="1"/>
  <c r="AA1208" i="7"/>
  <c r="AA1209" i="7" s="1"/>
  <c r="AA175" i="2"/>
  <c r="AA177" i="2" s="1"/>
  <c r="AB1391" i="7"/>
  <c r="AA148" i="2" l="1"/>
  <c r="AB1207" i="7"/>
  <c r="AB1210" i="7" s="1"/>
  <c r="AB1211" i="7" s="1"/>
  <c r="AB167" i="5" s="1"/>
  <c r="AA1212" i="7"/>
  <c r="AA178" i="2"/>
  <c r="AA1183" i="7"/>
  <c r="AA1184" i="7" s="1"/>
  <c r="AA208" i="34" s="1"/>
  <c r="AA198" i="34"/>
  <c r="AB148" i="6" l="1"/>
  <c r="AB175" i="6" s="1"/>
  <c r="AB168" i="5"/>
  <c r="AB170" i="5" s="1"/>
  <c r="AA179" i="2"/>
  <c r="AA152" i="2"/>
  <c r="AA183" i="6"/>
  <c r="AB182" i="6"/>
  <c r="AA1199" i="7"/>
  <c r="AB188" i="34" l="1"/>
  <c r="AA1203" i="7"/>
  <c r="AA377" i="26"/>
  <c r="AB1180" i="7"/>
  <c r="AB1182" i="7" s="1"/>
  <c r="AB147" i="6"/>
  <c r="AB160" i="6" s="1"/>
  <c r="AA202" i="34"/>
  <c r="AA204" i="34" s="1"/>
  <c r="AA157" i="2"/>
  <c r="AA1200" i="7"/>
  <c r="AA1202" i="7" s="1"/>
  <c r="AA1185" i="7" l="1"/>
  <c r="AA1186" i="7" s="1"/>
  <c r="AA209" i="34" s="1"/>
  <c r="AB1170" i="7"/>
  <c r="AB180" i="34"/>
  <c r="AB184" i="34" s="1"/>
  <c r="AB1172" i="7" l="1"/>
  <c r="AB1175" i="7"/>
  <c r="AB197" i="34" l="1"/>
  <c r="AB1176" i="7"/>
  <c r="AB176" i="6" s="1"/>
  <c r="AB189" i="34" l="1"/>
  <c r="AB178" i="6"/>
  <c r="AB180" i="6" s="1"/>
  <c r="AB1392" i="7"/>
  <c r="AB1393" i="7" s="1"/>
  <c r="AB181" i="34" l="1"/>
  <c r="AB1208" i="7"/>
  <c r="AB1209" i="7" s="1"/>
  <c r="AB175" i="2"/>
  <c r="AB177" i="2" s="1"/>
  <c r="AC1391" i="7"/>
  <c r="AB178" i="2" l="1"/>
  <c r="AB198" i="34"/>
  <c r="AB1183" i="7"/>
  <c r="AB1184" i="7" s="1"/>
  <c r="AB208" i="34" s="1"/>
  <c r="AB148" i="2"/>
  <c r="AC1207" i="7"/>
  <c r="AC1210" i="7" s="1"/>
  <c r="AC1211" i="7" s="1"/>
  <c r="AC167" i="5" s="1"/>
  <c r="AB1212" i="7"/>
  <c r="AB179" i="2" l="1"/>
  <c r="AB1199" i="7"/>
  <c r="AB183" i="6"/>
  <c r="AC182" i="6"/>
  <c r="AB152" i="2"/>
  <c r="AC168" i="5"/>
  <c r="AC170" i="5" s="1"/>
  <c r="AC148" i="6"/>
  <c r="AC175" i="6" s="1"/>
  <c r="AC1180" i="7" l="1"/>
  <c r="AC1182" i="7" s="1"/>
  <c r="AC147" i="6"/>
  <c r="AC160" i="6" s="1"/>
  <c r="AB157" i="2"/>
  <c r="AB1200" i="7"/>
  <c r="AB1202" i="7" s="1"/>
  <c r="AB202" i="34"/>
  <c r="AB204" i="34" s="1"/>
  <c r="AC188" i="34"/>
  <c r="AB1203" i="7"/>
  <c r="AB377" i="26"/>
  <c r="AB1185" i="7" l="1"/>
  <c r="AB1186" i="7" s="1"/>
  <c r="AB209" i="34" s="1"/>
  <c r="AC180" i="34"/>
  <c r="AC184" i="34" s="1"/>
  <c r="AC1170" i="7"/>
  <c r="AC1175" i="7" l="1"/>
  <c r="AC1172" i="7"/>
  <c r="AC1176" i="7" l="1"/>
  <c r="AC176" i="6" s="1"/>
  <c r="AC197" i="34"/>
  <c r="AC189" i="34" l="1"/>
  <c r="AC178" i="6"/>
  <c r="AC180" i="6" s="1"/>
  <c r="AC1392" i="7"/>
  <c r="AC1393" i="7" s="1"/>
  <c r="AC181" i="34" l="1"/>
  <c r="AC1208" i="7"/>
  <c r="AC1209" i="7" s="1"/>
  <c r="AC175" i="2"/>
  <c r="AC177" i="2" s="1"/>
  <c r="AD1391" i="7"/>
  <c r="AC1212" i="7" l="1"/>
  <c r="AC148" i="2"/>
  <c r="AD1207" i="7"/>
  <c r="AD1210" i="7" s="1"/>
  <c r="AD1211" i="7" s="1"/>
  <c r="AD167" i="5" s="1"/>
  <c r="AC1183" i="7"/>
  <c r="AC1184" i="7" s="1"/>
  <c r="AC208" i="34" s="1"/>
  <c r="AC178" i="2"/>
  <c r="AC198" i="34"/>
  <c r="AC152" i="2" l="1"/>
  <c r="AC179" i="2"/>
  <c r="AC183" i="6"/>
  <c r="AC1199" i="7"/>
  <c r="AD182" i="6"/>
  <c r="AD168" i="5"/>
  <c r="AD170" i="5" s="1"/>
  <c r="AD148" i="6"/>
  <c r="AD175" i="6" s="1"/>
  <c r="AD147" i="6" l="1"/>
  <c r="AD160" i="6" s="1"/>
  <c r="AD1180" i="7"/>
  <c r="AD1182" i="7" s="1"/>
  <c r="AC157" i="2"/>
  <c r="AC1185" i="7" s="1"/>
  <c r="AC1186" i="7" s="1"/>
  <c r="AC209" i="34" s="1"/>
  <c r="AC1200" i="7"/>
  <c r="AC1202" i="7" s="1"/>
  <c r="AC202" i="34"/>
  <c r="AC204" i="34" s="1"/>
  <c r="AD188" i="34"/>
  <c r="AC377" i="26"/>
  <c r="AC1203" i="7"/>
  <c r="AD180" i="34" l="1"/>
  <c r="AD184" i="34" s="1"/>
  <c r="AD1170" i="7"/>
  <c r="AD1172" i="7" l="1"/>
  <c r="AD1175" i="7"/>
  <c r="AD197" i="34" l="1"/>
  <c r="AD1176" i="7"/>
  <c r="AD176" i="6" s="1"/>
  <c r="AD189" i="34" l="1"/>
  <c r="AD1392" i="7"/>
  <c r="AD1393" i="7" s="1"/>
  <c r="AD178" i="6"/>
  <c r="AD180" i="6" s="1"/>
  <c r="AE1391" i="7" l="1"/>
  <c r="AD175" i="2"/>
  <c r="AD177" i="2" s="1"/>
  <c r="AD181" i="34"/>
  <c r="AD1208" i="7"/>
  <c r="AD1209" i="7" s="1"/>
  <c r="AD148" i="2" l="1"/>
  <c r="AE1207" i="7"/>
  <c r="AE1210" i="7" s="1"/>
  <c r="AE1211" i="7" s="1"/>
  <c r="AE167" i="5" s="1"/>
  <c r="AD1212" i="7"/>
  <c r="AD178" i="2"/>
  <c r="AD198" i="34"/>
  <c r="AD1183" i="7"/>
  <c r="AD1184" i="7" s="1"/>
  <c r="AD208" i="34" s="1"/>
  <c r="AD1199" i="7" l="1"/>
  <c r="AD183" i="6"/>
  <c r="AD152" i="2"/>
  <c r="AE182" i="6"/>
  <c r="AD179" i="2"/>
  <c r="AE148" i="6"/>
  <c r="AE175" i="6" s="1"/>
  <c r="AE168" i="5"/>
  <c r="AE170" i="5" s="1"/>
  <c r="AD202" i="34" l="1"/>
  <c r="AD204" i="34" s="1"/>
  <c r="AD1200" i="7"/>
  <c r="AD1202" i="7" s="1"/>
  <c r="AD157" i="2"/>
  <c r="AD1185" i="7" s="1"/>
  <c r="AD1186" i="7" s="1"/>
  <c r="AD209" i="34" s="1"/>
  <c r="AD1203" i="7"/>
  <c r="AD377" i="26"/>
  <c r="AE188" i="34"/>
  <c r="AE1180" i="7"/>
  <c r="AE1182" i="7" s="1"/>
  <c r="AE147" i="6"/>
  <c r="AE160" i="6" s="1"/>
  <c r="AE180" i="34" l="1"/>
  <c r="AE184" i="34" s="1"/>
  <c r="AE1170" i="7"/>
  <c r="AE1175" i="7" l="1"/>
  <c r="AE1172" i="7"/>
  <c r="AE197" i="34" l="1"/>
  <c r="AE1176" i="7"/>
  <c r="AE176" i="6" s="1"/>
  <c r="AE189" i="34" l="1"/>
  <c r="AE1392" i="7"/>
  <c r="AE1393" i="7" s="1"/>
  <c r="AE178" i="6"/>
  <c r="AE180" i="6" s="1"/>
  <c r="AE1208" i="7" l="1"/>
  <c r="AE1209" i="7" s="1"/>
  <c r="AE181" i="34"/>
  <c r="AF1391" i="7"/>
  <c r="AE175" i="2"/>
  <c r="AE177" i="2" s="1"/>
  <c r="AE1212" i="7" l="1"/>
  <c r="AF1207" i="7"/>
  <c r="AF1210" i="7" s="1"/>
  <c r="AF1211" i="7" s="1"/>
  <c r="AF167" i="5" s="1"/>
  <c r="AE148" i="2"/>
  <c r="AE178" i="2"/>
  <c r="AE1183" i="7"/>
  <c r="AE1184" i="7" s="1"/>
  <c r="AE208" i="34" s="1"/>
  <c r="AE198" i="34"/>
  <c r="AF148" i="6" l="1"/>
  <c r="AF175" i="6" s="1"/>
  <c r="AF168" i="5"/>
  <c r="AF170" i="5" s="1"/>
  <c r="AF182" i="6"/>
  <c r="AE152" i="2"/>
  <c r="AE179" i="2"/>
  <c r="AE1199" i="7"/>
  <c r="AE183" i="6"/>
  <c r="AE1203" i="7" l="1"/>
  <c r="AE377" i="26"/>
  <c r="AF188" i="34"/>
  <c r="AF1180" i="7"/>
  <c r="AF1182" i="7" s="1"/>
  <c r="AF147" i="6"/>
  <c r="AF160" i="6" s="1"/>
  <c r="AE202" i="34"/>
  <c r="AE204" i="34" s="1"/>
  <c r="AE1200" i="7"/>
  <c r="AE1202" i="7" s="1"/>
  <c r="AE157" i="2"/>
  <c r="AE1185" i="7" s="1"/>
  <c r="AE1186" i="7" s="1"/>
  <c r="AE209" i="34" s="1"/>
  <c r="AF180" i="34" l="1"/>
  <c r="AF184" i="34" s="1"/>
  <c r="AF1170" i="7"/>
  <c r="AF1175" i="7" l="1"/>
  <c r="AF1172" i="7"/>
  <c r="AF1176" i="7" l="1"/>
  <c r="AF176" i="6" s="1"/>
  <c r="AF197" i="34"/>
  <c r="AF189" i="34" l="1"/>
  <c r="AF178" i="6"/>
  <c r="AF180" i="6" s="1"/>
  <c r="AF1392" i="7"/>
  <c r="AF1393" i="7" s="1"/>
  <c r="AF175" i="2" l="1"/>
  <c r="AF177" i="2" s="1"/>
  <c r="AG1391" i="7"/>
  <c r="AF1208" i="7"/>
  <c r="AF1209" i="7" s="1"/>
  <c r="AF181" i="34"/>
  <c r="AF1183" i="7" l="1"/>
  <c r="AF1184" i="7" s="1"/>
  <c r="AF208" i="34" s="1"/>
  <c r="AF178" i="2"/>
  <c r="AF198" i="34"/>
  <c r="AF148" i="2"/>
  <c r="AG1207" i="7"/>
  <c r="AG1210" i="7" s="1"/>
  <c r="AG1211" i="7" s="1"/>
  <c r="AG167" i="5" s="1"/>
  <c r="AF1212" i="7"/>
  <c r="AG168" i="5" l="1"/>
  <c r="AG170" i="5" s="1"/>
  <c r="AG148" i="6"/>
  <c r="AG175" i="6" s="1"/>
  <c r="AF179" i="2"/>
  <c r="AF1199" i="7"/>
  <c r="AF152" i="2"/>
  <c r="AF183" i="6"/>
  <c r="AG182" i="6"/>
  <c r="AG188" i="34" l="1"/>
  <c r="AF1203" i="7"/>
  <c r="AF377" i="26"/>
  <c r="AG147" i="6"/>
  <c r="AG160" i="6" s="1"/>
  <c r="AG1180" i="7"/>
  <c r="AG1182" i="7" s="1"/>
  <c r="AF202" i="34"/>
  <c r="AF204" i="34" s="1"/>
  <c r="AF1200" i="7"/>
  <c r="AF1202" i="7" s="1"/>
  <c r="AF157" i="2"/>
  <c r="AF1185" i="7" s="1"/>
  <c r="AF1186" i="7" s="1"/>
  <c r="AF209" i="34" s="1"/>
  <c r="AG180" i="34" l="1"/>
  <c r="AG184" i="34" s="1"/>
  <c r="AG1170" i="7"/>
  <c r="AG1175" i="7" l="1"/>
  <c r="AG1172" i="7"/>
  <c r="AG1176" i="7" l="1"/>
  <c r="AG176" i="6" s="1"/>
  <c r="AG197" i="34"/>
  <c r="AG189" i="34" l="1"/>
  <c r="AG178" i="6"/>
  <c r="AG180" i="6" s="1"/>
  <c r="AG1392" i="7"/>
  <c r="AG1393" i="7" s="1"/>
  <c r="AH1391" i="7" l="1"/>
  <c r="AG175" i="2"/>
  <c r="AG177" i="2" s="1"/>
  <c r="AG181" i="34"/>
  <c r="AG1208" i="7"/>
  <c r="AG1209" i="7" s="1"/>
  <c r="AG1183" i="7" l="1"/>
  <c r="AG1184" i="7" s="1"/>
  <c r="AG208" i="34" s="1"/>
  <c r="AG198" i="34"/>
  <c r="AG178" i="2"/>
  <c r="AG148" i="2"/>
  <c r="AG1212" i="7"/>
  <c r="AH1207" i="7"/>
  <c r="AH1210" i="7" s="1"/>
  <c r="AH1211" i="7" s="1"/>
  <c r="AH167" i="5" s="1"/>
  <c r="AH148" i="6" l="1"/>
  <c r="AH175" i="6" s="1"/>
  <c r="AH188" i="34" s="1"/>
  <c r="AH168" i="5"/>
  <c r="AH170" i="5" s="1"/>
  <c r="AG183" i="6"/>
  <c r="AH182" i="6"/>
  <c r="AG152" i="2"/>
  <c r="AG179" i="2"/>
  <c r="AG1199" i="7"/>
  <c r="AG202" i="34" l="1"/>
  <c r="AG204" i="34" s="1"/>
  <c r="AG157" i="2"/>
  <c r="AG1185" i="7" s="1"/>
  <c r="AG1186" i="7" s="1"/>
  <c r="AG209" i="34" s="1"/>
  <c r="AG1200" i="7"/>
  <c r="AG1202" i="7" s="1"/>
  <c r="AH1180" i="7"/>
  <c r="AH1182" i="7" s="1"/>
  <c r="AH147" i="6"/>
  <c r="AH160" i="6" s="1"/>
  <c r="AG1203" i="7"/>
  <c r="AG377" i="26"/>
  <c r="AH180" i="34" l="1"/>
  <c r="AH184" i="34" s="1"/>
  <c r="AH1170" i="7"/>
  <c r="F97" i="38"/>
  <c r="G97" i="38" s="1"/>
  <c r="F73" i="38"/>
  <c r="F72" i="38"/>
  <c r="G72" i="38" s="1"/>
  <c r="F99" i="38"/>
  <c r="F98" i="38"/>
  <c r="G98" i="38" s="1"/>
  <c r="F71" i="38"/>
  <c r="G71" i="38" s="1"/>
  <c r="AH1175" i="7" l="1"/>
  <c r="AH1172" i="7"/>
  <c r="AH1176" i="7" l="1"/>
  <c r="AH176" i="6" s="1"/>
  <c r="AH197" i="34"/>
  <c r="AH178" i="6" l="1"/>
  <c r="AH180" i="6" s="1"/>
  <c r="AH189" i="34"/>
  <c r="AH1392" i="7"/>
  <c r="AH1393" i="7" s="1"/>
  <c r="AH175" i="2" s="1"/>
  <c r="AH177" i="2" s="1"/>
  <c r="F111" i="38"/>
  <c r="F109" i="38"/>
  <c r="F75" i="38"/>
  <c r="G75" i="38" s="1"/>
  <c r="F110" i="38"/>
  <c r="G110" i="38" s="1"/>
  <c r="F77" i="38"/>
  <c r="F76" i="38"/>
  <c r="G76" i="38" s="1"/>
  <c r="AH178" i="2" l="1"/>
  <c r="AH198" i="34"/>
  <c r="AH1183" i="7"/>
  <c r="AH1184" i="7" s="1"/>
  <c r="G109" i="38"/>
  <c r="K23" i="31"/>
  <c r="AH181" i="34"/>
  <c r="AH1208" i="7"/>
  <c r="AH1209" i="7" s="1"/>
  <c r="AH148" i="2" l="1"/>
  <c r="AH1212" i="7"/>
  <c r="O113" i="38" s="1"/>
  <c r="F113" i="38"/>
  <c r="G113" i="38" s="1"/>
  <c r="F114" i="38"/>
  <c r="G114" i="38" s="1"/>
  <c r="F115" i="38"/>
  <c r="F101" i="38"/>
  <c r="F103" i="38"/>
  <c r="F102" i="38"/>
  <c r="G102" i="38" s="1"/>
  <c r="AH208" i="34"/>
  <c r="G101" i="38" l="1"/>
  <c r="K24" i="31"/>
  <c r="AH1199" i="7"/>
  <c r="AH183" i="6"/>
  <c r="AH152" i="2"/>
  <c r="AH179" i="2"/>
  <c r="O114" i="38" s="1"/>
  <c r="Q114" i="38" s="1"/>
  <c r="K25" i="31"/>
  <c r="Q113" i="38"/>
  <c r="AH1203" i="7" l="1"/>
  <c r="AH377" i="26"/>
  <c r="K21" i="31"/>
  <c r="AH202" i="34"/>
  <c r="AH204" i="34" s="1"/>
  <c r="AH1200" i="7"/>
  <c r="AH1202" i="7" s="1"/>
  <c r="AH157" i="2"/>
  <c r="AH1185" i="7" l="1"/>
  <c r="AH1186" i="7" s="1"/>
  <c r="O112" i="38"/>
  <c r="Q112" i="38" s="1"/>
  <c r="F85" i="38"/>
  <c r="F84" i="38"/>
  <c r="G84" i="38" s="1"/>
  <c r="F83" i="38"/>
  <c r="G83" i="38" s="1"/>
  <c r="N103" i="38"/>
  <c r="N101" i="38"/>
  <c r="O101" i="38" s="1"/>
  <c r="N102" i="38"/>
  <c r="O102" i="38" s="1"/>
  <c r="N106" i="38"/>
  <c r="O106" i="38" s="1"/>
  <c r="N107" i="38"/>
  <c r="N105" i="38"/>
  <c r="O105" i="38" s="1"/>
  <c r="F107" i="38" l="1"/>
  <c r="F106" i="38"/>
  <c r="G106" i="38" s="1"/>
  <c r="F105" i="38"/>
  <c r="G105" i="38" s="1"/>
  <c r="AH209" i="34"/>
  <c r="D335" i="7"/>
  <c r="D451" i="1"/>
  <c r="D328" i="7" s="1"/>
  <c r="D329" i="7" s="1"/>
  <c r="D330" i="7" s="1"/>
  <c r="D331" i="7" s="1"/>
  <c r="D332" i="7" s="1"/>
  <c r="L335" i="7"/>
  <c r="P335" i="7"/>
  <c r="R335" i="7"/>
  <c r="U335" i="7"/>
  <c r="V335" i="7"/>
  <c r="Z335" i="7"/>
  <c r="G335" i="7"/>
  <c r="H335" i="7"/>
  <c r="I335" i="7"/>
  <c r="J335" i="7"/>
  <c r="K335" i="7"/>
  <c r="M335" i="7"/>
  <c r="N335" i="7"/>
  <c r="O335" i="7"/>
  <c r="Q335" i="7"/>
  <c r="S335" i="7"/>
  <c r="T335" i="7"/>
  <c r="W335" i="7"/>
  <c r="X335" i="7"/>
  <c r="Y335" i="7"/>
  <c r="AA335" i="7"/>
  <c r="AB335" i="7"/>
  <c r="AC335" i="7"/>
  <c r="AD335" i="7"/>
  <c r="AE335" i="7"/>
  <c r="AF335" i="7"/>
  <c r="E335" i="7"/>
  <c r="AG335" i="7"/>
  <c r="AH335" i="7"/>
  <c r="F335" i="7"/>
  <c r="H339" i="7" l="1"/>
  <c r="U340" i="7"/>
  <c r="AC339" i="7"/>
  <c r="Q340" i="7"/>
  <c r="K339" i="7"/>
  <c r="G338" i="7"/>
  <c r="AG337" i="7"/>
  <c r="AD339" i="7"/>
  <c r="S339" i="7"/>
  <c r="AH336" i="7"/>
  <c r="AE339" i="7"/>
  <c r="AA340" i="7"/>
  <c r="T339" i="7"/>
  <c r="N339" i="7"/>
  <c r="I339" i="7"/>
  <c r="L337" i="7"/>
  <c r="AF337" i="7"/>
  <c r="AB339" i="7"/>
  <c r="W340" i="7"/>
  <c r="J339" i="7"/>
  <c r="Z339" i="7"/>
  <c r="P339" i="7"/>
  <c r="AF339" i="7"/>
  <c r="AG339" i="7"/>
  <c r="F336" i="7"/>
  <c r="F338" i="7"/>
  <c r="E340" i="7"/>
  <c r="E336" i="7"/>
  <c r="E338" i="7"/>
  <c r="E337" i="7"/>
  <c r="Y336" i="7"/>
  <c r="Y338" i="7"/>
  <c r="M336" i="7"/>
  <c r="M338" i="7"/>
  <c r="M337" i="7"/>
  <c r="R336" i="7"/>
  <c r="R338" i="7"/>
  <c r="R337" i="7"/>
  <c r="R340" i="7"/>
  <c r="AF340" i="7"/>
  <c r="Q339" i="7"/>
  <c r="G339" i="7"/>
  <c r="AH338" i="7"/>
  <c r="U339" i="7"/>
  <c r="AB336" i="7"/>
  <c r="AB338" i="7"/>
  <c r="AB337" i="7"/>
  <c r="T336" i="7"/>
  <c r="T340" i="7"/>
  <c r="T338" i="7"/>
  <c r="T337" i="7"/>
  <c r="N338" i="7"/>
  <c r="N336" i="7"/>
  <c r="N337" i="7"/>
  <c r="K336" i="7"/>
  <c r="K338" i="7"/>
  <c r="K340" i="7"/>
  <c r="J336" i="7"/>
  <c r="J338" i="7"/>
  <c r="J337" i="7"/>
  <c r="J340" i="7"/>
  <c r="I336" i="7"/>
  <c r="I337" i="7"/>
  <c r="I338" i="7"/>
  <c r="Z338" i="7"/>
  <c r="Z336" i="7"/>
  <c r="Z337" i="7"/>
  <c r="Z340" i="7"/>
  <c r="F340" i="7"/>
  <c r="AH339" i="7"/>
  <c r="F339" i="7"/>
  <c r="E339" i="7"/>
  <c r="AB340" i="7"/>
  <c r="Y339" i="7"/>
  <c r="M339" i="7"/>
  <c r="M340" i="7"/>
  <c r="N340" i="7"/>
  <c r="Y340" i="7"/>
  <c r="R339" i="7"/>
  <c r="Y337" i="7"/>
  <c r="AG336" i="7"/>
  <c r="AG338" i="7"/>
  <c r="AE336" i="7"/>
  <c r="AE337" i="7"/>
  <c r="AE338" i="7"/>
  <c r="AC338" i="7"/>
  <c r="AC336" i="7"/>
  <c r="AA338" i="7"/>
  <c r="AA336" i="7"/>
  <c r="AA337" i="7"/>
  <c r="X336" i="7"/>
  <c r="X338" i="7"/>
  <c r="X340" i="7"/>
  <c r="X337" i="7"/>
  <c r="W338" i="7"/>
  <c r="W336" i="7"/>
  <c r="S336" i="7"/>
  <c r="S337" i="7"/>
  <c r="S338" i="7"/>
  <c r="O336" i="7"/>
  <c r="O338" i="7"/>
  <c r="O337" i="7"/>
  <c r="V336" i="7"/>
  <c r="V340" i="7"/>
  <c r="AE340" i="7"/>
  <c r="AC337" i="7"/>
  <c r="W337" i="7"/>
  <c r="V338" i="7"/>
  <c r="AF338" i="7"/>
  <c r="AF336" i="7"/>
  <c r="AD336" i="7"/>
  <c r="AD338" i="7"/>
  <c r="Q336" i="7"/>
  <c r="Q338" i="7"/>
  <c r="Q337" i="7"/>
  <c r="H336" i="7"/>
  <c r="H338" i="7"/>
  <c r="H340" i="7"/>
  <c r="H337" i="7"/>
  <c r="G336" i="7"/>
  <c r="G337" i="7"/>
  <c r="G340" i="7"/>
  <c r="U336" i="7"/>
  <c r="U337" i="7"/>
  <c r="U338" i="7"/>
  <c r="P336" i="7"/>
  <c r="P338" i="7"/>
  <c r="P340" i="7"/>
  <c r="P337" i="7"/>
  <c r="L336" i="7"/>
  <c r="L338" i="7"/>
  <c r="L340" i="7"/>
  <c r="L339" i="7"/>
  <c r="F337" i="7"/>
  <c r="AH340" i="7"/>
  <c r="AG340" i="7"/>
  <c r="AD340" i="7"/>
  <c r="AD337" i="7"/>
  <c r="AC340" i="7"/>
  <c r="AA339" i="7"/>
  <c r="X339" i="7"/>
  <c r="W339" i="7"/>
  <c r="S340" i="7"/>
  <c r="O339" i="7"/>
  <c r="AH337" i="7"/>
  <c r="V339" i="7"/>
  <c r="O340" i="7"/>
  <c r="I340" i="7"/>
  <c r="V337" i="7"/>
  <c r="K337" i="7"/>
  <c r="D453" i="1"/>
  <c r="D452" i="1"/>
  <c r="D1241" i="7"/>
  <c r="D351" i="7"/>
  <c r="D463" i="1"/>
  <c r="D344" i="7" s="1"/>
  <c r="D345" i="7" s="1"/>
  <c r="D346" i="7" s="1"/>
  <c r="D347" i="7" s="1"/>
  <c r="D348" i="7" s="1"/>
  <c r="AF351" i="7"/>
  <c r="AF352" i="7" s="1"/>
  <c r="X351" i="7"/>
  <c r="X352" i="7" s="1"/>
  <c r="N351" i="7"/>
  <c r="N352" i="7" s="1"/>
  <c r="T351" i="7"/>
  <c r="T352" i="7" s="1"/>
  <c r="U351" i="7"/>
  <c r="U352" i="7" s="1"/>
  <c r="G351" i="7"/>
  <c r="G352" i="7" s="1"/>
  <c r="J351" i="7"/>
  <c r="J352" i="7" s="1"/>
  <c r="O351" i="7"/>
  <c r="O352" i="7" s="1"/>
  <c r="Z351" i="7"/>
  <c r="Z352" i="7" s="1"/>
  <c r="AH351" i="7"/>
  <c r="AH352" i="7" s="1"/>
  <c r="R351" i="7"/>
  <c r="R352" i="7" s="1"/>
  <c r="AD351" i="7"/>
  <c r="AD352" i="7" s="1"/>
  <c r="AC351" i="7"/>
  <c r="AC352" i="7" s="1"/>
  <c r="Q351" i="7"/>
  <c r="Q352" i="7" s="1"/>
  <c r="I351" i="7"/>
  <c r="I352" i="7" s="1"/>
  <c r="L351" i="7"/>
  <c r="L352" i="7" s="1"/>
  <c r="P351" i="7"/>
  <c r="P352" i="7" s="1"/>
  <c r="H351" i="7"/>
  <c r="H352" i="7" s="1"/>
  <c r="W351" i="7"/>
  <c r="W352" i="7" s="1"/>
  <c r="V351" i="7"/>
  <c r="V352" i="7" s="1"/>
  <c r="K351" i="7"/>
  <c r="K352" i="7" s="1"/>
  <c r="AG351" i="7"/>
  <c r="AG352" i="7" s="1"/>
  <c r="S351" i="7"/>
  <c r="S352" i="7" s="1"/>
  <c r="AA351" i="7"/>
  <c r="AA352" i="7" s="1"/>
  <c r="M351" i="7"/>
  <c r="M352" i="7" s="1"/>
  <c r="AE351" i="7"/>
  <c r="AE352" i="7" s="1"/>
  <c r="F351" i="7"/>
  <c r="F352" i="7" s="1"/>
  <c r="Y351" i="7"/>
  <c r="Y352" i="7" s="1"/>
  <c r="AB351" i="7"/>
  <c r="AB352" i="7" s="1"/>
  <c r="E351" i="7"/>
  <c r="E353" i="7" s="1"/>
  <c r="R277" i="7" l="1"/>
  <c r="R276" i="7" s="1"/>
  <c r="R1430" i="7" s="1"/>
  <c r="J277" i="7"/>
  <c r="J276" i="7" s="1"/>
  <c r="J1430" i="7" s="1"/>
  <c r="W277" i="7"/>
  <c r="W276" i="7" s="1"/>
  <c r="W1430" i="7" s="1"/>
  <c r="X277" i="7"/>
  <c r="X276" i="7" s="1"/>
  <c r="X1430" i="7" s="1"/>
  <c r="AH248" i="7"/>
  <c r="AH247" i="7" s="1"/>
  <c r="AH1429" i="7" s="1"/>
  <c r="H248" i="7"/>
  <c r="H247" i="7" s="1"/>
  <c r="H1429" i="7" s="1"/>
  <c r="Z248" i="7"/>
  <c r="Z247" i="7" s="1"/>
  <c r="Z1429" i="7" s="1"/>
  <c r="AF248" i="7"/>
  <c r="AF247" i="7" s="1"/>
  <c r="AF1429" i="7" s="1"/>
  <c r="N248" i="7"/>
  <c r="N247" i="7" s="1"/>
  <c r="N1429" i="7" s="1"/>
  <c r="F277" i="7"/>
  <c r="F276" i="7" s="1"/>
  <c r="F1430" i="7" s="1"/>
  <c r="Z277" i="7"/>
  <c r="Z276" i="7" s="1"/>
  <c r="Z1430" i="7" s="1"/>
  <c r="W248" i="7"/>
  <c r="W247" i="7" s="1"/>
  <c r="W1429" i="7" s="1"/>
  <c r="AF277" i="7"/>
  <c r="AF276" i="7" s="1"/>
  <c r="AF1430" i="7" s="1"/>
  <c r="V277" i="7"/>
  <c r="V276" i="7" s="1"/>
  <c r="V1430" i="7" s="1"/>
  <c r="T248" i="7"/>
  <c r="T247" i="7" s="1"/>
  <c r="T1429" i="7" s="1"/>
  <c r="AE248" i="7"/>
  <c r="AE247" i="7" s="1"/>
  <c r="AE1429" i="7" s="1"/>
  <c r="S277" i="7"/>
  <c r="S276" i="7" s="1"/>
  <c r="S1430" i="7" s="1"/>
  <c r="G248" i="7"/>
  <c r="G247" i="7" s="1"/>
  <c r="G1429" i="7" s="1"/>
  <c r="R248" i="7"/>
  <c r="R247" i="7" s="1"/>
  <c r="R1429" i="7" s="1"/>
  <c r="X248" i="7"/>
  <c r="X247" i="7" s="1"/>
  <c r="X1429" i="7" s="1"/>
  <c r="U277" i="7"/>
  <c r="U276" i="7" s="1"/>
  <c r="U1430" i="7" s="1"/>
  <c r="AG277" i="7"/>
  <c r="AG276" i="7" s="1"/>
  <c r="AG1430" i="7" s="1"/>
  <c r="AA248" i="7"/>
  <c r="AA247" i="7" s="1"/>
  <c r="AA1429" i="7" s="1"/>
  <c r="AG248" i="7"/>
  <c r="AG247" i="7" s="1"/>
  <c r="AG1429" i="7" s="1"/>
  <c r="P277" i="7"/>
  <c r="P276" i="7" s="1"/>
  <c r="P1430" i="7" s="1"/>
  <c r="O248" i="7"/>
  <c r="O247" i="7" s="1"/>
  <c r="O1429" i="7" s="1"/>
  <c r="AB277" i="7"/>
  <c r="AB276" i="7" s="1"/>
  <c r="AB1430" i="7" s="1"/>
  <c r="I248" i="7"/>
  <c r="I247" i="7" s="1"/>
  <c r="I1429" i="7" s="1"/>
  <c r="N277" i="7"/>
  <c r="N276" i="7" s="1"/>
  <c r="N1430" i="7" s="1"/>
  <c r="AA277" i="7"/>
  <c r="AA276" i="7" s="1"/>
  <c r="AA1430" i="7" s="1"/>
  <c r="AH277" i="7"/>
  <c r="AH276" i="7" s="1"/>
  <c r="AH1430" i="7" s="1"/>
  <c r="AD277" i="7"/>
  <c r="AD276" i="7" s="1"/>
  <c r="AD1430" i="7" s="1"/>
  <c r="M248" i="7"/>
  <c r="M247" i="7" s="1"/>
  <c r="M1429" i="7" s="1"/>
  <c r="Q248" i="7"/>
  <c r="Q247" i="7" s="1"/>
  <c r="Q1429" i="7" s="1"/>
  <c r="AC248" i="7"/>
  <c r="AC247" i="7" s="1"/>
  <c r="AC1429" i="7" s="1"/>
  <c r="Y248" i="7"/>
  <c r="Y247" i="7" s="1"/>
  <c r="Y1429" i="7" s="1"/>
  <c r="AD248" i="7"/>
  <c r="AD247" i="7" s="1"/>
  <c r="AD1429" i="7" s="1"/>
  <c r="U248" i="7"/>
  <c r="U247" i="7" s="1"/>
  <c r="U1429" i="7" s="1"/>
  <c r="P248" i="7"/>
  <c r="P247" i="7" s="1"/>
  <c r="P1429" i="7" s="1"/>
  <c r="O277" i="7"/>
  <c r="O276" i="7" s="1"/>
  <c r="O1430" i="7" s="1"/>
  <c r="AB248" i="7"/>
  <c r="AB247" i="7" s="1"/>
  <c r="AB1429" i="7" s="1"/>
  <c r="L277" i="7"/>
  <c r="L276" i="7" s="1"/>
  <c r="L1430" i="7" s="1"/>
  <c r="V248" i="7"/>
  <c r="V247" i="7" s="1"/>
  <c r="V1429" i="7" s="1"/>
  <c r="T277" i="7"/>
  <c r="T276" i="7" s="1"/>
  <c r="T1430" i="7" s="1"/>
  <c r="AE277" i="7"/>
  <c r="AE276" i="7" s="1"/>
  <c r="AE1430" i="7" s="1"/>
  <c r="S248" i="7"/>
  <c r="S247" i="7" s="1"/>
  <c r="S1429" i="7" s="1"/>
  <c r="K248" i="7"/>
  <c r="K247" i="7" s="1"/>
  <c r="K1429" i="7" s="1"/>
  <c r="Q277" i="7"/>
  <c r="Q276" i="7" s="1"/>
  <c r="Q1430" i="7" s="1"/>
  <c r="AC277" i="7"/>
  <c r="AC276" i="7" s="1"/>
  <c r="AC1430" i="7" s="1"/>
  <c r="Y277" i="7"/>
  <c r="Y276" i="7" s="1"/>
  <c r="Y1430" i="7" s="1"/>
  <c r="T505" i="7"/>
  <c r="T1500" i="7" s="1"/>
  <c r="S505" i="7"/>
  <c r="S1500" i="7" s="1"/>
  <c r="AC505" i="7"/>
  <c r="AC1500" i="7" s="1"/>
  <c r="AG505" i="7"/>
  <c r="AG1500" i="7" s="1"/>
  <c r="P505" i="7"/>
  <c r="P1500" i="7" s="1"/>
  <c r="AB505" i="7"/>
  <c r="AB1500" i="7" s="1"/>
  <c r="V505" i="7"/>
  <c r="V1500" i="7" s="1"/>
  <c r="Y505" i="7"/>
  <c r="Y1500" i="7" s="1"/>
  <c r="O505" i="7"/>
  <c r="O1500" i="7" s="1"/>
  <c r="Z505" i="7"/>
  <c r="Z1500" i="7" s="1"/>
  <c r="W505" i="7"/>
  <c r="W1500" i="7" s="1"/>
  <c r="AF505" i="7"/>
  <c r="AF1500" i="7" s="1"/>
  <c r="X505" i="7"/>
  <c r="X1500" i="7" s="1"/>
  <c r="AE505" i="7"/>
  <c r="AE1500" i="7" s="1"/>
  <c r="N505" i="7"/>
  <c r="N1500" i="7" s="1"/>
  <c r="AA505" i="7"/>
  <c r="AA1500" i="7" s="1"/>
  <c r="AH505" i="7"/>
  <c r="AH1500" i="7" s="1"/>
  <c r="AD505" i="7"/>
  <c r="AD1500" i="7" s="1"/>
  <c r="R505" i="7"/>
  <c r="R1500" i="7" s="1"/>
  <c r="Q505" i="7"/>
  <c r="Q1500" i="7" s="1"/>
  <c r="U505" i="7"/>
  <c r="U1500" i="7" s="1"/>
  <c r="Z356" i="7"/>
  <c r="Z284" i="7" s="1"/>
  <c r="Z1438" i="7" s="1"/>
  <c r="G354" i="7"/>
  <c r="G505" i="7" s="1"/>
  <c r="M356" i="7"/>
  <c r="M284" i="7" s="1"/>
  <c r="M1438" i="7" s="1"/>
  <c r="V355" i="7"/>
  <c r="AC353" i="7"/>
  <c r="AC80" i="6" s="1"/>
  <c r="AC35" i="6" s="1"/>
  <c r="R355" i="7"/>
  <c r="X353" i="7"/>
  <c r="W74" i="2" s="1"/>
  <c r="W29" i="2" s="1"/>
  <c r="AA354" i="7"/>
  <c r="K356" i="7"/>
  <c r="K284" i="7" s="1"/>
  <c r="K1438" i="7" s="1"/>
  <c r="AD356" i="7"/>
  <c r="AD284" i="7" s="1"/>
  <c r="AD1438" i="7" s="1"/>
  <c r="AF353" i="7"/>
  <c r="AF80" i="6" s="1"/>
  <c r="AF35" i="6" s="1"/>
  <c r="AB356" i="7"/>
  <c r="AB284" i="7" s="1"/>
  <c r="AB1438" i="7" s="1"/>
  <c r="U356" i="7"/>
  <c r="U284" i="7" s="1"/>
  <c r="U1438" i="7" s="1"/>
  <c r="Y354" i="7"/>
  <c r="H354" i="7"/>
  <c r="H505" i="7" s="1"/>
  <c r="H1500" i="7" s="1"/>
  <c r="T355" i="7"/>
  <c r="F356" i="7"/>
  <c r="F284" i="7" s="1"/>
  <c r="E356" i="7"/>
  <c r="E284" i="7" s="1"/>
  <c r="AE354" i="7"/>
  <c r="E354" i="7"/>
  <c r="AG354" i="7"/>
  <c r="Y356" i="7"/>
  <c r="Y284" i="7" s="1"/>
  <c r="I353" i="7"/>
  <c r="I277" i="7" s="1"/>
  <c r="I276" i="7" s="1"/>
  <c r="I1430" i="7" s="1"/>
  <c r="Q354" i="7"/>
  <c r="H355" i="7"/>
  <c r="O356" i="7"/>
  <c r="O284" i="7" s="1"/>
  <c r="AE356" i="7"/>
  <c r="AE284" i="7" s="1"/>
  <c r="W356" i="7"/>
  <c r="W284" i="7" s="1"/>
  <c r="Z355" i="7"/>
  <c r="AC355" i="7"/>
  <c r="G356" i="7"/>
  <c r="G284" i="7" s="1"/>
  <c r="V353" i="7"/>
  <c r="T353" i="7"/>
  <c r="AH354" i="7"/>
  <c r="AH77" i="2" s="1"/>
  <c r="S354" i="7"/>
  <c r="U354" i="7"/>
  <c r="T356" i="7"/>
  <c r="T284" i="7" s="1"/>
  <c r="K353" i="7"/>
  <c r="K277" i="7" s="1"/>
  <c r="K276" i="7" s="1"/>
  <c r="K1430" i="7" s="1"/>
  <c r="AD353" i="7"/>
  <c r="M355" i="7"/>
  <c r="M354" i="7"/>
  <c r="M505" i="7" s="1"/>
  <c r="M1500" i="7" s="1"/>
  <c r="N353" i="7"/>
  <c r="N356" i="7"/>
  <c r="N284" i="7" s="1"/>
  <c r="G353" i="7"/>
  <c r="G277" i="7" s="1"/>
  <c r="G276" i="7" s="1"/>
  <c r="G1430" i="7" s="1"/>
  <c r="AB355" i="7"/>
  <c r="P355" i="7"/>
  <c r="L353" i="7"/>
  <c r="L248" i="7" s="1"/>
  <c r="L247" i="7" s="1"/>
  <c r="L1429" i="7" s="1"/>
  <c r="AG355" i="7"/>
  <c r="K354" i="7"/>
  <c r="K505" i="7" s="1"/>
  <c r="K1500" i="7" s="1"/>
  <c r="V356" i="7"/>
  <c r="V284" i="7" s="1"/>
  <c r="R356" i="7"/>
  <c r="R284" i="7" s="1"/>
  <c r="W355" i="7"/>
  <c r="AG356" i="7"/>
  <c r="AG284" i="7" s="1"/>
  <c r="V354" i="7"/>
  <c r="Q353" i="7"/>
  <c r="AH353" i="7"/>
  <c r="J355" i="7"/>
  <c r="G355" i="7"/>
  <c r="F354" i="7"/>
  <c r="F505" i="7" s="1"/>
  <c r="AF356" i="7"/>
  <c r="AF284" i="7" s="1"/>
  <c r="AH356" i="7"/>
  <c r="AH284" i="7" s="1"/>
  <c r="X355" i="7"/>
  <c r="AF354" i="7"/>
  <c r="U353" i="7"/>
  <c r="H353" i="7"/>
  <c r="H277" i="7" s="1"/>
  <c r="H276" i="7" s="1"/>
  <c r="H1430" i="7" s="1"/>
  <c r="E355" i="7"/>
  <c r="E80" i="5" s="1"/>
  <c r="AE353" i="7"/>
  <c r="U355" i="7"/>
  <c r="O355" i="7"/>
  <c r="O353" i="7"/>
  <c r="AF355" i="7"/>
  <c r="AD355" i="7"/>
  <c r="F355" i="7"/>
  <c r="F80" i="5" s="1"/>
  <c r="P356" i="7"/>
  <c r="P284" i="7" s="1"/>
  <c r="S355" i="7"/>
  <c r="AC356" i="7"/>
  <c r="AC284" i="7" s="1"/>
  <c r="AA355" i="7"/>
  <c r="H356" i="7"/>
  <c r="H284" i="7" s="1"/>
  <c r="W353" i="7"/>
  <c r="I354" i="7"/>
  <c r="I505" i="7" s="1"/>
  <c r="I1500" i="7" s="1"/>
  <c r="T354" i="7"/>
  <c r="J354" i="7"/>
  <c r="J505" i="7" s="1"/>
  <c r="J1500" i="7" s="1"/>
  <c r="X356" i="7"/>
  <c r="X284" i="7" s="1"/>
  <c r="AA353" i="7"/>
  <c r="AB353" i="7"/>
  <c r="M353" i="7"/>
  <c r="M277" i="7" s="1"/>
  <c r="M276" i="7" s="1"/>
  <c r="M1430" i="7" s="1"/>
  <c r="AC354" i="7"/>
  <c r="R354" i="7"/>
  <c r="L355" i="7"/>
  <c r="I355" i="7"/>
  <c r="Q356" i="7"/>
  <c r="Q284" i="7" s="1"/>
  <c r="S356" i="7"/>
  <c r="S284" i="7" s="1"/>
  <c r="W354" i="7"/>
  <c r="P353" i="7"/>
  <c r="L354" i="7"/>
  <c r="L505" i="7" s="1"/>
  <c r="L1500" i="7" s="1"/>
  <c r="F353" i="7"/>
  <c r="F248" i="7" s="1"/>
  <c r="F247" i="7" s="1"/>
  <c r="F1429" i="7" s="1"/>
  <c r="AH355" i="7"/>
  <c r="AD354" i="7"/>
  <c r="E352" i="7"/>
  <c r="L19" i="36" s="1"/>
  <c r="L16" i="35" s="1"/>
  <c r="Y355" i="7"/>
  <c r="P354" i="7"/>
  <c r="J356" i="7"/>
  <c r="J284" i="7" s="1"/>
  <c r="AA356" i="7"/>
  <c r="AA284" i="7" s="1"/>
  <c r="N355" i="7"/>
  <c r="K355" i="7"/>
  <c r="S353" i="7"/>
  <c r="N354" i="7"/>
  <c r="O354" i="7"/>
  <c r="AB354" i="7"/>
  <c r="L356" i="7"/>
  <c r="L284" i="7" s="1"/>
  <c r="J353" i="7"/>
  <c r="J248" i="7" s="1"/>
  <c r="J247" i="7" s="1"/>
  <c r="J1429" i="7" s="1"/>
  <c r="Z354" i="7"/>
  <c r="Q355" i="7"/>
  <c r="I356" i="7"/>
  <c r="I284" i="7" s="1"/>
  <c r="R353" i="7"/>
  <c r="X354" i="7"/>
  <c r="Y353" i="7"/>
  <c r="Z353" i="7"/>
  <c r="AE355" i="7"/>
  <c r="AG353" i="7"/>
  <c r="D464" i="1"/>
  <c r="D465" i="1"/>
  <c r="AB74" i="2" l="1"/>
  <c r="AB29" i="2" s="1"/>
  <c r="K59" i="6"/>
  <c r="K14" i="6" s="1"/>
  <c r="F59" i="6"/>
  <c r="F14" i="6" s="1"/>
  <c r="M307" i="7"/>
  <c r="M59" i="6"/>
  <c r="M14" i="6" s="1"/>
  <c r="Y59" i="6"/>
  <c r="Y14" i="6" s="1"/>
  <c r="Y72" i="5"/>
  <c r="Y74" i="5" s="1"/>
  <c r="Y78" i="5" s="1"/>
  <c r="AH307" i="7"/>
  <c r="AH59" i="6"/>
  <c r="AH14" i="6" s="1"/>
  <c r="U72" i="5"/>
  <c r="U74" i="5" s="1"/>
  <c r="U78" i="5" s="1"/>
  <c r="U59" i="6"/>
  <c r="U14" i="6" s="1"/>
  <c r="X59" i="6"/>
  <c r="X14" i="6" s="1"/>
  <c r="X72" i="5"/>
  <c r="X74" i="5" s="1"/>
  <c r="X78" i="5" s="1"/>
  <c r="V307" i="7"/>
  <c r="V59" i="6"/>
  <c r="V14" i="6" s="1"/>
  <c r="AE307" i="7"/>
  <c r="AE59" i="6"/>
  <c r="AE14" i="6" s="1"/>
  <c r="Q59" i="6"/>
  <c r="Q14" i="6" s="1"/>
  <c r="Q72" i="5"/>
  <c r="Q74" i="5" s="1"/>
  <c r="Q78" i="5" s="1"/>
  <c r="O72" i="5"/>
  <c r="O74" i="5" s="1"/>
  <c r="O78" i="5" s="1"/>
  <c r="O59" i="6"/>
  <c r="O14" i="6" s="1"/>
  <c r="R59" i="6"/>
  <c r="R14" i="6" s="1"/>
  <c r="R307" i="7"/>
  <c r="R441" i="1" s="1"/>
  <c r="Z305" i="7"/>
  <c r="Z1467" i="7" s="1"/>
  <c r="AA72" i="5"/>
  <c r="AA74" i="5" s="1"/>
  <c r="AA78" i="5" s="1"/>
  <c r="AA59" i="6"/>
  <c r="AA14" i="6" s="1"/>
  <c r="Z307" i="7"/>
  <c r="Z59" i="6"/>
  <c r="Z14" i="6" s="1"/>
  <c r="S72" i="5"/>
  <c r="S74" i="5" s="1"/>
  <c r="S78" i="5" s="1"/>
  <c r="S59" i="6"/>
  <c r="S14" i="6" s="1"/>
  <c r="AG72" i="5"/>
  <c r="AG74" i="5" s="1"/>
  <c r="AG78" i="5" s="1"/>
  <c r="AG59" i="6"/>
  <c r="AG14" i="6" s="1"/>
  <c r="T59" i="6"/>
  <c r="T14" i="6" s="1"/>
  <c r="T307" i="7"/>
  <c r="P59" i="6"/>
  <c r="P14" i="6" s="1"/>
  <c r="P307" i="7"/>
  <c r="AC72" i="5"/>
  <c r="AC74" i="5" s="1"/>
  <c r="AC78" i="5" s="1"/>
  <c r="AC59" i="6"/>
  <c r="AC14" i="6" s="1"/>
  <c r="AB59" i="6"/>
  <c r="AB14" i="6" s="1"/>
  <c r="AB72" i="5"/>
  <c r="AB74" i="5" s="1"/>
  <c r="AB78" i="5" s="1"/>
  <c r="AF59" i="6"/>
  <c r="AF14" i="6" s="1"/>
  <c r="AF307" i="7"/>
  <c r="N72" i="5"/>
  <c r="N74" i="5" s="1"/>
  <c r="N78" i="5" s="1"/>
  <c r="N59" i="6"/>
  <c r="N14" i="6" s="1"/>
  <c r="AD59" i="6"/>
  <c r="AD14" i="6" s="1"/>
  <c r="AD72" i="5"/>
  <c r="AD74" i="5" s="1"/>
  <c r="AD78" i="5" s="1"/>
  <c r="W72" i="5"/>
  <c r="W74" i="5" s="1"/>
  <c r="W78" i="5" s="1"/>
  <c r="W59" i="6"/>
  <c r="W14" i="6" s="1"/>
  <c r="K72" i="5"/>
  <c r="K74" i="5" s="1"/>
  <c r="K78" i="5" s="1"/>
  <c r="L307" i="7"/>
  <c r="J307" i="7"/>
  <c r="I59" i="6"/>
  <c r="I14" i="6" s="1"/>
  <c r="I307" i="7"/>
  <c r="G59" i="6"/>
  <c r="G14" i="6" s="1"/>
  <c r="H307" i="7"/>
  <c r="H59" i="6"/>
  <c r="H14" i="6" s="1"/>
  <c r="G1500" i="7"/>
  <c r="AC244" i="1"/>
  <c r="Z244" i="1"/>
  <c r="V244" i="1"/>
  <c r="G244" i="1"/>
  <c r="T244" i="1"/>
  <c r="AD244" i="1"/>
  <c r="AB244" i="1"/>
  <c r="X244" i="1"/>
  <c r="H244" i="1"/>
  <c r="W244" i="1"/>
  <c r="AE244" i="1"/>
  <c r="S244" i="1"/>
  <c r="U244" i="1"/>
  <c r="F244" i="1"/>
  <c r="M244" i="1"/>
  <c r="N244" i="1"/>
  <c r="R244" i="1"/>
  <c r="AA244" i="1"/>
  <c r="P244" i="1"/>
  <c r="AG244" i="1"/>
  <c r="I244" i="1"/>
  <c r="Q244" i="1"/>
  <c r="O244" i="1"/>
  <c r="K244" i="1"/>
  <c r="AH244" i="1"/>
  <c r="Y244" i="1"/>
  <c r="AC305" i="7"/>
  <c r="AC439" i="1" s="1"/>
  <c r="O305" i="7"/>
  <c r="N305" i="7"/>
  <c r="R305" i="7"/>
  <c r="AA305" i="7"/>
  <c r="F305" i="7"/>
  <c r="AD305" i="7"/>
  <c r="W305" i="7"/>
  <c r="Y305" i="7"/>
  <c r="Q305" i="7"/>
  <c r="V305" i="7"/>
  <c r="F506" i="7"/>
  <c r="F1501" i="7" s="1"/>
  <c r="F41" i="2" s="1"/>
  <c r="F1500" i="7"/>
  <c r="H305" i="7"/>
  <c r="P305" i="7"/>
  <c r="M305" i="7"/>
  <c r="AE305" i="7"/>
  <c r="U305" i="7"/>
  <c r="AG305" i="7"/>
  <c r="T305" i="7"/>
  <c r="G305" i="7"/>
  <c r="AH305" i="7"/>
  <c r="AB305" i="7"/>
  <c r="S305" i="7"/>
  <c r="X305" i="7"/>
  <c r="I305" i="7"/>
  <c r="AF208" i="32"/>
  <c r="AC208" i="32"/>
  <c r="AB77" i="2"/>
  <c r="AB79" i="2" s="1"/>
  <c r="W77" i="2"/>
  <c r="W32" i="2" s="1"/>
  <c r="W34" i="2" s="1"/>
  <c r="X80" i="6"/>
  <c r="X35" i="6" s="1"/>
  <c r="AE74" i="2"/>
  <c r="AE29" i="2" s="1"/>
  <c r="F80" i="6"/>
  <c r="E74" i="2"/>
  <c r="E77" i="2" s="1"/>
  <c r="S1438" i="7"/>
  <c r="AA74" i="2"/>
  <c r="AB80" i="6"/>
  <c r="P1438" i="7"/>
  <c r="F58" i="6"/>
  <c r="F85" i="6" s="1"/>
  <c r="F211" i="32" s="1"/>
  <c r="F38" i="5"/>
  <c r="G74" i="2"/>
  <c r="H80" i="6"/>
  <c r="AH1438" i="7"/>
  <c r="AG1438" i="7"/>
  <c r="K74" i="2"/>
  <c r="K77" i="2" s="1"/>
  <c r="L80" i="6"/>
  <c r="N1438" i="7"/>
  <c r="AD80" i="6"/>
  <c r="AC74" i="2"/>
  <c r="AC77" i="2" s="1"/>
  <c r="T80" i="6"/>
  <c r="S74" i="2"/>
  <c r="S77" i="2" s="1"/>
  <c r="F1438" i="7"/>
  <c r="AG80" i="6"/>
  <c r="AF74" i="2"/>
  <c r="AF77" i="2" s="1"/>
  <c r="X74" i="2"/>
  <c r="Y80" i="6"/>
  <c r="M80" i="6"/>
  <c r="L74" i="2"/>
  <c r="L77" i="2" s="1"/>
  <c r="H1438" i="7"/>
  <c r="N74" i="2"/>
  <c r="N77" i="2" s="1"/>
  <c r="O80" i="6"/>
  <c r="E81" i="5"/>
  <c r="E83" i="5" s="1"/>
  <c r="E293" i="7" s="1"/>
  <c r="E38" i="5"/>
  <c r="V1438" i="7"/>
  <c r="G80" i="6"/>
  <c r="F74" i="2"/>
  <c r="F77" i="2" s="1"/>
  <c r="O1438" i="7"/>
  <c r="Y1438" i="7"/>
  <c r="E285" i="7"/>
  <c r="E1438" i="7"/>
  <c r="E288" i="7"/>
  <c r="AF184" i="10"/>
  <c r="I1438" i="7"/>
  <c r="L1438" i="7"/>
  <c r="R74" i="2"/>
  <c r="R77" i="2" s="1"/>
  <c r="S80" i="6"/>
  <c r="J1438" i="7"/>
  <c r="P80" i="6"/>
  <c r="O74" i="2"/>
  <c r="Q1438" i="7"/>
  <c r="X1438" i="7"/>
  <c r="V74" i="2"/>
  <c r="W80" i="6"/>
  <c r="AE80" i="6"/>
  <c r="AD74" i="2"/>
  <c r="AD77" i="2" s="1"/>
  <c r="Q80" i="6"/>
  <c r="P74" i="2"/>
  <c r="P77" i="2" s="1"/>
  <c r="R1438" i="7"/>
  <c r="T1438" i="7"/>
  <c r="G1438" i="7"/>
  <c r="AE1438" i="7"/>
  <c r="I80" i="6"/>
  <c r="H74" i="2"/>
  <c r="AC184" i="10"/>
  <c r="Z80" i="6"/>
  <c r="Y74" i="2"/>
  <c r="Q74" i="2"/>
  <c r="Q77" i="2" s="1"/>
  <c r="R80" i="6"/>
  <c r="J80" i="6"/>
  <c r="I74" i="2"/>
  <c r="I77" i="2" s="1"/>
  <c r="AA1438" i="7"/>
  <c r="AA80" i="6"/>
  <c r="Z74" i="2"/>
  <c r="AC1438" i="7"/>
  <c r="T74" i="2"/>
  <c r="T77" i="2" s="1"/>
  <c r="U80" i="6"/>
  <c r="AF1438" i="7"/>
  <c r="AG74" i="2"/>
  <c r="AG77" i="2" s="1"/>
  <c r="AH80" i="6"/>
  <c r="M74" i="2"/>
  <c r="N80" i="6"/>
  <c r="K80" i="6"/>
  <c r="J74" i="2"/>
  <c r="AH32" i="2"/>
  <c r="AH79" i="2"/>
  <c r="U74" i="2"/>
  <c r="V80" i="6"/>
  <c r="W1438" i="7"/>
  <c r="N307" i="7" l="1"/>
  <c r="N1472" i="7" s="1"/>
  <c r="N28" i="2" s="1"/>
  <c r="AG307" i="7"/>
  <c r="AG441" i="1" s="1"/>
  <c r="O307" i="7"/>
  <c r="O1472" i="7" s="1"/>
  <c r="O28" i="2" s="1"/>
  <c r="AE72" i="5"/>
  <c r="AE74" i="5" s="1"/>
  <c r="AE78" i="5" s="1"/>
  <c r="M72" i="5"/>
  <c r="M74" i="5" s="1"/>
  <c r="M78" i="5" s="1"/>
  <c r="Z72" i="5"/>
  <c r="Z74" i="5" s="1"/>
  <c r="Z78" i="5" s="1"/>
  <c r="L59" i="6"/>
  <c r="L14" i="6" s="1"/>
  <c r="L305" i="7"/>
  <c r="L61" i="2" s="1"/>
  <c r="AH72" i="5"/>
  <c r="AH74" i="5" s="1"/>
  <c r="AH78" i="5" s="1"/>
  <c r="L244" i="1"/>
  <c r="Z61" i="2"/>
  <c r="Q307" i="7"/>
  <c r="Q1472" i="7" s="1"/>
  <c r="Q28" i="2" s="1"/>
  <c r="Y307" i="7"/>
  <c r="Y1472" i="7" s="1"/>
  <c r="Y28" i="2" s="1"/>
  <c r="AD307" i="7"/>
  <c r="AD1472" i="7" s="1"/>
  <c r="AD28" i="2" s="1"/>
  <c r="R72" i="5"/>
  <c r="R74" i="5" s="1"/>
  <c r="R78" i="5" s="1"/>
  <c r="T72" i="5"/>
  <c r="T74" i="5" s="1"/>
  <c r="T78" i="5" s="1"/>
  <c r="Q250" i="7"/>
  <c r="R73" i="2"/>
  <c r="R75" i="2" s="1"/>
  <c r="U307" i="7"/>
  <c r="U73" i="2" s="1"/>
  <c r="AC307" i="7"/>
  <c r="AC73" i="2" s="1"/>
  <c r="V72" i="5"/>
  <c r="V74" i="5" s="1"/>
  <c r="V78" i="5" s="1"/>
  <c r="AA307" i="7"/>
  <c r="AA73" i="2" s="1"/>
  <c r="AA75" i="2" s="1"/>
  <c r="Z439" i="1"/>
  <c r="AC61" i="2"/>
  <c r="AC1467" i="7"/>
  <c r="AC1468" i="7" s="1"/>
  <c r="AE250" i="7"/>
  <c r="K250" i="7"/>
  <c r="AB307" i="7"/>
  <c r="AB441" i="1" s="1"/>
  <c r="S250" i="7"/>
  <c r="J72" i="5"/>
  <c r="J74" i="5" s="1"/>
  <c r="J78" i="5" s="1"/>
  <c r="G250" i="7"/>
  <c r="W250" i="7"/>
  <c r="H250" i="7"/>
  <c r="F250" i="7"/>
  <c r="J244" i="1"/>
  <c r="I72" i="5"/>
  <c r="I74" i="5" s="1"/>
  <c r="I78" i="5" s="1"/>
  <c r="AF250" i="7"/>
  <c r="E250" i="7"/>
  <c r="R250" i="7"/>
  <c r="X250" i="7"/>
  <c r="J305" i="7"/>
  <c r="J1467" i="7" s="1"/>
  <c r="P72" i="5"/>
  <c r="P74" i="5" s="1"/>
  <c r="P78" i="5" s="1"/>
  <c r="O250" i="7"/>
  <c r="AG250" i="7"/>
  <c r="V250" i="7"/>
  <c r="J59" i="6"/>
  <c r="J14" i="6" s="1"/>
  <c r="L72" i="5"/>
  <c r="L74" i="5" s="1"/>
  <c r="L78" i="5" s="1"/>
  <c r="H72" i="5"/>
  <c r="H74" i="5" s="1"/>
  <c r="H78" i="5" s="1"/>
  <c r="AC279" i="7"/>
  <c r="K307" i="7"/>
  <c r="K1472" i="7" s="1"/>
  <c r="K28" i="2" s="1"/>
  <c r="AF279" i="7"/>
  <c r="F86" i="2"/>
  <c r="G504" i="7"/>
  <c r="G1499" i="7" s="1"/>
  <c r="L279" i="7"/>
  <c r="E279" i="7"/>
  <c r="Y279" i="7"/>
  <c r="F72" i="5"/>
  <c r="F74" i="5" s="1"/>
  <c r="F78" i="5" s="1"/>
  <c r="F81" i="5" s="1"/>
  <c r="F83" i="5" s="1"/>
  <c r="F293" i="7" s="1"/>
  <c r="X279" i="7"/>
  <c r="P279" i="7"/>
  <c r="F307" i="7"/>
  <c r="F1472" i="7" s="1"/>
  <c r="F28" i="2" s="1"/>
  <c r="F23" i="6" s="1"/>
  <c r="T279" i="7"/>
  <c r="F1432" i="7"/>
  <c r="F30" i="5" s="1"/>
  <c r="F398" i="1"/>
  <c r="AH441" i="1"/>
  <c r="AH73" i="2"/>
  <c r="AH75" i="2" s="1"/>
  <c r="AH80" i="2" s="1"/>
  <c r="AH1472" i="7"/>
  <c r="AH28" i="2" s="1"/>
  <c r="AH30" i="2" s="1"/>
  <c r="AH202" i="10" s="1"/>
  <c r="AF305" i="7"/>
  <c r="AF1467" i="7" s="1"/>
  <c r="AF1468" i="7" s="1"/>
  <c r="AD1432" i="7"/>
  <c r="AD30" i="5" s="1"/>
  <c r="AD32" i="5" s="1"/>
  <c r="AD36" i="5" s="1"/>
  <c r="AD398" i="1"/>
  <c r="AF398" i="1"/>
  <c r="T1432" i="7"/>
  <c r="T30" i="5" s="1"/>
  <c r="T32" i="5" s="1"/>
  <c r="T36" i="5" s="1"/>
  <c r="T398" i="1"/>
  <c r="R1432" i="7"/>
  <c r="R30" i="5" s="1"/>
  <c r="R32" i="5" s="1"/>
  <c r="R36" i="5" s="1"/>
  <c r="R398" i="1"/>
  <c r="Q1432" i="7"/>
  <c r="Q30" i="5" s="1"/>
  <c r="Q32" i="5" s="1"/>
  <c r="Q36" i="5" s="1"/>
  <c r="Q398" i="1"/>
  <c r="M1432" i="7"/>
  <c r="M30" i="5" s="1"/>
  <c r="M32" i="5" s="1"/>
  <c r="M36" i="5" s="1"/>
  <c r="M398" i="1"/>
  <c r="AE279" i="7"/>
  <c r="W1432" i="7"/>
  <c r="W30" i="5" s="1"/>
  <c r="W32" i="5" s="1"/>
  <c r="W36" i="5" s="1"/>
  <c r="W398" i="1"/>
  <c r="W307" i="7"/>
  <c r="N1432" i="7"/>
  <c r="N30" i="5" s="1"/>
  <c r="N32" i="5" s="1"/>
  <c r="N36" i="5" s="1"/>
  <c r="N398" i="1"/>
  <c r="AG1432" i="7"/>
  <c r="AG30" i="5" s="1"/>
  <c r="AG32" i="5" s="1"/>
  <c r="AG36" i="5" s="1"/>
  <c r="AG398" i="1"/>
  <c r="Z1432" i="7"/>
  <c r="Z30" i="5" s="1"/>
  <c r="Z32" i="5" s="1"/>
  <c r="Z36" i="5" s="1"/>
  <c r="Z398" i="1"/>
  <c r="O1432" i="7"/>
  <c r="O30" i="5" s="1"/>
  <c r="O32" i="5" s="1"/>
  <c r="O36" i="5" s="1"/>
  <c r="O398" i="1"/>
  <c r="AE1432" i="7"/>
  <c r="AE30" i="5" s="1"/>
  <c r="AE32" i="5" s="1"/>
  <c r="AE36" i="5" s="1"/>
  <c r="AE398" i="1"/>
  <c r="AH1432" i="7"/>
  <c r="AH30" i="5" s="1"/>
  <c r="AH398" i="1"/>
  <c r="AB1432" i="7"/>
  <c r="AB30" i="5" s="1"/>
  <c r="AB32" i="5" s="1"/>
  <c r="AB36" i="5" s="1"/>
  <c r="AB398" i="1"/>
  <c r="P1432" i="7"/>
  <c r="P30" i="5" s="1"/>
  <c r="P32" i="5" s="1"/>
  <c r="P36" i="5" s="1"/>
  <c r="P398" i="1"/>
  <c r="X1432" i="7"/>
  <c r="X30" i="5" s="1"/>
  <c r="X32" i="5" s="1"/>
  <c r="X36" i="5" s="1"/>
  <c r="X398" i="1"/>
  <c r="X307" i="7"/>
  <c r="AC1432" i="7"/>
  <c r="AC30" i="5" s="1"/>
  <c r="AC32" i="5" s="1"/>
  <c r="AC36" i="5" s="1"/>
  <c r="AC398" i="1"/>
  <c r="S1432" i="7"/>
  <c r="S30" i="5" s="1"/>
  <c r="S32" i="5" s="1"/>
  <c r="S36" i="5" s="1"/>
  <c r="S398" i="1"/>
  <c r="S307" i="7"/>
  <c r="AA1432" i="7"/>
  <c r="AA30" i="5" s="1"/>
  <c r="AA32" i="5" s="1"/>
  <c r="AA36" i="5" s="1"/>
  <c r="AA398" i="1"/>
  <c r="V1432" i="7"/>
  <c r="V30" i="5" s="1"/>
  <c r="V32" i="5" s="1"/>
  <c r="V36" i="5" s="1"/>
  <c r="V398" i="1"/>
  <c r="U1432" i="7"/>
  <c r="U30" i="5" s="1"/>
  <c r="U32" i="5" s="1"/>
  <c r="U36" i="5" s="1"/>
  <c r="U398" i="1"/>
  <c r="Y1432" i="7"/>
  <c r="Y30" i="5" s="1"/>
  <c r="Y32" i="5" s="1"/>
  <c r="Y36" i="5" s="1"/>
  <c r="Y398" i="1"/>
  <c r="K1432" i="7"/>
  <c r="K30" i="5" s="1"/>
  <c r="K398" i="1"/>
  <c r="L1432" i="7"/>
  <c r="L30" i="5" s="1"/>
  <c r="L398" i="1"/>
  <c r="J1432" i="7"/>
  <c r="J30" i="5" s="1"/>
  <c r="J32" i="5" s="1"/>
  <c r="J36" i="5" s="1"/>
  <c r="J398" i="1"/>
  <c r="I1432" i="7"/>
  <c r="I30" i="5" s="1"/>
  <c r="I32" i="5" s="1"/>
  <c r="I36" i="5" s="1"/>
  <c r="I398" i="1"/>
  <c r="G72" i="5"/>
  <c r="G74" i="5" s="1"/>
  <c r="G78" i="5" s="1"/>
  <c r="M279" i="7"/>
  <c r="AG279" i="7"/>
  <c r="W279" i="7"/>
  <c r="AH279" i="7"/>
  <c r="F279" i="7"/>
  <c r="N279" i="7"/>
  <c r="Q279" i="7"/>
  <c r="U279" i="7"/>
  <c r="H1432" i="7"/>
  <c r="H30" i="5" s="1"/>
  <c r="H32" i="5" s="1"/>
  <c r="H36" i="5" s="1"/>
  <c r="H398" i="1"/>
  <c r="G307" i="7"/>
  <c r="G1472" i="7" s="1"/>
  <c r="G28" i="2" s="1"/>
  <c r="AA279" i="7"/>
  <c r="R279" i="7"/>
  <c r="AB279" i="7"/>
  <c r="O279" i="7"/>
  <c r="S279" i="7"/>
  <c r="K279" i="7"/>
  <c r="G1432" i="7"/>
  <c r="G30" i="5" s="1"/>
  <c r="G32" i="5" s="1"/>
  <c r="G36" i="5" s="1"/>
  <c r="G398" i="1"/>
  <c r="G279" i="7"/>
  <c r="I279" i="7"/>
  <c r="V279" i="7"/>
  <c r="J279" i="7"/>
  <c r="AD279" i="7"/>
  <c r="H279" i="7"/>
  <c r="Z279" i="7"/>
  <c r="R1472" i="7"/>
  <c r="R28" i="2" s="1"/>
  <c r="Z250" i="7"/>
  <c r="L250" i="7"/>
  <c r="AH250" i="7"/>
  <c r="AB250" i="7"/>
  <c r="I250" i="7"/>
  <c r="AA250" i="7"/>
  <c r="N250" i="7"/>
  <c r="T250" i="7"/>
  <c r="J250" i="7"/>
  <c r="AD250" i="7"/>
  <c r="U250" i="7"/>
  <c r="Y250" i="7"/>
  <c r="M250" i="7"/>
  <c r="AC250" i="7"/>
  <c r="P250" i="7"/>
  <c r="AF244" i="1"/>
  <c r="AF72" i="5"/>
  <c r="AF74" i="5" s="1"/>
  <c r="AF78" i="5" s="1"/>
  <c r="J73" i="2"/>
  <c r="J441" i="1"/>
  <c r="J1472" i="7"/>
  <c r="J28" i="2" s="1"/>
  <c r="T73" i="2"/>
  <c r="T75" i="2" s="1"/>
  <c r="T441" i="1"/>
  <c r="T1472" i="7"/>
  <c r="T28" i="2" s="1"/>
  <c r="P73" i="2"/>
  <c r="P75" i="2" s="1"/>
  <c r="P441" i="1"/>
  <c r="P1472" i="7"/>
  <c r="P28" i="2" s="1"/>
  <c r="V73" i="2"/>
  <c r="V75" i="2" s="1"/>
  <c r="V441" i="1"/>
  <c r="V1472" i="7"/>
  <c r="V28" i="2" s="1"/>
  <c r="Z441" i="1"/>
  <c r="Z73" i="2"/>
  <c r="Z75" i="2" s="1"/>
  <c r="Z1472" i="7"/>
  <c r="AE73" i="2"/>
  <c r="AE441" i="1"/>
  <c r="AE1472" i="7"/>
  <c r="AE28" i="2" s="1"/>
  <c r="AE30" i="2" s="1"/>
  <c r="I441" i="1"/>
  <c r="I73" i="2"/>
  <c r="I75" i="2" s="1"/>
  <c r="I1472" i="7"/>
  <c r="I28" i="2" s="1"/>
  <c r="L73" i="2"/>
  <c r="L441" i="1"/>
  <c r="L1472" i="7"/>
  <c r="L28" i="2" s="1"/>
  <c r="H73" i="2"/>
  <c r="H75" i="2" s="1"/>
  <c r="H1472" i="7"/>
  <c r="H28" i="2" s="1"/>
  <c r="H441" i="1"/>
  <c r="Q73" i="2"/>
  <c r="AF441" i="1"/>
  <c r="AF73" i="2"/>
  <c r="AF1472" i="7"/>
  <c r="M73" i="2"/>
  <c r="M75" i="2" s="1"/>
  <c r="M441" i="1"/>
  <c r="M1472" i="7"/>
  <c r="M28" i="2" s="1"/>
  <c r="K305" i="7"/>
  <c r="S1467" i="7"/>
  <c r="S61" i="2"/>
  <c r="S439" i="1"/>
  <c r="AH1467" i="7"/>
  <c r="AH61" i="2"/>
  <c r="AH439" i="1"/>
  <c r="AG1467" i="7"/>
  <c r="AG61" i="2"/>
  <c r="AG439" i="1"/>
  <c r="Z1468" i="7"/>
  <c r="Z16" i="2"/>
  <c r="O61" i="2"/>
  <c r="O1467" i="7"/>
  <c r="O439" i="1"/>
  <c r="T1467" i="7"/>
  <c r="T61" i="2"/>
  <c r="T439" i="1"/>
  <c r="AE1467" i="7"/>
  <c r="AE61" i="2"/>
  <c r="AE439" i="1"/>
  <c r="Q1467" i="7"/>
  <c r="Q61" i="2"/>
  <c r="Q439" i="1"/>
  <c r="X1467" i="7"/>
  <c r="X61" i="2"/>
  <c r="X439" i="1"/>
  <c r="AB1467" i="7"/>
  <c r="AB61" i="2"/>
  <c r="AB439" i="1"/>
  <c r="P1467" i="7"/>
  <c r="P61" i="2"/>
  <c r="P439" i="1"/>
  <c r="Y1467" i="7"/>
  <c r="Y61" i="2"/>
  <c r="Y439" i="1"/>
  <c r="AD1467" i="7"/>
  <c r="AD61" i="2"/>
  <c r="AD439" i="1"/>
  <c r="F439" i="1"/>
  <c r="F1467" i="7"/>
  <c r="F61" i="2"/>
  <c r="F66" i="6" s="1"/>
  <c r="I439" i="1"/>
  <c r="I61" i="2"/>
  <c r="I1467" i="7"/>
  <c r="G61" i="2"/>
  <c r="G439" i="1"/>
  <c r="G1467" i="7"/>
  <c r="U1467" i="7"/>
  <c r="U439" i="1"/>
  <c r="U61" i="2"/>
  <c r="M61" i="2"/>
  <c r="M439" i="1"/>
  <c r="M1467" i="7"/>
  <c r="H61" i="2"/>
  <c r="H1467" i="7"/>
  <c r="H439" i="1"/>
  <c r="V1467" i="7"/>
  <c r="V439" i="1"/>
  <c r="V61" i="2"/>
  <c r="W1467" i="7"/>
  <c r="W61" i="2"/>
  <c r="W439" i="1"/>
  <c r="AA1467" i="7"/>
  <c r="AA439" i="1"/>
  <c r="AA61" i="2"/>
  <c r="R1467" i="7"/>
  <c r="R439" i="1"/>
  <c r="R61" i="2"/>
  <c r="N1467" i="7"/>
  <c r="N439" i="1"/>
  <c r="N61" i="2"/>
  <c r="AB32" i="2"/>
  <c r="AB34" i="2" s="1"/>
  <c r="AE77" i="2"/>
  <c r="AE79" i="2" s="1"/>
  <c r="W79" i="2"/>
  <c r="X208" i="32"/>
  <c r="T79" i="2"/>
  <c r="T32" i="2"/>
  <c r="T34" i="2" s="1"/>
  <c r="E297" i="7"/>
  <c r="E299" i="7"/>
  <c r="E295" i="7"/>
  <c r="AG79" i="2"/>
  <c r="AG32" i="2"/>
  <c r="AG34" i="2" s="1"/>
  <c r="Q79" i="2"/>
  <c r="Q32" i="2"/>
  <c r="Q34" i="2" s="1"/>
  <c r="U29" i="2"/>
  <c r="J29" i="2"/>
  <c r="AH35" i="6"/>
  <c r="AH208" i="32"/>
  <c r="U208" i="32"/>
  <c r="U35" i="6"/>
  <c r="Z29" i="2"/>
  <c r="R208" i="32"/>
  <c r="R35" i="6"/>
  <c r="AF79" i="2"/>
  <c r="AF32" i="2"/>
  <c r="AF34" i="2" s="1"/>
  <c r="AC79" i="2"/>
  <c r="AC32" i="2"/>
  <c r="AC34" i="2" s="1"/>
  <c r="Q208" i="32"/>
  <c r="Q35" i="6"/>
  <c r="V29" i="2"/>
  <c r="O29" i="2"/>
  <c r="S208" i="32"/>
  <c r="S35" i="6"/>
  <c r="X29" i="2"/>
  <c r="T208" i="32"/>
  <c r="T35" i="6"/>
  <c r="G29" i="2"/>
  <c r="G77" i="2"/>
  <c r="AA29" i="2"/>
  <c r="AA77" i="2"/>
  <c r="F208" i="32"/>
  <c r="F35" i="6"/>
  <c r="J77" i="2"/>
  <c r="Z77" i="2"/>
  <c r="E32" i="2"/>
  <c r="E34" i="2" s="1"/>
  <c r="E79" i="2"/>
  <c r="R79" i="2"/>
  <c r="R32" i="2"/>
  <c r="R34" i="2" s="1"/>
  <c r="V35" i="6"/>
  <c r="V208" i="32"/>
  <c r="M29" i="2"/>
  <c r="J208" i="32"/>
  <c r="J35" i="6"/>
  <c r="Z35" i="6"/>
  <c r="Z208" i="32"/>
  <c r="F32" i="2"/>
  <c r="F34" i="2" s="1"/>
  <c r="F79" i="2"/>
  <c r="I35" i="6"/>
  <c r="I208" i="32"/>
  <c r="P29" i="2"/>
  <c r="W208" i="32"/>
  <c r="W35" i="6"/>
  <c r="X184" i="10"/>
  <c r="G208" i="32"/>
  <c r="G35" i="6"/>
  <c r="E39" i="5"/>
  <c r="E41" i="5" s="1"/>
  <c r="E1447" i="7" s="1"/>
  <c r="Y35" i="6"/>
  <c r="Y208" i="32"/>
  <c r="K79" i="2"/>
  <c r="K32" i="2"/>
  <c r="K34" i="2" s="1"/>
  <c r="S29" i="2"/>
  <c r="H35" i="6"/>
  <c r="H208" i="32"/>
  <c r="AB35" i="6"/>
  <c r="AB208" i="32"/>
  <c r="E221" i="32"/>
  <c r="E75" i="2"/>
  <c r="E29" i="2"/>
  <c r="U77" i="2"/>
  <c r="O77" i="2"/>
  <c r="I79" i="2"/>
  <c r="I32" i="2"/>
  <c r="I34" i="2" s="1"/>
  <c r="N79" i="2"/>
  <c r="N32" i="2"/>
  <c r="N34" i="2" s="1"/>
  <c r="AH34" i="2"/>
  <c r="N35" i="6"/>
  <c r="N208" i="32"/>
  <c r="I29" i="2"/>
  <c r="Y29" i="2"/>
  <c r="Y77" i="2"/>
  <c r="P79" i="2"/>
  <c r="P32" i="2"/>
  <c r="P34" i="2" s="1"/>
  <c r="H29" i="2"/>
  <c r="H77" i="2"/>
  <c r="AE35" i="6"/>
  <c r="AE208" i="32"/>
  <c r="E220" i="32"/>
  <c r="E289" i="7"/>
  <c r="F29" i="2"/>
  <c r="N29" i="2"/>
  <c r="M208" i="32"/>
  <c r="M35" i="6"/>
  <c r="AG35" i="6"/>
  <c r="AG208" i="32"/>
  <c r="S79" i="2"/>
  <c r="S32" i="2"/>
  <c r="S34" i="2" s="1"/>
  <c r="AD208" i="32"/>
  <c r="AD35" i="6"/>
  <c r="K29" i="2"/>
  <c r="L79" i="2"/>
  <c r="L32" i="2"/>
  <c r="L34" i="2" s="1"/>
  <c r="K208" i="32"/>
  <c r="K35" i="6"/>
  <c r="AG29" i="2"/>
  <c r="T29" i="2"/>
  <c r="AA35" i="6"/>
  <c r="AA208" i="32"/>
  <c r="Q29" i="2"/>
  <c r="AD32" i="2"/>
  <c r="AD34" i="2" s="1"/>
  <c r="AD79" i="2"/>
  <c r="AD29" i="2"/>
  <c r="P208" i="32"/>
  <c r="P35" i="6"/>
  <c r="R29" i="2"/>
  <c r="E1442" i="7"/>
  <c r="E1439" i="7"/>
  <c r="O208" i="32"/>
  <c r="O35" i="6"/>
  <c r="L29" i="2"/>
  <c r="AF29" i="2"/>
  <c r="AC29" i="2"/>
  <c r="L35" i="6"/>
  <c r="L208" i="32"/>
  <c r="F13" i="6"/>
  <c r="F40" i="6" s="1"/>
  <c r="F187" i="10" s="1"/>
  <c r="M77" i="2"/>
  <c r="V77" i="2"/>
  <c r="X77" i="2"/>
  <c r="L439" i="1" l="1"/>
  <c r="N73" i="2"/>
  <c r="N75" i="2" s="1"/>
  <c r="N311" i="7" s="1"/>
  <c r="N441" i="1"/>
  <c r="AG1472" i="7"/>
  <c r="AG28" i="2" s="1"/>
  <c r="AH23" i="6" s="1"/>
  <c r="AG73" i="2"/>
  <c r="AG75" i="2" s="1"/>
  <c r="AG80" i="2" s="1"/>
  <c r="AD441" i="1"/>
  <c r="Y73" i="2"/>
  <c r="Z68" i="6" s="1"/>
  <c r="L1467" i="7"/>
  <c r="L1468" i="7" s="1"/>
  <c r="O73" i="2"/>
  <c r="O75" i="2" s="1"/>
  <c r="O226" i="32" s="1"/>
  <c r="O441" i="1"/>
  <c r="Z66" i="6"/>
  <c r="U1472" i="7"/>
  <c r="U28" i="2" s="1"/>
  <c r="U23" i="6" s="1"/>
  <c r="U441" i="1"/>
  <c r="AA66" i="6"/>
  <c r="Q441" i="1"/>
  <c r="Y441" i="1"/>
  <c r="AD73" i="2"/>
  <c r="AD75" i="2" s="1"/>
  <c r="AD226" i="32" s="1"/>
  <c r="AA1472" i="7"/>
  <c r="AA28" i="2" s="1"/>
  <c r="AA30" i="2" s="1"/>
  <c r="AA441" i="1"/>
  <c r="AB73" i="2"/>
  <c r="AB75" i="2" s="1"/>
  <c r="AD66" i="6"/>
  <c r="AC1472" i="7"/>
  <c r="AC1473" i="7" s="1"/>
  <c r="AC441" i="1"/>
  <c r="AB1472" i="7"/>
  <c r="AB28" i="2" s="1"/>
  <c r="AB30" i="2" s="1"/>
  <c r="AB202" i="10" s="1"/>
  <c r="J439" i="1"/>
  <c r="AC16" i="2"/>
  <c r="F57" i="6"/>
  <c r="J61" i="2"/>
  <c r="J66" i="6" s="1"/>
  <c r="P23" i="6"/>
  <c r="K441" i="1"/>
  <c r="AF439" i="1"/>
  <c r="AF61" i="2"/>
  <c r="AG66" i="6" s="1"/>
  <c r="R1473" i="7"/>
  <c r="F441" i="1"/>
  <c r="U66" i="6"/>
  <c r="L1473" i="7"/>
  <c r="L32" i="5"/>
  <c r="L36" i="5" s="1"/>
  <c r="AE1473" i="7"/>
  <c r="AF1432" i="7"/>
  <c r="AF30" i="5" s="1"/>
  <c r="AF32" i="5" s="1"/>
  <c r="AF36" i="5" s="1"/>
  <c r="Y1473" i="7"/>
  <c r="G441" i="1"/>
  <c r="K73" i="2"/>
  <c r="K75" i="2" s="1"/>
  <c r="K80" i="2" s="1"/>
  <c r="J1473" i="7"/>
  <c r="G506" i="7"/>
  <c r="G1501" i="7" s="1"/>
  <c r="G41" i="2" s="1"/>
  <c r="G31" i="36"/>
  <c r="F73" i="2"/>
  <c r="G73" i="2"/>
  <c r="G75" i="2" s="1"/>
  <c r="G226" i="32" s="1"/>
  <c r="S1472" i="7"/>
  <c r="S73" i="2"/>
  <c r="S441" i="1"/>
  <c r="W441" i="1"/>
  <c r="W73" i="2"/>
  <c r="W1472" i="7"/>
  <c r="U68" i="6"/>
  <c r="X1472" i="7"/>
  <c r="X73" i="2"/>
  <c r="X441" i="1"/>
  <c r="H23" i="6"/>
  <c r="M23" i="6"/>
  <c r="V1473" i="7"/>
  <c r="Q1473" i="7"/>
  <c r="Q68" i="6"/>
  <c r="AF16" i="2"/>
  <c r="Q23" i="6"/>
  <c r="L23" i="6"/>
  <c r="AE23" i="6"/>
  <c r="H1473" i="7"/>
  <c r="P1473" i="7"/>
  <c r="I23" i="6"/>
  <c r="G1473" i="7"/>
  <c r="O1473" i="7"/>
  <c r="AD1473" i="7"/>
  <c r="AE75" i="2"/>
  <c r="AE226" i="32" s="1"/>
  <c r="J68" i="6"/>
  <c r="M1473" i="7"/>
  <c r="Y66" i="6"/>
  <c r="T66" i="6"/>
  <c r="Z28" i="2"/>
  <c r="Z23" i="6" s="1"/>
  <c r="Z1473" i="7"/>
  <c r="AH311" i="7"/>
  <c r="AH226" i="32"/>
  <c r="AC75" i="2"/>
  <c r="AC311" i="7" s="1"/>
  <c r="L75" i="2"/>
  <c r="L80" i="2" s="1"/>
  <c r="U75" i="2"/>
  <c r="U226" i="32" s="1"/>
  <c r="T1473" i="7"/>
  <c r="AF68" i="6"/>
  <c r="AF75" i="2"/>
  <c r="AF311" i="7" s="1"/>
  <c r="J75" i="2"/>
  <c r="J226" i="32" s="1"/>
  <c r="N1473" i="7"/>
  <c r="I1473" i="7"/>
  <c r="I68" i="6"/>
  <c r="V68" i="6"/>
  <c r="R68" i="6"/>
  <c r="R23" i="6"/>
  <c r="K23" i="6"/>
  <c r="AA68" i="6"/>
  <c r="O23" i="6"/>
  <c r="AF28" i="2"/>
  <c r="AF23" i="6" s="1"/>
  <c r="N23" i="6"/>
  <c r="Q75" i="2"/>
  <c r="Q80" i="2" s="1"/>
  <c r="AH35" i="2"/>
  <c r="M68" i="6"/>
  <c r="G23" i="6"/>
  <c r="J23" i="6"/>
  <c r="M66" i="6"/>
  <c r="Q66" i="6"/>
  <c r="AB66" i="6"/>
  <c r="N66" i="6"/>
  <c r="P66" i="6"/>
  <c r="R66" i="6"/>
  <c r="H66" i="6"/>
  <c r="G66" i="6"/>
  <c r="X1468" i="7"/>
  <c r="X16" i="2"/>
  <c r="AH1468" i="7"/>
  <c r="AH16" i="2"/>
  <c r="AA1468" i="7"/>
  <c r="AA16" i="2"/>
  <c r="AA21" i="6" s="1"/>
  <c r="V1468" i="7"/>
  <c r="V16" i="2"/>
  <c r="M16" i="2"/>
  <c r="M1468" i="7"/>
  <c r="G16" i="2"/>
  <c r="G1468" i="7"/>
  <c r="AB1468" i="7"/>
  <c r="AB16" i="2"/>
  <c r="Q1468" i="7"/>
  <c r="Q16" i="2"/>
  <c r="AG1468" i="7"/>
  <c r="AG16" i="2"/>
  <c r="K1473" i="7"/>
  <c r="K32" i="5"/>
  <c r="K36" i="5" s="1"/>
  <c r="W66" i="6"/>
  <c r="I66" i="6"/>
  <c r="O66" i="6"/>
  <c r="AH1473" i="7"/>
  <c r="AH32" i="5"/>
  <c r="AH36" i="5" s="1"/>
  <c r="F1468" i="7"/>
  <c r="F16" i="2"/>
  <c r="F21" i="6" s="1"/>
  <c r="F24" i="6" s="1"/>
  <c r="AE1468" i="7"/>
  <c r="AE16" i="2"/>
  <c r="K1467" i="7"/>
  <c r="K61" i="2"/>
  <c r="K439" i="1"/>
  <c r="N1468" i="7"/>
  <c r="N16" i="2"/>
  <c r="H16" i="2"/>
  <c r="H1468" i="7"/>
  <c r="Y1468" i="7"/>
  <c r="Y16" i="2"/>
  <c r="T1468" i="7"/>
  <c r="T16" i="2"/>
  <c r="S1468" i="7"/>
  <c r="S16" i="2"/>
  <c r="V66" i="6"/>
  <c r="X66" i="6"/>
  <c r="AE66" i="6"/>
  <c r="AH66" i="6"/>
  <c r="I16" i="2"/>
  <c r="I1468" i="7"/>
  <c r="AD1468" i="7"/>
  <c r="AD16" i="2"/>
  <c r="J1468" i="7"/>
  <c r="J16" i="2"/>
  <c r="O1468" i="7"/>
  <c r="O16" i="2"/>
  <c r="R1468" i="7"/>
  <c r="R16" i="2"/>
  <c r="W1468" i="7"/>
  <c r="W16" i="2"/>
  <c r="U1468" i="7"/>
  <c r="U16" i="2"/>
  <c r="P1468" i="7"/>
  <c r="P16" i="2"/>
  <c r="F1473" i="7"/>
  <c r="F32" i="5"/>
  <c r="F36" i="5" s="1"/>
  <c r="F39" i="5" s="1"/>
  <c r="F41" i="5" s="1"/>
  <c r="F12" i="6" s="1"/>
  <c r="AC66" i="6"/>
  <c r="S66" i="6"/>
  <c r="AE32" i="2"/>
  <c r="AE34" i="2" s="1"/>
  <c r="AE35" i="2" s="1"/>
  <c r="L184" i="10"/>
  <c r="R226" i="32"/>
  <c r="R311" i="7"/>
  <c r="R80" i="2"/>
  <c r="AE202" i="10"/>
  <c r="Q30" i="2"/>
  <c r="T311" i="7"/>
  <c r="T226" i="32"/>
  <c r="T80" i="2"/>
  <c r="K184" i="10"/>
  <c r="F30" i="2"/>
  <c r="H311" i="7"/>
  <c r="H226" i="32"/>
  <c r="Y79" i="2"/>
  <c r="Y32" i="2"/>
  <c r="Y34" i="2" s="1"/>
  <c r="I30" i="2"/>
  <c r="O32" i="2"/>
  <c r="O34" i="2" s="1"/>
  <c r="O79" i="2"/>
  <c r="E80" i="2"/>
  <c r="E88" i="2" s="1"/>
  <c r="E226" i="32"/>
  <c r="E227" i="32" s="1"/>
  <c r="E311" i="7"/>
  <c r="E1453" i="7"/>
  <c r="E1449" i="7"/>
  <c r="E1451" i="7"/>
  <c r="P30" i="2"/>
  <c r="Z184" i="10"/>
  <c r="M30" i="2"/>
  <c r="V184" i="10"/>
  <c r="J79" i="2"/>
  <c r="J32" i="2"/>
  <c r="J34" i="2" s="1"/>
  <c r="F184" i="10"/>
  <c r="G30" i="2"/>
  <c r="O30" i="2"/>
  <c r="V311" i="7"/>
  <c r="V226" i="32"/>
  <c r="U184" i="10"/>
  <c r="AH184" i="10"/>
  <c r="M79" i="2"/>
  <c r="M80" i="2" s="1"/>
  <c r="M32" i="2"/>
  <c r="M34" i="2" s="1"/>
  <c r="R30" i="2"/>
  <c r="H30" i="2"/>
  <c r="N184" i="10"/>
  <c r="U32" i="2"/>
  <c r="U34" i="2" s="1"/>
  <c r="U79" i="2"/>
  <c r="E197" i="10"/>
  <c r="E30" i="2"/>
  <c r="AB184" i="10"/>
  <c r="H184" i="10"/>
  <c r="Y184" i="10"/>
  <c r="W184" i="10"/>
  <c r="P311" i="7"/>
  <c r="P226" i="32"/>
  <c r="P80" i="2"/>
  <c r="I184" i="10"/>
  <c r="AA79" i="2"/>
  <c r="AA80" i="2" s="1"/>
  <c r="AA32" i="2"/>
  <c r="AA34" i="2" s="1"/>
  <c r="G79" i="2"/>
  <c r="G32" i="2"/>
  <c r="G34" i="2" s="1"/>
  <c r="T184" i="10"/>
  <c r="V30" i="2"/>
  <c r="Q184" i="10"/>
  <c r="F295" i="7"/>
  <c r="X79" i="2"/>
  <c r="X32" i="2"/>
  <c r="X34" i="2" s="1"/>
  <c r="T30" i="2"/>
  <c r="H32" i="2"/>
  <c r="H34" i="2" s="1"/>
  <c r="H79" i="2"/>
  <c r="H80" i="2" s="1"/>
  <c r="Y30" i="2"/>
  <c r="J184" i="10"/>
  <c r="Z32" i="2"/>
  <c r="Z34" i="2" s="1"/>
  <c r="Z79" i="2"/>
  <c r="Z80" i="2" s="1"/>
  <c r="R184" i="10"/>
  <c r="Z311" i="7"/>
  <c r="Z226" i="32"/>
  <c r="J30" i="2"/>
  <c r="E231" i="32"/>
  <c r="V79" i="2"/>
  <c r="V80" i="2" s="1"/>
  <c r="V32" i="2"/>
  <c r="V34" i="2" s="1"/>
  <c r="L30" i="2"/>
  <c r="K30" i="2"/>
  <c r="O184" i="10"/>
  <c r="P184" i="10"/>
  <c r="AD184" i="10"/>
  <c r="M184" i="10"/>
  <c r="G184" i="10"/>
  <c r="E1443" i="7"/>
  <c r="E196" i="10"/>
  <c r="AD30" i="2"/>
  <c r="AA184" i="10"/>
  <c r="AG184" i="10"/>
  <c r="N30" i="2"/>
  <c r="AE184" i="10"/>
  <c r="I311" i="7"/>
  <c r="I226" i="32"/>
  <c r="I80" i="2"/>
  <c r="M311" i="7"/>
  <c r="M226" i="32"/>
  <c r="AA311" i="7"/>
  <c r="AA226" i="32"/>
  <c r="S184" i="10"/>
  <c r="E232" i="32"/>
  <c r="AG1473" i="7" l="1"/>
  <c r="AC28" i="2"/>
  <c r="AC30" i="2" s="1"/>
  <c r="AC35" i="2" s="1"/>
  <c r="AG68" i="6"/>
  <c r="AG69" i="6" s="1"/>
  <c r="P68" i="6"/>
  <c r="P69" i="6" s="1"/>
  <c r="AG226" i="32"/>
  <c r="AG30" i="2"/>
  <c r="AG202" i="10" s="1"/>
  <c r="N226" i="32"/>
  <c r="N80" i="2"/>
  <c r="N68" i="6"/>
  <c r="N69" i="6" s="1"/>
  <c r="AG311" i="7"/>
  <c r="O80" i="2"/>
  <c r="AH68" i="6"/>
  <c r="AH69" i="6" s="1"/>
  <c r="L16" i="2"/>
  <c r="M21" i="6" s="1"/>
  <c r="M24" i="6" s="1"/>
  <c r="Y75" i="2"/>
  <c r="Y226" i="32" s="1"/>
  <c r="Y68" i="6"/>
  <c r="Y69" i="6" s="1"/>
  <c r="O311" i="7"/>
  <c r="O68" i="6"/>
  <c r="O69" i="6" s="1"/>
  <c r="P21" i="6"/>
  <c r="P24" i="6" s="1"/>
  <c r="AD80" i="2"/>
  <c r="Z69" i="6"/>
  <c r="V23" i="6"/>
  <c r="AA1473" i="7"/>
  <c r="U30" i="2"/>
  <c r="U35" i="2" s="1"/>
  <c r="U1473" i="7"/>
  <c r="AA69" i="6"/>
  <c r="AC68" i="6"/>
  <c r="AC69" i="6" s="1"/>
  <c r="K66" i="6"/>
  <c r="AB68" i="6"/>
  <c r="AB69" i="6" s="1"/>
  <c r="AD311" i="7"/>
  <c r="AD68" i="6"/>
  <c r="AD69" i="6" s="1"/>
  <c r="AE68" i="6"/>
  <c r="AE69" i="6" s="1"/>
  <c r="G1433" i="7"/>
  <c r="AD21" i="6"/>
  <c r="AB23" i="6"/>
  <c r="AB1473" i="7"/>
  <c r="AE311" i="7"/>
  <c r="K311" i="7"/>
  <c r="Q69" i="6"/>
  <c r="Q226" i="32"/>
  <c r="Q311" i="7"/>
  <c r="AC21" i="6"/>
  <c r="W21" i="6"/>
  <c r="H1433" i="7"/>
  <c r="AF66" i="6"/>
  <c r="AF69" i="6" s="1"/>
  <c r="G86" i="2"/>
  <c r="H504" i="7"/>
  <c r="H506" i="7" s="1"/>
  <c r="U69" i="6"/>
  <c r="K226" i="32"/>
  <c r="L226" i="32"/>
  <c r="AE80" i="2"/>
  <c r="W1433" i="7"/>
  <c r="T1433" i="7"/>
  <c r="AE1433" i="7"/>
  <c r="I1433" i="7"/>
  <c r="J1433" i="7"/>
  <c r="AH1433" i="7"/>
  <c r="M69" i="6"/>
  <c r="L311" i="7"/>
  <c r="K68" i="6"/>
  <c r="L68" i="6"/>
  <c r="AB35" i="2"/>
  <c r="E1433" i="7"/>
  <c r="AC1433" i="7"/>
  <c r="X1433" i="7"/>
  <c r="K1433" i="7"/>
  <c r="F1433" i="7"/>
  <c r="L1433" i="7"/>
  <c r="N1433" i="7"/>
  <c r="AG1433" i="7"/>
  <c r="Z1433" i="7"/>
  <c r="U1433" i="7"/>
  <c r="Y1433" i="7"/>
  <c r="M1433" i="7"/>
  <c r="V1433" i="7"/>
  <c r="R1433" i="7"/>
  <c r="AD1433" i="7"/>
  <c r="AF1433" i="7"/>
  <c r="Q1433" i="7"/>
  <c r="AA1433" i="7"/>
  <c r="O1433" i="7"/>
  <c r="P1433" i="7"/>
  <c r="AB1433" i="7"/>
  <c r="S1433" i="7"/>
  <c r="AF1473" i="7"/>
  <c r="G80" i="2"/>
  <c r="H68" i="6"/>
  <c r="H69" i="6" s="1"/>
  <c r="F68" i="6"/>
  <c r="F69" i="6" s="1"/>
  <c r="F70" i="6" s="1"/>
  <c r="F202" i="32" s="1"/>
  <c r="F206" i="32" s="1"/>
  <c r="F75" i="2"/>
  <c r="F25" i="6"/>
  <c r="F178" i="10" s="1"/>
  <c r="F182" i="10" s="1"/>
  <c r="G311" i="7"/>
  <c r="G68" i="6"/>
  <c r="G69" i="6" s="1"/>
  <c r="W75" i="2"/>
  <c r="W68" i="6"/>
  <c r="W69" i="6" s="1"/>
  <c r="S28" i="2"/>
  <c r="S1473" i="7"/>
  <c r="X28" i="2"/>
  <c r="X1473" i="7"/>
  <c r="W28" i="2"/>
  <c r="W1473" i="7"/>
  <c r="S68" i="6"/>
  <c r="S69" i="6" s="1"/>
  <c r="S75" i="2"/>
  <c r="X75" i="2"/>
  <c r="X68" i="6"/>
  <c r="X69" i="6" s="1"/>
  <c r="T68" i="6"/>
  <c r="T69" i="6" s="1"/>
  <c r="AC226" i="32"/>
  <c r="AF21" i="6"/>
  <c r="AF24" i="6" s="1"/>
  <c r="AG21" i="6"/>
  <c r="R69" i="6"/>
  <c r="U311" i="7"/>
  <c r="J69" i="6"/>
  <c r="U80" i="2"/>
  <c r="V69" i="6"/>
  <c r="AA23" i="6"/>
  <c r="AA24" i="6" s="1"/>
  <c r="Z30" i="2"/>
  <c r="Z35" i="2" s="1"/>
  <c r="R21" i="6"/>
  <c r="R24" i="6" s="1"/>
  <c r="AC80" i="2"/>
  <c r="AF80" i="2"/>
  <c r="J311" i="7"/>
  <c r="AF30" i="2"/>
  <c r="AF35" i="2" s="1"/>
  <c r="Y21" i="6"/>
  <c r="AB311" i="7"/>
  <c r="AB226" i="32"/>
  <c r="AB80" i="2"/>
  <c r="AG23" i="6"/>
  <c r="AF226" i="32"/>
  <c r="J80" i="2"/>
  <c r="I69" i="6"/>
  <c r="F1447" i="7"/>
  <c r="F1449" i="7" s="1"/>
  <c r="H21" i="6"/>
  <c r="H24" i="6" s="1"/>
  <c r="L66" i="6"/>
  <c r="S21" i="6"/>
  <c r="N21" i="6"/>
  <c r="N24" i="6" s="1"/>
  <c r="I21" i="6"/>
  <c r="I24" i="6" s="1"/>
  <c r="X21" i="6"/>
  <c r="U21" i="6"/>
  <c r="U24" i="6" s="1"/>
  <c r="J21" i="6"/>
  <c r="J24" i="6" s="1"/>
  <c r="AE21" i="6"/>
  <c r="AE24" i="6" s="1"/>
  <c r="AB21" i="6"/>
  <c r="O21" i="6"/>
  <c r="O24" i="6" s="1"/>
  <c r="Z21" i="6"/>
  <c r="Z24" i="6" s="1"/>
  <c r="G21" i="6"/>
  <c r="G24" i="6" s="1"/>
  <c r="K1468" i="7"/>
  <c r="M9" i="35" s="1"/>
  <c r="K16" i="2"/>
  <c r="K21" i="6" s="1"/>
  <c r="K24" i="6" s="1"/>
  <c r="T21" i="6"/>
  <c r="Q21" i="6"/>
  <c r="Q24" i="6" s="1"/>
  <c r="V21" i="6"/>
  <c r="AH21" i="6"/>
  <c r="AH24" i="6" s="1"/>
  <c r="Y35" i="2"/>
  <c r="Y202" i="10"/>
  <c r="H35" i="2"/>
  <c r="H202" i="10"/>
  <c r="O202" i="10"/>
  <c r="O35" i="2"/>
  <c r="P202" i="10"/>
  <c r="P35" i="2"/>
  <c r="E209" i="10"/>
  <c r="I202" i="10"/>
  <c r="I35" i="2"/>
  <c r="F35" i="2"/>
  <c r="F202" i="10"/>
  <c r="K35" i="2"/>
  <c r="K202" i="10"/>
  <c r="J202" i="10"/>
  <c r="J35" i="2"/>
  <c r="E313" i="7"/>
  <c r="E312" i="7"/>
  <c r="N202" i="10"/>
  <c r="N35" i="2"/>
  <c r="T202" i="10"/>
  <c r="T35" i="2"/>
  <c r="V202" i="10"/>
  <c r="V35" i="2"/>
  <c r="E35" i="2"/>
  <c r="E43" i="2" s="1"/>
  <c r="E204" i="10"/>
  <c r="E202" i="10"/>
  <c r="E203" i="10" s="1"/>
  <c r="R202" i="10"/>
  <c r="R35" i="2"/>
  <c r="G202" i="10"/>
  <c r="G35" i="2"/>
  <c r="E208" i="10"/>
  <c r="AD202" i="10"/>
  <c r="AD35" i="2"/>
  <c r="L202" i="10"/>
  <c r="L35" i="2"/>
  <c r="AA35" i="2"/>
  <c r="AA202" i="10"/>
  <c r="M35" i="2"/>
  <c r="M202" i="10"/>
  <c r="Q35" i="2"/>
  <c r="Q202" i="10"/>
  <c r="AD23" i="6" l="1"/>
  <c r="AD24" i="6" s="1"/>
  <c r="AC23" i="6"/>
  <c r="AC24" i="6" s="1"/>
  <c r="AG35" i="2"/>
  <c r="Y80" i="2"/>
  <c r="Y311" i="7"/>
  <c r="U202" i="10"/>
  <c r="V24" i="6"/>
  <c r="H1499" i="7"/>
  <c r="L69" i="6"/>
  <c r="K69" i="6"/>
  <c r="AB24" i="6"/>
  <c r="AG24" i="6"/>
  <c r="M11" i="35"/>
  <c r="G35" i="35"/>
  <c r="F283" i="7"/>
  <c r="F80" i="2"/>
  <c r="F311" i="7"/>
  <c r="F226" i="32"/>
  <c r="X23" i="6"/>
  <c r="X24" i="6" s="1"/>
  <c r="X30" i="2"/>
  <c r="Y23" i="6"/>
  <c r="Y24" i="6" s="1"/>
  <c r="W226" i="32"/>
  <c r="W311" i="7"/>
  <c r="W80" i="2"/>
  <c r="X311" i="7"/>
  <c r="X226" i="32"/>
  <c r="S311" i="7"/>
  <c r="S80" i="2"/>
  <c r="S226" i="32"/>
  <c r="W30" i="2"/>
  <c r="W23" i="6"/>
  <c r="W24" i="6" s="1"/>
  <c r="S23" i="6"/>
  <c r="S24" i="6" s="1"/>
  <c r="T23" i="6"/>
  <c r="T24" i="6" s="1"/>
  <c r="S30" i="2"/>
  <c r="X80" i="2"/>
  <c r="Z202" i="10"/>
  <c r="AC202" i="10"/>
  <c r="F1437" i="7"/>
  <c r="F1442" i="7" s="1"/>
  <c r="AF202" i="10"/>
  <c r="L21" i="6"/>
  <c r="L24" i="6" s="1"/>
  <c r="H1501" i="7"/>
  <c r="H41" i="2" s="1"/>
  <c r="I504" i="7"/>
  <c r="H86" i="2"/>
  <c r="F288" i="7" l="1"/>
  <c r="F285" i="7"/>
  <c r="S202" i="10"/>
  <c r="S35" i="2"/>
  <c r="W35" i="2"/>
  <c r="W202" i="10"/>
  <c r="X35" i="2"/>
  <c r="X202" i="10"/>
  <c r="F1439" i="7"/>
  <c r="F196" i="10" s="1"/>
  <c r="I506" i="7"/>
  <c r="I1499" i="7"/>
  <c r="F289" i="7" l="1"/>
  <c r="F86" i="6" s="1"/>
  <c r="F1443" i="7" s="1"/>
  <c r="F41" i="6" s="1"/>
  <c r="F43" i="6" s="1"/>
  <c r="F45" i="6" s="1"/>
  <c r="F220" i="32"/>
  <c r="I1501" i="7"/>
  <c r="I41" i="2" s="1"/>
  <c r="J504" i="7"/>
  <c r="I86" i="2"/>
  <c r="F212" i="32" l="1"/>
  <c r="F88" i="6"/>
  <c r="F90" i="6" s="1"/>
  <c r="F502" i="7"/>
  <c r="F503" i="7" s="1"/>
  <c r="F188" i="10"/>
  <c r="F1497" i="7"/>
  <c r="F1498" i="7" s="1"/>
  <c r="G1496" i="7" s="1"/>
  <c r="J506" i="7"/>
  <c r="J1499" i="7"/>
  <c r="F179" i="10"/>
  <c r="F1481" i="7"/>
  <c r="F1482" i="7" s="1"/>
  <c r="F13" i="2"/>
  <c r="F318" i="7" l="1"/>
  <c r="F319" i="7" s="1"/>
  <c r="F203" i="32"/>
  <c r="F85" i="2"/>
  <c r="F87" i="2" s="1"/>
  <c r="G501" i="7"/>
  <c r="F40" i="2"/>
  <c r="F42" i="2" s="1"/>
  <c r="F197" i="10" s="1"/>
  <c r="J1501" i="7"/>
  <c r="J41" i="2" s="1"/>
  <c r="K504" i="7"/>
  <c r="J86" i="2"/>
  <c r="F113" i="27"/>
  <c r="F1485" i="7"/>
  <c r="G1480" i="7"/>
  <c r="G47" i="6"/>
  <c r="F48" i="6"/>
  <c r="F204" i="10"/>
  <c r="F44" i="2"/>
  <c r="F17" i="2"/>
  <c r="F45" i="2"/>
  <c r="F1450" i="7" l="1"/>
  <c r="F1451" i="7" s="1"/>
  <c r="F208" i="10" s="1"/>
  <c r="F322" i="7"/>
  <c r="G317" i="7"/>
  <c r="G320" i="7" s="1"/>
  <c r="G321" i="7" s="1"/>
  <c r="G80" i="5" s="1"/>
  <c r="G58" i="6" s="1"/>
  <c r="G85" i="6" s="1"/>
  <c r="F58" i="2"/>
  <c r="F88" i="2"/>
  <c r="F221" i="32"/>
  <c r="F296" i="7"/>
  <c r="F297" i="7" s="1"/>
  <c r="F231" i="32" s="1"/>
  <c r="F43" i="2"/>
  <c r="K506" i="7"/>
  <c r="K1499" i="7"/>
  <c r="F201" i="10"/>
  <c r="F203" i="10" s="1"/>
  <c r="F22" i="2"/>
  <c r="G1483" i="7" l="1"/>
  <c r="G1484" i="7" s="1"/>
  <c r="G38" i="5" s="1"/>
  <c r="G13" i="6" s="1"/>
  <c r="G40" i="6" s="1"/>
  <c r="F93" i="6"/>
  <c r="F89" i="2"/>
  <c r="G92" i="6"/>
  <c r="F309" i="7"/>
  <c r="F62" i="2"/>
  <c r="G81" i="5"/>
  <c r="G83" i="5" s="1"/>
  <c r="G57" i="6" s="1"/>
  <c r="G70" i="6" s="1"/>
  <c r="K1501" i="7"/>
  <c r="K41" i="2" s="1"/>
  <c r="L504" i="7"/>
  <c r="K86" i="2"/>
  <c r="G211" i="32"/>
  <c r="F1452" i="7"/>
  <c r="F1453" i="7" s="1"/>
  <c r="G39" i="5" l="1"/>
  <c r="G41" i="5" s="1"/>
  <c r="G12" i="6" s="1"/>
  <c r="G25" i="6" s="1"/>
  <c r="F313" i="7"/>
  <c r="F442" i="1"/>
  <c r="G293" i="7"/>
  <c r="G295" i="7" s="1"/>
  <c r="F67" i="2"/>
  <c r="F298" i="7" s="1"/>
  <c r="F299" i="7" s="1"/>
  <c r="F232" i="32" s="1"/>
  <c r="F225" i="32"/>
  <c r="F227" i="32" s="1"/>
  <c r="F310" i="7"/>
  <c r="F312" i="7" s="1"/>
  <c r="L506" i="7"/>
  <c r="L1499" i="7"/>
  <c r="F209" i="10"/>
  <c r="G187" i="10"/>
  <c r="G283" i="7"/>
  <c r="G202" i="32"/>
  <c r="G206" i="32" s="1"/>
  <c r="G1447" i="7" l="1"/>
  <c r="G1449" i="7" s="1"/>
  <c r="L1501" i="7"/>
  <c r="L41" i="2" s="1"/>
  <c r="M504" i="7"/>
  <c r="L86" i="2"/>
  <c r="G288" i="7"/>
  <c r="G285" i="7"/>
  <c r="G1437" i="7"/>
  <c r="G178" i="10"/>
  <c r="G182" i="10" s="1"/>
  <c r="M506" i="7" l="1"/>
  <c r="M1499" i="7"/>
  <c r="G289" i="7"/>
  <c r="G86" i="6" s="1"/>
  <c r="G220" i="32"/>
  <c r="G1442" i="7"/>
  <c r="G1439" i="7"/>
  <c r="M1501" i="7" l="1"/>
  <c r="M41" i="2" s="1"/>
  <c r="N504" i="7"/>
  <c r="M86" i="2"/>
  <c r="G212" i="32"/>
  <c r="G502" i="7"/>
  <c r="G503" i="7" s="1"/>
  <c r="G88" i="6"/>
  <c r="G90" i="6" s="1"/>
  <c r="G196" i="10"/>
  <c r="G1443" i="7"/>
  <c r="G41" i="6" s="1"/>
  <c r="N506" i="7" l="1"/>
  <c r="N1499" i="7"/>
  <c r="G188" i="10"/>
  <c r="G43" i="6"/>
  <c r="G45" i="6" s="1"/>
  <c r="G1497" i="7"/>
  <c r="G1498" i="7" s="1"/>
  <c r="H501" i="7"/>
  <c r="G85" i="2"/>
  <c r="G87" i="2" s="1"/>
  <c r="G318" i="7"/>
  <c r="G319" i="7" s="1"/>
  <c r="G203" i="32"/>
  <c r="N1501" i="7" l="1"/>
  <c r="N41" i="2" s="1"/>
  <c r="O504" i="7"/>
  <c r="N86" i="2"/>
  <c r="G296" i="7"/>
  <c r="G297" i="7" s="1"/>
  <c r="G221" i="32"/>
  <c r="G88" i="2"/>
  <c r="G1481" i="7"/>
  <c r="G1482" i="7" s="1"/>
  <c r="G179" i="10"/>
  <c r="G13" i="2"/>
  <c r="G40" i="2"/>
  <c r="G42" i="2" s="1"/>
  <c r="H1496" i="7"/>
  <c r="G322" i="7"/>
  <c r="G58" i="2"/>
  <c r="H317" i="7"/>
  <c r="O506" i="7" l="1"/>
  <c r="O1499" i="7"/>
  <c r="G231" i="32"/>
  <c r="G204" i="10"/>
  <c r="G44" i="2"/>
  <c r="G45" i="2"/>
  <c r="H47" i="6"/>
  <c r="G48" i="6"/>
  <c r="G17" i="2"/>
  <c r="H320" i="7"/>
  <c r="H321" i="7" s="1"/>
  <c r="H80" i="5" s="1"/>
  <c r="G93" i="6"/>
  <c r="H92" i="6"/>
  <c r="G309" i="7"/>
  <c r="G89" i="2"/>
  <c r="G62" i="2"/>
  <c r="G1450" i="7"/>
  <c r="G1451" i="7" s="1"/>
  <c r="G197" i="10"/>
  <c r="G43" i="2"/>
  <c r="G1485" i="7"/>
  <c r="G113" i="27"/>
  <c r="H1480" i="7"/>
  <c r="O1501" i="7" l="1"/>
  <c r="O41" i="2" s="1"/>
  <c r="P504" i="7"/>
  <c r="O86" i="2"/>
  <c r="G208" i="10"/>
  <c r="G67" i="2"/>
  <c r="G310" i="7"/>
  <c r="G312" i="7" s="1"/>
  <c r="G225" i="32"/>
  <c r="G227" i="32" s="1"/>
  <c r="G201" i="10"/>
  <c r="G203" i="10" s="1"/>
  <c r="G22" i="2"/>
  <c r="H1483" i="7"/>
  <c r="H1484" i="7" s="1"/>
  <c r="H38" i="5" s="1"/>
  <c r="G442" i="1"/>
  <c r="G313" i="7"/>
  <c r="H58" i="6"/>
  <c r="H85" i="6" s="1"/>
  <c r="H81" i="5"/>
  <c r="H83" i="5" s="1"/>
  <c r="P506" i="7" l="1"/>
  <c r="P1499" i="7"/>
  <c r="H293" i="7"/>
  <c r="H57" i="6"/>
  <c r="H70" i="6" s="1"/>
  <c r="H39" i="5"/>
  <c r="H41" i="5" s="1"/>
  <c r="H13" i="6"/>
  <c r="H40" i="6" s="1"/>
  <c r="G1452" i="7"/>
  <c r="G1453" i="7" s="1"/>
  <c r="G298" i="7"/>
  <c r="G299" i="7" s="1"/>
  <c r="H211" i="32"/>
  <c r="P1501" i="7" l="1"/>
  <c r="P41" i="2" s="1"/>
  <c r="Q504" i="7"/>
  <c r="P86" i="2"/>
  <c r="G209" i="10"/>
  <c r="G232" i="32"/>
  <c r="H187" i="10"/>
  <c r="H12" i="6"/>
  <c r="H25" i="6" s="1"/>
  <c r="H1447" i="7"/>
  <c r="H295" i="7"/>
  <c r="H283" i="7"/>
  <c r="H202" i="32"/>
  <c r="H206" i="32" s="1"/>
  <c r="Q506" i="7" l="1"/>
  <c r="Q1499" i="7"/>
  <c r="H288" i="7"/>
  <c r="H285" i="7"/>
  <c r="H1437" i="7"/>
  <c r="H178" i="10"/>
  <c r="H182" i="10" s="1"/>
  <c r="H1449" i="7"/>
  <c r="Q1501" i="7" l="1"/>
  <c r="Q41" i="2" s="1"/>
  <c r="R504" i="7"/>
  <c r="Q86" i="2"/>
  <c r="H220" i="32"/>
  <c r="H289" i="7"/>
  <c r="H86" i="6" s="1"/>
  <c r="H1442" i="7"/>
  <c r="H1439" i="7"/>
  <c r="R506" i="7" l="1"/>
  <c r="R1499" i="7"/>
  <c r="H212" i="32"/>
  <c r="H502" i="7"/>
  <c r="H503" i="7" s="1"/>
  <c r="H88" i="6"/>
  <c r="H90" i="6" s="1"/>
  <c r="H196" i="10"/>
  <c r="H1443" i="7"/>
  <c r="H41" i="6" s="1"/>
  <c r="R1501" i="7" l="1"/>
  <c r="R41" i="2" s="1"/>
  <c r="S504" i="7"/>
  <c r="R86" i="2"/>
  <c r="H188" i="10"/>
  <c r="H43" i="6"/>
  <c r="H45" i="6" s="1"/>
  <c r="H1497" i="7"/>
  <c r="H1498" i="7" s="1"/>
  <c r="I501" i="7"/>
  <c r="H85" i="2"/>
  <c r="H87" i="2" s="1"/>
  <c r="H318" i="7"/>
  <c r="H319" i="7" s="1"/>
  <c r="H203" i="32"/>
  <c r="S506" i="7" l="1"/>
  <c r="S1499" i="7"/>
  <c r="H296" i="7"/>
  <c r="H297" i="7" s="1"/>
  <c r="H221" i="32"/>
  <c r="H88" i="2"/>
  <c r="H1481" i="7"/>
  <c r="H1482" i="7" s="1"/>
  <c r="H179" i="10"/>
  <c r="H13" i="2"/>
  <c r="I1496" i="7"/>
  <c r="H40" i="2"/>
  <c r="H42" i="2" s="1"/>
  <c r="H322" i="7"/>
  <c r="H58" i="2"/>
  <c r="I317" i="7"/>
  <c r="S1501" i="7" l="1"/>
  <c r="S41" i="2" s="1"/>
  <c r="S86" i="2"/>
  <c r="T504" i="7"/>
  <c r="H231" i="32"/>
  <c r="I92" i="6"/>
  <c r="H309" i="7"/>
  <c r="H62" i="2"/>
  <c r="H93" i="6"/>
  <c r="H89" i="2"/>
  <c r="I47" i="6"/>
  <c r="H204" i="10"/>
  <c r="H44" i="2"/>
  <c r="H45" i="2"/>
  <c r="H48" i="6"/>
  <c r="H17" i="2"/>
  <c r="I320" i="7"/>
  <c r="I321" i="7" s="1"/>
  <c r="I80" i="5" s="1"/>
  <c r="H1450" i="7"/>
  <c r="H1451" i="7" s="1"/>
  <c r="H197" i="10"/>
  <c r="H43" i="2"/>
  <c r="H113" i="27"/>
  <c r="H1485" i="7"/>
  <c r="I1480" i="7"/>
  <c r="T506" i="7" l="1"/>
  <c r="T1499" i="7"/>
  <c r="H208" i="10"/>
  <c r="I81" i="5"/>
  <c r="I83" i="5" s="1"/>
  <c r="I58" i="6"/>
  <c r="I85" i="6" s="1"/>
  <c r="H442" i="1"/>
  <c r="H313" i="7"/>
  <c r="H201" i="10"/>
  <c r="H203" i="10" s="1"/>
  <c r="H22" i="2"/>
  <c r="H67" i="2"/>
  <c r="H310" i="7"/>
  <c r="H312" i="7" s="1"/>
  <c r="H225" i="32"/>
  <c r="H227" i="32" s="1"/>
  <c r="I1483" i="7"/>
  <c r="I1484" i="7" s="1"/>
  <c r="I38" i="5" s="1"/>
  <c r="T1501" i="7" l="1"/>
  <c r="T41" i="2" s="1"/>
  <c r="U504" i="7"/>
  <c r="T86" i="2"/>
  <c r="I39" i="5"/>
  <c r="I41" i="5" s="1"/>
  <c r="I13" i="6"/>
  <c r="I40" i="6" s="1"/>
  <c r="H298" i="7"/>
  <c r="H299" i="7" s="1"/>
  <c r="I211" i="32"/>
  <c r="I57" i="6"/>
  <c r="I70" i="6" s="1"/>
  <c r="I293" i="7"/>
  <c r="H1452" i="7"/>
  <c r="H1453" i="7" s="1"/>
  <c r="U506" i="7" l="1"/>
  <c r="U1499" i="7"/>
  <c r="H209" i="10"/>
  <c r="H232" i="32"/>
  <c r="I187" i="10"/>
  <c r="I12" i="6"/>
  <c r="I25" i="6" s="1"/>
  <c r="I1447" i="7"/>
  <c r="I295" i="7"/>
  <c r="I202" i="32"/>
  <c r="I206" i="32" s="1"/>
  <c r="I283" i="7"/>
  <c r="U1501" i="7" l="1"/>
  <c r="U41" i="2" s="1"/>
  <c r="V504" i="7"/>
  <c r="U86" i="2"/>
  <c r="I288" i="7"/>
  <c r="I285" i="7"/>
  <c r="I1437" i="7"/>
  <c r="I178" i="10"/>
  <c r="I182" i="10" s="1"/>
  <c r="I1449" i="7"/>
  <c r="V506" i="7" l="1"/>
  <c r="V1499" i="7"/>
  <c r="I220" i="32"/>
  <c r="I289" i="7"/>
  <c r="I86" i="6" s="1"/>
  <c r="I1442" i="7"/>
  <c r="I1439" i="7"/>
  <c r="V1501" i="7" l="1"/>
  <c r="V41" i="2" s="1"/>
  <c r="W504" i="7"/>
  <c r="V86" i="2"/>
  <c r="I212" i="32"/>
  <c r="I88" i="6"/>
  <c r="I90" i="6" s="1"/>
  <c r="I502" i="7"/>
  <c r="I503" i="7" s="1"/>
  <c r="I1443" i="7"/>
  <c r="I41" i="6" s="1"/>
  <c r="I196" i="10"/>
  <c r="W506" i="7" l="1"/>
  <c r="W1499" i="7"/>
  <c r="I318" i="7"/>
  <c r="I319" i="7" s="1"/>
  <c r="I203" i="32"/>
  <c r="J501" i="7"/>
  <c r="I85" i="2"/>
  <c r="I87" i="2" s="1"/>
  <c r="I188" i="10"/>
  <c r="I43" i="6"/>
  <c r="I45" i="6" s="1"/>
  <c r="I1497" i="7"/>
  <c r="I1498" i="7" s="1"/>
  <c r="W1501" i="7" l="1"/>
  <c r="W41" i="2" s="1"/>
  <c r="W86" i="2"/>
  <c r="X504" i="7"/>
  <c r="I1481" i="7"/>
  <c r="I1482" i="7" s="1"/>
  <c r="I179" i="10"/>
  <c r="I13" i="2"/>
  <c r="I322" i="7"/>
  <c r="J317" i="7"/>
  <c r="I58" i="2"/>
  <c r="J1496" i="7"/>
  <c r="I40" i="2"/>
  <c r="I42" i="2" s="1"/>
  <c r="I296" i="7"/>
  <c r="I297" i="7" s="1"/>
  <c r="I221" i="32"/>
  <c r="I88" i="2"/>
  <c r="X506" i="7" l="1"/>
  <c r="X1499" i="7"/>
  <c r="I231" i="32"/>
  <c r="J320" i="7"/>
  <c r="J321" i="7" s="1"/>
  <c r="J80" i="5" s="1"/>
  <c r="I113" i="27"/>
  <c r="I1485" i="7"/>
  <c r="J1480" i="7"/>
  <c r="I1450" i="7"/>
  <c r="I1451" i="7" s="1"/>
  <c r="I197" i="10"/>
  <c r="I43" i="2"/>
  <c r="I89" i="2"/>
  <c r="I93" i="6"/>
  <c r="I309" i="7"/>
  <c r="J92" i="6"/>
  <c r="I62" i="2"/>
  <c r="I44" i="2"/>
  <c r="I48" i="6"/>
  <c r="J47" i="6"/>
  <c r="I45" i="2"/>
  <c r="I204" i="10"/>
  <c r="I17" i="2"/>
  <c r="X1501" i="7" l="1"/>
  <c r="X41" i="2" s="1"/>
  <c r="Y504" i="7"/>
  <c r="X86" i="2"/>
  <c r="I208" i="10"/>
  <c r="I310" i="7"/>
  <c r="I312" i="7" s="1"/>
  <c r="I225" i="32"/>
  <c r="I227" i="32" s="1"/>
  <c r="I67" i="2"/>
  <c r="J1483" i="7"/>
  <c r="J1484" i="7" s="1"/>
  <c r="J38" i="5" s="1"/>
  <c r="J58" i="6"/>
  <c r="J85" i="6" s="1"/>
  <c r="J81" i="5"/>
  <c r="J83" i="5" s="1"/>
  <c r="I201" i="10"/>
  <c r="I203" i="10" s="1"/>
  <c r="I22" i="2"/>
  <c r="I313" i="7"/>
  <c r="I442" i="1"/>
  <c r="Y506" i="7" l="1"/>
  <c r="Y1499" i="7"/>
  <c r="J293" i="7"/>
  <c r="J57" i="6"/>
  <c r="J70" i="6" s="1"/>
  <c r="J39" i="5"/>
  <c r="J41" i="5" s="1"/>
  <c r="J13" i="6"/>
  <c r="J40" i="6" s="1"/>
  <c r="I298" i="7"/>
  <c r="I299" i="7" s="1"/>
  <c r="J211" i="32"/>
  <c r="I1452" i="7"/>
  <c r="I1453" i="7" s="1"/>
  <c r="Y1501" i="7" l="1"/>
  <c r="Y41" i="2" s="1"/>
  <c r="Z504" i="7"/>
  <c r="Y86" i="2"/>
  <c r="I232" i="32"/>
  <c r="I209" i="10"/>
  <c r="J12" i="6"/>
  <c r="J25" i="6" s="1"/>
  <c r="J1447" i="7"/>
  <c r="J187" i="10"/>
  <c r="J295" i="7"/>
  <c r="J283" i="7"/>
  <c r="J202" i="32"/>
  <c r="J206" i="32" s="1"/>
  <c r="Z506" i="7" l="1"/>
  <c r="Z1499" i="7"/>
  <c r="J1437" i="7"/>
  <c r="J178" i="10"/>
  <c r="J182" i="10" s="1"/>
  <c r="J288" i="7"/>
  <c r="J285" i="7"/>
  <c r="J1449" i="7"/>
  <c r="Z1501" i="7" l="1"/>
  <c r="Z41" i="2" s="1"/>
  <c r="AA504" i="7"/>
  <c r="Z86" i="2"/>
  <c r="J1442" i="7"/>
  <c r="J1439" i="7"/>
  <c r="J220" i="32"/>
  <c r="J289" i="7"/>
  <c r="J86" i="6" s="1"/>
  <c r="AA506" i="7" l="1"/>
  <c r="AA1499" i="7"/>
  <c r="J212" i="32"/>
  <c r="J502" i="7"/>
  <c r="J503" i="7" s="1"/>
  <c r="J88" i="6"/>
  <c r="J90" i="6" s="1"/>
  <c r="J196" i="10"/>
  <c r="J1443" i="7"/>
  <c r="J41" i="6" s="1"/>
  <c r="AA1501" i="7" l="1"/>
  <c r="AA41" i="2" s="1"/>
  <c r="AB504" i="7"/>
  <c r="AA86" i="2"/>
  <c r="J188" i="10"/>
  <c r="J1497" i="7"/>
  <c r="J1498" i="7" s="1"/>
  <c r="J43" i="6"/>
  <c r="J45" i="6" s="1"/>
  <c r="K501" i="7"/>
  <c r="J85" i="2"/>
  <c r="J87" i="2" s="1"/>
  <c r="J203" i="32"/>
  <c r="J318" i="7"/>
  <c r="J319" i="7" s="1"/>
  <c r="AB506" i="7" l="1"/>
  <c r="AB1499" i="7"/>
  <c r="J296" i="7"/>
  <c r="J297" i="7" s="1"/>
  <c r="J221" i="32"/>
  <c r="J88" i="2"/>
  <c r="K1496" i="7"/>
  <c r="J40" i="2"/>
  <c r="J42" i="2" s="1"/>
  <c r="J179" i="10"/>
  <c r="J1481" i="7"/>
  <c r="J1482" i="7" s="1"/>
  <c r="J13" i="2"/>
  <c r="J58" i="2"/>
  <c r="J322" i="7"/>
  <c r="K317" i="7"/>
  <c r="AB1501" i="7" l="1"/>
  <c r="AB41" i="2" s="1"/>
  <c r="AC504" i="7"/>
  <c r="AB86" i="2"/>
  <c r="J231" i="32"/>
  <c r="J1450" i="7"/>
  <c r="J1451" i="7" s="1"/>
  <c r="J197" i="10"/>
  <c r="J43" i="2"/>
  <c r="J93" i="6"/>
  <c r="J89" i="2"/>
  <c r="K92" i="6"/>
  <c r="J309" i="7"/>
  <c r="J62" i="2"/>
  <c r="K320" i="7"/>
  <c r="K321" i="7" s="1"/>
  <c r="K80" i="5" s="1"/>
  <c r="J1485" i="7"/>
  <c r="J113" i="27"/>
  <c r="K1480" i="7"/>
  <c r="J48" i="6"/>
  <c r="J204" i="10"/>
  <c r="J44" i="2"/>
  <c r="K47" i="6"/>
  <c r="J45" i="2"/>
  <c r="J17" i="2"/>
  <c r="AC506" i="7" l="1"/>
  <c r="AC1499" i="7"/>
  <c r="J208" i="10"/>
  <c r="K81" i="5"/>
  <c r="K83" i="5" s="1"/>
  <c r="K58" i="6"/>
  <c r="K85" i="6" s="1"/>
  <c r="K1483" i="7"/>
  <c r="K1484" i="7" s="1"/>
  <c r="K38" i="5" s="1"/>
  <c r="J22" i="2"/>
  <c r="J201" i="10"/>
  <c r="J203" i="10" s="1"/>
  <c r="J313" i="7"/>
  <c r="J442" i="1"/>
  <c r="J225" i="32"/>
  <c r="J227" i="32" s="1"/>
  <c r="J67" i="2"/>
  <c r="J310" i="7"/>
  <c r="J312" i="7" s="1"/>
  <c r="AC1501" i="7" l="1"/>
  <c r="AC41" i="2" s="1"/>
  <c r="AC86" i="2"/>
  <c r="AD504" i="7"/>
  <c r="K39" i="5"/>
  <c r="K41" i="5" s="1"/>
  <c r="K13" i="6"/>
  <c r="K40" i="6" s="1"/>
  <c r="K211" i="32"/>
  <c r="J1452" i="7"/>
  <c r="J1453" i="7" s="1"/>
  <c r="K57" i="6"/>
  <c r="K70" i="6" s="1"/>
  <c r="K293" i="7"/>
  <c r="J298" i="7"/>
  <c r="J299" i="7" s="1"/>
  <c r="AD506" i="7" l="1"/>
  <c r="AD1499" i="7"/>
  <c r="J232" i="32"/>
  <c r="J209" i="10"/>
  <c r="K295" i="7"/>
  <c r="K187" i="10"/>
  <c r="K1447" i="7"/>
  <c r="K12" i="6"/>
  <c r="K25" i="6" s="1"/>
  <c r="K283" i="7"/>
  <c r="K202" i="32"/>
  <c r="K206" i="32" s="1"/>
  <c r="AD1501" i="7" l="1"/>
  <c r="AD41" i="2" s="1"/>
  <c r="AE504" i="7"/>
  <c r="AD86" i="2"/>
  <c r="K288" i="7"/>
  <c r="K285" i="7"/>
  <c r="K1449" i="7"/>
  <c r="K1437" i="7"/>
  <c r="K178" i="10"/>
  <c r="K182" i="10" s="1"/>
  <c r="AE506" i="7" l="1"/>
  <c r="AE1499" i="7"/>
  <c r="K220" i="32"/>
  <c r="K289" i="7"/>
  <c r="K86" i="6" s="1"/>
  <c r="K1442" i="7"/>
  <c r="K1439" i="7"/>
  <c r="AE1501" i="7" l="1"/>
  <c r="AE41" i="2" s="1"/>
  <c r="AF504" i="7"/>
  <c r="AE86" i="2"/>
  <c r="K212" i="32"/>
  <c r="K88" i="6"/>
  <c r="K90" i="6" s="1"/>
  <c r="K502" i="7"/>
  <c r="K503" i="7" s="1"/>
  <c r="K196" i="10"/>
  <c r="K1443" i="7"/>
  <c r="K41" i="6" s="1"/>
  <c r="AF506" i="7" l="1"/>
  <c r="AF1499" i="7"/>
  <c r="K188" i="10"/>
  <c r="K1497" i="7"/>
  <c r="K1498" i="7" s="1"/>
  <c r="K43" i="6"/>
  <c r="K45" i="6" s="1"/>
  <c r="K318" i="7"/>
  <c r="K319" i="7" s="1"/>
  <c r="K203" i="32"/>
  <c r="L501" i="7"/>
  <c r="K85" i="2"/>
  <c r="K87" i="2" s="1"/>
  <c r="AF1501" i="7" l="1"/>
  <c r="AF41" i="2" s="1"/>
  <c r="AG504" i="7"/>
  <c r="AF86" i="2"/>
  <c r="K296" i="7"/>
  <c r="K297" i="7" s="1"/>
  <c r="K231" i="32" s="1"/>
  <c r="K221" i="32"/>
  <c r="K88" i="2"/>
  <c r="L1496" i="7"/>
  <c r="K40" i="2"/>
  <c r="K42" i="2" s="1"/>
  <c r="K1481" i="7"/>
  <c r="K1482" i="7" s="1"/>
  <c r="K179" i="10"/>
  <c r="K13" i="2"/>
  <c r="K322" i="7"/>
  <c r="K58" i="2"/>
  <c r="L317" i="7"/>
  <c r="AG506" i="7" l="1"/>
  <c r="AG1499" i="7"/>
  <c r="K1450" i="7"/>
  <c r="K1451" i="7" s="1"/>
  <c r="K208" i="10" s="1"/>
  <c r="K197" i="10"/>
  <c r="K43" i="2"/>
  <c r="K1485" i="7"/>
  <c r="K113" i="27"/>
  <c r="L1480" i="7"/>
  <c r="L320" i="7"/>
  <c r="L321" i="7" s="1"/>
  <c r="L80" i="5" s="1"/>
  <c r="K93" i="6"/>
  <c r="K309" i="7"/>
  <c r="L92" i="6"/>
  <c r="K89" i="2"/>
  <c r="K62" i="2"/>
  <c r="L47" i="6"/>
  <c r="K44" i="2"/>
  <c r="K204" i="10"/>
  <c r="K48" i="6"/>
  <c r="K45" i="2"/>
  <c r="K17" i="2"/>
  <c r="AG1501" i="7" l="1"/>
  <c r="AG41" i="2" s="1"/>
  <c r="AG86" i="2"/>
  <c r="AH504" i="7"/>
  <c r="K313" i="7"/>
  <c r="K442" i="1"/>
  <c r="K310" i="7"/>
  <c r="K312" i="7" s="1"/>
  <c r="K225" i="32"/>
  <c r="K227" i="32" s="1"/>
  <c r="K67" i="2"/>
  <c r="L1483" i="7"/>
  <c r="L1484" i="7" s="1"/>
  <c r="L38" i="5" s="1"/>
  <c r="K201" i="10"/>
  <c r="K203" i="10" s="1"/>
  <c r="K22" i="2"/>
  <c r="L81" i="5"/>
  <c r="L83" i="5" s="1"/>
  <c r="L58" i="6"/>
  <c r="L85" i="6" s="1"/>
  <c r="AH506" i="7" l="1"/>
  <c r="AH1499" i="7"/>
  <c r="L293" i="7"/>
  <c r="L57" i="6"/>
  <c r="L70" i="6" s="1"/>
  <c r="L39" i="5"/>
  <c r="L41" i="5" s="1"/>
  <c r="L13" i="6"/>
  <c r="L40" i="6" s="1"/>
  <c r="L211" i="32"/>
  <c r="K1452" i="7"/>
  <c r="K1453" i="7" s="1"/>
  <c r="K209" i="10" s="1"/>
  <c r="K298" i="7"/>
  <c r="K299" i="7" s="1"/>
  <c r="K232" i="32" s="1"/>
  <c r="AH86" i="2" l="1"/>
  <c r="AH1501" i="7"/>
  <c r="AH41" i="2" s="1"/>
  <c r="L12" i="6"/>
  <c r="L25" i="6" s="1"/>
  <c r="L1447" i="7"/>
  <c r="L187" i="10"/>
  <c r="L295" i="7"/>
  <c r="L283" i="7"/>
  <c r="L202" i="32"/>
  <c r="L206" i="32" s="1"/>
  <c r="L288" i="7" l="1"/>
  <c r="L285" i="7"/>
  <c r="L1437" i="7"/>
  <c r="L178" i="10"/>
  <c r="L182" i="10" s="1"/>
  <c r="L1449" i="7"/>
  <c r="L220" i="32" l="1"/>
  <c r="L289" i="7"/>
  <c r="L86" i="6" s="1"/>
  <c r="L1442" i="7"/>
  <c r="L1439" i="7"/>
  <c r="L212" i="32" l="1"/>
  <c r="L88" i="6"/>
  <c r="L90" i="6" s="1"/>
  <c r="L502" i="7"/>
  <c r="L503" i="7" s="1"/>
  <c r="L196" i="10"/>
  <c r="L1443" i="7"/>
  <c r="L41" i="6" s="1"/>
  <c r="L188" i="10" l="1"/>
  <c r="L1497" i="7"/>
  <c r="L1498" i="7" s="1"/>
  <c r="L43" i="6"/>
  <c r="L45" i="6" s="1"/>
  <c r="L318" i="7"/>
  <c r="L319" i="7" s="1"/>
  <c r="L203" i="32"/>
  <c r="M501" i="7"/>
  <c r="L85" i="2"/>
  <c r="L87" i="2" s="1"/>
  <c r="M1496" i="7" l="1"/>
  <c r="L40" i="2"/>
  <c r="L42" i="2" s="1"/>
  <c r="L179" i="10"/>
  <c r="L1481" i="7"/>
  <c r="L1482" i="7" s="1"/>
  <c r="L13" i="2"/>
  <c r="L296" i="7"/>
  <c r="L297" i="7" s="1"/>
  <c r="L231" i="32" s="1"/>
  <c r="L221" i="32"/>
  <c r="L88" i="2"/>
  <c r="L58" i="2"/>
  <c r="L322" i="7"/>
  <c r="M317" i="7"/>
  <c r="M320" i="7" l="1"/>
  <c r="M321" i="7" s="1"/>
  <c r="M80" i="5" s="1"/>
  <c r="M92" i="6"/>
  <c r="L62" i="2"/>
  <c r="L93" i="6"/>
  <c r="L89" i="2"/>
  <c r="L309" i="7"/>
  <c r="L45" i="2"/>
  <c r="L48" i="6"/>
  <c r="L44" i="2"/>
  <c r="M47" i="6"/>
  <c r="L204" i="10"/>
  <c r="L17" i="2"/>
  <c r="L1450" i="7"/>
  <c r="L1451" i="7" s="1"/>
  <c r="L208" i="10" s="1"/>
  <c r="L197" i="10"/>
  <c r="L43" i="2"/>
  <c r="L1485" i="7"/>
  <c r="L113" i="27"/>
  <c r="M1480" i="7"/>
  <c r="M81" i="5" l="1"/>
  <c r="M83" i="5" s="1"/>
  <c r="M58" i="6"/>
  <c r="M85" i="6" s="1"/>
  <c r="L22" i="2"/>
  <c r="L201" i="10"/>
  <c r="L203" i="10" s="1"/>
  <c r="L313" i="7"/>
  <c r="L442" i="1"/>
  <c r="M1483" i="7"/>
  <c r="M1484" i="7" s="1"/>
  <c r="M38" i="5" s="1"/>
  <c r="L225" i="32"/>
  <c r="L227" i="32" s="1"/>
  <c r="L67" i="2"/>
  <c r="L310" i="7"/>
  <c r="L312" i="7" s="1"/>
  <c r="M57" i="6" l="1"/>
  <c r="M70" i="6" s="1"/>
  <c r="M293" i="7"/>
  <c r="M39" i="5"/>
  <c r="M41" i="5" s="1"/>
  <c r="M13" i="6"/>
  <c r="M40" i="6" s="1"/>
  <c r="L1452" i="7"/>
  <c r="L1453" i="7" s="1"/>
  <c r="L209" i="10" s="1"/>
  <c r="M211" i="32"/>
  <c r="L298" i="7"/>
  <c r="L299" i="7" s="1"/>
  <c r="L232" i="32" s="1"/>
  <c r="M187" i="10" l="1"/>
  <c r="M202" i="32"/>
  <c r="M206" i="32" s="1"/>
  <c r="M283" i="7"/>
  <c r="M1447" i="7"/>
  <c r="M12" i="6"/>
  <c r="M25" i="6" s="1"/>
  <c r="M295" i="7"/>
  <c r="M1449" i="7" l="1"/>
  <c r="M288" i="7"/>
  <c r="M285" i="7"/>
  <c r="M178" i="10"/>
  <c r="M182" i="10" s="1"/>
  <c r="M1437" i="7"/>
  <c r="M220" i="32" l="1"/>
  <c r="M289" i="7"/>
  <c r="M86" i="6" s="1"/>
  <c r="M1442" i="7"/>
  <c r="M1439" i="7"/>
  <c r="M212" i="32" l="1"/>
  <c r="M502" i="7"/>
  <c r="M503" i="7" s="1"/>
  <c r="M88" i="6"/>
  <c r="M90" i="6" s="1"/>
  <c r="M196" i="10"/>
  <c r="M1443" i="7"/>
  <c r="M41" i="6" s="1"/>
  <c r="M188" i="10" l="1"/>
  <c r="M43" i="6"/>
  <c r="M45" i="6" s="1"/>
  <c r="M1497" i="7"/>
  <c r="M1498" i="7" s="1"/>
  <c r="N501" i="7"/>
  <c r="M85" i="2"/>
  <c r="M87" i="2" s="1"/>
  <c r="M318" i="7"/>
  <c r="M319" i="7" s="1"/>
  <c r="M203" i="32"/>
  <c r="M296" i="7" l="1"/>
  <c r="M297" i="7" s="1"/>
  <c r="M231" i="32" s="1"/>
  <c r="M221" i="32"/>
  <c r="M88" i="2"/>
  <c r="M179" i="10"/>
  <c r="M1481" i="7"/>
  <c r="M1482" i="7" s="1"/>
  <c r="M13" i="2"/>
  <c r="N1496" i="7"/>
  <c r="M40" i="2"/>
  <c r="M42" i="2" s="1"/>
  <c r="M322" i="7"/>
  <c r="M58" i="2"/>
  <c r="N317" i="7"/>
  <c r="M1485" i="7" l="1"/>
  <c r="M113" i="27"/>
  <c r="N1480" i="7"/>
  <c r="M93" i="6"/>
  <c r="M89" i="2"/>
  <c r="N92" i="6"/>
  <c r="M309" i="7"/>
  <c r="M62" i="2"/>
  <c r="M45" i="2"/>
  <c r="N47" i="6"/>
  <c r="M48" i="6"/>
  <c r="M204" i="10"/>
  <c r="M44" i="2"/>
  <c r="M17" i="2"/>
  <c r="N320" i="7"/>
  <c r="N321" i="7" s="1"/>
  <c r="N80" i="5" s="1"/>
  <c r="M1450" i="7"/>
  <c r="M1451" i="7" s="1"/>
  <c r="M208" i="10" s="1"/>
  <c r="M197" i="10"/>
  <c r="M43" i="2"/>
  <c r="N81" i="5" l="1"/>
  <c r="N83" i="5" s="1"/>
  <c r="N58" i="6"/>
  <c r="N85" i="6" s="1"/>
  <c r="M201" i="10"/>
  <c r="M203" i="10" s="1"/>
  <c r="M22" i="2"/>
  <c r="M442" i="1"/>
  <c r="M313" i="7"/>
  <c r="N1483" i="7"/>
  <c r="N1484" i="7" s="1"/>
  <c r="N38" i="5" s="1"/>
  <c r="M67" i="2"/>
  <c r="M310" i="7"/>
  <c r="M312" i="7" s="1"/>
  <c r="M225" i="32"/>
  <c r="M227" i="32" s="1"/>
  <c r="N293" i="7" l="1"/>
  <c r="N57" i="6"/>
  <c r="N70" i="6" s="1"/>
  <c r="N13" i="6"/>
  <c r="N40" i="6" s="1"/>
  <c r="N39" i="5"/>
  <c r="N41" i="5" s="1"/>
  <c r="M1452" i="7"/>
  <c r="M1453" i="7" s="1"/>
  <c r="M209" i="10" s="1"/>
  <c r="N211" i="32"/>
  <c r="M298" i="7"/>
  <c r="M299" i="7" s="1"/>
  <c r="M232" i="32" s="1"/>
  <c r="N295" i="7" l="1"/>
  <c r="N12" i="6"/>
  <c r="N25" i="6" s="1"/>
  <c r="N1447" i="7"/>
  <c r="N202" i="32"/>
  <c r="N206" i="32" s="1"/>
  <c r="N283" i="7"/>
  <c r="N187" i="10"/>
  <c r="N288" i="7" l="1"/>
  <c r="N285" i="7"/>
  <c r="N1449" i="7"/>
  <c r="N1437" i="7"/>
  <c r="N178" i="10"/>
  <c r="N182" i="10" s="1"/>
  <c r="N220" i="32" l="1"/>
  <c r="N289" i="7"/>
  <c r="N86" i="6" s="1"/>
  <c r="N1442" i="7"/>
  <c r="N1439" i="7"/>
  <c r="N212" i="32" l="1"/>
  <c r="N502" i="7"/>
  <c r="N503" i="7" s="1"/>
  <c r="N88" i="6"/>
  <c r="N90" i="6" s="1"/>
  <c r="N196" i="10"/>
  <c r="N1443" i="7"/>
  <c r="N41" i="6" s="1"/>
  <c r="N188" i="10" l="1"/>
  <c r="N43" i="6"/>
  <c r="N45" i="6" s="1"/>
  <c r="N1497" i="7"/>
  <c r="N1498" i="7" s="1"/>
  <c r="O501" i="7"/>
  <c r="N85" i="2"/>
  <c r="N87" i="2" s="1"/>
  <c r="N318" i="7"/>
  <c r="N319" i="7" s="1"/>
  <c r="N203" i="32"/>
  <c r="N296" i="7" l="1"/>
  <c r="N297" i="7" s="1"/>
  <c r="N231" i="32" s="1"/>
  <c r="N221" i="32"/>
  <c r="N88" i="2"/>
  <c r="N322" i="7"/>
  <c r="N58" i="2"/>
  <c r="O317" i="7"/>
  <c r="N179" i="10"/>
  <c r="N1481" i="7"/>
  <c r="N1482" i="7" s="1"/>
  <c r="N13" i="2"/>
  <c r="N40" i="2"/>
  <c r="N42" i="2" s="1"/>
  <c r="O1496" i="7"/>
  <c r="N89" i="2" l="1"/>
  <c r="N93" i="6"/>
  <c r="O92" i="6"/>
  <c r="N309" i="7"/>
  <c r="N62" i="2"/>
  <c r="N1450" i="7"/>
  <c r="N1451" i="7" s="1"/>
  <c r="N208" i="10" s="1"/>
  <c r="N197" i="10"/>
  <c r="N43" i="2"/>
  <c r="O320" i="7"/>
  <c r="O321" i="7" s="1"/>
  <c r="O80" i="5" s="1"/>
  <c r="N44" i="2"/>
  <c r="O47" i="6"/>
  <c r="N48" i="6"/>
  <c r="N45" i="2"/>
  <c r="N204" i="10"/>
  <c r="N17" i="2"/>
  <c r="N113" i="27"/>
  <c r="N1485" i="7"/>
  <c r="O1480" i="7"/>
  <c r="O81" i="5" l="1"/>
  <c r="O83" i="5" s="1"/>
  <c r="O58" i="6"/>
  <c r="O85" i="6" s="1"/>
  <c r="N310" i="7"/>
  <c r="N312" i="7" s="1"/>
  <c r="N67" i="2"/>
  <c r="N225" i="32"/>
  <c r="N227" i="32" s="1"/>
  <c r="O1483" i="7"/>
  <c r="O1484" i="7" s="1"/>
  <c r="O38" i="5" s="1"/>
  <c r="N201" i="10"/>
  <c r="N203" i="10" s="1"/>
  <c r="N22" i="2"/>
  <c r="N442" i="1"/>
  <c r="N313" i="7"/>
  <c r="O13" i="6" l="1"/>
  <c r="O40" i="6" s="1"/>
  <c r="O39" i="5"/>
  <c r="O41" i="5" s="1"/>
  <c r="N298" i="7"/>
  <c r="N299" i="7" s="1"/>
  <c r="N232" i="32" s="1"/>
  <c r="O211" i="32"/>
  <c r="O293" i="7"/>
  <c r="O57" i="6"/>
  <c r="O70" i="6" s="1"/>
  <c r="N1452" i="7"/>
  <c r="N1453" i="7" s="1"/>
  <c r="N209" i="10" s="1"/>
  <c r="O1447" i="7" l="1"/>
  <c r="O12" i="6"/>
  <c r="O25" i="6" s="1"/>
  <c r="O202" i="32"/>
  <c r="O206" i="32" s="1"/>
  <c r="O283" i="7"/>
  <c r="O187" i="10"/>
  <c r="O295" i="7"/>
  <c r="O1449" i="7" l="1"/>
  <c r="O1437" i="7"/>
  <c r="O178" i="10"/>
  <c r="O182" i="10" s="1"/>
  <c r="O288" i="7"/>
  <c r="O285" i="7"/>
  <c r="O1442" i="7" l="1"/>
  <c r="O1439" i="7"/>
  <c r="O220" i="32"/>
  <c r="O289" i="7"/>
  <c r="O86" i="6" s="1"/>
  <c r="O196" i="10" l="1"/>
  <c r="O1443" i="7"/>
  <c r="O41" i="6" s="1"/>
  <c r="O212" i="32"/>
  <c r="O88" i="6"/>
  <c r="O90" i="6" s="1"/>
  <c r="O502" i="7"/>
  <c r="O503" i="7" s="1"/>
  <c r="P501" i="7" l="1"/>
  <c r="O85" i="2"/>
  <c r="O87" i="2" s="1"/>
  <c r="O188" i="10"/>
  <c r="O43" i="6"/>
  <c r="O45" i="6" s="1"/>
  <c r="O1497" i="7"/>
  <c r="O1498" i="7" s="1"/>
  <c r="O318" i="7"/>
  <c r="O319" i="7" s="1"/>
  <c r="O203" i="32"/>
  <c r="P1496" i="7" l="1"/>
  <c r="O40" i="2"/>
  <c r="O42" i="2" s="1"/>
  <c r="O296" i="7"/>
  <c r="O297" i="7" s="1"/>
  <c r="O231" i="32" s="1"/>
  <c r="O221" i="32"/>
  <c r="O88" i="2"/>
  <c r="O322" i="7"/>
  <c r="O58" i="2"/>
  <c r="P317" i="7"/>
  <c r="O179" i="10"/>
  <c r="O1481" i="7"/>
  <c r="O1482" i="7" s="1"/>
  <c r="O13" i="2"/>
  <c r="O1485" i="7" l="1"/>
  <c r="O113" i="27"/>
  <c r="P1480" i="7"/>
  <c r="P47" i="6"/>
  <c r="O45" i="2"/>
  <c r="O204" i="10"/>
  <c r="O48" i="6"/>
  <c r="O44" i="2"/>
  <c r="O17" i="2"/>
  <c r="O1450" i="7"/>
  <c r="O1451" i="7" s="1"/>
  <c r="O208" i="10" s="1"/>
  <c r="O197" i="10"/>
  <c r="O43" i="2"/>
  <c r="O93" i="6"/>
  <c r="O89" i="2"/>
  <c r="P92" i="6"/>
  <c r="O309" i="7"/>
  <c r="O62" i="2"/>
  <c r="P320" i="7"/>
  <c r="P321" i="7" s="1"/>
  <c r="P80" i="5" s="1"/>
  <c r="O313" i="7" l="1"/>
  <c r="O442" i="1"/>
  <c r="O22" i="2"/>
  <c r="O201" i="10"/>
  <c r="O203" i="10" s="1"/>
  <c r="O67" i="2"/>
  <c r="O225" i="32"/>
  <c r="O227" i="32" s="1"/>
  <c r="O310" i="7"/>
  <c r="O312" i="7" s="1"/>
  <c r="P58" i="6"/>
  <c r="P85" i="6" s="1"/>
  <c r="P81" i="5"/>
  <c r="P83" i="5" s="1"/>
  <c r="P1483" i="7"/>
  <c r="P1484" i="7" s="1"/>
  <c r="P38" i="5" s="1"/>
  <c r="P39" i="5" l="1"/>
  <c r="P41" i="5" s="1"/>
  <c r="P13" i="6"/>
  <c r="P40" i="6" s="1"/>
  <c r="O298" i="7"/>
  <c r="O299" i="7" s="1"/>
  <c r="O232" i="32" s="1"/>
  <c r="O1452" i="7"/>
  <c r="O1453" i="7" s="1"/>
  <c r="O209" i="10" s="1"/>
  <c r="P293" i="7"/>
  <c r="P57" i="6"/>
  <c r="P70" i="6" s="1"/>
  <c r="P211" i="32"/>
  <c r="P1447" i="7" l="1"/>
  <c r="P12" i="6"/>
  <c r="P25" i="6" s="1"/>
  <c r="P187" i="10"/>
  <c r="P283" i="7"/>
  <c r="P202" i="32"/>
  <c r="P206" i="32" s="1"/>
  <c r="P295" i="7"/>
  <c r="P1449" i="7" l="1"/>
  <c r="P1437" i="7"/>
  <c r="P178" i="10"/>
  <c r="P182" i="10" s="1"/>
  <c r="P288" i="7"/>
  <c r="P285" i="7"/>
  <c r="P220" i="32" l="1"/>
  <c r="P289" i="7"/>
  <c r="P86" i="6" s="1"/>
  <c r="P1442" i="7"/>
  <c r="P1439" i="7"/>
  <c r="P212" i="32" l="1"/>
  <c r="P88" i="6"/>
  <c r="P90" i="6" s="1"/>
  <c r="P502" i="7"/>
  <c r="P503" i="7" s="1"/>
  <c r="P196" i="10"/>
  <c r="P1443" i="7"/>
  <c r="P41" i="6" s="1"/>
  <c r="P188" i="10" l="1"/>
  <c r="P1497" i="7"/>
  <c r="P1498" i="7" s="1"/>
  <c r="P43" i="6"/>
  <c r="P45" i="6" s="1"/>
  <c r="Q501" i="7"/>
  <c r="P85" i="2"/>
  <c r="P87" i="2" s="1"/>
  <c r="P203" i="32"/>
  <c r="P318" i="7"/>
  <c r="P319" i="7" s="1"/>
  <c r="P296" i="7" l="1"/>
  <c r="P297" i="7" s="1"/>
  <c r="P231" i="32" s="1"/>
  <c r="P221" i="32"/>
  <c r="P88" i="2"/>
  <c r="P322" i="7"/>
  <c r="P58" i="2"/>
  <c r="Q317" i="7"/>
  <c r="P1481" i="7"/>
  <c r="P1482" i="7" s="1"/>
  <c r="P179" i="10"/>
  <c r="P13" i="2"/>
  <c r="Q1496" i="7"/>
  <c r="P40" i="2"/>
  <c r="P42" i="2" s="1"/>
  <c r="P44" i="2" l="1"/>
  <c r="Q47" i="6"/>
  <c r="P48" i="6"/>
  <c r="P204" i="10"/>
  <c r="P45" i="2"/>
  <c r="P17" i="2"/>
  <c r="P89" i="2"/>
  <c r="P93" i="6"/>
  <c r="Q92" i="6"/>
  <c r="P309" i="7"/>
  <c r="P62" i="2"/>
  <c r="P1485" i="7"/>
  <c r="P113" i="27"/>
  <c r="Q1480" i="7"/>
  <c r="Q320" i="7"/>
  <c r="Q321" i="7" s="1"/>
  <c r="Q80" i="5" s="1"/>
  <c r="P1450" i="7"/>
  <c r="P1451" i="7" s="1"/>
  <c r="P208" i="10" s="1"/>
  <c r="P197" i="10"/>
  <c r="P43" i="2"/>
  <c r="P201" i="10" l="1"/>
  <c r="P203" i="10" s="1"/>
  <c r="P22" i="2"/>
  <c r="Q1483" i="7"/>
  <c r="Q1484" i="7" s="1"/>
  <c r="Q38" i="5" s="1"/>
  <c r="P442" i="1"/>
  <c r="P313" i="7"/>
  <c r="Q81" i="5"/>
  <c r="Q83" i="5" s="1"/>
  <c r="Q58" i="6"/>
  <c r="Q85" i="6" s="1"/>
  <c r="P67" i="2"/>
  <c r="P310" i="7"/>
  <c r="P312" i="7" s="1"/>
  <c r="P225" i="32"/>
  <c r="P227" i="32" s="1"/>
  <c r="Q57" i="6" l="1"/>
  <c r="Q70" i="6" s="1"/>
  <c r="Q293" i="7"/>
  <c r="Q211" i="32"/>
  <c r="Q39" i="5"/>
  <c r="Q41" i="5" s="1"/>
  <c r="Q13" i="6"/>
  <c r="Q40" i="6" s="1"/>
  <c r="P1452" i="7"/>
  <c r="P1453" i="7" s="1"/>
  <c r="P209" i="10" s="1"/>
  <c r="P298" i="7"/>
  <c r="P299" i="7" s="1"/>
  <c r="P232" i="32" s="1"/>
  <c r="Q1447" i="7" l="1"/>
  <c r="Q12" i="6"/>
  <c r="Q25" i="6" s="1"/>
  <c r="Q283" i="7"/>
  <c r="Q202" i="32"/>
  <c r="Q206" i="32" s="1"/>
  <c r="Q295" i="7"/>
  <c r="Q187" i="10"/>
  <c r="Q1449" i="7" l="1"/>
  <c r="Q178" i="10"/>
  <c r="Q182" i="10" s="1"/>
  <c r="Q1437" i="7"/>
  <c r="Q288" i="7"/>
  <c r="Q285" i="7"/>
  <c r="Q220" i="32" l="1"/>
  <c r="Q289" i="7"/>
  <c r="Q86" i="6" s="1"/>
  <c r="Q1442" i="7"/>
  <c r="Q1439" i="7"/>
  <c r="Q212" i="32" l="1"/>
  <c r="Q502" i="7"/>
  <c r="Q503" i="7" s="1"/>
  <c r="Q88" i="6"/>
  <c r="Q90" i="6" s="1"/>
  <c r="Q196" i="10"/>
  <c r="Q1443" i="7"/>
  <c r="Q41" i="6" s="1"/>
  <c r="Q188" i="10" l="1"/>
  <c r="Q43" i="6"/>
  <c r="Q45" i="6" s="1"/>
  <c r="Q1497" i="7"/>
  <c r="Q1498" i="7" s="1"/>
  <c r="Q203" i="32"/>
  <c r="Q318" i="7"/>
  <c r="Q319" i="7" s="1"/>
  <c r="R501" i="7"/>
  <c r="Q85" i="2"/>
  <c r="Q87" i="2" s="1"/>
  <c r="Q296" i="7" l="1"/>
  <c r="Q297" i="7" s="1"/>
  <c r="Q231" i="32" s="1"/>
  <c r="Q221" i="32"/>
  <c r="Q88" i="2"/>
  <c r="Q322" i="7"/>
  <c r="Q58" i="2"/>
  <c r="R317" i="7"/>
  <c r="Q1481" i="7"/>
  <c r="Q1482" i="7" s="1"/>
  <c r="Q179" i="10"/>
  <c r="Q13" i="2"/>
  <c r="R1496" i="7"/>
  <c r="Q40" i="2"/>
  <c r="Q42" i="2" s="1"/>
  <c r="Q44" i="2" l="1"/>
  <c r="Q45" i="2"/>
  <c r="R47" i="6"/>
  <c r="Q204" i="10"/>
  <c r="Q48" i="6"/>
  <c r="Q17" i="2"/>
  <c r="Q93" i="6"/>
  <c r="Q89" i="2"/>
  <c r="R92" i="6"/>
  <c r="Q309" i="7"/>
  <c r="Q62" i="2"/>
  <c r="Q1450" i="7"/>
  <c r="Q1451" i="7" s="1"/>
  <c r="Q208" i="10" s="1"/>
  <c r="Q197" i="10"/>
  <c r="Q43" i="2"/>
  <c r="Q113" i="27"/>
  <c r="Q1485" i="7"/>
  <c r="R1480" i="7"/>
  <c r="R320" i="7"/>
  <c r="R321" i="7" s="1"/>
  <c r="R80" i="5" s="1"/>
  <c r="Q22" i="2" l="1"/>
  <c r="Q201" i="10"/>
  <c r="Q203" i="10" s="1"/>
  <c r="R81" i="5"/>
  <c r="R83" i="5" s="1"/>
  <c r="R58" i="6"/>
  <c r="R85" i="6" s="1"/>
  <c r="Q442" i="1"/>
  <c r="Q313" i="7"/>
  <c r="R1483" i="7"/>
  <c r="R1484" i="7" s="1"/>
  <c r="R38" i="5" s="1"/>
  <c r="Q310" i="7"/>
  <c r="Q312" i="7" s="1"/>
  <c r="Q225" i="32"/>
  <c r="Q227" i="32" s="1"/>
  <c r="Q67" i="2"/>
  <c r="R39" i="5" l="1"/>
  <c r="R41" i="5" s="1"/>
  <c r="R13" i="6"/>
  <c r="R40" i="6" s="1"/>
  <c r="R57" i="6"/>
  <c r="R70" i="6" s="1"/>
  <c r="R293" i="7"/>
  <c r="Q298" i="7"/>
  <c r="Q299" i="7" s="1"/>
  <c r="Q232" i="32" s="1"/>
  <c r="R211" i="32"/>
  <c r="Q1452" i="7"/>
  <c r="Q1453" i="7" s="1"/>
  <c r="Q209" i="10" s="1"/>
  <c r="R12" i="6" l="1"/>
  <c r="R25" i="6" s="1"/>
  <c r="R1447" i="7"/>
  <c r="R295" i="7"/>
  <c r="R187" i="10"/>
  <c r="R202" i="32"/>
  <c r="R206" i="32" s="1"/>
  <c r="R283" i="7"/>
  <c r="R178" i="10" l="1"/>
  <c r="R182" i="10" s="1"/>
  <c r="R1437" i="7"/>
  <c r="R1449" i="7"/>
  <c r="R288" i="7"/>
  <c r="R285" i="7"/>
  <c r="R1442" i="7" l="1"/>
  <c r="R1439" i="7"/>
  <c r="R289" i="7"/>
  <c r="R86" i="6" s="1"/>
  <c r="R220" i="32"/>
  <c r="R196" i="10" l="1"/>
  <c r="R1443" i="7"/>
  <c r="R41" i="6" s="1"/>
  <c r="R212" i="32"/>
  <c r="R502" i="7"/>
  <c r="R503" i="7" s="1"/>
  <c r="R88" i="6"/>
  <c r="R90" i="6" s="1"/>
  <c r="R318" i="7" l="1"/>
  <c r="R319" i="7" s="1"/>
  <c r="R203" i="32"/>
  <c r="R188" i="10"/>
  <c r="R43" i="6"/>
  <c r="R45" i="6" s="1"/>
  <c r="R1497" i="7"/>
  <c r="R1498" i="7" s="1"/>
  <c r="S501" i="7"/>
  <c r="R85" i="2"/>
  <c r="R87" i="2" s="1"/>
  <c r="R296" i="7" l="1"/>
  <c r="R297" i="7" s="1"/>
  <c r="R231" i="32" s="1"/>
  <c r="R221" i="32"/>
  <c r="R88" i="2"/>
  <c r="S1496" i="7"/>
  <c r="R40" i="2"/>
  <c r="R42" i="2" s="1"/>
  <c r="R322" i="7"/>
  <c r="R58" i="2"/>
  <c r="S317" i="7"/>
  <c r="R1481" i="7"/>
  <c r="R1482" i="7" s="1"/>
  <c r="R179" i="10"/>
  <c r="R13" i="2"/>
  <c r="R1450" i="7" l="1"/>
  <c r="R1451" i="7" s="1"/>
  <c r="R208" i="10" s="1"/>
  <c r="R197" i="10"/>
  <c r="R43" i="2"/>
  <c r="S92" i="6"/>
  <c r="R93" i="6"/>
  <c r="R89" i="2"/>
  <c r="R309" i="7"/>
  <c r="R62" i="2"/>
  <c r="R113" i="27"/>
  <c r="R1485" i="7"/>
  <c r="S1480" i="7"/>
  <c r="R48" i="6"/>
  <c r="R204" i="10"/>
  <c r="R45" i="2"/>
  <c r="R44" i="2"/>
  <c r="S47" i="6"/>
  <c r="R17" i="2"/>
  <c r="S320" i="7"/>
  <c r="S321" i="7" s="1"/>
  <c r="S80" i="5" s="1"/>
  <c r="R201" i="10" l="1"/>
  <c r="R203" i="10" s="1"/>
  <c r="R22" i="2"/>
  <c r="S81" i="5"/>
  <c r="S83" i="5" s="1"/>
  <c r="S58" i="6"/>
  <c r="S85" i="6" s="1"/>
  <c r="S1483" i="7"/>
  <c r="S1484" i="7" s="1"/>
  <c r="S38" i="5" s="1"/>
  <c r="R313" i="7"/>
  <c r="R442" i="1"/>
  <c r="R310" i="7"/>
  <c r="R312" i="7" s="1"/>
  <c r="R225" i="32"/>
  <c r="R227" i="32" s="1"/>
  <c r="R67" i="2"/>
  <c r="S39" i="5" l="1"/>
  <c r="S41" i="5" s="1"/>
  <c r="S13" i="6"/>
  <c r="S40" i="6" s="1"/>
  <c r="S293" i="7"/>
  <c r="S57" i="6"/>
  <c r="S70" i="6" s="1"/>
  <c r="R1452" i="7"/>
  <c r="R1453" i="7" s="1"/>
  <c r="R209" i="10" s="1"/>
  <c r="R298" i="7"/>
  <c r="R299" i="7" s="1"/>
  <c r="R232" i="32" s="1"/>
  <c r="S211" i="32"/>
  <c r="S1447" i="7" l="1"/>
  <c r="S12" i="6"/>
  <c r="S25" i="6" s="1"/>
  <c r="S202" i="32"/>
  <c r="S206" i="32" s="1"/>
  <c r="S283" i="7"/>
  <c r="S187" i="10"/>
  <c r="S295" i="7"/>
  <c r="S288" i="7" l="1"/>
  <c r="S285" i="7"/>
  <c r="S1449" i="7"/>
  <c r="S178" i="10"/>
  <c r="S182" i="10" s="1"/>
  <c r="S1437" i="7"/>
  <c r="S1442" i="7" l="1"/>
  <c r="S1439" i="7"/>
  <c r="S220" i="32"/>
  <c r="S289" i="7"/>
  <c r="S86" i="6" s="1"/>
  <c r="S196" i="10" l="1"/>
  <c r="S1443" i="7"/>
  <c r="S41" i="6" s="1"/>
  <c r="S212" i="32"/>
  <c r="S502" i="7"/>
  <c r="S503" i="7" s="1"/>
  <c r="S88" i="6"/>
  <c r="S90" i="6" s="1"/>
  <c r="S203" i="32" l="1"/>
  <c r="S318" i="7"/>
  <c r="S319" i="7" s="1"/>
  <c r="S188" i="10"/>
  <c r="S43" i="6"/>
  <c r="S45" i="6" s="1"/>
  <c r="S1497" i="7"/>
  <c r="S1498" i="7" s="1"/>
  <c r="T501" i="7"/>
  <c r="S85" i="2"/>
  <c r="S87" i="2" s="1"/>
  <c r="S322" i="7" l="1"/>
  <c r="S58" i="2"/>
  <c r="T317" i="7"/>
  <c r="S40" i="2"/>
  <c r="S42" i="2" s="1"/>
  <c r="T1496" i="7"/>
  <c r="S296" i="7"/>
  <c r="S297" i="7" s="1"/>
  <c r="S231" i="32" s="1"/>
  <c r="S221" i="32"/>
  <c r="S88" i="2"/>
  <c r="S1481" i="7"/>
  <c r="S1482" i="7" s="1"/>
  <c r="S179" i="10"/>
  <c r="S13" i="2"/>
  <c r="S1485" i="7" l="1"/>
  <c r="S113" i="27"/>
  <c r="T1480" i="7"/>
  <c r="T92" i="6"/>
  <c r="S309" i="7"/>
  <c r="S93" i="6"/>
  <c r="S89" i="2"/>
  <c r="S62" i="2"/>
  <c r="S48" i="6"/>
  <c r="T47" i="6"/>
  <c r="S45" i="2"/>
  <c r="S204" i="10"/>
  <c r="S44" i="2"/>
  <c r="S17" i="2"/>
  <c r="T320" i="7"/>
  <c r="T321" i="7" s="1"/>
  <c r="T80" i="5" s="1"/>
  <c r="S1450" i="7"/>
  <c r="S1451" i="7" s="1"/>
  <c r="S208" i="10" s="1"/>
  <c r="S197" i="10"/>
  <c r="S43" i="2"/>
  <c r="S22" i="2" l="1"/>
  <c r="S201" i="10"/>
  <c r="S203" i="10" s="1"/>
  <c r="S313" i="7"/>
  <c r="S442" i="1"/>
  <c r="T1483" i="7"/>
  <c r="T1484" i="7" s="1"/>
  <c r="T38" i="5" s="1"/>
  <c r="T81" i="5"/>
  <c r="T83" i="5" s="1"/>
  <c r="T58" i="6"/>
  <c r="T85" i="6" s="1"/>
  <c r="S67" i="2"/>
  <c r="S225" i="32"/>
  <c r="S227" i="32" s="1"/>
  <c r="S310" i="7"/>
  <c r="S312" i="7" s="1"/>
  <c r="T293" i="7" l="1"/>
  <c r="T57" i="6"/>
  <c r="T70" i="6" s="1"/>
  <c r="T39" i="5"/>
  <c r="T41" i="5" s="1"/>
  <c r="T13" i="6"/>
  <c r="T40" i="6" s="1"/>
  <c r="S1452" i="7"/>
  <c r="S1453" i="7" s="1"/>
  <c r="S209" i="10" s="1"/>
  <c r="S298" i="7"/>
  <c r="S299" i="7" s="1"/>
  <c r="S232" i="32" s="1"/>
  <c r="T211" i="32"/>
  <c r="T187" i="10" l="1"/>
  <c r="T295" i="7"/>
  <c r="T1447" i="7"/>
  <c r="T12" i="6"/>
  <c r="T25" i="6" s="1"/>
  <c r="T283" i="7"/>
  <c r="T202" i="32"/>
  <c r="T206" i="32" s="1"/>
  <c r="T1449" i="7" l="1"/>
  <c r="T178" i="10"/>
  <c r="T182" i="10" s="1"/>
  <c r="T1437" i="7"/>
  <c r="T288" i="7"/>
  <c r="T285" i="7"/>
  <c r="T1442" i="7" l="1"/>
  <c r="T1439" i="7"/>
  <c r="T220" i="32"/>
  <c r="T289" i="7"/>
  <c r="T86" i="6" s="1"/>
  <c r="T196" i="10" l="1"/>
  <c r="T1443" i="7"/>
  <c r="T41" i="6" s="1"/>
  <c r="T212" i="32"/>
  <c r="T502" i="7"/>
  <c r="T503" i="7" s="1"/>
  <c r="T88" i="6"/>
  <c r="T90" i="6" s="1"/>
  <c r="T318" i="7" l="1"/>
  <c r="T319" i="7" s="1"/>
  <c r="T203" i="32"/>
  <c r="T188" i="10"/>
  <c r="T1497" i="7"/>
  <c r="T1498" i="7" s="1"/>
  <c r="T43" i="6"/>
  <c r="T45" i="6" s="1"/>
  <c r="U501" i="7"/>
  <c r="T85" i="2"/>
  <c r="T87" i="2" s="1"/>
  <c r="T179" i="10" l="1"/>
  <c r="T1481" i="7"/>
  <c r="T1482" i="7" s="1"/>
  <c r="T13" i="2"/>
  <c r="T322" i="7"/>
  <c r="T58" i="2"/>
  <c r="U317" i="7"/>
  <c r="T296" i="7"/>
  <c r="T297" i="7" s="1"/>
  <c r="T231" i="32" s="1"/>
  <c r="T221" i="32"/>
  <c r="T88" i="2"/>
  <c r="U1496" i="7"/>
  <c r="T40" i="2"/>
  <c r="T42" i="2" s="1"/>
  <c r="T1450" i="7" l="1"/>
  <c r="T1451" i="7" s="1"/>
  <c r="T208" i="10" s="1"/>
  <c r="T197" i="10"/>
  <c r="T43" i="2"/>
  <c r="T309" i="7"/>
  <c r="T93" i="6"/>
  <c r="U92" i="6"/>
  <c r="T89" i="2"/>
  <c r="T62" i="2"/>
  <c r="U320" i="7"/>
  <c r="U321" i="7" s="1"/>
  <c r="U80" i="5" s="1"/>
  <c r="T44" i="2"/>
  <c r="T45" i="2"/>
  <c r="U47" i="6"/>
  <c r="T48" i="6"/>
  <c r="T204" i="10"/>
  <c r="T17" i="2"/>
  <c r="T1485" i="7"/>
  <c r="T113" i="27"/>
  <c r="U1480" i="7"/>
  <c r="U81" i="5" l="1"/>
  <c r="U83" i="5" s="1"/>
  <c r="U58" i="6"/>
  <c r="U85" i="6" s="1"/>
  <c r="T201" i="10"/>
  <c r="T203" i="10" s="1"/>
  <c r="T22" i="2"/>
  <c r="U1483" i="7"/>
  <c r="U1484" i="7" s="1"/>
  <c r="U38" i="5" s="1"/>
  <c r="T67" i="2"/>
  <c r="T310" i="7"/>
  <c r="T312" i="7" s="1"/>
  <c r="T225" i="32"/>
  <c r="T227" i="32" s="1"/>
  <c r="T313" i="7"/>
  <c r="T442" i="1"/>
  <c r="U13" i="6" l="1"/>
  <c r="U40" i="6" s="1"/>
  <c r="U39" i="5"/>
  <c r="U41" i="5" s="1"/>
  <c r="U211" i="32"/>
  <c r="T298" i="7"/>
  <c r="T299" i="7" s="1"/>
  <c r="T232" i="32" s="1"/>
  <c r="T1452" i="7"/>
  <c r="T1453" i="7" s="1"/>
  <c r="T209" i="10" s="1"/>
  <c r="U293" i="7"/>
  <c r="U57" i="6"/>
  <c r="U70" i="6" s="1"/>
  <c r="U1447" i="7" l="1"/>
  <c r="U12" i="6"/>
  <c r="U25" i="6" s="1"/>
  <c r="U187" i="10"/>
  <c r="U295" i="7"/>
  <c r="U283" i="7"/>
  <c r="U202" i="32"/>
  <c r="U206" i="32" s="1"/>
  <c r="U288" i="7" l="1"/>
  <c r="U285" i="7"/>
  <c r="U1449" i="7"/>
  <c r="U178" i="10"/>
  <c r="U182" i="10" s="1"/>
  <c r="U1437" i="7"/>
  <c r="U220" i="32" l="1"/>
  <c r="U289" i="7"/>
  <c r="U86" i="6" s="1"/>
  <c r="U1442" i="7"/>
  <c r="U1439" i="7"/>
  <c r="U212" i="32" l="1"/>
  <c r="U502" i="7"/>
  <c r="U503" i="7" s="1"/>
  <c r="U88" i="6"/>
  <c r="U90" i="6" s="1"/>
  <c r="U196" i="10"/>
  <c r="U1443" i="7"/>
  <c r="U41" i="6" s="1"/>
  <c r="U188" i="10" l="1"/>
  <c r="U1497" i="7"/>
  <c r="U1498" i="7" s="1"/>
  <c r="U43" i="6"/>
  <c r="U45" i="6" s="1"/>
  <c r="U203" i="32"/>
  <c r="U318" i="7"/>
  <c r="U319" i="7" s="1"/>
  <c r="V501" i="7"/>
  <c r="U85" i="2"/>
  <c r="U87" i="2" s="1"/>
  <c r="U322" i="7" l="1"/>
  <c r="U58" i="2"/>
  <c r="V317" i="7"/>
  <c r="U179" i="10"/>
  <c r="U1481" i="7"/>
  <c r="U1482" i="7" s="1"/>
  <c r="U13" i="2"/>
  <c r="V1496" i="7"/>
  <c r="U40" i="2"/>
  <c r="U42" i="2" s="1"/>
  <c r="U296" i="7"/>
  <c r="U297" i="7" s="1"/>
  <c r="U231" i="32" s="1"/>
  <c r="U221" i="32"/>
  <c r="U88" i="2"/>
  <c r="U113" i="27" l="1"/>
  <c r="U1485" i="7"/>
  <c r="V1480" i="7"/>
  <c r="U48" i="6"/>
  <c r="V47" i="6"/>
  <c r="U44" i="2"/>
  <c r="U45" i="2"/>
  <c r="U204" i="10"/>
  <c r="U17" i="2"/>
  <c r="V92" i="6"/>
  <c r="U93" i="6"/>
  <c r="U89" i="2"/>
  <c r="U309" i="7"/>
  <c r="U62" i="2"/>
  <c r="V320" i="7"/>
  <c r="V321" i="7" s="1"/>
  <c r="V80" i="5" s="1"/>
  <c r="U1450" i="7"/>
  <c r="U1451" i="7" s="1"/>
  <c r="U208" i="10" s="1"/>
  <c r="U197" i="10"/>
  <c r="U43" i="2"/>
  <c r="U22" i="2" l="1"/>
  <c r="U201" i="10"/>
  <c r="U203" i="10" s="1"/>
  <c r="U442" i="1"/>
  <c r="U313" i="7"/>
  <c r="U225" i="32"/>
  <c r="U227" i="32" s="1"/>
  <c r="U67" i="2"/>
  <c r="U310" i="7"/>
  <c r="U312" i="7" s="1"/>
  <c r="V1483" i="7"/>
  <c r="V1484" i="7" s="1"/>
  <c r="V38" i="5" s="1"/>
  <c r="V81" i="5"/>
  <c r="V83" i="5" s="1"/>
  <c r="V58" i="6"/>
  <c r="V85" i="6" s="1"/>
  <c r="V293" i="7" l="1"/>
  <c r="V57" i="6"/>
  <c r="V70" i="6" s="1"/>
  <c r="U298" i="7"/>
  <c r="U299" i="7" s="1"/>
  <c r="U232" i="32" s="1"/>
  <c r="V211" i="32"/>
  <c r="U1452" i="7"/>
  <c r="U1453" i="7" s="1"/>
  <c r="U209" i="10" s="1"/>
  <c r="V39" i="5"/>
  <c r="V41" i="5" s="1"/>
  <c r="V13" i="6"/>
  <c r="V40" i="6" s="1"/>
  <c r="V1447" i="7" l="1"/>
  <c r="V12" i="6"/>
  <c r="V25" i="6" s="1"/>
  <c r="V295" i="7"/>
  <c r="V187" i="10"/>
  <c r="V202" i="32"/>
  <c r="V206" i="32" s="1"/>
  <c r="V283" i="7"/>
  <c r="V288" i="7" l="1"/>
  <c r="V285" i="7"/>
  <c r="V178" i="10"/>
  <c r="V182" i="10" s="1"/>
  <c r="V1437" i="7"/>
  <c r="V1449" i="7"/>
  <c r="V220" i="32" l="1"/>
  <c r="V289" i="7"/>
  <c r="V86" i="6" s="1"/>
  <c r="V1442" i="7"/>
  <c r="V1439" i="7"/>
  <c r="V212" i="32" l="1"/>
  <c r="V502" i="7"/>
  <c r="V503" i="7" s="1"/>
  <c r="V88" i="6"/>
  <c r="V90" i="6" s="1"/>
  <c r="V196" i="10"/>
  <c r="V1443" i="7"/>
  <c r="V41" i="6" s="1"/>
  <c r="V188" i="10" l="1"/>
  <c r="V43" i="6"/>
  <c r="V45" i="6" s="1"/>
  <c r="V1497" i="7"/>
  <c r="V1498" i="7" s="1"/>
  <c r="V318" i="7"/>
  <c r="V319" i="7" s="1"/>
  <c r="V203" i="32"/>
  <c r="W501" i="7"/>
  <c r="V85" i="2"/>
  <c r="V87" i="2" s="1"/>
  <c r="V296" i="7" l="1"/>
  <c r="V297" i="7" s="1"/>
  <c r="V231" i="32" s="1"/>
  <c r="V221" i="32"/>
  <c r="V88" i="2"/>
  <c r="V1481" i="7"/>
  <c r="V1482" i="7" s="1"/>
  <c r="V179" i="10"/>
  <c r="V13" i="2"/>
  <c r="W1496" i="7"/>
  <c r="V40" i="2"/>
  <c r="V42" i="2" s="1"/>
  <c r="V322" i="7"/>
  <c r="V58" i="2"/>
  <c r="W317" i="7"/>
  <c r="W47" i="6" l="1"/>
  <c r="V45" i="2"/>
  <c r="V44" i="2"/>
  <c r="V48" i="6"/>
  <c r="V204" i="10"/>
  <c r="V17" i="2"/>
  <c r="V89" i="2"/>
  <c r="V93" i="6"/>
  <c r="W92" i="6"/>
  <c r="V309" i="7"/>
  <c r="V62" i="2"/>
  <c r="W320" i="7"/>
  <c r="W321" i="7" s="1"/>
  <c r="W80" i="5" s="1"/>
  <c r="V1450" i="7"/>
  <c r="V1451" i="7" s="1"/>
  <c r="V208" i="10" s="1"/>
  <c r="V197" i="10"/>
  <c r="V43" i="2"/>
  <c r="V1485" i="7"/>
  <c r="V113" i="27"/>
  <c r="W1480" i="7"/>
  <c r="W81" i="5" l="1"/>
  <c r="W83" i="5" s="1"/>
  <c r="W58" i="6"/>
  <c r="W85" i="6" s="1"/>
  <c r="V201" i="10"/>
  <c r="V203" i="10" s="1"/>
  <c r="V22" i="2"/>
  <c r="V442" i="1"/>
  <c r="V313" i="7"/>
  <c r="W1483" i="7"/>
  <c r="W1484" i="7" s="1"/>
  <c r="W38" i="5" s="1"/>
  <c r="V225" i="32"/>
  <c r="V227" i="32" s="1"/>
  <c r="V310" i="7"/>
  <c r="V312" i="7" s="1"/>
  <c r="V67" i="2"/>
  <c r="W39" i="5" l="1"/>
  <c r="W41" i="5" s="1"/>
  <c r="W13" i="6"/>
  <c r="W40" i="6" s="1"/>
  <c r="W57" i="6"/>
  <c r="W70" i="6" s="1"/>
  <c r="W293" i="7"/>
  <c r="W211" i="32"/>
  <c r="V298" i="7"/>
  <c r="V299" i="7" s="1"/>
  <c r="V232" i="32" s="1"/>
  <c r="V1452" i="7"/>
  <c r="V1453" i="7" s="1"/>
  <c r="V209" i="10" s="1"/>
  <c r="W1447" i="7" l="1"/>
  <c r="W12" i="6"/>
  <c r="W25" i="6" s="1"/>
  <c r="W187" i="10"/>
  <c r="W295" i="7"/>
  <c r="W283" i="7"/>
  <c r="W202" i="32"/>
  <c r="W206" i="32" s="1"/>
  <c r="W1437" i="7" l="1"/>
  <c r="W178" i="10"/>
  <c r="W182" i="10" s="1"/>
  <c r="W288" i="7"/>
  <c r="W285" i="7"/>
  <c r="W1449" i="7"/>
  <c r="W220" i="32" l="1"/>
  <c r="W289" i="7"/>
  <c r="W86" i="6" s="1"/>
  <c r="W1442" i="7"/>
  <c r="W1439" i="7"/>
  <c r="W212" i="32" l="1"/>
  <c r="W88" i="6"/>
  <c r="W90" i="6" s="1"/>
  <c r="W502" i="7"/>
  <c r="W503" i="7" s="1"/>
  <c r="W196" i="10"/>
  <c r="W1443" i="7"/>
  <c r="W41" i="6" s="1"/>
  <c r="W188" i="10" l="1"/>
  <c r="W1497" i="7"/>
  <c r="W1498" i="7" s="1"/>
  <c r="W43" i="6"/>
  <c r="W45" i="6" s="1"/>
  <c r="X501" i="7"/>
  <c r="W85" i="2"/>
  <c r="W87" i="2" s="1"/>
  <c r="W203" i="32"/>
  <c r="W318" i="7"/>
  <c r="W319" i="7" s="1"/>
  <c r="X1496" i="7" l="1"/>
  <c r="W40" i="2"/>
  <c r="W42" i="2" s="1"/>
  <c r="W296" i="7"/>
  <c r="W297" i="7" s="1"/>
  <c r="W231" i="32" s="1"/>
  <c r="W221" i="32"/>
  <c r="W88" i="2"/>
  <c r="W322" i="7"/>
  <c r="X317" i="7"/>
  <c r="W58" i="2"/>
  <c r="W1481" i="7"/>
  <c r="W1482" i="7" s="1"/>
  <c r="W179" i="10"/>
  <c r="W13" i="2"/>
  <c r="W1450" i="7" l="1"/>
  <c r="W1451" i="7" s="1"/>
  <c r="W208" i="10" s="1"/>
  <c r="W197" i="10"/>
  <c r="W43" i="2"/>
  <c r="W45" i="2"/>
  <c r="W204" i="10"/>
  <c r="W44" i="2"/>
  <c r="W48" i="6"/>
  <c r="X47" i="6"/>
  <c r="W17" i="2"/>
  <c r="W93" i="6"/>
  <c r="X92" i="6"/>
  <c r="W309" i="7"/>
  <c r="W89" i="2"/>
  <c r="W62" i="2"/>
  <c r="W113" i="27"/>
  <c r="W1485" i="7"/>
  <c r="X1480" i="7"/>
  <c r="X320" i="7"/>
  <c r="X321" i="7" s="1"/>
  <c r="X80" i="5" s="1"/>
  <c r="X1483" i="7" l="1"/>
  <c r="X1484" i="7" s="1"/>
  <c r="X38" i="5" s="1"/>
  <c r="W313" i="7"/>
  <c r="W442" i="1"/>
  <c r="W22" i="2"/>
  <c r="W201" i="10"/>
  <c r="W203" i="10" s="1"/>
  <c r="X81" i="5"/>
  <c r="X83" i="5" s="1"/>
  <c r="X58" i="6"/>
  <c r="X85" i="6" s="1"/>
  <c r="W225" i="32"/>
  <c r="W227" i="32" s="1"/>
  <c r="W67" i="2"/>
  <c r="W310" i="7"/>
  <c r="W312" i="7" s="1"/>
  <c r="X57" i="6" l="1"/>
  <c r="X70" i="6" s="1"/>
  <c r="X293" i="7"/>
  <c r="W1452" i="7"/>
  <c r="W1453" i="7" s="1"/>
  <c r="W209" i="10" s="1"/>
  <c r="X39" i="5"/>
  <c r="X41" i="5" s="1"/>
  <c r="X13" i="6"/>
  <c r="X40" i="6" s="1"/>
  <c r="W298" i="7"/>
  <c r="W299" i="7" s="1"/>
  <c r="W232" i="32" s="1"/>
  <c r="X211" i="32"/>
  <c r="X1447" i="7" l="1"/>
  <c r="X12" i="6"/>
  <c r="X25" i="6" s="1"/>
  <c r="X202" i="32"/>
  <c r="X206" i="32" s="1"/>
  <c r="X283" i="7"/>
  <c r="X187" i="10"/>
  <c r="X295" i="7"/>
  <c r="X1449" i="7" l="1"/>
  <c r="X288" i="7"/>
  <c r="X285" i="7"/>
  <c r="X1437" i="7"/>
  <c r="X178" i="10"/>
  <c r="X182" i="10" s="1"/>
  <c r="X220" i="32" l="1"/>
  <c r="X289" i="7"/>
  <c r="X86" i="6" s="1"/>
  <c r="X1442" i="7"/>
  <c r="X1439" i="7"/>
  <c r="X212" i="32" l="1"/>
  <c r="X88" i="6"/>
  <c r="X90" i="6" s="1"/>
  <c r="X502" i="7"/>
  <c r="X503" i="7" s="1"/>
  <c r="X196" i="10"/>
  <c r="X1443" i="7"/>
  <c r="X41" i="6" s="1"/>
  <c r="X188" i="10" l="1"/>
  <c r="X43" i="6"/>
  <c r="X45" i="6" s="1"/>
  <c r="X1497" i="7"/>
  <c r="X1498" i="7" s="1"/>
  <c r="X318" i="7"/>
  <c r="X319" i="7" s="1"/>
  <c r="X203" i="32"/>
  <c r="Y501" i="7"/>
  <c r="X85" i="2"/>
  <c r="X87" i="2" s="1"/>
  <c r="X296" i="7" l="1"/>
  <c r="X297" i="7" s="1"/>
  <c r="X231" i="32" s="1"/>
  <c r="X221" i="32"/>
  <c r="X88" i="2"/>
  <c r="X179" i="10"/>
  <c r="X1481" i="7"/>
  <c r="X1482" i="7" s="1"/>
  <c r="X13" i="2"/>
  <c r="Y1496" i="7"/>
  <c r="X40" i="2"/>
  <c r="X42" i="2" s="1"/>
  <c r="X322" i="7"/>
  <c r="X58" i="2"/>
  <c r="Y317" i="7"/>
  <c r="Y47" i="6" l="1"/>
  <c r="X44" i="2"/>
  <c r="X204" i="10"/>
  <c r="X45" i="2"/>
  <c r="X48" i="6"/>
  <c r="X17" i="2"/>
  <c r="X1485" i="7"/>
  <c r="X113" i="27"/>
  <c r="Y1480" i="7"/>
  <c r="X309" i="7"/>
  <c r="Y92" i="6"/>
  <c r="X93" i="6"/>
  <c r="X89" i="2"/>
  <c r="X62" i="2"/>
  <c r="Y320" i="7"/>
  <c r="Y321" i="7" s="1"/>
  <c r="Y80" i="5" s="1"/>
  <c r="X1450" i="7"/>
  <c r="X1451" i="7" s="1"/>
  <c r="X208" i="10" s="1"/>
  <c r="X197" i="10"/>
  <c r="X43" i="2"/>
  <c r="Y1483" i="7" l="1"/>
  <c r="Y1484" i="7" s="1"/>
  <c r="Y38" i="5" s="1"/>
  <c r="X22" i="2"/>
  <c r="X201" i="10"/>
  <c r="X203" i="10" s="1"/>
  <c r="X225" i="32"/>
  <c r="X227" i="32" s="1"/>
  <c r="X67" i="2"/>
  <c r="X310" i="7"/>
  <c r="X312" i="7" s="1"/>
  <c r="X442" i="1"/>
  <c r="X313" i="7"/>
  <c r="Y81" i="5"/>
  <c r="Y83" i="5" s="1"/>
  <c r="Y58" i="6"/>
  <c r="Y85" i="6" s="1"/>
  <c r="Y57" i="6" l="1"/>
  <c r="Y70" i="6" s="1"/>
  <c r="Y293" i="7"/>
  <c r="Y39" i="5"/>
  <c r="Y41" i="5" s="1"/>
  <c r="Y13" i="6"/>
  <c r="Y40" i="6" s="1"/>
  <c r="Y211" i="32"/>
  <c r="X298" i="7"/>
  <c r="X299" i="7" s="1"/>
  <c r="X232" i="32" s="1"/>
  <c r="X1452" i="7"/>
  <c r="X1453" i="7" s="1"/>
  <c r="X209" i="10" s="1"/>
  <c r="Y187" i="10" l="1"/>
  <c r="Y202" i="32"/>
  <c r="Y206" i="32" s="1"/>
  <c r="Y283" i="7"/>
  <c r="Y1447" i="7"/>
  <c r="Y12" i="6"/>
  <c r="Y25" i="6" s="1"/>
  <c r="Y295" i="7"/>
  <c r="Y1449" i="7" l="1"/>
  <c r="Y288" i="7"/>
  <c r="Y285" i="7"/>
  <c r="Y1437" i="7"/>
  <c r="Y178" i="10"/>
  <c r="Y182" i="10" s="1"/>
  <c r="Y220" i="32" l="1"/>
  <c r="Y289" i="7"/>
  <c r="Y86" i="6" s="1"/>
  <c r="Y1442" i="7"/>
  <c r="Y1439" i="7"/>
  <c r="Y212" i="32" l="1"/>
  <c r="Y88" i="6"/>
  <c r="Y90" i="6" s="1"/>
  <c r="Y502" i="7"/>
  <c r="Y503" i="7" s="1"/>
  <c r="Y196" i="10"/>
  <c r="Y1443" i="7"/>
  <c r="Y41" i="6" s="1"/>
  <c r="Y188" i="10" l="1"/>
  <c r="Y1497" i="7"/>
  <c r="Y1498" i="7" s="1"/>
  <c r="Y43" i="6"/>
  <c r="Y45" i="6" s="1"/>
  <c r="Z501" i="7"/>
  <c r="Y85" i="2"/>
  <c r="Y87" i="2" s="1"/>
  <c r="Y203" i="32"/>
  <c r="Y318" i="7"/>
  <c r="Y319" i="7" s="1"/>
  <c r="Z1496" i="7" l="1"/>
  <c r="Y40" i="2"/>
  <c r="Y42" i="2" s="1"/>
  <c r="Y296" i="7"/>
  <c r="Y297" i="7" s="1"/>
  <c r="Y231" i="32" s="1"/>
  <c r="Y221" i="32"/>
  <c r="Y88" i="2"/>
  <c r="Y1481" i="7"/>
  <c r="Y1482" i="7" s="1"/>
  <c r="Y179" i="10"/>
  <c r="Y13" i="2"/>
  <c r="Y322" i="7"/>
  <c r="Y58" i="2"/>
  <c r="Z317" i="7"/>
  <c r="Y89" i="2" l="1"/>
  <c r="Y309" i="7"/>
  <c r="Y93" i="6"/>
  <c r="Z92" i="6"/>
  <c r="Y62" i="2"/>
  <c r="Y1485" i="7"/>
  <c r="Y113" i="27"/>
  <c r="Z1480" i="7"/>
  <c r="Y1450" i="7"/>
  <c r="Y1451" i="7" s="1"/>
  <c r="Y208" i="10" s="1"/>
  <c r="Y197" i="10"/>
  <c r="Y43" i="2"/>
  <c r="Z320" i="7"/>
  <c r="Z321" i="7" s="1"/>
  <c r="Z80" i="5" s="1"/>
  <c r="Y45" i="2"/>
  <c r="Z47" i="6"/>
  <c r="Y48" i="6"/>
  <c r="Y204" i="10"/>
  <c r="Y44" i="2"/>
  <c r="Y17" i="2"/>
  <c r="Y67" i="2" l="1"/>
  <c r="Y225" i="32"/>
  <c r="Y227" i="32" s="1"/>
  <c r="Y310" i="7"/>
  <c r="Y312" i="7" s="1"/>
  <c r="Y442" i="1"/>
  <c r="Y313" i="7"/>
  <c r="Y201" i="10"/>
  <c r="Y203" i="10" s="1"/>
  <c r="Y22" i="2"/>
  <c r="Z81" i="5"/>
  <c r="Z83" i="5" s="1"/>
  <c r="Z58" i="6"/>
  <c r="Z85" i="6" s="1"/>
  <c r="Z1483" i="7"/>
  <c r="Z1484" i="7" s="1"/>
  <c r="Z38" i="5" s="1"/>
  <c r="Z211" i="32" l="1"/>
  <c r="Y298" i="7"/>
  <c r="Y299" i="7" s="1"/>
  <c r="Y232" i="32" s="1"/>
  <c r="Z39" i="5"/>
  <c r="Z41" i="5" s="1"/>
  <c r="Z13" i="6"/>
  <c r="Z40" i="6" s="1"/>
  <c r="Z293" i="7"/>
  <c r="Z57" i="6"/>
  <c r="Z70" i="6" s="1"/>
  <c r="Y1452" i="7"/>
  <c r="Y1453" i="7" s="1"/>
  <c r="Y209" i="10" s="1"/>
  <c r="Z1447" i="7" l="1"/>
  <c r="Z12" i="6"/>
  <c r="Z25" i="6" s="1"/>
  <c r="Z283" i="7"/>
  <c r="Z202" i="32"/>
  <c r="Z206" i="32" s="1"/>
  <c r="Z187" i="10"/>
  <c r="Z295" i="7"/>
  <c r="Z288" i="7" l="1"/>
  <c r="Z285" i="7"/>
  <c r="Z1449" i="7"/>
  <c r="Z1437" i="7"/>
  <c r="Z178" i="10"/>
  <c r="Z182" i="10" s="1"/>
  <c r="Z220" i="32" l="1"/>
  <c r="Z289" i="7"/>
  <c r="Z86" i="6" s="1"/>
  <c r="Z1442" i="7"/>
  <c r="Z1439" i="7"/>
  <c r="Z212" i="32" l="1"/>
  <c r="Z88" i="6"/>
  <c r="Z90" i="6" s="1"/>
  <c r="Z502" i="7"/>
  <c r="Z503" i="7" s="1"/>
  <c r="Z196" i="10"/>
  <c r="Z1443" i="7"/>
  <c r="Z41" i="6" s="1"/>
  <c r="Z188" i="10" l="1"/>
  <c r="Z43" i="6"/>
  <c r="Z45" i="6" s="1"/>
  <c r="Z1497" i="7"/>
  <c r="Z1498" i="7" s="1"/>
  <c r="Z318" i="7"/>
  <c r="Z319" i="7" s="1"/>
  <c r="Z203" i="32"/>
  <c r="AA501" i="7"/>
  <c r="Z85" i="2"/>
  <c r="Z87" i="2" s="1"/>
  <c r="Z1481" i="7" l="1"/>
  <c r="Z1482" i="7" s="1"/>
  <c r="Z179" i="10"/>
  <c r="Z13" i="2"/>
  <c r="Z296" i="7"/>
  <c r="Z297" i="7" s="1"/>
  <c r="Z231" i="32" s="1"/>
  <c r="Z221" i="32"/>
  <c r="Z88" i="2"/>
  <c r="AA1496" i="7"/>
  <c r="Z40" i="2"/>
  <c r="Z42" i="2" s="1"/>
  <c r="Z322" i="7"/>
  <c r="Z58" i="2"/>
  <c r="AA317" i="7"/>
  <c r="AA320" i="7" l="1"/>
  <c r="AA321" i="7" s="1"/>
  <c r="AA80" i="5" s="1"/>
  <c r="Z113" i="27"/>
  <c r="Z1485" i="7"/>
  <c r="AA1480" i="7"/>
  <c r="Z93" i="6"/>
  <c r="AA92" i="6"/>
  <c r="Z309" i="7"/>
  <c r="Z89" i="2"/>
  <c r="Z62" i="2"/>
  <c r="Z44" i="2"/>
  <c r="Z45" i="2"/>
  <c r="Z204" i="10"/>
  <c r="AA47" i="6"/>
  <c r="Z48" i="6"/>
  <c r="Z17" i="2"/>
  <c r="Z1450" i="7"/>
  <c r="Z1451" i="7" s="1"/>
  <c r="Z208" i="10" s="1"/>
  <c r="Z197" i="10"/>
  <c r="Z43" i="2"/>
  <c r="AA81" i="5" l="1"/>
  <c r="AA83" i="5" s="1"/>
  <c r="AA58" i="6"/>
  <c r="AA85" i="6" s="1"/>
  <c r="AA1483" i="7"/>
  <c r="AA1484" i="7" s="1"/>
  <c r="AA38" i="5" s="1"/>
  <c r="Z310" i="7"/>
  <c r="Z312" i="7" s="1"/>
  <c r="Z67" i="2"/>
  <c r="Z225" i="32"/>
  <c r="Z227" i="32" s="1"/>
  <c r="Z201" i="10"/>
  <c r="Z203" i="10" s="1"/>
  <c r="Z22" i="2"/>
  <c r="Z442" i="1"/>
  <c r="Z313" i="7"/>
  <c r="AA39" i="5" l="1"/>
  <c r="AA41" i="5" s="1"/>
  <c r="AA13" i="6"/>
  <c r="AA40" i="6" s="1"/>
  <c r="AA57" i="6"/>
  <c r="AA70" i="6" s="1"/>
  <c r="AA293" i="7"/>
  <c r="Z1452" i="7"/>
  <c r="Z1453" i="7" s="1"/>
  <c r="Z209" i="10" s="1"/>
  <c r="AA211" i="32"/>
  <c r="Z298" i="7"/>
  <c r="Z299" i="7" s="1"/>
  <c r="Z232" i="32" s="1"/>
  <c r="AA1447" i="7" l="1"/>
  <c r="AA12" i="6"/>
  <c r="AA25" i="6" s="1"/>
  <c r="AA295" i="7"/>
  <c r="AA187" i="10"/>
  <c r="AA283" i="7"/>
  <c r="AA202" i="32"/>
  <c r="AA206" i="32" s="1"/>
  <c r="AA178" i="10" l="1"/>
  <c r="AA182" i="10" s="1"/>
  <c r="AA1437" i="7"/>
  <c r="AA288" i="7"/>
  <c r="AA285" i="7"/>
  <c r="AA1449" i="7"/>
  <c r="AA289" i="7" l="1"/>
  <c r="AA86" i="6" s="1"/>
  <c r="AA220" i="32"/>
  <c r="AA1442" i="7"/>
  <c r="AA1439" i="7"/>
  <c r="AA212" i="32" l="1"/>
  <c r="AA88" i="6"/>
  <c r="AA90" i="6" s="1"/>
  <c r="AA502" i="7"/>
  <c r="AA503" i="7" s="1"/>
  <c r="AA196" i="10"/>
  <c r="AA1443" i="7"/>
  <c r="AA41" i="6" s="1"/>
  <c r="AA188" i="10" l="1"/>
  <c r="AA43" i="6"/>
  <c r="AA45" i="6" s="1"/>
  <c r="AA1497" i="7"/>
  <c r="AA1498" i="7" s="1"/>
  <c r="AB501" i="7"/>
  <c r="AA85" i="2"/>
  <c r="AA87" i="2" s="1"/>
  <c r="AA318" i="7"/>
  <c r="AA319" i="7" s="1"/>
  <c r="AA203" i="32"/>
  <c r="AA296" i="7" l="1"/>
  <c r="AA297" i="7" s="1"/>
  <c r="AA231" i="32" s="1"/>
  <c r="AA221" i="32"/>
  <c r="AA88" i="2"/>
  <c r="AA179" i="10"/>
  <c r="AA1481" i="7"/>
  <c r="AA1482" i="7" s="1"/>
  <c r="AA13" i="2"/>
  <c r="AB1496" i="7"/>
  <c r="AA40" i="2"/>
  <c r="AA42" i="2" s="1"/>
  <c r="AA322" i="7"/>
  <c r="AA58" i="2"/>
  <c r="AB317" i="7"/>
  <c r="AA44" i="2" l="1"/>
  <c r="AA45" i="2"/>
  <c r="AA204" i="10"/>
  <c r="AB47" i="6"/>
  <c r="AA48" i="6"/>
  <c r="AA17" i="2"/>
  <c r="AB320" i="7"/>
  <c r="AB321" i="7" s="1"/>
  <c r="AB80" i="5" s="1"/>
  <c r="AA1485" i="7"/>
  <c r="AA113" i="27"/>
  <c r="AB1480" i="7"/>
  <c r="AA93" i="6"/>
  <c r="AA89" i="2"/>
  <c r="AB92" i="6"/>
  <c r="AA309" i="7"/>
  <c r="AA62" i="2"/>
  <c r="AA1450" i="7"/>
  <c r="AA1451" i="7" s="1"/>
  <c r="AA208" i="10" s="1"/>
  <c r="AA197" i="10"/>
  <c r="AA43" i="2"/>
  <c r="AA442" i="1" l="1"/>
  <c r="AA313" i="7"/>
  <c r="AB1483" i="7"/>
  <c r="AB1484" i="7" s="1"/>
  <c r="AB38" i="5" s="1"/>
  <c r="AA225" i="32"/>
  <c r="AA227" i="32" s="1"/>
  <c r="AA310" i="7"/>
  <c r="AA312" i="7" s="1"/>
  <c r="AA67" i="2"/>
  <c r="AA201" i="10"/>
  <c r="AA203" i="10" s="1"/>
  <c r="AA22" i="2"/>
  <c r="AB81" i="5"/>
  <c r="AB83" i="5" s="1"/>
  <c r="AB58" i="6"/>
  <c r="AB85" i="6" s="1"/>
  <c r="AB293" i="7" l="1"/>
  <c r="AB57" i="6"/>
  <c r="AB70" i="6" s="1"/>
  <c r="AB39" i="5"/>
  <c r="AB41" i="5" s="1"/>
  <c r="AB13" i="6"/>
  <c r="AB40" i="6" s="1"/>
  <c r="AA298" i="7"/>
  <c r="AA299" i="7" s="1"/>
  <c r="AA232" i="32" s="1"/>
  <c r="AA1452" i="7"/>
  <c r="AA1453" i="7" s="1"/>
  <c r="AA209" i="10" s="1"/>
  <c r="AB211" i="32"/>
  <c r="AB12" i="6" l="1"/>
  <c r="AB25" i="6" s="1"/>
  <c r="AB1447" i="7"/>
  <c r="AB295" i="7"/>
  <c r="AB187" i="10"/>
  <c r="AB283" i="7"/>
  <c r="AB202" i="32"/>
  <c r="AB206" i="32" s="1"/>
  <c r="AB1449" i="7" l="1"/>
  <c r="AB288" i="7"/>
  <c r="AB285" i="7"/>
  <c r="AB178" i="10"/>
  <c r="AB182" i="10" s="1"/>
  <c r="AB1437" i="7"/>
  <c r="AB220" i="32" l="1"/>
  <c r="AB289" i="7"/>
  <c r="AB86" i="6" s="1"/>
  <c r="AB1442" i="7"/>
  <c r="AB1439" i="7"/>
  <c r="AB212" i="32" l="1"/>
  <c r="AB502" i="7"/>
  <c r="AB503" i="7" s="1"/>
  <c r="AB88" i="6"/>
  <c r="AB90" i="6" s="1"/>
  <c r="AB196" i="10"/>
  <c r="AB1443" i="7"/>
  <c r="AB41" i="6" s="1"/>
  <c r="AB318" i="7" l="1"/>
  <c r="AB319" i="7" s="1"/>
  <c r="AB203" i="32"/>
  <c r="AB188" i="10"/>
  <c r="AB1497" i="7"/>
  <c r="AB1498" i="7" s="1"/>
  <c r="AB43" i="6"/>
  <c r="AB45" i="6" s="1"/>
  <c r="AB85" i="2"/>
  <c r="AB87" i="2" s="1"/>
  <c r="AC501" i="7"/>
  <c r="AB179" i="10" l="1"/>
  <c r="AB1481" i="7"/>
  <c r="AB1482" i="7" s="1"/>
  <c r="AB13" i="2"/>
  <c r="AB322" i="7"/>
  <c r="AB58" i="2"/>
  <c r="AC317" i="7"/>
  <c r="AB296" i="7"/>
  <c r="AB297" i="7" s="1"/>
  <c r="AB231" i="32" s="1"/>
  <c r="AB221" i="32"/>
  <c r="AB88" i="2"/>
  <c r="AC1496" i="7"/>
  <c r="AB40" i="2"/>
  <c r="AB42" i="2" s="1"/>
  <c r="AC92" i="6" l="1"/>
  <c r="AB89" i="2"/>
  <c r="AB93" i="6"/>
  <c r="AB309" i="7"/>
  <c r="AB62" i="2"/>
  <c r="AC320" i="7"/>
  <c r="AC321" i="7" s="1"/>
  <c r="AC80" i="5" s="1"/>
  <c r="AB1485" i="7"/>
  <c r="AB113" i="27"/>
  <c r="AC1480" i="7"/>
  <c r="AB204" i="10"/>
  <c r="AB45" i="2"/>
  <c r="AB44" i="2"/>
  <c r="AC47" i="6"/>
  <c r="AB48" i="6"/>
  <c r="AB17" i="2"/>
  <c r="AB1450" i="7"/>
  <c r="AB1451" i="7" s="1"/>
  <c r="AB208" i="10" s="1"/>
  <c r="AB197" i="10"/>
  <c r="AB43" i="2"/>
  <c r="AB225" i="32" l="1"/>
  <c r="AB227" i="32" s="1"/>
  <c r="AB67" i="2"/>
  <c r="AB310" i="7"/>
  <c r="AB312" i="7" s="1"/>
  <c r="AC1483" i="7"/>
  <c r="AC1484" i="7" s="1"/>
  <c r="AC38" i="5" s="1"/>
  <c r="AC81" i="5"/>
  <c r="AC83" i="5" s="1"/>
  <c r="AC58" i="6"/>
  <c r="AC85" i="6" s="1"/>
  <c r="AB22" i="2"/>
  <c r="AB201" i="10"/>
  <c r="AB203" i="10" s="1"/>
  <c r="AB442" i="1"/>
  <c r="AB313" i="7"/>
  <c r="AC293" i="7" l="1"/>
  <c r="AC57" i="6"/>
  <c r="AC70" i="6" s="1"/>
  <c r="AB298" i="7"/>
  <c r="AB299" i="7" s="1"/>
  <c r="AB232" i="32" s="1"/>
  <c r="AC211" i="32"/>
  <c r="AB1452" i="7"/>
  <c r="AB1453" i="7" s="1"/>
  <c r="AB209" i="10" s="1"/>
  <c r="AC39" i="5"/>
  <c r="AC41" i="5" s="1"/>
  <c r="AC13" i="6"/>
  <c r="AC40" i="6" s="1"/>
  <c r="AC1447" i="7" l="1"/>
  <c r="AC12" i="6"/>
  <c r="AC25" i="6" s="1"/>
  <c r="AC295" i="7"/>
  <c r="AC202" i="32"/>
  <c r="AC206" i="32" s="1"/>
  <c r="AC283" i="7"/>
  <c r="AC187" i="10"/>
  <c r="AC178" i="10" l="1"/>
  <c r="AC182" i="10" s="1"/>
  <c r="AC1437" i="7"/>
  <c r="AC288" i="7"/>
  <c r="AC285" i="7"/>
  <c r="AC1449" i="7"/>
  <c r="AC220" i="32" l="1"/>
  <c r="AC289" i="7"/>
  <c r="AC86" i="6" s="1"/>
  <c r="AC1442" i="7"/>
  <c r="AC1439" i="7"/>
  <c r="AC212" i="32" l="1"/>
  <c r="AC88" i="6"/>
  <c r="AC90" i="6" s="1"/>
  <c r="AC502" i="7"/>
  <c r="AC503" i="7" s="1"/>
  <c r="AC196" i="10"/>
  <c r="AC1443" i="7"/>
  <c r="AC41" i="6" s="1"/>
  <c r="AC188" i="10" l="1"/>
  <c r="AC1497" i="7"/>
  <c r="AC1498" i="7" s="1"/>
  <c r="AC43" i="6"/>
  <c r="AC45" i="6" s="1"/>
  <c r="AD501" i="7"/>
  <c r="AC85" i="2"/>
  <c r="AC87" i="2" s="1"/>
  <c r="AC203" i="32"/>
  <c r="AC318" i="7"/>
  <c r="AC319" i="7" s="1"/>
  <c r="AC296" i="7" l="1"/>
  <c r="AC297" i="7" s="1"/>
  <c r="AC231" i="32" s="1"/>
  <c r="AC221" i="32"/>
  <c r="AC88" i="2"/>
  <c r="AC322" i="7"/>
  <c r="AC58" i="2"/>
  <c r="AD317" i="7"/>
  <c r="AC179" i="10"/>
  <c r="AC1481" i="7"/>
  <c r="AC1482" i="7" s="1"/>
  <c r="AC13" i="2"/>
  <c r="AD1496" i="7"/>
  <c r="AC40" i="2"/>
  <c r="AC42" i="2" s="1"/>
  <c r="AC45" i="2" l="1"/>
  <c r="AC44" i="2"/>
  <c r="AC48" i="6"/>
  <c r="AC204" i="10"/>
  <c r="AD47" i="6"/>
  <c r="AC17" i="2"/>
  <c r="AD92" i="6"/>
  <c r="AC93" i="6"/>
  <c r="AC89" i="2"/>
  <c r="AC309" i="7"/>
  <c r="AC62" i="2"/>
  <c r="AC1450" i="7"/>
  <c r="AC1451" i="7" s="1"/>
  <c r="AC208" i="10" s="1"/>
  <c r="AC197" i="10"/>
  <c r="AC43" i="2"/>
  <c r="AD320" i="7"/>
  <c r="AD321" i="7" s="1"/>
  <c r="AD80" i="5" s="1"/>
  <c r="AC113" i="27"/>
  <c r="AC1485" i="7"/>
  <c r="AD1480" i="7"/>
  <c r="AC22" i="2" l="1"/>
  <c r="AC201" i="10"/>
  <c r="AC203" i="10" s="1"/>
  <c r="AD1483" i="7"/>
  <c r="AD1484" i="7" s="1"/>
  <c r="AD38" i="5" s="1"/>
  <c r="AC313" i="7"/>
  <c r="AC442" i="1"/>
  <c r="AD58" i="6"/>
  <c r="AD85" i="6" s="1"/>
  <c r="AD81" i="5"/>
  <c r="AD83" i="5" s="1"/>
  <c r="AC310" i="7"/>
  <c r="AC312" i="7" s="1"/>
  <c r="AC225" i="32"/>
  <c r="AC227" i="32" s="1"/>
  <c r="AC67" i="2"/>
  <c r="AC298" i="7" l="1"/>
  <c r="AC299" i="7" s="1"/>
  <c r="AC232" i="32" s="1"/>
  <c r="AD293" i="7"/>
  <c r="AD57" i="6"/>
  <c r="AD70" i="6" s="1"/>
  <c r="AC1452" i="7"/>
  <c r="AC1453" i="7" s="1"/>
  <c r="AC209" i="10" s="1"/>
  <c r="AD13" i="6"/>
  <c r="AD40" i="6" s="1"/>
  <c r="AD39" i="5"/>
  <c r="AD41" i="5" s="1"/>
  <c r="AD211" i="32"/>
  <c r="AD187" i="10" l="1"/>
  <c r="AD295" i="7"/>
  <c r="AD1447" i="7"/>
  <c r="AD12" i="6"/>
  <c r="AD25" i="6" s="1"/>
  <c r="AD283" i="7"/>
  <c r="AD202" i="32"/>
  <c r="AD206" i="32" s="1"/>
  <c r="AD288" i="7" l="1"/>
  <c r="AD285" i="7"/>
  <c r="AD1449" i="7"/>
  <c r="AD178" i="10"/>
  <c r="AD182" i="10" s="1"/>
  <c r="AD1437" i="7"/>
  <c r="AD220" i="32" l="1"/>
  <c r="AD289" i="7"/>
  <c r="AD86" i="6" s="1"/>
  <c r="AD1442" i="7"/>
  <c r="AD1439" i="7"/>
  <c r="AD212" i="32" l="1"/>
  <c r="AD88" i="6"/>
  <c r="AD90" i="6" s="1"/>
  <c r="AD502" i="7"/>
  <c r="AD503" i="7" s="1"/>
  <c r="AD196" i="10"/>
  <c r="AD1443" i="7"/>
  <c r="AD41" i="6" s="1"/>
  <c r="AD318" i="7" l="1"/>
  <c r="AD319" i="7" s="1"/>
  <c r="AD203" i="32"/>
  <c r="AD188" i="10"/>
  <c r="AD1497" i="7"/>
  <c r="AD1498" i="7" s="1"/>
  <c r="AD43" i="6"/>
  <c r="AD45" i="6" s="1"/>
  <c r="AE501" i="7"/>
  <c r="AD85" i="2"/>
  <c r="AD87" i="2" s="1"/>
  <c r="AE1496" i="7" l="1"/>
  <c r="AD40" i="2"/>
  <c r="AD42" i="2" s="1"/>
  <c r="AD1481" i="7"/>
  <c r="AD1482" i="7" s="1"/>
  <c r="AD179" i="10"/>
  <c r="AD13" i="2"/>
  <c r="AD322" i="7"/>
  <c r="AD58" i="2"/>
  <c r="AE317" i="7"/>
  <c r="AD296" i="7"/>
  <c r="AD297" i="7" s="1"/>
  <c r="AD231" i="32" s="1"/>
  <c r="AD221" i="32"/>
  <c r="AD88" i="2"/>
  <c r="AD1450" i="7" l="1"/>
  <c r="AD1451" i="7" s="1"/>
  <c r="AD208" i="10" s="1"/>
  <c r="AD197" i="10"/>
  <c r="AD43" i="2"/>
  <c r="AD48" i="6"/>
  <c r="AD204" i="10"/>
  <c r="AD45" i="2"/>
  <c r="AD44" i="2"/>
  <c r="AE47" i="6"/>
  <c r="AD17" i="2"/>
  <c r="AD89" i="2"/>
  <c r="AD309" i="7"/>
  <c r="AE92" i="6"/>
  <c r="AD93" i="6"/>
  <c r="AD62" i="2"/>
  <c r="AD113" i="27"/>
  <c r="AD1485" i="7"/>
  <c r="AE1480" i="7"/>
  <c r="AE320" i="7"/>
  <c r="AE321" i="7" s="1"/>
  <c r="AE80" i="5" s="1"/>
  <c r="AD22" i="2" l="1"/>
  <c r="AD201" i="10"/>
  <c r="AD203" i="10" s="1"/>
  <c r="AE81" i="5"/>
  <c r="AE83" i="5" s="1"/>
  <c r="AE58" i="6"/>
  <c r="AE85" i="6" s="1"/>
  <c r="AD67" i="2"/>
  <c r="AD225" i="32"/>
  <c r="AD227" i="32" s="1"/>
  <c r="AD310" i="7"/>
  <c r="AD312" i="7" s="1"/>
  <c r="AE1483" i="7"/>
  <c r="AE1484" i="7" s="1"/>
  <c r="AE38" i="5" s="1"/>
  <c r="AD442" i="1"/>
  <c r="AD313" i="7"/>
  <c r="AE39" i="5" l="1"/>
  <c r="AE41" i="5" s="1"/>
  <c r="AE13" i="6"/>
  <c r="AE40" i="6" s="1"/>
  <c r="AD1452" i="7"/>
  <c r="AD1453" i="7" s="1"/>
  <c r="AD209" i="10" s="1"/>
  <c r="AD298" i="7"/>
  <c r="AD299" i="7" s="1"/>
  <c r="AD232" i="32" s="1"/>
  <c r="AE57" i="6"/>
  <c r="AE70" i="6" s="1"/>
  <c r="AE293" i="7"/>
  <c r="AE211" i="32"/>
  <c r="AE1447" i="7" l="1"/>
  <c r="AE12" i="6"/>
  <c r="AE25" i="6" s="1"/>
  <c r="AE295" i="7"/>
  <c r="AE187" i="10"/>
  <c r="AE202" i="32"/>
  <c r="AE206" i="32" s="1"/>
  <c r="AE283" i="7"/>
  <c r="AE1449" i="7" l="1"/>
  <c r="AE1437" i="7"/>
  <c r="AE178" i="10"/>
  <c r="AE182" i="10" s="1"/>
  <c r="AE288" i="7"/>
  <c r="AE285" i="7"/>
  <c r="AE289" i="7" l="1"/>
  <c r="AE86" i="6" s="1"/>
  <c r="AE220" i="32"/>
  <c r="AE1442" i="7"/>
  <c r="AE1439" i="7"/>
  <c r="AE212" i="32" l="1"/>
  <c r="AE88" i="6"/>
  <c r="AE90" i="6" s="1"/>
  <c r="AE502" i="7"/>
  <c r="AE503" i="7" s="1"/>
  <c r="AE196" i="10"/>
  <c r="AE1443" i="7"/>
  <c r="AE41" i="6" s="1"/>
  <c r="AE188" i="10" l="1"/>
  <c r="AE43" i="6"/>
  <c r="AE45" i="6" s="1"/>
  <c r="AE1497" i="7"/>
  <c r="AE1498" i="7" s="1"/>
  <c r="AF501" i="7"/>
  <c r="AE85" i="2"/>
  <c r="AE87" i="2" s="1"/>
  <c r="AE203" i="32"/>
  <c r="AE318" i="7"/>
  <c r="AE319" i="7" s="1"/>
  <c r="AE322" i="7" l="1"/>
  <c r="AE58" i="2"/>
  <c r="AF317" i="7"/>
  <c r="AE296" i="7"/>
  <c r="AE297" i="7" s="1"/>
  <c r="AE231" i="32" s="1"/>
  <c r="AE221" i="32"/>
  <c r="AE88" i="2"/>
  <c r="AF1496" i="7"/>
  <c r="AE40" i="2"/>
  <c r="AE42" i="2" s="1"/>
  <c r="AE1481" i="7"/>
  <c r="AE1482" i="7" s="1"/>
  <c r="AE179" i="10"/>
  <c r="AE13" i="2"/>
  <c r="AE113" i="27" l="1"/>
  <c r="AE1485" i="7"/>
  <c r="AF1480" i="7"/>
  <c r="AE309" i="7"/>
  <c r="AE93" i="6"/>
  <c r="AE89" i="2"/>
  <c r="AF92" i="6"/>
  <c r="AE62" i="2"/>
  <c r="AE45" i="2"/>
  <c r="AF47" i="6"/>
  <c r="AE44" i="2"/>
  <c r="AE48" i="6"/>
  <c r="AE204" i="10"/>
  <c r="AE17" i="2"/>
  <c r="AF320" i="7"/>
  <c r="AF321" i="7" s="1"/>
  <c r="AF80" i="5" s="1"/>
  <c r="AE1450" i="7"/>
  <c r="AE1451" i="7" s="1"/>
  <c r="AE208" i="10" s="1"/>
  <c r="AE197" i="10"/>
  <c r="AE43" i="2"/>
  <c r="AE201" i="10" l="1"/>
  <c r="AE203" i="10" s="1"/>
  <c r="AE22" i="2"/>
  <c r="AF1483" i="7"/>
  <c r="AF1484" i="7" s="1"/>
  <c r="AF38" i="5" s="1"/>
  <c r="AF81" i="5"/>
  <c r="AF83" i="5" s="1"/>
  <c r="AF58" i="6"/>
  <c r="AF85" i="6" s="1"/>
  <c r="AE225" i="32"/>
  <c r="AE227" i="32" s="1"/>
  <c r="AE310" i="7"/>
  <c r="AE312" i="7" s="1"/>
  <c r="AE67" i="2"/>
  <c r="AE313" i="7"/>
  <c r="AE442" i="1"/>
  <c r="AF57" i="6" l="1"/>
  <c r="AF70" i="6" s="1"/>
  <c r="AF293" i="7"/>
  <c r="AF39" i="5"/>
  <c r="AF41" i="5" s="1"/>
  <c r="AF13" i="6"/>
  <c r="AF40" i="6" s="1"/>
  <c r="AF211" i="32"/>
  <c r="AE1452" i="7"/>
  <c r="AE1453" i="7" s="1"/>
  <c r="AE209" i="10" s="1"/>
  <c r="AE298" i="7"/>
  <c r="AE299" i="7" s="1"/>
  <c r="AE232" i="32" s="1"/>
  <c r="AF187" i="10" l="1"/>
  <c r="AF283" i="7"/>
  <c r="AF202" i="32"/>
  <c r="AF206" i="32" s="1"/>
  <c r="AF12" i="6"/>
  <c r="AF25" i="6" s="1"/>
  <c r="AF1447" i="7"/>
  <c r="AF295" i="7"/>
  <c r="AF1449" i="7" l="1"/>
  <c r="AF178" i="10"/>
  <c r="AF182" i="10" s="1"/>
  <c r="AF1437" i="7"/>
  <c r="AF288" i="7"/>
  <c r="AF285" i="7"/>
  <c r="AF220" i="32" l="1"/>
  <c r="AF289" i="7"/>
  <c r="AF86" i="6" s="1"/>
  <c r="AF1442" i="7"/>
  <c r="AF1439" i="7"/>
  <c r="AF212" i="32" l="1"/>
  <c r="AF88" i="6"/>
  <c r="AF90" i="6" s="1"/>
  <c r="AF502" i="7"/>
  <c r="AF503" i="7" s="1"/>
  <c r="AF196" i="10"/>
  <c r="AF1443" i="7"/>
  <c r="AF41" i="6" s="1"/>
  <c r="AF188" i="10" l="1"/>
  <c r="AF1497" i="7"/>
  <c r="AF1498" i="7" s="1"/>
  <c r="AF43" i="6"/>
  <c r="AF45" i="6" s="1"/>
  <c r="AG501" i="7"/>
  <c r="AF85" i="2"/>
  <c r="AF87" i="2" s="1"/>
  <c r="AF318" i="7"/>
  <c r="AF319" i="7" s="1"/>
  <c r="AF203" i="32"/>
  <c r="AF296" i="7" l="1"/>
  <c r="AF297" i="7" s="1"/>
  <c r="AF231" i="32" s="1"/>
  <c r="AF221" i="32"/>
  <c r="AF88" i="2"/>
  <c r="AG1496" i="7"/>
  <c r="AF40" i="2"/>
  <c r="AF42" i="2" s="1"/>
  <c r="AF1481" i="7"/>
  <c r="AF1482" i="7" s="1"/>
  <c r="AF179" i="10"/>
  <c r="AF13" i="2"/>
  <c r="AF322" i="7"/>
  <c r="AF58" i="2"/>
  <c r="AG317" i="7"/>
  <c r="AF1450" i="7" l="1"/>
  <c r="AF1451" i="7" s="1"/>
  <c r="AF208" i="10" s="1"/>
  <c r="AF197" i="10"/>
  <c r="AF43" i="2"/>
  <c r="AG92" i="6"/>
  <c r="AF93" i="6"/>
  <c r="AF89" i="2"/>
  <c r="AF309" i="7"/>
  <c r="AF62" i="2"/>
  <c r="AF1485" i="7"/>
  <c r="AG1480" i="7"/>
  <c r="AF113" i="27"/>
  <c r="AG320" i="7"/>
  <c r="AG321" i="7" s="1"/>
  <c r="AG80" i="5" s="1"/>
  <c r="AF44" i="2"/>
  <c r="AF48" i="6"/>
  <c r="AF204" i="10"/>
  <c r="AF45" i="2"/>
  <c r="AG47" i="6"/>
  <c r="AF17" i="2"/>
  <c r="AF22" i="2" l="1"/>
  <c r="AF201" i="10"/>
  <c r="AF203" i="10" s="1"/>
  <c r="AG1483" i="7"/>
  <c r="AG1484" i="7" s="1"/>
  <c r="AG38" i="5" s="1"/>
  <c r="AF313" i="7"/>
  <c r="AF442" i="1"/>
  <c r="AG58" i="6"/>
  <c r="AG85" i="6" s="1"/>
  <c r="AG81" i="5"/>
  <c r="AG83" i="5" s="1"/>
  <c r="AF225" i="32"/>
  <c r="AF227" i="32" s="1"/>
  <c r="AF310" i="7"/>
  <c r="AF312" i="7" s="1"/>
  <c r="AF67" i="2"/>
  <c r="AG293" i="7" l="1"/>
  <c r="AG57" i="6"/>
  <c r="AG70" i="6" s="1"/>
  <c r="AG13" i="6"/>
  <c r="AG40" i="6" s="1"/>
  <c r="AG39" i="5"/>
  <c r="AG41" i="5" s="1"/>
  <c r="AF298" i="7"/>
  <c r="AF299" i="7" s="1"/>
  <c r="AF232" i="32" s="1"/>
  <c r="AF1452" i="7"/>
  <c r="AF1453" i="7" s="1"/>
  <c r="AF209" i="10" s="1"/>
  <c r="AG211" i="32"/>
  <c r="AG295" i="7" l="1"/>
  <c r="AG12" i="6"/>
  <c r="AG25" i="6" s="1"/>
  <c r="AG1447" i="7"/>
  <c r="AG283" i="7"/>
  <c r="AG202" i="32"/>
  <c r="AG206" i="32" s="1"/>
  <c r="AG187" i="10"/>
  <c r="AG1449" i="7" l="1"/>
  <c r="AG288" i="7"/>
  <c r="AG285" i="7"/>
  <c r="AG1437" i="7"/>
  <c r="AG178" i="10"/>
  <c r="AG182" i="10" s="1"/>
  <c r="AG289" i="7" l="1"/>
  <c r="AG86" i="6" s="1"/>
  <c r="AG220" i="32"/>
  <c r="AG1442" i="7"/>
  <c r="AG1439" i="7"/>
  <c r="AG212" i="32" l="1"/>
  <c r="AG502" i="7"/>
  <c r="AG503" i="7" s="1"/>
  <c r="AG88" i="6"/>
  <c r="AG90" i="6" s="1"/>
  <c r="AG196" i="10"/>
  <c r="AG1443" i="7"/>
  <c r="AG41" i="6" s="1"/>
  <c r="AG188" i="10" l="1"/>
  <c r="AG43" i="6"/>
  <c r="AG45" i="6" s="1"/>
  <c r="AG1497" i="7"/>
  <c r="AG1498" i="7" s="1"/>
  <c r="AH501" i="7"/>
  <c r="AG85" i="2"/>
  <c r="AG87" i="2" s="1"/>
  <c r="AG318" i="7"/>
  <c r="AG319" i="7" s="1"/>
  <c r="AG203" i="32"/>
  <c r="AG296" i="7" l="1"/>
  <c r="AG297" i="7" s="1"/>
  <c r="AG231" i="32" s="1"/>
  <c r="AG221" i="32"/>
  <c r="AG88" i="2"/>
  <c r="AG179" i="10"/>
  <c r="AG1481" i="7"/>
  <c r="AG1482" i="7" s="1"/>
  <c r="AG13" i="2"/>
  <c r="AG322" i="7"/>
  <c r="AG58" i="2"/>
  <c r="AH317" i="7"/>
  <c r="AH1496" i="7"/>
  <c r="AG40" i="2"/>
  <c r="AG42" i="2" s="1"/>
  <c r="AH320" i="7" l="1"/>
  <c r="AH321" i="7" s="1"/>
  <c r="AH80" i="5" s="1"/>
  <c r="AG113" i="27"/>
  <c r="AG1485" i="7"/>
  <c r="AH1480" i="7"/>
  <c r="AG1450" i="7"/>
  <c r="AG1451" i="7" s="1"/>
  <c r="AG208" i="10" s="1"/>
  <c r="AG197" i="10"/>
  <c r="AG43" i="2"/>
  <c r="AG45" i="2"/>
  <c r="AG204" i="10"/>
  <c r="AH47" i="6"/>
  <c r="AG44" i="2"/>
  <c r="AG48" i="6"/>
  <c r="AG17" i="2"/>
  <c r="AG89" i="2"/>
  <c r="AG309" i="7"/>
  <c r="AG93" i="6"/>
  <c r="AH92" i="6"/>
  <c r="AG62" i="2"/>
  <c r="AH58" i="6" l="1"/>
  <c r="AH85" i="6" s="1"/>
  <c r="AH81" i="5"/>
  <c r="AH83" i="5" s="1"/>
  <c r="AG313" i="7"/>
  <c r="AG442" i="1"/>
  <c r="AH1483" i="7"/>
  <c r="AH1484" i="7" s="1"/>
  <c r="AH38" i="5" s="1"/>
  <c r="AG201" i="10"/>
  <c r="AG203" i="10" s="1"/>
  <c r="AG22" i="2"/>
  <c r="AG225" i="32"/>
  <c r="AG227" i="32" s="1"/>
  <c r="AG310" i="7"/>
  <c r="AG312" i="7" s="1"/>
  <c r="AG67" i="2"/>
  <c r="AH39" i="5" l="1"/>
  <c r="AH41" i="5" s="1"/>
  <c r="AH13" i="6"/>
  <c r="AH40" i="6" s="1"/>
  <c r="AH57" i="6"/>
  <c r="AH70" i="6" s="1"/>
  <c r="AH293" i="7"/>
  <c r="AG298" i="7"/>
  <c r="AG299" i="7" s="1"/>
  <c r="AG232" i="32" s="1"/>
  <c r="AH211" i="32"/>
  <c r="AG1452" i="7"/>
  <c r="AG1453" i="7" s="1"/>
  <c r="AG209" i="10" s="1"/>
  <c r="AH295" i="7" l="1"/>
  <c r="AH187" i="10"/>
  <c r="AH1447" i="7"/>
  <c r="AH12" i="6"/>
  <c r="AH25" i="6" s="1"/>
  <c r="AH202" i="32"/>
  <c r="AH206" i="32" s="1"/>
  <c r="AH283" i="7"/>
  <c r="F70" i="36" l="1"/>
  <c r="F95" i="36"/>
  <c r="G95" i="36" s="1"/>
  <c r="F68" i="36"/>
  <c r="G68" i="36" s="1"/>
  <c r="F94" i="36"/>
  <c r="G94" i="36" s="1"/>
  <c r="F69" i="36"/>
  <c r="G69" i="36" s="1"/>
  <c r="F96" i="36"/>
  <c r="AH1449" i="7"/>
  <c r="AH288" i="7"/>
  <c r="AH285" i="7"/>
  <c r="AH1437" i="7"/>
  <c r="AH178" i="10"/>
  <c r="AH182" i="10" s="1"/>
  <c r="F91" i="35" l="1"/>
  <c r="F64" i="35"/>
  <c r="F89" i="35"/>
  <c r="F65" i="35"/>
  <c r="F63" i="35"/>
  <c r="F90" i="35"/>
  <c r="AH289" i="7"/>
  <c r="AH86" i="6" s="1"/>
  <c r="AH220" i="32"/>
  <c r="AH1442" i="7"/>
  <c r="AH1439" i="7"/>
  <c r="G89" i="35" l="1"/>
  <c r="G63" i="35"/>
  <c r="G64" i="35"/>
  <c r="G90" i="35"/>
  <c r="F74" i="36"/>
  <c r="F72" i="36"/>
  <c r="G72" i="36" s="1"/>
  <c r="F108" i="36"/>
  <c r="F106" i="36"/>
  <c r="F73" i="36"/>
  <c r="G73" i="36" s="1"/>
  <c r="F107" i="36"/>
  <c r="G107" i="36" s="1"/>
  <c r="AH212" i="32"/>
  <c r="AH502" i="7"/>
  <c r="AH503" i="7" s="1"/>
  <c r="AH85" i="2" s="1"/>
  <c r="AH87" i="2" s="1"/>
  <c r="AH88" i="6"/>
  <c r="AH90" i="6" s="1"/>
  <c r="AH196" i="10"/>
  <c r="AH1443" i="7"/>
  <c r="AH41" i="6" s="1"/>
  <c r="F101" i="35" l="1"/>
  <c r="F67" i="35"/>
  <c r="G67" i="35" s="1"/>
  <c r="F103" i="35"/>
  <c r="F69" i="35"/>
  <c r="F68" i="35"/>
  <c r="G68" i="35" s="1"/>
  <c r="F102" i="35"/>
  <c r="G102" i="35" s="1"/>
  <c r="G106" i="36"/>
  <c r="K23" i="30"/>
  <c r="AH188" i="10"/>
  <c r="AH1497" i="7"/>
  <c r="AH1498" i="7" s="1"/>
  <c r="AH40" i="2" s="1"/>
  <c r="AH42" i="2" s="1"/>
  <c r="AH43" i="6"/>
  <c r="AH45" i="6" s="1"/>
  <c r="AH296" i="7"/>
  <c r="AH297" i="7" s="1"/>
  <c r="AH221" i="32"/>
  <c r="AH88" i="2"/>
  <c r="AH318" i="7"/>
  <c r="AH319" i="7" s="1"/>
  <c r="AH203" i="32"/>
  <c r="G101" i="35" l="1"/>
  <c r="K23" i="17"/>
  <c r="AH231" i="32"/>
  <c r="F99" i="36"/>
  <c r="G99" i="36" s="1"/>
  <c r="F98" i="36"/>
  <c r="F100" i="36"/>
  <c r="F110" i="36"/>
  <c r="G110" i="36" s="1"/>
  <c r="F111" i="36"/>
  <c r="G111" i="36" s="1"/>
  <c r="F112" i="36"/>
  <c r="AH1450" i="7"/>
  <c r="AH1451" i="7" s="1"/>
  <c r="AH197" i="10"/>
  <c r="AH43" i="2"/>
  <c r="AH179" i="10"/>
  <c r="AH1481" i="7"/>
  <c r="AH1482" i="7" s="1"/>
  <c r="AH13" i="2"/>
  <c r="AH322" i="7"/>
  <c r="O110" i="36" s="1"/>
  <c r="AH58" i="2"/>
  <c r="AH208" i="10" l="1"/>
  <c r="F94" i="35"/>
  <c r="G94" i="35" s="1"/>
  <c r="F95" i="35"/>
  <c r="F93" i="35"/>
  <c r="K25" i="30"/>
  <c r="Q110" i="36"/>
  <c r="K24" i="30"/>
  <c r="G98" i="36"/>
  <c r="F106" i="35"/>
  <c r="G106" i="35" s="1"/>
  <c r="F105" i="35"/>
  <c r="G105" i="35" s="1"/>
  <c r="F107" i="35"/>
  <c r="AH113" i="27"/>
  <c r="AH1485" i="7"/>
  <c r="AH45" i="2"/>
  <c r="O105" i="35" s="1"/>
  <c r="AH48" i="6"/>
  <c r="AH204" i="10"/>
  <c r="AH44" i="2"/>
  <c r="O106" i="35" s="1"/>
  <c r="Q106" i="35" s="1"/>
  <c r="AH17" i="2"/>
  <c r="AH89" i="2"/>
  <c r="O111" i="36" s="1"/>
  <c r="Q111" i="36" s="1"/>
  <c r="AH309" i="7"/>
  <c r="AH93" i="6"/>
  <c r="AH62" i="2"/>
  <c r="K21" i="30" l="1"/>
  <c r="Q105" i="35"/>
  <c r="K25" i="17"/>
  <c r="N97" i="35"/>
  <c r="O97" i="35" s="1"/>
  <c r="N98" i="35"/>
  <c r="O98" i="35" s="1"/>
  <c r="N99" i="35"/>
  <c r="K24" i="17"/>
  <c r="G93" i="35"/>
  <c r="AH67" i="2"/>
  <c r="AH225" i="32"/>
  <c r="AH227" i="32" s="1"/>
  <c r="AH310" i="7"/>
  <c r="AH312" i="7" s="1"/>
  <c r="AH201" i="10"/>
  <c r="AH203" i="10" s="1"/>
  <c r="AH22" i="2"/>
  <c r="AH313" i="7"/>
  <c r="AH442" i="1"/>
  <c r="AH298" i="7" l="1"/>
  <c r="AH299" i="7" s="1"/>
  <c r="O109" i="36"/>
  <c r="Q109" i="36" s="1"/>
  <c r="N98" i="36"/>
  <c r="O98" i="36" s="1"/>
  <c r="F80" i="36"/>
  <c r="G80" i="36" s="1"/>
  <c r="N100" i="36"/>
  <c r="N99" i="36"/>
  <c r="O99" i="36" s="1"/>
  <c r="F81" i="36"/>
  <c r="G81" i="36" s="1"/>
  <c r="F82" i="36"/>
  <c r="K21" i="17"/>
  <c r="AH1452" i="7"/>
  <c r="AH1453" i="7" s="1"/>
  <c r="O104" i="35"/>
  <c r="Q104" i="35" s="1"/>
  <c r="N103" i="36"/>
  <c r="O103" i="36" s="1"/>
  <c r="N104" i="36"/>
  <c r="N102" i="36"/>
  <c r="O102" i="36" s="1"/>
  <c r="N94" i="35"/>
  <c r="O94" i="35" s="1"/>
  <c r="F75" i="35"/>
  <c r="G75" i="35" s="1"/>
  <c r="F76" i="35"/>
  <c r="G76" i="35" s="1"/>
  <c r="N93" i="35"/>
  <c r="O93" i="35" s="1"/>
  <c r="F77" i="35"/>
  <c r="N95" i="35"/>
  <c r="AH232" i="32" l="1"/>
  <c r="F102" i="36"/>
  <c r="G102" i="36" s="1"/>
  <c r="F104" i="36"/>
  <c r="F103" i="36"/>
  <c r="G103" i="36" s="1"/>
  <c r="AH209" i="10"/>
  <c r="F99" i="35"/>
  <c r="F97" i="35"/>
  <c r="G97" i="35" s="1"/>
  <c r="F98" i="35"/>
  <c r="G98" i="35" s="1"/>
</calcChain>
</file>

<file path=xl/sharedStrings.xml><?xml version="1.0" encoding="utf-8"?>
<sst xmlns="http://schemas.openxmlformats.org/spreadsheetml/2006/main" count="4206" uniqueCount="700">
  <si>
    <t>INPUTS</t>
  </si>
  <si>
    <t>Names, dates and timings</t>
  </si>
  <si>
    <t>Text</t>
  </si>
  <si>
    <t>Model starting date</t>
  </si>
  <si>
    <t>Model ending date</t>
  </si>
  <si>
    <t>Date</t>
  </si>
  <si>
    <t>Name of freight railway entity</t>
  </si>
  <si>
    <t>Name of passenger railway entity</t>
  </si>
  <si>
    <t>Name of railway infrastructure entity</t>
  </si>
  <si>
    <t>Ruritania Railway Infrastructure Company</t>
  </si>
  <si>
    <t>Ruritania Passenger Rail Company</t>
  </si>
  <si>
    <t>Macroeconomic assumptions</t>
  </si>
  <si>
    <t>Period from</t>
  </si>
  <si>
    <t>Period to</t>
  </si>
  <si>
    <t>Unit of currency</t>
  </si>
  <si>
    <t>%</t>
  </si>
  <si>
    <t>Inflation</t>
  </si>
  <si>
    <t>km</t>
  </si>
  <si>
    <t>Buildings and structures</t>
  </si>
  <si>
    <t>Track and infrastructure</t>
  </si>
  <si>
    <t>Locomotives and railway cars</t>
  </si>
  <si>
    <t>Others</t>
  </si>
  <si>
    <t>Machines, equipment and spare parts</t>
  </si>
  <si>
    <t>Name of traffic flow 1</t>
  </si>
  <si>
    <t>Name of traffic flow 2</t>
  </si>
  <si>
    <t>Name of traffic flow 3</t>
  </si>
  <si>
    <t>Name of traffic flow 4</t>
  </si>
  <si>
    <t>Name of traffic flow 5</t>
  </si>
  <si>
    <t>Name of traffic flow 6</t>
  </si>
  <si>
    <t>Domestic passenger</t>
  </si>
  <si>
    <t>International passenger</t>
  </si>
  <si>
    <t>Sub-urban passenger</t>
  </si>
  <si>
    <t>yes/no</t>
  </si>
  <si>
    <t>Yes</t>
  </si>
  <si>
    <t>If yes, proportion of inflation indexation after year 1</t>
  </si>
  <si>
    <t>Annual tariff growth rate</t>
  </si>
  <si>
    <t>Grow track access charge by inflation rate after year 1?</t>
  </si>
  <si>
    <t>Staff</t>
  </si>
  <si>
    <t>Variability with inflation</t>
  </si>
  <si>
    <t>Staff count</t>
  </si>
  <si>
    <t>Materials</t>
  </si>
  <si>
    <t>Diesel fuel</t>
  </si>
  <si>
    <t>External services</t>
  </si>
  <si>
    <t>Other operating expenses</t>
  </si>
  <si>
    <t>Staff cost</t>
  </si>
  <si>
    <t>Materials cost</t>
  </si>
  <si>
    <t>Diesel fuel cost</t>
  </si>
  <si>
    <t>Corporate income tax rate</t>
  </si>
  <si>
    <t>Days in accounts receivable</t>
  </si>
  <si>
    <t>Days in inventory</t>
  </si>
  <si>
    <t>Days in accounts payable</t>
  </si>
  <si>
    <t>Days</t>
  </si>
  <si>
    <t>Currency</t>
  </si>
  <si>
    <t>Front-end fee</t>
  </si>
  <si>
    <t>Term</t>
  </si>
  <si>
    <t>Commitment fee</t>
  </si>
  <si>
    <t>Years</t>
  </si>
  <si>
    <t>Grace period</t>
  </si>
  <si>
    <t>% of principal</t>
  </si>
  <si>
    <t>International bank</t>
  </si>
  <si>
    <t>Principal amount in issue currency</t>
  </si>
  <si>
    <t>LIBOR</t>
  </si>
  <si>
    <t>Debt/bond funding source (name of lender/capital markets)</t>
  </si>
  <si>
    <t>Equity funding source</t>
  </si>
  <si>
    <t>Government</t>
  </si>
  <si>
    <t>Existing equity</t>
  </si>
  <si>
    <t>First modeling year</t>
  </si>
  <si>
    <t>BALANCE SHEET</t>
  </si>
  <si>
    <t>ASSETS</t>
  </si>
  <si>
    <t>Current assets</t>
  </si>
  <si>
    <t>Cash and cash equivalents</t>
  </si>
  <si>
    <t>Accounts receivable</t>
  </si>
  <si>
    <t>Inventory</t>
  </si>
  <si>
    <t>Other</t>
  </si>
  <si>
    <t>Property, plant and equipment</t>
  </si>
  <si>
    <t>TOTAL ASSETS</t>
  </si>
  <si>
    <t>LIABILITIES AND EQUITY</t>
  </si>
  <si>
    <t>Current liabilities</t>
  </si>
  <si>
    <t>Accounts payable</t>
  </si>
  <si>
    <t>Long-term loans</t>
  </si>
  <si>
    <t>Total liabilities</t>
  </si>
  <si>
    <t>Equity</t>
  </si>
  <si>
    <t>Paid-in capital</t>
  </si>
  <si>
    <t>Retained earnings</t>
  </si>
  <si>
    <t>TOTAL LIABILITIES AND EQUITY</t>
  </si>
  <si>
    <t>INCOME STATEMENT</t>
  </si>
  <si>
    <t>REVENUES</t>
  </si>
  <si>
    <t>Freight</t>
  </si>
  <si>
    <t>Total revenues</t>
  </si>
  <si>
    <t>OPERATING EXPENSES</t>
  </si>
  <si>
    <t>Fuel</t>
  </si>
  <si>
    <t xml:space="preserve">Electricity </t>
  </si>
  <si>
    <t>Total operating expenses</t>
  </si>
  <si>
    <t>EBITDA</t>
  </si>
  <si>
    <t>Depreciation</t>
  </si>
  <si>
    <t>EBIT</t>
  </si>
  <si>
    <t>Net finance expenses</t>
  </si>
  <si>
    <t>Income tax</t>
  </si>
  <si>
    <t>NET INCOME</t>
  </si>
  <si>
    <t>Year</t>
  </si>
  <si>
    <t>OPERATING ACTIVITIES</t>
  </si>
  <si>
    <t>CASH FLOW STATEMENT</t>
  </si>
  <si>
    <t>Net income</t>
  </si>
  <si>
    <t xml:space="preserve">Adjustment for non-cash costs </t>
  </si>
  <si>
    <t>Change in working capital</t>
  </si>
  <si>
    <t>NET CASH FROM OPERATING ACTIVITIES</t>
  </si>
  <si>
    <t>INVESTING ACTIVITIES</t>
  </si>
  <si>
    <t>Acquisition of property, plant and equipment</t>
  </si>
  <si>
    <t>Sale of property, plant and equipment</t>
  </si>
  <si>
    <t>NET CASH FROM INVESTING ACTIVITIES</t>
  </si>
  <si>
    <t>FINANCING ACTIVITIES</t>
  </si>
  <si>
    <t>Dividends paid</t>
  </si>
  <si>
    <t>NET CASH FROM FINANCING ACTIVITIES</t>
  </si>
  <si>
    <t>NET CHANGE IN CASH</t>
  </si>
  <si>
    <t>Cash balance at beginning of year</t>
  </si>
  <si>
    <t>Cash balance at end of year</t>
  </si>
  <si>
    <t>Change in paid-in capital</t>
  </si>
  <si>
    <t>Provisions and legal claims</t>
  </si>
  <si>
    <t>Ratio</t>
  </si>
  <si>
    <t>Principal repayments (annual)</t>
  </si>
  <si>
    <t>New debt 1</t>
  </si>
  <si>
    <t>Drawdown amounts (annual)</t>
  </si>
  <si>
    <t>New debt 2</t>
  </si>
  <si>
    <t>New debt 3</t>
  </si>
  <si>
    <t>New debt 4</t>
  </si>
  <si>
    <t>CALCULATIONS</t>
  </si>
  <si>
    <t>Model period starts here</t>
  </si>
  <si>
    <t>Model period started</t>
  </si>
  <si>
    <t>Model period ends here</t>
  </si>
  <si>
    <t>Model period ended</t>
  </si>
  <si>
    <t>Add CAPEX</t>
  </si>
  <si>
    <t>Track access charge</t>
  </si>
  <si>
    <t>Name of non-operating expense 1</t>
  </si>
  <si>
    <t>Name of non-operating expense 2</t>
  </si>
  <si>
    <t>Name of non-operating expense 3</t>
  </si>
  <si>
    <t>Interest rate</t>
  </si>
  <si>
    <t>Principal outstanding at the beginning of the year</t>
  </si>
  <si>
    <t>Principal received</t>
  </si>
  <si>
    <t>Principal outstanding at the end of the year</t>
  </si>
  <si>
    <t>Interest due at the end of the year</t>
  </si>
  <si>
    <t>Total debt service</t>
  </si>
  <si>
    <t>% of committed principal</t>
  </si>
  <si>
    <t>Undisbursed capital</t>
  </si>
  <si>
    <t>Regional bank</t>
  </si>
  <si>
    <t>Long-term liabilities</t>
  </si>
  <si>
    <t>Long-term assets</t>
  </si>
  <si>
    <t>Opening  cash balance</t>
  </si>
  <si>
    <t>Ending cash balance</t>
  </si>
  <si>
    <t>Net change in cash</t>
  </si>
  <si>
    <t xml:space="preserve">ratio </t>
  </si>
  <si>
    <t>Annual dividend after DSCR</t>
  </si>
  <si>
    <t>Operating cash flow</t>
  </si>
  <si>
    <t>Actual DSCR</t>
  </si>
  <si>
    <t>Required DSCR</t>
  </si>
  <si>
    <t xml:space="preserve">Annual dividend </t>
  </si>
  <si>
    <t>Investing cash flow</t>
  </si>
  <si>
    <t>Cash available for dividends</t>
  </si>
  <si>
    <t>Change in retained earnings</t>
  </si>
  <si>
    <t>Retained earnings opening balance</t>
  </si>
  <si>
    <t>Retained earnings closing balance</t>
  </si>
  <si>
    <t xml:space="preserve">Ending paid-in capital </t>
  </si>
  <si>
    <t>Opening paid-in capital</t>
  </si>
  <si>
    <t>When?</t>
  </si>
  <si>
    <t>DSCR</t>
  </si>
  <si>
    <t>maximum</t>
  </si>
  <si>
    <t>average</t>
  </si>
  <si>
    <t>FINANCIAL RESULTS</t>
  </si>
  <si>
    <t>Return on equity</t>
  </si>
  <si>
    <t>Average equity</t>
  </si>
  <si>
    <t>Average assets</t>
  </si>
  <si>
    <t>Return on assets</t>
  </si>
  <si>
    <t xml:space="preserve">ROE      </t>
  </si>
  <si>
    <t>minimum</t>
  </si>
  <si>
    <t xml:space="preserve">DSCR  </t>
  </si>
  <si>
    <t>ROA</t>
  </si>
  <si>
    <t>Debt service</t>
  </si>
  <si>
    <t>Net cash flow</t>
  </si>
  <si>
    <t>Operating profit</t>
  </si>
  <si>
    <t>Current ratio</t>
  </si>
  <si>
    <t>Track-km</t>
  </si>
  <si>
    <t>CHARTS</t>
  </si>
  <si>
    <t>Operating revenues</t>
  </si>
  <si>
    <t>Operating costs (incl. depreciation)</t>
  </si>
  <si>
    <t>Cash flow</t>
  </si>
  <si>
    <t>Capital expenditure</t>
  </si>
  <si>
    <t>Debt ratios</t>
  </si>
  <si>
    <t>Debt-to-equity</t>
  </si>
  <si>
    <t>Liquidity</t>
  </si>
  <si>
    <t>Return ratios</t>
  </si>
  <si>
    <t>Operating and working ratio</t>
  </si>
  <si>
    <t>Operating ratio</t>
  </si>
  <si>
    <t>Working ratio</t>
  </si>
  <si>
    <t>Staff productivity</t>
  </si>
  <si>
    <t>Total staff</t>
  </si>
  <si>
    <t>Total traffic units</t>
  </si>
  <si>
    <t>Traffic units per staff</t>
  </si>
  <si>
    <t>Average staff/track-km</t>
  </si>
  <si>
    <t>Traffic intensity</t>
  </si>
  <si>
    <t>Traffic units per track-km</t>
  </si>
  <si>
    <t>Profitability</t>
  </si>
  <si>
    <t>Balance sheet always balanced?</t>
  </si>
  <si>
    <t>Cash balance above zero in all years?</t>
  </si>
  <si>
    <t>CHECKS</t>
  </si>
  <si>
    <t>OPERATIONAL RESULTS</t>
  </si>
  <si>
    <t>Average traffic units/staff</t>
  </si>
  <si>
    <t>Average traffic units/track-km</t>
  </si>
  <si>
    <t>Net interest</t>
  </si>
  <si>
    <t>Cash on cash flow = cash on balance sheet?</t>
  </si>
  <si>
    <t>Graph data</t>
  </si>
  <si>
    <t>Select</t>
  </si>
  <si>
    <t>Tons</t>
  </si>
  <si>
    <t>No</t>
  </si>
  <si>
    <t>Operating profit margin</t>
  </si>
  <si>
    <t>Net profit margin</t>
  </si>
  <si>
    <t>Total revenue</t>
  </si>
  <si>
    <t>D/E</t>
  </si>
  <si>
    <t>Cash ratio</t>
  </si>
  <si>
    <t>Color indicates assumptions to be entered</t>
  </si>
  <si>
    <t>Electricity</t>
  </si>
  <si>
    <t>Name of traffic flow 7</t>
  </si>
  <si>
    <t>Name of traffic flow 8</t>
  </si>
  <si>
    <t>Commodity 1</t>
  </si>
  <si>
    <t>Commodity 2</t>
  </si>
  <si>
    <t>Commodity 3</t>
  </si>
  <si>
    <t>Commodity 4</t>
  </si>
  <si>
    <t>Commodity 5</t>
  </si>
  <si>
    <t>Active modeling period</t>
  </si>
  <si>
    <t>Rate</t>
  </si>
  <si>
    <t>Staff count in HQ</t>
  </si>
  <si>
    <t>Manual entry</t>
  </si>
  <si>
    <t>Traffic data in net ton-kilometers or tons?</t>
  </si>
  <si>
    <t>Enter average length of cargo haul</t>
  </si>
  <si>
    <t>Traffic assumptions - Freight</t>
  </si>
  <si>
    <t>Traffic assumptions - Passenger</t>
  </si>
  <si>
    <t>Proportion of inflation indexation after year 1</t>
  </si>
  <si>
    <t>Tariff assumptions - Freight</t>
  </si>
  <si>
    <t>Passenger-km</t>
  </si>
  <si>
    <t>Number of trips</t>
  </si>
  <si>
    <t>Traffic data in passenger-km or trips?</t>
  </si>
  <si>
    <t>Gross ton-km</t>
  </si>
  <si>
    <t>Electric traction share of freight traffic</t>
  </si>
  <si>
    <t>Diesel traction share of freight traffic</t>
  </si>
  <si>
    <t>Implied gross ton-km/net ton-km ratio</t>
  </si>
  <si>
    <t>Enter change in GTK/NTK ratio</t>
  </si>
  <si>
    <t>Enter average length of passenger trip</t>
  </si>
  <si>
    <t>Implied gross ton-km/passenger-km ratio</t>
  </si>
  <si>
    <t>Passenger-km/Number of passenger trips</t>
  </si>
  <si>
    <t>Percentage points</t>
  </si>
  <si>
    <t>Enter change in electric traction share of total freight traffic</t>
  </si>
  <si>
    <t>Enter change in electric traction share of total passenger traffic</t>
  </si>
  <si>
    <t>Passenger</t>
  </si>
  <si>
    <t>Is a public subsidy available?</t>
  </si>
  <si>
    <t>Traffic-dependent</t>
  </si>
  <si>
    <t>Both</t>
  </si>
  <si>
    <t>Annual staff count</t>
  </si>
  <si>
    <t>Variability with staff cost</t>
  </si>
  <si>
    <t>Index</t>
  </si>
  <si>
    <t>Variability with materials cost</t>
  </si>
  <si>
    <t>Annual materials unit cost</t>
  </si>
  <si>
    <t>Variability with diesel fuel cost</t>
  </si>
  <si>
    <t>Annual diesel fuel unit cost</t>
  </si>
  <si>
    <t>Variability with electricity cost</t>
  </si>
  <si>
    <t>Annual electricity unit cost</t>
  </si>
  <si>
    <t>Enter change in quantity</t>
  </si>
  <si>
    <t>Variability with external services cost</t>
  </si>
  <si>
    <t>Annual external services unit cost</t>
  </si>
  <si>
    <t>Variability with other operating expenses amount</t>
  </si>
  <si>
    <t>Annual unit cost of other operating expenses</t>
  </si>
  <si>
    <t xml:space="preserve">Annual unit cost </t>
  </si>
  <si>
    <t>Enter change in accounts receivable</t>
  </si>
  <si>
    <t xml:space="preserve">Days </t>
  </si>
  <si>
    <t>Enter change in inventory</t>
  </si>
  <si>
    <t>Enter change in accounts payable</t>
  </si>
  <si>
    <t>Days in other receivables</t>
  </si>
  <si>
    <t>Enter change in other receivables</t>
  </si>
  <si>
    <t>Days in other payables</t>
  </si>
  <si>
    <t>Enter change in other payables</t>
  </si>
  <si>
    <t>USD</t>
  </si>
  <si>
    <t>EUR</t>
  </si>
  <si>
    <t>Used fixed or variable interest rate?</t>
  </si>
  <si>
    <t>Fixed</t>
  </si>
  <si>
    <t>Variable</t>
  </si>
  <si>
    <t>Repayment profile</t>
  </si>
  <si>
    <t>Bullet</t>
  </si>
  <si>
    <t>Equal installment</t>
  </si>
  <si>
    <t>Mortgage style</t>
  </si>
  <si>
    <t>GTK (millions)</t>
  </si>
  <si>
    <t>Enter weight of train load (net)</t>
  </si>
  <si>
    <t>Other receivables</t>
  </si>
  <si>
    <t>Account payable</t>
  </si>
  <si>
    <t>Other payables</t>
  </si>
  <si>
    <t>Local bank</t>
  </si>
  <si>
    <t>Multilateral bank</t>
  </si>
  <si>
    <t>Repayment period</t>
  </si>
  <si>
    <t>Equal installment principal</t>
  </si>
  <si>
    <t>Bullet principal</t>
  </si>
  <si>
    <t>Traffic GTK (millions)</t>
  </si>
  <si>
    <t>CAGR</t>
  </si>
  <si>
    <t>Average traffic growth (CAGR)</t>
  </si>
  <si>
    <t>SUMMARY</t>
  </si>
  <si>
    <t>Operational benchmark</t>
  </si>
  <si>
    <t>EU railways</t>
  </si>
  <si>
    <t>Staff per track-km</t>
  </si>
  <si>
    <t>Traffic units (millions) per staff</t>
  </si>
  <si>
    <t>Traffic units (millions) per track-km</t>
  </si>
  <si>
    <t>Y axis label</t>
  </si>
  <si>
    <t>Ton-km (millions)</t>
  </si>
  <si>
    <t xml:space="preserve">Y axis label for monetary graphs </t>
  </si>
  <si>
    <t>Chart label</t>
  </si>
  <si>
    <t>SUMMARY OF ASSUMPTIONS</t>
  </si>
  <si>
    <t>OPERATIONAL</t>
  </si>
  <si>
    <t>TARIFFS, TRACK ACCESS CHARGES AND SUBSIDIES</t>
  </si>
  <si>
    <t>Growth per year</t>
  </si>
  <si>
    <t>WORKING CAPITAL ASSUMPTIONS</t>
  </si>
  <si>
    <t>FINANCING</t>
  </si>
  <si>
    <t xml:space="preserve">Principal amount </t>
  </si>
  <si>
    <t>Fixed/variable</t>
  </si>
  <si>
    <t>Interest rate/margin</t>
  </si>
  <si>
    <t>Debt (initial)</t>
  </si>
  <si>
    <t>Equity (initial)</t>
  </si>
  <si>
    <t>Traffic (initial GTK)</t>
  </si>
  <si>
    <t>Public subsidy</t>
  </si>
  <si>
    <t>Total CAGR</t>
  </si>
  <si>
    <t>OPERATING AND NON-OPERATING EXPENSES</t>
  </si>
  <si>
    <t>RATIOS</t>
  </si>
  <si>
    <t>Traffic unit per staff</t>
  </si>
  <si>
    <t>Million traffic units per track-km</t>
  </si>
  <si>
    <t>Other long-term liabilities</t>
  </si>
  <si>
    <t>Other long-term assets</t>
  </si>
  <si>
    <t>Annual amount</t>
  </si>
  <si>
    <t>Other revenue</t>
  </si>
  <si>
    <t xml:space="preserve">Other </t>
  </si>
  <si>
    <t>Earn interest on cash balances?</t>
  </si>
  <si>
    <t>If yes, enter interest on cash balances (margin on LIBOR)</t>
  </si>
  <si>
    <t>Exchange rate</t>
  </si>
  <si>
    <t>Length of network in use</t>
  </si>
  <si>
    <t>Name of fixed asset class 1</t>
  </si>
  <si>
    <t>Name of fixed asset class 2</t>
  </si>
  <si>
    <t>Name of fixed asset class 3</t>
  </si>
  <si>
    <t>Name of fixed asset class 4</t>
  </si>
  <si>
    <t>Name of fixed asset class 5</t>
  </si>
  <si>
    <t>Name of fixed asset class 6</t>
  </si>
  <si>
    <t>Let model calculate depreciation or enter it manually?</t>
  </si>
  <si>
    <t>Name of foreign currency 1</t>
  </si>
  <si>
    <t>Name of foreign currency 2</t>
  </si>
  <si>
    <t>Period ending</t>
  </si>
  <si>
    <t>Color indicates historical data to be entered</t>
  </si>
  <si>
    <t>Accounts receivable in first year</t>
  </si>
  <si>
    <t>Inventory in first year</t>
  </si>
  <si>
    <t>Other receivables in first year</t>
  </si>
  <si>
    <t>Accounts payable in first year</t>
  </si>
  <si>
    <t>Other payables in first year</t>
  </si>
  <si>
    <t>Ending cash balance in first year</t>
  </si>
  <si>
    <t>Electric traction share of passenger traffic</t>
  </si>
  <si>
    <t>Diesel traction share of passenger traffic</t>
  </si>
  <si>
    <t>Model</t>
  </si>
  <si>
    <t>Freight traffic volume</t>
  </si>
  <si>
    <t>Passenger traffic volume</t>
  </si>
  <si>
    <t>Name of traffic flow 9</t>
  </si>
  <si>
    <t>Name of traffic flow 10</t>
  </si>
  <si>
    <t>Commodity 6</t>
  </si>
  <si>
    <t>Commodity 7</t>
  </si>
  <si>
    <t>Train-km (million)</t>
  </si>
  <si>
    <t>Commodity 8</t>
  </si>
  <si>
    <t>Commodity 9</t>
  </si>
  <si>
    <t>Commodity 10</t>
  </si>
  <si>
    <t>Average tariff in first year</t>
  </si>
  <si>
    <t>Average track access charge in first year</t>
  </si>
  <si>
    <t>Enter change in GTK/PKM ratio</t>
  </si>
  <si>
    <t>Ruritania Freight Rail Company</t>
  </si>
  <si>
    <t>Train-km (millions)</t>
  </si>
  <si>
    <t>Passenger-km (millions)</t>
  </si>
  <si>
    <t>Passenger track access charge - total traffic</t>
  </si>
  <si>
    <t>Freight track access charge - total traffic</t>
  </si>
  <si>
    <t>Grow tariffs by inflation in forecast period?</t>
  </si>
  <si>
    <t>Grow non-operating costs by inflation in forecast period?</t>
  </si>
  <si>
    <t>Grow operating costs by inflation in forecast period?</t>
  </si>
  <si>
    <t>Total cost in first year</t>
  </si>
  <si>
    <t>Staff member cost</t>
  </si>
  <si>
    <t>Staff count (physical cost driver)</t>
  </si>
  <si>
    <t>GTK (physical cost driver)</t>
  </si>
  <si>
    <t>Diesel traction GTK (physical cost driver)</t>
  </si>
  <si>
    <t>Electric traction GTK (physical cost driver)</t>
  </si>
  <si>
    <t>Quantity of external services (physical cost driver)</t>
  </si>
  <si>
    <t>Quantity of other operating expenses (physical cost driver)</t>
  </si>
  <si>
    <t>Quantity (physical cost driver)</t>
  </si>
  <si>
    <t>First disbursement year</t>
  </si>
  <si>
    <t>Accounts receivable in forecast period</t>
  </si>
  <si>
    <t>Inventory in forecast period</t>
  </si>
  <si>
    <t>Accounts payable in forecast period</t>
  </si>
  <si>
    <t>Other payables in forecast period</t>
  </si>
  <si>
    <t>Ending paid-in capital in first year</t>
  </si>
  <si>
    <t>Ending retained earnings in first year</t>
  </si>
  <si>
    <t>Enter additions to paid-in capital</t>
  </si>
  <si>
    <t>Existing debt 1</t>
  </si>
  <si>
    <t>Municipal bank</t>
  </si>
  <si>
    <t>London bank</t>
  </si>
  <si>
    <t>New York bank</t>
  </si>
  <si>
    <t>Existing debt 2</t>
  </si>
  <si>
    <t>Existing debt 3</t>
  </si>
  <si>
    <t>New financing</t>
  </si>
  <si>
    <t>Additional annual change</t>
  </si>
  <si>
    <t>Additional change in tariff</t>
  </si>
  <si>
    <t>Freight - average track access charge in forecast period</t>
  </si>
  <si>
    <t>Passenger - average track access charge in forecast period</t>
  </si>
  <si>
    <t>&lt;&lt;&lt;&lt; Show/hide results</t>
  </si>
  <si>
    <t>End-of-year cash balance in forecast period</t>
  </si>
  <si>
    <t>Other receivables receivable in forecast period</t>
  </si>
  <si>
    <t>Net ton-km/tons</t>
  </si>
  <si>
    <t>Net ton-km</t>
  </si>
  <si>
    <t xml:space="preserve">Repayment of principal </t>
  </si>
  <si>
    <t>Change in other long-term liabilities</t>
  </si>
  <si>
    <t>TOTAL</t>
  </si>
  <si>
    <t>Ending cash balance non-negative? (1=yes, 0=no)</t>
  </si>
  <si>
    <t>Depreciation expense in first year (total)</t>
  </si>
  <si>
    <t>Use fixed or variable interest rate?</t>
  </si>
  <si>
    <t>Repayment of loans</t>
  </si>
  <si>
    <t>Proceeds from loans</t>
  </si>
  <si>
    <t>Short-term loan payables</t>
  </si>
  <si>
    <t>Interest rate on cash balances</t>
  </si>
  <si>
    <t>Run scenario analysis?</t>
  </si>
  <si>
    <t>SCENARIO ANALYSIS</t>
  </si>
  <si>
    <t xml:space="preserve">Materials </t>
  </si>
  <si>
    <t xml:space="preserve">External services </t>
  </si>
  <si>
    <t xml:space="preserve">Other expenses </t>
  </si>
  <si>
    <t xml:space="preserve">Non-operating expenses </t>
  </si>
  <si>
    <t>Growth rate</t>
  </si>
  <si>
    <t xml:space="preserve">Growth rate </t>
  </si>
  <si>
    <t>Track access charge/GTK</t>
  </si>
  <si>
    <t>Track access charge/Train-km</t>
  </si>
  <si>
    <t>CAGR - GTK basis</t>
  </si>
  <si>
    <t>CAGR - train-km basis</t>
  </si>
  <si>
    <t>to</t>
  </si>
  <si>
    <t>Growth rate of total traffic</t>
  </si>
  <si>
    <t>Track access charges</t>
  </si>
  <si>
    <t>Track-km (average)</t>
  </si>
  <si>
    <t>Staff count (average)</t>
  </si>
  <si>
    <t>Share of electric traction (average)</t>
  </si>
  <si>
    <t>Traffic net ton-km (millions)</t>
  </si>
  <si>
    <t>Total freight traffic</t>
  </si>
  <si>
    <t>Total passenger traffic</t>
  </si>
  <si>
    <t>Traffic units (millions)</t>
  </si>
  <si>
    <t>Track access charge revenue</t>
  </si>
  <si>
    <t>Revenue from freight</t>
  </si>
  <si>
    <t>Revenue from passenger</t>
  </si>
  <si>
    <t>2nd Y axis label</t>
  </si>
  <si>
    <t>Share of electric of total</t>
  </si>
  <si>
    <t>Freight track access charge/GTK</t>
  </si>
  <si>
    <t>Passenger track access charge/Train-km</t>
  </si>
  <si>
    <t>Freight track access charge/Train-km</t>
  </si>
  <si>
    <t>Passenger track access charge/GTK</t>
  </si>
  <si>
    <t>Average tariff</t>
  </si>
  <si>
    <t xml:space="preserve">Freight track access charge on GTK basis </t>
  </si>
  <si>
    <t>Freight track access charge on train-km basis</t>
  </si>
  <si>
    <t xml:space="preserve">Passenger track access charge on GTK basis </t>
  </si>
  <si>
    <t>Passenger track access charge on train-km basis</t>
  </si>
  <si>
    <t>Average tariffs</t>
  </si>
  <si>
    <t>Additional costs from headquarters</t>
  </si>
  <si>
    <t>Non-operating costs from subsidiaries</t>
  </si>
  <si>
    <t>Additional costs</t>
  </si>
  <si>
    <t>Total</t>
  </si>
  <si>
    <t>Number of days</t>
  </si>
  <si>
    <t>Run scenario analysis on variable?</t>
  </si>
  <si>
    <t>Base case values  (copy-paste here)</t>
  </si>
  <si>
    <t>CAPEX multiplier</t>
  </si>
  <si>
    <t>Staff multiplier</t>
  </si>
  <si>
    <t>Traffic multiplier</t>
  </si>
  <si>
    <t>Tariff multiplier</t>
  </si>
  <si>
    <t>Tariff growth rate</t>
  </si>
  <si>
    <t>Traffic growth rate</t>
  </si>
  <si>
    <t>Traffic multiplier from scenario analysis</t>
  </si>
  <si>
    <t>Traffic growth rate from scenario analysis</t>
  </si>
  <si>
    <t>Growth rate enabled (yes=1, no=2)?</t>
  </si>
  <si>
    <t>&lt;&lt;&lt;&lt; Show/hide scenario analysis</t>
  </si>
  <si>
    <t>Scenario analysis enabled (yes=1, no=2)?</t>
  </si>
  <si>
    <t>Track access charge multiplier</t>
  </si>
  <si>
    <t>Track access charge multiplier from scenario analysis</t>
  </si>
  <si>
    <t>Track access charge growth rate from scenario analysis</t>
  </si>
  <si>
    <t>CAPEX multiplier from scenario analysis</t>
  </si>
  <si>
    <t>Staff multiplier from scenario analysis</t>
  </si>
  <si>
    <t>Tariff multiplier from scenario analysis</t>
  </si>
  <si>
    <t>Tariff growth rate from scenario analysis</t>
  </si>
  <si>
    <t>Is the railway entity integrated or separated?</t>
  </si>
  <si>
    <t>Integrated</t>
  </si>
  <si>
    <t>Separated</t>
  </si>
  <si>
    <t>Name of freight client 1</t>
  </si>
  <si>
    <t>Name of freight client 2</t>
  </si>
  <si>
    <t>Name of freight client 3</t>
  </si>
  <si>
    <t>Name of freight client 4</t>
  </si>
  <si>
    <t>Name of freight client 5</t>
  </si>
  <si>
    <t>Name of freight client 6</t>
  </si>
  <si>
    <t>Name of passenger client 1</t>
  </si>
  <si>
    <t>Name of passenger client 2</t>
  </si>
  <si>
    <t>Name of passenger client 3</t>
  </si>
  <si>
    <t>Freight company 1</t>
  </si>
  <si>
    <t>Freight company 2</t>
  </si>
  <si>
    <t>Freight company 3</t>
  </si>
  <si>
    <t>Freight company 4</t>
  </si>
  <si>
    <t>Freight company 5</t>
  </si>
  <si>
    <t>Passenger company 1</t>
  </si>
  <si>
    <t>Passenger company 2</t>
  </si>
  <si>
    <t>External freight track access charge revenue on GTK basis</t>
  </si>
  <si>
    <t>Internal freight track access charge revenue on GTK basis</t>
  </si>
  <si>
    <t>Internal freight track access charge revenue on train-km basis</t>
  </si>
  <si>
    <t>External freight track access charge revenue on train-km basis</t>
  </si>
  <si>
    <t>Internal passenger track access charge revenue on GTK basis</t>
  </si>
  <si>
    <t>Internal passenger track access charge revenue on train-km basis</t>
  </si>
  <si>
    <t>External passenger track access charge revenue on GTK basis</t>
  </si>
  <si>
    <t>External passenger track access charge revenue on train-km basis</t>
  </si>
  <si>
    <t>Gross ton-km/passenger-km ratio</t>
  </si>
  <si>
    <t>Enter change in GTK/passenger-km ratio</t>
  </si>
  <si>
    <t>Current scenario values</t>
  </si>
  <si>
    <t>External freight traffic volume</t>
  </si>
  <si>
    <t>External passenger traffic volume</t>
  </si>
  <si>
    <t>Traffic (initial net ton-km)</t>
  </si>
  <si>
    <t>Freight CAGR</t>
  </si>
  <si>
    <t>Passenger CAGR</t>
  </si>
  <si>
    <t>Combined CAGR</t>
  </si>
  <si>
    <t>Traffic (initial passenger-km)</t>
  </si>
  <si>
    <t>Traffic (initial traffic units)</t>
  </si>
  <si>
    <t>64000 (traffic units)</t>
  </si>
  <si>
    <t>Adjustment for intra-company transactions</t>
  </si>
  <si>
    <t>Additional staff</t>
  </si>
  <si>
    <t>Other companies</t>
  </si>
  <si>
    <t>Required debt service coverage ratio before dividends paid</t>
  </si>
  <si>
    <t>External freight</t>
  </si>
  <si>
    <t>External passenger</t>
  </si>
  <si>
    <t>TOTAL EQUITY</t>
  </si>
  <si>
    <t>Freight track access charge</t>
  </si>
  <si>
    <t>Passenger track access charge</t>
  </si>
  <si>
    <t>Total charges</t>
  </si>
  <si>
    <t>2ndry Y axis label</t>
  </si>
  <si>
    <t>Primary Y axis label</t>
  </si>
  <si>
    <t>40000 (net ton-km)</t>
  </si>
  <si>
    <t>24000 (passenger-km)</t>
  </si>
  <si>
    <t>160000 (GTK)</t>
  </si>
  <si>
    <t>15000 (staff count)</t>
  </si>
  <si>
    <t>46500 (staff count)</t>
  </si>
  <si>
    <t>Track access charge assumptions for freight</t>
  </si>
  <si>
    <t>Track access charge assumptions for passenger</t>
  </si>
  <si>
    <t xml:space="preserve">Yes </t>
  </si>
  <si>
    <t>Inflation-indexed</t>
  </si>
  <si>
    <t>GENERAL INPUTS</t>
  </si>
  <si>
    <t>Debt (new)</t>
  </si>
  <si>
    <t>Number of new loans</t>
  </si>
  <si>
    <t xml:space="preserve">Ruritania Railways </t>
  </si>
  <si>
    <t>Which railway entities are included in the model?</t>
  </si>
  <si>
    <t>Only freight</t>
  </si>
  <si>
    <t>Only passenger</t>
  </si>
  <si>
    <t>Assumptions are entered and results shown only for the freight company.</t>
  </si>
  <si>
    <t>Assumptions are entered and results shown only for the infrastructure company.</t>
  </si>
  <si>
    <t>Assumptions are entered and results shown only for the passenger company.</t>
  </si>
  <si>
    <t>Passenger and infrastucture entities produce separate financial statements. Assumptions are entered separately for each entity. Results are ashown separately and in a consolidated form.</t>
  </si>
  <si>
    <t>Freight, passenger and infrastucture entities produce one shared set of financial statements. Fixed asset and financing assumptions are entered only once under the freight entity. Revenue and cost assumptions are entered separately for each entity. Results are only shown in a consolidated form.</t>
  </si>
  <si>
    <t>Freight and passenger entities produce one shared set of financial statements. Fixed asset and financing assumptions are entered only once under the freight entity. Revenue and cost assumptions are entered separately for each entity. Results are only shown in a consolidated form.</t>
  </si>
  <si>
    <t>Freight, passenger and infrastructure (separated)</t>
  </si>
  <si>
    <t>Freight and passenger (separated)</t>
  </si>
  <si>
    <t>Freight and infrastructure (separated)</t>
  </si>
  <si>
    <t>Passenger and infrastructure (separated)</t>
  </si>
  <si>
    <t>All entities integrated</t>
  </si>
  <si>
    <t>Freight and passenger (integrated)</t>
  </si>
  <si>
    <t>Freight and infrastructure (integrated)</t>
  </si>
  <si>
    <t>Passenger and infrastructure (integrated)</t>
  </si>
  <si>
    <t>Description of defined combination:</t>
  </si>
  <si>
    <t>Defined railway combination:</t>
  </si>
  <si>
    <t>Freight and infrastructure entities produce one shared set of financial statements. Fixed asset and financing assumptions are entered only once under the freight entity. Revenue and cost assumptions are entered separately for each entity. Results are only shown in a consolidated form.</t>
  </si>
  <si>
    <t>Passenger and infrastructure entities produce one shared set of financial statements. Fixed asset and financing assumptions are entered only once under the infrastructure entity. Revenue and cost assumptions are entered separately for each entity. Results are only shown in a consolidated form.</t>
  </si>
  <si>
    <t>Only infrastructure</t>
  </si>
  <si>
    <t>Model scope, names, dates and timings</t>
  </si>
  <si>
    <t xml:space="preserve">Cost of staff member </t>
  </si>
  <si>
    <t xml:space="preserve">Cost of materials unit </t>
  </si>
  <si>
    <t>Cost of diesel fuel unit</t>
  </si>
  <si>
    <t xml:space="preserve">Cost of electricity unit </t>
  </si>
  <si>
    <t xml:space="preserve">Cost of external services unit </t>
  </si>
  <si>
    <t>Unit cost of other operating expenses</t>
  </si>
  <si>
    <t xml:space="preserve">Unit cost  </t>
  </si>
  <si>
    <t>Unit cost</t>
  </si>
  <si>
    <t>Cost of staff member</t>
  </si>
  <si>
    <t>Cost of electricity unit</t>
  </si>
  <si>
    <t>Cost of materials unit</t>
  </si>
  <si>
    <t>Cost of external services unit</t>
  </si>
  <si>
    <t xml:space="preserve">Unit cost </t>
  </si>
  <si>
    <t>Outstanding amount at the beginning of first year</t>
  </si>
  <si>
    <t>Interest expense in first year</t>
  </si>
  <si>
    <t>Grow non-operating revenue by inflation in forecast period?</t>
  </si>
  <si>
    <t>Name of non-operating revenue 1</t>
  </si>
  <si>
    <t>Total revenue in first year</t>
  </si>
  <si>
    <t>Quantity (physical revenue driver)</t>
  </si>
  <si>
    <t xml:space="preserve">Unit revenue </t>
  </si>
  <si>
    <t>Annual unit revenue</t>
  </si>
  <si>
    <t>Tax credit</t>
  </si>
  <si>
    <t>Name of non-operating revenue 2</t>
  </si>
  <si>
    <t>Name of non-operating revenue 3</t>
  </si>
  <si>
    <t>NON-OPERATING ADJUSTMENTS</t>
  </si>
  <si>
    <t>Total non-operating adjustments</t>
  </si>
  <si>
    <t>OPERATING REVENUES</t>
  </si>
  <si>
    <t>Non-operating revenue from subsidiaries</t>
  </si>
  <si>
    <t>Freight and passenger entities produce separate financial statements. Assumptions are entered separately for each entity. Results are shown separately and in a consolidated form.</t>
  </si>
  <si>
    <t>Freight and infrastucture entities produce separate financial statements. Assumptions are entered separately for each entity. Results are shown separately and in a consolidated form.</t>
  </si>
  <si>
    <t>Freight, passenger and infrastucture entities produce separate financial statements. Assumptions are entered separately for each entity. Results are shown separately and in a consolidated form.</t>
  </si>
  <si>
    <t>Show freight?</t>
  </si>
  <si>
    <t>Show passenger?</t>
  </si>
  <si>
    <t>Show infastructure?</t>
  </si>
  <si>
    <t>Show consolidated?</t>
  </si>
  <si>
    <t>Active model period freight</t>
  </si>
  <si>
    <t>Active model period passenger</t>
  </si>
  <si>
    <t>Active model period infrastructure</t>
  </si>
  <si>
    <t>Active model period for consolidated</t>
  </si>
  <si>
    <t>Less sale of assets</t>
  </si>
  <si>
    <t>Capital subsidy</t>
  </si>
  <si>
    <t>Operational subsidy</t>
  </si>
  <si>
    <t>Amortization of capital subsidy</t>
  </si>
  <si>
    <t>Opening capital subsidy</t>
  </si>
  <si>
    <t>Change in capital subsidy less amortization</t>
  </si>
  <si>
    <t>Ending capital subsidy</t>
  </si>
  <si>
    <t>Freight - operational subsidy in forecast period</t>
  </si>
  <si>
    <t>Freight - capital subsidy in forecast period</t>
  </si>
  <si>
    <t>Passenger - operational subsidy in forecast period</t>
  </si>
  <si>
    <t>Passenger - capital subsidy in forecast period</t>
  </si>
  <si>
    <t>Infrastructure - operational subsidy in forecast period</t>
  </si>
  <si>
    <t>Infrastructure - capital subsidy in forecast period</t>
  </si>
  <si>
    <t>Loans and long-term liabilities</t>
  </si>
  <si>
    <t>Fare assumptions - Passenger</t>
  </si>
  <si>
    <t>Grow fares by inflation in forecast period?</t>
  </si>
  <si>
    <t>Average fare in first year</t>
  </si>
  <si>
    <t>Additional change in fare</t>
  </si>
  <si>
    <t>Fare multiplier from scenario analysis</t>
  </si>
  <si>
    <t>Fare growth rate from scenario analysis</t>
  </si>
  <si>
    <t>Annual fare growth rate</t>
  </si>
  <si>
    <t>FARES, TRACK ACCESS CHARGES AND SUBSIDIES</t>
  </si>
  <si>
    <t>Passenger fare/Passenger-km</t>
  </si>
  <si>
    <t>Fare multiplier</t>
  </si>
  <si>
    <t>Fare growth rate</t>
  </si>
  <si>
    <t>Other (incl. subsidy amortization)</t>
  </si>
  <si>
    <t>Starting value of new assets</t>
  </si>
  <si>
    <t>Less depreciation of new assets</t>
  </si>
  <si>
    <t>Accumulated depreciation of new assets</t>
  </si>
  <si>
    <t>Starting value of existing assets</t>
  </si>
  <si>
    <t>Total ending net asset value</t>
  </si>
  <si>
    <t>Ending value of existing assets</t>
  </si>
  <si>
    <t>Ending value of new assets</t>
  </si>
  <si>
    <t>`</t>
  </si>
  <si>
    <t>Operating subsidy</t>
  </si>
  <si>
    <t>Freight - amortization of capital subsidy in forecast period</t>
  </si>
  <si>
    <t>Passenger - amortization of capital subsidy in forecast period</t>
  </si>
  <si>
    <t xml:space="preserve">Infrastructure - amortization of capital subsidy in forecast period </t>
  </si>
  <si>
    <t>Investing cash flow (after capital subsidy and loan proceeds)</t>
  </si>
  <si>
    <t>Investing cash flow (after capital subsidy and loan proceeds))</t>
  </si>
  <si>
    <t>Track access charge growth rate (excl. inflation)</t>
  </si>
  <si>
    <t>Year (between 1 and 30)</t>
  </si>
  <si>
    <t>Freight tariffs</t>
  </si>
  <si>
    <t>Passenger fares</t>
  </si>
  <si>
    <t>Active modeling period for TAC</t>
  </si>
  <si>
    <t>R$</t>
  </si>
  <si>
    <t>1) Select if entity is integrated or separated</t>
  </si>
  <si>
    <t>2) Select which railway entities are included</t>
  </si>
  <si>
    <t>FOLLOW THESE STEPS TO SET MODEL UP:</t>
  </si>
  <si>
    <t>Yes/No (1/0)</t>
  </si>
  <si>
    <t>Active modeling period for traffic</t>
  </si>
  <si>
    <t>TOTAL CAPITAL EXPENDITURE</t>
  </si>
  <si>
    <t xml:space="preserve">Average </t>
  </si>
  <si>
    <t>Average</t>
  </si>
  <si>
    <t>Land</t>
  </si>
  <si>
    <t>Interest and finance expenses</t>
  </si>
  <si>
    <t>Add interest and finance expenses</t>
  </si>
  <si>
    <t>Total operating costs</t>
  </si>
  <si>
    <t>Total working capital</t>
  </si>
  <si>
    <t>Additional working capital from headquarters</t>
  </si>
  <si>
    <t>Total consolidated cash balance</t>
  </si>
  <si>
    <t>If existing land depreciates, enter it manually</t>
  </si>
  <si>
    <t>Let model calculate new land depreciation or enter it manually?</t>
  </si>
  <si>
    <t>Total Accounts receivable</t>
  </si>
  <si>
    <t>Accounts receivable for internal track access revenue</t>
  </si>
  <si>
    <t>Accounts receivable for external track access revenue</t>
  </si>
  <si>
    <t>Accounts receivable for operating subsidy</t>
  </si>
  <si>
    <t>Interest amount on cash balances (included in operating cash)</t>
  </si>
  <si>
    <t>Color indicates historical data with formula different from forecast</t>
  </si>
  <si>
    <t>Annuity discount factor</t>
  </si>
  <si>
    <t>Annuity principal</t>
  </si>
  <si>
    <t>Annuity interest</t>
  </si>
  <si>
    <t>Fixed annuity</t>
  </si>
  <si>
    <t>Annual staff count in cost calculation</t>
  </si>
  <si>
    <t>Show passenger integrated?</t>
  </si>
  <si>
    <t>Show infrastructured integrated?</t>
  </si>
  <si>
    <t>Active model period passenger integrated</t>
  </si>
  <si>
    <t>Active model period infrastructure integrated</t>
  </si>
  <si>
    <t>Show freight integrated?</t>
  </si>
  <si>
    <t>Additional cash balance from headquarters</t>
  </si>
  <si>
    <t>Track access charges (paid)</t>
  </si>
  <si>
    <t>Track access charges (external)</t>
  </si>
  <si>
    <t>After entity specification, the model will automatically run a macro to show the relevant assumptions and results. Ensure that macros and activeX controls are enabled when specifying the model. After specification, the model can be saved as a macro-free workbook.</t>
  </si>
  <si>
    <t>Unrealized exchange rate gains/losses</t>
  </si>
  <si>
    <t>Foreign exchange gains from repayment and proceeds</t>
  </si>
  <si>
    <t>Foreign exchange losses from repayment and proceeds</t>
  </si>
  <si>
    <t>Investment income</t>
  </si>
  <si>
    <t>Investment losses</t>
  </si>
  <si>
    <t>Other reserves</t>
  </si>
  <si>
    <t>Opening other reserves</t>
  </si>
  <si>
    <t>Ending other reserves</t>
  </si>
  <si>
    <t>Realized foreign exchange gains and losses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</si>
</sst>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1" formatCode="_(* #,##0_);_(* \(#,##0\);_(* &quot;-&quot;_);_(@_)"/>
    <numFmt numFmtId="43" formatCode="_(* #,##0.00_);_(* \(#,##0.00\);_(* &quot;-&quot;??_);_(@_)"/>
    <numFmt numFmtId="164" formatCode="m/d/yyyy;@"/>
    <numFmt numFmtId="165" formatCode="0.0"/>
    <numFmt numFmtId="166" formatCode="_(* #,##0_);_(* \(#,##0\);_(* &quot;-&quot;??_);_(@_)"/>
    <numFmt numFmtId="167" formatCode="_(* #,##0.0_);_(* \(#,##0.0\);_(* &quot;-&quot;??_);_(@_)"/>
    <numFmt numFmtId="168" formatCode="d\ mmm\ yy"/>
    <numFmt numFmtId="169" formatCode="#,##0.000;\(#,##0.000\)"/>
    <numFmt numFmtId="170" formatCode="#,##0.00,,;\(#,##0.00,,\);\-_)"/>
    <numFmt numFmtId="171" formatCode="#,##0;\(#,##0\);\-_)"/>
    <numFmt numFmtId="172" formatCode="#,##0.00;\(#,##0.00\);\-_)"/>
    <numFmt numFmtId="173" formatCode="0.0%"/>
    <numFmt numFmtId="174" formatCode="_(* #,##0.00_);_(* \(#,##0.00\);_(* \-??_);_(@_)"/>
    <numFmt numFmtId="175" formatCode="#,##0.000"/>
    <numFmt numFmtId="176" formatCode="#,##0.0"/>
    <numFmt numFmtId="177" formatCode="_(* #,##0.00000_);_(* \(#,##0.00000\);_(* &quot;-&quot;??_);_(@_)"/>
    <numFmt numFmtId="178" formatCode="_(* #,##0.0000000_);_(* \(#,##0.0000000\);_(* &quot;-&quot;??_);_(@_)"/>
    <numFmt numFmtId="179" formatCode="_(* #,##0.0000_);_(* \(#,##0.0000\);_(* &quot;-&quot;??_);_(@_)"/>
  </numFmts>
  <fonts count="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i/>
      <sz val="10"/>
      <color theme="1"/>
      <name val="Calibri"/>
      <family val="2"/>
      <scheme val="minor"/>
    </font>
    <font>
      <sz val="10"/>
      <color theme="1"/>
      <name val="Calibri"/>
      <family val="2"/>
      <scheme val="minor"/>
    </font>
    <font>
      <sz val="10"/>
      <name val="Arial"/>
      <family val="2"/>
    </font>
    <font>
      <b/>
      <sz val="10"/>
      <color theme="1"/>
      <name val="Calibri"/>
      <family val="2"/>
      <scheme val="minor"/>
    </font>
    <font>
      <i/>
      <sz val="9"/>
      <color theme="1"/>
      <name val="Calibri"/>
      <family val="2"/>
      <scheme val="minor"/>
    </font>
    <font>
      <sz val="9"/>
      <color theme="1"/>
      <name val="Calibri"/>
      <family val="2"/>
      <scheme val="minor"/>
    </font>
    <font>
      <b/>
      <sz val="12"/>
      <color indexed="9"/>
      <name val="Arial"/>
      <family val="2"/>
    </font>
    <font>
      <i/>
      <sz val="10"/>
      <color indexed="9"/>
      <name val="Arial"/>
      <family val="2"/>
    </font>
    <font>
      <b/>
      <sz val="10"/>
      <name val="Arial"/>
      <family val="2"/>
    </font>
    <font>
      <sz val="10"/>
      <name val="Arial"/>
      <family val="2"/>
    </font>
    <font>
      <sz val="10"/>
      <name val="Arial"/>
      <family val="2"/>
      <charset val="204"/>
    </font>
    <font>
      <sz val="10"/>
      <name val="Calibri"/>
      <family val="2"/>
      <scheme val="minor"/>
    </font>
    <font>
      <sz val="10"/>
      <color theme="0"/>
      <name val="Calibri"/>
      <family val="2"/>
      <scheme val="minor"/>
    </font>
    <font>
      <b/>
      <sz val="9"/>
      <color theme="1"/>
      <name val="Calibri"/>
      <family val="2"/>
      <scheme val="minor"/>
    </font>
    <font>
      <b/>
      <sz val="10"/>
      <name val="Calibri"/>
      <family val="2"/>
      <scheme val="minor"/>
    </font>
    <font>
      <b/>
      <sz val="10"/>
      <color theme="0"/>
      <name val="Calibri"/>
      <family val="2"/>
      <scheme val="minor"/>
    </font>
    <font>
      <sz val="11"/>
      <name val="Calibri"/>
      <family val="2"/>
      <scheme val="minor"/>
    </font>
    <font>
      <b/>
      <sz val="11"/>
      <name val="Calibri"/>
      <family val="2"/>
      <scheme val="minor"/>
    </font>
    <font>
      <b/>
      <sz val="16"/>
      <color rgb="FFFF0000"/>
      <name val="Calibri"/>
      <family val="2"/>
      <scheme val="minor"/>
    </font>
    <font>
      <b/>
      <sz val="10"/>
      <color rgb="FFFF0000"/>
      <name val="Calibri"/>
      <family val="2"/>
      <scheme val="minor"/>
    </font>
    <font>
      <b/>
      <sz val="12"/>
      <color rgb="FFFF0000"/>
      <name val="Calibri"/>
      <family val="2"/>
      <scheme val="minor"/>
    </font>
    <font>
      <u/>
      <sz val="10"/>
      <color theme="1"/>
      <name val="Calibri"/>
      <family val="2"/>
      <scheme val="minor"/>
    </font>
    <font>
      <sz val="8"/>
      <name val="Tahoma"/>
      <family val="2"/>
    </font>
    <font>
      <b/>
      <sz val="10"/>
      <color rgb="FFC00000"/>
      <name val="Calibri"/>
      <family val="2"/>
      <scheme val="minor"/>
    </font>
    <font>
      <sz val="8"/>
      <color theme="0"/>
      <name val="Calibri"/>
      <family val="2"/>
      <scheme val="minor"/>
    </font>
    <font>
      <b/>
      <sz val="14"/>
      <color theme="0"/>
      <name val="Calibri"/>
      <family val="2"/>
      <scheme val="minor"/>
    </font>
    <font>
      <b/>
      <sz val="11"/>
      <color indexed="8"/>
      <name val="Trebuchet MS"/>
      <family val="2"/>
    </font>
    <font>
      <sz val="11"/>
      <color indexed="8"/>
      <name val="Trebuchet MS"/>
      <family val="2"/>
    </font>
    <font>
      <sz val="28"/>
      <color theme="1"/>
      <name val="Calibri"/>
      <family val="2"/>
      <scheme val="minor"/>
    </font>
    <font>
      <sz val="11"/>
      <color rgb="FF7030A0"/>
      <name val="Calibri"/>
      <family val="2"/>
      <scheme val="minor"/>
    </font>
  </fonts>
  <fills count="20">
    <fill>
      <patternFill patternType="none"/>
    </fill>
    <fill>
      <patternFill patternType="gray125"/>
    </fill>
    <fill>
      <patternFill patternType="solid">
        <fgColor indexed="65"/>
        <bgColor theme="0"/>
      </patternFill>
    </fill>
    <fill>
      <patternFill patternType="solid">
        <fgColor theme="3" tint="0.39997558519241921"/>
        <bgColor theme="0"/>
      </patternFill>
    </fill>
    <fill>
      <patternFill patternType="solid">
        <fgColor theme="0"/>
        <bgColor theme="0"/>
      </patternFill>
    </fill>
    <fill>
      <patternFill patternType="solid">
        <fgColor indexed="65"/>
        <bgColor indexed="64"/>
      </patternFill>
    </fill>
    <fill>
      <patternFill patternType="solid">
        <fgColor indexed="10"/>
        <bgColor indexed="64"/>
      </patternFill>
    </fill>
    <fill>
      <patternFill patternType="solid">
        <fgColor theme="4" tint="0.79998168889431442"/>
        <bgColor theme="0"/>
      </patternFill>
    </fill>
    <fill>
      <patternFill patternType="solid">
        <fgColor theme="0"/>
        <bgColor indexed="64"/>
      </patternFill>
    </fill>
    <fill>
      <patternFill patternType="solid">
        <fgColor rgb="FFFFFF00"/>
        <bgColor theme="0"/>
      </patternFill>
    </fill>
    <fill>
      <patternFill patternType="solid">
        <fgColor auto="1"/>
        <bgColor auto="1"/>
      </patternFill>
    </fill>
    <fill>
      <patternFill patternType="solid">
        <fgColor theme="9" tint="0.79998168889431442"/>
        <bgColor theme="0"/>
      </patternFill>
    </fill>
    <fill>
      <patternFill patternType="solid">
        <fgColor rgb="FF92D050"/>
        <bgColor theme="0"/>
      </patternFill>
    </fill>
    <fill>
      <patternFill patternType="solid">
        <fgColor rgb="FFFF0000"/>
        <bgColor theme="0"/>
      </patternFill>
    </fill>
    <fill>
      <patternFill patternType="solid">
        <fgColor rgb="FF7030A0"/>
        <bgColor theme="0"/>
      </patternFill>
    </fill>
    <fill>
      <patternFill patternType="solid">
        <fgColor theme="9"/>
        <bgColor theme="0"/>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39997558519241921"/>
        <bgColor theme="0"/>
      </patternFill>
    </fill>
    <fill>
      <patternFill patternType="solid">
        <fgColor indexed="65"/>
        <bgColor indexed="9"/>
      </patternFill>
    </fill>
  </fills>
  <borders count="57">
    <border>
      <left/>
      <right/>
      <top/>
      <bottom/>
      <diagonal/>
    </border>
    <border>
      <left/>
      <right/>
      <top style="thin">
        <color auto="1"/>
      </top>
      <bottom style="thin">
        <color auto="1"/>
      </bottom>
      <diagonal/>
    </border>
    <border>
      <left/>
      <right/>
      <top style="thin">
        <color auto="1"/>
      </top>
      <bottom style="medium">
        <color auto="1"/>
      </bottom>
      <diagonal/>
    </border>
    <border>
      <left style="double">
        <color indexed="57"/>
      </left>
      <right style="double">
        <color indexed="57"/>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theme="4"/>
      </left>
      <right/>
      <top style="medium">
        <color theme="4"/>
      </top>
      <bottom/>
      <diagonal/>
    </border>
    <border>
      <left/>
      <right/>
      <top style="medium">
        <color theme="4"/>
      </top>
      <bottom/>
      <diagonal/>
    </border>
    <border>
      <left/>
      <right style="medium">
        <color theme="4"/>
      </right>
      <top style="medium">
        <color theme="4"/>
      </top>
      <bottom/>
      <diagonal/>
    </border>
    <border>
      <left style="medium">
        <color theme="4"/>
      </left>
      <right/>
      <top/>
      <bottom/>
      <diagonal/>
    </border>
    <border>
      <left/>
      <right style="medium">
        <color theme="4"/>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style="thin">
        <color auto="1"/>
      </top>
      <bottom/>
      <diagonal/>
    </border>
    <border>
      <left/>
      <right/>
      <top/>
      <bottom style="thin">
        <color auto="1"/>
      </bottom>
      <diagonal/>
    </border>
    <border>
      <left style="thin">
        <color auto="1"/>
      </left>
      <right style="medium">
        <color auto="1"/>
      </right>
      <top/>
      <bottom/>
      <diagonal/>
    </border>
    <border>
      <left/>
      <right style="medium">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style="medium">
        <color theme="4"/>
      </left>
      <right style="medium">
        <color theme="4"/>
      </right>
      <top style="medium">
        <color theme="4"/>
      </top>
      <bottom/>
      <diagonal/>
    </border>
    <border>
      <left style="medium">
        <color theme="4"/>
      </left>
      <right style="medium">
        <color theme="4"/>
      </right>
      <top/>
      <bottom style="medium">
        <color theme="4"/>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7030A0"/>
      </left>
      <right style="medium">
        <color rgb="FF7030A0"/>
      </right>
      <top style="medium">
        <color rgb="FF7030A0"/>
      </top>
      <bottom style="medium">
        <color rgb="FF7030A0"/>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
      <left style="medium">
        <color rgb="FF92D050"/>
      </left>
      <right style="medium">
        <color rgb="FF92D050"/>
      </right>
      <top style="medium">
        <color rgb="FF92D050"/>
      </top>
      <bottom style="medium">
        <color rgb="FF92D050"/>
      </bottom>
      <diagonal/>
    </border>
    <border>
      <left style="medium">
        <color rgb="FF92D050"/>
      </left>
      <right/>
      <top style="medium">
        <color rgb="FF92D050"/>
      </top>
      <bottom/>
      <diagonal/>
    </border>
    <border>
      <left/>
      <right/>
      <top style="medium">
        <color rgb="FF92D050"/>
      </top>
      <bottom/>
      <diagonal/>
    </border>
    <border>
      <left/>
      <right style="medium">
        <color rgb="FF92D050"/>
      </right>
      <top style="medium">
        <color rgb="FF92D050"/>
      </top>
      <bottom/>
      <diagonal/>
    </border>
    <border>
      <left style="medium">
        <color rgb="FF92D050"/>
      </left>
      <right/>
      <top/>
      <bottom/>
      <diagonal/>
    </border>
    <border>
      <left/>
      <right style="medium">
        <color rgb="FF92D050"/>
      </right>
      <top/>
      <bottom/>
      <diagonal/>
    </border>
    <border>
      <left style="medium">
        <color rgb="FF92D050"/>
      </left>
      <right/>
      <top/>
      <bottom style="medium">
        <color rgb="FF92D050"/>
      </bottom>
      <diagonal/>
    </border>
    <border>
      <left/>
      <right/>
      <top/>
      <bottom style="medium">
        <color rgb="FF92D050"/>
      </bottom>
      <diagonal/>
    </border>
    <border>
      <left/>
      <right style="medium">
        <color rgb="FF92D050"/>
      </right>
      <top/>
      <bottom style="medium">
        <color rgb="FF92D050"/>
      </bottom>
      <diagonal/>
    </border>
  </borders>
  <cellStyleXfs count="19">
    <xf numFmtId="0" fontId="0" fillId="0" borderId="0"/>
    <xf numFmtId="43" fontId="1" fillId="0" borderId="0" applyFont="0" applyFill="0" applyBorder="0" applyAlignment="0" applyProtection="0"/>
    <xf numFmtId="9" fontId="1" fillId="0" borderId="0" applyFont="0" applyFill="0" applyBorder="0" applyAlignment="0" applyProtection="0"/>
    <xf numFmtId="41" fontId="7" fillId="0" borderId="0"/>
    <xf numFmtId="0" fontId="11" fillId="6" borderId="0"/>
    <xf numFmtId="0" fontId="12" fillId="6" borderId="0"/>
    <xf numFmtId="168" fontId="14" fillId="0" borderId="0" applyFill="0" applyBorder="0"/>
    <xf numFmtId="169" fontId="14" fillId="0" borderId="0" applyFill="0" applyBorder="0">
      <alignment horizontal="right"/>
    </xf>
    <xf numFmtId="170" fontId="7" fillId="0" borderId="0" applyFill="0" applyBorder="0"/>
    <xf numFmtId="171" fontId="7" fillId="0" borderId="3" applyFill="0" applyBorder="0">
      <alignment horizontal="right"/>
    </xf>
    <xf numFmtId="10" fontId="14" fillId="0" borderId="3" applyFont="0" applyFill="0" applyBorder="0"/>
    <xf numFmtId="170" fontId="13" fillId="0" borderId="0" applyFill="0" applyBorder="0"/>
    <xf numFmtId="172" fontId="14" fillId="0" borderId="3" applyFill="0" applyBorder="0">
      <alignment horizontal="right"/>
    </xf>
    <xf numFmtId="0" fontId="14" fillId="0" borderId="0" applyFill="0" applyBorder="0">
      <alignment horizontal="right"/>
    </xf>
    <xf numFmtId="0" fontId="7" fillId="0" borderId="0"/>
    <xf numFmtId="9" fontId="7" fillId="0" borderId="0" applyFont="0" applyFill="0" applyBorder="0" applyAlignment="0" applyProtection="0"/>
    <xf numFmtId="43" fontId="7" fillId="0" borderId="0" applyFont="0" applyFill="0" applyBorder="0" applyAlignment="0" applyProtection="0"/>
    <xf numFmtId="174" fontId="15" fillId="0" borderId="0" applyBorder="0">
      <alignment wrapText="1"/>
    </xf>
    <xf numFmtId="9" fontId="7" fillId="0" borderId="0" applyFont="0" applyFill="0" applyBorder="0" applyAlignment="0" applyProtection="0"/>
  </cellStyleXfs>
  <cellXfs count="578">
    <xf numFmtId="0" fontId="0" fillId="0" borderId="0" xfId="0"/>
    <xf numFmtId="0" fontId="0" fillId="2" borderId="0" xfId="0" applyFill="1"/>
    <xf numFmtId="0" fontId="0" fillId="3" borderId="0" xfId="0" applyFill="1"/>
    <xf numFmtId="0" fontId="4" fillId="3" borderId="0" xfId="0" applyFont="1" applyFill="1"/>
    <xf numFmtId="0" fontId="2" fillId="3" borderId="0" xfId="0" applyFont="1" applyFill="1"/>
    <xf numFmtId="0" fontId="4" fillId="2" borderId="0" xfId="0" applyFont="1" applyFill="1"/>
    <xf numFmtId="164" fontId="4" fillId="3" borderId="0" xfId="0" applyNumberFormat="1" applyFont="1" applyFill="1"/>
    <xf numFmtId="0" fontId="5" fillId="2" borderId="0" xfId="0" applyFont="1" applyFill="1"/>
    <xf numFmtId="0" fontId="6" fillId="2" borderId="0" xfId="0" applyFont="1" applyFill="1"/>
    <xf numFmtId="164" fontId="6" fillId="2" borderId="0" xfId="0" applyNumberFormat="1" applyFont="1" applyFill="1" applyAlignment="1">
      <alignment horizontal="right"/>
    </xf>
    <xf numFmtId="164" fontId="6" fillId="2" borderId="0" xfId="0" applyNumberFormat="1" applyFont="1" applyFill="1"/>
    <xf numFmtId="10" fontId="6" fillId="2" borderId="0" xfId="2" applyNumberFormat="1" applyFont="1" applyFill="1"/>
    <xf numFmtId="166" fontId="6" fillId="2" borderId="0" xfId="1" applyNumberFormat="1" applyFont="1" applyFill="1"/>
    <xf numFmtId="166" fontId="6" fillId="2" borderId="0" xfId="0" applyNumberFormat="1" applyFont="1" applyFill="1"/>
    <xf numFmtId="0" fontId="6" fillId="2" borderId="0" xfId="0" applyFont="1" applyFill="1" applyAlignment="1">
      <alignment horizontal="left" indent="1"/>
    </xf>
    <xf numFmtId="9" fontId="6" fillId="2" borderId="0" xfId="0" applyNumberFormat="1" applyFont="1" applyFill="1" applyAlignment="1">
      <alignment horizontal="left"/>
    </xf>
    <xf numFmtId="0" fontId="6" fillId="2" borderId="0" xfId="0" applyFont="1" applyFill="1" applyAlignment="1">
      <alignment horizontal="left"/>
    </xf>
    <xf numFmtId="0" fontId="2" fillId="4" borderId="0" xfId="0" applyFont="1" applyFill="1"/>
    <xf numFmtId="0" fontId="0" fillId="4" borderId="0" xfId="0" applyFill="1"/>
    <xf numFmtId="0" fontId="8" fillId="4" borderId="0" xfId="0" applyFont="1" applyFill="1"/>
    <xf numFmtId="0" fontId="6" fillId="4" borderId="0" xfId="0" applyFont="1" applyFill="1"/>
    <xf numFmtId="0" fontId="8" fillId="2" borderId="0" xfId="0" applyFont="1" applyFill="1"/>
    <xf numFmtId="0" fontId="0" fillId="5" borderId="0" xfId="0" applyFill="1"/>
    <xf numFmtId="0" fontId="8" fillId="5" borderId="0" xfId="0" applyFont="1" applyFill="1" applyAlignment="1">
      <alignment horizontal="left" indent="1"/>
    </xf>
    <xf numFmtId="0" fontId="6" fillId="5" borderId="0" xfId="0" applyFont="1" applyFill="1"/>
    <xf numFmtId="0" fontId="6" fillId="5" borderId="0" xfId="0" applyFont="1" applyFill="1" applyAlignment="1">
      <alignment horizontal="left" indent="1"/>
    </xf>
    <xf numFmtId="0" fontId="8" fillId="5" borderId="0" xfId="0" applyFont="1" applyFill="1"/>
    <xf numFmtId="0" fontId="8" fillId="5" borderId="0" xfId="0" applyFont="1" applyFill="1" applyAlignment="1">
      <alignment horizontal="left"/>
    </xf>
    <xf numFmtId="0" fontId="6" fillId="2" borderId="0" xfId="0" applyFont="1" applyFill="1" applyAlignment="1">
      <alignment horizontal="right"/>
    </xf>
    <xf numFmtId="1" fontId="6" fillId="2" borderId="0" xfId="0" applyNumberFormat="1" applyFont="1" applyFill="1" applyAlignment="1">
      <alignment horizontal="right"/>
    </xf>
    <xf numFmtId="0" fontId="6" fillId="2" borderId="0" xfId="0" applyFont="1" applyFill="1" applyAlignment="1">
      <alignment horizontal="left" indent="2"/>
    </xf>
    <xf numFmtId="1" fontId="6" fillId="2" borderId="0" xfId="0" applyNumberFormat="1" applyFont="1" applyFill="1"/>
    <xf numFmtId="0" fontId="6" fillId="4" borderId="0" xfId="0" applyFont="1" applyFill="1" applyAlignment="1">
      <alignment horizontal="left" indent="1"/>
    </xf>
    <xf numFmtId="0" fontId="6" fillId="4" borderId="0" xfId="0" applyFont="1" applyFill="1" applyAlignment="1">
      <alignment horizontal="right"/>
    </xf>
    <xf numFmtId="167" fontId="6" fillId="5" borderId="0" xfId="1" applyNumberFormat="1" applyFont="1" applyFill="1"/>
    <xf numFmtId="166" fontId="6" fillId="5" borderId="0" xfId="1" applyNumberFormat="1" applyFont="1" applyFill="1"/>
    <xf numFmtId="166" fontId="8" fillId="5" borderId="1" xfId="1" applyNumberFormat="1" applyFont="1" applyFill="1" applyBorder="1"/>
    <xf numFmtId="166" fontId="6" fillId="4" borderId="0" xfId="1" applyNumberFormat="1" applyFont="1" applyFill="1" applyBorder="1"/>
    <xf numFmtId="166" fontId="6" fillId="4" borderId="0" xfId="1" applyNumberFormat="1" applyFont="1" applyFill="1"/>
    <xf numFmtId="166" fontId="6" fillId="5" borderId="0" xfId="1" applyNumberFormat="1" applyFont="1" applyFill="1" applyBorder="1"/>
    <xf numFmtId="166" fontId="8" fillId="5" borderId="2" xfId="1" applyNumberFormat="1" applyFont="1" applyFill="1" applyBorder="1"/>
    <xf numFmtId="166" fontId="6" fillId="2" borderId="0" xfId="1" applyNumberFormat="1" applyFont="1" applyFill="1" applyAlignment="1">
      <alignment horizontal="left"/>
    </xf>
    <xf numFmtId="2" fontId="6" fillId="2" borderId="0" xfId="0" applyNumberFormat="1" applyFont="1" applyFill="1" applyAlignment="1">
      <alignment horizontal="right"/>
    </xf>
    <xf numFmtId="166" fontId="6" fillId="5" borderId="1" xfId="1" applyNumberFormat="1" applyFont="1" applyFill="1" applyBorder="1"/>
    <xf numFmtId="165" fontId="6" fillId="4" borderId="0" xfId="0" applyNumberFormat="1" applyFont="1" applyFill="1" applyAlignment="1">
      <alignment horizontal="right"/>
    </xf>
    <xf numFmtId="165" fontId="6" fillId="4" borderId="0" xfId="0" applyNumberFormat="1" applyFont="1" applyFill="1" applyAlignment="1">
      <alignment horizontal="left"/>
    </xf>
    <xf numFmtId="165" fontId="6" fillId="4" borderId="0" xfId="0" applyNumberFormat="1" applyFont="1" applyFill="1"/>
    <xf numFmtId="10" fontId="6" fillId="2" borderId="0" xfId="0" applyNumberFormat="1" applyFont="1" applyFill="1"/>
    <xf numFmtId="166" fontId="6" fillId="5" borderId="2" xfId="1" applyNumberFormat="1" applyFont="1" applyFill="1" applyBorder="1"/>
    <xf numFmtId="166" fontId="0" fillId="5" borderId="0" xfId="1" applyNumberFormat="1" applyFont="1" applyFill="1"/>
    <xf numFmtId="166" fontId="6" fillId="2" borderId="0" xfId="1" applyNumberFormat="1" applyFont="1" applyFill="1" applyAlignment="1">
      <alignment horizontal="right"/>
    </xf>
    <xf numFmtId="166" fontId="6" fillId="5" borderId="0" xfId="0" applyNumberFormat="1" applyFont="1" applyFill="1"/>
    <xf numFmtId="166" fontId="0" fillId="5" borderId="0" xfId="0" applyNumberFormat="1" applyFill="1"/>
    <xf numFmtId="166" fontId="6" fillId="4" borderId="0" xfId="0" applyNumberFormat="1" applyFont="1" applyFill="1"/>
    <xf numFmtId="9" fontId="6" fillId="2" borderId="0" xfId="2" applyFont="1" applyFill="1" applyAlignment="1">
      <alignment horizontal="right"/>
    </xf>
    <xf numFmtId="0" fontId="5" fillId="4" borderId="0" xfId="0" applyFont="1" applyFill="1"/>
    <xf numFmtId="164" fontId="6" fillId="4" borderId="0" xfId="0" applyNumberFormat="1" applyFont="1" applyFill="1" applyAlignment="1">
      <alignment horizontal="right"/>
    </xf>
    <xf numFmtId="9" fontId="6" fillId="4" borderId="0" xfId="0" applyNumberFormat="1" applyFont="1" applyFill="1"/>
    <xf numFmtId="0" fontId="0" fillId="3" borderId="4" xfId="0" applyFill="1" applyBorder="1"/>
    <xf numFmtId="0" fontId="2" fillId="3" borderId="5" xfId="0" applyFont="1" applyFill="1" applyBorder="1"/>
    <xf numFmtId="0" fontId="0" fillId="3" borderId="5" xfId="0" applyFill="1" applyBorder="1"/>
    <xf numFmtId="0" fontId="0" fillId="3" borderId="6" xfId="0" applyFill="1" applyBorder="1"/>
    <xf numFmtId="0" fontId="6" fillId="5" borderId="7" xfId="0" applyFont="1" applyFill="1" applyBorder="1"/>
    <xf numFmtId="14" fontId="6" fillId="5" borderId="0" xfId="0" applyNumberFormat="1" applyFont="1" applyFill="1"/>
    <xf numFmtId="0" fontId="6" fillId="5" borderId="8" xfId="0" applyFont="1" applyFill="1" applyBorder="1"/>
    <xf numFmtId="166" fontId="8" fillId="5" borderId="0" xfId="1" applyNumberFormat="1" applyFont="1" applyFill="1" applyBorder="1"/>
    <xf numFmtId="0" fontId="6" fillId="5" borderId="9" xfId="0" applyFont="1" applyFill="1" applyBorder="1"/>
    <xf numFmtId="0" fontId="8" fillId="5" borderId="10" xfId="0" applyFont="1" applyFill="1" applyBorder="1"/>
    <xf numFmtId="0" fontId="6" fillId="5" borderId="10" xfId="0" applyFont="1" applyFill="1" applyBorder="1"/>
    <xf numFmtId="166" fontId="8" fillId="5" borderId="10" xfId="1" applyNumberFormat="1" applyFont="1" applyFill="1" applyBorder="1"/>
    <xf numFmtId="0" fontId="6" fillId="5" borderId="11" xfId="0" applyFont="1" applyFill="1" applyBorder="1"/>
    <xf numFmtId="14" fontId="8" fillId="5" borderId="0" xfId="0" applyNumberFormat="1" applyFont="1" applyFill="1" applyAlignment="1">
      <alignment horizontal="right"/>
    </xf>
    <xf numFmtId="0" fontId="6" fillId="5" borderId="0" xfId="0" applyFont="1" applyFill="1" applyAlignment="1">
      <alignment horizontal="right"/>
    </xf>
    <xf numFmtId="9" fontId="8" fillId="5" borderId="0" xfId="0" applyNumberFormat="1" applyFont="1" applyFill="1"/>
    <xf numFmtId="1" fontId="8" fillId="5" borderId="0" xfId="0" applyNumberFormat="1" applyFont="1" applyFill="1"/>
    <xf numFmtId="0" fontId="0" fillId="5" borderId="7" xfId="0" applyFill="1" applyBorder="1"/>
    <xf numFmtId="0" fontId="0" fillId="5" borderId="8" xfId="0" applyFill="1" applyBorder="1"/>
    <xf numFmtId="0" fontId="4" fillId="4" borderId="0" xfId="0" applyFont="1" applyFill="1"/>
    <xf numFmtId="164" fontId="4" fillId="4" borderId="0" xfId="0" applyNumberFormat="1" applyFont="1" applyFill="1"/>
    <xf numFmtId="43" fontId="6" fillId="2" borderId="0" xfId="1" applyFont="1" applyFill="1" applyAlignment="1">
      <alignment horizontal="left"/>
    </xf>
    <xf numFmtId="0" fontId="10" fillId="2" borderId="0" xfId="0" applyFont="1" applyFill="1"/>
    <xf numFmtId="9" fontId="6" fillId="4" borderId="0" xfId="0" applyNumberFormat="1" applyFont="1" applyFill="1" applyAlignment="1">
      <alignment horizontal="left"/>
    </xf>
    <xf numFmtId="0" fontId="5" fillId="5" borderId="0" xfId="0" applyFont="1" applyFill="1"/>
    <xf numFmtId="9" fontId="8" fillId="5" borderId="0" xfId="2" applyFont="1" applyFill="1" applyBorder="1"/>
    <xf numFmtId="173" fontId="8" fillId="5" borderId="0" xfId="2" applyNumberFormat="1" applyFont="1" applyFill="1" applyBorder="1"/>
    <xf numFmtId="0" fontId="8" fillId="5" borderId="0" xfId="0" applyFont="1" applyFill="1" applyAlignment="1">
      <alignment horizontal="right"/>
    </xf>
    <xf numFmtId="164" fontId="17" fillId="4" borderId="0" xfId="0" applyNumberFormat="1" applyFont="1" applyFill="1"/>
    <xf numFmtId="0" fontId="17" fillId="2" borderId="0" xfId="0" applyFont="1" applyFill="1"/>
    <xf numFmtId="43" fontId="6" fillId="2" borderId="0" xfId="1" applyFont="1" applyFill="1"/>
    <xf numFmtId="0" fontId="6" fillId="2" borderId="0" xfId="0" applyFont="1" applyFill="1" applyAlignment="1">
      <alignment horizontal="left" vertical="center" indent="1"/>
    </xf>
    <xf numFmtId="0" fontId="18" fillId="2" borderId="0" xfId="0" applyFont="1" applyFill="1"/>
    <xf numFmtId="0" fontId="9" fillId="2" borderId="0" xfId="0" applyFont="1" applyFill="1"/>
    <xf numFmtId="164" fontId="10" fillId="2" borderId="0" xfId="0" applyNumberFormat="1" applyFont="1" applyFill="1" applyAlignment="1">
      <alignment horizontal="right"/>
    </xf>
    <xf numFmtId="1" fontId="10" fillId="2" borderId="0" xfId="0" applyNumberFormat="1" applyFont="1" applyFill="1" applyAlignment="1">
      <alignment horizontal="right"/>
    </xf>
    <xf numFmtId="166" fontId="10" fillId="2" borderId="0" xfId="1" applyNumberFormat="1" applyFont="1" applyFill="1"/>
    <xf numFmtId="9" fontId="10" fillId="2" borderId="0" xfId="2" applyFont="1" applyFill="1"/>
    <xf numFmtId="165" fontId="10" fillId="2" borderId="0" xfId="0" applyNumberFormat="1" applyFont="1" applyFill="1"/>
    <xf numFmtId="166" fontId="10" fillId="2" borderId="0" xfId="0" applyNumberFormat="1" applyFont="1" applyFill="1"/>
    <xf numFmtId="2" fontId="10" fillId="2" borderId="0" xfId="0" applyNumberFormat="1" applyFont="1" applyFill="1"/>
    <xf numFmtId="9" fontId="10" fillId="2" borderId="0" xfId="0" applyNumberFormat="1" applyFont="1" applyFill="1"/>
    <xf numFmtId="43" fontId="10" fillId="2" borderId="0" xfId="0" applyNumberFormat="1" applyFont="1" applyFill="1"/>
    <xf numFmtId="0" fontId="0" fillId="4" borderId="7" xfId="0" applyFill="1" applyBorder="1"/>
    <xf numFmtId="0" fontId="0" fillId="4" borderId="8" xfId="0" applyFill="1" applyBorder="1"/>
    <xf numFmtId="0" fontId="20" fillId="4" borderId="0" xfId="0" applyFont="1" applyFill="1"/>
    <xf numFmtId="9" fontId="3" fillId="4" borderId="0" xfId="0" applyNumberFormat="1" applyFont="1" applyFill="1"/>
    <xf numFmtId="0" fontId="3" fillId="4" borderId="0" xfId="0" applyFont="1" applyFill="1"/>
    <xf numFmtId="173" fontId="8" fillId="5" borderId="0" xfId="0" applyNumberFormat="1" applyFont="1" applyFill="1"/>
    <xf numFmtId="167" fontId="8" fillId="5" borderId="0" xfId="1" applyNumberFormat="1" applyFont="1" applyFill="1" applyBorder="1" applyAlignment="1">
      <alignment horizontal="left"/>
    </xf>
    <xf numFmtId="166" fontId="8" fillId="5" borderId="0" xfId="1" applyNumberFormat="1" applyFont="1" applyFill="1" applyBorder="1" applyAlignment="1">
      <alignment horizontal="left"/>
    </xf>
    <xf numFmtId="167" fontId="8" fillId="5" borderId="10" xfId="1" applyNumberFormat="1" applyFont="1" applyFill="1" applyBorder="1" applyAlignment="1">
      <alignment horizontal="left"/>
    </xf>
    <xf numFmtId="0" fontId="6" fillId="7" borderId="0" xfId="0" applyFont="1" applyFill="1"/>
    <xf numFmtId="9" fontId="6" fillId="7" borderId="0" xfId="0" applyNumberFormat="1" applyFont="1" applyFill="1" applyAlignment="1">
      <alignment horizontal="left"/>
    </xf>
    <xf numFmtId="0" fontId="6" fillId="4" borderId="0" xfId="0" applyFont="1" applyFill="1" applyAlignment="1">
      <alignment horizontal="left"/>
    </xf>
    <xf numFmtId="166" fontId="17" fillId="5" borderId="0" xfId="0" applyNumberFormat="1" applyFont="1" applyFill="1"/>
    <xf numFmtId="173" fontId="6" fillId="4" borderId="0" xfId="0" applyNumberFormat="1" applyFont="1" applyFill="1" applyAlignment="1">
      <alignment horizontal="left"/>
    </xf>
    <xf numFmtId="167" fontId="6" fillId="2" borderId="0" xfId="1" applyNumberFormat="1" applyFont="1" applyFill="1"/>
    <xf numFmtId="166" fontId="17" fillId="2" borderId="0" xfId="1" applyNumberFormat="1" applyFont="1" applyFill="1"/>
    <xf numFmtId="0" fontId="6" fillId="2" borderId="0" xfId="0" applyFont="1" applyFill="1" applyAlignment="1">
      <alignment horizontal="left" vertical="top" wrapText="1"/>
    </xf>
    <xf numFmtId="0" fontId="6" fillId="2" borderId="0" xfId="0" applyFont="1" applyFill="1" applyAlignment="1">
      <alignment horizontal="left" vertical="top"/>
    </xf>
    <xf numFmtId="0" fontId="6" fillId="2" borderId="0" xfId="0" applyFont="1" applyFill="1" applyAlignment="1">
      <alignment horizontal="left" vertical="center"/>
    </xf>
    <xf numFmtId="0" fontId="6" fillId="9" borderId="0" xfId="0" applyFont="1" applyFill="1"/>
    <xf numFmtId="3" fontId="6" fillId="4" borderId="0" xfId="0" applyNumberFormat="1" applyFont="1" applyFill="1" applyAlignment="1">
      <alignment horizontal="left"/>
    </xf>
    <xf numFmtId="164" fontId="6" fillId="4" borderId="0" xfId="0" applyNumberFormat="1" applyFont="1" applyFill="1"/>
    <xf numFmtId="3" fontId="6" fillId="2" borderId="0" xfId="0" applyNumberFormat="1" applyFont="1" applyFill="1"/>
    <xf numFmtId="165" fontId="6" fillId="2" borderId="0" xfId="0" applyNumberFormat="1" applyFont="1" applyFill="1"/>
    <xf numFmtId="0" fontId="5" fillId="2" borderId="0" xfId="0" applyFont="1" applyFill="1" applyAlignment="1">
      <alignment horizontal="left" indent="2"/>
    </xf>
    <xf numFmtId="43" fontId="6" fillId="2" borderId="0" xfId="1" applyFont="1" applyFill="1" applyAlignment="1">
      <alignment horizontal="right"/>
    </xf>
    <xf numFmtId="0" fontId="5" fillId="4" borderId="0" xfId="0" applyFont="1" applyFill="1" applyAlignment="1">
      <alignment horizontal="left" indent="2"/>
    </xf>
    <xf numFmtId="10" fontId="10" fillId="2" borderId="0" xfId="2" applyNumberFormat="1" applyFont="1" applyFill="1"/>
    <xf numFmtId="10" fontId="22" fillId="2" borderId="18" xfId="0" applyNumberFormat="1" applyFont="1" applyFill="1" applyBorder="1" applyAlignment="1">
      <alignment horizontal="left"/>
    </xf>
    <xf numFmtId="0" fontId="3" fillId="2" borderId="17" xfId="0" applyFont="1" applyFill="1" applyBorder="1" applyAlignment="1">
      <alignment horizontal="right"/>
    </xf>
    <xf numFmtId="0" fontId="0" fillId="5" borderId="0" xfId="0" applyFill="1" applyAlignment="1">
      <alignment horizontal="left" vertical="top" wrapText="1"/>
    </xf>
    <xf numFmtId="0" fontId="0" fillId="10" borderId="0" xfId="0" applyFill="1"/>
    <xf numFmtId="0" fontId="4" fillId="10" borderId="0" xfId="0" applyFont="1" applyFill="1"/>
    <xf numFmtId="0" fontId="0" fillId="2" borderId="7" xfId="0" applyFill="1" applyBorder="1"/>
    <xf numFmtId="0" fontId="0" fillId="2" borderId="8" xfId="0" applyFill="1" applyBorder="1"/>
    <xf numFmtId="0" fontId="0" fillId="2" borderId="9" xfId="0" applyFill="1" applyBorder="1"/>
    <xf numFmtId="0" fontId="0" fillId="2" borderId="11" xfId="0" applyFill="1" applyBorder="1"/>
    <xf numFmtId="0" fontId="6" fillId="5" borderId="0" xfId="0" applyFont="1" applyFill="1" applyAlignment="1">
      <alignment horizontal="center"/>
    </xf>
    <xf numFmtId="0" fontId="6" fillId="5" borderId="0" xfId="0" applyFont="1" applyFill="1" applyAlignment="1">
      <alignment horizontal="left" vertical="center"/>
    </xf>
    <xf numFmtId="0" fontId="8" fillId="5" borderId="0" xfId="0" applyFont="1" applyFill="1" applyAlignment="1">
      <alignment horizontal="left" vertical="center"/>
    </xf>
    <xf numFmtId="10" fontId="22" fillId="2" borderId="0" xfId="0" applyNumberFormat="1" applyFont="1" applyFill="1" applyAlignment="1">
      <alignment horizontal="left"/>
    </xf>
    <xf numFmtId="0" fontId="3" fillId="2" borderId="0" xfId="0" applyFont="1" applyFill="1" applyAlignment="1">
      <alignment horizontal="right"/>
    </xf>
    <xf numFmtId="164" fontId="10" fillId="2" borderId="0" xfId="0" applyNumberFormat="1" applyFont="1" applyFill="1"/>
    <xf numFmtId="2" fontId="10" fillId="2" borderId="0" xfId="0" applyNumberFormat="1" applyFont="1" applyFill="1" applyAlignment="1">
      <alignment horizontal="right"/>
    </xf>
    <xf numFmtId="0" fontId="6" fillId="5" borderId="0" xfId="0" applyFont="1" applyFill="1" applyAlignment="1">
      <alignment horizontal="left" indent="2"/>
    </xf>
    <xf numFmtId="0" fontId="6" fillId="5" borderId="0" xfId="0" applyFont="1" applyFill="1" applyAlignment="1">
      <alignment horizontal="left"/>
    </xf>
    <xf numFmtId="1" fontId="6" fillId="5" borderId="0" xfId="0" applyNumberFormat="1" applyFont="1" applyFill="1" applyAlignment="1">
      <alignment horizontal="center"/>
    </xf>
    <xf numFmtId="0" fontId="6" fillId="5" borderId="8" xfId="0" applyFont="1" applyFill="1" applyBorder="1" applyAlignment="1">
      <alignment horizontal="center"/>
    </xf>
    <xf numFmtId="0" fontId="6" fillId="5" borderId="19" xfId="0" applyFont="1" applyFill="1" applyBorder="1" applyAlignment="1">
      <alignment horizontal="center"/>
    </xf>
    <xf numFmtId="1" fontId="6" fillId="5" borderId="19" xfId="0" applyNumberFormat="1" applyFont="1" applyFill="1" applyBorder="1" applyAlignment="1">
      <alignment horizontal="center"/>
    </xf>
    <xf numFmtId="173" fontId="6" fillId="5" borderId="19" xfId="2" applyNumberFormat="1" applyFont="1" applyFill="1" applyBorder="1" applyAlignment="1">
      <alignment horizontal="center"/>
    </xf>
    <xf numFmtId="10" fontId="6" fillId="5" borderId="19" xfId="0" applyNumberFormat="1" applyFont="1" applyFill="1" applyBorder="1" applyAlignment="1">
      <alignment horizontal="center"/>
    </xf>
    <xf numFmtId="10" fontId="6" fillId="5" borderId="20" xfId="0" applyNumberFormat="1" applyFont="1" applyFill="1" applyBorder="1" applyAlignment="1">
      <alignment horizontal="center"/>
    </xf>
    <xf numFmtId="0" fontId="6" fillId="5" borderId="21" xfId="0" applyFont="1" applyFill="1" applyBorder="1"/>
    <xf numFmtId="0" fontId="6" fillId="5" borderId="21" xfId="0" applyFont="1" applyFill="1" applyBorder="1" applyAlignment="1">
      <alignment horizontal="left" vertical="top" wrapText="1"/>
    </xf>
    <xf numFmtId="0" fontId="6" fillId="5" borderId="23" xfId="0" applyFont="1" applyFill="1" applyBorder="1" applyAlignment="1">
      <alignment horizontal="center"/>
    </xf>
    <xf numFmtId="0" fontId="8" fillId="5" borderId="8" xfId="0" applyFont="1" applyFill="1" applyBorder="1"/>
    <xf numFmtId="0" fontId="8" fillId="5" borderId="11" xfId="0" applyFont="1" applyFill="1" applyBorder="1"/>
    <xf numFmtId="0" fontId="6" fillId="5" borderId="10" xfId="0" applyFont="1" applyFill="1" applyBorder="1" applyAlignment="1">
      <alignment horizontal="left" indent="2"/>
    </xf>
    <xf numFmtId="0" fontId="6" fillId="5" borderId="11" xfId="0" applyFont="1" applyFill="1" applyBorder="1" applyAlignment="1">
      <alignment horizontal="left" vertical="center"/>
    </xf>
    <xf numFmtId="0" fontId="0" fillId="3" borderId="6" xfId="0" applyFill="1" applyBorder="1" applyAlignment="1">
      <alignment horizontal="left" vertical="center"/>
    </xf>
    <xf numFmtId="9" fontId="6" fillId="5" borderId="0" xfId="0" applyNumberFormat="1" applyFont="1" applyFill="1" applyAlignment="1">
      <alignment horizontal="center"/>
    </xf>
    <xf numFmtId="0" fontId="6" fillId="5" borderId="10" xfId="0" applyFont="1" applyFill="1" applyBorder="1" applyAlignment="1">
      <alignment horizontal="center"/>
    </xf>
    <xf numFmtId="0" fontId="0" fillId="3" borderId="5" xfId="0" applyFill="1" applyBorder="1" applyAlignment="1">
      <alignment horizontal="center"/>
    </xf>
    <xf numFmtId="3" fontId="6" fillId="5" borderId="0" xfId="0" applyNumberFormat="1" applyFont="1" applyFill="1" applyAlignment="1">
      <alignment horizontal="center"/>
    </xf>
    <xf numFmtId="10" fontId="6" fillId="5" borderId="10" xfId="0" applyNumberFormat="1" applyFont="1" applyFill="1" applyBorder="1" applyAlignment="1">
      <alignment horizontal="center"/>
    </xf>
    <xf numFmtId="3" fontId="6" fillId="5" borderId="0" xfId="1" applyNumberFormat="1" applyFont="1" applyFill="1" applyBorder="1" applyAlignment="1">
      <alignment horizontal="center"/>
    </xf>
    <xf numFmtId="10" fontId="6" fillId="4" borderId="0" xfId="0" applyNumberFormat="1" applyFont="1" applyFill="1" applyAlignment="1">
      <alignment horizontal="left"/>
    </xf>
    <xf numFmtId="0" fontId="6" fillId="2" borderId="0" xfId="0" applyFont="1" applyFill="1" applyAlignment="1">
      <alignment vertical="center"/>
    </xf>
    <xf numFmtId="10" fontId="6" fillId="5" borderId="0" xfId="2" applyNumberFormat="1" applyFont="1" applyFill="1" applyBorder="1" applyAlignment="1">
      <alignment horizontal="center"/>
    </xf>
    <xf numFmtId="0" fontId="6" fillId="5" borderId="10" xfId="0" applyFont="1" applyFill="1" applyBorder="1" applyAlignment="1">
      <alignment horizontal="left" vertical="center"/>
    </xf>
    <xf numFmtId="0" fontId="8" fillId="5" borderId="10" xfId="0" applyFont="1" applyFill="1" applyBorder="1" applyAlignment="1">
      <alignment horizontal="left" vertical="center"/>
    </xf>
    <xf numFmtId="0" fontId="24" fillId="4" borderId="0" xfId="0" applyFont="1" applyFill="1"/>
    <xf numFmtId="10" fontId="6" fillId="4" borderId="0" xfId="0" applyNumberFormat="1" applyFont="1" applyFill="1"/>
    <xf numFmtId="0" fontId="6" fillId="11" borderId="0" xfId="0" applyFont="1" applyFill="1"/>
    <xf numFmtId="3" fontId="6" fillId="11" borderId="0" xfId="0" applyNumberFormat="1" applyFont="1" applyFill="1" applyAlignment="1">
      <alignment horizontal="center"/>
    </xf>
    <xf numFmtId="0" fontId="6" fillId="7" borderId="0" xfId="0" applyFont="1" applyFill="1" applyAlignment="1">
      <alignment horizontal="center"/>
    </xf>
    <xf numFmtId="0" fontId="16" fillId="7" borderId="0" xfId="0" applyFont="1" applyFill="1" applyAlignment="1">
      <alignment horizontal="center"/>
    </xf>
    <xf numFmtId="173" fontId="6" fillId="4" borderId="0" xfId="0" applyNumberFormat="1" applyFont="1" applyFill="1" applyAlignment="1">
      <alignment horizontal="center"/>
    </xf>
    <xf numFmtId="9" fontId="6" fillId="4" borderId="0" xfId="0" applyNumberFormat="1" applyFont="1" applyFill="1" applyAlignment="1">
      <alignment horizontal="center"/>
    </xf>
    <xf numFmtId="0" fontId="6" fillId="11" borderId="0" xfId="0" applyFont="1" applyFill="1" applyAlignment="1">
      <alignment horizontal="center"/>
    </xf>
    <xf numFmtId="0" fontId="6" fillId="4" borderId="0" xfId="0" applyFont="1" applyFill="1" applyAlignment="1">
      <alignment horizontal="center"/>
    </xf>
    <xf numFmtId="0" fontId="6" fillId="2" borderId="0" xfId="0" applyFont="1" applyFill="1" applyAlignment="1">
      <alignment horizontal="center"/>
    </xf>
    <xf numFmtId="9" fontId="6" fillId="11" borderId="0" xfId="0" applyNumberFormat="1" applyFont="1" applyFill="1" applyAlignment="1">
      <alignment horizontal="center"/>
    </xf>
    <xf numFmtId="3" fontId="6" fillId="11" borderId="0" xfId="1" applyNumberFormat="1" applyFont="1" applyFill="1" applyBorder="1" applyAlignment="1">
      <alignment horizontal="center"/>
    </xf>
    <xf numFmtId="0" fontId="16" fillId="7" borderId="0" xfId="0" applyFont="1" applyFill="1" applyAlignment="1">
      <alignment horizontal="center" vertical="top"/>
    </xf>
    <xf numFmtId="37" fontId="6" fillId="11" borderId="0" xfId="1" applyNumberFormat="1" applyFont="1" applyFill="1" applyAlignment="1">
      <alignment horizontal="center"/>
    </xf>
    <xf numFmtId="9" fontId="6" fillId="7" borderId="0" xfId="0" applyNumberFormat="1" applyFont="1" applyFill="1" applyAlignment="1">
      <alignment horizontal="center"/>
    </xf>
    <xf numFmtId="9" fontId="6" fillId="7" borderId="0" xfId="2" applyFont="1" applyFill="1" applyAlignment="1">
      <alignment horizontal="center"/>
    </xf>
    <xf numFmtId="0" fontId="0" fillId="2" borderId="0" xfId="0" applyFill="1" applyAlignment="1">
      <alignment horizontal="center"/>
    </xf>
    <xf numFmtId="3" fontId="6" fillId="7" borderId="0" xfId="0" applyNumberFormat="1" applyFont="1" applyFill="1" applyAlignment="1">
      <alignment horizontal="center"/>
    </xf>
    <xf numFmtId="3" fontId="6" fillId="4" borderId="0" xfId="0" applyNumberFormat="1" applyFont="1" applyFill="1" applyAlignment="1">
      <alignment horizontal="center"/>
    </xf>
    <xf numFmtId="1" fontId="6" fillId="4" borderId="0" xfId="0" applyNumberFormat="1" applyFont="1" applyFill="1" applyAlignment="1">
      <alignment horizontal="center"/>
    </xf>
    <xf numFmtId="2" fontId="6" fillId="7" borderId="0" xfId="0" applyNumberFormat="1" applyFont="1" applyFill="1" applyAlignment="1">
      <alignment horizontal="center"/>
    </xf>
    <xf numFmtId="9" fontId="6" fillId="2" borderId="0" xfId="0" applyNumberFormat="1" applyFont="1" applyFill="1" applyAlignment="1">
      <alignment horizontal="center"/>
    </xf>
    <xf numFmtId="0" fontId="0" fillId="3" borderId="0" xfId="0" applyFill="1" applyAlignment="1">
      <alignment horizontal="center"/>
    </xf>
    <xf numFmtId="165" fontId="6" fillId="4" borderId="0" xfId="0" applyNumberFormat="1" applyFont="1" applyFill="1" applyAlignment="1">
      <alignment horizontal="center"/>
    </xf>
    <xf numFmtId="10" fontId="6" fillId="7" borderId="0" xfId="0" applyNumberFormat="1" applyFont="1" applyFill="1" applyAlignment="1">
      <alignment horizontal="center" vertical="center"/>
    </xf>
    <xf numFmtId="2" fontId="24" fillId="4" borderId="0" xfId="0" applyNumberFormat="1" applyFont="1" applyFill="1" applyAlignment="1">
      <alignment horizontal="center"/>
    </xf>
    <xf numFmtId="1" fontId="6" fillId="7" borderId="0" xfId="0" applyNumberFormat="1" applyFont="1" applyFill="1" applyAlignment="1">
      <alignment horizontal="center"/>
    </xf>
    <xf numFmtId="2" fontId="24" fillId="7" borderId="0" xfId="0" applyNumberFormat="1" applyFont="1" applyFill="1" applyAlignment="1">
      <alignment horizontal="center"/>
    </xf>
    <xf numFmtId="10" fontId="6" fillId="7" borderId="0" xfId="0" applyNumberFormat="1" applyFont="1" applyFill="1" applyAlignment="1">
      <alignment horizontal="center"/>
    </xf>
    <xf numFmtId="10" fontId="6" fillId="4" borderId="0" xfId="0" applyNumberFormat="1" applyFont="1" applyFill="1" applyAlignment="1">
      <alignment horizontal="center"/>
    </xf>
    <xf numFmtId="0" fontId="0" fillId="4" borderId="0" xfId="0" applyFill="1" applyAlignment="1">
      <alignment horizontal="center"/>
    </xf>
    <xf numFmtId="164" fontId="6" fillId="7" borderId="0" xfId="0" applyNumberFormat="1" applyFont="1" applyFill="1" applyAlignment="1">
      <alignment horizontal="center"/>
    </xf>
    <xf numFmtId="10" fontId="6" fillId="11" borderId="0" xfId="0" applyNumberFormat="1" applyFont="1" applyFill="1" applyAlignment="1">
      <alignment horizontal="center"/>
    </xf>
    <xf numFmtId="165" fontId="6" fillId="11" borderId="0" xfId="0" applyNumberFormat="1" applyFont="1" applyFill="1" applyAlignment="1">
      <alignment horizontal="center"/>
    </xf>
    <xf numFmtId="0" fontId="24" fillId="4" borderId="0" xfId="0" applyFont="1" applyFill="1" applyAlignment="1">
      <alignment horizontal="center"/>
    </xf>
    <xf numFmtId="9" fontId="6" fillId="2" borderId="0" xfId="0" applyNumberFormat="1" applyFont="1" applyFill="1" applyAlignment="1">
      <alignment horizontal="left" vertical="center"/>
    </xf>
    <xf numFmtId="9" fontId="6" fillId="11" borderId="0" xfId="2" applyFont="1" applyFill="1" applyBorder="1" applyAlignment="1">
      <alignment horizontal="center"/>
    </xf>
    <xf numFmtId="0" fontId="6" fillId="2" borderId="0" xfId="0" applyFont="1" applyFill="1" applyAlignment="1">
      <alignment horizontal="left" vertical="center" indent="2"/>
    </xf>
    <xf numFmtId="9" fontId="6" fillId="4" borderId="0" xfId="2" applyFont="1" applyFill="1" applyAlignment="1">
      <alignment horizontal="center"/>
    </xf>
    <xf numFmtId="43" fontId="6" fillId="2" borderId="0" xfId="0" applyNumberFormat="1" applyFont="1" applyFill="1"/>
    <xf numFmtId="175" fontId="6" fillId="4" borderId="0" xfId="0" applyNumberFormat="1" applyFont="1" applyFill="1" applyAlignment="1">
      <alignment horizontal="center"/>
    </xf>
    <xf numFmtId="0" fontId="26" fillId="2" borderId="0" xfId="0" applyFont="1" applyFill="1" applyAlignment="1">
      <alignment horizontal="left" vertical="center" indent="1"/>
    </xf>
    <xf numFmtId="0" fontId="6" fillId="4" borderId="0" xfId="0" applyFont="1" applyFill="1" applyAlignment="1">
      <alignment horizontal="left" vertical="center" indent="2"/>
    </xf>
    <xf numFmtId="1" fontId="6" fillId="11" borderId="0" xfId="0" applyNumberFormat="1" applyFont="1" applyFill="1" applyAlignment="1">
      <alignment horizontal="center"/>
    </xf>
    <xf numFmtId="3" fontId="6" fillId="2" borderId="0" xfId="0" applyNumberFormat="1" applyFont="1" applyFill="1" applyAlignment="1">
      <alignment horizontal="center"/>
    </xf>
    <xf numFmtId="0" fontId="16" fillId="2" borderId="0" xfId="0" applyFont="1" applyFill="1" applyAlignment="1">
      <alignment horizontal="center"/>
    </xf>
    <xf numFmtId="0" fontId="17" fillId="2" borderId="0" xfId="0" applyFont="1" applyFill="1" applyAlignment="1">
      <alignment horizontal="center"/>
    </xf>
    <xf numFmtId="0" fontId="17" fillId="4" borderId="0" xfId="0" applyFont="1" applyFill="1" applyAlignment="1">
      <alignment horizontal="center"/>
    </xf>
    <xf numFmtId="2" fontId="16" fillId="2" borderId="0" xfId="0" applyNumberFormat="1" applyFont="1" applyFill="1" applyAlignment="1">
      <alignment horizontal="center"/>
    </xf>
    <xf numFmtId="9" fontId="17" fillId="2" borderId="0" xfId="2" applyFont="1" applyFill="1" applyAlignment="1">
      <alignment horizontal="center"/>
    </xf>
    <xf numFmtId="165" fontId="6" fillId="2" borderId="0" xfId="0" applyNumberFormat="1" applyFont="1" applyFill="1" applyAlignment="1">
      <alignment horizontal="center"/>
    </xf>
    <xf numFmtId="166" fontId="17" fillId="2" borderId="0" xfId="1" applyNumberFormat="1" applyFont="1" applyFill="1" applyAlignment="1">
      <alignment horizontal="center"/>
    </xf>
    <xf numFmtId="164" fontId="17" fillId="2" borderId="0" xfId="0" applyNumberFormat="1" applyFont="1" applyFill="1" applyAlignment="1">
      <alignment horizontal="center"/>
    </xf>
    <xf numFmtId="10" fontId="17" fillId="2" borderId="0" xfId="0" applyNumberFormat="1" applyFont="1" applyFill="1" applyAlignment="1">
      <alignment horizontal="center"/>
    </xf>
    <xf numFmtId="164" fontId="6" fillId="2" borderId="0" xfId="0" applyNumberFormat="1" applyFont="1" applyFill="1" applyAlignment="1">
      <alignment vertical="center"/>
    </xf>
    <xf numFmtId="1" fontId="6" fillId="4" borderId="0" xfId="0" applyNumberFormat="1" applyFont="1" applyFill="1" applyAlignment="1">
      <alignment horizontal="right"/>
    </xf>
    <xf numFmtId="0" fontId="6" fillId="4" borderId="0" xfId="0" applyFont="1" applyFill="1" applyAlignment="1">
      <alignment horizontal="left" indent="2"/>
    </xf>
    <xf numFmtId="3" fontId="6" fillId="7" borderId="0" xfId="1" applyNumberFormat="1" applyFont="1" applyFill="1" applyAlignment="1">
      <alignment horizontal="center"/>
    </xf>
    <xf numFmtId="2" fontId="17" fillId="2" borderId="0" xfId="0" applyNumberFormat="1" applyFont="1" applyFill="1" applyAlignment="1">
      <alignment horizontal="right"/>
    </xf>
    <xf numFmtId="2" fontId="6" fillId="2" borderId="0" xfId="0" applyNumberFormat="1" applyFont="1" applyFill="1" applyAlignment="1">
      <alignment horizontal="center"/>
    </xf>
    <xf numFmtId="9" fontId="0" fillId="10" borderId="0" xfId="0" applyNumberFormat="1" applyFill="1"/>
    <xf numFmtId="0" fontId="21" fillId="5" borderId="0" xfId="0" applyFont="1" applyFill="1"/>
    <xf numFmtId="0" fontId="4" fillId="5" borderId="0" xfId="0" applyFont="1" applyFill="1" applyAlignment="1">
      <alignment horizontal="center"/>
    </xf>
    <xf numFmtId="165" fontId="8" fillId="5" borderId="0" xfId="0" applyNumberFormat="1" applyFont="1" applyFill="1"/>
    <xf numFmtId="165" fontId="8" fillId="5" borderId="0" xfId="1" applyNumberFormat="1" applyFont="1" applyFill="1" applyBorder="1"/>
    <xf numFmtId="3" fontId="6" fillId="7" borderId="0" xfId="0" applyNumberFormat="1" applyFont="1" applyFill="1" applyAlignment="1">
      <alignment horizontal="left"/>
    </xf>
    <xf numFmtId="9" fontId="6" fillId="11" borderId="0" xfId="2" applyFont="1" applyFill="1" applyAlignment="1">
      <alignment horizontal="center" vertical="center"/>
    </xf>
    <xf numFmtId="2" fontId="6" fillId="7" borderId="0" xfId="0" applyNumberFormat="1" applyFont="1" applyFill="1" applyAlignment="1">
      <alignment horizontal="center" vertical="center"/>
    </xf>
    <xf numFmtId="9" fontId="6" fillId="7" borderId="0" xfId="0" applyNumberFormat="1" applyFont="1" applyFill="1" applyAlignment="1">
      <alignment horizontal="center" vertical="center"/>
    </xf>
    <xf numFmtId="10" fontId="6" fillId="2" borderId="0" xfId="2" applyNumberFormat="1" applyFont="1" applyFill="1" applyAlignment="1">
      <alignment horizontal="right"/>
    </xf>
    <xf numFmtId="3" fontId="6" fillId="2" borderId="0" xfId="1" applyNumberFormat="1" applyFont="1" applyFill="1" applyAlignment="1">
      <alignment horizontal="right"/>
    </xf>
    <xf numFmtId="2" fontId="4" fillId="3" borderId="0" xfId="0" applyNumberFormat="1" applyFont="1" applyFill="1"/>
    <xf numFmtId="10" fontId="6" fillId="5" borderId="8" xfId="0" applyNumberFormat="1" applyFont="1" applyFill="1" applyBorder="1" applyAlignment="1">
      <alignment horizontal="center"/>
    </xf>
    <xf numFmtId="2" fontId="6" fillId="5" borderId="0" xfId="0" applyNumberFormat="1" applyFont="1" applyFill="1" applyAlignment="1">
      <alignment horizontal="center"/>
    </xf>
    <xf numFmtId="37" fontId="6" fillId="5" borderId="0" xfId="1" applyNumberFormat="1" applyFont="1" applyFill="1" applyBorder="1" applyAlignment="1">
      <alignment horizontal="center"/>
    </xf>
    <xf numFmtId="0" fontId="0" fillId="5" borderId="9" xfId="0" applyFill="1" applyBorder="1"/>
    <xf numFmtId="0" fontId="0" fillId="5" borderId="10" xfId="0" applyFill="1" applyBorder="1"/>
    <xf numFmtId="0" fontId="0" fillId="5" borderId="11" xfId="0" applyFill="1" applyBorder="1"/>
    <xf numFmtId="14" fontId="4" fillId="3" borderId="0" xfId="0" applyNumberFormat="1" applyFont="1" applyFill="1" applyAlignment="1">
      <alignment horizontal="center" vertical="center"/>
    </xf>
    <xf numFmtId="0" fontId="4" fillId="3" borderId="0" xfId="0" applyFont="1" applyFill="1" applyAlignment="1">
      <alignment horizontal="center"/>
    </xf>
    <xf numFmtId="0" fontId="4" fillId="3" borderId="0" xfId="0" applyFont="1" applyFill="1" applyAlignment="1">
      <alignment horizontal="right" vertical="center"/>
    </xf>
    <xf numFmtId="0" fontId="6" fillId="4" borderId="0" xfId="0" applyFont="1" applyFill="1" applyAlignment="1">
      <alignment vertical="center"/>
    </xf>
    <xf numFmtId="1" fontId="17" fillId="2" borderId="0" xfId="0" applyNumberFormat="1" applyFont="1" applyFill="1"/>
    <xf numFmtId="43" fontId="6" fillId="4" borderId="0" xfId="0" applyNumberFormat="1" applyFont="1" applyFill="1" applyAlignment="1">
      <alignment horizontal="center"/>
    </xf>
    <xf numFmtId="0" fontId="19" fillId="4" borderId="0" xfId="0" applyFont="1" applyFill="1" applyAlignment="1">
      <alignment horizontal="left" vertical="top" wrapText="1"/>
    </xf>
    <xf numFmtId="0" fontId="6" fillId="0" borderId="0" xfId="0" applyFont="1" applyAlignment="1">
      <alignment horizontal="left" vertical="top" wrapText="1"/>
    </xf>
    <xf numFmtId="37" fontId="0" fillId="4" borderId="0" xfId="1" applyNumberFormat="1" applyFont="1" applyFill="1" applyAlignment="1">
      <alignment horizontal="center"/>
    </xf>
    <xf numFmtId="3" fontId="0" fillId="4" borderId="0" xfId="0" applyNumberFormat="1" applyFill="1" applyAlignment="1">
      <alignment horizontal="center"/>
    </xf>
    <xf numFmtId="3" fontId="6" fillId="4" borderId="0" xfId="1" applyNumberFormat="1" applyFont="1" applyFill="1" applyBorder="1" applyAlignment="1">
      <alignment horizontal="center"/>
    </xf>
    <xf numFmtId="0" fontId="6" fillId="4" borderId="0" xfId="0" applyFont="1" applyFill="1" applyAlignment="1">
      <alignment horizontal="center" vertical="center" wrapText="1"/>
    </xf>
    <xf numFmtId="0" fontId="6" fillId="4" borderId="8" xfId="0" applyFont="1" applyFill="1" applyBorder="1" applyAlignment="1">
      <alignment horizontal="center" vertical="center"/>
    </xf>
    <xf numFmtId="10" fontId="6" fillId="5" borderId="8" xfId="2" applyNumberFormat="1" applyFont="1" applyFill="1" applyBorder="1" applyAlignment="1">
      <alignment horizontal="center"/>
    </xf>
    <xf numFmtId="0" fontId="10" fillId="2" borderId="0" xfId="0" applyFont="1" applyFill="1" applyAlignment="1">
      <alignment horizontal="left"/>
    </xf>
    <xf numFmtId="43" fontId="10" fillId="2" borderId="0" xfId="0" applyNumberFormat="1" applyFont="1" applyFill="1" applyAlignment="1">
      <alignment horizontal="left" indent="2"/>
    </xf>
    <xf numFmtId="176" fontId="6" fillId="7" borderId="0" xfId="0" applyNumberFormat="1" applyFont="1" applyFill="1" applyAlignment="1">
      <alignment horizontal="center"/>
    </xf>
    <xf numFmtId="10" fontId="22" fillId="2" borderId="18" xfId="2" applyNumberFormat="1" applyFont="1" applyFill="1" applyBorder="1" applyAlignment="1">
      <alignment horizontal="center"/>
    </xf>
    <xf numFmtId="10" fontId="22" fillId="2" borderId="0" xfId="0" applyNumberFormat="1" applyFont="1" applyFill="1" applyAlignment="1">
      <alignment horizontal="center"/>
    </xf>
    <xf numFmtId="9" fontId="6" fillId="4" borderId="0" xfId="0" applyNumberFormat="1" applyFont="1" applyFill="1" applyAlignment="1">
      <alignment horizontal="left" indent="2"/>
    </xf>
    <xf numFmtId="3" fontId="6" fillId="2" borderId="0" xfId="0" applyNumberFormat="1" applyFont="1" applyFill="1" applyAlignment="1">
      <alignment horizontal="right"/>
    </xf>
    <xf numFmtId="0" fontId="6" fillId="5" borderId="25" xfId="0" applyFont="1" applyFill="1" applyBorder="1" applyAlignment="1">
      <alignment horizontal="center"/>
    </xf>
    <xf numFmtId="1" fontId="6" fillId="5" borderId="24" xfId="0" applyNumberFormat="1" applyFont="1" applyFill="1" applyBorder="1" applyAlignment="1">
      <alignment horizontal="center"/>
    </xf>
    <xf numFmtId="10" fontId="6" fillId="5" borderId="24" xfId="0" applyNumberFormat="1" applyFont="1" applyFill="1" applyBorder="1" applyAlignment="1">
      <alignment horizontal="center"/>
    </xf>
    <xf numFmtId="10" fontId="6" fillId="5" borderId="27" xfId="0" applyNumberFormat="1" applyFont="1" applyFill="1" applyBorder="1" applyAlignment="1">
      <alignment horizontal="center"/>
    </xf>
    <xf numFmtId="0" fontId="6" fillId="8" borderId="0" xfId="0" applyFont="1" applyFill="1"/>
    <xf numFmtId="0" fontId="0" fillId="8" borderId="0" xfId="0" applyFill="1"/>
    <xf numFmtId="0" fontId="6" fillId="8" borderId="0" xfId="0" applyFont="1" applyFill="1" applyAlignment="1">
      <alignment horizontal="center"/>
    </xf>
    <xf numFmtId="1" fontId="6" fillId="8" borderId="0" xfId="0" applyNumberFormat="1" applyFont="1" applyFill="1" applyAlignment="1">
      <alignment horizontal="center"/>
    </xf>
    <xf numFmtId="173" fontId="6" fillId="8" borderId="0" xfId="2" applyNumberFormat="1" applyFont="1" applyFill="1" applyBorder="1" applyAlignment="1">
      <alignment horizontal="center"/>
    </xf>
    <xf numFmtId="10" fontId="6" fillId="8" borderId="0" xfId="0" applyNumberFormat="1" applyFont="1" applyFill="1" applyAlignment="1">
      <alignment horizontal="center"/>
    </xf>
    <xf numFmtId="0" fontId="6" fillId="5" borderId="24" xfId="0" applyFont="1" applyFill="1" applyBorder="1" applyAlignment="1">
      <alignment horizontal="center"/>
    </xf>
    <xf numFmtId="173" fontId="6" fillId="5" borderId="24" xfId="2" applyNumberFormat="1" applyFont="1" applyFill="1" applyBorder="1" applyAlignment="1">
      <alignment horizontal="center"/>
    </xf>
    <xf numFmtId="173" fontId="6" fillId="4" borderId="0" xfId="2" applyNumberFormat="1" applyFont="1" applyFill="1" applyBorder="1" applyAlignment="1">
      <alignment horizontal="center"/>
    </xf>
    <xf numFmtId="0" fontId="23" fillId="5" borderId="0" xfId="0" applyFont="1" applyFill="1" applyAlignment="1">
      <alignment horizontal="left" vertical="top"/>
    </xf>
    <xf numFmtId="1" fontId="6" fillId="2" borderId="0" xfId="0" applyNumberFormat="1" applyFont="1" applyFill="1" applyAlignment="1">
      <alignment horizontal="center"/>
    </xf>
    <xf numFmtId="10" fontId="6" fillId="2" borderId="0" xfId="0" applyNumberFormat="1" applyFont="1" applyFill="1" applyAlignment="1">
      <alignment horizontal="center"/>
    </xf>
    <xf numFmtId="0" fontId="6" fillId="10" borderId="1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16" xfId="0" applyFont="1" applyFill="1" applyBorder="1" applyAlignment="1">
      <alignment horizontal="center" vertical="center" wrapText="1"/>
    </xf>
    <xf numFmtId="176" fontId="8" fillId="8" borderId="15" xfId="0" applyNumberFormat="1" applyFont="1" applyFill="1" applyBorder="1" applyAlignment="1">
      <alignment horizontal="center" vertical="center"/>
    </xf>
    <xf numFmtId="173" fontId="8" fillId="8" borderId="0" xfId="2" applyNumberFormat="1" applyFont="1" applyFill="1" applyBorder="1" applyAlignment="1">
      <alignment horizontal="center" vertical="center"/>
    </xf>
    <xf numFmtId="176" fontId="8" fillId="8" borderId="0" xfId="0" applyNumberFormat="1" applyFont="1" applyFill="1" applyAlignment="1">
      <alignment horizontal="center" vertical="center"/>
    </xf>
    <xf numFmtId="176" fontId="8" fillId="8" borderId="16" xfId="0" applyNumberFormat="1" applyFont="1" applyFill="1" applyBorder="1" applyAlignment="1">
      <alignment horizontal="center" vertical="center"/>
    </xf>
    <xf numFmtId="0" fontId="6" fillId="5" borderId="12" xfId="0" applyFont="1" applyFill="1" applyBorder="1" applyAlignment="1">
      <alignment horizontal="center" vertical="top"/>
    </xf>
    <xf numFmtId="0" fontId="6" fillId="5" borderId="13" xfId="0" applyFont="1" applyFill="1" applyBorder="1" applyAlignment="1">
      <alignment horizontal="center" vertical="top"/>
    </xf>
    <xf numFmtId="0" fontId="6" fillId="5" borderId="14" xfId="0" applyFont="1" applyFill="1" applyBorder="1" applyAlignment="1">
      <alignment horizontal="center" vertical="top"/>
    </xf>
    <xf numFmtId="0" fontId="6" fillId="5" borderId="0" xfId="0" applyFont="1" applyFill="1" applyAlignment="1">
      <alignment horizontal="left" vertical="top" wrapText="1"/>
    </xf>
    <xf numFmtId="9" fontId="6" fillId="10" borderId="15" xfId="0" applyNumberFormat="1" applyFont="1" applyFill="1" applyBorder="1"/>
    <xf numFmtId="9" fontId="6" fillId="10" borderId="0" xfId="0" applyNumberFormat="1" applyFont="1" applyFill="1"/>
    <xf numFmtId="0" fontId="17" fillId="10" borderId="0" xfId="0" applyFont="1" applyFill="1"/>
    <xf numFmtId="0" fontId="6" fillId="10" borderId="0" xfId="0" applyFont="1" applyFill="1"/>
    <xf numFmtId="0" fontId="6" fillId="10" borderId="16" xfId="0" applyFont="1" applyFill="1" applyBorder="1"/>
    <xf numFmtId="0" fontId="6" fillId="10" borderId="15" xfId="0" applyFont="1" applyFill="1" applyBorder="1"/>
    <xf numFmtId="0" fontId="4" fillId="5" borderId="0" xfId="0" applyFont="1" applyFill="1"/>
    <xf numFmtId="166" fontId="4" fillId="5" borderId="0" xfId="0" applyNumberFormat="1" applyFont="1" applyFill="1"/>
    <xf numFmtId="0" fontId="6" fillId="7" borderId="0" xfId="0" applyFont="1" applyFill="1" applyAlignment="1">
      <alignment horizontal="center" vertical="center"/>
    </xf>
    <xf numFmtId="166" fontId="4" fillId="5" borderId="0" xfId="1" applyNumberFormat="1" applyFont="1" applyFill="1"/>
    <xf numFmtId="0" fontId="17" fillId="4" borderId="0" xfId="0" applyFont="1" applyFill="1"/>
    <xf numFmtId="0" fontId="8" fillId="2" borderId="0" xfId="0" applyFont="1" applyFill="1" applyAlignment="1">
      <alignment horizontal="left" vertical="center"/>
    </xf>
    <xf numFmtId="0" fontId="4" fillId="5" borderId="0" xfId="0" applyFont="1" applyFill="1" applyAlignment="1">
      <alignment horizontal="left" vertical="top" wrapText="1"/>
    </xf>
    <xf numFmtId="173" fontId="10" fillId="2" borderId="0" xfId="2" applyNumberFormat="1" applyFont="1" applyFill="1"/>
    <xf numFmtId="166" fontId="0" fillId="2" borderId="0" xfId="0" applyNumberFormat="1" applyFill="1"/>
    <xf numFmtId="0" fontId="2" fillId="12" borderId="0" xfId="0" applyFont="1" applyFill="1"/>
    <xf numFmtId="0" fontId="0" fillId="12" borderId="0" xfId="0" applyFill="1"/>
    <xf numFmtId="0" fontId="4" fillId="12" borderId="0" xfId="0" applyFont="1" applyFill="1"/>
    <xf numFmtId="164" fontId="4" fillId="12" borderId="0" xfId="0" applyNumberFormat="1" applyFont="1" applyFill="1"/>
    <xf numFmtId="0" fontId="2" fillId="13" borderId="0" xfId="0" applyFont="1" applyFill="1"/>
    <xf numFmtId="0" fontId="0" fillId="13" borderId="0" xfId="0" applyFill="1"/>
    <xf numFmtId="0" fontId="4" fillId="13" borderId="0" xfId="0" applyFont="1" applyFill="1"/>
    <xf numFmtId="164" fontId="4" fillId="13" borderId="0" xfId="0" applyNumberFormat="1" applyFont="1" applyFill="1"/>
    <xf numFmtId="0" fontId="2" fillId="14" borderId="0" xfId="0" applyFont="1" applyFill="1"/>
    <xf numFmtId="0" fontId="0" fillId="14" borderId="0" xfId="0" applyFill="1"/>
    <xf numFmtId="0" fontId="4" fillId="14" borderId="0" xfId="0" applyFont="1" applyFill="1"/>
    <xf numFmtId="164" fontId="4" fillId="14" borderId="0" xfId="0" applyNumberFormat="1" applyFont="1" applyFill="1"/>
    <xf numFmtId="0" fontId="0" fillId="13" borderId="0" xfId="0" applyFill="1" applyAlignment="1">
      <alignment horizontal="center"/>
    </xf>
    <xf numFmtId="0" fontId="4" fillId="13" borderId="0" xfId="0" applyFont="1" applyFill="1" applyAlignment="1">
      <alignment horizontal="right" vertical="center"/>
    </xf>
    <xf numFmtId="14" fontId="4" fillId="13" borderId="0" xfId="0" applyNumberFormat="1" applyFont="1" applyFill="1" applyAlignment="1">
      <alignment horizontal="center" vertical="center"/>
    </xf>
    <xf numFmtId="0" fontId="4" fillId="13" borderId="0" xfId="0" applyFont="1" applyFill="1" applyAlignment="1">
      <alignment horizontal="center"/>
    </xf>
    <xf numFmtId="2" fontId="4" fillId="13" borderId="0" xfId="0" applyNumberFormat="1" applyFont="1" applyFill="1"/>
    <xf numFmtId="0" fontId="0" fillId="14" borderId="0" xfId="0" applyFill="1" applyAlignment="1">
      <alignment horizontal="center"/>
    </xf>
    <xf numFmtId="0" fontId="4" fillId="14" borderId="0" xfId="0" applyFont="1" applyFill="1" applyAlignment="1">
      <alignment horizontal="right" vertical="center"/>
    </xf>
    <xf numFmtId="14" fontId="4" fillId="14" borderId="0" xfId="0" applyNumberFormat="1" applyFont="1" applyFill="1" applyAlignment="1">
      <alignment horizontal="center" vertical="center"/>
    </xf>
    <xf numFmtId="0" fontId="4" fillId="14" borderId="0" xfId="0" applyFont="1" applyFill="1" applyAlignment="1">
      <alignment horizontal="center"/>
    </xf>
    <xf numFmtId="2" fontId="4" fillId="14" borderId="0" xfId="0" applyNumberFormat="1" applyFont="1" applyFill="1"/>
    <xf numFmtId="0" fontId="0" fillId="12" borderId="0" xfId="0" applyFill="1" applyAlignment="1">
      <alignment horizontal="center"/>
    </xf>
    <xf numFmtId="0" fontId="4" fillId="12" borderId="0" xfId="0" applyFont="1" applyFill="1" applyAlignment="1">
      <alignment horizontal="right" vertical="center"/>
    </xf>
    <xf numFmtId="14" fontId="4" fillId="12" borderId="0" xfId="0" applyNumberFormat="1" applyFont="1" applyFill="1" applyAlignment="1">
      <alignment horizontal="center" vertical="center"/>
    </xf>
    <xf numFmtId="0" fontId="4" fillId="12" borderId="0" xfId="0" applyFont="1" applyFill="1" applyAlignment="1">
      <alignment horizontal="center"/>
    </xf>
    <xf numFmtId="2" fontId="4" fillId="12" borderId="0" xfId="0" applyNumberFormat="1" applyFont="1" applyFill="1"/>
    <xf numFmtId="43" fontId="6" fillId="5" borderId="0" xfId="0" applyNumberFormat="1" applyFont="1" applyFill="1"/>
    <xf numFmtId="177" fontId="6" fillId="5" borderId="0" xfId="0" applyNumberFormat="1" applyFont="1" applyFill="1"/>
    <xf numFmtId="0" fontId="0" fillId="13" borderId="4" xfId="0" applyFill="1" applyBorder="1"/>
    <xf numFmtId="0" fontId="2" fillId="13" borderId="5" xfId="0" applyFont="1" applyFill="1" applyBorder="1"/>
    <xf numFmtId="0" fontId="0" fillId="13" borderId="5" xfId="0" applyFill="1" applyBorder="1"/>
    <xf numFmtId="0" fontId="0" fillId="13" borderId="6" xfId="0" applyFill="1" applyBorder="1"/>
    <xf numFmtId="0" fontId="0" fillId="14" borderId="4" xfId="0" applyFill="1" applyBorder="1"/>
    <xf numFmtId="0" fontId="2" fillId="14" borderId="5" xfId="0" applyFont="1" applyFill="1" applyBorder="1"/>
    <xf numFmtId="0" fontId="0" fillId="14" borderId="5" xfId="0" applyFill="1" applyBorder="1"/>
    <xf numFmtId="0" fontId="0" fillId="14" borderId="6" xfId="0" applyFill="1" applyBorder="1"/>
    <xf numFmtId="0" fontId="0" fillId="12" borderId="4" xfId="0" applyFill="1" applyBorder="1"/>
    <xf numFmtId="0" fontId="2" fillId="12" borderId="5" xfId="0" applyFont="1" applyFill="1" applyBorder="1"/>
    <xf numFmtId="0" fontId="0" fillId="12" borderId="5" xfId="0" applyFill="1" applyBorder="1"/>
    <xf numFmtId="0" fontId="0" fillId="12" borderId="6" xfId="0" applyFill="1" applyBorder="1"/>
    <xf numFmtId="0" fontId="5" fillId="2" borderId="0" xfId="0" applyFont="1" applyFill="1" applyAlignment="1">
      <alignment horizontal="left" vertical="top" wrapText="1"/>
    </xf>
    <xf numFmtId="0" fontId="0" fillId="13" borderId="5" xfId="0" applyFill="1" applyBorder="1" applyAlignment="1">
      <alignment horizontal="center"/>
    </xf>
    <xf numFmtId="0" fontId="0" fillId="13" borderId="6" xfId="0" applyFill="1" applyBorder="1" applyAlignment="1">
      <alignment horizontal="left" vertical="center"/>
    </xf>
    <xf numFmtId="0" fontId="0" fillId="14" borderId="5" xfId="0" applyFill="1" applyBorder="1" applyAlignment="1">
      <alignment horizontal="center"/>
    </xf>
    <xf numFmtId="0" fontId="0" fillId="14" borderId="6" xfId="0" applyFill="1" applyBorder="1" applyAlignment="1">
      <alignment horizontal="left" vertical="center"/>
    </xf>
    <xf numFmtId="0" fontId="0" fillId="12" borderId="5" xfId="0" applyFill="1" applyBorder="1" applyAlignment="1">
      <alignment horizontal="center"/>
    </xf>
    <xf numFmtId="0" fontId="0" fillId="12" borderId="6" xfId="0" applyFill="1" applyBorder="1" applyAlignment="1">
      <alignment horizontal="left" vertical="center"/>
    </xf>
    <xf numFmtId="0" fontId="2" fillId="15" borderId="0" xfId="0" applyFont="1" applyFill="1"/>
    <xf numFmtId="0" fontId="0" fillId="15" borderId="0" xfId="0" applyFill="1"/>
    <xf numFmtId="0" fontId="4" fillId="15" borderId="0" xfId="0" applyFont="1" applyFill="1"/>
    <xf numFmtId="164" fontId="4" fillId="15" borderId="0" xfId="0" applyNumberFormat="1" applyFont="1" applyFill="1"/>
    <xf numFmtId="0" fontId="6" fillId="4" borderId="0" xfId="0" applyFont="1" applyFill="1" applyAlignment="1">
      <alignment horizontal="left" vertical="center"/>
    </xf>
    <xf numFmtId="0" fontId="6" fillId="5" borderId="31" xfId="0" applyFont="1" applyFill="1" applyBorder="1" applyAlignment="1">
      <alignment horizontal="center" vertical="top"/>
    </xf>
    <xf numFmtId="0" fontId="6" fillId="5" borderId="32" xfId="0" applyFont="1" applyFill="1" applyBorder="1" applyAlignment="1">
      <alignment horizontal="center" vertical="top"/>
    </xf>
    <xf numFmtId="0" fontId="6" fillId="5" borderId="33" xfId="0" applyFont="1" applyFill="1" applyBorder="1" applyAlignment="1">
      <alignment horizontal="center" vertical="top"/>
    </xf>
    <xf numFmtId="0" fontId="6" fillId="10" borderId="34" xfId="0" applyFont="1" applyFill="1" applyBorder="1" applyAlignment="1">
      <alignment horizontal="center" vertical="center" wrapText="1"/>
    </xf>
    <xf numFmtId="0" fontId="6" fillId="10" borderId="35" xfId="0" applyFont="1" applyFill="1" applyBorder="1" applyAlignment="1">
      <alignment horizontal="center" vertical="center" wrapText="1"/>
    </xf>
    <xf numFmtId="9" fontId="6" fillId="10" borderId="34" xfId="0" applyNumberFormat="1" applyFont="1" applyFill="1" applyBorder="1"/>
    <xf numFmtId="0" fontId="6" fillId="10" borderId="35" xfId="0" applyFont="1" applyFill="1" applyBorder="1"/>
    <xf numFmtId="0" fontId="6" fillId="10" borderId="34" xfId="0" applyFont="1" applyFill="1" applyBorder="1"/>
    <xf numFmtId="176" fontId="8" fillId="8" borderId="36" xfId="0" applyNumberFormat="1" applyFont="1" applyFill="1" applyBorder="1" applyAlignment="1">
      <alignment horizontal="center" vertical="center"/>
    </xf>
    <xf numFmtId="173" fontId="8" fillId="8" borderId="37" xfId="2" applyNumberFormat="1" applyFont="1" applyFill="1" applyBorder="1" applyAlignment="1">
      <alignment horizontal="center" vertical="center"/>
    </xf>
    <xf numFmtId="176" fontId="8" fillId="8" borderId="37" xfId="0" applyNumberFormat="1" applyFont="1" applyFill="1" applyBorder="1" applyAlignment="1">
      <alignment horizontal="center" vertical="center"/>
    </xf>
    <xf numFmtId="176" fontId="8" fillId="8" borderId="38" xfId="0" applyNumberFormat="1" applyFont="1" applyFill="1" applyBorder="1" applyAlignment="1">
      <alignment horizontal="center" vertical="center"/>
    </xf>
    <xf numFmtId="0" fontId="6" fillId="5" borderId="40" xfId="0" applyFont="1" applyFill="1" applyBorder="1" applyAlignment="1">
      <alignment horizontal="center" vertical="top"/>
    </xf>
    <xf numFmtId="0" fontId="6" fillId="5" borderId="41" xfId="0" applyFont="1" applyFill="1" applyBorder="1" applyAlignment="1">
      <alignment horizontal="center" vertical="top"/>
    </xf>
    <xf numFmtId="0" fontId="6" fillId="5" borderId="42" xfId="0" applyFont="1" applyFill="1" applyBorder="1" applyAlignment="1">
      <alignment horizontal="center" vertical="top"/>
    </xf>
    <xf numFmtId="0" fontId="6" fillId="10" borderId="43" xfId="0" applyFont="1" applyFill="1" applyBorder="1" applyAlignment="1">
      <alignment horizontal="center" vertical="center" wrapText="1"/>
    </xf>
    <xf numFmtId="0" fontId="6" fillId="10" borderId="44" xfId="0" applyFont="1" applyFill="1" applyBorder="1" applyAlignment="1">
      <alignment horizontal="center" vertical="center" wrapText="1"/>
    </xf>
    <xf numFmtId="9" fontId="6" fillId="10" borderId="43" xfId="0" applyNumberFormat="1" applyFont="1" applyFill="1" applyBorder="1"/>
    <xf numFmtId="0" fontId="6" fillId="10" borderId="44" xfId="0" applyFont="1" applyFill="1" applyBorder="1"/>
    <xf numFmtId="0" fontId="6" fillId="10" borderId="43" xfId="0" applyFont="1" applyFill="1" applyBorder="1"/>
    <xf numFmtId="176" fontId="8" fillId="8" borderId="45" xfId="0" applyNumberFormat="1" applyFont="1" applyFill="1" applyBorder="1" applyAlignment="1">
      <alignment horizontal="center" vertical="center"/>
    </xf>
    <xf numFmtId="173" fontId="8" fillId="8" borderId="46" xfId="2" applyNumberFormat="1" applyFont="1" applyFill="1" applyBorder="1" applyAlignment="1">
      <alignment horizontal="center" vertical="center"/>
    </xf>
    <xf numFmtId="176" fontId="8" fillId="8" borderId="46" xfId="0" applyNumberFormat="1" applyFont="1" applyFill="1" applyBorder="1" applyAlignment="1">
      <alignment horizontal="center" vertical="center"/>
    </xf>
    <xf numFmtId="176" fontId="8" fillId="8" borderId="47" xfId="0" applyNumberFormat="1" applyFont="1" applyFill="1" applyBorder="1" applyAlignment="1">
      <alignment horizontal="center" vertical="center"/>
    </xf>
    <xf numFmtId="0" fontId="0" fillId="5" borderId="49" xfId="0" applyFill="1" applyBorder="1" applyAlignment="1">
      <alignment horizontal="center" vertical="top"/>
    </xf>
    <xf numFmtId="0" fontId="0" fillId="5" borderId="50" xfId="0" applyFill="1" applyBorder="1" applyAlignment="1">
      <alignment horizontal="center" vertical="top"/>
    </xf>
    <xf numFmtId="0" fontId="0" fillId="5" borderId="51" xfId="0" applyFill="1" applyBorder="1" applyAlignment="1">
      <alignment horizontal="center" vertical="top"/>
    </xf>
    <xf numFmtId="0" fontId="6" fillId="10" borderId="52" xfId="0" applyFont="1" applyFill="1" applyBorder="1" applyAlignment="1">
      <alignment horizontal="center" vertical="center" wrapText="1"/>
    </xf>
    <xf numFmtId="0" fontId="6" fillId="10" borderId="53" xfId="0" applyFont="1" applyFill="1" applyBorder="1" applyAlignment="1">
      <alignment horizontal="center" vertical="center" wrapText="1"/>
    </xf>
    <xf numFmtId="9" fontId="0" fillId="10" borderId="52" xfId="0" applyNumberFormat="1" applyFill="1" applyBorder="1"/>
    <xf numFmtId="0" fontId="0" fillId="10" borderId="53" xfId="0" applyFill="1" applyBorder="1"/>
    <xf numFmtId="0" fontId="0" fillId="10" borderId="52" xfId="0" applyFill="1" applyBorder="1"/>
    <xf numFmtId="176" fontId="8" fillId="8" borderId="54" xfId="0" applyNumberFormat="1" applyFont="1" applyFill="1" applyBorder="1" applyAlignment="1">
      <alignment horizontal="center" vertical="center"/>
    </xf>
    <xf numFmtId="173" fontId="8" fillId="8" borderId="55" xfId="2" applyNumberFormat="1" applyFont="1" applyFill="1" applyBorder="1" applyAlignment="1">
      <alignment horizontal="center" vertical="center"/>
    </xf>
    <xf numFmtId="176" fontId="8" fillId="8" borderId="55" xfId="0" applyNumberFormat="1" applyFont="1" applyFill="1" applyBorder="1" applyAlignment="1">
      <alignment horizontal="center" vertical="center"/>
    </xf>
    <xf numFmtId="176" fontId="8" fillId="8" borderId="56" xfId="0" applyNumberFormat="1" applyFont="1" applyFill="1" applyBorder="1" applyAlignment="1">
      <alignment horizontal="center" vertical="center"/>
    </xf>
    <xf numFmtId="166" fontId="6" fillId="8" borderId="0" xfId="0" applyNumberFormat="1" applyFont="1" applyFill="1"/>
    <xf numFmtId="166" fontId="6" fillId="8" borderId="0" xfId="1" applyNumberFormat="1" applyFont="1" applyFill="1"/>
    <xf numFmtId="166" fontId="0" fillId="8" borderId="0" xfId="1" applyNumberFormat="1" applyFont="1" applyFill="1"/>
    <xf numFmtId="0" fontId="16" fillId="4" borderId="0" xfId="0" applyFont="1" applyFill="1"/>
    <xf numFmtId="1" fontId="6" fillId="5" borderId="8" xfId="0" applyNumberFormat="1" applyFont="1" applyFill="1" applyBorder="1" applyAlignment="1">
      <alignment horizontal="center"/>
    </xf>
    <xf numFmtId="0" fontId="6" fillId="2" borderId="10" xfId="0" applyFont="1" applyFill="1" applyBorder="1"/>
    <xf numFmtId="1" fontId="6" fillId="5" borderId="10" xfId="0" applyNumberFormat="1" applyFont="1" applyFill="1" applyBorder="1" applyAlignment="1">
      <alignment horizontal="center"/>
    </xf>
    <xf numFmtId="1" fontId="6" fillId="5" borderId="11" xfId="0" applyNumberFormat="1" applyFont="1" applyFill="1" applyBorder="1" applyAlignment="1">
      <alignment horizontal="center"/>
    </xf>
    <xf numFmtId="0" fontId="10" fillId="4" borderId="0" xfId="0" applyFont="1" applyFill="1"/>
    <xf numFmtId="166" fontId="10" fillId="4" borderId="0" xfId="1" applyNumberFormat="1" applyFont="1" applyFill="1"/>
    <xf numFmtId="0" fontId="24" fillId="8" borderId="0" xfId="0" applyFont="1" applyFill="1"/>
    <xf numFmtId="0" fontId="4" fillId="8" borderId="0" xfId="0" applyFont="1" applyFill="1" applyAlignment="1">
      <alignment horizontal="left" vertical="top" wrapText="1"/>
    </xf>
    <xf numFmtId="0" fontId="0" fillId="8" borderId="0" xfId="0" applyFill="1" applyAlignment="1">
      <alignment horizontal="left" vertical="top" wrapText="1"/>
    </xf>
    <xf numFmtId="0" fontId="4" fillId="8" borderId="0" xfId="0" applyFont="1" applyFill="1"/>
    <xf numFmtId="0" fontId="21" fillId="8" borderId="0" xfId="0" applyFont="1" applyFill="1"/>
    <xf numFmtId="0" fontId="16" fillId="4" borderId="0" xfId="0" applyFont="1" applyFill="1" applyAlignment="1">
      <alignment horizontal="center"/>
    </xf>
    <xf numFmtId="0" fontId="17" fillId="2" borderId="0" xfId="0" applyFont="1" applyFill="1" applyAlignment="1">
      <alignment horizontal="left"/>
    </xf>
    <xf numFmtId="0" fontId="21" fillId="4" borderId="0" xfId="0" applyFont="1" applyFill="1"/>
    <xf numFmtId="0" fontId="6" fillId="4" borderId="0" xfId="0" applyFont="1" applyFill="1" applyAlignment="1">
      <alignment horizontal="left" vertical="center" indent="17"/>
    </xf>
    <xf numFmtId="0" fontId="8" fillId="4" borderId="0" xfId="0" applyFont="1" applyFill="1" applyAlignment="1">
      <alignment horizontal="left" vertical="center" indent="3"/>
    </xf>
    <xf numFmtId="0" fontId="26" fillId="4" borderId="4" xfId="0" applyFont="1" applyFill="1" applyBorder="1" applyAlignment="1">
      <alignment horizontal="left" vertical="top"/>
    </xf>
    <xf numFmtId="0" fontId="26" fillId="4" borderId="7" xfId="0" applyFont="1" applyFill="1" applyBorder="1" applyAlignment="1">
      <alignment vertical="center"/>
    </xf>
    <xf numFmtId="0" fontId="8" fillId="4" borderId="6" xfId="0" applyFont="1" applyFill="1" applyBorder="1" applyAlignment="1">
      <alignment horizontal="left" vertical="top" wrapText="1"/>
    </xf>
    <xf numFmtId="0" fontId="8" fillId="4" borderId="8" xfId="0" applyFont="1" applyFill="1" applyBorder="1" applyAlignment="1">
      <alignment horizontal="left" vertical="top" wrapText="1"/>
    </xf>
    <xf numFmtId="0" fontId="16" fillId="2" borderId="0" xfId="0" applyFont="1" applyFill="1"/>
    <xf numFmtId="0" fontId="21" fillId="2" borderId="0" xfId="0" applyFont="1" applyFill="1"/>
    <xf numFmtId="0" fontId="21" fillId="15" borderId="0" xfId="0" applyFont="1" applyFill="1"/>
    <xf numFmtId="164" fontId="17" fillId="2" borderId="0" xfId="0" applyNumberFormat="1" applyFont="1" applyFill="1"/>
    <xf numFmtId="178" fontId="6" fillId="5" borderId="0" xfId="0" applyNumberFormat="1" applyFont="1" applyFill="1"/>
    <xf numFmtId="179" fontId="6" fillId="5" borderId="0" xfId="0" applyNumberFormat="1" applyFont="1" applyFill="1"/>
    <xf numFmtId="0" fontId="24" fillId="2" borderId="0" xfId="0" applyFont="1" applyFill="1" applyAlignment="1">
      <alignment horizontal="left"/>
    </xf>
    <xf numFmtId="9" fontId="6" fillId="7" borderId="0" xfId="0" applyNumberFormat="1" applyFont="1" applyFill="1" applyAlignment="1">
      <alignment horizontal="right"/>
    </xf>
    <xf numFmtId="9" fontId="6" fillId="4" borderId="0" xfId="0" applyNumberFormat="1" applyFont="1" applyFill="1" applyAlignment="1">
      <alignment horizontal="right"/>
    </xf>
    <xf numFmtId="1" fontId="0" fillId="2" borderId="0" xfId="0" applyNumberFormat="1" applyFill="1"/>
    <xf numFmtId="2" fontId="6" fillId="7" borderId="0" xfId="0" applyNumberFormat="1" applyFont="1" applyFill="1" applyAlignment="1">
      <alignment horizontal="left"/>
    </xf>
    <xf numFmtId="2" fontId="6" fillId="7" borderId="0" xfId="0" applyNumberFormat="1" applyFont="1" applyFill="1" applyAlignment="1">
      <alignment horizontal="right"/>
    </xf>
    <xf numFmtId="0" fontId="28" fillId="4" borderId="0" xfId="0" applyFont="1" applyFill="1" applyAlignment="1">
      <alignment horizontal="center"/>
    </xf>
    <xf numFmtId="2" fontId="17" fillId="4" borderId="0" xfId="0" applyNumberFormat="1" applyFont="1" applyFill="1" applyAlignment="1">
      <alignment horizontal="left"/>
    </xf>
    <xf numFmtId="166" fontId="16" fillId="5" borderId="0" xfId="0" applyNumberFormat="1" applyFont="1" applyFill="1"/>
    <xf numFmtId="165" fontId="6" fillId="2" borderId="0" xfId="0" applyNumberFormat="1" applyFont="1" applyFill="1" applyAlignment="1">
      <alignment horizontal="right"/>
    </xf>
    <xf numFmtId="0" fontId="29" fillId="4" borderId="0" xfId="0" applyFont="1" applyFill="1" applyAlignment="1">
      <alignment horizontal="left" indent="3"/>
    </xf>
    <xf numFmtId="1" fontId="17" fillId="4" borderId="0" xfId="0" applyNumberFormat="1" applyFont="1" applyFill="1" applyAlignment="1">
      <alignment horizontal="right"/>
    </xf>
    <xf numFmtId="0" fontId="17" fillId="2" borderId="0" xfId="0" applyFont="1" applyFill="1" applyAlignment="1">
      <alignment horizontal="left" indent="1"/>
    </xf>
    <xf numFmtId="1" fontId="17" fillId="2" borderId="0" xfId="0" applyNumberFormat="1" applyFont="1" applyFill="1" applyAlignment="1">
      <alignment horizontal="right"/>
    </xf>
    <xf numFmtId="3" fontId="6" fillId="4" borderId="0" xfId="0" applyNumberFormat="1" applyFont="1" applyFill="1"/>
    <xf numFmtId="0" fontId="16" fillId="4" borderId="0" xfId="0" applyFont="1" applyFill="1" applyAlignment="1">
      <alignment horizontal="left" vertical="center" indent="2"/>
    </xf>
    <xf numFmtId="9" fontId="16" fillId="4" borderId="0" xfId="0" applyNumberFormat="1" applyFont="1" applyFill="1" applyAlignment="1">
      <alignment horizontal="left"/>
    </xf>
    <xf numFmtId="3" fontId="16" fillId="4" borderId="0" xfId="0" applyNumberFormat="1" applyFont="1" applyFill="1" applyAlignment="1">
      <alignment horizontal="center"/>
    </xf>
    <xf numFmtId="1" fontId="6" fillId="4" borderId="0" xfId="0" applyNumberFormat="1" applyFont="1" applyFill="1"/>
    <xf numFmtId="177" fontId="16" fillId="5" borderId="0" xfId="0" applyNumberFormat="1" applyFont="1" applyFill="1"/>
    <xf numFmtId="10" fontId="6" fillId="5" borderId="0" xfId="0" applyNumberFormat="1" applyFont="1" applyFill="1" applyAlignment="1">
      <alignment horizontal="center"/>
    </xf>
    <xf numFmtId="14" fontId="4" fillId="14" borderId="0" xfId="0" applyNumberFormat="1" applyFont="1" applyFill="1" applyAlignment="1">
      <alignment vertical="center"/>
    </xf>
    <xf numFmtId="0" fontId="24" fillId="4" borderId="0" xfId="0" applyFont="1" applyFill="1" applyAlignment="1">
      <alignment horizontal="left"/>
    </xf>
    <xf numFmtId="0" fontId="24" fillId="2" borderId="0" xfId="0" applyFont="1" applyFill="1"/>
    <xf numFmtId="1" fontId="16" fillId="2" borderId="0" xfId="0" applyNumberFormat="1" applyFont="1" applyFill="1" applyAlignment="1">
      <alignment horizontal="center"/>
    </xf>
    <xf numFmtId="0" fontId="6" fillId="11" borderId="0" xfId="0" applyFont="1" applyFill="1" applyAlignment="1">
      <alignment horizontal="right"/>
    </xf>
    <xf numFmtId="10" fontId="6" fillId="4" borderId="0" xfId="0" applyNumberFormat="1" applyFont="1" applyFill="1" applyAlignment="1">
      <alignment horizontal="center" vertical="center"/>
    </xf>
    <xf numFmtId="1" fontId="6" fillId="7" borderId="0" xfId="0" applyNumberFormat="1" applyFont="1" applyFill="1"/>
    <xf numFmtId="14" fontId="6" fillId="11" borderId="0" xfId="0" applyNumberFormat="1" applyFont="1" applyFill="1" applyAlignment="1">
      <alignment horizontal="center"/>
    </xf>
    <xf numFmtId="3" fontId="6" fillId="11" borderId="0" xfId="0" applyNumberFormat="1" applyFont="1" applyFill="1" applyAlignment="1">
      <alignment horizontal="right"/>
    </xf>
    <xf numFmtId="176" fontId="6" fillId="11" borderId="0" xfId="0" applyNumberFormat="1" applyFont="1" applyFill="1" applyAlignment="1">
      <alignment horizontal="right"/>
    </xf>
    <xf numFmtId="4" fontId="6" fillId="11" borderId="0" xfId="0" applyNumberFormat="1" applyFont="1" applyFill="1" applyAlignment="1">
      <alignment horizontal="right"/>
    </xf>
    <xf numFmtId="3" fontId="6" fillId="4" borderId="0" xfId="0" applyNumberFormat="1" applyFont="1" applyFill="1" applyAlignment="1">
      <alignment horizontal="right"/>
    </xf>
    <xf numFmtId="166" fontId="6" fillId="11" borderId="0" xfId="1" applyNumberFormat="1" applyFont="1" applyFill="1"/>
    <xf numFmtId="43" fontId="6" fillId="11" borderId="0" xfId="1" applyFont="1" applyFill="1" applyAlignment="1">
      <alignment horizontal="right"/>
    </xf>
    <xf numFmtId="0" fontId="6" fillId="11" borderId="0" xfId="0" applyFont="1" applyFill="1" applyAlignment="1">
      <alignment horizontal="left"/>
    </xf>
    <xf numFmtId="1" fontId="6" fillId="11" borderId="0" xfId="0" applyNumberFormat="1" applyFont="1" applyFill="1" applyAlignment="1">
      <alignment horizontal="right"/>
    </xf>
    <xf numFmtId="0" fontId="0" fillId="11" borderId="0" xfId="0" applyFill="1"/>
    <xf numFmtId="43" fontId="6" fillId="11" borderId="0" xfId="1" applyFont="1" applyFill="1"/>
    <xf numFmtId="3" fontId="6" fillId="11" borderId="0" xfId="0" applyNumberFormat="1" applyFont="1" applyFill="1"/>
    <xf numFmtId="166" fontId="6" fillId="11" borderId="0" xfId="1" applyNumberFormat="1" applyFont="1" applyFill="1" applyAlignment="1">
      <alignment horizontal="left"/>
    </xf>
    <xf numFmtId="166" fontId="6" fillId="11" borderId="0" xfId="1" applyNumberFormat="1" applyFont="1" applyFill="1" applyAlignment="1">
      <alignment horizontal="right" indent="1"/>
    </xf>
    <xf numFmtId="0" fontId="0" fillId="16" borderId="0" xfId="0" applyFill="1"/>
    <xf numFmtId="0" fontId="0" fillId="17" borderId="0" xfId="0" applyFill="1"/>
    <xf numFmtId="0" fontId="2" fillId="17" borderId="0" xfId="0" applyFont="1" applyFill="1"/>
    <xf numFmtId="0" fontId="0" fillId="18" borderId="0" xfId="0" applyFill="1"/>
    <xf numFmtId="0" fontId="4" fillId="18" borderId="0" xfId="0" applyFont="1" applyFill="1"/>
    <xf numFmtId="164" fontId="4" fillId="18" borderId="0" xfId="0" applyNumberFormat="1" applyFont="1" applyFill="1"/>
    <xf numFmtId="0" fontId="30" fillId="13" borderId="0" xfId="0" applyFont="1" applyFill="1"/>
    <xf numFmtId="0" fontId="30" fillId="3" borderId="0" xfId="0" applyFont="1" applyFill="1"/>
    <xf numFmtId="0" fontId="30" fillId="14" borderId="0" xfId="0" applyFont="1" applyFill="1"/>
    <xf numFmtId="0" fontId="30" fillId="12" borderId="0" xfId="0" applyFont="1" applyFill="1"/>
    <xf numFmtId="0" fontId="31" fillId="0" borderId="0" xfId="0" applyFont="1"/>
    <xf numFmtId="0" fontId="32" fillId="0" borderId="0" xfId="0" applyFont="1"/>
    <xf numFmtId="164" fontId="4" fillId="0" borderId="0" xfId="0" applyNumberFormat="1" applyFont="1"/>
    <xf numFmtId="14" fontId="32" fillId="0" borderId="0" xfId="0" applyNumberFormat="1" applyFont="1" applyAlignment="1">
      <alignment horizontal="left"/>
    </xf>
    <xf numFmtId="15" fontId="0" fillId="0" borderId="0" xfId="0" applyNumberFormat="1"/>
    <xf numFmtId="0" fontId="3" fillId="19" borderId="0" xfId="0" applyFont="1" applyFill="1"/>
    <xf numFmtId="164" fontId="17" fillId="2" borderId="0" xfId="0" applyNumberFormat="1" applyFont="1" applyFill="1" applyAlignment="1">
      <alignment horizontal="right"/>
    </xf>
    <xf numFmtId="166" fontId="6" fillId="4" borderId="0" xfId="1" applyNumberFormat="1" applyFont="1" applyFill="1" applyAlignment="1">
      <alignment horizontal="left"/>
    </xf>
    <xf numFmtId="0" fontId="33" fillId="2" borderId="0" xfId="0" applyFont="1" applyFill="1"/>
    <xf numFmtId="164" fontId="16" fillId="2" borderId="0" xfId="0" applyNumberFormat="1" applyFont="1" applyFill="1" applyAlignment="1">
      <alignment horizontal="center"/>
    </xf>
    <xf numFmtId="1" fontId="16" fillId="7" borderId="0" xfId="0" applyNumberFormat="1" applyFont="1" applyFill="1" applyAlignment="1">
      <alignment horizontal="center"/>
    </xf>
    <xf numFmtId="164" fontId="17" fillId="2" borderId="0" xfId="0" applyNumberFormat="1" applyFont="1" applyFill="1" applyAlignment="1">
      <alignment horizontal="left"/>
    </xf>
    <xf numFmtId="3" fontId="17" fillId="4" borderId="0" xfId="0" applyNumberFormat="1" applyFont="1" applyFill="1" applyAlignment="1">
      <alignment horizontal="left"/>
    </xf>
    <xf numFmtId="164" fontId="6" fillId="2" borderId="0" xfId="0" applyNumberFormat="1" applyFont="1" applyFill="1" applyAlignment="1">
      <alignment horizontal="center"/>
    </xf>
    <xf numFmtId="0" fontId="20" fillId="2" borderId="0" xfId="0" applyFont="1" applyFill="1"/>
    <xf numFmtId="0" fontId="34" fillId="14" borderId="0" xfId="0" applyFont="1" applyFill="1"/>
    <xf numFmtId="3" fontId="6" fillId="8" borderId="0" xfId="0" applyNumberFormat="1" applyFont="1" applyFill="1" applyAlignment="1">
      <alignment horizontal="center"/>
    </xf>
    <xf numFmtId="10" fontId="6" fillId="8" borderId="8" xfId="0" applyNumberFormat="1" applyFont="1" applyFill="1" applyBorder="1" applyAlignment="1">
      <alignment horizontal="center"/>
    </xf>
    <xf numFmtId="0" fontId="6" fillId="8" borderId="0" xfId="0" applyFont="1" applyFill="1" applyAlignment="1">
      <alignment horizontal="left" indent="1"/>
    </xf>
    <xf numFmtId="0" fontId="8" fillId="8" borderId="0" xfId="0" applyFont="1" applyFill="1" applyAlignment="1">
      <alignment horizontal="left" indent="1"/>
    </xf>
    <xf numFmtId="166" fontId="8" fillId="8" borderId="1" xfId="1" applyNumberFormat="1" applyFont="1" applyFill="1" applyBorder="1"/>
    <xf numFmtId="0" fontId="8" fillId="8" borderId="0" xfId="0" applyFont="1" applyFill="1"/>
    <xf numFmtId="166" fontId="8" fillId="8" borderId="2" xfId="1" applyNumberFormat="1" applyFont="1" applyFill="1" applyBorder="1"/>
    <xf numFmtId="0" fontId="0" fillId="2" borderId="0" xfId="0" applyFill="1" applyAlignment="1">
      <alignment horizontal="justify" vertical="top" wrapText="1"/>
    </xf>
    <xf numFmtId="0" fontId="25" fillId="2" borderId="0" xfId="0" applyFont="1" applyFill="1" applyAlignment="1">
      <alignment horizontal="center" vertical="top" wrapText="1"/>
    </xf>
    <xf numFmtId="0" fontId="0" fillId="0" borderId="0" xfId="0"/>
    <xf numFmtId="0" fontId="19" fillId="9" borderId="17" xfId="0" applyFont="1" applyFill="1" applyBorder="1" applyAlignment="1">
      <alignment horizontal="center" vertical="top" wrapText="1"/>
    </xf>
    <xf numFmtId="0" fontId="19" fillId="9" borderId="18" xfId="0" applyFont="1" applyFill="1" applyBorder="1" applyAlignment="1">
      <alignment horizontal="center" vertical="top" wrapText="1"/>
    </xf>
    <xf numFmtId="0" fontId="16" fillId="4" borderId="7" xfId="0" applyFont="1" applyFill="1" applyBorder="1" applyAlignment="1">
      <alignment horizontal="left" vertical="top" wrapText="1"/>
    </xf>
    <xf numFmtId="0" fontId="16" fillId="4" borderId="8" xfId="0" applyFont="1" applyFill="1" applyBorder="1" applyAlignment="1">
      <alignment horizontal="left" vertical="top" wrapText="1"/>
    </xf>
    <xf numFmtId="0" fontId="16" fillId="4" borderId="9" xfId="0" applyFont="1" applyFill="1" applyBorder="1" applyAlignment="1">
      <alignment horizontal="left" vertical="top" wrapText="1"/>
    </xf>
    <xf numFmtId="0" fontId="16" fillId="4" borderId="11" xfId="0" applyFont="1" applyFill="1" applyBorder="1" applyAlignment="1">
      <alignment horizontal="left" vertical="top" wrapText="1"/>
    </xf>
    <xf numFmtId="0" fontId="24" fillId="4" borderId="0" xfId="0" applyFont="1" applyFill="1" applyAlignment="1">
      <alignment horizontal="left" vertical="center" wrapText="1"/>
    </xf>
    <xf numFmtId="0" fontId="19" fillId="4" borderId="0" xfId="0" applyFont="1" applyFill="1" applyAlignment="1">
      <alignment horizontal="left" vertical="top" wrapText="1"/>
    </xf>
    <xf numFmtId="0" fontId="6" fillId="0" borderId="0" xfId="0" applyFont="1" applyAlignment="1">
      <alignment horizontal="left" vertical="top" wrapText="1"/>
    </xf>
    <xf numFmtId="2" fontId="8" fillId="5" borderId="10" xfId="2" applyNumberFormat="1" applyFont="1" applyFill="1" applyBorder="1" applyAlignment="1">
      <alignment horizontal="center" vertical="center"/>
    </xf>
    <xf numFmtId="2" fontId="6" fillId="5" borderId="10" xfId="2" applyNumberFormat="1" applyFont="1" applyFill="1" applyBorder="1" applyAlignment="1">
      <alignment horizontal="center" vertical="center"/>
    </xf>
    <xf numFmtId="2" fontId="6" fillId="5" borderId="11" xfId="2" applyNumberFormat="1" applyFont="1" applyFill="1" applyBorder="1" applyAlignment="1">
      <alignment horizontal="center" vertical="center"/>
    </xf>
    <xf numFmtId="2" fontId="8" fillId="5" borderId="0" xfId="2" applyNumberFormat="1" applyFont="1" applyFill="1" applyBorder="1" applyAlignment="1">
      <alignment horizontal="center" vertical="center"/>
    </xf>
    <xf numFmtId="2" fontId="6" fillId="5" borderId="0" xfId="2" applyNumberFormat="1" applyFont="1" applyFill="1" applyBorder="1" applyAlignment="1">
      <alignment horizontal="center" vertical="center"/>
    </xf>
    <xf numFmtId="2" fontId="6" fillId="5" borderId="8" xfId="2" applyNumberFormat="1" applyFont="1" applyFill="1" applyBorder="1" applyAlignment="1">
      <alignment horizontal="center" vertical="center"/>
    </xf>
    <xf numFmtId="0" fontId="6" fillId="5" borderId="8" xfId="0" applyFont="1" applyFill="1" applyBorder="1" applyAlignment="1">
      <alignment horizontal="center" vertical="top" wrapText="1"/>
    </xf>
    <xf numFmtId="0" fontId="0" fillId="0" borderId="8" xfId="0" applyBorder="1" applyAlignment="1">
      <alignment horizontal="center" vertical="top" wrapText="1"/>
    </xf>
    <xf numFmtId="0" fontId="0" fillId="5" borderId="0" xfId="0" applyFill="1" applyAlignment="1">
      <alignment horizontal="center" vertical="center" wrapText="1"/>
    </xf>
    <xf numFmtId="0" fontId="0" fillId="2" borderId="0" xfId="0" applyFill="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173" fontId="8" fillId="5" borderId="0" xfId="2"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top" wrapText="1"/>
    </xf>
    <xf numFmtId="0" fontId="6" fillId="4" borderId="0" xfId="0" applyFont="1" applyFill="1" applyAlignment="1">
      <alignment horizontal="center" vertical="center" wrapText="1"/>
    </xf>
    <xf numFmtId="0" fontId="6" fillId="5" borderId="0" xfId="0" applyFont="1" applyFill="1" applyAlignment="1">
      <alignment horizontal="left" vertical="top" wrapText="1"/>
    </xf>
    <xf numFmtId="0" fontId="0" fillId="5" borderId="8" xfId="0"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left" vertical="top" wrapText="1"/>
    </xf>
    <xf numFmtId="0" fontId="6" fillId="8" borderId="0" xfId="0" applyFont="1" applyFill="1" applyAlignment="1">
      <alignment horizontal="center" vertical="top" wrapText="1"/>
    </xf>
    <xf numFmtId="0" fontId="0" fillId="8" borderId="0" xfId="0" applyFill="1" applyAlignment="1">
      <alignment horizontal="center" vertical="top" wrapText="1"/>
    </xf>
    <xf numFmtId="0" fontId="6" fillId="5" borderId="22" xfId="0" applyFont="1" applyFill="1" applyBorder="1" applyAlignment="1">
      <alignment horizontal="center" vertical="top" wrapText="1"/>
    </xf>
    <xf numFmtId="0" fontId="0" fillId="5" borderId="19" xfId="0" applyFill="1" applyBorder="1" applyAlignment="1">
      <alignment horizontal="center" vertical="top" wrapText="1"/>
    </xf>
    <xf numFmtId="0" fontId="6" fillId="5" borderId="26" xfId="0" applyFont="1" applyFill="1" applyBorder="1" applyAlignment="1">
      <alignment horizontal="center" vertical="top" wrapText="1"/>
    </xf>
    <xf numFmtId="0" fontId="0" fillId="5" borderId="24" xfId="0" applyFill="1" applyBorder="1" applyAlignment="1">
      <alignment horizontal="center" vertical="top" wrapText="1"/>
    </xf>
    <xf numFmtId="0" fontId="6" fillId="4" borderId="0" xfId="0" applyFont="1" applyFill="1" applyAlignment="1">
      <alignment horizontal="center" vertical="top" wrapText="1"/>
    </xf>
    <xf numFmtId="0" fontId="0" fillId="4" borderId="0" xfId="0" applyFill="1" applyAlignment="1">
      <alignment horizontal="center" vertical="top" wrapText="1"/>
    </xf>
    <xf numFmtId="0" fontId="16" fillId="5" borderId="22" xfId="0" applyFont="1" applyFill="1" applyBorder="1" applyAlignment="1">
      <alignment horizontal="center" vertical="top" wrapText="1"/>
    </xf>
    <xf numFmtId="0" fontId="21" fillId="5" borderId="19" xfId="0" applyFont="1" applyFill="1" applyBorder="1" applyAlignment="1">
      <alignment horizontal="center" vertical="top" wrapText="1"/>
    </xf>
    <xf numFmtId="0" fontId="6" fillId="4" borderId="0" xfId="0" applyFont="1" applyFill="1" applyAlignment="1">
      <alignment horizontal="left" vertical="top" wrapText="1"/>
    </xf>
    <xf numFmtId="3" fontId="6" fillId="10" borderId="28" xfId="0" applyNumberFormat="1" applyFont="1" applyFill="1" applyBorder="1" applyAlignment="1">
      <alignment horizontal="center" vertical="center" wrapText="1"/>
    </xf>
    <xf numFmtId="3" fontId="6" fillId="0" borderId="29" xfId="0" applyNumberFormat="1" applyFont="1" applyBorder="1" applyAlignment="1">
      <alignment vertical="center"/>
    </xf>
    <xf numFmtId="165" fontId="6" fillId="10" borderId="28" xfId="0" applyNumberFormat="1" applyFont="1" applyFill="1" applyBorder="1" applyAlignment="1">
      <alignment horizontal="center" vertical="center" wrapText="1"/>
    </xf>
    <xf numFmtId="0" fontId="6" fillId="0" borderId="29" xfId="0" applyFont="1" applyBorder="1" applyAlignment="1">
      <alignment vertical="center"/>
    </xf>
    <xf numFmtId="10" fontId="6" fillId="10" borderId="28" xfId="0" applyNumberFormat="1" applyFont="1" applyFill="1" applyBorder="1" applyAlignment="1">
      <alignment horizontal="center" vertical="center" wrapText="1"/>
    </xf>
    <xf numFmtId="10" fontId="6" fillId="0" borderId="29" xfId="0" applyNumberFormat="1" applyFont="1" applyBorder="1" applyAlignment="1">
      <alignment vertical="center"/>
    </xf>
    <xf numFmtId="0" fontId="0" fillId="5" borderId="0" xfId="0" applyFill="1" applyAlignment="1">
      <alignment vertical="top" wrapText="1"/>
    </xf>
    <xf numFmtId="0" fontId="0" fillId="0" borderId="0" xfId="0" applyAlignment="1">
      <alignment vertical="top" wrapText="1"/>
    </xf>
    <xf numFmtId="3" fontId="6" fillId="10" borderId="30" xfId="0" applyNumberFormat="1" applyFont="1" applyFill="1" applyBorder="1" applyAlignment="1">
      <alignment horizontal="center" vertical="center" wrapText="1"/>
    </xf>
    <xf numFmtId="3" fontId="6" fillId="0" borderId="30" xfId="0" applyNumberFormat="1" applyFont="1" applyBorder="1" applyAlignment="1">
      <alignment vertical="center"/>
    </xf>
    <xf numFmtId="165" fontId="6" fillId="10" borderId="30" xfId="0" applyNumberFormat="1" applyFont="1" applyFill="1" applyBorder="1" applyAlignment="1">
      <alignment horizontal="center" vertical="center" wrapText="1"/>
    </xf>
    <xf numFmtId="0" fontId="6" fillId="0" borderId="30" xfId="0" applyFont="1" applyBorder="1" applyAlignment="1">
      <alignment vertical="center"/>
    </xf>
    <xf numFmtId="10" fontId="6" fillId="10" borderId="30" xfId="0" applyNumberFormat="1" applyFont="1" applyFill="1" applyBorder="1" applyAlignment="1">
      <alignment horizontal="center" vertical="center" wrapText="1"/>
    </xf>
    <xf numFmtId="10" fontId="6" fillId="0" borderId="30" xfId="0" applyNumberFormat="1" applyFont="1" applyBorder="1" applyAlignment="1">
      <alignment vertical="center"/>
    </xf>
    <xf numFmtId="3" fontId="6" fillId="10" borderId="39" xfId="0" applyNumberFormat="1" applyFont="1" applyFill="1" applyBorder="1" applyAlignment="1">
      <alignment horizontal="center" vertical="center" wrapText="1"/>
    </xf>
    <xf numFmtId="3" fontId="6" fillId="0" borderId="39" xfId="0" applyNumberFormat="1" applyFont="1" applyBorder="1" applyAlignment="1">
      <alignment vertical="center"/>
    </xf>
    <xf numFmtId="165" fontId="6" fillId="10" borderId="39" xfId="0" applyNumberFormat="1" applyFont="1" applyFill="1" applyBorder="1" applyAlignment="1">
      <alignment horizontal="center" vertical="center" wrapText="1"/>
    </xf>
    <xf numFmtId="0" fontId="6" fillId="0" borderId="39" xfId="0" applyFont="1" applyBorder="1" applyAlignment="1">
      <alignment vertical="center"/>
    </xf>
    <xf numFmtId="10" fontId="6" fillId="10" borderId="39" xfId="0" applyNumberFormat="1" applyFont="1" applyFill="1" applyBorder="1" applyAlignment="1">
      <alignment horizontal="center" vertical="center" wrapText="1"/>
    </xf>
    <xf numFmtId="10" fontId="6" fillId="0" borderId="39" xfId="0" applyNumberFormat="1" applyFont="1" applyBorder="1" applyAlignment="1">
      <alignment vertical="center"/>
    </xf>
    <xf numFmtId="3" fontId="6" fillId="10" borderId="48" xfId="0" applyNumberFormat="1" applyFont="1" applyFill="1" applyBorder="1" applyAlignment="1">
      <alignment horizontal="center" vertical="center" wrapText="1"/>
    </xf>
    <xf numFmtId="3" fontId="6" fillId="0" borderId="48" xfId="0" applyNumberFormat="1" applyFont="1" applyBorder="1" applyAlignment="1">
      <alignment vertical="center"/>
    </xf>
    <xf numFmtId="165" fontId="6" fillId="10" borderId="48" xfId="0" applyNumberFormat="1" applyFont="1" applyFill="1" applyBorder="1" applyAlignment="1">
      <alignment horizontal="center" vertical="center" wrapText="1"/>
    </xf>
    <xf numFmtId="0" fontId="6" fillId="0" borderId="48" xfId="0" applyFont="1" applyBorder="1" applyAlignment="1">
      <alignment vertical="center"/>
    </xf>
    <xf numFmtId="10" fontId="6" fillId="10" borderId="48" xfId="0" applyNumberFormat="1" applyFont="1" applyFill="1" applyBorder="1" applyAlignment="1">
      <alignment horizontal="center" vertical="center" wrapText="1"/>
    </xf>
    <xf numFmtId="10" fontId="6" fillId="0" borderId="48" xfId="0" applyNumberFormat="1" applyFont="1" applyBorder="1" applyAlignment="1">
      <alignment vertical="center"/>
    </xf>
  </cellXfs>
  <cellStyles count="19">
    <cellStyle name="Comma" xfId="1" builtinId="3"/>
    <cellStyle name="Comma 2" xfId="16" xr:uid="{00000000-0005-0000-0000-000001000000}"/>
    <cellStyle name="Excel Built-in Comma" xfId="17" xr:uid="{00000000-0005-0000-0000-000002000000}"/>
    <cellStyle name="HSBC Report Number" xfId="8" xr:uid="{00000000-0005-0000-0000-000003000000}"/>
    <cellStyle name="HSBC Report Total" xfId="11" xr:uid="{00000000-0005-0000-0000-000004000000}"/>
    <cellStyle name="HSBC Title Main" xfId="4" xr:uid="{00000000-0005-0000-0000-000005000000}"/>
    <cellStyle name="HSBC Title Main Sub" xfId="5" xr:uid="{00000000-0005-0000-0000-000006000000}"/>
    <cellStyle name="HSBC WK Date" xfId="6" xr:uid="{00000000-0005-0000-0000-000007000000}"/>
    <cellStyle name="HSBC WK Logical 2" xfId="13" xr:uid="{00000000-0005-0000-0000-000008000000}"/>
    <cellStyle name="HSBC WK Number 1" xfId="9" xr:uid="{00000000-0005-0000-0000-000009000000}"/>
    <cellStyle name="HSBC WK Number 2" xfId="12" xr:uid="{00000000-0005-0000-0000-00000A000000}"/>
    <cellStyle name="HSBC WK Percent" xfId="10" xr:uid="{00000000-0005-0000-0000-00000B000000}"/>
    <cellStyle name="HSBC WK Ratios" xfId="7" xr:uid="{00000000-0005-0000-0000-00000C000000}"/>
    <cellStyle name="Normal" xfId="0" builtinId="0"/>
    <cellStyle name="Normal 2" xfId="3" xr:uid="{00000000-0005-0000-0000-00000E000000}"/>
    <cellStyle name="Normal 3" xfId="14" xr:uid="{00000000-0005-0000-0000-00000F000000}"/>
    <cellStyle name="Per cent" xfId="2" builtinId="5"/>
    <cellStyle name="Percent 2" xfId="15" xr:uid="{00000000-0005-0000-0000-000011000000}"/>
    <cellStyle name="Percent 3" xfId="18" xr:uid="{00000000-0005-0000-0000-000012000000}"/>
  </cellStyles>
  <dxfs count="2">
    <dxf>
      <font>
        <b/>
        <i val="0"/>
        <color indexed="12"/>
      </font>
    </dxf>
    <dxf>
      <fill>
        <patternFill patternType="solid">
          <fgColor rgb="FFFFFFFF"/>
          <bgColor rgb="FFFFFFFF"/>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ndard"/>
        <c:varyColors val="0"/>
        <c:ser>
          <c:idx val="0"/>
          <c:order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EFB2-C247-83C4-DC011C78620B}"/>
            </c:ext>
          </c:extLst>
        </c:ser>
        <c:dLbls>
          <c:showLegendKey val="0"/>
          <c:showVal val="0"/>
          <c:showCatName val="0"/>
          <c:showSerName val="0"/>
          <c:showPercent val="0"/>
          <c:showBubbleSize val="0"/>
        </c:dLbls>
        <c:axId val="257471232"/>
        <c:axId val="257472768"/>
      </c:areaChart>
      <c:catAx>
        <c:axId val="257471232"/>
        <c:scaling>
          <c:orientation val="minMax"/>
        </c:scaling>
        <c:delete val="0"/>
        <c:axPos val="b"/>
        <c:numFmt formatCode="0" sourceLinked="1"/>
        <c:majorTickMark val="out"/>
        <c:minorTickMark val="none"/>
        <c:tickLblPos val="nextTo"/>
        <c:crossAx val="257472768"/>
        <c:crosses val="autoZero"/>
        <c:auto val="1"/>
        <c:lblAlgn val="ctr"/>
        <c:lblOffset val="100"/>
        <c:noMultiLvlLbl val="0"/>
      </c:catAx>
      <c:valAx>
        <c:axId val="257472768"/>
        <c:scaling>
          <c:orientation val="minMax"/>
        </c:scaling>
        <c:delete val="0"/>
        <c:axPos val="l"/>
        <c:title>
          <c:tx>
            <c:rich>
              <a:bodyPr rot="-5400000" vert="horz"/>
              <a:lstStyle/>
              <a:p>
                <a:pPr>
                  <a:defRPr/>
                </a:pPr>
                <a:r>
                  <a:rPr lang="en-US"/>
                  <a:t>R$ (Millions)</a:t>
                </a:r>
              </a:p>
            </c:rich>
          </c:tx>
          <c:overlay val="0"/>
        </c:title>
        <c:numFmt formatCode="General" sourceLinked="1"/>
        <c:majorTickMark val="out"/>
        <c:minorTickMark val="none"/>
        <c:tickLblPos val="nextTo"/>
        <c:crossAx val="257471232"/>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Debt ratios</a:t>
            </a:r>
          </a:p>
        </c:rich>
      </c:tx>
      <c:overlay val="0"/>
    </c:title>
    <c:autoTitleDeleted val="0"/>
    <c:plotArea>
      <c:layout/>
      <c:lineChart>
        <c:grouping val="standard"/>
        <c:varyColors val="0"/>
        <c:ser>
          <c:idx val="0"/>
          <c:order val="0"/>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E280-A644-B48B-9CD3FE016C5C}"/>
            </c:ext>
          </c:extLst>
        </c:ser>
        <c:dLbls>
          <c:showLegendKey val="0"/>
          <c:showVal val="0"/>
          <c:showCatName val="0"/>
          <c:showSerName val="0"/>
          <c:showPercent val="0"/>
          <c:showBubbleSize val="0"/>
        </c:dLbls>
        <c:marker val="1"/>
        <c:smooth val="0"/>
        <c:axId val="284055040"/>
        <c:axId val="284056576"/>
      </c:line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E280-A644-B48B-9CD3FE016C5C}"/>
            </c:ext>
          </c:extLst>
        </c:ser>
        <c:dLbls>
          <c:showLegendKey val="0"/>
          <c:showVal val="0"/>
          <c:showCatName val="0"/>
          <c:showSerName val="0"/>
          <c:showPercent val="0"/>
          <c:showBubbleSize val="0"/>
        </c:dLbls>
        <c:marker val="1"/>
        <c:smooth val="0"/>
        <c:axId val="284068096"/>
        <c:axId val="284066560"/>
      </c:lineChart>
      <c:catAx>
        <c:axId val="284055040"/>
        <c:scaling>
          <c:orientation val="minMax"/>
        </c:scaling>
        <c:delete val="0"/>
        <c:axPos val="b"/>
        <c:numFmt formatCode="0" sourceLinked="1"/>
        <c:majorTickMark val="out"/>
        <c:minorTickMark val="none"/>
        <c:tickLblPos val="nextTo"/>
        <c:crossAx val="284056576"/>
        <c:crosses val="autoZero"/>
        <c:auto val="1"/>
        <c:lblAlgn val="ctr"/>
        <c:lblOffset val="100"/>
        <c:noMultiLvlLbl val="0"/>
      </c:catAx>
      <c:valAx>
        <c:axId val="284056576"/>
        <c:scaling>
          <c:orientation val="minMax"/>
        </c:scaling>
        <c:delete val="0"/>
        <c:axPos val="l"/>
        <c:numFmt formatCode="General" sourceLinked="1"/>
        <c:majorTickMark val="out"/>
        <c:minorTickMark val="none"/>
        <c:tickLblPos val="nextTo"/>
        <c:crossAx val="284055040"/>
        <c:crosses val="autoZero"/>
        <c:crossBetween val="between"/>
      </c:valAx>
      <c:valAx>
        <c:axId val="284066560"/>
        <c:scaling>
          <c:orientation val="minMax"/>
        </c:scaling>
        <c:delete val="0"/>
        <c:axPos val="r"/>
        <c:numFmt formatCode="General" sourceLinked="1"/>
        <c:majorTickMark val="out"/>
        <c:minorTickMark val="none"/>
        <c:tickLblPos val="nextTo"/>
        <c:crossAx val="284068096"/>
        <c:crosses val="max"/>
        <c:crossBetween val="between"/>
      </c:valAx>
      <c:catAx>
        <c:axId val="284068096"/>
        <c:scaling>
          <c:orientation val="minMax"/>
        </c:scaling>
        <c:delete val="1"/>
        <c:axPos val="b"/>
        <c:numFmt formatCode="0" sourceLinked="1"/>
        <c:majorTickMark val="out"/>
        <c:minorTickMark val="none"/>
        <c:tickLblPos val="none"/>
        <c:crossAx val="284066560"/>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20A7-3040-8B99-47EE3B99CD22}"/>
            </c:ext>
          </c:extLst>
        </c:ser>
        <c:ser>
          <c:idx val="1"/>
          <c:order val="1"/>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20A7-3040-8B99-47EE3B99CD22}"/>
            </c:ext>
          </c:extLst>
        </c:ser>
        <c:dLbls>
          <c:showLegendKey val="0"/>
          <c:showVal val="0"/>
          <c:showCatName val="0"/>
          <c:showSerName val="0"/>
          <c:showPercent val="0"/>
          <c:showBubbleSize val="0"/>
        </c:dLbls>
        <c:gapWidth val="150"/>
        <c:axId val="284091136"/>
        <c:axId val="284092672"/>
      </c:barChart>
      <c:lineChart>
        <c:grouping val="standard"/>
        <c:varyColors val="0"/>
        <c:ser>
          <c:idx val="2"/>
          <c:order val="2"/>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6="http://schemas.microsoft.com/office/drawing/2014/chart" uri="{C3380CC4-5D6E-409C-BE32-E72D297353CC}">
              <c16:uniqueId val="{00000002-20A7-3040-8B99-47EE3B99CD22}"/>
            </c:ext>
          </c:extLst>
        </c:ser>
        <c:dLbls>
          <c:showLegendKey val="0"/>
          <c:showVal val="0"/>
          <c:showCatName val="0"/>
          <c:showSerName val="0"/>
          <c:showPercent val="0"/>
          <c:showBubbleSize val="0"/>
        </c:dLbls>
        <c:marker val="1"/>
        <c:smooth val="0"/>
        <c:axId val="284821376"/>
        <c:axId val="284819840"/>
      </c:lineChart>
      <c:catAx>
        <c:axId val="284091136"/>
        <c:scaling>
          <c:orientation val="minMax"/>
        </c:scaling>
        <c:delete val="0"/>
        <c:axPos val="b"/>
        <c:numFmt formatCode="0" sourceLinked="1"/>
        <c:majorTickMark val="out"/>
        <c:minorTickMark val="none"/>
        <c:tickLblPos val="nextTo"/>
        <c:crossAx val="284092672"/>
        <c:crosses val="autoZero"/>
        <c:auto val="1"/>
        <c:lblAlgn val="ctr"/>
        <c:lblOffset val="100"/>
        <c:noMultiLvlLbl val="0"/>
      </c:catAx>
      <c:valAx>
        <c:axId val="284092672"/>
        <c:scaling>
          <c:orientation val="minMax"/>
        </c:scaling>
        <c:delete val="0"/>
        <c:axPos val="l"/>
        <c:numFmt formatCode="General" sourceLinked="1"/>
        <c:majorTickMark val="out"/>
        <c:minorTickMark val="none"/>
        <c:tickLblPos val="nextTo"/>
        <c:crossAx val="284091136"/>
        <c:crosses val="autoZero"/>
        <c:crossBetween val="between"/>
        <c:dispUnits>
          <c:builtInUnit val="thousands"/>
          <c:dispUnitsLbl>
            <c:layout>
              <c:manualLayout>
                <c:xMode val="edge"/>
                <c:yMode val="edge"/>
                <c:x val="3.0555555555555582E-2"/>
                <c:y val="0.29677092446777487"/>
              </c:manualLayout>
            </c:layout>
            <c:tx>
              <c:rich>
                <a:bodyPr/>
                <a:lstStyle/>
                <a:p>
                  <a:pPr>
                    <a:defRPr/>
                  </a:pPr>
                  <a:r>
                    <a:rPr lang="en-US"/>
                    <a:t>R$</a:t>
                  </a:r>
                  <a:r>
                    <a:rPr lang="en-US" baseline="0"/>
                    <a:t> (Billions)</a:t>
                  </a:r>
                  <a:endParaRPr lang="en-US"/>
                </a:p>
              </c:rich>
            </c:tx>
          </c:dispUnitsLbl>
        </c:dispUnits>
      </c:valAx>
      <c:valAx>
        <c:axId val="284819840"/>
        <c:scaling>
          <c:orientation val="minMax"/>
          <c:max val="10"/>
        </c:scaling>
        <c:delete val="0"/>
        <c:axPos val="r"/>
        <c:numFmt formatCode="General" sourceLinked="1"/>
        <c:majorTickMark val="out"/>
        <c:minorTickMark val="none"/>
        <c:tickLblPos val="nextTo"/>
        <c:crossAx val="284821376"/>
        <c:crosses val="max"/>
        <c:crossBetween val="between"/>
      </c:valAx>
      <c:catAx>
        <c:axId val="284821376"/>
        <c:scaling>
          <c:orientation val="minMax"/>
        </c:scaling>
        <c:delete val="1"/>
        <c:axPos val="b"/>
        <c:majorTickMark val="out"/>
        <c:minorTickMark val="none"/>
        <c:tickLblPos val="none"/>
        <c:crossAx val="284819840"/>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Traffic</a:t>
            </a:r>
            <a:r>
              <a:rPr lang="en-US" baseline="0"/>
              <a:t> intensity</a:t>
            </a:r>
            <a:endParaRPr lang="en-US"/>
          </a:p>
        </c:rich>
      </c:tx>
      <c:layout>
        <c:manualLayout>
          <c:xMode val="edge"/>
          <c:yMode val="edge"/>
          <c:x val="0.42911650387966249"/>
          <c:y val="3.2407407407408766E-2"/>
        </c:manualLayout>
      </c:layout>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7AB4-7448-8A68-F0491C414E63}"/>
            </c:ext>
          </c:extLst>
        </c:ser>
        <c:dLbls>
          <c:showLegendKey val="0"/>
          <c:showVal val="0"/>
          <c:showCatName val="0"/>
          <c:showSerName val="0"/>
          <c:showPercent val="0"/>
          <c:showBubbleSize val="0"/>
        </c:dLbls>
        <c:gapWidth val="150"/>
        <c:axId val="284830336"/>
        <c:axId val="284844416"/>
      </c:bar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7AB4-7448-8A68-F0491C414E63}"/>
            </c:ext>
          </c:extLst>
        </c:ser>
        <c:dLbls>
          <c:showLegendKey val="0"/>
          <c:showVal val="0"/>
          <c:showCatName val="0"/>
          <c:showSerName val="0"/>
          <c:showPercent val="0"/>
          <c:showBubbleSize val="0"/>
        </c:dLbls>
        <c:marker val="1"/>
        <c:smooth val="0"/>
        <c:axId val="284830336"/>
        <c:axId val="284844416"/>
      </c:lineChart>
      <c:catAx>
        <c:axId val="284830336"/>
        <c:scaling>
          <c:orientation val="minMax"/>
        </c:scaling>
        <c:delete val="0"/>
        <c:axPos val="b"/>
        <c:numFmt formatCode="0" sourceLinked="1"/>
        <c:majorTickMark val="out"/>
        <c:minorTickMark val="none"/>
        <c:tickLblPos val="nextTo"/>
        <c:crossAx val="284844416"/>
        <c:crosses val="autoZero"/>
        <c:auto val="1"/>
        <c:lblAlgn val="ctr"/>
        <c:lblOffset val="100"/>
        <c:noMultiLvlLbl val="0"/>
      </c:catAx>
      <c:valAx>
        <c:axId val="284844416"/>
        <c:scaling>
          <c:orientation val="minMax"/>
        </c:scaling>
        <c:delete val="0"/>
        <c:axPos val="l"/>
        <c:title>
          <c:tx>
            <c:rich>
              <a:bodyPr rot="-5400000" vert="horz"/>
              <a:lstStyle/>
              <a:p>
                <a:pPr>
                  <a:defRPr/>
                </a:pPr>
                <a:r>
                  <a:rPr lang="en-US"/>
                  <a:t>Million</a:t>
                </a:r>
                <a:r>
                  <a:rPr lang="en-US" baseline="0"/>
                  <a:t> traffic units per track-km</a:t>
                </a:r>
                <a:endParaRPr lang="en-US"/>
              </a:p>
            </c:rich>
          </c:tx>
          <c:overlay val="0"/>
        </c:title>
        <c:numFmt formatCode="General" sourceLinked="1"/>
        <c:majorTickMark val="out"/>
        <c:minorTickMark val="none"/>
        <c:tickLblPos val="nextTo"/>
        <c:crossAx val="284830336"/>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flows</a:t>
            </a:r>
          </a:p>
        </c:rich>
      </c:tx>
      <c:layout>
        <c:manualLayout>
          <c:xMode val="edge"/>
          <c:yMode val="edge"/>
          <c:x val="0.44301579949566061"/>
          <c:y val="3.7037037037037056E-2"/>
        </c:manualLayout>
      </c:layout>
      <c:overlay val="0"/>
    </c:title>
    <c:autoTitleDeleted val="0"/>
    <c:plotArea>
      <c:layout/>
      <c:barChart>
        <c:barDir val="col"/>
        <c:grouping val="clustered"/>
        <c:varyColors val="0"/>
        <c:ser>
          <c:idx val="0"/>
          <c:order val="0"/>
          <c:tx>
            <c:strRef>
              <c:f>'Charts - Freight'!$B$202:$D$202</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[0]!operatingcashflowall</c:f>
              <c:numCache>
                <c:formatCode>_(* #,##0_);_(* \(#,##0\);_(* "-"??_);_(@_)</c:formatCode>
                <c:ptCount val="30"/>
                <c:pt idx="0">
                  <c:v>0</c:v>
                </c:pt>
                <c:pt idx="1">
                  <c:v>50690.792519097551</c:v>
                </c:pt>
                <c:pt idx="2">
                  <c:v>52724.69910649403</c:v>
                </c:pt>
                <c:pt idx="3">
                  <c:v>55555.087292603705</c:v>
                </c:pt>
                <c:pt idx="4">
                  <c:v>59925.604475971457</c:v>
                </c:pt>
                <c:pt idx="5">
                  <c:v>64163.626703987196</c:v>
                </c:pt>
                <c:pt idx="6">
                  <c:v>72149.97263055107</c:v>
                </c:pt>
                <c:pt idx="7">
                  <c:v>77495.629768915795</c:v>
                </c:pt>
                <c:pt idx="8">
                  <c:v>82223.493875014101</c:v>
                </c:pt>
                <c:pt idx="9">
                  <c:v>87164.973491895071</c:v>
                </c:pt>
                <c:pt idx="10">
                  <c:v>91222.768841377983</c:v>
                </c:pt>
                <c:pt idx="11">
                  <c:v>96261.173051379898</c:v>
                </c:pt>
                <c:pt idx="12">
                  <c:v>101596.8188694383</c:v>
                </c:pt>
                <c:pt idx="13">
                  <c:v>107167.51642838139</c:v>
                </c:pt>
                <c:pt idx="14">
                  <c:v>112987.49117860262</c:v>
                </c:pt>
                <c:pt idx="15">
                  <c:v>119058.94847536211</c:v>
                </c:pt>
                <c:pt idx="16">
                  <c:v>125394.26549745037</c:v>
                </c:pt>
                <c:pt idx="17">
                  <c:v>131994.57828943952</c:v>
                </c:pt>
                <c:pt idx="18">
                  <c:v>138894.53135041392</c:v>
                </c:pt>
                <c:pt idx="19">
                  <c:v>146097.43811296648</c:v>
                </c:pt>
                <c:pt idx="20">
                  <c:v>153605.48887873936</c:v>
                </c:pt>
                <c:pt idx="21">
                  <c:v>161439.28338368493</c:v>
                </c:pt>
                <c:pt idx="22">
                  <c:v>169607.40726804076</c:v>
                </c:pt>
                <c:pt idx="23">
                  <c:v>178121.83813264631</c:v>
                </c:pt>
                <c:pt idx="24">
                  <c:v>186994.98892456814</c:v>
                </c:pt>
                <c:pt idx="25">
                  <c:v>196241.9497469081</c:v>
                </c:pt>
                <c:pt idx="26">
                  <c:v>205875.64425810269</c:v>
                </c:pt>
                <c:pt idx="27">
                  <c:v>215910.12989520255</c:v>
                </c:pt>
                <c:pt idx="28">
                  <c:v>226361.40002495603</c:v>
                </c:pt>
                <c:pt idx="29">
                  <c:v>237227.77046402689</c:v>
                </c:pt>
              </c:numCache>
            </c:numRef>
          </c:val>
          <c:extLst>
            <c:ext xmlns:c16="http://schemas.microsoft.com/office/drawing/2014/chart" uri="{C3380CC4-5D6E-409C-BE32-E72D297353CC}">
              <c16:uniqueId val="{00000000-F3BA-DB4C-87A3-D55E0B33D1BC}"/>
            </c:ext>
          </c:extLst>
        </c:ser>
        <c:ser>
          <c:idx val="1"/>
          <c:order val="1"/>
          <c:tx>
            <c:strRef>
              <c:f>'Charts - Freight'!$B$203:$D$203</c:f>
              <c:strCache>
                <c:ptCount val="3"/>
                <c:pt idx="0">
                  <c:v>Net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[0]!netcashflowall</c:f>
              <c:numCache>
                <c:formatCode>_(* #,##0_);_(* \(#,##0\);_(* "-"??_);_(@_)</c:formatCode>
                <c:ptCount val="30"/>
                <c:pt idx="0">
                  <c:v>0</c:v>
                </c:pt>
                <c:pt idx="1">
                  <c:v>15079.085777752065</c:v>
                </c:pt>
                <c:pt idx="2">
                  <c:v>15652.139710596231</c:v>
                </c:pt>
                <c:pt idx="3">
                  <c:v>16473.296584496522</c:v>
                </c:pt>
                <c:pt idx="4">
                  <c:v>17803.431327575141</c:v>
                </c:pt>
                <c:pt idx="5">
                  <c:v>19117.740826970825</c:v>
                </c:pt>
                <c:pt idx="6">
                  <c:v>21370.640786451004</c:v>
                </c:pt>
                <c:pt idx="7">
                  <c:v>22877.570733555738</c:v>
                </c:pt>
                <c:pt idx="8">
                  <c:v>24250.367413467357</c:v>
                </c:pt>
                <c:pt idx="9">
                  <c:v>25675.96633994377</c:v>
                </c:pt>
                <c:pt idx="10">
                  <c:v>26968.963546162988</c:v>
                </c:pt>
                <c:pt idx="11">
                  <c:v>28478.729092970665</c:v>
                </c:pt>
                <c:pt idx="12">
                  <c:v>30043.009101189746</c:v>
                </c:pt>
                <c:pt idx="13">
                  <c:v>31670.890323212749</c:v>
                </c:pt>
                <c:pt idx="14">
                  <c:v>33366.504916766236</c:v>
                </c:pt>
                <c:pt idx="15">
                  <c:v>35129.109493330907</c:v>
                </c:pt>
                <c:pt idx="16">
                  <c:v>36755.848240465915</c:v>
                </c:pt>
                <c:pt idx="17">
                  <c:v>38884.420019973215</c:v>
                </c:pt>
                <c:pt idx="18">
                  <c:v>40867.636862959247</c:v>
                </c:pt>
                <c:pt idx="19">
                  <c:v>42930.303560645814</c:v>
                </c:pt>
                <c:pt idx="20">
                  <c:v>45071.26012697132</c:v>
                </c:pt>
                <c:pt idx="21">
                  <c:v>47295.800045448093</c:v>
                </c:pt>
                <c:pt idx="22">
                  <c:v>49609.009450926023</c:v>
                </c:pt>
                <c:pt idx="23">
                  <c:v>52010.883599704699</c:v>
                </c:pt>
                <c:pt idx="24">
                  <c:v>54503.760033593717</c:v>
                </c:pt>
                <c:pt idx="25">
                  <c:v>57091.306353606458</c:v>
                </c:pt>
                <c:pt idx="26">
                  <c:v>59751.370501216647</c:v>
                </c:pt>
                <c:pt idx="27">
                  <c:v>62561.086157905782</c:v>
                </c:pt>
                <c:pt idx="28">
                  <c:v>65448.404042079434</c:v>
                </c:pt>
                <c:pt idx="29">
                  <c:v>68434.976138529222</c:v>
                </c:pt>
              </c:numCache>
            </c:numRef>
          </c:val>
          <c:extLst>
            <c:ext xmlns:c16="http://schemas.microsoft.com/office/drawing/2014/chart" uri="{C3380CC4-5D6E-409C-BE32-E72D297353CC}">
              <c16:uniqueId val="{00000001-F3BA-DB4C-87A3-D55E0B33D1BC}"/>
            </c:ext>
          </c:extLst>
        </c:ser>
        <c:dLbls>
          <c:showLegendKey val="0"/>
          <c:showVal val="0"/>
          <c:showCatName val="0"/>
          <c:showSerName val="0"/>
          <c:showPercent val="0"/>
          <c:showBubbleSize val="0"/>
        </c:dLbls>
        <c:gapWidth val="150"/>
        <c:axId val="285112576"/>
        <c:axId val="285118464"/>
      </c:barChart>
      <c:catAx>
        <c:axId val="285112576"/>
        <c:scaling>
          <c:orientation val="minMax"/>
        </c:scaling>
        <c:delete val="0"/>
        <c:axPos val="b"/>
        <c:numFmt formatCode="0" sourceLinked="1"/>
        <c:majorTickMark val="out"/>
        <c:minorTickMark val="none"/>
        <c:tickLblPos val="nextTo"/>
        <c:crossAx val="285118464"/>
        <c:crosses val="autoZero"/>
        <c:auto val="1"/>
        <c:lblAlgn val="ctr"/>
        <c:lblOffset val="100"/>
        <c:noMultiLvlLbl val="0"/>
      </c:catAx>
      <c:valAx>
        <c:axId val="285118464"/>
        <c:scaling>
          <c:orientation val="minMax"/>
        </c:scaling>
        <c:delete val="0"/>
        <c:axPos val="l"/>
        <c:numFmt formatCode="_(* #,##0_);_(* \(#,##0\);_(* &quot;-&quot;??_);_(@_)" sourceLinked="1"/>
        <c:majorTickMark val="out"/>
        <c:minorTickMark val="none"/>
        <c:tickLblPos val="nextTo"/>
        <c:crossAx val="285112576"/>
        <c:crosses val="autoZero"/>
        <c:crossBetween val="between"/>
        <c:dispUnits>
          <c:builtInUnit val="thousands"/>
          <c:dispUnitsLbl>
            <c:layout>
              <c:manualLayout>
                <c:xMode val="edge"/>
                <c:yMode val="edge"/>
                <c:x val="2.0541549953314659E-2"/>
                <c:y val="0.29214129483814522"/>
              </c:manualLayout>
            </c:layout>
            <c:tx>
              <c:strRef>
                <c:f>'Charts - Consolidated'!$E$134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Debt service coverage ratio</a:t>
            </a:r>
          </a:p>
        </c:rich>
      </c:tx>
      <c:overlay val="0"/>
    </c:title>
    <c:autoTitleDeleted val="0"/>
    <c:plotArea>
      <c:layout/>
      <c:lineChart>
        <c:grouping val="standard"/>
        <c:varyColors val="0"/>
        <c:ser>
          <c:idx val="0"/>
          <c:order val="0"/>
          <c:tx>
            <c:strRef>
              <c:f>'Charts - Freight'!$B$220:$D$220</c:f>
              <c:strCache>
                <c:ptCount val="3"/>
                <c:pt idx="0">
                  <c:v>DSCR</c:v>
                </c:pt>
              </c:strCache>
            </c:strRef>
          </c:tx>
          <c:marker>
            <c:symbol val="none"/>
          </c:marker>
          <c:cat>
            <c:numRef>
              <c:f>[0]!Yeardscr</c:f>
              <c:numCache>
                <c:formatCode>0</c:formatCode>
                <c:ptCount val="29"/>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pt idx="17">
                  <c:v>2028</c:v>
                </c:pt>
                <c:pt idx="18">
                  <c:v>2029</c:v>
                </c:pt>
                <c:pt idx="19">
                  <c:v>2030</c:v>
                </c:pt>
                <c:pt idx="20">
                  <c:v>2031</c:v>
                </c:pt>
                <c:pt idx="21">
                  <c:v>2032</c:v>
                </c:pt>
                <c:pt idx="22">
                  <c:v>2033</c:v>
                </c:pt>
                <c:pt idx="23">
                  <c:v>2034</c:v>
                </c:pt>
                <c:pt idx="24">
                  <c:v>2035</c:v>
                </c:pt>
                <c:pt idx="25">
                  <c:v>2036</c:v>
                </c:pt>
                <c:pt idx="26">
                  <c:v>2037</c:v>
                </c:pt>
                <c:pt idx="27">
                  <c:v>2038</c:v>
                </c:pt>
                <c:pt idx="28">
                  <c:v>2039</c:v>
                </c:pt>
              </c:numCache>
            </c:numRef>
          </c:cat>
          <c:val>
            <c:numRef>
              <c:f>[0]!dscrall</c:f>
              <c:numCache>
                <c:formatCode>_(* #,##0_);_(* \(#,##0\);_(* "-"??_);_(@_)</c:formatCode>
                <c:ptCount val="29"/>
                <c:pt idx="0">
                  <c:v>621.4067860764585</c:v>
                </c:pt>
                <c:pt idx="1">
                  <c:v>360.09342407598729</c:v>
                </c:pt>
                <c:pt idx="2">
                  <c:v>462.21854813936596</c:v>
                </c:pt>
                <c:pt idx="3">
                  <c:v>471.90485199501489</c:v>
                </c:pt>
                <c:pt idx="4">
                  <c:v>480.14986402250349</c:v>
                </c:pt>
                <c:pt idx="5">
                  <c:v>514.85037137067695</c:v>
                </c:pt>
                <c:pt idx="6">
                  <c:v>520.4152899882472</c:v>
                </c:pt>
                <c:pt idx="7">
                  <c:v>566.37938540257812</c:v>
                </c:pt>
                <c:pt idx="8">
                  <c:v>617.31182173148318</c:v>
                </c:pt>
                <c:pt idx="9">
                  <c:v>809.57548666913783</c:v>
                </c:pt>
                <c:pt idx="10">
                  <c:v>1719.7324064720476</c:v>
                </c:pt>
                <c:pt idx="11">
                  <c:v>1815.0551906425087</c:v>
                </c:pt>
                <c:pt idx="12">
                  <c:v>1914.5772389937761</c:v>
                </c:pt>
                <c:pt idx="13">
                  <c:v>2018.5526931206675</c:v>
                </c:pt>
                <c:pt idx="14">
                  <c:v>2127.0209523031667</c:v>
                </c:pt>
                <c:pt idx="15">
                  <c:v>176.2146605255374</c:v>
                </c:pt>
                <c:pt idx="16">
                  <c:v>37712.736654125576</c:v>
                </c:pt>
                <c:pt idx="17">
                  <c:v>39684.15181440398</c:v>
                </c:pt>
                <c:pt idx="18">
                  <c:v>41742.125175133282</c:v>
                </c:pt>
                <c:pt idx="19">
                  <c:v>43887.282536782674</c:v>
                </c:pt>
                <c:pt idx="20">
                  <c:v>46125.509538195693</c:v>
                </c:pt>
                <c:pt idx="21">
                  <c:v>48459.259219440217</c:v>
                </c:pt>
                <c:pt idx="22">
                  <c:v>50891.953752184658</c:v>
                </c:pt>
                <c:pt idx="23">
                  <c:v>53427.139692733756</c:v>
                </c:pt>
                <c:pt idx="24">
                  <c:v>56069.128499116596</c:v>
                </c:pt>
                <c:pt idx="25">
                  <c:v>3940.2037178584246</c:v>
                </c:pt>
                <c:pt idx="26">
                  <c:v>215910.12989520255</c:v>
                </c:pt>
                <c:pt idx="27">
                  <c:v>226361.40002495603</c:v>
                </c:pt>
                <c:pt idx="28">
                  <c:v>237227.77046402689</c:v>
                </c:pt>
              </c:numCache>
            </c:numRef>
          </c:val>
          <c:smooth val="0"/>
          <c:extLst>
            <c:ext xmlns:c16="http://schemas.microsoft.com/office/drawing/2014/chart" uri="{C3380CC4-5D6E-409C-BE32-E72D297353CC}">
              <c16:uniqueId val="{00000000-3A58-0F4E-949F-BA88FBB7274C}"/>
            </c:ext>
          </c:extLst>
        </c:ser>
        <c:dLbls>
          <c:showLegendKey val="0"/>
          <c:showVal val="0"/>
          <c:showCatName val="0"/>
          <c:showSerName val="0"/>
          <c:showPercent val="0"/>
          <c:showBubbleSize val="0"/>
        </c:dLbls>
        <c:smooth val="0"/>
        <c:axId val="155521024"/>
        <c:axId val="155522560"/>
      </c:lineChart>
      <c:catAx>
        <c:axId val="155521024"/>
        <c:scaling>
          <c:orientation val="minMax"/>
        </c:scaling>
        <c:delete val="0"/>
        <c:axPos val="b"/>
        <c:numFmt formatCode="0" sourceLinked="1"/>
        <c:majorTickMark val="out"/>
        <c:minorTickMark val="none"/>
        <c:tickLblPos val="nextTo"/>
        <c:crossAx val="155522560"/>
        <c:crosses val="autoZero"/>
        <c:auto val="1"/>
        <c:lblAlgn val="ctr"/>
        <c:lblOffset val="100"/>
        <c:noMultiLvlLbl val="0"/>
      </c:catAx>
      <c:valAx>
        <c:axId val="155522560"/>
        <c:scaling>
          <c:orientation val="minMax"/>
        </c:scaling>
        <c:delete val="0"/>
        <c:axPos val="l"/>
        <c:numFmt formatCode="_(* #,##0_);_(* \(#,##0\);_(* &quot;-&quot;??_);_(@_)" sourceLinked="1"/>
        <c:majorTickMark val="out"/>
        <c:minorTickMark val="none"/>
        <c:tickLblPos val="nextTo"/>
        <c:crossAx val="155521024"/>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tx>
            <c:strRef>
              <c:f>'Charts - Freight'!$B$225:$D$225</c:f>
              <c:strCache>
                <c:ptCount val="3"/>
                <c:pt idx="0">
                  <c:v>Current assets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[0]!currentassetsall</c:f>
              <c:numCache>
                <c:formatCode>_(* #,##0_);_(* \(#,##0\);_(* "-"??_);_(@_)</c:formatCode>
                <c:ptCount val="30"/>
                <c:pt idx="0">
                  <c:v>13400.457735733904</c:v>
                </c:pt>
                <c:pt idx="1">
                  <c:v>29113.093246561657</c:v>
                </c:pt>
                <c:pt idx="2">
                  <c:v>45156.931650087368</c:v>
                </c:pt>
                <c:pt idx="3">
                  <c:v>62446.713937912078</c:v>
                </c:pt>
                <c:pt idx="4">
                  <c:v>81528.952251035967</c:v>
                </c:pt>
                <c:pt idx="5">
                  <c:v>101550.76747078949</c:v>
                </c:pt>
                <c:pt idx="6">
                  <c:v>124834.85520345572</c:v>
                </c:pt>
                <c:pt idx="7">
                  <c:v>148725.44237298294</c:v>
                </c:pt>
                <c:pt idx="8">
                  <c:v>174032.90663763019</c:v>
                </c:pt>
                <c:pt idx="9">
                  <c:v>200811.78590362633</c:v>
                </c:pt>
                <c:pt idx="10">
                  <c:v>228931.27860794219</c:v>
                </c:pt>
                <c:pt idx="11">
                  <c:v>258610.02005413463</c:v>
                </c:pt>
                <c:pt idx="12">
                  <c:v>289904.46086094907</c:v>
                </c:pt>
                <c:pt idx="13">
                  <c:v>322880.21006571467</c:v>
                </c:pt>
                <c:pt idx="14">
                  <c:v>357607.08308754506</c:v>
                </c:pt>
                <c:pt idx="15">
                  <c:v>394154.22882793949</c:v>
                </c:pt>
                <c:pt idx="16">
                  <c:v>432388.01998572552</c:v>
                </c:pt>
                <c:pt idx="17">
                  <c:v>472812.61056532053</c:v>
                </c:pt>
                <c:pt idx="18">
                  <c:v>515285.0519784565</c:v>
                </c:pt>
                <c:pt idx="19">
                  <c:v>559887.28883846872</c:v>
                </c:pt>
                <c:pt idx="20">
                  <c:v>606700.19732240622</c:v>
                </c:pt>
                <c:pt idx="21">
                  <c:v>655810.0418888022</c:v>
                </c:pt>
                <c:pt idx="22">
                  <c:v>707308.27128971298</c:v>
                </c:pt>
                <c:pt idx="23">
                  <c:v>761286.4311692036</c:v>
                </c:pt>
                <c:pt idx="24">
                  <c:v>817838.50994617969</c:v>
                </c:pt>
                <c:pt idx="25">
                  <c:v>877062.27259529068</c:v>
                </c:pt>
                <c:pt idx="26">
                  <c:v>939033.44483769243</c:v>
                </c:pt>
                <c:pt idx="27">
                  <c:v>1003905.0028643226</c:v>
                </c:pt>
                <c:pt idx="28">
                  <c:v>1071757.9944935769</c:v>
                </c:pt>
                <c:pt idx="29">
                  <c:v>1142695.2447005906</c:v>
                </c:pt>
              </c:numCache>
            </c:numRef>
          </c:val>
          <c:extLst>
            <c:ext xmlns:c16="http://schemas.microsoft.com/office/drawing/2014/chart" uri="{C3380CC4-5D6E-409C-BE32-E72D297353CC}">
              <c16:uniqueId val="{00000000-DB6F-A243-83F7-A6A7750C610D}"/>
            </c:ext>
          </c:extLst>
        </c:ser>
        <c:ser>
          <c:idx val="1"/>
          <c:order val="1"/>
          <c:tx>
            <c:strRef>
              <c:f>'Charts - Freight'!$B$226:$D$226</c:f>
              <c:strCache>
                <c:ptCount val="3"/>
                <c:pt idx="0">
                  <c:v>Current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[0]!currentliabilitiesall</c:f>
              <c:numCache>
                <c:formatCode>_(* #,##0_);_(* \(#,##0\);_(* "-"??_);_(@_)</c:formatCode>
                <c:ptCount val="30"/>
                <c:pt idx="0">
                  <c:v>1747.9577357339031</c:v>
                </c:pt>
                <c:pt idx="1">
                  <c:v>1879.2875606360763</c:v>
                </c:pt>
                <c:pt idx="2">
                  <c:v>1912.5449969789679</c:v>
                </c:pt>
                <c:pt idx="3">
                  <c:v>2023.7633852259951</c:v>
                </c:pt>
                <c:pt idx="4">
                  <c:v>2160.5772385555356</c:v>
                </c:pt>
                <c:pt idx="5">
                  <c:v>2242.8190925009253</c:v>
                </c:pt>
                <c:pt idx="6">
                  <c:v>2386.3652013126825</c:v>
                </c:pt>
                <c:pt idx="7">
                  <c:v>2476.7281915629037</c:v>
                </c:pt>
                <c:pt idx="8">
                  <c:v>2570.4826216976853</c:v>
                </c:pt>
                <c:pt idx="9">
                  <c:v>2645.6092428449015</c:v>
                </c:pt>
                <c:pt idx="10">
                  <c:v>2691.5178141566598</c:v>
                </c:pt>
                <c:pt idx="11">
                  <c:v>2796.1351866458676</c:v>
                </c:pt>
                <c:pt idx="12">
                  <c:v>2904.6168970177932</c:v>
                </c:pt>
                <c:pt idx="13">
                  <c:v>3017.1012875644642</c:v>
                </c:pt>
                <c:pt idx="14">
                  <c:v>3133.731565914371</c:v>
                </c:pt>
                <c:pt idx="15">
                  <c:v>3929.6559753371607</c:v>
                </c:pt>
                <c:pt idx="16">
                  <c:v>3366.3034644185591</c:v>
                </c:pt>
                <c:pt idx="17">
                  <c:v>3495.4506854378087</c:v>
                </c:pt>
                <c:pt idx="18">
                  <c:v>3629.3170666002329</c:v>
                </c:pt>
                <c:pt idx="19">
                  <c:v>3768.0695250155104</c:v>
                </c:pt>
                <c:pt idx="20">
                  <c:v>3911.8807455757651</c:v>
                </c:pt>
                <c:pt idx="21">
                  <c:v>4060.9293767971212</c:v>
                </c:pt>
                <c:pt idx="22">
                  <c:v>4215.400233220741</c:v>
                </c:pt>
                <c:pt idx="23">
                  <c:v>4375.4845045906577</c:v>
                </c:pt>
                <c:pt idx="24">
                  <c:v>4541.3799720328716</c:v>
                </c:pt>
                <c:pt idx="25">
                  <c:v>4763.2912314674859</c:v>
                </c:pt>
                <c:pt idx="26">
                  <c:v>4891.4299244933491</c:v>
                </c:pt>
                <c:pt idx="27">
                  <c:v>5076.0149769924437</c:v>
                </c:pt>
                <c:pt idx="28">
                  <c:v>5267.2728457094372</c:v>
                </c:pt>
                <c:pt idx="29">
                  <c:v>5465.4377730701599</c:v>
                </c:pt>
              </c:numCache>
            </c:numRef>
          </c:val>
          <c:extLst>
            <c:ext xmlns:c16="http://schemas.microsoft.com/office/drawing/2014/chart" uri="{C3380CC4-5D6E-409C-BE32-E72D297353CC}">
              <c16:uniqueId val="{00000001-DB6F-A243-83F7-A6A7750C610D}"/>
            </c:ext>
          </c:extLst>
        </c:ser>
        <c:dLbls>
          <c:showLegendKey val="0"/>
          <c:showVal val="0"/>
          <c:showCatName val="0"/>
          <c:showSerName val="0"/>
          <c:showPercent val="0"/>
          <c:showBubbleSize val="0"/>
        </c:dLbls>
        <c:gapWidth val="150"/>
        <c:axId val="155553152"/>
        <c:axId val="155579520"/>
      </c:barChart>
      <c:lineChart>
        <c:grouping val="standard"/>
        <c:varyColors val="0"/>
        <c:ser>
          <c:idx val="2"/>
          <c:order val="2"/>
          <c:tx>
            <c:strRef>
              <c:f>'Charts - Freight'!$B$227</c:f>
              <c:strCache>
                <c:ptCount val="1"/>
                <c:pt idx="0">
                  <c:v>Current ratio</c:v>
                </c:pt>
              </c:strCache>
            </c:strRef>
          </c:tx>
          <c:marker>
            <c:symbol val="none"/>
          </c:marker>
          <c:val>
            <c:numRef>
              <c:f>[0]!currentratioall</c:f>
              <c:numCache>
                <c:formatCode>0.00</c:formatCode>
                <c:ptCount val="30"/>
                <c:pt idx="0">
                  <c:v>7.6663511146667087</c:v>
                </c:pt>
                <c:pt idx="1">
                  <c:v>15.491558533334752</c:v>
                </c:pt>
                <c:pt idx="2">
                  <c:v>23.610912015882864</c:v>
                </c:pt>
                <c:pt idx="3">
                  <c:v>30.856726825769016</c:v>
                </c:pt>
                <c:pt idx="4">
                  <c:v>37.734801050455637</c:v>
                </c:pt>
                <c:pt idx="5">
                  <c:v>45.278180398202402</c:v>
                </c:pt>
                <c:pt idx="6">
                  <c:v>52.311714541758761</c:v>
                </c:pt>
                <c:pt idx="7">
                  <c:v>60.04915794943647</c:v>
                </c:pt>
                <c:pt idx="8">
                  <c:v>67.704370054324457</c:v>
                </c:pt>
                <c:pt idx="9">
                  <c:v>75.903796619521742</c:v>
                </c:pt>
                <c:pt idx="10">
                  <c:v>85.056571947555113</c:v>
                </c:pt>
                <c:pt idx="11">
                  <c:v>92.488382281814097</c:v>
                </c:pt>
                <c:pt idx="12">
                  <c:v>99.808157543460425</c:v>
                </c:pt>
                <c:pt idx="13">
                  <c:v>107.01669559339112</c:v>
                </c:pt>
                <c:pt idx="14">
                  <c:v>114.11541657787183</c:v>
                </c:pt>
                <c:pt idx="15">
                  <c:v>100.30247718927137</c:v>
                </c:pt>
                <c:pt idx="16">
                  <c:v>128.44594213089141</c:v>
                </c:pt>
                <c:pt idx="17">
                  <c:v>135.26513549027521</c:v>
                </c:pt>
                <c:pt idx="18">
                  <c:v>141.97851621190827</c:v>
                </c:pt>
                <c:pt idx="19">
                  <c:v>148.5873031592123</c:v>
                </c:pt>
                <c:pt idx="20">
                  <c:v>155.09169036110529</c:v>
                </c:pt>
                <c:pt idx="21">
                  <c:v>161.49259960931491</c:v>
                </c:pt>
                <c:pt idx="22">
                  <c:v>167.79148649173464</c:v>
                </c:pt>
                <c:pt idx="23">
                  <c:v>173.98905889633008</c:v>
                </c:pt>
                <c:pt idx="24">
                  <c:v>180.08590229900719</c:v>
                </c:pt>
                <c:pt idx="25">
                  <c:v>184.12946636586051</c:v>
                </c:pt>
                <c:pt idx="26">
                  <c:v>191.97524227743216</c:v>
                </c:pt>
                <c:pt idx="27">
                  <c:v>197.77423971651473</c:v>
                </c:pt>
                <c:pt idx="28">
                  <c:v>203.47493397206466</c:v>
                </c:pt>
                <c:pt idx="29">
                  <c:v>209.07661785685139</c:v>
                </c:pt>
              </c:numCache>
            </c:numRef>
          </c:val>
          <c:smooth val="0"/>
          <c:extLst>
            <c:ext xmlns:c16="http://schemas.microsoft.com/office/drawing/2014/chart" uri="{C3380CC4-5D6E-409C-BE32-E72D297353CC}">
              <c16:uniqueId val="{00000002-DB6F-A243-83F7-A6A7750C610D}"/>
            </c:ext>
          </c:extLst>
        </c:ser>
        <c:dLbls>
          <c:showLegendKey val="0"/>
          <c:showVal val="0"/>
          <c:showCatName val="0"/>
          <c:showSerName val="0"/>
          <c:showPercent val="0"/>
          <c:showBubbleSize val="0"/>
        </c:dLbls>
        <c:marker val="1"/>
        <c:smooth val="0"/>
        <c:axId val="196940544"/>
        <c:axId val="155581440"/>
      </c:lineChart>
      <c:catAx>
        <c:axId val="155553152"/>
        <c:scaling>
          <c:orientation val="minMax"/>
        </c:scaling>
        <c:delete val="0"/>
        <c:axPos val="b"/>
        <c:numFmt formatCode="0" sourceLinked="1"/>
        <c:majorTickMark val="out"/>
        <c:minorTickMark val="none"/>
        <c:tickLblPos val="nextTo"/>
        <c:crossAx val="155579520"/>
        <c:crosses val="autoZero"/>
        <c:auto val="1"/>
        <c:lblAlgn val="ctr"/>
        <c:lblOffset val="100"/>
        <c:noMultiLvlLbl val="0"/>
      </c:catAx>
      <c:valAx>
        <c:axId val="155579520"/>
        <c:scaling>
          <c:orientation val="minMax"/>
        </c:scaling>
        <c:delete val="0"/>
        <c:axPos val="l"/>
        <c:numFmt formatCode="_(* #,##0_);_(* \(#,##0\);_(* &quot;-&quot;??_);_(@_)" sourceLinked="1"/>
        <c:majorTickMark val="out"/>
        <c:minorTickMark val="none"/>
        <c:tickLblPos val="nextTo"/>
        <c:crossAx val="155553152"/>
        <c:crosses val="autoZero"/>
        <c:crossBetween val="between"/>
        <c:dispUnits>
          <c:builtInUnit val="thousands"/>
          <c:dispUnitsLbl>
            <c:layout>
              <c:manualLayout>
                <c:xMode val="edge"/>
                <c:yMode val="edge"/>
                <c:x val="3.0555555555555582E-2"/>
                <c:y val="0.29677092446777487"/>
              </c:manualLayout>
            </c:layout>
            <c:tx>
              <c:strRef>
                <c:f>'Charts - Consolidated'!$E$134</c:f>
                <c:strCache>
                  <c:ptCount val="1"/>
                  <c:pt idx="0">
                    <c:v>R$ millions</c:v>
                  </c:pt>
                </c:strCache>
              </c:strRef>
            </c:tx>
            <c:txPr>
              <a:bodyPr/>
              <a:lstStyle/>
              <a:p>
                <a:pPr>
                  <a:defRPr/>
                </a:pPr>
                <a:endParaRPr lang="en-US"/>
              </a:p>
            </c:txPr>
          </c:dispUnitsLbl>
        </c:dispUnits>
      </c:valAx>
      <c:valAx>
        <c:axId val="155581440"/>
        <c:scaling>
          <c:orientation val="minMax"/>
          <c:max val="10"/>
        </c:scaling>
        <c:delete val="0"/>
        <c:axPos val="r"/>
        <c:numFmt formatCode="0.00" sourceLinked="1"/>
        <c:majorTickMark val="out"/>
        <c:minorTickMark val="none"/>
        <c:tickLblPos val="nextTo"/>
        <c:crossAx val="196940544"/>
        <c:crosses val="max"/>
        <c:crossBetween val="between"/>
      </c:valAx>
      <c:catAx>
        <c:axId val="196940544"/>
        <c:scaling>
          <c:orientation val="minMax"/>
        </c:scaling>
        <c:delete val="1"/>
        <c:axPos val="b"/>
        <c:majorTickMark val="out"/>
        <c:minorTickMark val="none"/>
        <c:tickLblPos val="none"/>
        <c:crossAx val="155581440"/>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Return ratios</a:t>
            </a:r>
          </a:p>
        </c:rich>
      </c:tx>
      <c:overlay val="0"/>
    </c:title>
    <c:autoTitleDeleted val="0"/>
    <c:plotArea>
      <c:layout/>
      <c:lineChart>
        <c:grouping val="standard"/>
        <c:varyColors val="0"/>
        <c:ser>
          <c:idx val="0"/>
          <c:order val="0"/>
          <c:tx>
            <c:strRef>
              <c:f>'Charts - Freight'!$B$231:$D$231</c:f>
              <c:strCache>
                <c:ptCount val="3"/>
                <c:pt idx="0">
                  <c:v>Return on equity</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[0]!roeall</c:f>
              <c:numCache>
                <c:formatCode>0%</c:formatCode>
                <c:ptCount val="30"/>
                <c:pt idx="0">
                  <c:v>3.4558009495340252</c:v>
                </c:pt>
                <c:pt idx="1">
                  <c:v>2.2989202350724627</c:v>
                </c:pt>
                <c:pt idx="2">
                  <c:v>1.3736013577126034</c:v>
                </c:pt>
                <c:pt idx="3">
                  <c:v>1.0087414286421534</c:v>
                </c:pt>
                <c:pt idx="4">
                  <c:v>0.82107977039884794</c:v>
                </c:pt>
                <c:pt idx="5">
                  <c:v>0.68876994823936033</c:v>
                </c:pt>
                <c:pt idx="6">
                  <c:v>0.63523997200348659</c:v>
                </c:pt>
                <c:pt idx="7">
                  <c:v>0.55847894839640666</c:v>
                </c:pt>
                <c:pt idx="8">
                  <c:v>0.50241804051313554</c:v>
                </c:pt>
                <c:pt idx="9">
                  <c:v>0.45885001615701126</c:v>
                </c:pt>
                <c:pt idx="10">
                  <c:v>0.41920126118875017</c:v>
                </c:pt>
                <c:pt idx="11">
                  <c:v>0.39025956279155083</c:v>
                </c:pt>
                <c:pt idx="12">
                  <c:v>0.36647045763031788</c:v>
                </c:pt>
                <c:pt idx="13">
                  <c:v>0.34636950797977623</c:v>
                </c:pt>
                <c:pt idx="14">
                  <c:v>0.32914087088918043</c:v>
                </c:pt>
                <c:pt idx="15">
                  <c:v>0.31424686214940772</c:v>
                </c:pt>
                <c:pt idx="16">
                  <c:v>0.30107043145829387</c:v>
                </c:pt>
                <c:pt idx="17">
                  <c:v>0.28947586440482331</c:v>
                </c:pt>
                <c:pt idx="18">
                  <c:v>0.27932915593601471</c:v>
                </c:pt>
                <c:pt idx="19">
                  <c:v>0.27024436252874445</c:v>
                </c:pt>
                <c:pt idx="20">
                  <c:v>0.26209474391994453</c:v>
                </c:pt>
                <c:pt idx="21">
                  <c:v>0.25472002415056227</c:v>
                </c:pt>
                <c:pt idx="22">
                  <c:v>0.24802875987654402</c:v>
                </c:pt>
                <c:pt idx="23">
                  <c:v>0.24193532517691607</c:v>
                </c:pt>
                <c:pt idx="24">
                  <c:v>0.23636665835428747</c:v>
                </c:pt>
                <c:pt idx="25">
                  <c:v>0.23125666928698116</c:v>
                </c:pt>
                <c:pt idx="26">
                  <c:v>0.22655239009533784</c:v>
                </c:pt>
                <c:pt idx="27">
                  <c:v>0.22221043958342823</c:v>
                </c:pt>
                <c:pt idx="28">
                  <c:v>0.21819831673511267</c:v>
                </c:pt>
                <c:pt idx="29">
                  <c:v>0.21450064563372759</c:v>
                </c:pt>
              </c:numCache>
            </c:numRef>
          </c:val>
          <c:smooth val="0"/>
          <c:extLst>
            <c:ext xmlns:c16="http://schemas.microsoft.com/office/drawing/2014/chart" uri="{C3380CC4-5D6E-409C-BE32-E72D297353CC}">
              <c16:uniqueId val="{00000000-77A2-C64D-B6DF-09D766DC8598}"/>
            </c:ext>
          </c:extLst>
        </c:ser>
        <c:ser>
          <c:idx val="1"/>
          <c:order val="1"/>
          <c:tx>
            <c:strRef>
              <c:f>'Charts - Freight'!$B$232:$D$232</c:f>
              <c:strCache>
                <c:ptCount val="3"/>
                <c:pt idx="0">
                  <c:v>Return on assets</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[0]!roaall</c:f>
              <c:numCache>
                <c:formatCode>0%</c:formatCode>
                <c:ptCount val="30"/>
                <c:pt idx="0">
                  <c:v>2.9367307682837125</c:v>
                </c:pt>
                <c:pt idx="1">
                  <c:v>2.0643231317530204</c:v>
                </c:pt>
                <c:pt idx="2">
                  <c:v>1.2865623235568233</c:v>
                </c:pt>
                <c:pt idx="3">
                  <c:v>0.96077982712113852</c:v>
                </c:pt>
                <c:pt idx="4">
                  <c:v>0.78917177289406426</c:v>
                </c:pt>
                <c:pt idx="5">
                  <c:v>0.66606810152127838</c:v>
                </c:pt>
                <c:pt idx="6">
                  <c:v>0.61709011154251447</c:v>
                </c:pt>
                <c:pt idx="7">
                  <c:v>0.54473652673406847</c:v>
                </c:pt>
                <c:pt idx="8">
                  <c:v>0.49187549673921593</c:v>
                </c:pt>
                <c:pt idx="9">
                  <c:v>0.45050768046973405</c:v>
                </c:pt>
                <c:pt idx="10">
                  <c:v>0.41248872798838726</c:v>
                </c:pt>
                <c:pt idx="11">
                  <c:v>0.38463558743643123</c:v>
                </c:pt>
                <c:pt idx="12">
                  <c:v>0.36164097509496679</c:v>
                </c:pt>
                <c:pt idx="13">
                  <c:v>0.34216603244176352</c:v>
                </c:pt>
                <c:pt idx="14">
                  <c:v>0.32544034963228602</c:v>
                </c:pt>
                <c:pt idx="15">
                  <c:v>0.31095666080856038</c:v>
                </c:pt>
                <c:pt idx="16">
                  <c:v>0.29836088088943585</c:v>
                </c:pt>
                <c:pt idx="17">
                  <c:v>0.28722939631350347</c:v>
                </c:pt>
                <c:pt idx="18">
                  <c:v>0.2772678041954893</c:v>
                </c:pt>
                <c:pt idx="19">
                  <c:v>0.26834209223621452</c:v>
                </c:pt>
                <c:pt idx="20">
                  <c:v>0.26033011696343639</c:v>
                </c:pt>
                <c:pt idx="21">
                  <c:v>0.25307557414818915</c:v>
                </c:pt>
                <c:pt idx="22">
                  <c:v>0.2464898536483586</c:v>
                </c:pt>
                <c:pt idx="23">
                  <c:v>0.24048966403253702</c:v>
                </c:pt>
                <c:pt idx="24">
                  <c:v>0.23500383672192532</c:v>
                </c:pt>
                <c:pt idx="25">
                  <c:v>0.22996784150735211</c:v>
                </c:pt>
                <c:pt idx="26">
                  <c:v>0.22533610978009466</c:v>
                </c:pt>
                <c:pt idx="27">
                  <c:v>0.22105913520417306</c:v>
                </c:pt>
                <c:pt idx="28">
                  <c:v>0.21710023065250583</c:v>
                </c:pt>
                <c:pt idx="29">
                  <c:v>0.21345080856653142</c:v>
                </c:pt>
              </c:numCache>
            </c:numRef>
          </c:val>
          <c:smooth val="0"/>
          <c:extLst>
            <c:ext xmlns:c16="http://schemas.microsoft.com/office/drawing/2014/chart" uri="{C3380CC4-5D6E-409C-BE32-E72D297353CC}">
              <c16:uniqueId val="{00000001-77A2-C64D-B6DF-09D766DC8598}"/>
            </c:ext>
          </c:extLst>
        </c:ser>
        <c:dLbls>
          <c:showLegendKey val="0"/>
          <c:showVal val="0"/>
          <c:showCatName val="0"/>
          <c:showSerName val="0"/>
          <c:showPercent val="0"/>
          <c:showBubbleSize val="0"/>
        </c:dLbls>
        <c:smooth val="0"/>
        <c:axId val="170960000"/>
        <c:axId val="170961536"/>
      </c:lineChart>
      <c:catAx>
        <c:axId val="170960000"/>
        <c:scaling>
          <c:orientation val="minMax"/>
        </c:scaling>
        <c:delete val="0"/>
        <c:axPos val="b"/>
        <c:numFmt formatCode="0" sourceLinked="1"/>
        <c:majorTickMark val="out"/>
        <c:minorTickMark val="none"/>
        <c:tickLblPos val="nextTo"/>
        <c:crossAx val="170961536"/>
        <c:crosses val="autoZero"/>
        <c:auto val="1"/>
        <c:lblAlgn val="ctr"/>
        <c:lblOffset val="100"/>
        <c:noMultiLvlLbl val="0"/>
      </c:catAx>
      <c:valAx>
        <c:axId val="170961536"/>
        <c:scaling>
          <c:orientation val="minMax"/>
        </c:scaling>
        <c:delete val="0"/>
        <c:axPos val="l"/>
        <c:numFmt formatCode="0%" sourceLinked="1"/>
        <c:majorTickMark val="out"/>
        <c:minorTickMark val="none"/>
        <c:tickLblPos val="nextTo"/>
        <c:crossAx val="170960000"/>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Operating and working ratio</a:t>
            </a:r>
          </a:p>
        </c:rich>
      </c:tx>
      <c:overlay val="0"/>
    </c:title>
    <c:autoTitleDeleted val="0"/>
    <c:plotArea>
      <c:layout/>
      <c:lineChart>
        <c:grouping val="standard"/>
        <c:varyColors val="0"/>
        <c:ser>
          <c:idx val="0"/>
          <c:order val="0"/>
          <c:tx>
            <c:strRef>
              <c:f>'Charts - Freight'!$B$236:$D$236</c:f>
              <c:strCache>
                <c:ptCount val="3"/>
                <c:pt idx="0">
                  <c:v>Operating ratio</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[0]!operatingratioall</c:f>
              <c:numCache>
                <c:formatCode>0%</c:formatCode>
                <c:ptCount val="30"/>
                <c:pt idx="0">
                  <c:v>0.12234085345531025</c:v>
                </c:pt>
                <c:pt idx="1">
                  <c:v>0.12286015720188954</c:v>
                </c:pt>
                <c:pt idx="2">
                  <c:v>0.12420481827426451</c:v>
                </c:pt>
                <c:pt idx="3">
                  <c:v>0.126280976019682</c:v>
                </c:pt>
                <c:pt idx="4">
                  <c:v>0.1269326757844505</c:v>
                </c:pt>
                <c:pt idx="5">
                  <c:v>0.12599974704501915</c:v>
                </c:pt>
                <c:pt idx="6">
                  <c:v>0.12011813189012663</c:v>
                </c:pt>
                <c:pt idx="7">
                  <c:v>0.11926537388251274</c:v>
                </c:pt>
                <c:pt idx="8">
                  <c:v>0.11853901431735485</c:v>
                </c:pt>
                <c:pt idx="9">
                  <c:v>0.11783598398588173</c:v>
                </c:pt>
                <c:pt idx="10">
                  <c:v>0.1171439792523004</c:v>
                </c:pt>
                <c:pt idx="11">
                  <c:v>0.11646763641280057</c:v>
                </c:pt>
                <c:pt idx="12">
                  <c:v>0.11577869141334478</c:v>
                </c:pt>
                <c:pt idx="13">
                  <c:v>0.11506995769356772</c:v>
                </c:pt>
                <c:pt idx="14">
                  <c:v>0.11442783212310208</c:v>
                </c:pt>
                <c:pt idx="15">
                  <c:v>0.11372709904772201</c:v>
                </c:pt>
                <c:pt idx="16">
                  <c:v>0.1131170381981601</c:v>
                </c:pt>
                <c:pt idx="17">
                  <c:v>0.1124731765876906</c:v>
                </c:pt>
                <c:pt idx="18">
                  <c:v>0.11180359976729662</c:v>
                </c:pt>
                <c:pt idx="19">
                  <c:v>0.11121803228485212</c:v>
                </c:pt>
                <c:pt idx="20">
                  <c:v>0.11058895172711487</c:v>
                </c:pt>
                <c:pt idx="21">
                  <c:v>0.1100308143791215</c:v>
                </c:pt>
                <c:pt idx="22">
                  <c:v>0.10949271501280658</c:v>
                </c:pt>
                <c:pt idx="23">
                  <c:v>0.10896389273202005</c:v>
                </c:pt>
                <c:pt idx="24">
                  <c:v>0.10843625648488556</c:v>
                </c:pt>
                <c:pt idx="25">
                  <c:v>0.10792596507337503</c:v>
                </c:pt>
                <c:pt idx="26">
                  <c:v>0.10742456591344209</c:v>
                </c:pt>
                <c:pt idx="27">
                  <c:v>0.10693193008669176</c:v>
                </c:pt>
                <c:pt idx="28">
                  <c:v>0.10643479096577339</c:v>
                </c:pt>
                <c:pt idx="29">
                  <c:v>0.10579097080972498</c:v>
                </c:pt>
              </c:numCache>
            </c:numRef>
          </c:val>
          <c:smooth val="0"/>
          <c:extLst>
            <c:ext xmlns:c16="http://schemas.microsoft.com/office/drawing/2014/chart" uri="{C3380CC4-5D6E-409C-BE32-E72D297353CC}">
              <c16:uniqueId val="{00000000-1839-1740-B9FD-325426CE6026}"/>
            </c:ext>
          </c:extLst>
        </c:ser>
        <c:ser>
          <c:idx val="1"/>
          <c:order val="1"/>
          <c:tx>
            <c:strRef>
              <c:f>'Charts - Freight'!$B$237:$D$237</c:f>
              <c:strCache>
                <c:ptCount val="3"/>
                <c:pt idx="0">
                  <c:v>Working ratio</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[0]!workingratioall</c:f>
              <c:numCache>
                <c:formatCode>0%</c:formatCode>
                <c:ptCount val="30"/>
                <c:pt idx="0">
                  <c:v>0.12067439748997254</c:v>
                </c:pt>
                <c:pt idx="1">
                  <c:v>0.12121468737414333</c:v>
                </c:pt>
                <c:pt idx="2">
                  <c:v>0.12215848481177538</c:v>
                </c:pt>
                <c:pt idx="3">
                  <c:v>0.12407145873393345</c:v>
                </c:pt>
                <c:pt idx="4">
                  <c:v>0.12462959254991496</c:v>
                </c:pt>
                <c:pt idx="5">
                  <c:v>0.12357333505083029</c:v>
                </c:pt>
                <c:pt idx="6">
                  <c:v>0.11774368890447436</c:v>
                </c:pt>
                <c:pt idx="7">
                  <c:v>0.11691700766208785</c:v>
                </c:pt>
                <c:pt idx="8">
                  <c:v>0.11611536767833011</c:v>
                </c:pt>
                <c:pt idx="9">
                  <c:v>0.11533807916231917</c:v>
                </c:pt>
                <c:pt idx="10">
                  <c:v>0.11458409746576613</c:v>
                </c:pt>
                <c:pt idx="11">
                  <c:v>0.11385235549789827</c:v>
                </c:pt>
                <c:pt idx="12">
                  <c:v>0.11314200883370666</c:v>
                </c:pt>
                <c:pt idx="13">
                  <c:v>0.11245216942772115</c:v>
                </c:pt>
                <c:pt idx="14">
                  <c:v>0.11178158291964316</c:v>
                </c:pt>
                <c:pt idx="15">
                  <c:v>0.11112998966184795</c:v>
                </c:pt>
                <c:pt idx="16">
                  <c:v>0.11049594537380086</c:v>
                </c:pt>
                <c:pt idx="17">
                  <c:v>0.10987927541772696</c:v>
                </c:pt>
                <c:pt idx="18">
                  <c:v>0.10927925048628297</c:v>
                </c:pt>
                <c:pt idx="19">
                  <c:v>0.10869473883574304</c:v>
                </c:pt>
                <c:pt idx="20">
                  <c:v>0.10812570165200079</c:v>
                </c:pt>
                <c:pt idx="21">
                  <c:v>0.10757099070878004</c:v>
                </c:pt>
                <c:pt idx="22">
                  <c:v>0.10703030383529352</c:v>
                </c:pt>
                <c:pt idx="23">
                  <c:v>0.10650315783938079</c:v>
                </c:pt>
                <c:pt idx="24">
                  <c:v>0.10598908921213389</c:v>
                </c:pt>
                <c:pt idx="25">
                  <c:v>0.10548754078620505</c:v>
                </c:pt>
                <c:pt idx="26">
                  <c:v>0.10499809713694873</c:v>
                </c:pt>
                <c:pt idx="27">
                  <c:v>0.10452032520509126</c:v>
                </c:pt>
                <c:pt idx="28">
                  <c:v>0.10405386952522709</c:v>
                </c:pt>
                <c:pt idx="29">
                  <c:v>0.10359974848018143</c:v>
                </c:pt>
              </c:numCache>
            </c:numRef>
          </c:val>
          <c:smooth val="0"/>
          <c:extLst>
            <c:ext xmlns:c16="http://schemas.microsoft.com/office/drawing/2014/chart" uri="{C3380CC4-5D6E-409C-BE32-E72D297353CC}">
              <c16:uniqueId val="{00000001-1839-1740-B9FD-325426CE6026}"/>
            </c:ext>
          </c:extLst>
        </c:ser>
        <c:dLbls>
          <c:showLegendKey val="0"/>
          <c:showVal val="0"/>
          <c:showCatName val="0"/>
          <c:showSerName val="0"/>
          <c:showPercent val="0"/>
          <c:showBubbleSize val="0"/>
        </c:dLbls>
        <c:smooth val="0"/>
        <c:axId val="196979712"/>
        <c:axId val="196993792"/>
      </c:lineChart>
      <c:catAx>
        <c:axId val="196979712"/>
        <c:scaling>
          <c:orientation val="minMax"/>
        </c:scaling>
        <c:delete val="0"/>
        <c:axPos val="b"/>
        <c:numFmt formatCode="0" sourceLinked="1"/>
        <c:majorTickMark val="out"/>
        <c:minorTickMark val="none"/>
        <c:tickLblPos val="nextTo"/>
        <c:crossAx val="196993792"/>
        <c:crosses val="autoZero"/>
        <c:auto val="1"/>
        <c:lblAlgn val="ctr"/>
        <c:lblOffset val="100"/>
        <c:noMultiLvlLbl val="0"/>
      </c:catAx>
      <c:valAx>
        <c:axId val="196993792"/>
        <c:scaling>
          <c:orientation val="minMax"/>
        </c:scaling>
        <c:delete val="0"/>
        <c:axPos val="l"/>
        <c:numFmt formatCode="0%" sourceLinked="1"/>
        <c:majorTickMark val="out"/>
        <c:minorTickMark val="none"/>
        <c:tickLblPos val="nextTo"/>
        <c:crossAx val="19697971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Staff productivity</a:t>
            </a:r>
          </a:p>
        </c:rich>
      </c:tx>
      <c:overlay val="0"/>
    </c:title>
    <c:autoTitleDeleted val="0"/>
    <c:plotArea>
      <c:layout/>
      <c:barChart>
        <c:barDir val="col"/>
        <c:grouping val="clustered"/>
        <c:varyColors val="0"/>
        <c:ser>
          <c:idx val="0"/>
          <c:order val="0"/>
          <c:tx>
            <c:strRef>
              <c:f>'Charts - Freight'!$B$241:$D$241</c:f>
              <c:strCache>
                <c:ptCount val="3"/>
                <c:pt idx="0">
                  <c:v>Traffic units per staff</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[0]!trafficunitsperstaffall</c:f>
              <c:numCache>
                <c:formatCode>_(* #,##0.00_);_(* \(#,##0.00\);_(* "-"??_);_(@_)</c:formatCode>
                <c:ptCount val="30"/>
                <c:pt idx="0">
                  <c:v>2.4301075268817205</c:v>
                </c:pt>
                <c:pt idx="1">
                  <c:v>2.4210526315789473</c:v>
                </c:pt>
                <c:pt idx="2">
                  <c:v>2.3711340206185567</c:v>
                </c:pt>
                <c:pt idx="3">
                  <c:v>2.2476190476190476</c:v>
                </c:pt>
                <c:pt idx="4">
                  <c:v>2.1946902654867255</c:v>
                </c:pt>
                <c:pt idx="5">
                  <c:v>2.247787610619469</c:v>
                </c:pt>
                <c:pt idx="6">
                  <c:v>2.4424778761061945</c:v>
                </c:pt>
                <c:pt idx="7">
                  <c:v>2.4955752212389379</c:v>
                </c:pt>
                <c:pt idx="8">
                  <c:v>2.5486725663716814</c:v>
                </c:pt>
                <c:pt idx="9">
                  <c:v>2.6017699115044248</c:v>
                </c:pt>
                <c:pt idx="10">
                  <c:v>2.6548672566371683</c:v>
                </c:pt>
                <c:pt idx="11">
                  <c:v>2.7079646017699117</c:v>
                </c:pt>
                <c:pt idx="12">
                  <c:v>2.7610619469026547</c:v>
                </c:pt>
                <c:pt idx="13">
                  <c:v>2.8141592920353982</c:v>
                </c:pt>
                <c:pt idx="14">
                  <c:v>2.8672566371681416</c:v>
                </c:pt>
                <c:pt idx="15">
                  <c:v>2.9203539823008851</c:v>
                </c:pt>
                <c:pt idx="16">
                  <c:v>2.9734513274336285</c:v>
                </c:pt>
                <c:pt idx="17">
                  <c:v>3.0265486725663715</c:v>
                </c:pt>
                <c:pt idx="18">
                  <c:v>3.0796460176991149</c:v>
                </c:pt>
                <c:pt idx="19">
                  <c:v>3.1327433628318584</c:v>
                </c:pt>
                <c:pt idx="20">
                  <c:v>3.1858407079646018</c:v>
                </c:pt>
                <c:pt idx="21">
                  <c:v>3.2389380530973453</c:v>
                </c:pt>
                <c:pt idx="22">
                  <c:v>3.2920353982300883</c:v>
                </c:pt>
                <c:pt idx="23">
                  <c:v>3.3451327433628317</c:v>
                </c:pt>
                <c:pt idx="24">
                  <c:v>3.3982300884955752</c:v>
                </c:pt>
                <c:pt idx="25">
                  <c:v>3.4513274336283186</c:v>
                </c:pt>
                <c:pt idx="26">
                  <c:v>3.5044247787610621</c:v>
                </c:pt>
                <c:pt idx="27">
                  <c:v>3.5575221238938055</c:v>
                </c:pt>
                <c:pt idx="28">
                  <c:v>3.6106194690265485</c:v>
                </c:pt>
                <c:pt idx="29">
                  <c:v>3.663716814159292</c:v>
                </c:pt>
              </c:numCache>
            </c:numRef>
          </c:val>
          <c:extLst>
            <c:ext xmlns:c16="http://schemas.microsoft.com/office/drawing/2014/chart" uri="{C3380CC4-5D6E-409C-BE32-E72D297353CC}">
              <c16:uniqueId val="{00000000-0293-9249-81B4-E774EF16C082}"/>
            </c:ext>
          </c:extLst>
        </c:ser>
        <c:dLbls>
          <c:showLegendKey val="0"/>
          <c:showVal val="1"/>
          <c:showCatName val="0"/>
          <c:showSerName val="0"/>
          <c:showPercent val="0"/>
          <c:showBubbleSize val="0"/>
        </c:dLbls>
        <c:gapWidth val="75"/>
        <c:axId val="45757952"/>
        <c:axId val="45759488"/>
      </c:barChart>
      <c:lineChart>
        <c:grouping val="standard"/>
        <c:varyColors val="0"/>
        <c:ser>
          <c:idx val="1"/>
          <c:order val="1"/>
          <c:tx>
            <c:strRef>
              <c:f>'Charts - Freight'!$B$242:$D$242</c:f>
              <c:strCache>
                <c:ptCount val="3"/>
                <c:pt idx="0">
                  <c:v>EU railways</c:v>
                </c:pt>
              </c:strCache>
            </c:strRef>
          </c:tx>
          <c:marker>
            <c:symbol val="none"/>
          </c:marker>
          <c:dLbls>
            <c:delete val="1"/>
          </c:dLbls>
          <c:cat>
            <c:numRef>
              <c:f>'Charts - Freight'!$E$240:$AH$240</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[0]!trafficunitsperstaffeuall</c:f>
              <c:numCache>
                <c:formatCode>0.00</c:formatCode>
                <c:ptCount val="30"/>
                <c:pt idx="0">
                  <c:v>1</c:v>
                </c:pt>
                <c:pt idx="1">
                  <c:v>1</c:v>
                </c:pt>
                <c:pt idx="2">
                  <c:v>1</c:v>
                </c:pt>
                <c:pt idx="3">
                  <c:v>1</c:v>
                </c:pt>
                <c:pt idx="4">
                  <c:v>1</c:v>
                </c:pt>
                <c:pt idx="5" formatCode="0.0">
                  <c:v>1</c:v>
                </c:pt>
                <c:pt idx="6" formatCode="0.0">
                  <c:v>1</c:v>
                </c:pt>
                <c:pt idx="7" formatCode="0.0">
                  <c:v>1</c:v>
                </c:pt>
                <c:pt idx="8" formatCode="0.0">
                  <c:v>1</c:v>
                </c:pt>
                <c:pt idx="9" formatCode="0.0">
                  <c:v>1</c:v>
                </c:pt>
                <c:pt idx="10" formatCode="0.0">
                  <c:v>1</c:v>
                </c:pt>
                <c:pt idx="11" formatCode="0.0">
                  <c:v>1</c:v>
                </c:pt>
                <c:pt idx="12" formatCode="0.0">
                  <c:v>1</c:v>
                </c:pt>
                <c:pt idx="13" formatCode="0.0">
                  <c:v>1</c:v>
                </c:pt>
                <c:pt idx="14" formatCode="0.0">
                  <c:v>1</c:v>
                </c:pt>
                <c:pt idx="15" formatCode="0.0">
                  <c:v>1</c:v>
                </c:pt>
                <c:pt idx="16" formatCode="0.0">
                  <c:v>1</c:v>
                </c:pt>
                <c:pt idx="17" formatCode="0.0">
                  <c:v>1</c:v>
                </c:pt>
                <c:pt idx="18" formatCode="0.0">
                  <c:v>1</c:v>
                </c:pt>
                <c:pt idx="19" formatCode="0.0">
                  <c:v>1</c:v>
                </c:pt>
                <c:pt idx="20" formatCode="0.0">
                  <c:v>1</c:v>
                </c:pt>
                <c:pt idx="21" formatCode="0.0">
                  <c:v>1</c:v>
                </c:pt>
                <c:pt idx="22" formatCode="0.0">
                  <c:v>1</c:v>
                </c:pt>
                <c:pt idx="23" formatCode="0.0">
                  <c:v>1</c:v>
                </c:pt>
                <c:pt idx="24" formatCode="0.0">
                  <c:v>1</c:v>
                </c:pt>
                <c:pt idx="25" formatCode="0.0">
                  <c:v>1</c:v>
                </c:pt>
                <c:pt idx="26" formatCode="0.0">
                  <c:v>1</c:v>
                </c:pt>
                <c:pt idx="27" formatCode="0.0">
                  <c:v>1</c:v>
                </c:pt>
                <c:pt idx="28" formatCode="0.0">
                  <c:v>1</c:v>
                </c:pt>
                <c:pt idx="29" formatCode="0.0">
                  <c:v>1</c:v>
                </c:pt>
              </c:numCache>
            </c:numRef>
          </c:val>
          <c:smooth val="0"/>
          <c:extLst>
            <c:ext xmlns:c16="http://schemas.microsoft.com/office/drawing/2014/chart" uri="{C3380CC4-5D6E-409C-BE32-E72D297353CC}">
              <c16:uniqueId val="{00000001-0293-9249-81B4-E774EF16C082}"/>
            </c:ext>
          </c:extLst>
        </c:ser>
        <c:dLbls>
          <c:showLegendKey val="0"/>
          <c:showVal val="1"/>
          <c:showCatName val="0"/>
          <c:showSerName val="0"/>
          <c:showPercent val="0"/>
          <c:showBubbleSize val="0"/>
        </c:dLbls>
        <c:marker val="1"/>
        <c:smooth val="0"/>
        <c:axId val="45757952"/>
        <c:axId val="45759488"/>
      </c:lineChart>
      <c:catAx>
        <c:axId val="45757952"/>
        <c:scaling>
          <c:orientation val="minMax"/>
        </c:scaling>
        <c:delete val="0"/>
        <c:axPos val="b"/>
        <c:numFmt formatCode="0" sourceLinked="1"/>
        <c:majorTickMark val="none"/>
        <c:minorTickMark val="none"/>
        <c:tickLblPos val="nextTo"/>
        <c:crossAx val="45759488"/>
        <c:crosses val="autoZero"/>
        <c:auto val="1"/>
        <c:lblAlgn val="ctr"/>
        <c:lblOffset val="100"/>
        <c:noMultiLvlLbl val="0"/>
      </c:catAx>
      <c:valAx>
        <c:axId val="45759488"/>
        <c:scaling>
          <c:orientation val="minMax"/>
        </c:scaling>
        <c:delete val="0"/>
        <c:axPos val="l"/>
        <c:title>
          <c:tx>
            <c:strRef>
              <c:f>'Charts - Freight'!$F$239</c:f>
              <c:strCache>
                <c:ptCount val="1"/>
                <c:pt idx="0">
                  <c:v>Traffic unit per staff</c:v>
                </c:pt>
              </c:strCache>
            </c:strRef>
          </c:tx>
          <c:overlay val="0"/>
          <c:txPr>
            <a:bodyPr rot="-5400000" vert="horz"/>
            <a:lstStyle/>
            <a:p>
              <a:pPr>
                <a:defRPr/>
              </a:pPr>
              <a:endParaRPr lang="en-US"/>
            </a:p>
          </c:txPr>
        </c:title>
        <c:numFmt formatCode="_(* #,##0.00_);_(* \(#,##0.00\);_(* &quot;-&quot;??_);_(@_)" sourceLinked="1"/>
        <c:majorTickMark val="none"/>
        <c:minorTickMark val="none"/>
        <c:tickLblPos val="nextTo"/>
        <c:crossAx val="4575795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Staff productivity</a:t>
            </a:r>
          </a:p>
        </c:rich>
      </c:tx>
      <c:overlay val="0"/>
    </c:title>
    <c:autoTitleDeleted val="0"/>
    <c:plotArea>
      <c:layout/>
      <c:barChart>
        <c:barDir val="col"/>
        <c:grouping val="clustered"/>
        <c:varyColors val="0"/>
        <c:ser>
          <c:idx val="0"/>
          <c:order val="0"/>
          <c:tx>
            <c:strRef>
              <c:f>'Charts - Freight'!$B$248:$D$248</c:f>
              <c:strCache>
                <c:ptCount val="3"/>
                <c:pt idx="0">
                  <c:v>Average staff/track-km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[0]!staffpertrackkmall</c:f>
              <c:numCache>
                <c:formatCode>0.00</c:formatCode>
                <c:ptCount val="30"/>
                <c:pt idx="0">
                  <c:v>3.1</c:v>
                </c:pt>
                <c:pt idx="1">
                  <c:v>3.1666666666666665</c:v>
                </c:pt>
                <c:pt idx="2">
                  <c:v>3.2333333333333334</c:v>
                </c:pt>
                <c:pt idx="3">
                  <c:v>3.5</c:v>
                </c:pt>
                <c:pt idx="4">
                  <c:v>3.7666666666666666</c:v>
                </c:pt>
                <c:pt idx="5">
                  <c:v>3.7666666666666666</c:v>
                </c:pt>
                <c:pt idx="6">
                  <c:v>3.7666666666666666</c:v>
                </c:pt>
                <c:pt idx="7">
                  <c:v>3.7666666666666666</c:v>
                </c:pt>
                <c:pt idx="8">
                  <c:v>3.7666666666666666</c:v>
                </c:pt>
                <c:pt idx="9">
                  <c:v>3.7666666666666666</c:v>
                </c:pt>
                <c:pt idx="10">
                  <c:v>3.7666666666666666</c:v>
                </c:pt>
                <c:pt idx="11">
                  <c:v>3.7666666666666666</c:v>
                </c:pt>
                <c:pt idx="12">
                  <c:v>3.7666666666666666</c:v>
                </c:pt>
                <c:pt idx="13">
                  <c:v>3.7666666666666666</c:v>
                </c:pt>
                <c:pt idx="14">
                  <c:v>3.7666666666666666</c:v>
                </c:pt>
                <c:pt idx="15">
                  <c:v>3.7666666666666666</c:v>
                </c:pt>
                <c:pt idx="16">
                  <c:v>3.7666666666666666</c:v>
                </c:pt>
                <c:pt idx="17">
                  <c:v>3.7666666666666666</c:v>
                </c:pt>
                <c:pt idx="18">
                  <c:v>3.7666666666666666</c:v>
                </c:pt>
                <c:pt idx="19">
                  <c:v>3.7666666666666666</c:v>
                </c:pt>
                <c:pt idx="20">
                  <c:v>3.7666666666666666</c:v>
                </c:pt>
                <c:pt idx="21">
                  <c:v>3.7666666666666666</c:v>
                </c:pt>
                <c:pt idx="22">
                  <c:v>3.7666666666666666</c:v>
                </c:pt>
                <c:pt idx="23">
                  <c:v>3.7666666666666666</c:v>
                </c:pt>
                <c:pt idx="24">
                  <c:v>3.7666666666666666</c:v>
                </c:pt>
                <c:pt idx="25">
                  <c:v>3.7666666666666666</c:v>
                </c:pt>
                <c:pt idx="26">
                  <c:v>3.7666666666666666</c:v>
                </c:pt>
                <c:pt idx="27">
                  <c:v>3.7666666666666666</c:v>
                </c:pt>
                <c:pt idx="28">
                  <c:v>3.7666666666666666</c:v>
                </c:pt>
                <c:pt idx="29">
                  <c:v>3.7666666666666666</c:v>
                </c:pt>
              </c:numCache>
            </c:numRef>
          </c:val>
          <c:extLst>
            <c:ext xmlns:c16="http://schemas.microsoft.com/office/drawing/2014/chart" uri="{C3380CC4-5D6E-409C-BE32-E72D297353CC}">
              <c16:uniqueId val="{00000000-BBB8-774A-912E-FC61218CDBD0}"/>
            </c:ext>
          </c:extLst>
        </c:ser>
        <c:dLbls>
          <c:showLegendKey val="0"/>
          <c:showVal val="1"/>
          <c:showCatName val="0"/>
          <c:showSerName val="0"/>
          <c:showPercent val="0"/>
          <c:showBubbleSize val="0"/>
        </c:dLbls>
        <c:gapWidth val="75"/>
        <c:axId val="45785472"/>
        <c:axId val="45787008"/>
      </c:barChart>
      <c:lineChart>
        <c:grouping val="standard"/>
        <c:varyColors val="0"/>
        <c:ser>
          <c:idx val="1"/>
          <c:order val="1"/>
          <c:tx>
            <c:strRef>
              <c:f>'Charts - Freight'!$B$249:$D$249</c:f>
              <c:strCache>
                <c:ptCount val="3"/>
                <c:pt idx="0">
                  <c:v>EU railways</c:v>
                </c:pt>
              </c:strCache>
            </c:strRef>
          </c:tx>
          <c:marker>
            <c:symbol val="none"/>
          </c:marker>
          <c:dLbls>
            <c:delete val="1"/>
          </c:dLbls>
          <c:cat>
            <c:numRef>
              <c:f>'Charts - Freight'!$E$247:$AH$247</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[0]!staffpertrackkmeuall</c:f>
              <c:numCache>
                <c:formatCode>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BBB8-774A-912E-FC61218CDBD0}"/>
            </c:ext>
          </c:extLst>
        </c:ser>
        <c:dLbls>
          <c:showLegendKey val="0"/>
          <c:showVal val="1"/>
          <c:showCatName val="0"/>
          <c:showSerName val="0"/>
          <c:showPercent val="0"/>
          <c:showBubbleSize val="0"/>
        </c:dLbls>
        <c:marker val="1"/>
        <c:smooth val="0"/>
        <c:axId val="45785472"/>
        <c:axId val="45787008"/>
      </c:lineChart>
      <c:catAx>
        <c:axId val="45785472"/>
        <c:scaling>
          <c:orientation val="minMax"/>
        </c:scaling>
        <c:delete val="0"/>
        <c:axPos val="b"/>
        <c:numFmt formatCode="0" sourceLinked="1"/>
        <c:majorTickMark val="none"/>
        <c:minorTickMark val="none"/>
        <c:tickLblPos val="nextTo"/>
        <c:crossAx val="45787008"/>
        <c:crosses val="autoZero"/>
        <c:auto val="1"/>
        <c:lblAlgn val="ctr"/>
        <c:lblOffset val="100"/>
        <c:noMultiLvlLbl val="0"/>
      </c:catAx>
      <c:valAx>
        <c:axId val="45787008"/>
        <c:scaling>
          <c:orientation val="minMax"/>
        </c:scaling>
        <c:delete val="0"/>
        <c:axPos val="l"/>
        <c:title>
          <c:tx>
            <c:strRef>
              <c:f>'Charts - Freight'!$F$246</c:f>
              <c:strCache>
                <c:ptCount val="1"/>
                <c:pt idx="0">
                  <c:v>Staff per track-km</c:v>
                </c:pt>
              </c:strCache>
            </c:strRef>
          </c:tx>
          <c:overlay val="0"/>
          <c:txPr>
            <a:bodyPr rot="-5400000" vert="horz"/>
            <a:lstStyle/>
            <a:p>
              <a:pPr>
                <a:defRPr/>
              </a:pPr>
              <a:endParaRPr lang="en-US"/>
            </a:p>
          </c:txPr>
        </c:title>
        <c:numFmt formatCode="0.00" sourceLinked="1"/>
        <c:majorTickMark val="none"/>
        <c:minorTickMark val="none"/>
        <c:tickLblPos val="nextTo"/>
        <c:crossAx val="4578547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 intensity</a:t>
            </a:r>
          </a:p>
        </c:rich>
      </c:tx>
      <c:layout>
        <c:manualLayout>
          <c:xMode val="edge"/>
          <c:yMode val="edge"/>
          <c:x val="0.42911650387966316"/>
          <c:y val="3.24074074074088E-2"/>
        </c:manualLayout>
      </c:layout>
      <c:overlay val="0"/>
    </c:title>
    <c:autoTitleDeleted val="0"/>
    <c:plotArea>
      <c:layout/>
      <c:barChart>
        <c:barDir val="col"/>
        <c:grouping val="clustered"/>
        <c:varyColors val="0"/>
        <c:ser>
          <c:idx val="0"/>
          <c:order val="0"/>
          <c:tx>
            <c:strRef>
              <c:f>'Charts - Freight'!$B$255:$D$255</c:f>
              <c:strCache>
                <c:ptCount val="3"/>
                <c:pt idx="0">
                  <c:v>Traffic units per track-km</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[0]!trafficunitspertrackkmall</c:f>
              <c:numCache>
                <c:formatCode>_(* #,##0.00_);_(* \(#,##0.00\);_(* "-"??_);_(@_)</c:formatCode>
                <c:ptCount val="30"/>
                <c:pt idx="0">
                  <c:v>7.5333333333333332</c:v>
                </c:pt>
                <c:pt idx="1">
                  <c:v>7.666666666666667</c:v>
                </c:pt>
                <c:pt idx="2">
                  <c:v>7.666666666666667</c:v>
                </c:pt>
                <c:pt idx="3">
                  <c:v>7.8666666666666663</c:v>
                </c:pt>
                <c:pt idx="4">
                  <c:v>8.2666666666666675</c:v>
                </c:pt>
                <c:pt idx="5">
                  <c:v>8.4666666666666668</c:v>
                </c:pt>
                <c:pt idx="6">
                  <c:v>9.1999999999999993</c:v>
                </c:pt>
                <c:pt idx="7">
                  <c:v>9.4</c:v>
                </c:pt>
                <c:pt idx="8">
                  <c:v>9.6</c:v>
                </c:pt>
                <c:pt idx="9">
                  <c:v>9.8000000000000007</c:v>
                </c:pt>
                <c:pt idx="10">
                  <c:v>10</c:v>
                </c:pt>
                <c:pt idx="11">
                  <c:v>10.199999999999999</c:v>
                </c:pt>
                <c:pt idx="12">
                  <c:v>10.4</c:v>
                </c:pt>
                <c:pt idx="13">
                  <c:v>10.6</c:v>
                </c:pt>
                <c:pt idx="14">
                  <c:v>10.8</c:v>
                </c:pt>
                <c:pt idx="15">
                  <c:v>11</c:v>
                </c:pt>
                <c:pt idx="16">
                  <c:v>11.2</c:v>
                </c:pt>
                <c:pt idx="17">
                  <c:v>11.4</c:v>
                </c:pt>
                <c:pt idx="18">
                  <c:v>11.6</c:v>
                </c:pt>
                <c:pt idx="19">
                  <c:v>11.8</c:v>
                </c:pt>
                <c:pt idx="20">
                  <c:v>12</c:v>
                </c:pt>
                <c:pt idx="21">
                  <c:v>12.2</c:v>
                </c:pt>
                <c:pt idx="22">
                  <c:v>12.4</c:v>
                </c:pt>
                <c:pt idx="23">
                  <c:v>12.6</c:v>
                </c:pt>
                <c:pt idx="24">
                  <c:v>12.8</c:v>
                </c:pt>
                <c:pt idx="25">
                  <c:v>13</c:v>
                </c:pt>
                <c:pt idx="26">
                  <c:v>13.2</c:v>
                </c:pt>
                <c:pt idx="27">
                  <c:v>13.4</c:v>
                </c:pt>
                <c:pt idx="28">
                  <c:v>13.6</c:v>
                </c:pt>
                <c:pt idx="29">
                  <c:v>13.8</c:v>
                </c:pt>
              </c:numCache>
            </c:numRef>
          </c:val>
          <c:extLst>
            <c:ext xmlns:c16="http://schemas.microsoft.com/office/drawing/2014/chart" uri="{C3380CC4-5D6E-409C-BE32-E72D297353CC}">
              <c16:uniqueId val="{00000000-85AB-B644-AA06-5E4F44CB9F08}"/>
            </c:ext>
          </c:extLst>
        </c:ser>
        <c:dLbls>
          <c:showLegendKey val="0"/>
          <c:showVal val="0"/>
          <c:showCatName val="0"/>
          <c:showSerName val="0"/>
          <c:showPercent val="0"/>
          <c:showBubbleSize val="0"/>
        </c:dLbls>
        <c:gapWidth val="150"/>
        <c:axId val="64371712"/>
        <c:axId val="64377600"/>
      </c:barChart>
      <c:lineChart>
        <c:grouping val="standard"/>
        <c:varyColors val="0"/>
        <c:ser>
          <c:idx val="1"/>
          <c:order val="1"/>
          <c:tx>
            <c:strRef>
              <c:f>'Charts - Freight'!$B$256:$D$256</c:f>
              <c:strCache>
                <c:ptCount val="3"/>
                <c:pt idx="0">
                  <c:v>EU railways</c:v>
                </c:pt>
              </c:strCache>
            </c:strRef>
          </c:tx>
          <c:marker>
            <c:symbol val="none"/>
          </c:marker>
          <c:cat>
            <c:numRef>
              <c:f>'Charts - Freight'!$E$254:$AH$254</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[0]!trafficunitspertrackkmeuall</c:f>
              <c:numCache>
                <c:formatCode>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85AB-B644-AA06-5E4F44CB9F08}"/>
            </c:ext>
          </c:extLst>
        </c:ser>
        <c:dLbls>
          <c:showLegendKey val="0"/>
          <c:showVal val="0"/>
          <c:showCatName val="0"/>
          <c:showSerName val="0"/>
          <c:showPercent val="0"/>
          <c:showBubbleSize val="0"/>
        </c:dLbls>
        <c:marker val="1"/>
        <c:smooth val="0"/>
        <c:axId val="64371712"/>
        <c:axId val="64377600"/>
      </c:lineChart>
      <c:catAx>
        <c:axId val="64371712"/>
        <c:scaling>
          <c:orientation val="minMax"/>
        </c:scaling>
        <c:delete val="0"/>
        <c:axPos val="b"/>
        <c:numFmt formatCode="0" sourceLinked="1"/>
        <c:majorTickMark val="out"/>
        <c:minorTickMark val="none"/>
        <c:tickLblPos val="nextTo"/>
        <c:crossAx val="64377600"/>
        <c:crosses val="autoZero"/>
        <c:auto val="1"/>
        <c:lblAlgn val="ctr"/>
        <c:lblOffset val="100"/>
        <c:noMultiLvlLbl val="0"/>
      </c:catAx>
      <c:valAx>
        <c:axId val="64377600"/>
        <c:scaling>
          <c:orientation val="minMax"/>
        </c:scaling>
        <c:delete val="0"/>
        <c:axPos val="l"/>
        <c:title>
          <c:tx>
            <c:rich>
              <a:bodyPr rot="-5400000" vert="horz"/>
              <a:lstStyle/>
              <a:p>
                <a:pPr>
                  <a:defRPr/>
                </a:pPr>
                <a:r>
                  <a:rPr lang="en-US"/>
                  <a:t>Million traffic units per track-km</a:t>
                </a:r>
              </a:p>
            </c:rich>
          </c:tx>
          <c:overlay val="0"/>
        </c:title>
        <c:numFmt formatCode="_(* #,##0.00_);_(* \(#,##0.00\);_(* &quot;-&quot;??_);_(@_)" sourceLinked="1"/>
        <c:majorTickMark val="out"/>
        <c:minorTickMark val="none"/>
        <c:tickLblPos val="nextTo"/>
        <c:crossAx val="6437171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overlay val="0"/>
    </c:title>
    <c:autoTitleDeleted val="0"/>
    <c:plotArea>
      <c:layout/>
      <c:barChart>
        <c:barDir val="col"/>
        <c:grouping val="clustered"/>
        <c:varyColors val="0"/>
        <c:ser>
          <c:idx val="0"/>
          <c:order val="0"/>
          <c:tx>
            <c:strRef>
              <c:f>'Charts - Freight'!$B$216:$D$216</c:f>
              <c:strCache>
                <c:ptCount val="3"/>
                <c:pt idx="0">
                  <c:v>Capital expenditure</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[0]!capexall</c:f>
              <c:numCache>
                <c:formatCode>General</c:formatCode>
                <c:ptCount val="30"/>
                <c:pt idx="0">
                  <c:v>0</c:v>
                </c:pt>
                <c:pt idx="1">
                  <c:v>540</c:v>
                </c:pt>
                <c:pt idx="2">
                  <c:v>850</c:v>
                </c:pt>
                <c:pt idx="3">
                  <c:v>850</c:v>
                </c:pt>
                <c:pt idx="4">
                  <c:v>850</c:v>
                </c:pt>
                <c:pt idx="5">
                  <c:v>850</c:v>
                </c:pt>
                <c:pt idx="6">
                  <c:v>850</c:v>
                </c:pt>
                <c:pt idx="7">
                  <c:v>850</c:v>
                </c:pt>
                <c:pt idx="8">
                  <c:v>850</c:v>
                </c:pt>
                <c:pt idx="9">
                  <c:v>850</c:v>
                </c:pt>
                <c:pt idx="10">
                  <c:v>850</c:v>
                </c:pt>
                <c:pt idx="11">
                  <c:v>850</c:v>
                </c:pt>
                <c:pt idx="12">
                  <c:v>850</c:v>
                </c:pt>
                <c:pt idx="13">
                  <c:v>850</c:v>
                </c:pt>
                <c:pt idx="14">
                  <c:v>850</c:v>
                </c:pt>
                <c:pt idx="15">
                  <c:v>850</c:v>
                </c:pt>
                <c:pt idx="16">
                  <c:v>850</c:v>
                </c:pt>
                <c:pt idx="17">
                  <c:v>850</c:v>
                </c:pt>
                <c:pt idx="18">
                  <c:v>850</c:v>
                </c:pt>
                <c:pt idx="19">
                  <c:v>850</c:v>
                </c:pt>
                <c:pt idx="20">
                  <c:v>850</c:v>
                </c:pt>
                <c:pt idx="21">
                  <c:v>850</c:v>
                </c:pt>
                <c:pt idx="22">
                  <c:v>850</c:v>
                </c:pt>
                <c:pt idx="23">
                  <c:v>850</c:v>
                </c:pt>
                <c:pt idx="24">
                  <c:v>850</c:v>
                </c:pt>
                <c:pt idx="25">
                  <c:v>850</c:v>
                </c:pt>
                <c:pt idx="26">
                  <c:v>850</c:v>
                </c:pt>
                <c:pt idx="27">
                  <c:v>850</c:v>
                </c:pt>
                <c:pt idx="28">
                  <c:v>850</c:v>
                </c:pt>
                <c:pt idx="29">
                  <c:v>850</c:v>
                </c:pt>
              </c:numCache>
            </c:numRef>
          </c:val>
          <c:extLst>
            <c:ext xmlns:c16="http://schemas.microsoft.com/office/drawing/2014/chart" uri="{C3380CC4-5D6E-409C-BE32-E72D297353CC}">
              <c16:uniqueId val="{00000000-10DD-8649-8DD7-521F65A74D3E}"/>
            </c:ext>
          </c:extLst>
        </c:ser>
        <c:dLbls>
          <c:showLegendKey val="0"/>
          <c:showVal val="0"/>
          <c:showCatName val="0"/>
          <c:showSerName val="0"/>
          <c:showPercent val="0"/>
          <c:showBubbleSize val="0"/>
        </c:dLbls>
        <c:gapWidth val="150"/>
        <c:axId val="64393984"/>
        <c:axId val="64395520"/>
      </c:barChart>
      <c:catAx>
        <c:axId val="64393984"/>
        <c:scaling>
          <c:orientation val="minMax"/>
        </c:scaling>
        <c:delete val="0"/>
        <c:axPos val="b"/>
        <c:numFmt formatCode="0" sourceLinked="1"/>
        <c:majorTickMark val="out"/>
        <c:minorTickMark val="none"/>
        <c:tickLblPos val="nextTo"/>
        <c:crossAx val="64395520"/>
        <c:crosses val="autoZero"/>
        <c:auto val="1"/>
        <c:lblAlgn val="ctr"/>
        <c:lblOffset val="100"/>
        <c:noMultiLvlLbl val="0"/>
      </c:catAx>
      <c:valAx>
        <c:axId val="64395520"/>
        <c:scaling>
          <c:orientation val="minMax"/>
        </c:scaling>
        <c:delete val="0"/>
        <c:axPos val="l"/>
        <c:title>
          <c:tx>
            <c:strRef>
              <c:f>'Charts - Consolidated'!$E$134</c:f>
              <c:strCache>
                <c:ptCount val="1"/>
                <c:pt idx="0">
                  <c:v>R$ millions</c:v>
                </c:pt>
              </c:strCache>
            </c:strRef>
          </c:tx>
          <c:overlay val="0"/>
          <c:txPr>
            <a:bodyPr rot="-5400000" vert="horz"/>
            <a:lstStyle/>
            <a:p>
              <a:pPr>
                <a:defRPr/>
              </a:pPr>
              <a:endParaRPr lang="en-US"/>
            </a:p>
          </c:txPr>
        </c:title>
        <c:numFmt formatCode="General" sourceLinked="1"/>
        <c:majorTickMark val="out"/>
        <c:minorTickMark val="none"/>
        <c:tickLblPos val="nextTo"/>
        <c:crossAx val="64393984"/>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[0]!operatingcashflowall</c:f>
              <c:numCache>
                <c:formatCode>_(* #,##0_);_(* \(#,##0\);_(* "-"??_);_(@_)</c:formatCode>
                <c:ptCount val="30"/>
                <c:pt idx="0">
                  <c:v>0</c:v>
                </c:pt>
                <c:pt idx="1">
                  <c:v>50690.792519097551</c:v>
                </c:pt>
                <c:pt idx="2">
                  <c:v>52724.69910649403</c:v>
                </c:pt>
                <c:pt idx="3">
                  <c:v>55555.087292603705</c:v>
                </c:pt>
                <c:pt idx="4">
                  <c:v>59925.604475971457</c:v>
                </c:pt>
                <c:pt idx="5">
                  <c:v>64163.626703987196</c:v>
                </c:pt>
                <c:pt idx="6">
                  <c:v>72149.97263055107</c:v>
                </c:pt>
                <c:pt idx="7">
                  <c:v>77495.629768915795</c:v>
                </c:pt>
                <c:pt idx="8">
                  <c:v>82223.493875014101</c:v>
                </c:pt>
                <c:pt idx="9">
                  <c:v>87164.973491895071</c:v>
                </c:pt>
                <c:pt idx="10">
                  <c:v>91222.768841377983</c:v>
                </c:pt>
                <c:pt idx="11">
                  <c:v>96261.173051379898</c:v>
                </c:pt>
                <c:pt idx="12">
                  <c:v>101596.8188694383</c:v>
                </c:pt>
                <c:pt idx="13">
                  <c:v>107167.51642838139</c:v>
                </c:pt>
                <c:pt idx="14">
                  <c:v>112987.49117860262</c:v>
                </c:pt>
                <c:pt idx="15">
                  <c:v>119058.94847536211</c:v>
                </c:pt>
                <c:pt idx="16">
                  <c:v>125394.26549745037</c:v>
                </c:pt>
                <c:pt idx="17">
                  <c:v>131994.57828943952</c:v>
                </c:pt>
                <c:pt idx="18">
                  <c:v>138894.53135041392</c:v>
                </c:pt>
                <c:pt idx="19">
                  <c:v>146097.43811296648</c:v>
                </c:pt>
                <c:pt idx="20">
                  <c:v>153605.48887873936</c:v>
                </c:pt>
                <c:pt idx="21">
                  <c:v>161439.28338368493</c:v>
                </c:pt>
                <c:pt idx="22">
                  <c:v>169607.40726804076</c:v>
                </c:pt>
                <c:pt idx="23">
                  <c:v>178121.83813264631</c:v>
                </c:pt>
                <c:pt idx="24">
                  <c:v>186994.98892456814</c:v>
                </c:pt>
                <c:pt idx="25">
                  <c:v>196241.9497469081</c:v>
                </c:pt>
                <c:pt idx="26">
                  <c:v>205875.64425810269</c:v>
                </c:pt>
                <c:pt idx="27">
                  <c:v>215910.12989520255</c:v>
                </c:pt>
                <c:pt idx="28">
                  <c:v>226361.40002495603</c:v>
                </c:pt>
                <c:pt idx="29">
                  <c:v>237227.77046402689</c:v>
                </c:pt>
              </c:numCache>
            </c:numRef>
          </c:val>
          <c:extLst>
            <c:ext xmlns:c16="http://schemas.microsoft.com/office/drawing/2014/chart" uri="{C3380CC4-5D6E-409C-BE32-E72D297353CC}">
              <c16:uniqueId val="{00000000-540A-EA4B-8055-1B7E9C9DFA26}"/>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[0]!investingcashflowall</c:f>
              <c:numCache>
                <c:formatCode>_(* #,##0_);_(* \(#,##0\);_(* "-"??_);_(@_)</c:formatCode>
                <c:ptCount val="30"/>
                <c:pt idx="0">
                  <c:v>0</c:v>
                </c:pt>
                <c:pt idx="1">
                  <c:v>-460</c:v>
                </c:pt>
                <c:pt idx="2">
                  <c:v>-770</c:v>
                </c:pt>
                <c:pt idx="3">
                  <c:v>-770</c:v>
                </c:pt>
                <c:pt idx="4">
                  <c:v>-775</c:v>
                </c:pt>
                <c:pt idx="5">
                  <c:v>-775</c:v>
                </c:pt>
                <c:pt idx="6">
                  <c:v>-775</c:v>
                </c:pt>
                <c:pt idx="7">
                  <c:v>-775</c:v>
                </c:pt>
                <c:pt idx="8">
                  <c:v>-775</c:v>
                </c:pt>
                <c:pt idx="9">
                  <c:v>-780</c:v>
                </c:pt>
                <c:pt idx="10">
                  <c:v>-780</c:v>
                </c:pt>
                <c:pt idx="11">
                  <c:v>-785</c:v>
                </c:pt>
                <c:pt idx="12">
                  <c:v>-785</c:v>
                </c:pt>
                <c:pt idx="13">
                  <c:v>-785</c:v>
                </c:pt>
                <c:pt idx="14">
                  <c:v>-785</c:v>
                </c:pt>
                <c:pt idx="15">
                  <c:v>-785</c:v>
                </c:pt>
                <c:pt idx="16">
                  <c:v>-785</c:v>
                </c:pt>
                <c:pt idx="17">
                  <c:v>-785</c:v>
                </c:pt>
                <c:pt idx="18">
                  <c:v>-785</c:v>
                </c:pt>
                <c:pt idx="19">
                  <c:v>-785</c:v>
                </c:pt>
                <c:pt idx="20">
                  <c:v>-785</c:v>
                </c:pt>
                <c:pt idx="21">
                  <c:v>-790</c:v>
                </c:pt>
                <c:pt idx="22">
                  <c:v>-790</c:v>
                </c:pt>
                <c:pt idx="23">
                  <c:v>-790</c:v>
                </c:pt>
                <c:pt idx="24">
                  <c:v>-790</c:v>
                </c:pt>
                <c:pt idx="25">
                  <c:v>-790</c:v>
                </c:pt>
                <c:pt idx="26">
                  <c:v>-790</c:v>
                </c:pt>
                <c:pt idx="27">
                  <c:v>-790</c:v>
                </c:pt>
                <c:pt idx="28">
                  <c:v>-790</c:v>
                </c:pt>
                <c:pt idx="29">
                  <c:v>-790</c:v>
                </c:pt>
              </c:numCache>
            </c:numRef>
          </c:val>
          <c:extLst>
            <c:ext xmlns:c16="http://schemas.microsoft.com/office/drawing/2014/chart" uri="{C3380CC4-5D6E-409C-BE32-E72D297353CC}">
              <c16:uniqueId val="{00000001-540A-EA4B-8055-1B7E9C9DFA26}"/>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[0]!loansall</c:f>
              <c:numCache>
                <c:formatCode>_(* #,##0_);_(* \(#,##0\);_(* "-"??_);_(@_)</c:formatCode>
                <c:ptCount val="30"/>
                <c:pt idx="0">
                  <c:v>0</c:v>
                </c:pt>
                <c:pt idx="1">
                  <c:v>-47.5</c:v>
                </c:pt>
                <c:pt idx="2">
                  <c:v>67.5</c:v>
                </c:pt>
                <c:pt idx="3">
                  <c:v>97.5</c:v>
                </c:pt>
                <c:pt idx="4">
                  <c:v>97.5</c:v>
                </c:pt>
                <c:pt idx="5">
                  <c:v>97.5</c:v>
                </c:pt>
                <c:pt idx="6">
                  <c:v>97.5</c:v>
                </c:pt>
                <c:pt idx="7">
                  <c:v>-84.939506666915292</c:v>
                </c:pt>
                <c:pt idx="8">
                  <c:v>-85.307442498607458</c:v>
                </c:pt>
                <c:pt idx="9">
                  <c:v>-85.738398074929933</c:v>
                </c:pt>
                <c:pt idx="10">
                  <c:v>-64.094414864335292</c:v>
                </c:pt>
                <c:pt idx="11">
                  <c:v>-9.6624153580774621</c:v>
                </c:pt>
                <c:pt idx="12">
                  <c:v>-10.24214612536878</c:v>
                </c:pt>
                <c:pt idx="13">
                  <c:v>-10.857626130981783</c:v>
                </c:pt>
                <c:pt idx="14">
                  <c:v>-11.511116225829554</c:v>
                </c:pt>
                <c:pt idx="15">
                  <c:v>-12.205023440600621</c:v>
                </c:pt>
                <c:pt idx="16">
                  <c:v>-687.94191061435379</c:v>
                </c:pt>
                <c:pt idx="17">
                  <c:v>0</c:v>
                </c:pt>
                <c:pt idx="18">
                  <c:v>0</c:v>
                </c:pt>
                <c:pt idx="19">
                  <c:v>0</c:v>
                </c:pt>
                <c:pt idx="20">
                  <c:v>0</c:v>
                </c:pt>
                <c:pt idx="21">
                  <c:v>0</c:v>
                </c:pt>
                <c:pt idx="22">
                  <c:v>0</c:v>
                </c:pt>
                <c:pt idx="23">
                  <c:v>0</c:v>
                </c:pt>
                <c:pt idx="24">
                  <c:v>0</c:v>
                </c:pt>
                <c:pt idx="25">
                  <c:v>0</c:v>
                </c:pt>
                <c:pt idx="26">
                  <c:v>-50</c:v>
                </c:pt>
                <c:pt idx="27">
                  <c:v>0</c:v>
                </c:pt>
                <c:pt idx="28">
                  <c:v>0</c:v>
                </c:pt>
                <c:pt idx="29">
                  <c:v>0</c:v>
                </c:pt>
              </c:numCache>
            </c:numRef>
          </c:val>
          <c:extLst>
            <c:ext xmlns:c16="http://schemas.microsoft.com/office/drawing/2014/chart" uri="{C3380CC4-5D6E-409C-BE32-E72D297353CC}">
              <c16:uniqueId val="{00000002-540A-EA4B-8055-1B7E9C9DFA26}"/>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[0]!equityall</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540A-EA4B-8055-1B7E9C9DFA26}"/>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[0]!netinterestall</c:f>
              <c:numCache>
                <c:formatCode>_(* #,##0_);_(* \(#,##0\);_(* "-"??_);_(@_)</c:formatCode>
                <c:ptCount val="30"/>
                <c:pt idx="0">
                  <c:v>0</c:v>
                </c:pt>
                <c:pt idx="1">
                  <c:v>-34.074249999999992</c:v>
                </c:pt>
                <c:pt idx="2">
                  <c:v>-38.919499999999857</c:v>
                </c:pt>
                <c:pt idx="3">
                  <c:v>-42.692250000000058</c:v>
                </c:pt>
                <c:pt idx="4">
                  <c:v>-49.486624999999549</c:v>
                </c:pt>
                <c:pt idx="5">
                  <c:v>-56.132500000000618</c:v>
                </c:pt>
                <c:pt idx="6">
                  <c:v>-62.637749999999869</c:v>
                </c:pt>
                <c:pt idx="7">
                  <c:v>-63.971624999999221</c:v>
                </c:pt>
                <c:pt idx="8">
                  <c:v>-59.866439168310535</c:v>
                </c:pt>
                <c:pt idx="9">
                  <c:v>-55.462483591983982</c:v>
                </c:pt>
                <c:pt idx="10">
                  <c:v>-48.585341802581752</c:v>
                </c:pt>
                <c:pt idx="11">
                  <c:v>-46.312091308835079</c:v>
                </c:pt>
                <c:pt idx="12">
                  <c:v>-45.732360541545859</c:v>
                </c:pt>
                <c:pt idx="13">
                  <c:v>-45.116880535928431</c:v>
                </c:pt>
                <c:pt idx="14">
                  <c:v>-44.463390441083902</c:v>
                </c:pt>
                <c:pt idx="15">
                  <c:v>-43.76948322631506</c:v>
                </c:pt>
                <c:pt idx="16">
                  <c:v>-23.657596052558802</c:v>
                </c:pt>
                <c:pt idx="17">
                  <c:v>-3.5000000000109139</c:v>
                </c:pt>
                <c:pt idx="18">
                  <c:v>-3.500000000003638</c:v>
                </c:pt>
                <c:pt idx="19">
                  <c:v>-3.499999999992724</c:v>
                </c:pt>
                <c:pt idx="20">
                  <c:v>-3.4999999999890861</c:v>
                </c:pt>
                <c:pt idx="21">
                  <c:v>-3.5</c:v>
                </c:pt>
                <c:pt idx="22">
                  <c:v>-3.500000000007276</c:v>
                </c:pt>
                <c:pt idx="23">
                  <c:v>-3.4999999999854481</c:v>
                </c:pt>
                <c:pt idx="24">
                  <c:v>-3.500000000007276</c:v>
                </c:pt>
                <c:pt idx="25">
                  <c:v>-3.4999999999854481</c:v>
                </c:pt>
                <c:pt idx="26">
                  <c:v>-2.2499999999854481</c:v>
                </c:pt>
                <c:pt idx="27">
                  <c:v>-1</c:v>
                </c:pt>
                <c:pt idx="28">
                  <c:v>-1.000000000007276</c:v>
                </c:pt>
                <c:pt idx="29">
                  <c:v>-1.000000000007276</c:v>
                </c:pt>
              </c:numCache>
            </c:numRef>
          </c:val>
          <c:extLst>
            <c:ext xmlns:c16="http://schemas.microsoft.com/office/drawing/2014/chart" uri="{C3380CC4-5D6E-409C-BE32-E72D297353CC}">
              <c16:uniqueId val="{00000004-540A-EA4B-8055-1B7E9C9DFA26}"/>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[0]!dividendsall</c:f>
              <c:numCache>
                <c:formatCode>_(* #,##0_);_(* \(#,##0\);_(* "-"??_);_(@_)</c:formatCode>
                <c:ptCount val="30"/>
                <c:pt idx="0">
                  <c:v>0</c:v>
                </c:pt>
                <c:pt idx="1">
                  <c:v>-35111.332491345485</c:v>
                </c:pt>
                <c:pt idx="2">
                  <c:v>-36373.575895897797</c:v>
                </c:pt>
                <c:pt idx="3">
                  <c:v>-38410.307538107183</c:v>
                </c:pt>
                <c:pt idx="4">
                  <c:v>-41440.206875796313</c:v>
                </c:pt>
                <c:pt idx="5">
                  <c:v>-44358.624339988368</c:v>
                </c:pt>
                <c:pt idx="6">
                  <c:v>-50086.956185961229</c:v>
                </c:pt>
                <c:pt idx="7">
                  <c:v>-53743.342858310134</c:v>
                </c:pt>
                <c:pt idx="8">
                  <c:v>-57103.623383135331</c:v>
                </c:pt>
                <c:pt idx="9">
                  <c:v>-60619.997197637553</c:v>
                </c:pt>
                <c:pt idx="10">
                  <c:v>-63414.882193721845</c:v>
                </c:pt>
                <c:pt idx="11">
                  <c:v>-66996.838806571293</c:v>
                </c:pt>
                <c:pt idx="12">
                  <c:v>-70769.865697055488</c:v>
                </c:pt>
                <c:pt idx="13">
                  <c:v>-74714.3929470398</c:v>
                </c:pt>
                <c:pt idx="14">
                  <c:v>-78840.515344163679</c:v>
                </c:pt>
                <c:pt idx="15">
                  <c:v>-83151.183172028323</c:v>
                </c:pt>
                <c:pt idx="16">
                  <c:v>-87206.006007881486</c:v>
                </c:pt>
                <c:pt idx="17">
                  <c:v>-92387.772174757163</c:v>
                </c:pt>
                <c:pt idx="18">
                  <c:v>-97306.49180990427</c:v>
                </c:pt>
                <c:pt idx="19">
                  <c:v>-102448.77479444376</c:v>
                </c:pt>
                <c:pt idx="20">
                  <c:v>-107817.97320115482</c:v>
                </c:pt>
                <c:pt idx="21">
                  <c:v>-113424.39512110522</c:v>
                </c:pt>
                <c:pt idx="22">
                  <c:v>-119281.54195346916</c:v>
                </c:pt>
                <c:pt idx="23">
                  <c:v>-125396.39799338669</c:v>
                </c:pt>
                <c:pt idx="24">
                  <c:v>-131779.04065523282</c:v>
                </c:pt>
                <c:pt idx="25">
                  <c:v>-138440.89451048782</c:v>
                </c:pt>
                <c:pt idx="26">
                  <c:v>-145368.28740758781</c:v>
                </c:pt>
                <c:pt idx="27">
                  <c:v>-152646.89529751957</c:v>
                </c:pt>
                <c:pt idx="28">
                  <c:v>-160213.51308990608</c:v>
                </c:pt>
                <c:pt idx="29">
                  <c:v>-168096.05694573803</c:v>
                </c:pt>
              </c:numCache>
            </c:numRef>
          </c:val>
          <c:extLst>
            <c:ext xmlns:c16="http://schemas.microsoft.com/office/drawing/2014/chart" uri="{C3380CC4-5D6E-409C-BE32-E72D297353CC}">
              <c16:uniqueId val="{00000005-540A-EA4B-8055-1B7E9C9DFA26}"/>
            </c:ext>
          </c:extLst>
        </c:ser>
        <c:dLbls>
          <c:showLegendKey val="0"/>
          <c:showVal val="0"/>
          <c:showCatName val="0"/>
          <c:showSerName val="0"/>
          <c:showPercent val="0"/>
          <c:showBubbleSize val="0"/>
        </c:dLbls>
        <c:gapWidth val="150"/>
        <c:overlap val="100"/>
        <c:axId val="67987328"/>
        <c:axId val="67988864"/>
      </c:barChart>
      <c:catAx>
        <c:axId val="67987328"/>
        <c:scaling>
          <c:orientation val="minMax"/>
        </c:scaling>
        <c:delete val="0"/>
        <c:axPos val="b"/>
        <c:numFmt formatCode="0" sourceLinked="1"/>
        <c:majorTickMark val="out"/>
        <c:minorTickMark val="none"/>
        <c:tickLblPos val="nextTo"/>
        <c:crossAx val="67988864"/>
        <c:crosses val="autoZero"/>
        <c:auto val="1"/>
        <c:lblAlgn val="ctr"/>
        <c:lblOffset val="100"/>
        <c:noMultiLvlLbl val="0"/>
      </c:catAx>
      <c:valAx>
        <c:axId val="67988864"/>
        <c:scaling>
          <c:orientation val="minMax"/>
        </c:scaling>
        <c:delete val="0"/>
        <c:axPos val="l"/>
        <c:numFmt formatCode="_(* #,##0_);_(* \(#,##0\);_(* &quot;-&quot;??_);_(@_)" sourceLinked="1"/>
        <c:majorTickMark val="out"/>
        <c:minorTickMark val="none"/>
        <c:tickLblPos val="nextTo"/>
        <c:crossAx val="67987328"/>
        <c:crosses val="autoZero"/>
        <c:crossBetween val="between"/>
        <c:dispUnits>
          <c:builtInUnit val="thousands"/>
          <c:dispUnitsLbl>
            <c:layout>
              <c:manualLayout>
                <c:xMode val="edge"/>
                <c:yMode val="edge"/>
                <c:x val="1.5048908954100828E-2"/>
                <c:y val="0.41308122035205541"/>
              </c:manualLayout>
            </c:layout>
            <c:tx>
              <c:strRef>
                <c:f>'Charts - Consolidated'!$E$134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Track access charge</a:t>
            </a:r>
          </a:p>
        </c:rich>
      </c:tx>
      <c:overlay val="0"/>
    </c:title>
    <c:autoTitleDeleted val="0"/>
    <c:plotArea>
      <c:layout/>
      <c:barChart>
        <c:barDir val="col"/>
        <c:grouping val="stacked"/>
        <c:varyColors val="0"/>
        <c:ser>
          <c:idx val="0"/>
          <c:order val="0"/>
          <c:tx>
            <c:strRef>
              <c:f>'Charts - Freight'!$B$188:$D$188</c:f>
              <c:strCache>
                <c:ptCount val="3"/>
                <c:pt idx="0">
                  <c:v>R$ per GTK</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[0]!TACGTK</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extLst>
            <c:ext xmlns:c16="http://schemas.microsoft.com/office/drawing/2014/chart" uri="{C3380CC4-5D6E-409C-BE32-E72D297353CC}">
              <c16:uniqueId val="{00000000-E322-F845-AEDC-D4734CF9ACDA}"/>
            </c:ext>
          </c:extLst>
        </c:ser>
        <c:ser>
          <c:idx val="1"/>
          <c:order val="1"/>
          <c:tx>
            <c:strRef>
              <c:f>'Charts - Freight'!$B$189:$D$189</c:f>
              <c:strCache>
                <c:ptCount val="3"/>
                <c:pt idx="0">
                  <c:v>R$ per train-km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[0]!TACTrainkm</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extLst>
            <c:ext xmlns:c16="http://schemas.microsoft.com/office/drawing/2014/chart" uri="{C3380CC4-5D6E-409C-BE32-E72D297353CC}">
              <c16:uniqueId val="{00000001-E322-F845-AEDC-D4734CF9ACDA}"/>
            </c:ext>
          </c:extLst>
        </c:ser>
        <c:dLbls>
          <c:showLegendKey val="0"/>
          <c:showVal val="1"/>
          <c:showCatName val="0"/>
          <c:showSerName val="0"/>
          <c:showPercent val="0"/>
          <c:showBubbleSize val="0"/>
        </c:dLbls>
        <c:gapWidth val="75"/>
        <c:overlap val="100"/>
        <c:axId val="190579072"/>
        <c:axId val="190580608"/>
      </c:barChart>
      <c:catAx>
        <c:axId val="190579072"/>
        <c:scaling>
          <c:orientation val="minMax"/>
        </c:scaling>
        <c:delete val="0"/>
        <c:axPos val="b"/>
        <c:numFmt formatCode="0" sourceLinked="1"/>
        <c:majorTickMark val="none"/>
        <c:minorTickMark val="none"/>
        <c:tickLblPos val="nextTo"/>
        <c:txPr>
          <a:bodyPr rot="2700000"/>
          <a:lstStyle/>
          <a:p>
            <a:pPr>
              <a:defRPr/>
            </a:pPr>
            <a:endParaRPr lang="en-US"/>
          </a:p>
        </c:txPr>
        <c:crossAx val="190580608"/>
        <c:crosses val="autoZero"/>
        <c:auto val="1"/>
        <c:lblAlgn val="ctr"/>
        <c:lblOffset val="100"/>
        <c:noMultiLvlLbl val="0"/>
      </c:catAx>
      <c:valAx>
        <c:axId val="190580608"/>
        <c:scaling>
          <c:orientation val="minMax"/>
        </c:scaling>
        <c:delete val="0"/>
        <c:axPos val="l"/>
        <c:title>
          <c:tx>
            <c:strRef>
              <c:f>'Charts - Freight'!$F$185</c:f>
              <c:strCache>
                <c:ptCount val="1"/>
                <c:pt idx="0">
                  <c:v>R$</c:v>
                </c:pt>
              </c:strCache>
            </c:strRef>
          </c:tx>
          <c:overlay val="0"/>
          <c:txPr>
            <a:bodyPr rot="-5400000" vert="horz"/>
            <a:lstStyle/>
            <a:p>
              <a:pPr>
                <a:defRPr/>
              </a:pPr>
              <a:endParaRPr lang="en-US"/>
            </a:p>
          </c:txPr>
        </c:title>
        <c:numFmt formatCode="0.00" sourceLinked="1"/>
        <c:majorTickMark val="none"/>
        <c:minorTickMark val="none"/>
        <c:tickLblPos val="nextTo"/>
        <c:crossAx val="19057907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Debt-to-equity ratio</a:t>
            </a:r>
          </a:p>
        </c:rich>
      </c:tx>
      <c:overlay val="0"/>
    </c:title>
    <c:autoTitleDeleted val="0"/>
    <c:plotArea>
      <c:layout/>
      <c:lineChart>
        <c:grouping val="standard"/>
        <c:varyColors val="0"/>
        <c:ser>
          <c:idx val="0"/>
          <c:order val="0"/>
          <c:tx>
            <c:strRef>
              <c:f>'Charts - Freight'!$B$221:$D$221</c:f>
              <c:strCache>
                <c:ptCount val="3"/>
                <c:pt idx="0">
                  <c:v>Debt-to-equity</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[0]!debttoequityall</c:f>
              <c:numCache>
                <c:formatCode>0%</c:formatCode>
                <c:ptCount val="30"/>
                <c:pt idx="0">
                  <c:v>5.292772991032179E-2</c:v>
                </c:pt>
                <c:pt idx="1">
                  <c:v>2.333090484639545E-2</c:v>
                </c:pt>
                <c:pt idx="2">
                  <c:v>1.6538178225769491E-2</c:v>
                </c:pt>
                <c:pt idx="3">
                  <c:v>1.3520869847517275E-2</c:v>
                </c:pt>
                <c:pt idx="4">
                  <c:v>1.1555561473774893E-2</c:v>
                </c:pt>
                <c:pt idx="5">
                  <c:v>1.0232982529947723E-2</c:v>
                </c:pt>
                <c:pt idx="6">
                  <c:v>9.109990205038887E-3</c:v>
                </c:pt>
                <c:pt idx="7">
                  <c:v>7.0909229746946361E-3</c:v>
                </c:pt>
                <c:pt idx="8">
                  <c:v>5.5835943251129347E-3</c:v>
                </c:pt>
                <c:pt idx="9">
                  <c:v>4.4241572472523026E-3</c:v>
                </c:pt>
                <c:pt idx="10">
                  <c:v>3.6096065505118336E-3</c:v>
                </c:pt>
                <c:pt idx="11">
                  <c:v>3.1622423643817062E-3</c:v>
                </c:pt>
                <c:pt idx="12">
                  <c:v>2.7891800694626488E-3</c:v>
                </c:pt>
                <c:pt idx="13">
                  <c:v>2.4737578035259121E-3</c:v>
                </c:pt>
                <c:pt idx="14">
                  <c:v>2.2040106772831182E-3</c:v>
                </c:pt>
                <c:pt idx="15">
                  <c:v>1.9709418766803832E-3</c:v>
                </c:pt>
                <c:pt idx="16">
                  <c:v>2.2786912217847332E-4</c:v>
                </c:pt>
                <c:pt idx="17">
                  <c:v>2.085950104307723E-4</c:v>
                </c:pt>
                <c:pt idx="18">
                  <c:v>1.9157778897821573E-4</c:v>
                </c:pt>
                <c:pt idx="19">
                  <c:v>1.76471044927063E-4</c:v>
                </c:pt>
                <c:pt idx="20">
                  <c:v>1.6298764302699107E-4</c:v>
                </c:pt>
                <c:pt idx="21">
                  <c:v>1.5089934498081187E-4</c:v>
                </c:pt>
                <c:pt idx="22">
                  <c:v>1.4001703151563568E-4</c:v>
                </c:pt>
                <c:pt idx="23">
                  <c:v>1.3018272272177284E-4</c:v>
                </c:pt>
                <c:pt idx="24">
                  <c:v>1.2126412598427433E-4</c:v>
                </c:pt>
                <c:pt idx="25">
                  <c:v>1.1315039797482023E-4</c:v>
                </c:pt>
                <c:pt idx="26">
                  <c:v>5.2872205281396446E-5</c:v>
                </c:pt>
                <c:pt idx="27">
                  <c:v>4.9485847347012216E-5</c:v>
                </c:pt>
                <c:pt idx="28">
                  <c:v>4.6379824818284519E-5</c:v>
                </c:pt>
                <c:pt idx="29">
                  <c:v>4.3522592053847986E-5</c:v>
                </c:pt>
              </c:numCache>
            </c:numRef>
          </c:val>
          <c:smooth val="0"/>
          <c:extLst>
            <c:ext xmlns:c16="http://schemas.microsoft.com/office/drawing/2014/chart" uri="{C3380CC4-5D6E-409C-BE32-E72D297353CC}">
              <c16:uniqueId val="{00000000-0869-CB49-BA3E-6538B4F8E609}"/>
            </c:ext>
          </c:extLst>
        </c:ser>
        <c:dLbls>
          <c:showLegendKey val="0"/>
          <c:showVal val="0"/>
          <c:showCatName val="0"/>
          <c:showSerName val="0"/>
          <c:showPercent val="0"/>
          <c:showBubbleSize val="0"/>
        </c:dLbls>
        <c:smooth val="0"/>
        <c:axId val="190633856"/>
        <c:axId val="190635392"/>
      </c:lineChart>
      <c:catAx>
        <c:axId val="190633856"/>
        <c:scaling>
          <c:orientation val="minMax"/>
        </c:scaling>
        <c:delete val="0"/>
        <c:axPos val="b"/>
        <c:numFmt formatCode="0" sourceLinked="1"/>
        <c:majorTickMark val="none"/>
        <c:minorTickMark val="none"/>
        <c:tickLblPos val="nextTo"/>
        <c:crossAx val="190635392"/>
        <c:crosses val="autoZero"/>
        <c:auto val="1"/>
        <c:lblAlgn val="ctr"/>
        <c:lblOffset val="100"/>
        <c:noMultiLvlLbl val="0"/>
      </c:catAx>
      <c:valAx>
        <c:axId val="190635392"/>
        <c:scaling>
          <c:orientation val="minMax"/>
        </c:scaling>
        <c:delete val="0"/>
        <c:axPos val="l"/>
        <c:numFmt formatCode="0%" sourceLinked="1"/>
        <c:majorTickMark val="none"/>
        <c:minorTickMark val="none"/>
        <c:tickLblPos val="nextTo"/>
        <c:crossAx val="190633856"/>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[0]!operatingrevenuesall</c:f>
              <c:numCache>
                <c:formatCode>_(* #,##0_);_(* \(#,##0\);_(* "-"??_);_(@_)</c:formatCode>
                <c:ptCount val="30"/>
                <c:pt idx="0">
                  <c:v>87011</c:v>
                </c:pt>
                <c:pt idx="1">
                  <c:v>90475.679971457415</c:v>
                </c:pt>
                <c:pt idx="2">
                  <c:v>93048.938718952821</c:v>
                </c:pt>
                <c:pt idx="3">
                  <c:v>97846.613706804841</c:v>
                </c:pt>
                <c:pt idx="4">
                  <c:v>105067.15870969972</c:v>
                </c:pt>
                <c:pt idx="5">
                  <c:v>110353.49303965193</c:v>
                </c:pt>
                <c:pt idx="6">
                  <c:v>123628.0122425671</c:v>
                </c:pt>
                <c:pt idx="7">
                  <c:v>129593.20025983242</c:v>
                </c:pt>
                <c:pt idx="8">
                  <c:v>135808.83873919945</c:v>
                </c:pt>
                <c:pt idx="9">
                  <c:v>142284.07113167556</c:v>
                </c:pt>
                <c:pt idx="10">
                  <c:v>149028.82862423887</c:v>
                </c:pt>
                <c:pt idx="11">
                  <c:v>156053.51473596404</c:v>
                </c:pt>
                <c:pt idx="12">
                  <c:v>163368.68792912355</c:v>
                </c:pt>
                <c:pt idx="13">
                  <c:v>170985.41229274412</c:v>
                </c:pt>
                <c:pt idx="14">
                  <c:v>178915.81704468711</c:v>
                </c:pt>
                <c:pt idx="15">
                  <c:v>187170.9863049869</c:v>
                </c:pt>
                <c:pt idx="16">
                  <c:v>195764.42992999768</c:v>
                </c:pt>
                <c:pt idx="17">
                  <c:v>204708.06103274794</c:v>
                </c:pt>
                <c:pt idx="18">
                  <c:v>214015.2204442111</c:v>
                </c:pt>
                <c:pt idx="19">
                  <c:v>223700.64751416226</c:v>
                </c:pt>
                <c:pt idx="20">
                  <c:v>233777.4886345258</c:v>
                </c:pt>
                <c:pt idx="21">
                  <c:v>244261.75740066011</c:v>
                </c:pt>
                <c:pt idx="22">
                  <c:v>255168.30597817167</c:v>
                </c:pt>
                <c:pt idx="23">
                  <c:v>266512.95388374582</c:v>
                </c:pt>
                <c:pt idx="24">
                  <c:v>278312.09244357492</c:v>
                </c:pt>
                <c:pt idx="25">
                  <c:v>290583.014671201</c:v>
                </c:pt>
                <c:pt idx="26">
                  <c:v>303343.32908722403</c:v>
                </c:pt>
                <c:pt idx="27">
                  <c:v>316611.38132019946</c:v>
                </c:pt>
                <c:pt idx="28">
                  <c:v>330405.99652098806</c:v>
                </c:pt>
                <c:pt idx="29">
                  <c:v>344742.14148318389</c:v>
                </c:pt>
              </c:numCache>
            </c:numRef>
          </c:val>
          <c:extLst>
            <c:ext xmlns:c16="http://schemas.microsoft.com/office/drawing/2014/chart" uri="{C3380CC4-5D6E-409C-BE32-E72D297353CC}">
              <c16:uniqueId val="{00000000-301A-074B-9735-5FF64A95CCE7}"/>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[0]!operatingcostsall</c:f>
              <c:numCache>
                <c:formatCode>_(* #,##0_);_(* \(#,##0\);_(* "-"??_);_(@_)</c:formatCode>
                <c:ptCount val="30"/>
                <c:pt idx="0">
                  <c:v>10645</c:v>
                </c:pt>
                <c:pt idx="1">
                  <c:v>11115.856264241107</c:v>
                </c:pt>
                <c:pt idx="2">
                  <c:v>11557.12652420071</c:v>
                </c:pt>
                <c:pt idx="3">
                  <c:v>12356.16587911611</c:v>
                </c:pt>
                <c:pt idx="4">
                  <c:v>13336.455592091721</c:v>
                </c:pt>
                <c:pt idx="5">
                  <c:v>13904.512208530425</c:v>
                </c:pt>
                <c:pt idx="6">
                  <c:v>14849.965879866864</c:v>
                </c:pt>
                <c:pt idx="7">
                  <c:v>15455.98148162026</c:v>
                </c:pt>
                <c:pt idx="8">
                  <c:v>16098.6458797293</c:v>
                </c:pt>
                <c:pt idx="9">
                  <c:v>16766.183527318179</c:v>
                </c:pt>
                <c:pt idx="10">
                  <c:v>17457.83000835247</c:v>
                </c:pt>
                <c:pt idx="11">
                  <c:v>18175.184015207877</c:v>
                </c:pt>
                <c:pt idx="12">
                  <c:v>18914.612906349019</c:v>
                </c:pt>
                <c:pt idx="13">
                  <c:v>19675.284158743299</c:v>
                </c:pt>
                <c:pt idx="14">
                  <c:v>20472.949076957102</c:v>
                </c:pt>
                <c:pt idx="15">
                  <c:v>21286.413298367064</c:v>
                </c:pt>
                <c:pt idx="16">
                  <c:v>22144.292498232586</c:v>
                </c:pt>
                <c:pt idx="17">
                  <c:v>23024.165897460003</c:v>
                </c:pt>
                <c:pt idx="18">
                  <c:v>23927.672050654335</c:v>
                </c:pt>
                <c:pt idx="19">
                  <c:v>24879.545837372425</c:v>
                </c:pt>
                <c:pt idx="20">
                  <c:v>25853.20740548972</c:v>
                </c:pt>
                <c:pt idx="21">
                  <c:v>26876.320088470042</c:v>
                </c:pt>
                <c:pt idx="22">
                  <c:v>27939.070606768579</c:v>
                </c:pt>
                <c:pt idx="23">
                  <c:v>29040.288918682287</c:v>
                </c:pt>
                <c:pt idx="24">
                  <c:v>30179.121439056671</c:v>
                </c:pt>
                <c:pt idx="25">
                  <c:v>31361.452292320064</c:v>
                </c:pt>
                <c:pt idx="26">
                  <c:v>32586.525449933451</c:v>
                </c:pt>
                <c:pt idx="27">
                  <c:v>33855.866091982476</c:v>
                </c:pt>
                <c:pt idx="28">
                  <c:v>35166.693173549414</c:v>
                </c:pt>
                <c:pt idx="29">
                  <c:v>36470.605826529587</c:v>
                </c:pt>
              </c:numCache>
            </c:numRef>
          </c:val>
          <c:extLst>
            <c:ext xmlns:c16="http://schemas.microsoft.com/office/drawing/2014/chart" uri="{C3380CC4-5D6E-409C-BE32-E72D297353CC}">
              <c16:uniqueId val="{00000001-301A-074B-9735-5FF64A95CCE7}"/>
            </c:ext>
          </c:extLst>
        </c:ser>
        <c:dLbls>
          <c:showLegendKey val="0"/>
          <c:showVal val="0"/>
          <c:showCatName val="0"/>
          <c:showSerName val="0"/>
          <c:showPercent val="0"/>
          <c:showBubbleSize val="0"/>
        </c:dLbls>
        <c:gapWidth val="150"/>
        <c:axId val="190674432"/>
        <c:axId val="190675968"/>
      </c:barChart>
      <c:lineChart>
        <c:grouping val="standard"/>
        <c:varyColors val="0"/>
        <c:ser>
          <c:idx val="2"/>
          <c:order val="2"/>
          <c:tx>
            <c:strRef>
              <c:f>'Charts - Freight'!$B$140</c:f>
              <c:strCache>
                <c:ptCount val="1"/>
                <c:pt idx="0">
                  <c:v>Operating profit</c:v>
                </c:pt>
              </c:strCache>
            </c:strRef>
          </c:tx>
          <c:marker>
            <c:symbol val="none"/>
          </c:marker>
          <c:val>
            <c:numRef>
              <c:f>[0]!operatingprofitall</c:f>
              <c:numCache>
                <c:formatCode>0%</c:formatCode>
                <c:ptCount val="30"/>
                <c:pt idx="0">
                  <c:v>0.87765914654468979</c:v>
                </c:pt>
                <c:pt idx="1">
                  <c:v>0.87713984279811041</c:v>
                </c:pt>
                <c:pt idx="2">
                  <c:v>0.87579518172573556</c:v>
                </c:pt>
                <c:pt idx="3">
                  <c:v>0.87371902398031809</c:v>
                </c:pt>
                <c:pt idx="4">
                  <c:v>0.87306732421554956</c:v>
                </c:pt>
                <c:pt idx="5">
                  <c:v>0.87400025295498074</c:v>
                </c:pt>
                <c:pt idx="6">
                  <c:v>0.87988186810987334</c:v>
                </c:pt>
                <c:pt idx="7">
                  <c:v>0.88073462611748732</c:v>
                </c:pt>
                <c:pt idx="8">
                  <c:v>0.88146098568264508</c:v>
                </c:pt>
                <c:pt idx="9">
                  <c:v>0.88216401601411831</c:v>
                </c:pt>
                <c:pt idx="10">
                  <c:v>0.88285602074769964</c:v>
                </c:pt>
                <c:pt idx="11">
                  <c:v>0.88353236358719944</c:v>
                </c:pt>
                <c:pt idx="12">
                  <c:v>0.88422130858665526</c:v>
                </c:pt>
                <c:pt idx="13">
                  <c:v>0.88493004230643224</c:v>
                </c:pt>
                <c:pt idx="14">
                  <c:v>0.88557216787689796</c:v>
                </c:pt>
                <c:pt idx="15">
                  <c:v>0.88627290095227806</c:v>
                </c:pt>
                <c:pt idx="16">
                  <c:v>0.8868829618018399</c:v>
                </c:pt>
                <c:pt idx="17">
                  <c:v>0.88752682341230937</c:v>
                </c:pt>
                <c:pt idx="18">
                  <c:v>0.88819640023270341</c:v>
                </c:pt>
                <c:pt idx="19">
                  <c:v>0.88878196771514784</c:v>
                </c:pt>
                <c:pt idx="20">
                  <c:v>0.88941104827288509</c:v>
                </c:pt>
                <c:pt idx="21">
                  <c:v>0.88996918562087857</c:v>
                </c:pt>
                <c:pt idx="22">
                  <c:v>0.89050728498719345</c:v>
                </c:pt>
                <c:pt idx="23">
                  <c:v>0.89103610726797999</c:v>
                </c:pt>
                <c:pt idx="24">
                  <c:v>0.89156374351511447</c:v>
                </c:pt>
                <c:pt idx="25">
                  <c:v>0.89207403492662496</c:v>
                </c:pt>
                <c:pt idx="26">
                  <c:v>0.89257543408655804</c:v>
                </c:pt>
                <c:pt idx="27">
                  <c:v>0.89306806991330823</c:v>
                </c:pt>
                <c:pt idx="28">
                  <c:v>0.89356520903422654</c:v>
                </c:pt>
                <c:pt idx="29">
                  <c:v>0.8942090291902749</c:v>
                </c:pt>
              </c:numCache>
            </c:numRef>
          </c:val>
          <c:smooth val="0"/>
          <c:extLst>
            <c:ext xmlns:c16="http://schemas.microsoft.com/office/drawing/2014/chart" uri="{C3380CC4-5D6E-409C-BE32-E72D297353CC}">
              <c16:uniqueId val="{00000002-301A-074B-9735-5FF64A95CCE7}"/>
            </c:ext>
          </c:extLst>
        </c:ser>
        <c:dLbls>
          <c:showLegendKey val="0"/>
          <c:showVal val="0"/>
          <c:showCatName val="0"/>
          <c:showSerName val="0"/>
          <c:showPercent val="0"/>
          <c:showBubbleSize val="0"/>
        </c:dLbls>
        <c:marker val="1"/>
        <c:smooth val="0"/>
        <c:axId val="190688256"/>
        <c:axId val="190686720"/>
      </c:lineChart>
      <c:catAx>
        <c:axId val="190674432"/>
        <c:scaling>
          <c:orientation val="minMax"/>
        </c:scaling>
        <c:delete val="0"/>
        <c:axPos val="b"/>
        <c:numFmt formatCode="0" sourceLinked="1"/>
        <c:majorTickMark val="out"/>
        <c:minorTickMark val="none"/>
        <c:tickLblPos val="nextTo"/>
        <c:crossAx val="190675968"/>
        <c:crosses val="autoZero"/>
        <c:auto val="1"/>
        <c:lblAlgn val="ctr"/>
        <c:lblOffset val="100"/>
        <c:noMultiLvlLbl val="0"/>
      </c:catAx>
      <c:valAx>
        <c:axId val="190675968"/>
        <c:scaling>
          <c:orientation val="minMax"/>
        </c:scaling>
        <c:delete val="0"/>
        <c:axPos val="l"/>
        <c:title>
          <c:tx>
            <c:strRef>
              <c:f>'Charts - Consolidated'!$E$134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190674432"/>
        <c:crosses val="autoZero"/>
        <c:crossBetween val="between"/>
        <c:dispUnits>
          <c:builtInUnit val="thousands"/>
        </c:dispUnits>
      </c:valAx>
      <c:valAx>
        <c:axId val="190686720"/>
        <c:scaling>
          <c:orientation val="minMax"/>
        </c:scaling>
        <c:delete val="0"/>
        <c:axPos val="r"/>
        <c:numFmt formatCode="0%" sourceLinked="1"/>
        <c:majorTickMark val="out"/>
        <c:minorTickMark val="none"/>
        <c:tickLblPos val="nextTo"/>
        <c:crossAx val="190688256"/>
        <c:crosses val="max"/>
        <c:crossBetween val="between"/>
      </c:valAx>
      <c:catAx>
        <c:axId val="190688256"/>
        <c:scaling>
          <c:orientation val="minMax"/>
        </c:scaling>
        <c:delete val="1"/>
        <c:axPos val="b"/>
        <c:majorTickMark val="out"/>
        <c:minorTickMark val="none"/>
        <c:tickLblPos val="none"/>
        <c:crossAx val="190686720"/>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 - Consolidated'!$H$155</c:f>
          <c:strCache>
            <c:ptCount val="1"/>
            <c:pt idx="0">
              <c:v>Average tariffs</c:v>
            </c:pt>
          </c:strCache>
        </c:strRef>
      </c:tx>
      <c:overlay val="0"/>
    </c:title>
    <c:autoTitleDeleted val="0"/>
    <c:plotArea>
      <c:layout/>
      <c:barChart>
        <c:barDir val="col"/>
        <c:grouping val="stacked"/>
        <c:varyColors val="0"/>
        <c:ser>
          <c:idx val="0"/>
          <c:order val="0"/>
          <c:tx>
            <c:strRef>
              <c:f>'Charts - Consolidated'!$B$157</c:f>
              <c:strCache>
                <c:ptCount val="1"/>
                <c:pt idx="0">
                  <c:v>Average freight tariff (R$/Ton-km)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[0]!allfreighttariffs</c:f>
              <c:numCache>
                <c:formatCode>0.0</c:formatCode>
                <c:ptCount val="30"/>
                <c:pt idx="0">
                  <c:v>1</c:v>
                </c:pt>
                <c:pt idx="1">
                  <c:v>1.0275400000000001</c:v>
                </c:pt>
                <c:pt idx="2">
                  <c:v>1.055871676</c:v>
                </c:pt>
                <c:pt idx="3">
                  <c:v>1.0850181755805999</c:v>
                </c:pt>
                <c:pt idx="4">
                  <c:v>1.1150033277727467</c:v>
                </c:pt>
                <c:pt idx="5">
                  <c:v>1.1458516631805886</c:v>
                </c:pt>
                <c:pt idx="6">
                  <c:v>1.1775884346995309</c:v>
                </c:pt>
                <c:pt idx="7">
                  <c:v>1.2102396388471006</c:v>
                </c:pt>
                <c:pt idx="8">
                  <c:v>1.2438320377247867</c:v>
                </c:pt>
                <c:pt idx="9">
                  <c:v>1.2783931816295215</c:v>
                </c:pt>
                <c:pt idx="10">
                  <c:v>1.3139514323340535</c:v>
                </c:pt>
                <c:pt idx="11">
                  <c:v>1.3505359870560134</c:v>
                </c:pt>
                <c:pt idx="12">
                  <c:v>1.3881769031360731</c:v>
                </c:pt>
                <c:pt idx="13">
                  <c:v>1.4269051234461909</c:v>
                </c:pt>
                <c:pt idx="14">
                  <c:v>1.4667525025495696</c:v>
                </c:pt>
                <c:pt idx="15">
                  <c:v>1.507751833634593</c:v>
                </c:pt>
                <c:pt idx="16">
                  <c:v>1.5499368762456542</c:v>
                </c:pt>
                <c:pt idx="17">
                  <c:v>1.5933423848344901</c:v>
                </c:pt>
                <c:pt idx="18">
                  <c:v>1.63800413815631</c:v>
                </c:pt>
                <c:pt idx="19">
                  <c:v>1.6839589695357571</c:v>
                </c:pt>
                <c:pt idx="20">
                  <c:v>1.7312447980284524</c:v>
                </c:pt>
                <c:pt idx="21">
                  <c:v>1.7799006605046537</c:v>
                </c:pt>
                <c:pt idx="22">
                  <c:v>1.829966744682352</c:v>
                </c:pt>
                <c:pt idx="23">
                  <c:v>1.8814844231379113</c:v>
                </c:pt>
                <c:pt idx="24">
                  <c:v>1.93449628832323</c:v>
                </c:pt>
                <c:pt idx="25">
                  <c:v>1.9890461886192246</c:v>
                </c:pt>
                <c:pt idx="26">
                  <c:v>2.0451792654563441</c:v>
                </c:pt>
                <c:pt idx="27">
                  <c:v>2.1029419915337182</c:v>
                </c:pt>
                <c:pt idx="28">
                  <c:v>2.1623822101695009</c:v>
                </c:pt>
                <c:pt idx="29">
                  <c:v>2.2235491758159021</c:v>
                </c:pt>
              </c:numCache>
            </c:numRef>
          </c:val>
          <c:extLst>
            <c:ext xmlns:c16="http://schemas.microsoft.com/office/drawing/2014/chart" uri="{C3380CC4-5D6E-409C-BE32-E72D297353CC}">
              <c16:uniqueId val="{00000000-0329-1646-9735-0271FF4B6374}"/>
            </c:ext>
          </c:extLst>
        </c:ser>
        <c:ser>
          <c:idx val="1"/>
          <c:order val="1"/>
          <c:tx>
            <c:strRef>
              <c:f>'Charts - Consolidated'!$B$158</c:f>
              <c:strCache>
                <c:ptCount val="1"/>
                <c:pt idx="0">
                  <c:v>Average passenger tariff (R$/Passenger-km)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[0]!allpaxtariffs</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1.3842338707244461</c:v>
                </c:pt>
                <c:pt idx="12">
                  <c:v>1.4257608868461793</c:v>
                </c:pt>
                <c:pt idx="13">
                  <c:v>1.4685337134515646</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1.8602945717094979</c:v>
                </c:pt>
                <c:pt idx="22">
                  <c:v>1.9161034088607825</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1-0329-1646-9735-0271FF4B6374}"/>
            </c:ext>
          </c:extLst>
        </c:ser>
        <c:dLbls>
          <c:showLegendKey val="0"/>
          <c:showVal val="1"/>
          <c:showCatName val="0"/>
          <c:showSerName val="0"/>
          <c:showPercent val="0"/>
          <c:showBubbleSize val="0"/>
        </c:dLbls>
        <c:gapWidth val="75"/>
        <c:overlap val="100"/>
        <c:axId val="190778752"/>
        <c:axId val="190788736"/>
      </c:barChart>
      <c:catAx>
        <c:axId val="190778752"/>
        <c:scaling>
          <c:orientation val="minMax"/>
        </c:scaling>
        <c:delete val="0"/>
        <c:axPos val="b"/>
        <c:numFmt formatCode="0" sourceLinked="1"/>
        <c:majorTickMark val="none"/>
        <c:minorTickMark val="none"/>
        <c:tickLblPos val="nextTo"/>
        <c:crossAx val="190788736"/>
        <c:crosses val="autoZero"/>
        <c:auto val="1"/>
        <c:lblAlgn val="ctr"/>
        <c:lblOffset val="100"/>
        <c:noMultiLvlLbl val="0"/>
      </c:catAx>
      <c:valAx>
        <c:axId val="190788736"/>
        <c:scaling>
          <c:orientation val="minMax"/>
        </c:scaling>
        <c:delete val="0"/>
        <c:axPos val="l"/>
        <c:title>
          <c:tx>
            <c:strRef>
              <c:f>'Charts - Consolidated'!$F$155</c:f>
              <c:strCache>
                <c:ptCount val="1"/>
                <c:pt idx="0">
                  <c:v>Average tariff</c:v>
                </c:pt>
              </c:strCache>
            </c:strRef>
          </c:tx>
          <c:overlay val="0"/>
          <c:txPr>
            <a:bodyPr rot="-5400000" vert="horz"/>
            <a:lstStyle/>
            <a:p>
              <a:pPr>
                <a:defRPr/>
              </a:pPr>
              <a:endParaRPr lang="en-US"/>
            </a:p>
          </c:txPr>
        </c:title>
        <c:numFmt formatCode="0.0" sourceLinked="1"/>
        <c:majorTickMark val="none"/>
        <c:minorTickMark val="none"/>
        <c:tickLblPos val="nextTo"/>
        <c:crossAx val="19077875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Public subsidy</a:t>
            </a:r>
          </a:p>
        </c:rich>
      </c:tx>
      <c:overlay val="0"/>
    </c:title>
    <c:autoTitleDeleted val="0"/>
    <c:plotArea>
      <c:layout/>
      <c:barChart>
        <c:barDir val="col"/>
        <c:grouping val="clustered"/>
        <c:varyColors val="0"/>
        <c:ser>
          <c:idx val="0"/>
          <c:order val="0"/>
          <c:tx>
            <c:strRef>
              <c:f>'Charts - Consolidated'!$B$172</c:f>
              <c:strCache>
                <c:ptCount val="1"/>
                <c:pt idx="0">
                  <c:v>Operating subsidy</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[0]!operatingsubsidyall</c:f>
              <c:numCache>
                <c:formatCode>_(* #,##0.00_);_(* \(#,##0.00\);_(* "-"??_);_(@_)</c:formatCode>
                <c:ptCount val="30"/>
                <c:pt idx="0">
                  <c:v>70</c:v>
                </c:pt>
                <c:pt idx="1">
                  <c:v>72.099999999999994</c:v>
                </c:pt>
                <c:pt idx="2">
                  <c:v>74.263000000000005</c:v>
                </c:pt>
                <c:pt idx="3">
                  <c:v>76.490890000000007</c:v>
                </c:pt>
                <c:pt idx="4">
                  <c:v>78.785616700000006</c:v>
                </c:pt>
                <c:pt idx="5">
                  <c:v>81.149185201000009</c:v>
                </c:pt>
                <c:pt idx="6">
                  <c:v>83.583660757030003</c:v>
                </c:pt>
                <c:pt idx="7">
                  <c:v>86.091170579740904</c:v>
                </c:pt>
                <c:pt idx="8">
                  <c:v>88.673905697133137</c:v>
                </c:pt>
                <c:pt idx="9">
                  <c:v>91.334122868047132</c:v>
                </c:pt>
                <c:pt idx="10">
                  <c:v>94.074146554088557</c:v>
                </c:pt>
                <c:pt idx="11">
                  <c:v>96.896370950711216</c:v>
                </c:pt>
                <c:pt idx="12">
                  <c:v>99.803262079232553</c:v>
                </c:pt>
                <c:pt idx="13">
                  <c:v>102.79735994160953</c:v>
                </c:pt>
                <c:pt idx="14">
                  <c:v>105.88128073985781</c:v>
                </c:pt>
                <c:pt idx="15">
                  <c:v>109.05771916205356</c:v>
                </c:pt>
                <c:pt idx="16">
                  <c:v>112.32945073691516</c:v>
                </c:pt>
                <c:pt idx="17">
                  <c:v>115.69933425902261</c:v>
                </c:pt>
                <c:pt idx="18">
                  <c:v>119.17031428679329</c:v>
                </c:pt>
                <c:pt idx="19">
                  <c:v>122.7454237153971</c:v>
                </c:pt>
                <c:pt idx="20">
                  <c:v>126.427786426859</c:v>
                </c:pt>
                <c:pt idx="21">
                  <c:v>130.22062001966478</c:v>
                </c:pt>
                <c:pt idx="22">
                  <c:v>134.12723862025473</c:v>
                </c:pt>
                <c:pt idx="23">
                  <c:v>138.15105577886237</c:v>
                </c:pt>
                <c:pt idx="24">
                  <c:v>142.29558745222823</c:v>
                </c:pt>
                <c:pt idx="25">
                  <c:v>146.56445507579508</c:v>
                </c:pt>
                <c:pt idx="26">
                  <c:v>150.96138872806895</c:v>
                </c:pt>
                <c:pt idx="27">
                  <c:v>155.49023038991101</c:v>
                </c:pt>
                <c:pt idx="28">
                  <c:v>160.15493730160836</c:v>
                </c:pt>
                <c:pt idx="29">
                  <c:v>164.95958542065659</c:v>
                </c:pt>
              </c:numCache>
            </c:numRef>
          </c:val>
          <c:extLst>
            <c:ext xmlns:c16="http://schemas.microsoft.com/office/drawing/2014/chart" uri="{C3380CC4-5D6E-409C-BE32-E72D297353CC}">
              <c16:uniqueId val="{00000000-E21F-9240-A979-C58B4E03F3FD}"/>
            </c:ext>
          </c:extLst>
        </c:ser>
        <c:ser>
          <c:idx val="1"/>
          <c:order val="1"/>
          <c:tx>
            <c:strRef>
              <c:f>'Charts - Consolidated'!$B$173</c:f>
              <c:strCache>
                <c:ptCount val="1"/>
                <c:pt idx="0">
                  <c:v>Capital subsidy</c:v>
                </c:pt>
              </c:strCache>
            </c:strRef>
          </c:tx>
          <c:invertIfNegative val="0"/>
          <c:dLbls>
            <c:delete val="1"/>
          </c:dLbls>
          <c:val>
            <c:numRef>
              <c:f>[0]!capitalsubsidyall</c:f>
              <c:numCache>
                <c:formatCode>_(* #,##0.00_);_(* \(#,##0.00\);_(* "-"??_);_(@_)</c:formatCode>
                <c:ptCount val="30"/>
                <c:pt idx="0">
                  <c:v>40</c:v>
                </c:pt>
                <c:pt idx="1">
                  <c:v>41.2</c:v>
                </c:pt>
                <c:pt idx="2">
                  <c:v>42.436</c:v>
                </c:pt>
                <c:pt idx="3">
                  <c:v>43.70908</c:v>
                </c:pt>
                <c:pt idx="4">
                  <c:v>45.0203524</c:v>
                </c:pt>
                <c:pt idx="5">
                  <c:v>46.370962972000001</c:v>
                </c:pt>
                <c:pt idx="6">
                  <c:v>47.762091861160002</c:v>
                </c:pt>
                <c:pt idx="7">
                  <c:v>49.194954616994806</c:v>
                </c:pt>
                <c:pt idx="8">
                  <c:v>50.670803255504651</c:v>
                </c:pt>
                <c:pt idx="9">
                  <c:v>52.190927353169798</c:v>
                </c:pt>
                <c:pt idx="10">
                  <c:v>53.756655173764884</c:v>
                </c:pt>
                <c:pt idx="11">
                  <c:v>55.369354828977833</c:v>
                </c:pt>
                <c:pt idx="12">
                  <c:v>57.03043547384717</c:v>
                </c:pt>
                <c:pt idx="13">
                  <c:v>58.741348538062581</c:v>
                </c:pt>
                <c:pt idx="14">
                  <c:v>60.50358899420447</c:v>
                </c:pt>
                <c:pt idx="15">
                  <c:v>62.318696664030611</c:v>
                </c:pt>
                <c:pt idx="16">
                  <c:v>64.188257563951538</c:v>
                </c:pt>
                <c:pt idx="17">
                  <c:v>66.113905290870065</c:v>
                </c:pt>
                <c:pt idx="18">
                  <c:v>68.097322449596192</c:v>
                </c:pt>
                <c:pt idx="19">
                  <c:v>70.140242123084064</c:v>
                </c:pt>
                <c:pt idx="20">
                  <c:v>72.244449386776594</c:v>
                </c:pt>
                <c:pt idx="21">
                  <c:v>74.411782868379902</c:v>
                </c:pt>
                <c:pt idx="22">
                  <c:v>76.644136354431296</c:v>
                </c:pt>
                <c:pt idx="23">
                  <c:v>78.943460445064233</c:v>
                </c:pt>
                <c:pt idx="24">
                  <c:v>81.311764258416162</c:v>
                </c:pt>
                <c:pt idx="25">
                  <c:v>83.751117186168642</c:v>
                </c:pt>
                <c:pt idx="26">
                  <c:v>86.263650701753704</c:v>
                </c:pt>
                <c:pt idx="27">
                  <c:v>88.851560222806313</c:v>
                </c:pt>
                <c:pt idx="28">
                  <c:v>91.517107029490504</c:v>
                </c:pt>
                <c:pt idx="29">
                  <c:v>94.262620240375227</c:v>
                </c:pt>
              </c:numCache>
            </c:numRef>
          </c:val>
          <c:extLst>
            <c:ext xmlns:c16="http://schemas.microsoft.com/office/drawing/2014/chart" uri="{C3380CC4-5D6E-409C-BE32-E72D297353CC}">
              <c16:uniqueId val="{00000001-E21F-9240-A979-C58B4E03F3FD}"/>
            </c:ext>
          </c:extLst>
        </c:ser>
        <c:dLbls>
          <c:showLegendKey val="0"/>
          <c:showVal val="1"/>
          <c:showCatName val="0"/>
          <c:showSerName val="0"/>
          <c:showPercent val="0"/>
          <c:showBubbleSize val="0"/>
        </c:dLbls>
        <c:gapWidth val="75"/>
        <c:axId val="190814080"/>
        <c:axId val="190815616"/>
      </c:barChart>
      <c:catAx>
        <c:axId val="190814080"/>
        <c:scaling>
          <c:orientation val="minMax"/>
        </c:scaling>
        <c:delete val="0"/>
        <c:axPos val="b"/>
        <c:numFmt formatCode="0" sourceLinked="1"/>
        <c:majorTickMark val="none"/>
        <c:minorTickMark val="none"/>
        <c:tickLblPos val="nextTo"/>
        <c:crossAx val="190815616"/>
        <c:crosses val="autoZero"/>
        <c:auto val="1"/>
        <c:lblAlgn val="ctr"/>
        <c:lblOffset val="100"/>
        <c:noMultiLvlLbl val="0"/>
      </c:catAx>
      <c:valAx>
        <c:axId val="190815616"/>
        <c:scaling>
          <c:orientation val="minMax"/>
        </c:scaling>
        <c:delete val="0"/>
        <c:axPos val="l"/>
        <c:title>
          <c:tx>
            <c:strRef>
              <c:f>'Charts - Consolidated'!$E$134</c:f>
              <c:strCache>
                <c:ptCount val="1"/>
                <c:pt idx="0">
                  <c:v>R$ millions</c:v>
                </c:pt>
              </c:strCache>
            </c:strRef>
          </c:tx>
          <c:overlay val="0"/>
          <c:txPr>
            <a:bodyPr rot="-5400000" vert="horz"/>
            <a:lstStyle/>
            <a:p>
              <a:pPr>
                <a:defRPr/>
              </a:pPr>
              <a:endParaRPr lang="en-US"/>
            </a:p>
          </c:txPr>
        </c:title>
        <c:numFmt formatCode="_(* #,##0.00_);_(* \(#,##0.00\);_(* &quot;-&quot;??_);_(@_)" sourceLinked="1"/>
        <c:majorTickMark val="none"/>
        <c:minorTickMark val="none"/>
        <c:tickLblPos val="nextTo"/>
        <c:crossAx val="190814080"/>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a:t>
            </a:r>
          </a:p>
        </c:rich>
      </c:tx>
      <c:overlay val="0"/>
    </c:title>
    <c:autoTitleDeleted val="0"/>
    <c:plotArea>
      <c:layout/>
      <c:barChart>
        <c:barDir val="col"/>
        <c:grouping val="stacked"/>
        <c:varyColors val="0"/>
        <c:ser>
          <c:idx val="0"/>
          <c:order val="0"/>
          <c:tx>
            <c:strRef>
              <c:f>'Charts - Infrastructure'!$B$145</c:f>
              <c:strCache>
                <c:ptCount val="1"/>
                <c:pt idx="0">
                  <c:v>Total freight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[0]!freighttrafficgtk</c:f>
              <c:numCache>
                <c:formatCode>_(* #,##0_);_(* \(#,##0\);_(* "-"??_);_(@_)</c:formatCode>
                <c:ptCount val="30"/>
                <c:pt idx="0">
                  <c:v>100000.00000000001</c:v>
                </c:pt>
                <c:pt idx="1">
                  <c:v>98780.487804878067</c:v>
                </c:pt>
                <c:pt idx="2">
                  <c:v>98780.487804878067</c:v>
                </c:pt>
                <c:pt idx="3">
                  <c:v>98780.487804878067</c:v>
                </c:pt>
                <c:pt idx="4">
                  <c:v>98780.487804878067</c:v>
                </c:pt>
                <c:pt idx="5">
                  <c:v>98780.487804878067</c:v>
                </c:pt>
                <c:pt idx="6">
                  <c:v>111128.04878048781</c:v>
                </c:pt>
                <c:pt idx="7">
                  <c:v>111128.04878048781</c:v>
                </c:pt>
                <c:pt idx="8">
                  <c:v>111128.04878048781</c:v>
                </c:pt>
                <c:pt idx="9">
                  <c:v>111128.04878048781</c:v>
                </c:pt>
                <c:pt idx="10">
                  <c:v>111128.04878048781</c:v>
                </c:pt>
                <c:pt idx="11">
                  <c:v>111128.04878048781</c:v>
                </c:pt>
                <c:pt idx="12">
                  <c:v>111128.04878048781</c:v>
                </c:pt>
                <c:pt idx="13">
                  <c:v>111128.04878048781</c:v>
                </c:pt>
                <c:pt idx="14">
                  <c:v>111128.04878048781</c:v>
                </c:pt>
                <c:pt idx="15">
                  <c:v>111128.04878048781</c:v>
                </c:pt>
                <c:pt idx="16">
                  <c:v>111128.04878048781</c:v>
                </c:pt>
                <c:pt idx="17">
                  <c:v>111128.04878048781</c:v>
                </c:pt>
                <c:pt idx="18">
                  <c:v>111128.04878048781</c:v>
                </c:pt>
                <c:pt idx="19">
                  <c:v>111128.04878048781</c:v>
                </c:pt>
                <c:pt idx="20">
                  <c:v>111128.04878048781</c:v>
                </c:pt>
                <c:pt idx="21">
                  <c:v>111128.04878048781</c:v>
                </c:pt>
                <c:pt idx="22">
                  <c:v>111128.04878048781</c:v>
                </c:pt>
                <c:pt idx="23">
                  <c:v>111128.04878048781</c:v>
                </c:pt>
                <c:pt idx="24">
                  <c:v>111128.04878048781</c:v>
                </c:pt>
                <c:pt idx="25">
                  <c:v>111128.04878048781</c:v>
                </c:pt>
                <c:pt idx="26">
                  <c:v>111128.04878048781</c:v>
                </c:pt>
                <c:pt idx="27">
                  <c:v>111128.04878048781</c:v>
                </c:pt>
                <c:pt idx="28">
                  <c:v>111128.04878048781</c:v>
                </c:pt>
                <c:pt idx="29">
                  <c:v>111128.04878048781</c:v>
                </c:pt>
              </c:numCache>
            </c:numRef>
          </c:val>
          <c:extLst>
            <c:ext xmlns:c16="http://schemas.microsoft.com/office/drawing/2014/chart" uri="{C3380CC4-5D6E-409C-BE32-E72D297353CC}">
              <c16:uniqueId val="{00000000-F458-DB47-BD4D-94EBBAFBBCC2}"/>
            </c:ext>
          </c:extLst>
        </c:ser>
        <c:ser>
          <c:idx val="1"/>
          <c:order val="1"/>
          <c:tx>
            <c:strRef>
              <c:f>'Charts - Infrastructure'!$B$146</c:f>
              <c:strCache>
                <c:ptCount val="1"/>
                <c:pt idx="0">
                  <c:v>Total passenger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[0]!paxtrafficgtk</c:f>
              <c:numCache>
                <c:formatCode>_(* #,##0_);_(* \(#,##0\);_(* "-"??_);_(@_)</c:formatCode>
                <c:ptCount val="30"/>
                <c:pt idx="0">
                  <c:v>60000</c:v>
                </c:pt>
                <c:pt idx="1">
                  <c:v>63750</c:v>
                </c:pt>
                <c:pt idx="2">
                  <c:v>63750</c:v>
                </c:pt>
                <c:pt idx="3">
                  <c:v>67500</c:v>
                </c:pt>
                <c:pt idx="4">
                  <c:v>75000</c:v>
                </c:pt>
                <c:pt idx="5">
                  <c:v>78750</c:v>
                </c:pt>
                <c:pt idx="6">
                  <c:v>82500</c:v>
                </c:pt>
                <c:pt idx="7">
                  <c:v>86250</c:v>
                </c:pt>
                <c:pt idx="8">
                  <c:v>90000</c:v>
                </c:pt>
                <c:pt idx="9">
                  <c:v>93750</c:v>
                </c:pt>
                <c:pt idx="10">
                  <c:v>97500</c:v>
                </c:pt>
                <c:pt idx="11">
                  <c:v>101250</c:v>
                </c:pt>
                <c:pt idx="12">
                  <c:v>105000</c:v>
                </c:pt>
                <c:pt idx="13">
                  <c:v>108750</c:v>
                </c:pt>
                <c:pt idx="14">
                  <c:v>112500</c:v>
                </c:pt>
                <c:pt idx="15">
                  <c:v>116250</c:v>
                </c:pt>
                <c:pt idx="16">
                  <c:v>120000</c:v>
                </c:pt>
                <c:pt idx="17">
                  <c:v>123750</c:v>
                </c:pt>
                <c:pt idx="18">
                  <c:v>127500</c:v>
                </c:pt>
                <c:pt idx="19">
                  <c:v>131250</c:v>
                </c:pt>
                <c:pt idx="20">
                  <c:v>135000</c:v>
                </c:pt>
                <c:pt idx="21">
                  <c:v>138750</c:v>
                </c:pt>
                <c:pt idx="22">
                  <c:v>142500</c:v>
                </c:pt>
                <c:pt idx="23">
                  <c:v>146250</c:v>
                </c:pt>
                <c:pt idx="24">
                  <c:v>150000</c:v>
                </c:pt>
                <c:pt idx="25">
                  <c:v>153750</c:v>
                </c:pt>
                <c:pt idx="26">
                  <c:v>157500</c:v>
                </c:pt>
                <c:pt idx="27">
                  <c:v>161250</c:v>
                </c:pt>
                <c:pt idx="28">
                  <c:v>165000</c:v>
                </c:pt>
                <c:pt idx="29">
                  <c:v>168750</c:v>
                </c:pt>
              </c:numCache>
            </c:numRef>
          </c:val>
          <c:extLst>
            <c:ext xmlns:c16="http://schemas.microsoft.com/office/drawing/2014/chart" uri="{C3380CC4-5D6E-409C-BE32-E72D297353CC}">
              <c16:uniqueId val="{00000001-F458-DB47-BD4D-94EBBAFBBCC2}"/>
            </c:ext>
          </c:extLst>
        </c:ser>
        <c:dLbls>
          <c:showLegendKey val="0"/>
          <c:showVal val="0"/>
          <c:showCatName val="0"/>
          <c:showSerName val="0"/>
          <c:showPercent val="0"/>
          <c:showBubbleSize val="0"/>
        </c:dLbls>
        <c:gapWidth val="150"/>
        <c:overlap val="100"/>
        <c:axId val="190722432"/>
        <c:axId val="190723968"/>
      </c:barChart>
      <c:catAx>
        <c:axId val="190722432"/>
        <c:scaling>
          <c:orientation val="minMax"/>
        </c:scaling>
        <c:delete val="0"/>
        <c:axPos val="b"/>
        <c:numFmt formatCode="0" sourceLinked="1"/>
        <c:majorTickMark val="out"/>
        <c:minorTickMark val="none"/>
        <c:tickLblPos val="nextTo"/>
        <c:crossAx val="190723968"/>
        <c:crosses val="autoZero"/>
        <c:auto val="1"/>
        <c:lblAlgn val="ctr"/>
        <c:lblOffset val="100"/>
        <c:noMultiLvlLbl val="0"/>
      </c:catAx>
      <c:valAx>
        <c:axId val="190723968"/>
        <c:scaling>
          <c:orientation val="minMax"/>
        </c:scaling>
        <c:delete val="0"/>
        <c:axPos val="l"/>
        <c:numFmt formatCode="_(* #,##0_);_(* \(#,##0\);_(* &quot;-&quot;??_);_(@_)" sourceLinked="1"/>
        <c:majorTickMark val="out"/>
        <c:minorTickMark val="none"/>
        <c:tickLblPos val="nextTo"/>
        <c:crossAx val="190722432"/>
        <c:crosses val="autoZero"/>
        <c:crossBetween val="between"/>
        <c:dispUnits>
          <c:builtInUnit val="thousands"/>
          <c:dispUnitsLbl>
            <c:layout>
              <c:manualLayout>
                <c:xMode val="edge"/>
                <c:yMode val="edge"/>
                <c:x val="3.1215161649944412E-2"/>
                <c:y val="0.26436351706036748"/>
              </c:manualLayout>
            </c:layout>
            <c:tx>
              <c:strRef>
                <c:f>'Charts - Freight'!$F$142</c:f>
                <c:strCache>
                  <c:ptCount val="1"/>
                  <c:pt idx="0">
                    <c:v>GTK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a:t>
            </a:r>
          </a:p>
        </c:rich>
      </c:tx>
      <c:overlay val="0"/>
    </c:title>
    <c:autoTitleDeleted val="0"/>
    <c:plotArea>
      <c:layout/>
      <c:barChart>
        <c:barDir val="col"/>
        <c:grouping val="stacked"/>
        <c:varyColors val="0"/>
        <c:ser>
          <c:idx val="0"/>
          <c:order val="0"/>
          <c:tx>
            <c:strRef>
              <c:f>'Charts - Infrastructure'!$B$145</c:f>
              <c:strCache>
                <c:ptCount val="1"/>
                <c:pt idx="0">
                  <c:v>Total freight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[0]!tufreight</c:f>
              <c:numCache>
                <c:formatCode>_(* #,##0_);_(* \(#,##0\);_(* "-"??_);_(@_)</c:formatCode>
                <c:ptCount val="30"/>
                <c:pt idx="0">
                  <c:v>65000</c:v>
                </c:pt>
                <c:pt idx="1">
                  <c:v>64000</c:v>
                </c:pt>
                <c:pt idx="2">
                  <c:v>64000</c:v>
                </c:pt>
                <c:pt idx="3">
                  <c:v>64000</c:v>
                </c:pt>
                <c:pt idx="4">
                  <c:v>64000</c:v>
                </c:pt>
                <c:pt idx="5">
                  <c:v>64000</c:v>
                </c:pt>
                <c:pt idx="6">
                  <c:v>72000</c:v>
                </c:pt>
                <c:pt idx="7">
                  <c:v>72000</c:v>
                </c:pt>
                <c:pt idx="8">
                  <c:v>72000</c:v>
                </c:pt>
                <c:pt idx="9">
                  <c:v>72000</c:v>
                </c:pt>
                <c:pt idx="10">
                  <c:v>72000</c:v>
                </c:pt>
                <c:pt idx="11">
                  <c:v>72000</c:v>
                </c:pt>
                <c:pt idx="12">
                  <c:v>72000</c:v>
                </c:pt>
                <c:pt idx="13">
                  <c:v>72000</c:v>
                </c:pt>
                <c:pt idx="14">
                  <c:v>72000</c:v>
                </c:pt>
                <c:pt idx="15">
                  <c:v>72000</c:v>
                </c:pt>
                <c:pt idx="16">
                  <c:v>72000</c:v>
                </c:pt>
                <c:pt idx="17">
                  <c:v>72000</c:v>
                </c:pt>
                <c:pt idx="18">
                  <c:v>72000</c:v>
                </c:pt>
                <c:pt idx="19">
                  <c:v>72000</c:v>
                </c:pt>
                <c:pt idx="20">
                  <c:v>72000</c:v>
                </c:pt>
                <c:pt idx="21">
                  <c:v>72000</c:v>
                </c:pt>
                <c:pt idx="22">
                  <c:v>72000</c:v>
                </c:pt>
                <c:pt idx="23">
                  <c:v>72000</c:v>
                </c:pt>
                <c:pt idx="24">
                  <c:v>72000</c:v>
                </c:pt>
                <c:pt idx="25">
                  <c:v>72000</c:v>
                </c:pt>
                <c:pt idx="26">
                  <c:v>72000</c:v>
                </c:pt>
                <c:pt idx="27">
                  <c:v>72000</c:v>
                </c:pt>
                <c:pt idx="28">
                  <c:v>72000</c:v>
                </c:pt>
                <c:pt idx="29">
                  <c:v>72000</c:v>
                </c:pt>
              </c:numCache>
            </c:numRef>
          </c:val>
          <c:extLst>
            <c:ext xmlns:c16="http://schemas.microsoft.com/office/drawing/2014/chart" uri="{C3380CC4-5D6E-409C-BE32-E72D297353CC}">
              <c16:uniqueId val="{00000000-16A1-A647-B82D-A5F5F6946EAA}"/>
            </c:ext>
          </c:extLst>
        </c:ser>
        <c:ser>
          <c:idx val="1"/>
          <c:order val="1"/>
          <c:tx>
            <c:strRef>
              <c:f>'Charts - Infrastructure'!$B$146</c:f>
              <c:strCache>
                <c:ptCount val="1"/>
                <c:pt idx="0">
                  <c:v>Total passenger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[0]!tupax</c:f>
              <c:numCache>
                <c:formatCode>_(* #,##0_);_(* \(#,##0\);_(* "-"??_);_(@_)</c:formatCode>
                <c:ptCount val="30"/>
                <c:pt idx="0">
                  <c:v>48000</c:v>
                </c:pt>
                <c:pt idx="1">
                  <c:v>51000</c:v>
                </c:pt>
                <c:pt idx="2">
                  <c:v>51000</c:v>
                </c:pt>
                <c:pt idx="3">
                  <c:v>54000</c:v>
                </c:pt>
                <c:pt idx="4">
                  <c:v>60000</c:v>
                </c:pt>
                <c:pt idx="5">
                  <c:v>63000</c:v>
                </c:pt>
                <c:pt idx="6">
                  <c:v>66000</c:v>
                </c:pt>
                <c:pt idx="7">
                  <c:v>69000</c:v>
                </c:pt>
                <c:pt idx="8">
                  <c:v>72000</c:v>
                </c:pt>
                <c:pt idx="9">
                  <c:v>75000</c:v>
                </c:pt>
                <c:pt idx="10">
                  <c:v>78000</c:v>
                </c:pt>
                <c:pt idx="11">
                  <c:v>81000</c:v>
                </c:pt>
                <c:pt idx="12">
                  <c:v>84000</c:v>
                </c:pt>
                <c:pt idx="13">
                  <c:v>87000</c:v>
                </c:pt>
                <c:pt idx="14">
                  <c:v>90000</c:v>
                </c:pt>
                <c:pt idx="15">
                  <c:v>93000</c:v>
                </c:pt>
                <c:pt idx="16">
                  <c:v>96000</c:v>
                </c:pt>
                <c:pt idx="17">
                  <c:v>99000</c:v>
                </c:pt>
                <c:pt idx="18">
                  <c:v>102000</c:v>
                </c:pt>
                <c:pt idx="19">
                  <c:v>105000</c:v>
                </c:pt>
                <c:pt idx="20">
                  <c:v>108000</c:v>
                </c:pt>
                <c:pt idx="21">
                  <c:v>111000</c:v>
                </c:pt>
                <c:pt idx="22">
                  <c:v>114000</c:v>
                </c:pt>
                <c:pt idx="23">
                  <c:v>117000</c:v>
                </c:pt>
                <c:pt idx="24">
                  <c:v>120000</c:v>
                </c:pt>
                <c:pt idx="25">
                  <c:v>123000</c:v>
                </c:pt>
                <c:pt idx="26">
                  <c:v>126000</c:v>
                </c:pt>
                <c:pt idx="27">
                  <c:v>129000</c:v>
                </c:pt>
                <c:pt idx="28">
                  <c:v>132000</c:v>
                </c:pt>
                <c:pt idx="29">
                  <c:v>135000</c:v>
                </c:pt>
              </c:numCache>
            </c:numRef>
          </c:val>
          <c:extLst>
            <c:ext xmlns:c16="http://schemas.microsoft.com/office/drawing/2014/chart" uri="{C3380CC4-5D6E-409C-BE32-E72D297353CC}">
              <c16:uniqueId val="{00000001-16A1-A647-B82D-A5F5F6946EAA}"/>
            </c:ext>
          </c:extLst>
        </c:ser>
        <c:dLbls>
          <c:showLegendKey val="0"/>
          <c:showVal val="0"/>
          <c:showCatName val="0"/>
          <c:showSerName val="0"/>
          <c:showPercent val="0"/>
          <c:showBubbleSize val="0"/>
        </c:dLbls>
        <c:gapWidth val="150"/>
        <c:overlap val="100"/>
        <c:axId val="190757504"/>
        <c:axId val="190763392"/>
      </c:barChart>
      <c:catAx>
        <c:axId val="190757504"/>
        <c:scaling>
          <c:orientation val="minMax"/>
        </c:scaling>
        <c:delete val="0"/>
        <c:axPos val="b"/>
        <c:numFmt formatCode="0" sourceLinked="1"/>
        <c:majorTickMark val="out"/>
        <c:minorTickMark val="none"/>
        <c:tickLblPos val="nextTo"/>
        <c:crossAx val="190763392"/>
        <c:crosses val="autoZero"/>
        <c:auto val="1"/>
        <c:lblAlgn val="ctr"/>
        <c:lblOffset val="100"/>
        <c:noMultiLvlLbl val="0"/>
      </c:catAx>
      <c:valAx>
        <c:axId val="190763392"/>
        <c:scaling>
          <c:orientation val="minMax"/>
        </c:scaling>
        <c:delete val="0"/>
        <c:axPos val="l"/>
        <c:numFmt formatCode="_(* #,##0_);_(* \(#,##0\);_(* &quot;-&quot;??_);_(@_)" sourceLinked="1"/>
        <c:majorTickMark val="out"/>
        <c:minorTickMark val="none"/>
        <c:tickLblPos val="nextTo"/>
        <c:crossAx val="190757504"/>
        <c:crosses val="autoZero"/>
        <c:crossBetween val="between"/>
        <c:dispUnits>
          <c:builtInUnit val="thousands"/>
          <c:dispUnitsLbl>
            <c:layout>
              <c:manualLayout>
                <c:xMode val="edge"/>
                <c:yMode val="edge"/>
                <c:x val="3.1215161649944412E-2"/>
                <c:y val="0.26436351706036748"/>
              </c:manualLayout>
            </c:layout>
            <c:tx>
              <c:strRef>
                <c:f>'Charts - Consolidated'!$F$149</c:f>
                <c:strCache>
                  <c:ptCount val="1"/>
                  <c:pt idx="0">
                    <c:v>Traffic units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Freight traffic</a:t>
            </a:r>
          </a:p>
        </c:rich>
      </c:tx>
      <c:overlay val="0"/>
    </c:title>
    <c:autoTitleDeleted val="0"/>
    <c:plotArea>
      <c:layout/>
      <c:barChart>
        <c:barDir val="col"/>
        <c:grouping val="stacked"/>
        <c:varyColors val="0"/>
        <c:ser>
          <c:idx val="0"/>
          <c:order val="0"/>
          <c:tx>
            <c:strRef>
              <c:f>'Charts - Freight'!$B$144:$D$144</c:f>
              <c:strCache>
                <c:ptCount val="3"/>
                <c:pt idx="0">
                  <c:v>Commodity 1</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[0]!Freighttraffic1</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0-1603-0C42-8912-561230881E34}"/>
            </c:ext>
          </c:extLst>
        </c:ser>
        <c:ser>
          <c:idx val="1"/>
          <c:order val="1"/>
          <c:tx>
            <c:strRef>
              <c:f>'Charts - Freight'!$B$145:$D$145</c:f>
              <c:strCache>
                <c:ptCount val="3"/>
                <c:pt idx="0">
                  <c:v>Commodity 2</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[0]!Freighttraffic2</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1-1603-0C42-8912-561230881E34}"/>
            </c:ext>
          </c:extLst>
        </c:ser>
        <c:ser>
          <c:idx val="2"/>
          <c:order val="2"/>
          <c:tx>
            <c:strRef>
              <c:f>'Charts - Freight'!$B$146:$D$146</c:f>
              <c:strCache>
                <c:ptCount val="3"/>
                <c:pt idx="0">
                  <c:v>Commodity 3</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[0]!Freighttraffic3</c:f>
              <c:numCache>
                <c:formatCode>_(* #,##0_);_(* \(#,##0\);_(* "-"??_);_(@_)</c:formatCode>
                <c:ptCount val="30"/>
                <c:pt idx="0">
                  <c:v>6097.5609756097556</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2-1603-0C42-8912-561230881E34}"/>
            </c:ext>
          </c:extLst>
        </c:ser>
        <c:ser>
          <c:idx val="3"/>
          <c:order val="3"/>
          <c:tx>
            <c:strRef>
              <c:f>'Charts - Freight'!$B$147</c:f>
              <c:strCache>
                <c:ptCount val="1"/>
                <c:pt idx="0">
                  <c:v>Commodity 4</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[0]!Freighttraffic4</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3-1603-0C42-8912-561230881E34}"/>
            </c:ext>
          </c:extLst>
        </c:ser>
        <c:ser>
          <c:idx val="4"/>
          <c:order val="4"/>
          <c:tx>
            <c:strRef>
              <c:f>'Charts - Freight'!$B$148</c:f>
              <c:strCache>
                <c:ptCount val="1"/>
                <c:pt idx="0">
                  <c:v>Commodity 5</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[0]!Freighttraffic5</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4-1603-0C42-8912-561230881E34}"/>
            </c:ext>
          </c:extLst>
        </c:ser>
        <c:ser>
          <c:idx val="5"/>
          <c:order val="5"/>
          <c:tx>
            <c:strRef>
              <c:f>'Charts - Freight'!$B$149</c:f>
              <c:strCache>
                <c:ptCount val="1"/>
                <c:pt idx="0">
                  <c:v>Commodity 6</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[0]!Freighttraffic6</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5-1603-0C42-8912-561230881E34}"/>
            </c:ext>
          </c:extLst>
        </c:ser>
        <c:ser>
          <c:idx val="6"/>
          <c:order val="6"/>
          <c:tx>
            <c:strRef>
              <c:f>'Charts - Freight'!$B$150</c:f>
              <c:strCache>
                <c:ptCount val="1"/>
                <c:pt idx="0">
                  <c:v>Commodity 7</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[0]!Freighttraffic7</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6-1603-0C42-8912-561230881E34}"/>
            </c:ext>
          </c:extLst>
        </c:ser>
        <c:ser>
          <c:idx val="7"/>
          <c:order val="7"/>
          <c:tx>
            <c:strRef>
              <c:f>'Charts - Freight'!$B$151</c:f>
              <c:strCache>
                <c:ptCount val="1"/>
                <c:pt idx="0">
                  <c:v>Commodity 8</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[0]!Freighttraffic8</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7-1603-0C42-8912-561230881E34}"/>
            </c:ext>
          </c:extLst>
        </c:ser>
        <c:ser>
          <c:idx val="8"/>
          <c:order val="8"/>
          <c:tx>
            <c:strRef>
              <c:f>'Charts - Freight'!$B$152</c:f>
              <c:strCache>
                <c:ptCount val="1"/>
                <c:pt idx="0">
                  <c:v>Commodity 9</c:v>
                </c:pt>
              </c:strCache>
            </c:strRef>
          </c:tx>
          <c:invertIfNegative val="0"/>
          <c:val>
            <c:numRef>
              <c:f>[0]!Freighttraffic9</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8-1603-0C42-8912-561230881E34}"/>
            </c:ext>
          </c:extLst>
        </c:ser>
        <c:ser>
          <c:idx val="9"/>
          <c:order val="9"/>
          <c:tx>
            <c:strRef>
              <c:f>'Charts - Freight'!$B$153</c:f>
              <c:strCache>
                <c:ptCount val="1"/>
                <c:pt idx="0">
                  <c:v>Commodity 10</c:v>
                </c:pt>
              </c:strCache>
            </c:strRef>
          </c:tx>
          <c:invertIfNegative val="0"/>
          <c:val>
            <c:numRef>
              <c:f>[0]!Freighttraffic10</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9-1603-0C42-8912-561230881E34}"/>
            </c:ext>
          </c:extLst>
        </c:ser>
        <c:dLbls>
          <c:showLegendKey val="0"/>
          <c:showVal val="0"/>
          <c:showCatName val="0"/>
          <c:showSerName val="0"/>
          <c:showPercent val="0"/>
          <c:showBubbleSize val="0"/>
        </c:dLbls>
        <c:gapWidth val="150"/>
        <c:overlap val="100"/>
        <c:axId val="190923136"/>
        <c:axId val="190924672"/>
      </c:barChart>
      <c:catAx>
        <c:axId val="190923136"/>
        <c:scaling>
          <c:orientation val="minMax"/>
        </c:scaling>
        <c:delete val="0"/>
        <c:axPos val="b"/>
        <c:numFmt formatCode="0" sourceLinked="1"/>
        <c:majorTickMark val="out"/>
        <c:minorTickMark val="none"/>
        <c:tickLblPos val="nextTo"/>
        <c:crossAx val="190924672"/>
        <c:crosses val="autoZero"/>
        <c:auto val="1"/>
        <c:lblAlgn val="ctr"/>
        <c:lblOffset val="100"/>
        <c:noMultiLvlLbl val="0"/>
      </c:catAx>
      <c:valAx>
        <c:axId val="190924672"/>
        <c:scaling>
          <c:orientation val="minMax"/>
        </c:scaling>
        <c:delete val="0"/>
        <c:axPos val="l"/>
        <c:numFmt formatCode="_(* #,##0_);_(* \(#,##0\);_(* &quot;-&quot;??_);_(@_)" sourceLinked="1"/>
        <c:majorTickMark val="out"/>
        <c:minorTickMark val="none"/>
        <c:tickLblPos val="nextTo"/>
        <c:crossAx val="190923136"/>
        <c:crosses val="autoZero"/>
        <c:crossBetween val="between"/>
        <c:dispUnits>
          <c:builtInUnit val="thousands"/>
          <c:dispUnitsLbl>
            <c:layout>
              <c:manualLayout>
                <c:xMode val="edge"/>
                <c:yMode val="edge"/>
                <c:x val="3.1215161649944412E-2"/>
                <c:y val="0.26436351706036748"/>
              </c:manualLayout>
            </c:layout>
            <c:tx>
              <c:strRef>
                <c:f>'Charts - Freight'!$F$142</c:f>
                <c:strCache>
                  <c:ptCount val="1"/>
                  <c:pt idx="0">
                    <c:v>GTK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ndard"/>
        <c:varyColors val="0"/>
        <c:ser>
          <c:idx val="0"/>
          <c:order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E725-C54B-A0D4-8547F7B12AB3}"/>
            </c:ext>
          </c:extLst>
        </c:ser>
        <c:dLbls>
          <c:showLegendKey val="0"/>
          <c:showVal val="0"/>
          <c:showCatName val="0"/>
          <c:showSerName val="0"/>
          <c:showPercent val="0"/>
          <c:showBubbleSize val="0"/>
        </c:dLbls>
        <c:axId val="190952192"/>
        <c:axId val="190953728"/>
      </c:areaChart>
      <c:catAx>
        <c:axId val="190952192"/>
        <c:scaling>
          <c:orientation val="minMax"/>
        </c:scaling>
        <c:delete val="0"/>
        <c:axPos val="b"/>
        <c:numFmt formatCode="0" sourceLinked="1"/>
        <c:majorTickMark val="out"/>
        <c:minorTickMark val="none"/>
        <c:tickLblPos val="nextTo"/>
        <c:crossAx val="190953728"/>
        <c:crosses val="autoZero"/>
        <c:auto val="1"/>
        <c:lblAlgn val="ctr"/>
        <c:lblOffset val="100"/>
        <c:noMultiLvlLbl val="0"/>
      </c:catAx>
      <c:valAx>
        <c:axId val="190953728"/>
        <c:scaling>
          <c:orientation val="minMax"/>
        </c:scaling>
        <c:delete val="0"/>
        <c:axPos val="l"/>
        <c:title>
          <c:tx>
            <c:rich>
              <a:bodyPr rot="-5400000" vert="horz"/>
              <a:lstStyle/>
              <a:p>
                <a:pPr>
                  <a:defRPr/>
                </a:pPr>
                <a:r>
                  <a:rPr lang="en-US"/>
                  <a:t>R$ (Millions)</a:t>
                </a:r>
              </a:p>
            </c:rich>
          </c:tx>
          <c:overlay val="0"/>
        </c:title>
        <c:numFmt formatCode="General" sourceLinked="1"/>
        <c:majorTickMark val="out"/>
        <c:minorTickMark val="none"/>
        <c:tickLblPos val="nextTo"/>
        <c:crossAx val="190952192"/>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Debt ratios</a:t>
            </a:r>
          </a:p>
        </c:rich>
      </c:tx>
      <c:overlay val="0"/>
    </c:title>
    <c:autoTitleDeleted val="0"/>
    <c:plotArea>
      <c:layout/>
      <c:lineChart>
        <c:grouping val="standard"/>
        <c:varyColors val="0"/>
        <c:ser>
          <c:idx val="0"/>
          <c:order val="0"/>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BD17-1F45-847E-7DEC577F1D1D}"/>
            </c:ext>
          </c:extLst>
        </c:ser>
        <c:dLbls>
          <c:showLegendKey val="0"/>
          <c:showVal val="0"/>
          <c:showCatName val="0"/>
          <c:showSerName val="0"/>
          <c:showPercent val="0"/>
          <c:showBubbleSize val="0"/>
        </c:dLbls>
        <c:marker val="1"/>
        <c:smooth val="0"/>
        <c:axId val="191377792"/>
        <c:axId val="191379328"/>
      </c:line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BD17-1F45-847E-7DEC577F1D1D}"/>
            </c:ext>
          </c:extLst>
        </c:ser>
        <c:dLbls>
          <c:showLegendKey val="0"/>
          <c:showVal val="0"/>
          <c:showCatName val="0"/>
          <c:showSerName val="0"/>
          <c:showPercent val="0"/>
          <c:showBubbleSize val="0"/>
        </c:dLbls>
        <c:marker val="1"/>
        <c:smooth val="0"/>
        <c:axId val="191386752"/>
        <c:axId val="191380864"/>
      </c:lineChart>
      <c:catAx>
        <c:axId val="191377792"/>
        <c:scaling>
          <c:orientation val="minMax"/>
        </c:scaling>
        <c:delete val="0"/>
        <c:axPos val="b"/>
        <c:numFmt formatCode="0" sourceLinked="1"/>
        <c:majorTickMark val="out"/>
        <c:minorTickMark val="none"/>
        <c:tickLblPos val="nextTo"/>
        <c:crossAx val="191379328"/>
        <c:crosses val="autoZero"/>
        <c:auto val="1"/>
        <c:lblAlgn val="ctr"/>
        <c:lblOffset val="100"/>
        <c:noMultiLvlLbl val="0"/>
      </c:catAx>
      <c:valAx>
        <c:axId val="191379328"/>
        <c:scaling>
          <c:orientation val="minMax"/>
        </c:scaling>
        <c:delete val="0"/>
        <c:axPos val="l"/>
        <c:numFmt formatCode="General" sourceLinked="1"/>
        <c:majorTickMark val="out"/>
        <c:minorTickMark val="none"/>
        <c:tickLblPos val="nextTo"/>
        <c:crossAx val="191377792"/>
        <c:crosses val="autoZero"/>
        <c:crossBetween val="between"/>
      </c:valAx>
      <c:valAx>
        <c:axId val="191380864"/>
        <c:scaling>
          <c:orientation val="minMax"/>
        </c:scaling>
        <c:delete val="0"/>
        <c:axPos val="r"/>
        <c:numFmt formatCode="General" sourceLinked="1"/>
        <c:majorTickMark val="out"/>
        <c:minorTickMark val="none"/>
        <c:tickLblPos val="nextTo"/>
        <c:crossAx val="191386752"/>
        <c:crosses val="max"/>
        <c:crossBetween val="between"/>
      </c:valAx>
      <c:catAx>
        <c:axId val="191386752"/>
        <c:scaling>
          <c:orientation val="minMax"/>
        </c:scaling>
        <c:delete val="1"/>
        <c:axPos val="b"/>
        <c:numFmt formatCode="0" sourceLinked="1"/>
        <c:majorTickMark val="out"/>
        <c:minorTickMark val="none"/>
        <c:tickLblPos val="none"/>
        <c:crossAx val="191380864"/>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0C97-4046-A111-FC4B94260F57}"/>
            </c:ext>
          </c:extLst>
        </c:ser>
        <c:ser>
          <c:idx val="1"/>
          <c:order val="1"/>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0C97-4046-A111-FC4B94260F57}"/>
            </c:ext>
          </c:extLst>
        </c:ser>
        <c:dLbls>
          <c:showLegendKey val="0"/>
          <c:showVal val="0"/>
          <c:showCatName val="0"/>
          <c:showSerName val="0"/>
          <c:showPercent val="0"/>
          <c:showBubbleSize val="0"/>
        </c:dLbls>
        <c:gapWidth val="150"/>
        <c:axId val="191397248"/>
        <c:axId val="191415424"/>
      </c:barChart>
      <c:lineChart>
        <c:grouping val="standard"/>
        <c:varyColors val="0"/>
        <c:ser>
          <c:idx val="2"/>
          <c:order val="2"/>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6="http://schemas.microsoft.com/office/drawing/2014/chart" uri="{C3380CC4-5D6E-409C-BE32-E72D297353CC}">
              <c16:uniqueId val="{00000002-0C97-4046-A111-FC4B94260F57}"/>
            </c:ext>
          </c:extLst>
        </c:ser>
        <c:dLbls>
          <c:showLegendKey val="0"/>
          <c:showVal val="0"/>
          <c:showCatName val="0"/>
          <c:showSerName val="0"/>
          <c:showPercent val="0"/>
          <c:showBubbleSize val="0"/>
        </c:dLbls>
        <c:marker val="1"/>
        <c:smooth val="0"/>
        <c:axId val="191423232"/>
        <c:axId val="191417344"/>
      </c:lineChart>
      <c:catAx>
        <c:axId val="191397248"/>
        <c:scaling>
          <c:orientation val="minMax"/>
        </c:scaling>
        <c:delete val="0"/>
        <c:axPos val="b"/>
        <c:numFmt formatCode="0" sourceLinked="1"/>
        <c:majorTickMark val="out"/>
        <c:minorTickMark val="none"/>
        <c:tickLblPos val="nextTo"/>
        <c:crossAx val="191415424"/>
        <c:crosses val="autoZero"/>
        <c:auto val="1"/>
        <c:lblAlgn val="ctr"/>
        <c:lblOffset val="100"/>
        <c:noMultiLvlLbl val="0"/>
      </c:catAx>
      <c:valAx>
        <c:axId val="191415424"/>
        <c:scaling>
          <c:orientation val="minMax"/>
        </c:scaling>
        <c:delete val="0"/>
        <c:axPos val="l"/>
        <c:numFmt formatCode="General" sourceLinked="1"/>
        <c:majorTickMark val="out"/>
        <c:minorTickMark val="none"/>
        <c:tickLblPos val="nextTo"/>
        <c:crossAx val="191397248"/>
        <c:crosses val="autoZero"/>
        <c:crossBetween val="between"/>
        <c:dispUnits>
          <c:builtInUnit val="thousands"/>
          <c:dispUnitsLbl>
            <c:layout>
              <c:manualLayout>
                <c:xMode val="edge"/>
                <c:yMode val="edge"/>
                <c:x val="3.0555555555555582E-2"/>
                <c:y val="0.29677092446777487"/>
              </c:manualLayout>
            </c:layout>
            <c:tx>
              <c:rich>
                <a:bodyPr/>
                <a:lstStyle/>
                <a:p>
                  <a:pPr>
                    <a:defRPr/>
                  </a:pPr>
                  <a:r>
                    <a:rPr lang="en-US"/>
                    <a:t>R$</a:t>
                  </a:r>
                  <a:r>
                    <a:rPr lang="en-US" baseline="0"/>
                    <a:t> (Billions)</a:t>
                  </a:r>
                  <a:endParaRPr lang="en-US"/>
                </a:p>
              </c:rich>
            </c:tx>
          </c:dispUnitsLbl>
        </c:dispUnits>
      </c:valAx>
      <c:valAx>
        <c:axId val="191417344"/>
        <c:scaling>
          <c:orientation val="minMax"/>
          <c:max val="10"/>
        </c:scaling>
        <c:delete val="0"/>
        <c:axPos val="r"/>
        <c:numFmt formatCode="General" sourceLinked="1"/>
        <c:majorTickMark val="out"/>
        <c:minorTickMark val="none"/>
        <c:tickLblPos val="nextTo"/>
        <c:crossAx val="191423232"/>
        <c:crosses val="max"/>
        <c:crossBetween val="between"/>
      </c:valAx>
      <c:catAx>
        <c:axId val="191423232"/>
        <c:scaling>
          <c:orientation val="minMax"/>
        </c:scaling>
        <c:delete val="1"/>
        <c:axPos val="b"/>
        <c:majorTickMark val="out"/>
        <c:minorTickMark val="none"/>
        <c:tickLblPos val="none"/>
        <c:crossAx val="191417344"/>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Traffic</a:t>
            </a:r>
            <a:r>
              <a:rPr lang="en-US" baseline="0"/>
              <a:t> intensity</a:t>
            </a:r>
            <a:endParaRPr lang="en-US"/>
          </a:p>
        </c:rich>
      </c:tx>
      <c:layout>
        <c:manualLayout>
          <c:xMode val="edge"/>
          <c:yMode val="edge"/>
          <c:x val="0.42911650387966249"/>
          <c:y val="3.2407407407408766E-2"/>
        </c:manualLayout>
      </c:layout>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6908-C845-93B7-7C1A6973A2F5}"/>
            </c:ext>
          </c:extLst>
        </c:ser>
        <c:dLbls>
          <c:showLegendKey val="0"/>
          <c:showVal val="0"/>
          <c:showCatName val="0"/>
          <c:showSerName val="0"/>
          <c:showPercent val="0"/>
          <c:showBubbleSize val="0"/>
        </c:dLbls>
        <c:gapWidth val="150"/>
        <c:axId val="191313408"/>
        <c:axId val="191314944"/>
      </c:bar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6908-C845-93B7-7C1A6973A2F5}"/>
            </c:ext>
          </c:extLst>
        </c:ser>
        <c:dLbls>
          <c:showLegendKey val="0"/>
          <c:showVal val="0"/>
          <c:showCatName val="0"/>
          <c:showSerName val="0"/>
          <c:showPercent val="0"/>
          <c:showBubbleSize val="0"/>
        </c:dLbls>
        <c:marker val="1"/>
        <c:smooth val="0"/>
        <c:axId val="191313408"/>
        <c:axId val="191314944"/>
      </c:lineChart>
      <c:catAx>
        <c:axId val="191313408"/>
        <c:scaling>
          <c:orientation val="minMax"/>
        </c:scaling>
        <c:delete val="0"/>
        <c:axPos val="b"/>
        <c:numFmt formatCode="0" sourceLinked="1"/>
        <c:majorTickMark val="out"/>
        <c:minorTickMark val="none"/>
        <c:tickLblPos val="nextTo"/>
        <c:crossAx val="191314944"/>
        <c:crosses val="autoZero"/>
        <c:auto val="1"/>
        <c:lblAlgn val="ctr"/>
        <c:lblOffset val="100"/>
        <c:noMultiLvlLbl val="0"/>
      </c:catAx>
      <c:valAx>
        <c:axId val="191314944"/>
        <c:scaling>
          <c:orientation val="minMax"/>
        </c:scaling>
        <c:delete val="0"/>
        <c:axPos val="l"/>
        <c:title>
          <c:tx>
            <c:rich>
              <a:bodyPr rot="-5400000" vert="horz"/>
              <a:lstStyle/>
              <a:p>
                <a:pPr>
                  <a:defRPr/>
                </a:pPr>
                <a:r>
                  <a:rPr lang="en-US"/>
                  <a:t>Million</a:t>
                </a:r>
                <a:r>
                  <a:rPr lang="en-US" baseline="0"/>
                  <a:t> traffic units per track-km</a:t>
                </a:r>
                <a:endParaRPr lang="en-US"/>
              </a:p>
            </c:rich>
          </c:tx>
          <c:overlay val="0"/>
        </c:title>
        <c:numFmt formatCode="General" sourceLinked="1"/>
        <c:majorTickMark val="out"/>
        <c:minorTickMark val="none"/>
        <c:tickLblPos val="nextTo"/>
        <c:crossAx val="191313408"/>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flows</a:t>
            </a:r>
          </a:p>
        </c:rich>
      </c:tx>
      <c:layout>
        <c:manualLayout>
          <c:xMode val="edge"/>
          <c:yMode val="edge"/>
          <c:x val="0.44301579949566061"/>
          <c:y val="3.7037037037037056E-2"/>
        </c:manualLayout>
      </c:layout>
      <c:overlay val="0"/>
    </c:title>
    <c:autoTitleDeleted val="0"/>
    <c:plotArea>
      <c:layout/>
      <c:barChart>
        <c:barDir val="col"/>
        <c:grouping val="clustered"/>
        <c:varyColors val="0"/>
        <c:ser>
          <c:idx val="0"/>
          <c:order val="0"/>
          <c:tx>
            <c:strRef>
              <c:f>'Charts - Freight'!$B$202:$D$202</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f>
              <c:numCache>
                <c:formatCode>_(* #,##0_);_(* \(#,##0\);_(* "-"??_);_(@_)</c:formatCode>
                <c:ptCount val="30"/>
                <c:pt idx="0">
                  <c:v>0</c:v>
                </c:pt>
                <c:pt idx="1">
                  <c:v>16477.046970629839</c:v>
                </c:pt>
                <c:pt idx="2">
                  <c:v>16944.906106330964</c:v>
                </c:pt>
                <c:pt idx="3">
                  <c:v>17454.71630941844</c:v>
                </c:pt>
                <c:pt idx="4">
                  <c:v>18023.968362515534</c:v>
                </c:pt>
                <c:pt idx="5">
                  <c:v>18710.88325055912</c:v>
                </c:pt>
                <c:pt idx="6">
                  <c:v>21458.625322478765</c:v>
                </c:pt>
                <c:pt idx="7">
                  <c:v>22761.486554495768</c:v>
                </c:pt>
                <c:pt idx="8">
                  <c:v>23652.992656286791</c:v>
                </c:pt>
                <c:pt idx="9">
                  <c:v>24571.946970394922</c:v>
                </c:pt>
                <c:pt idx="10">
                  <c:v>25187.393534388364</c:v>
                </c:pt>
                <c:pt idx="11">
                  <c:v>26058.742542487147</c:v>
                </c:pt>
                <c:pt idx="12">
                  <c:v>26978.603549357798</c:v>
                </c:pt>
                <c:pt idx="13">
                  <c:v>27926.463651523321</c:v>
                </c:pt>
                <c:pt idx="14">
                  <c:v>28903.145321344196</c:v>
                </c:pt>
                <c:pt idx="15">
                  <c:v>29909.495003098731</c:v>
                </c:pt>
                <c:pt idx="16">
                  <c:v>30942.140062597857</c:v>
                </c:pt>
                <c:pt idx="17">
                  <c:v>31998.270886166159</c:v>
                </c:pt>
                <c:pt idx="18">
                  <c:v>33093.080826531412</c:v>
                </c:pt>
                <c:pt idx="19">
                  <c:v>34227.178073291288</c:v>
                </c:pt>
                <c:pt idx="20">
                  <c:v>35395.561813758432</c:v>
                </c:pt>
                <c:pt idx="21">
                  <c:v>36598.397775231439</c:v>
                </c:pt>
                <c:pt idx="22">
                  <c:v>37838.391171029165</c:v>
                </c:pt>
                <c:pt idx="23">
                  <c:v>39115.776924376565</c:v>
                </c:pt>
                <c:pt idx="24">
                  <c:v>40431.651292758943</c:v>
                </c:pt>
                <c:pt idx="25">
                  <c:v>41787.142487594814</c:v>
                </c:pt>
                <c:pt idx="26">
                  <c:v>43183.411605941845</c:v>
                </c:pt>
                <c:pt idx="27">
                  <c:v>44621.653589363239</c:v>
                </c:pt>
                <c:pt idx="28">
                  <c:v>46103.098210758559</c:v>
                </c:pt>
                <c:pt idx="29">
                  <c:v>47629.011089983949</c:v>
                </c:pt>
              </c:numCache>
            </c:numRef>
          </c:val>
          <c:extLst>
            <c:ext xmlns:c16="http://schemas.microsoft.com/office/drawing/2014/chart" uri="{C3380CC4-5D6E-409C-BE32-E72D297353CC}">
              <c16:uniqueId val="{00000000-B6D3-5D40-9D20-9A142CA6B5B3}"/>
            </c:ext>
          </c:extLst>
        </c:ser>
        <c:ser>
          <c:idx val="1"/>
          <c:order val="1"/>
          <c:tx>
            <c:strRef>
              <c:f>'Charts - Freight'!$B$203:$D$203</c:f>
              <c:strCache>
                <c:ptCount val="3"/>
                <c:pt idx="0">
                  <c:v>Net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[0]!Netcashflow</c:f>
              <c:numCache>
                <c:formatCode>_(* #,##0_);_(* \(#,##0\);_(* "-"??_);_(@_)</c:formatCode>
                <c:ptCount val="30"/>
                <c:pt idx="0">
                  <c:v>0</c:v>
                </c:pt>
                <c:pt idx="1">
                  <c:v>4905.599091188953</c:v>
                </c:pt>
                <c:pt idx="2">
                  <c:v>5019.4735068992904</c:v>
                </c:pt>
                <c:pt idx="3">
                  <c:v>5175.4242988255319</c:v>
                </c:pt>
                <c:pt idx="4">
                  <c:v>5345.0404726846627</c:v>
                </c:pt>
                <c:pt idx="5">
                  <c:v>5550.0110973906376</c:v>
                </c:pt>
                <c:pt idx="6">
                  <c:v>6373.2717286332154</c:v>
                </c:pt>
                <c:pt idx="7">
                  <c:v>6735.3917754450067</c:v>
                </c:pt>
                <c:pt idx="8">
                  <c:v>7003.3919196302013</c:v>
                </c:pt>
                <c:pt idx="9">
                  <c:v>7279.6752231699684</c:v>
                </c:pt>
                <c:pt idx="10">
                  <c:v>7465.3841844545423</c:v>
                </c:pt>
                <c:pt idx="11">
                  <c:v>7736.2004643583168</c:v>
                </c:pt>
                <c:pt idx="12">
                  <c:v>8012.283347467881</c:v>
                </c:pt>
                <c:pt idx="13">
                  <c:v>8296.7696965973519</c:v>
                </c:pt>
                <c:pt idx="14">
                  <c:v>8589.9063655778264</c:v>
                </c:pt>
                <c:pt idx="15">
                  <c:v>8891.9474031794234</c:v>
                </c:pt>
                <c:pt idx="16">
                  <c:v>9078.0186380966552</c:v>
                </c:pt>
                <c:pt idx="17">
                  <c:v>9526.1398087466659</c:v>
                </c:pt>
                <c:pt idx="18">
                  <c:v>9854.7315471431466</c:v>
                </c:pt>
                <c:pt idx="19">
                  <c:v>10195.113940146621</c:v>
                </c:pt>
                <c:pt idx="20">
                  <c:v>10545.786877831539</c:v>
                </c:pt>
                <c:pt idx="21">
                  <c:v>10906.800216284562</c:v>
                </c:pt>
                <c:pt idx="22">
                  <c:v>11278.965661535331</c:v>
                </c:pt>
                <c:pt idx="23">
                  <c:v>11662.353836846352</c:v>
                </c:pt>
                <c:pt idx="24">
                  <c:v>12057.293770147062</c:v>
                </c:pt>
                <c:pt idx="25">
                  <c:v>12464.124080067413</c:v>
                </c:pt>
                <c:pt idx="26">
                  <c:v>12883.193255585189</c:v>
                </c:pt>
                <c:pt idx="27">
                  <c:v>13314.859943825682</c:v>
                </c:pt>
                <c:pt idx="28">
                  <c:v>13759.49324625478</c:v>
                </c:pt>
                <c:pt idx="29">
                  <c:v>14217.473023513216</c:v>
                </c:pt>
              </c:numCache>
            </c:numRef>
          </c:val>
          <c:extLst>
            <c:ext xmlns:c16="http://schemas.microsoft.com/office/drawing/2014/chart" uri="{C3380CC4-5D6E-409C-BE32-E72D297353CC}">
              <c16:uniqueId val="{00000001-B6D3-5D40-9D20-9A142CA6B5B3}"/>
            </c:ext>
          </c:extLst>
        </c:ser>
        <c:dLbls>
          <c:showLegendKey val="0"/>
          <c:showVal val="0"/>
          <c:showCatName val="0"/>
          <c:showSerName val="0"/>
          <c:showPercent val="0"/>
          <c:showBubbleSize val="0"/>
        </c:dLbls>
        <c:gapWidth val="150"/>
        <c:axId val="191448192"/>
        <c:axId val="191449728"/>
      </c:barChart>
      <c:catAx>
        <c:axId val="191448192"/>
        <c:scaling>
          <c:orientation val="minMax"/>
        </c:scaling>
        <c:delete val="0"/>
        <c:axPos val="b"/>
        <c:numFmt formatCode="0" sourceLinked="1"/>
        <c:majorTickMark val="out"/>
        <c:minorTickMark val="none"/>
        <c:tickLblPos val="nextTo"/>
        <c:crossAx val="191449728"/>
        <c:crosses val="autoZero"/>
        <c:auto val="1"/>
        <c:lblAlgn val="ctr"/>
        <c:lblOffset val="100"/>
        <c:noMultiLvlLbl val="0"/>
      </c:catAx>
      <c:valAx>
        <c:axId val="191449728"/>
        <c:scaling>
          <c:orientation val="minMax"/>
        </c:scaling>
        <c:delete val="0"/>
        <c:axPos val="l"/>
        <c:numFmt formatCode="_(* #,##0_);_(* \(#,##0\);_(* &quot;-&quot;??_);_(@_)" sourceLinked="1"/>
        <c:majorTickMark val="out"/>
        <c:minorTickMark val="none"/>
        <c:tickLblPos val="nextTo"/>
        <c:crossAx val="191448192"/>
        <c:crosses val="autoZero"/>
        <c:crossBetween val="between"/>
        <c:dispUnits>
          <c:builtInUnit val="thousands"/>
          <c:dispUnitsLbl>
            <c:layout>
              <c:manualLayout>
                <c:xMode val="edge"/>
                <c:yMode val="edge"/>
                <c:x val="2.0541549953314659E-2"/>
                <c:y val="0.29214129483814522"/>
              </c:manualLayout>
            </c:layout>
            <c:tx>
              <c:strRef>
                <c:f>'Charts - Freight'!$E$134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Debt service coverage ratio</a:t>
            </a:r>
          </a:p>
        </c:rich>
      </c:tx>
      <c:overlay val="0"/>
    </c:title>
    <c:autoTitleDeleted val="0"/>
    <c:plotArea>
      <c:layout/>
      <c:lineChart>
        <c:grouping val="standard"/>
        <c:varyColors val="0"/>
        <c:ser>
          <c:idx val="0"/>
          <c:order val="0"/>
          <c:tx>
            <c:strRef>
              <c:f>'Charts - Freight'!$B$220:$D$220</c:f>
              <c:strCache>
                <c:ptCount val="3"/>
                <c:pt idx="0">
                  <c:v>DSCR</c:v>
                </c:pt>
              </c:strCache>
            </c:strRef>
          </c:tx>
          <c:marker>
            <c:symbol val="none"/>
          </c:marker>
          <c:cat>
            <c:numRef>
              <c:f>[0]!Yeardscr</c:f>
              <c:numCache>
                <c:formatCode>0</c:formatCode>
                <c:ptCount val="29"/>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pt idx="17">
                  <c:v>2028</c:v>
                </c:pt>
                <c:pt idx="18">
                  <c:v>2029</c:v>
                </c:pt>
                <c:pt idx="19">
                  <c:v>2030</c:v>
                </c:pt>
                <c:pt idx="20">
                  <c:v>2031</c:v>
                </c:pt>
                <c:pt idx="21">
                  <c:v>2032</c:v>
                </c:pt>
                <c:pt idx="22">
                  <c:v>2033</c:v>
                </c:pt>
                <c:pt idx="23">
                  <c:v>2034</c:v>
                </c:pt>
                <c:pt idx="24">
                  <c:v>2035</c:v>
                </c:pt>
                <c:pt idx="25">
                  <c:v>2036</c:v>
                </c:pt>
                <c:pt idx="26">
                  <c:v>2037</c:v>
                </c:pt>
                <c:pt idx="27">
                  <c:v>2038</c:v>
                </c:pt>
                <c:pt idx="28">
                  <c:v>2039</c:v>
                </c:pt>
              </c:numCache>
            </c:numRef>
          </c:cat>
          <c:val>
            <c:numRef>
              <c:f>[0]!DSCR</c:f>
              <c:numCache>
                <c:formatCode>_(* #,##0_);_(* \(#,##0\);_(* "-"??_);_(@_)</c:formatCode>
                <c:ptCount val="29"/>
                <c:pt idx="0">
                  <c:v>542.90105339801778</c:v>
                </c:pt>
                <c:pt idx="1">
                  <c:v>287.51001889875101</c:v>
                </c:pt>
                <c:pt idx="2">
                  <c:v>354.55986653094334</c:v>
                </c:pt>
                <c:pt idx="3">
                  <c:v>337.38928786223869</c:v>
                </c:pt>
                <c:pt idx="4">
                  <c:v>325.75224587056039</c:v>
                </c:pt>
                <c:pt idx="5">
                  <c:v>349.90644902067635</c:v>
                </c:pt>
                <c:pt idx="6">
                  <c:v>364.30400519364616</c:v>
                </c:pt>
                <c:pt idx="7">
                  <c:v>387.62291694466899</c:v>
                </c:pt>
                <c:pt idx="8">
                  <c:v>413.59516029994501</c:v>
                </c:pt>
                <c:pt idx="9">
                  <c:v>448.02478771563517</c:v>
                </c:pt>
                <c:pt idx="10">
                  <c:v>1032.0294076232533</c:v>
                </c:pt>
                <c:pt idx="11">
                  <c:v>1068.4595465092198</c:v>
                </c:pt>
                <c:pt idx="12">
                  <c:v>1105.9985604563692</c:v>
                </c:pt>
                <c:pt idx="13">
                  <c:v>1144.6790226274929</c:v>
                </c:pt>
                <c:pt idx="14">
                  <c:v>1184.5344555682666</c:v>
                </c:pt>
                <c:pt idx="15">
                  <c:v>70.62400014287671</c:v>
                </c:pt>
                <c:pt idx="16">
                  <c:v>31998.270886166159</c:v>
                </c:pt>
                <c:pt idx="17">
                  <c:v>33093.080826531412</c:v>
                </c:pt>
                <c:pt idx="18">
                  <c:v>34227.178073291288</c:v>
                </c:pt>
                <c:pt idx="19">
                  <c:v>35395.561813758432</c:v>
                </c:pt>
                <c:pt idx="20">
                  <c:v>36598.397775231439</c:v>
                </c:pt>
                <c:pt idx="21">
                  <c:v>37838.391171029165</c:v>
                </c:pt>
                <c:pt idx="22">
                  <c:v>39115.776924376565</c:v>
                </c:pt>
                <c:pt idx="23">
                  <c:v>40431.651292758943</c:v>
                </c:pt>
                <c:pt idx="24">
                  <c:v>41787.142487594814</c:v>
                </c:pt>
                <c:pt idx="25">
                  <c:v>43183.411605941845</c:v>
                </c:pt>
                <c:pt idx="26">
                  <c:v>44621.653589363239</c:v>
                </c:pt>
                <c:pt idx="27">
                  <c:v>46103.098210758559</c:v>
                </c:pt>
                <c:pt idx="28">
                  <c:v>47629.011089983949</c:v>
                </c:pt>
              </c:numCache>
            </c:numRef>
          </c:val>
          <c:smooth val="0"/>
          <c:extLst>
            <c:ext xmlns:c16="http://schemas.microsoft.com/office/drawing/2014/chart" uri="{C3380CC4-5D6E-409C-BE32-E72D297353CC}">
              <c16:uniqueId val="{00000000-D01D-2642-A121-DAF5948C91B1}"/>
            </c:ext>
          </c:extLst>
        </c:ser>
        <c:dLbls>
          <c:showLegendKey val="0"/>
          <c:showVal val="0"/>
          <c:showCatName val="0"/>
          <c:showSerName val="0"/>
          <c:showPercent val="0"/>
          <c:showBubbleSize val="0"/>
        </c:dLbls>
        <c:smooth val="0"/>
        <c:axId val="191478784"/>
        <c:axId val="191484672"/>
      </c:lineChart>
      <c:catAx>
        <c:axId val="191478784"/>
        <c:scaling>
          <c:orientation val="minMax"/>
        </c:scaling>
        <c:delete val="0"/>
        <c:axPos val="b"/>
        <c:numFmt formatCode="0" sourceLinked="1"/>
        <c:majorTickMark val="out"/>
        <c:minorTickMark val="none"/>
        <c:tickLblPos val="nextTo"/>
        <c:crossAx val="191484672"/>
        <c:crosses val="autoZero"/>
        <c:auto val="1"/>
        <c:lblAlgn val="ctr"/>
        <c:lblOffset val="100"/>
        <c:noMultiLvlLbl val="0"/>
      </c:catAx>
      <c:valAx>
        <c:axId val="191484672"/>
        <c:scaling>
          <c:orientation val="minMax"/>
        </c:scaling>
        <c:delete val="0"/>
        <c:axPos val="l"/>
        <c:numFmt formatCode="_(* #,##0_);_(* \(#,##0\);_(* &quot;-&quot;??_);_(@_)" sourceLinked="1"/>
        <c:majorTickMark val="out"/>
        <c:minorTickMark val="none"/>
        <c:tickLblPos val="nextTo"/>
        <c:crossAx val="191478784"/>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tx>
            <c:strRef>
              <c:f>'Charts - Freight'!$B$225:$D$225</c:f>
              <c:strCache>
                <c:ptCount val="3"/>
                <c:pt idx="0">
                  <c:v>Current assets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[0]!Currentassets</c:f>
              <c:numCache>
                <c:formatCode>_(* #,##0_);_(* \(#,##0\);_(* "-"??_);_(@_)</c:formatCode>
                <c:ptCount val="30"/>
                <c:pt idx="0">
                  <c:v>5300</c:v>
                </c:pt>
                <c:pt idx="1">
                  <c:v>10218.422483758284</c:v>
                </c:pt>
                <c:pt idx="2">
                  <c:v>15378.996892136098</c:v>
                </c:pt>
                <c:pt idx="3">
                  <c:v>20699.552760782059</c:v>
                </c:pt>
                <c:pt idx="4">
                  <c:v>26193.872457589841</c:v>
                </c:pt>
                <c:pt idx="5">
                  <c:v>31897.430836149088</c:v>
                </c:pt>
                <c:pt idx="6">
                  <c:v>39160.196378202279</c:v>
                </c:pt>
                <c:pt idx="7">
                  <c:v>46078.211996462451</c:v>
                </c:pt>
                <c:pt idx="8">
                  <c:v>53269.45561956177</c:v>
                </c:pt>
                <c:pt idx="9">
                  <c:v>60742.362266579366</c:v>
                </c:pt>
                <c:pt idx="10">
                  <c:v>68406.5138918515</c:v>
                </c:pt>
                <c:pt idx="11">
                  <c:v>76347.178677409829</c:v>
                </c:pt>
                <c:pt idx="12">
                  <c:v>84569.788790458639</c:v>
                </c:pt>
                <c:pt idx="13">
                  <c:v>93082.918099290444</c:v>
                </c:pt>
                <c:pt idx="14">
                  <c:v>101895.39230602905</c:v>
                </c:pt>
                <c:pt idx="15">
                  <c:v>111016.29628745108</c:v>
                </c:pt>
                <c:pt idx="16">
                  <c:v>120329.84602507162</c:v>
                </c:pt>
                <c:pt idx="17">
                  <c:v>130098.28266943207</c:v>
                </c:pt>
                <c:pt idx="18">
                  <c:v>140202.27359279542</c:v>
                </c:pt>
                <c:pt idx="19">
                  <c:v>150653.8120077581</c:v>
                </c:pt>
                <c:pt idx="20">
                  <c:v>161463.39693903265</c:v>
                </c:pt>
                <c:pt idx="21">
                  <c:v>172641.58336297265</c:v>
                </c:pt>
                <c:pt idx="22">
                  <c:v>184199.74423611836</c:v>
                </c:pt>
                <c:pt idx="23">
                  <c:v>196149.32959627107</c:v>
                </c:pt>
                <c:pt idx="24">
                  <c:v>208502.12515639391</c:v>
                </c:pt>
                <c:pt idx="25">
                  <c:v>221270.26209009794</c:v>
                </c:pt>
                <c:pt idx="26">
                  <c:v>234466.22710248883</c:v>
                </c:pt>
                <c:pt idx="27">
                  <c:v>248102.87279469537</c:v>
                </c:pt>
                <c:pt idx="28">
                  <c:v>262193.42833064514</c:v>
                </c:pt>
                <c:pt idx="29">
                  <c:v>276751.51041490689</c:v>
                </c:pt>
              </c:numCache>
            </c:numRef>
          </c:val>
          <c:extLst>
            <c:ext xmlns:c16="http://schemas.microsoft.com/office/drawing/2014/chart" uri="{C3380CC4-5D6E-409C-BE32-E72D297353CC}">
              <c16:uniqueId val="{00000000-934B-FC4C-BB5F-92C36EFF4737}"/>
            </c:ext>
          </c:extLst>
        </c:ser>
        <c:ser>
          <c:idx val="1"/>
          <c:order val="1"/>
          <c:tx>
            <c:strRef>
              <c:f>'Charts - Freight'!$B$226:$D$226</c:f>
              <c:strCache>
                <c:ptCount val="3"/>
                <c:pt idx="0">
                  <c:v>Current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[0]!Currentliabilities</c:f>
              <c:numCache>
                <c:formatCode>_(* #,##0_);_(* \(#,##0\);_(* "-"??_);_(@_)</c:formatCode>
                <c:ptCount val="30"/>
                <c:pt idx="0">
                  <c:v>2117.5</c:v>
                </c:pt>
                <c:pt idx="1">
                  <c:v>2161.4966071016092</c:v>
                </c:pt>
                <c:pt idx="2">
                  <c:v>2212.5665053146572</c:v>
                </c:pt>
                <c:pt idx="3">
                  <c:v>2305.1877824178951</c:v>
                </c:pt>
                <c:pt idx="4">
                  <c:v>2392.0824894918392</c:v>
                </c:pt>
                <c:pt idx="5">
                  <c:v>2462.9449641765946</c:v>
                </c:pt>
                <c:pt idx="6">
                  <c:v>2790.9932759435992</c:v>
                </c:pt>
                <c:pt idx="7">
                  <c:v>2873.8230742219075</c:v>
                </c:pt>
                <c:pt idx="8">
                  <c:v>2959.1377664485649</c:v>
                </c:pt>
                <c:pt idx="9">
                  <c:v>3047.0118994420213</c:v>
                </c:pt>
                <c:pt idx="10">
                  <c:v>3107.5222564252822</c:v>
                </c:pt>
                <c:pt idx="11">
                  <c:v>3200.7479241180408</c:v>
                </c:pt>
                <c:pt idx="12">
                  <c:v>3296.7703618415817</c:v>
                </c:pt>
                <c:pt idx="13">
                  <c:v>3395.6734726968302</c:v>
                </c:pt>
                <c:pt idx="14">
                  <c:v>3497.5436768777349</c:v>
                </c:pt>
                <c:pt idx="15">
                  <c:v>4027.4699871840667</c:v>
                </c:pt>
                <c:pt idx="16">
                  <c:v>3710.544086799589</c:v>
                </c:pt>
                <c:pt idx="17">
                  <c:v>3821.8604094035768</c:v>
                </c:pt>
                <c:pt idx="18">
                  <c:v>3936.5162216856843</c:v>
                </c:pt>
                <c:pt idx="19">
                  <c:v>4054.6117083362551</c:v>
                </c:pt>
                <c:pt idx="20">
                  <c:v>4176.250059586343</c:v>
                </c:pt>
                <c:pt idx="21">
                  <c:v>4301.5375613739343</c:v>
                </c:pt>
                <c:pt idx="22">
                  <c:v>4430.5836882151516</c:v>
                </c:pt>
                <c:pt idx="23">
                  <c:v>4563.501198861607</c:v>
                </c:pt>
                <c:pt idx="24">
                  <c:v>4700.4062348274556</c:v>
                </c:pt>
                <c:pt idx="25">
                  <c:v>4841.4184218722785</c:v>
                </c:pt>
                <c:pt idx="26">
                  <c:v>4986.6609745284468</c:v>
                </c:pt>
                <c:pt idx="27">
                  <c:v>5136.2608037643004</c:v>
                </c:pt>
                <c:pt idx="28">
                  <c:v>5290.3486278772289</c:v>
                </c:pt>
                <c:pt idx="29">
                  <c:v>5449.059086713547</c:v>
                </c:pt>
              </c:numCache>
            </c:numRef>
          </c:val>
          <c:extLst>
            <c:ext xmlns:c16="http://schemas.microsoft.com/office/drawing/2014/chart" uri="{C3380CC4-5D6E-409C-BE32-E72D297353CC}">
              <c16:uniqueId val="{00000001-934B-FC4C-BB5F-92C36EFF4737}"/>
            </c:ext>
          </c:extLst>
        </c:ser>
        <c:dLbls>
          <c:showLegendKey val="0"/>
          <c:showVal val="0"/>
          <c:showCatName val="0"/>
          <c:showSerName val="0"/>
          <c:showPercent val="0"/>
          <c:showBubbleSize val="0"/>
        </c:dLbls>
        <c:gapWidth val="150"/>
        <c:axId val="191584896"/>
        <c:axId val="191598976"/>
      </c:barChart>
      <c:lineChart>
        <c:grouping val="standard"/>
        <c:varyColors val="0"/>
        <c:ser>
          <c:idx val="2"/>
          <c:order val="2"/>
          <c:tx>
            <c:strRef>
              <c:f>'Charts - Freight'!$B$227</c:f>
              <c:strCache>
                <c:ptCount val="1"/>
                <c:pt idx="0">
                  <c:v>Current ratio</c:v>
                </c:pt>
              </c:strCache>
            </c:strRef>
          </c:tx>
          <c:marker>
            <c:symbol val="none"/>
          </c:marker>
          <c:val>
            <c:numRef>
              <c:f>[0]!Currentratio</c:f>
              <c:numCache>
                <c:formatCode>0.00</c:formatCode>
                <c:ptCount val="30"/>
                <c:pt idx="0">
                  <c:v>2.5029515938606846</c:v>
                </c:pt>
                <c:pt idx="1">
                  <c:v>4.7274756065707439</c:v>
                </c:pt>
                <c:pt idx="2">
                  <c:v>6.950750115395512</c:v>
                </c:pt>
                <c:pt idx="3">
                  <c:v>8.9795516524343384</c:v>
                </c:pt>
                <c:pt idx="4">
                  <c:v>10.95023795067967</c:v>
                </c:pt>
                <c:pt idx="5">
                  <c:v>12.950931222619891</c:v>
                </c:pt>
                <c:pt idx="6">
                  <c:v>14.030917492971286</c:v>
                </c:pt>
                <c:pt idx="7">
                  <c:v>16.033767843880998</c:v>
                </c:pt>
                <c:pt idx="8">
                  <c:v>18.001681511264536</c:v>
                </c:pt>
                <c:pt idx="9">
                  <c:v>19.935059091073029</c:v>
                </c:pt>
                <c:pt idx="10">
                  <c:v>22.013201595068377</c:v>
                </c:pt>
                <c:pt idx="11">
                  <c:v>23.852918282668927</c:v>
                </c:pt>
                <c:pt idx="12">
                  <c:v>25.652314085721702</c:v>
                </c:pt>
                <c:pt idx="13">
                  <c:v>27.412211111501357</c:v>
                </c:pt>
                <c:pt idx="14">
                  <c:v>29.133415253584854</c:v>
                </c:pt>
                <c:pt idx="15">
                  <c:v>27.564773081045765</c:v>
                </c:pt>
                <c:pt idx="16">
                  <c:v>32.429164890709671</c:v>
                </c:pt>
                <c:pt idx="17">
                  <c:v>34.040563687079995</c:v>
                </c:pt>
                <c:pt idx="18">
                  <c:v>35.61582518584374</c:v>
                </c:pt>
                <c:pt idx="19">
                  <c:v>37.156162622925109</c:v>
                </c:pt>
                <c:pt idx="20">
                  <c:v>38.662291442152195</c:v>
                </c:pt>
                <c:pt idx="21">
                  <c:v>40.134854316564422</c:v>
                </c:pt>
                <c:pt idx="22">
                  <c:v>41.574599916951961</c:v>
                </c:pt>
                <c:pt idx="23">
                  <c:v>42.982201833364634</c:v>
                </c:pt>
                <c:pt idx="24">
                  <c:v>44.358320268470941</c:v>
                </c:pt>
                <c:pt idx="25">
                  <c:v>45.703602293587352</c:v>
                </c:pt>
                <c:pt idx="26">
                  <c:v>47.018682100132274</c:v>
                </c:pt>
                <c:pt idx="27">
                  <c:v>48.304181246572199</c:v>
                </c:pt>
                <c:pt idx="28">
                  <c:v>49.560708900927608</c:v>
                </c:pt>
                <c:pt idx="29">
                  <c:v>50.788862078906561</c:v>
                </c:pt>
              </c:numCache>
            </c:numRef>
          </c:val>
          <c:smooth val="0"/>
          <c:extLst>
            <c:ext xmlns:c16="http://schemas.microsoft.com/office/drawing/2014/chart" uri="{C3380CC4-5D6E-409C-BE32-E72D297353CC}">
              <c16:uniqueId val="{00000002-934B-FC4C-BB5F-92C36EFF4737}"/>
            </c:ext>
          </c:extLst>
        </c:ser>
        <c:dLbls>
          <c:showLegendKey val="0"/>
          <c:showVal val="0"/>
          <c:showCatName val="0"/>
          <c:showSerName val="0"/>
          <c:showPercent val="0"/>
          <c:showBubbleSize val="0"/>
        </c:dLbls>
        <c:marker val="1"/>
        <c:smooth val="0"/>
        <c:axId val="191614976"/>
        <c:axId val="191600896"/>
      </c:lineChart>
      <c:catAx>
        <c:axId val="191584896"/>
        <c:scaling>
          <c:orientation val="minMax"/>
        </c:scaling>
        <c:delete val="0"/>
        <c:axPos val="b"/>
        <c:numFmt formatCode="0" sourceLinked="1"/>
        <c:majorTickMark val="out"/>
        <c:minorTickMark val="none"/>
        <c:tickLblPos val="nextTo"/>
        <c:crossAx val="191598976"/>
        <c:crosses val="autoZero"/>
        <c:auto val="1"/>
        <c:lblAlgn val="ctr"/>
        <c:lblOffset val="100"/>
        <c:noMultiLvlLbl val="0"/>
      </c:catAx>
      <c:valAx>
        <c:axId val="191598976"/>
        <c:scaling>
          <c:orientation val="minMax"/>
        </c:scaling>
        <c:delete val="0"/>
        <c:axPos val="l"/>
        <c:numFmt formatCode="_(* #,##0_);_(* \(#,##0\);_(* &quot;-&quot;??_);_(@_)" sourceLinked="1"/>
        <c:majorTickMark val="out"/>
        <c:minorTickMark val="none"/>
        <c:tickLblPos val="nextTo"/>
        <c:crossAx val="191584896"/>
        <c:crosses val="autoZero"/>
        <c:crossBetween val="between"/>
        <c:dispUnits>
          <c:builtInUnit val="thousands"/>
          <c:dispUnitsLbl>
            <c:layout>
              <c:manualLayout>
                <c:xMode val="edge"/>
                <c:yMode val="edge"/>
                <c:x val="3.0555555555555582E-2"/>
                <c:y val="0.29677092446777487"/>
              </c:manualLayout>
            </c:layout>
            <c:tx>
              <c:strRef>
                <c:f>'Charts - Freight'!$E$134</c:f>
                <c:strCache>
                  <c:ptCount val="1"/>
                  <c:pt idx="0">
                    <c:v>R$ millions</c:v>
                  </c:pt>
                </c:strCache>
              </c:strRef>
            </c:tx>
            <c:txPr>
              <a:bodyPr/>
              <a:lstStyle/>
              <a:p>
                <a:pPr>
                  <a:defRPr/>
                </a:pPr>
                <a:endParaRPr lang="en-US"/>
              </a:p>
            </c:txPr>
          </c:dispUnitsLbl>
        </c:dispUnits>
      </c:valAx>
      <c:valAx>
        <c:axId val="191600896"/>
        <c:scaling>
          <c:orientation val="minMax"/>
          <c:max val="10"/>
        </c:scaling>
        <c:delete val="0"/>
        <c:axPos val="r"/>
        <c:numFmt formatCode="0.00" sourceLinked="1"/>
        <c:majorTickMark val="out"/>
        <c:minorTickMark val="none"/>
        <c:tickLblPos val="nextTo"/>
        <c:crossAx val="191614976"/>
        <c:crosses val="max"/>
        <c:crossBetween val="between"/>
      </c:valAx>
      <c:catAx>
        <c:axId val="191614976"/>
        <c:scaling>
          <c:orientation val="minMax"/>
        </c:scaling>
        <c:delete val="1"/>
        <c:axPos val="b"/>
        <c:majorTickMark val="out"/>
        <c:minorTickMark val="none"/>
        <c:tickLblPos val="none"/>
        <c:crossAx val="191600896"/>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Return ratios</a:t>
            </a:r>
          </a:p>
        </c:rich>
      </c:tx>
      <c:overlay val="0"/>
    </c:title>
    <c:autoTitleDeleted val="0"/>
    <c:plotArea>
      <c:layout/>
      <c:lineChart>
        <c:grouping val="standard"/>
        <c:varyColors val="0"/>
        <c:ser>
          <c:idx val="0"/>
          <c:order val="0"/>
          <c:tx>
            <c:strRef>
              <c:f>'Charts - Freight'!$B$231:$D$231</c:f>
              <c:strCache>
                <c:ptCount val="3"/>
                <c:pt idx="0">
                  <c:v>Return on equity</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[0]!ROE</c:f>
              <c:numCache>
                <c:formatCode>0%</c:formatCode>
                <c:ptCount val="30"/>
                <c:pt idx="0">
                  <c:v>4.1157706766917297</c:v>
                </c:pt>
                <c:pt idx="1">
                  <c:v>2.534559148546605</c:v>
                </c:pt>
                <c:pt idx="2">
                  <c:v>1.4643339783467781</c:v>
                </c:pt>
                <c:pt idx="3">
                  <c:v>1.0331903117479579</c:v>
                </c:pt>
                <c:pt idx="4">
                  <c:v>0.80699422621043659</c:v>
                </c:pt>
                <c:pt idx="5">
                  <c:v>0.66934437734471453</c:v>
                </c:pt>
                <c:pt idx="6">
                  <c:v>0.63863679916483396</c:v>
                </c:pt>
                <c:pt idx="7">
                  <c:v>0.55052013878259554</c:v>
                </c:pt>
                <c:pt idx="8">
                  <c:v>0.48755284293817786</c:v>
                </c:pt>
                <c:pt idx="9">
                  <c:v>0.43915751187772839</c:v>
                </c:pt>
                <c:pt idx="10">
                  <c:v>0.39593609492349652</c:v>
                </c:pt>
                <c:pt idx="11">
                  <c:v>0.36450736449167098</c:v>
                </c:pt>
                <c:pt idx="12">
                  <c:v>0.33883111566873964</c:v>
                </c:pt>
                <c:pt idx="13">
                  <c:v>0.31723447079098616</c:v>
                </c:pt>
                <c:pt idx="14">
                  <c:v>0.29882077028333864</c:v>
                </c:pt>
                <c:pt idx="15">
                  <c:v>0.28293812970250898</c:v>
                </c:pt>
                <c:pt idx="16">
                  <c:v>0.26881869424148669</c:v>
                </c:pt>
                <c:pt idx="17">
                  <c:v>0.25644440348560332</c:v>
                </c:pt>
                <c:pt idx="18">
                  <c:v>0.24578486549965833</c:v>
                </c:pt>
                <c:pt idx="19">
                  <c:v>0.23618815352786338</c:v>
                </c:pt>
                <c:pt idx="20">
                  <c:v>0.22758253574719678</c:v>
                </c:pt>
                <c:pt idx="21">
                  <c:v>0.21983155484010664</c:v>
                </c:pt>
                <c:pt idx="22">
                  <c:v>0.21279857816230946</c:v>
                </c:pt>
                <c:pt idx="23">
                  <c:v>0.20639840297213699</c:v>
                </c:pt>
                <c:pt idx="24">
                  <c:v>0.20055050365272825</c:v>
                </c:pt>
                <c:pt idx="25">
                  <c:v>0.19518744544745345</c:v>
                </c:pt>
                <c:pt idx="26">
                  <c:v>0.19025232864165323</c:v>
                </c:pt>
                <c:pt idx="27">
                  <c:v>0.18569680901936741</c:v>
                </c:pt>
                <c:pt idx="28">
                  <c:v>0.18147954849327086</c:v>
                </c:pt>
                <c:pt idx="29">
                  <c:v>0.17756499065886577</c:v>
                </c:pt>
              </c:numCache>
            </c:numRef>
          </c:val>
          <c:smooth val="0"/>
          <c:extLst>
            <c:ext xmlns:c16="http://schemas.microsoft.com/office/drawing/2014/chart" uri="{C3380CC4-5D6E-409C-BE32-E72D297353CC}">
              <c16:uniqueId val="{00000000-598F-4646-B7F0-777CE758508A}"/>
            </c:ext>
          </c:extLst>
        </c:ser>
        <c:ser>
          <c:idx val="1"/>
          <c:order val="1"/>
          <c:tx>
            <c:strRef>
              <c:f>'Charts - Freight'!$B$232:$D$232</c:f>
              <c:strCache>
                <c:ptCount val="3"/>
                <c:pt idx="0">
                  <c:v>Return on assets</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[0]!ROA</c:f>
              <c:numCache>
                <c:formatCode>0%</c:formatCode>
                <c:ptCount val="30"/>
                <c:pt idx="0">
                  <c:v>2.5619227769110768</c:v>
                </c:pt>
                <c:pt idx="1">
                  <c:v>1.8444535324523228</c:v>
                </c:pt>
                <c:pt idx="2">
                  <c:v>1.2058043127246951</c:v>
                </c:pt>
                <c:pt idx="3">
                  <c:v>0.89432070589628965</c:v>
                </c:pt>
                <c:pt idx="4">
                  <c:v>0.71770711752895366</c:v>
                </c:pt>
                <c:pt idx="5">
                  <c:v>0.60601497966379503</c:v>
                </c:pt>
                <c:pt idx="6">
                  <c:v>0.58441562590960483</c:v>
                </c:pt>
                <c:pt idx="7">
                  <c:v>0.5086116514288489</c:v>
                </c:pt>
                <c:pt idx="8">
                  <c:v>0.45508535904978953</c:v>
                </c:pt>
                <c:pt idx="9">
                  <c:v>0.41317760669094405</c:v>
                </c:pt>
                <c:pt idx="10">
                  <c:v>0.37485449402455773</c:v>
                </c:pt>
                <c:pt idx="11">
                  <c:v>0.34677774863742494</c:v>
                </c:pt>
                <c:pt idx="12">
                  <c:v>0.32358949616074828</c:v>
                </c:pt>
                <c:pt idx="13">
                  <c:v>0.30394677463657921</c:v>
                </c:pt>
                <c:pt idx="14">
                  <c:v>0.28709787499767303</c:v>
                </c:pt>
                <c:pt idx="15">
                  <c:v>0.2724895071481041</c:v>
                </c:pt>
                <c:pt idx="16">
                  <c:v>0.2599084394059108</c:v>
                </c:pt>
                <c:pt idx="17">
                  <c:v>0.24878628217070906</c:v>
                </c:pt>
                <c:pt idx="18">
                  <c:v>0.23877576992242205</c:v>
                </c:pt>
                <c:pt idx="19">
                  <c:v>0.2297370712529474</c:v>
                </c:pt>
                <c:pt idx="20">
                  <c:v>0.22161271342728489</c:v>
                </c:pt>
                <c:pt idx="21">
                  <c:v>0.21427991577141245</c:v>
                </c:pt>
                <c:pt idx="22">
                  <c:v>0.20761333200998036</c:v>
                </c:pt>
                <c:pt idx="23">
                  <c:v>0.20153597650121605</c:v>
                </c:pt>
                <c:pt idx="24">
                  <c:v>0.19597417669354217</c:v>
                </c:pt>
                <c:pt idx="25">
                  <c:v>0.19086603518351139</c:v>
                </c:pt>
                <c:pt idx="26">
                  <c:v>0.18615916802598956</c:v>
                </c:pt>
                <c:pt idx="27">
                  <c:v>0.18180894504166487</c:v>
                </c:pt>
                <c:pt idx="28">
                  <c:v>0.1777771067669815</c:v>
                </c:pt>
                <c:pt idx="29">
                  <c:v>0.17403066723385494</c:v>
                </c:pt>
              </c:numCache>
            </c:numRef>
          </c:val>
          <c:smooth val="0"/>
          <c:extLst>
            <c:ext xmlns:c16="http://schemas.microsoft.com/office/drawing/2014/chart" uri="{C3380CC4-5D6E-409C-BE32-E72D297353CC}">
              <c16:uniqueId val="{00000001-598F-4646-B7F0-777CE758508A}"/>
            </c:ext>
          </c:extLst>
        </c:ser>
        <c:dLbls>
          <c:showLegendKey val="0"/>
          <c:showVal val="0"/>
          <c:showCatName val="0"/>
          <c:showSerName val="0"/>
          <c:showPercent val="0"/>
          <c:showBubbleSize val="0"/>
        </c:dLbls>
        <c:smooth val="0"/>
        <c:axId val="191500672"/>
        <c:axId val="191502208"/>
      </c:lineChart>
      <c:catAx>
        <c:axId val="191500672"/>
        <c:scaling>
          <c:orientation val="minMax"/>
        </c:scaling>
        <c:delete val="0"/>
        <c:axPos val="b"/>
        <c:numFmt formatCode="0" sourceLinked="1"/>
        <c:majorTickMark val="out"/>
        <c:minorTickMark val="none"/>
        <c:tickLblPos val="nextTo"/>
        <c:crossAx val="191502208"/>
        <c:crosses val="autoZero"/>
        <c:auto val="1"/>
        <c:lblAlgn val="ctr"/>
        <c:lblOffset val="100"/>
        <c:noMultiLvlLbl val="0"/>
      </c:catAx>
      <c:valAx>
        <c:axId val="191502208"/>
        <c:scaling>
          <c:orientation val="minMax"/>
        </c:scaling>
        <c:delete val="0"/>
        <c:axPos val="l"/>
        <c:numFmt formatCode="0%" sourceLinked="1"/>
        <c:majorTickMark val="out"/>
        <c:minorTickMark val="none"/>
        <c:tickLblPos val="nextTo"/>
        <c:crossAx val="19150067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Operating and working ratio</a:t>
            </a:r>
          </a:p>
        </c:rich>
      </c:tx>
      <c:overlay val="0"/>
    </c:title>
    <c:autoTitleDeleted val="0"/>
    <c:plotArea>
      <c:layout/>
      <c:lineChart>
        <c:grouping val="standard"/>
        <c:varyColors val="0"/>
        <c:ser>
          <c:idx val="0"/>
          <c:order val="0"/>
          <c:tx>
            <c:strRef>
              <c:f>'Charts - Freight'!$B$236:$D$236</c:f>
              <c:strCache>
                <c:ptCount val="3"/>
                <c:pt idx="0">
                  <c:v>Operating ratio</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[0]!Operatingratio</c:f>
              <c:numCache>
                <c:formatCode>0%</c:formatCode>
                <c:ptCount val="30"/>
                <c:pt idx="0">
                  <c:v>0.38910435536712279</c:v>
                </c:pt>
                <c:pt idx="1">
                  <c:v>0.39153034799333375</c:v>
                </c:pt>
                <c:pt idx="2">
                  <c:v>0.39283024104480624</c:v>
                </c:pt>
                <c:pt idx="3">
                  <c:v>0.39898079733532804</c:v>
                </c:pt>
                <c:pt idx="4">
                  <c:v>0.4034728547649612</c:v>
                </c:pt>
                <c:pt idx="5">
                  <c:v>0.4046262420929122</c:v>
                </c:pt>
                <c:pt idx="6">
                  <c:v>0.39948840506507199</c:v>
                </c:pt>
                <c:pt idx="7">
                  <c:v>0.40029361966231858</c:v>
                </c:pt>
                <c:pt idx="8">
                  <c:v>0.40133938505478745</c:v>
                </c:pt>
                <c:pt idx="9">
                  <c:v>0.40239215710595022</c:v>
                </c:pt>
                <c:pt idx="10">
                  <c:v>0.40342679058177794</c:v>
                </c:pt>
                <c:pt idx="11">
                  <c:v>0.40444369875894098</c:v>
                </c:pt>
                <c:pt idx="12">
                  <c:v>0.4054432853081848</c:v>
                </c:pt>
                <c:pt idx="13">
                  <c:v>0.40642594458884118</c:v>
                </c:pt>
                <c:pt idx="14">
                  <c:v>0.40739206188771487</c:v>
                </c:pt>
                <c:pt idx="15">
                  <c:v>0.40834201362874356</c:v>
                </c:pt>
                <c:pt idx="16">
                  <c:v>0.40927616756609314</c:v>
                </c:pt>
                <c:pt idx="17">
                  <c:v>0.41007045590522584</c:v>
                </c:pt>
                <c:pt idx="18">
                  <c:v>0.41074223161640316</c:v>
                </c:pt>
                <c:pt idx="19">
                  <c:v>0.41164396043459628</c:v>
                </c:pt>
                <c:pt idx="20">
                  <c:v>0.41253085737981571</c:v>
                </c:pt>
                <c:pt idx="21">
                  <c:v>0.41337276721172722</c:v>
                </c:pt>
                <c:pt idx="22">
                  <c:v>0.41423184278002745</c:v>
                </c:pt>
                <c:pt idx="23">
                  <c:v>0.41507706067558003</c:v>
                </c:pt>
                <c:pt idx="24">
                  <c:v>0.41590873786339949</c:v>
                </c:pt>
                <c:pt idx="25">
                  <c:v>0.41672718378411494</c:v>
                </c:pt>
                <c:pt idx="26">
                  <c:v>0.41753270051800817</c:v>
                </c:pt>
                <c:pt idx="27">
                  <c:v>0.41832558294603112</c:v>
                </c:pt>
                <c:pt idx="28">
                  <c:v>0.41910611890798832</c:v>
                </c:pt>
                <c:pt idx="29">
                  <c:v>0.41987458935800137</c:v>
                </c:pt>
              </c:numCache>
            </c:numRef>
          </c:val>
          <c:smooth val="0"/>
          <c:extLst>
            <c:ext xmlns:c16="http://schemas.microsoft.com/office/drawing/2014/chart" uri="{C3380CC4-5D6E-409C-BE32-E72D297353CC}">
              <c16:uniqueId val="{00000000-777F-224D-935C-2E33F39AFE68}"/>
            </c:ext>
          </c:extLst>
        </c:ser>
        <c:ser>
          <c:idx val="1"/>
          <c:order val="1"/>
          <c:tx>
            <c:strRef>
              <c:f>'Charts - Freight'!$B$237:$D$237</c:f>
              <c:strCache>
                <c:ptCount val="3"/>
                <c:pt idx="0">
                  <c:v>Working ratio</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[0]!Workingratio</c:f>
              <c:numCache>
                <c:formatCode>0%</c:formatCode>
                <c:ptCount val="30"/>
                <c:pt idx="0">
                  <c:v>0.38789988437078438</c:v>
                </c:pt>
                <c:pt idx="1">
                  <c:v>0.39004047838576061</c:v>
                </c:pt>
                <c:pt idx="2">
                  <c:v>0.39107897575699718</c:v>
                </c:pt>
                <c:pt idx="3">
                  <c:v>0.39708826746011994</c:v>
                </c:pt>
                <c:pt idx="4">
                  <c:v>0.40144787860240944</c:v>
                </c:pt>
                <c:pt idx="5">
                  <c:v>0.40247728620173912</c:v>
                </c:pt>
                <c:pt idx="6">
                  <c:v>0.39747281043394544</c:v>
                </c:pt>
                <c:pt idx="7">
                  <c:v>0.39845473722627517</c:v>
                </c:pt>
                <c:pt idx="8">
                  <c:v>0.39942082148023</c:v>
                </c:pt>
                <c:pt idx="9">
                  <c:v>0.40037495705655601</c:v>
                </c:pt>
                <c:pt idx="10">
                  <c:v>0.40131769294891079</c:v>
                </c:pt>
                <c:pt idx="11">
                  <c:v>0.40224916338522038</c:v>
                </c:pt>
                <c:pt idx="12">
                  <c:v>0.40316950214481173</c:v>
                </c:pt>
                <c:pt idx="13">
                  <c:v>0.40407884261705684</c:v>
                </c:pt>
                <c:pt idx="14">
                  <c:v>0.40497731780800922</c:v>
                </c:pt>
                <c:pt idx="15">
                  <c:v>0.40586506032144787</c:v>
                </c:pt>
                <c:pt idx="16">
                  <c:v>0.40674220232702979</c:v>
                </c:pt>
                <c:pt idx="17">
                  <c:v>0.40761094810380438</c:v>
                </c:pt>
                <c:pt idx="18">
                  <c:v>0.40847117140894457</c:v>
                </c:pt>
                <c:pt idx="19">
                  <c:v>0.40931713217322613</c:v>
                </c:pt>
                <c:pt idx="20">
                  <c:v>0.41015302375078866</c:v>
                </c:pt>
                <c:pt idx="21">
                  <c:v>0.41097948515657667</c:v>
                </c:pt>
                <c:pt idx="22">
                  <c:v>0.41179561258698177</c:v>
                </c:pt>
                <c:pt idx="23">
                  <c:v>0.41260205679598505</c:v>
                </c:pt>
                <c:pt idx="24">
                  <c:v>0.4133989448420452</c:v>
                </c:pt>
                <c:pt idx="25">
                  <c:v>0.41418640298627846</c:v>
                </c:pt>
                <c:pt idx="26">
                  <c:v>0.41496455666224469</c:v>
                </c:pt>
                <c:pt idx="27">
                  <c:v>0.41573353044673955</c:v>
                </c:pt>
                <c:pt idx="28">
                  <c:v>0.41649344803176824</c:v>
                </c:pt>
                <c:pt idx="29">
                  <c:v>0.41724443219780727</c:v>
                </c:pt>
              </c:numCache>
            </c:numRef>
          </c:val>
          <c:smooth val="0"/>
          <c:extLst>
            <c:ext xmlns:c16="http://schemas.microsoft.com/office/drawing/2014/chart" uri="{C3380CC4-5D6E-409C-BE32-E72D297353CC}">
              <c16:uniqueId val="{00000001-777F-224D-935C-2E33F39AFE68}"/>
            </c:ext>
          </c:extLst>
        </c:ser>
        <c:dLbls>
          <c:showLegendKey val="0"/>
          <c:showVal val="0"/>
          <c:showCatName val="0"/>
          <c:showSerName val="0"/>
          <c:showPercent val="0"/>
          <c:showBubbleSize val="0"/>
        </c:dLbls>
        <c:smooth val="0"/>
        <c:axId val="191532032"/>
        <c:axId val="191542016"/>
      </c:lineChart>
      <c:catAx>
        <c:axId val="191532032"/>
        <c:scaling>
          <c:orientation val="minMax"/>
        </c:scaling>
        <c:delete val="0"/>
        <c:axPos val="b"/>
        <c:numFmt formatCode="0" sourceLinked="1"/>
        <c:majorTickMark val="out"/>
        <c:minorTickMark val="none"/>
        <c:tickLblPos val="nextTo"/>
        <c:crossAx val="191542016"/>
        <c:crosses val="autoZero"/>
        <c:auto val="1"/>
        <c:lblAlgn val="ctr"/>
        <c:lblOffset val="100"/>
        <c:noMultiLvlLbl val="0"/>
      </c:catAx>
      <c:valAx>
        <c:axId val="191542016"/>
        <c:scaling>
          <c:orientation val="minMax"/>
        </c:scaling>
        <c:delete val="0"/>
        <c:axPos val="l"/>
        <c:numFmt formatCode="0%" sourceLinked="1"/>
        <c:majorTickMark val="out"/>
        <c:minorTickMark val="none"/>
        <c:tickLblPos val="nextTo"/>
        <c:crossAx val="19153203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Staff productivity</a:t>
            </a:r>
          </a:p>
        </c:rich>
      </c:tx>
      <c:overlay val="0"/>
    </c:title>
    <c:autoTitleDeleted val="0"/>
    <c:plotArea>
      <c:layout/>
      <c:barChart>
        <c:barDir val="col"/>
        <c:grouping val="clustered"/>
        <c:varyColors val="0"/>
        <c:ser>
          <c:idx val="0"/>
          <c:order val="0"/>
          <c:tx>
            <c:strRef>
              <c:f>'Charts - Freight'!$B$241:$D$241</c:f>
              <c:strCache>
                <c:ptCount val="3"/>
                <c:pt idx="0">
                  <c:v>Traffic units per staff</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[0]!TUperstaff</c:f>
              <c:numCache>
                <c:formatCode>_(* #,##0.00_);_(* \(#,##0.00\);_(* "-"??_);_(@_)</c:formatCode>
                <c:ptCount val="30"/>
                <c:pt idx="0">
                  <c:v>2.7333333333333334</c:v>
                </c:pt>
                <c:pt idx="1">
                  <c:v>2.6666666666666665</c:v>
                </c:pt>
                <c:pt idx="2">
                  <c:v>2.6666666666666665</c:v>
                </c:pt>
                <c:pt idx="3">
                  <c:v>2.2222222222222223</c:v>
                </c:pt>
                <c:pt idx="4">
                  <c:v>2</c:v>
                </c:pt>
                <c:pt idx="5">
                  <c:v>2</c:v>
                </c:pt>
                <c:pt idx="6">
                  <c:v>2.25</c:v>
                </c:pt>
                <c:pt idx="7">
                  <c:v>2.25</c:v>
                </c:pt>
                <c:pt idx="8">
                  <c:v>2.25</c:v>
                </c:pt>
                <c:pt idx="9">
                  <c:v>2.25</c:v>
                </c:pt>
                <c:pt idx="10">
                  <c:v>2.25</c:v>
                </c:pt>
                <c:pt idx="11">
                  <c:v>2.25</c:v>
                </c:pt>
                <c:pt idx="12">
                  <c:v>2.25</c:v>
                </c:pt>
                <c:pt idx="13">
                  <c:v>2.25</c:v>
                </c:pt>
                <c:pt idx="14">
                  <c:v>2.25</c:v>
                </c:pt>
                <c:pt idx="15">
                  <c:v>2.25</c:v>
                </c:pt>
                <c:pt idx="16">
                  <c:v>2.25</c:v>
                </c:pt>
                <c:pt idx="17">
                  <c:v>2.25</c:v>
                </c:pt>
                <c:pt idx="18">
                  <c:v>2.25</c:v>
                </c:pt>
                <c:pt idx="19">
                  <c:v>2.25</c:v>
                </c:pt>
                <c:pt idx="20">
                  <c:v>2.25</c:v>
                </c:pt>
                <c:pt idx="21">
                  <c:v>2.25</c:v>
                </c:pt>
                <c:pt idx="22">
                  <c:v>2.25</c:v>
                </c:pt>
                <c:pt idx="23">
                  <c:v>2.25</c:v>
                </c:pt>
                <c:pt idx="24">
                  <c:v>2.25</c:v>
                </c:pt>
                <c:pt idx="25">
                  <c:v>2.25</c:v>
                </c:pt>
                <c:pt idx="26">
                  <c:v>2.25</c:v>
                </c:pt>
                <c:pt idx="27">
                  <c:v>2.25</c:v>
                </c:pt>
                <c:pt idx="28">
                  <c:v>2.25</c:v>
                </c:pt>
                <c:pt idx="29">
                  <c:v>2.25</c:v>
                </c:pt>
              </c:numCache>
            </c:numRef>
          </c:val>
          <c:extLst>
            <c:ext xmlns:c16="http://schemas.microsoft.com/office/drawing/2014/chart" uri="{C3380CC4-5D6E-409C-BE32-E72D297353CC}">
              <c16:uniqueId val="{00000000-888F-054B-8F85-F812AC3BA1C8}"/>
            </c:ext>
          </c:extLst>
        </c:ser>
        <c:dLbls>
          <c:showLegendKey val="0"/>
          <c:showVal val="1"/>
          <c:showCatName val="0"/>
          <c:showSerName val="0"/>
          <c:showPercent val="0"/>
          <c:showBubbleSize val="0"/>
        </c:dLbls>
        <c:gapWidth val="75"/>
        <c:axId val="191652992"/>
        <c:axId val="191654528"/>
      </c:barChart>
      <c:lineChart>
        <c:grouping val="standard"/>
        <c:varyColors val="0"/>
        <c:ser>
          <c:idx val="1"/>
          <c:order val="1"/>
          <c:tx>
            <c:strRef>
              <c:f>'Charts - Freight'!$B$242:$D$242</c:f>
              <c:strCache>
                <c:ptCount val="3"/>
                <c:pt idx="0">
                  <c:v>EU railways</c:v>
                </c:pt>
              </c:strCache>
            </c:strRef>
          </c:tx>
          <c:marker>
            <c:symbol val="none"/>
          </c:marker>
          <c:dLbls>
            <c:delete val="1"/>
          </c:dLbls>
          <c:cat>
            <c:numRef>
              <c:f>'Charts - Freight'!$E$240:$AH$240</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[0]!TUperstaffbenchmark</c:f>
              <c:numCache>
                <c:formatCode>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888F-054B-8F85-F812AC3BA1C8}"/>
            </c:ext>
          </c:extLst>
        </c:ser>
        <c:dLbls>
          <c:showLegendKey val="0"/>
          <c:showVal val="1"/>
          <c:showCatName val="0"/>
          <c:showSerName val="0"/>
          <c:showPercent val="0"/>
          <c:showBubbleSize val="0"/>
        </c:dLbls>
        <c:marker val="1"/>
        <c:smooth val="0"/>
        <c:axId val="191652992"/>
        <c:axId val="191654528"/>
      </c:lineChart>
      <c:catAx>
        <c:axId val="191652992"/>
        <c:scaling>
          <c:orientation val="minMax"/>
        </c:scaling>
        <c:delete val="0"/>
        <c:axPos val="b"/>
        <c:numFmt formatCode="0" sourceLinked="1"/>
        <c:majorTickMark val="none"/>
        <c:minorTickMark val="none"/>
        <c:tickLblPos val="nextTo"/>
        <c:crossAx val="191654528"/>
        <c:crosses val="autoZero"/>
        <c:auto val="1"/>
        <c:lblAlgn val="ctr"/>
        <c:lblOffset val="100"/>
        <c:noMultiLvlLbl val="0"/>
      </c:catAx>
      <c:valAx>
        <c:axId val="191654528"/>
        <c:scaling>
          <c:orientation val="minMax"/>
        </c:scaling>
        <c:delete val="0"/>
        <c:axPos val="l"/>
        <c:title>
          <c:tx>
            <c:strRef>
              <c:f>'Charts - Freight'!$F$239</c:f>
              <c:strCache>
                <c:ptCount val="1"/>
                <c:pt idx="0">
                  <c:v>Traffic unit per staff</c:v>
                </c:pt>
              </c:strCache>
            </c:strRef>
          </c:tx>
          <c:overlay val="0"/>
          <c:txPr>
            <a:bodyPr rot="-5400000" vert="horz"/>
            <a:lstStyle/>
            <a:p>
              <a:pPr>
                <a:defRPr/>
              </a:pPr>
              <a:endParaRPr lang="en-US"/>
            </a:p>
          </c:txPr>
        </c:title>
        <c:numFmt formatCode="_(* #,##0.00_);_(* \(#,##0.00\);_(* &quot;-&quot;??_);_(@_)" sourceLinked="1"/>
        <c:majorTickMark val="none"/>
        <c:minorTickMark val="none"/>
        <c:tickLblPos val="nextTo"/>
        <c:crossAx val="19165299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Staff productivity</a:t>
            </a:r>
          </a:p>
        </c:rich>
      </c:tx>
      <c:overlay val="0"/>
    </c:title>
    <c:autoTitleDeleted val="0"/>
    <c:plotArea>
      <c:layout/>
      <c:barChart>
        <c:barDir val="col"/>
        <c:grouping val="clustered"/>
        <c:varyColors val="0"/>
        <c:ser>
          <c:idx val="0"/>
          <c:order val="0"/>
          <c:tx>
            <c:strRef>
              <c:f>'Charts - Freight'!$B$248:$D$248</c:f>
              <c:strCache>
                <c:ptCount val="3"/>
                <c:pt idx="0">
                  <c:v>Average staff/track-km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[0]!Staffpertrackkm</c:f>
              <c:numCache>
                <c:formatCode>General</c:formatCode>
                <c:ptCount val="30"/>
                <c:pt idx="0">
                  <c:v>1</c:v>
                </c:pt>
                <c:pt idx="1">
                  <c:v>1</c:v>
                </c:pt>
                <c:pt idx="2">
                  <c:v>1</c:v>
                </c:pt>
                <c:pt idx="3">
                  <c:v>1.2</c:v>
                </c:pt>
                <c:pt idx="4">
                  <c:v>1.3333333333333333</c:v>
                </c:pt>
                <c:pt idx="5">
                  <c:v>1.3333333333333333</c:v>
                </c:pt>
                <c:pt idx="6">
                  <c:v>1.3333333333333333</c:v>
                </c:pt>
                <c:pt idx="7">
                  <c:v>1.3333333333333333</c:v>
                </c:pt>
                <c:pt idx="8">
                  <c:v>1.3333333333333333</c:v>
                </c:pt>
                <c:pt idx="9">
                  <c:v>1.3333333333333333</c:v>
                </c:pt>
                <c:pt idx="10">
                  <c:v>1.3333333333333333</c:v>
                </c:pt>
                <c:pt idx="11">
                  <c:v>1.3333333333333333</c:v>
                </c:pt>
                <c:pt idx="12">
                  <c:v>1.3333333333333333</c:v>
                </c:pt>
                <c:pt idx="13">
                  <c:v>1.3333333333333333</c:v>
                </c:pt>
                <c:pt idx="14">
                  <c:v>1.3333333333333333</c:v>
                </c:pt>
                <c:pt idx="15">
                  <c:v>1.3333333333333333</c:v>
                </c:pt>
                <c:pt idx="16">
                  <c:v>1.3333333333333333</c:v>
                </c:pt>
                <c:pt idx="17">
                  <c:v>1.3333333333333333</c:v>
                </c:pt>
                <c:pt idx="18">
                  <c:v>1.3333333333333333</c:v>
                </c:pt>
                <c:pt idx="19">
                  <c:v>1.3333333333333333</c:v>
                </c:pt>
                <c:pt idx="20">
                  <c:v>1.3333333333333333</c:v>
                </c:pt>
                <c:pt idx="21">
                  <c:v>1.3333333333333333</c:v>
                </c:pt>
                <c:pt idx="22">
                  <c:v>1.3333333333333333</c:v>
                </c:pt>
                <c:pt idx="23">
                  <c:v>1.3333333333333333</c:v>
                </c:pt>
                <c:pt idx="24">
                  <c:v>1.3333333333333333</c:v>
                </c:pt>
                <c:pt idx="25">
                  <c:v>1.3333333333333333</c:v>
                </c:pt>
                <c:pt idx="26">
                  <c:v>1.3333333333333333</c:v>
                </c:pt>
                <c:pt idx="27">
                  <c:v>1.3333333333333333</c:v>
                </c:pt>
                <c:pt idx="28">
                  <c:v>1.3333333333333333</c:v>
                </c:pt>
                <c:pt idx="29">
                  <c:v>1.3333333333333333</c:v>
                </c:pt>
              </c:numCache>
            </c:numRef>
          </c:val>
          <c:extLst>
            <c:ext xmlns:c16="http://schemas.microsoft.com/office/drawing/2014/chart" uri="{C3380CC4-5D6E-409C-BE32-E72D297353CC}">
              <c16:uniqueId val="{00000000-7B3B-2644-902B-515738DFAED1}"/>
            </c:ext>
          </c:extLst>
        </c:ser>
        <c:dLbls>
          <c:showLegendKey val="0"/>
          <c:showVal val="1"/>
          <c:showCatName val="0"/>
          <c:showSerName val="0"/>
          <c:showPercent val="0"/>
          <c:showBubbleSize val="0"/>
        </c:dLbls>
        <c:gapWidth val="75"/>
        <c:axId val="191676416"/>
        <c:axId val="191677952"/>
      </c:barChart>
      <c:lineChart>
        <c:grouping val="standard"/>
        <c:varyColors val="0"/>
        <c:ser>
          <c:idx val="1"/>
          <c:order val="1"/>
          <c:tx>
            <c:strRef>
              <c:f>'Charts - Freight'!$B$249:$D$249</c:f>
              <c:strCache>
                <c:ptCount val="3"/>
                <c:pt idx="0">
                  <c:v>EU railways</c:v>
                </c:pt>
              </c:strCache>
            </c:strRef>
          </c:tx>
          <c:marker>
            <c:symbol val="none"/>
          </c:marker>
          <c:dLbls>
            <c:delete val="1"/>
          </c:dLbls>
          <c:cat>
            <c:numRef>
              <c:f>'Charts - Freight'!$E$247:$AH$247</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[0]!Staffpertrackkmbenchmark</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7B3B-2644-902B-515738DFAED1}"/>
            </c:ext>
          </c:extLst>
        </c:ser>
        <c:dLbls>
          <c:showLegendKey val="0"/>
          <c:showVal val="1"/>
          <c:showCatName val="0"/>
          <c:showSerName val="0"/>
          <c:showPercent val="0"/>
          <c:showBubbleSize val="0"/>
        </c:dLbls>
        <c:marker val="1"/>
        <c:smooth val="0"/>
        <c:axId val="191676416"/>
        <c:axId val="191677952"/>
      </c:lineChart>
      <c:catAx>
        <c:axId val="191676416"/>
        <c:scaling>
          <c:orientation val="minMax"/>
        </c:scaling>
        <c:delete val="0"/>
        <c:axPos val="b"/>
        <c:numFmt formatCode="0" sourceLinked="1"/>
        <c:majorTickMark val="none"/>
        <c:minorTickMark val="none"/>
        <c:tickLblPos val="nextTo"/>
        <c:crossAx val="191677952"/>
        <c:crosses val="autoZero"/>
        <c:auto val="1"/>
        <c:lblAlgn val="ctr"/>
        <c:lblOffset val="100"/>
        <c:noMultiLvlLbl val="0"/>
      </c:catAx>
      <c:valAx>
        <c:axId val="191677952"/>
        <c:scaling>
          <c:orientation val="minMax"/>
        </c:scaling>
        <c:delete val="0"/>
        <c:axPos val="l"/>
        <c:title>
          <c:tx>
            <c:strRef>
              <c:f>'Charts - Freight'!$F$246</c:f>
              <c:strCache>
                <c:ptCount val="1"/>
                <c:pt idx="0">
                  <c:v>Staff per track-km</c:v>
                </c:pt>
              </c:strCache>
            </c:strRef>
          </c:tx>
          <c:overlay val="0"/>
          <c:txPr>
            <a:bodyPr rot="-5400000" vert="horz"/>
            <a:lstStyle/>
            <a:p>
              <a:pPr>
                <a:defRPr/>
              </a:pPr>
              <a:endParaRPr lang="en-US"/>
            </a:p>
          </c:txPr>
        </c:title>
        <c:numFmt formatCode="General" sourceLinked="1"/>
        <c:majorTickMark val="none"/>
        <c:minorTickMark val="none"/>
        <c:tickLblPos val="nextTo"/>
        <c:crossAx val="191676416"/>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 intensity</a:t>
            </a:r>
          </a:p>
        </c:rich>
      </c:tx>
      <c:layout>
        <c:manualLayout>
          <c:xMode val="edge"/>
          <c:yMode val="edge"/>
          <c:x val="0.42911650387966316"/>
          <c:y val="3.24074074074088E-2"/>
        </c:manualLayout>
      </c:layout>
      <c:overlay val="0"/>
    </c:title>
    <c:autoTitleDeleted val="0"/>
    <c:plotArea>
      <c:layout/>
      <c:barChart>
        <c:barDir val="col"/>
        <c:grouping val="clustered"/>
        <c:varyColors val="0"/>
        <c:ser>
          <c:idx val="0"/>
          <c:order val="0"/>
          <c:tx>
            <c:strRef>
              <c:f>'Charts - Freight'!$B$255:$D$255</c:f>
              <c:strCache>
                <c:ptCount val="3"/>
                <c:pt idx="0">
                  <c:v>Traffic units per track-km</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[0]!TUpertrackkm</c:f>
              <c:numCache>
                <c:formatCode>_(* #,##0.00_);_(* \(#,##0.00\);_(* "-"??_);_(@_)</c:formatCode>
                <c:ptCount val="30"/>
                <c:pt idx="0">
                  <c:v>2.7333333333333334</c:v>
                </c:pt>
                <c:pt idx="1">
                  <c:v>2.6666666666666665</c:v>
                </c:pt>
                <c:pt idx="2">
                  <c:v>2.6666666666666665</c:v>
                </c:pt>
                <c:pt idx="3">
                  <c:v>2.6666666666666665</c:v>
                </c:pt>
                <c:pt idx="4">
                  <c:v>2.6666666666666665</c:v>
                </c:pt>
                <c:pt idx="5">
                  <c:v>2.6666666666666665</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numCache>
            </c:numRef>
          </c:val>
          <c:extLst>
            <c:ext xmlns:c16="http://schemas.microsoft.com/office/drawing/2014/chart" uri="{C3380CC4-5D6E-409C-BE32-E72D297353CC}">
              <c16:uniqueId val="{00000000-A19B-4D44-881C-65465ED2F416}"/>
            </c:ext>
          </c:extLst>
        </c:ser>
        <c:dLbls>
          <c:showLegendKey val="0"/>
          <c:showVal val="0"/>
          <c:showCatName val="0"/>
          <c:showSerName val="0"/>
          <c:showPercent val="0"/>
          <c:showBubbleSize val="0"/>
        </c:dLbls>
        <c:gapWidth val="150"/>
        <c:axId val="197094016"/>
        <c:axId val="197099904"/>
      </c:barChart>
      <c:lineChart>
        <c:grouping val="standard"/>
        <c:varyColors val="0"/>
        <c:ser>
          <c:idx val="1"/>
          <c:order val="1"/>
          <c:tx>
            <c:strRef>
              <c:f>'Charts - Freight'!$B$256:$D$256</c:f>
              <c:strCache>
                <c:ptCount val="3"/>
                <c:pt idx="0">
                  <c:v>EU railways</c:v>
                </c:pt>
              </c:strCache>
            </c:strRef>
          </c:tx>
          <c:marker>
            <c:symbol val="none"/>
          </c:marker>
          <c:cat>
            <c:numRef>
              <c:f>'Charts - Freight'!$E$254:$AH$254</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[0]!TUpertrackkmbenchmark</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A19B-4D44-881C-65465ED2F416}"/>
            </c:ext>
          </c:extLst>
        </c:ser>
        <c:dLbls>
          <c:showLegendKey val="0"/>
          <c:showVal val="0"/>
          <c:showCatName val="0"/>
          <c:showSerName val="0"/>
          <c:showPercent val="0"/>
          <c:showBubbleSize val="0"/>
        </c:dLbls>
        <c:marker val="1"/>
        <c:smooth val="0"/>
        <c:axId val="197094016"/>
        <c:axId val="197099904"/>
      </c:lineChart>
      <c:catAx>
        <c:axId val="197094016"/>
        <c:scaling>
          <c:orientation val="minMax"/>
        </c:scaling>
        <c:delete val="0"/>
        <c:axPos val="b"/>
        <c:numFmt formatCode="0" sourceLinked="1"/>
        <c:majorTickMark val="out"/>
        <c:minorTickMark val="none"/>
        <c:tickLblPos val="nextTo"/>
        <c:crossAx val="197099904"/>
        <c:crosses val="autoZero"/>
        <c:auto val="1"/>
        <c:lblAlgn val="ctr"/>
        <c:lblOffset val="100"/>
        <c:noMultiLvlLbl val="0"/>
      </c:catAx>
      <c:valAx>
        <c:axId val="197099904"/>
        <c:scaling>
          <c:orientation val="minMax"/>
        </c:scaling>
        <c:delete val="0"/>
        <c:axPos val="l"/>
        <c:title>
          <c:tx>
            <c:rich>
              <a:bodyPr rot="-5400000" vert="horz"/>
              <a:lstStyle/>
              <a:p>
                <a:pPr>
                  <a:defRPr/>
                </a:pPr>
                <a:r>
                  <a:rPr lang="en-US"/>
                  <a:t>Million traffic units per track-km</a:t>
                </a:r>
              </a:p>
            </c:rich>
          </c:tx>
          <c:overlay val="0"/>
        </c:title>
        <c:numFmt formatCode="_(* #,##0.00_);_(* \(#,##0.00\);_(* &quot;-&quot;??_);_(@_)" sourceLinked="1"/>
        <c:majorTickMark val="out"/>
        <c:minorTickMark val="none"/>
        <c:tickLblPos val="nextTo"/>
        <c:crossAx val="197094016"/>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overlay val="0"/>
    </c:title>
    <c:autoTitleDeleted val="0"/>
    <c:plotArea>
      <c:layout/>
      <c:barChart>
        <c:barDir val="col"/>
        <c:grouping val="clustered"/>
        <c:varyColors val="0"/>
        <c:ser>
          <c:idx val="0"/>
          <c:order val="0"/>
          <c:tx>
            <c:strRef>
              <c:f>'Charts - Freight'!$B$216:$D$216</c:f>
              <c:strCache>
                <c:ptCount val="3"/>
                <c:pt idx="0">
                  <c:v>Capital expenditure</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[0]!Capex</c:f>
              <c:numCache>
                <c:formatCode>General</c:formatCode>
                <c:ptCount val="30"/>
                <c:pt idx="0">
                  <c:v>0</c:v>
                </c:pt>
                <c:pt idx="1">
                  <c:v>125</c:v>
                </c:pt>
                <c:pt idx="2">
                  <c:v>280</c:v>
                </c:pt>
                <c:pt idx="3">
                  <c:v>280</c:v>
                </c:pt>
                <c:pt idx="4">
                  <c:v>280</c:v>
                </c:pt>
                <c:pt idx="5">
                  <c:v>280</c:v>
                </c:pt>
                <c:pt idx="6">
                  <c:v>280</c:v>
                </c:pt>
                <c:pt idx="7">
                  <c:v>280</c:v>
                </c:pt>
                <c:pt idx="8">
                  <c:v>280</c:v>
                </c:pt>
                <c:pt idx="9">
                  <c:v>280</c:v>
                </c:pt>
                <c:pt idx="10">
                  <c:v>280</c:v>
                </c:pt>
                <c:pt idx="11">
                  <c:v>280</c:v>
                </c:pt>
                <c:pt idx="12">
                  <c:v>280</c:v>
                </c:pt>
                <c:pt idx="13">
                  <c:v>280</c:v>
                </c:pt>
                <c:pt idx="14">
                  <c:v>280</c:v>
                </c:pt>
                <c:pt idx="15">
                  <c:v>280</c:v>
                </c:pt>
                <c:pt idx="16">
                  <c:v>280</c:v>
                </c:pt>
                <c:pt idx="17">
                  <c:v>280</c:v>
                </c:pt>
                <c:pt idx="18">
                  <c:v>280</c:v>
                </c:pt>
                <c:pt idx="19">
                  <c:v>280</c:v>
                </c:pt>
                <c:pt idx="20">
                  <c:v>280</c:v>
                </c:pt>
                <c:pt idx="21">
                  <c:v>280</c:v>
                </c:pt>
                <c:pt idx="22">
                  <c:v>280</c:v>
                </c:pt>
                <c:pt idx="23">
                  <c:v>280</c:v>
                </c:pt>
                <c:pt idx="24">
                  <c:v>280</c:v>
                </c:pt>
                <c:pt idx="25">
                  <c:v>280</c:v>
                </c:pt>
                <c:pt idx="26">
                  <c:v>280</c:v>
                </c:pt>
                <c:pt idx="27">
                  <c:v>280</c:v>
                </c:pt>
                <c:pt idx="28">
                  <c:v>280</c:v>
                </c:pt>
                <c:pt idx="29">
                  <c:v>280</c:v>
                </c:pt>
              </c:numCache>
            </c:numRef>
          </c:val>
          <c:extLst>
            <c:ext xmlns:c16="http://schemas.microsoft.com/office/drawing/2014/chart" uri="{C3380CC4-5D6E-409C-BE32-E72D297353CC}">
              <c16:uniqueId val="{00000000-8179-3A4C-8E78-6945CAFA988D}"/>
            </c:ext>
          </c:extLst>
        </c:ser>
        <c:dLbls>
          <c:showLegendKey val="0"/>
          <c:showVal val="0"/>
          <c:showCatName val="0"/>
          <c:showSerName val="0"/>
          <c:showPercent val="0"/>
          <c:showBubbleSize val="0"/>
        </c:dLbls>
        <c:gapWidth val="150"/>
        <c:axId val="197107072"/>
        <c:axId val="197129344"/>
      </c:barChart>
      <c:catAx>
        <c:axId val="197107072"/>
        <c:scaling>
          <c:orientation val="minMax"/>
        </c:scaling>
        <c:delete val="0"/>
        <c:axPos val="b"/>
        <c:numFmt formatCode="0" sourceLinked="1"/>
        <c:majorTickMark val="out"/>
        <c:minorTickMark val="none"/>
        <c:tickLblPos val="nextTo"/>
        <c:crossAx val="197129344"/>
        <c:crosses val="autoZero"/>
        <c:auto val="1"/>
        <c:lblAlgn val="ctr"/>
        <c:lblOffset val="100"/>
        <c:noMultiLvlLbl val="0"/>
      </c:catAx>
      <c:valAx>
        <c:axId val="197129344"/>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General" sourceLinked="1"/>
        <c:majorTickMark val="out"/>
        <c:minorTickMark val="none"/>
        <c:tickLblPos val="nextTo"/>
        <c:crossAx val="197107072"/>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f>
              <c:numCache>
                <c:formatCode>_(* #,##0_);_(* \(#,##0\);_(* "-"??_);_(@_)</c:formatCode>
                <c:ptCount val="30"/>
                <c:pt idx="0">
                  <c:v>0</c:v>
                </c:pt>
                <c:pt idx="1">
                  <c:v>16477.046970629839</c:v>
                </c:pt>
                <c:pt idx="2">
                  <c:v>16944.906106330964</c:v>
                </c:pt>
                <c:pt idx="3">
                  <c:v>17454.71630941844</c:v>
                </c:pt>
                <c:pt idx="4">
                  <c:v>18023.968362515534</c:v>
                </c:pt>
                <c:pt idx="5">
                  <c:v>18710.88325055912</c:v>
                </c:pt>
                <c:pt idx="6">
                  <c:v>21458.625322478765</c:v>
                </c:pt>
                <c:pt idx="7">
                  <c:v>22761.486554495768</c:v>
                </c:pt>
                <c:pt idx="8">
                  <c:v>23652.992656286791</c:v>
                </c:pt>
                <c:pt idx="9">
                  <c:v>24571.946970394922</c:v>
                </c:pt>
                <c:pt idx="10">
                  <c:v>25187.393534388364</c:v>
                </c:pt>
                <c:pt idx="11">
                  <c:v>26058.742542487147</c:v>
                </c:pt>
                <c:pt idx="12">
                  <c:v>26978.603549357798</c:v>
                </c:pt>
                <c:pt idx="13">
                  <c:v>27926.463651523321</c:v>
                </c:pt>
                <c:pt idx="14">
                  <c:v>28903.145321344196</c:v>
                </c:pt>
                <c:pt idx="15">
                  <c:v>29909.495003098731</c:v>
                </c:pt>
                <c:pt idx="16">
                  <c:v>30942.140062597857</c:v>
                </c:pt>
                <c:pt idx="17">
                  <c:v>31998.270886166159</c:v>
                </c:pt>
                <c:pt idx="18">
                  <c:v>33093.080826531412</c:v>
                </c:pt>
                <c:pt idx="19">
                  <c:v>34227.178073291288</c:v>
                </c:pt>
                <c:pt idx="20">
                  <c:v>35395.561813758432</c:v>
                </c:pt>
                <c:pt idx="21">
                  <c:v>36598.397775231439</c:v>
                </c:pt>
                <c:pt idx="22">
                  <c:v>37838.391171029165</c:v>
                </c:pt>
                <c:pt idx="23">
                  <c:v>39115.776924376565</c:v>
                </c:pt>
                <c:pt idx="24">
                  <c:v>40431.651292758943</c:v>
                </c:pt>
                <c:pt idx="25">
                  <c:v>41787.142487594814</c:v>
                </c:pt>
                <c:pt idx="26">
                  <c:v>43183.411605941845</c:v>
                </c:pt>
                <c:pt idx="27">
                  <c:v>44621.653589363239</c:v>
                </c:pt>
                <c:pt idx="28">
                  <c:v>46103.098210758559</c:v>
                </c:pt>
                <c:pt idx="29">
                  <c:v>47629.011089983949</c:v>
                </c:pt>
              </c:numCache>
            </c:numRef>
          </c:val>
          <c:extLst>
            <c:ext xmlns:c16="http://schemas.microsoft.com/office/drawing/2014/chart" uri="{C3380CC4-5D6E-409C-BE32-E72D297353CC}">
              <c16:uniqueId val="{00000000-21F2-4F4F-9E1E-079A80F5C27B}"/>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f>
              <c:numCache>
                <c:formatCode>_(* #,##0_);_(* \(#,##0\);_(* "-"??_);_(@_)</c:formatCode>
                <c:ptCount val="30"/>
                <c:pt idx="0">
                  <c:v>0</c:v>
                </c:pt>
                <c:pt idx="1">
                  <c:v>-105</c:v>
                </c:pt>
                <c:pt idx="2">
                  <c:v>-260</c:v>
                </c:pt>
                <c:pt idx="3">
                  <c:v>-260</c:v>
                </c:pt>
                <c:pt idx="4">
                  <c:v>-260</c:v>
                </c:pt>
                <c:pt idx="5">
                  <c:v>-260</c:v>
                </c:pt>
                <c:pt idx="6">
                  <c:v>-260</c:v>
                </c:pt>
                <c:pt idx="7">
                  <c:v>-260</c:v>
                </c:pt>
                <c:pt idx="8">
                  <c:v>-260</c:v>
                </c:pt>
                <c:pt idx="9">
                  <c:v>-260</c:v>
                </c:pt>
                <c:pt idx="10">
                  <c:v>-260</c:v>
                </c:pt>
                <c:pt idx="11">
                  <c:v>-260</c:v>
                </c:pt>
                <c:pt idx="12">
                  <c:v>-260</c:v>
                </c:pt>
                <c:pt idx="13">
                  <c:v>-260</c:v>
                </c:pt>
                <c:pt idx="14">
                  <c:v>-260</c:v>
                </c:pt>
                <c:pt idx="15">
                  <c:v>-260</c:v>
                </c:pt>
                <c:pt idx="16">
                  <c:v>-260</c:v>
                </c:pt>
                <c:pt idx="17">
                  <c:v>-260</c:v>
                </c:pt>
                <c:pt idx="18">
                  <c:v>-260</c:v>
                </c:pt>
                <c:pt idx="19">
                  <c:v>-260</c:v>
                </c:pt>
                <c:pt idx="20">
                  <c:v>-260</c:v>
                </c:pt>
                <c:pt idx="21">
                  <c:v>-260</c:v>
                </c:pt>
                <c:pt idx="22">
                  <c:v>-260</c:v>
                </c:pt>
                <c:pt idx="23">
                  <c:v>-260</c:v>
                </c:pt>
                <c:pt idx="24">
                  <c:v>-260</c:v>
                </c:pt>
                <c:pt idx="25">
                  <c:v>-260</c:v>
                </c:pt>
                <c:pt idx="26">
                  <c:v>-260</c:v>
                </c:pt>
                <c:pt idx="27">
                  <c:v>-260</c:v>
                </c:pt>
                <c:pt idx="28">
                  <c:v>-260</c:v>
                </c:pt>
                <c:pt idx="29">
                  <c:v>-260</c:v>
                </c:pt>
              </c:numCache>
            </c:numRef>
          </c:val>
          <c:extLst>
            <c:ext xmlns:c16="http://schemas.microsoft.com/office/drawing/2014/chart" uri="{C3380CC4-5D6E-409C-BE32-E72D297353CC}">
              <c16:uniqueId val="{00000001-21F2-4F4F-9E1E-079A80F5C27B}"/>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c:f>
              <c:numCache>
                <c:formatCode>_(* #,##0_);_(* \(#,##0\);_(* "-"??_);_(@_)</c:formatCode>
                <c:ptCount val="30"/>
                <c:pt idx="0">
                  <c:v>0</c:v>
                </c:pt>
                <c:pt idx="1">
                  <c:v>-17.5</c:v>
                </c:pt>
                <c:pt idx="2">
                  <c:v>52.5</c:v>
                </c:pt>
                <c:pt idx="3">
                  <c:v>65</c:v>
                </c:pt>
                <c:pt idx="4">
                  <c:v>65</c:v>
                </c:pt>
                <c:pt idx="5">
                  <c:v>65</c:v>
                </c:pt>
                <c:pt idx="6">
                  <c:v>65</c:v>
                </c:pt>
                <c:pt idx="7">
                  <c:v>-30</c:v>
                </c:pt>
                <c:pt idx="8">
                  <c:v>-30</c:v>
                </c:pt>
                <c:pt idx="9">
                  <c:v>-30</c:v>
                </c:pt>
                <c:pt idx="10">
                  <c:v>-30</c:v>
                </c:pt>
                <c:pt idx="11">
                  <c:v>0</c:v>
                </c:pt>
                <c:pt idx="12">
                  <c:v>0</c:v>
                </c:pt>
                <c:pt idx="13">
                  <c:v>0</c:v>
                </c:pt>
                <c:pt idx="14">
                  <c:v>0</c:v>
                </c:pt>
                <c:pt idx="15">
                  <c:v>0</c:v>
                </c:pt>
                <c:pt idx="16">
                  <c:v>-425</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21F2-4F4F-9E1E-079A80F5C27B}"/>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21F2-4F4F-9E1E-079A80F5C27B}"/>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c:f>
              <c:numCache>
                <c:formatCode>_(* #,##0_);_(* \(#,##0\);_(* "-"??_);_(@_)</c:formatCode>
                <c:ptCount val="30"/>
                <c:pt idx="0">
                  <c:v>0</c:v>
                </c:pt>
                <c:pt idx="1">
                  <c:v>-12.849999999999998</c:v>
                </c:pt>
                <c:pt idx="2">
                  <c:v>-16.436749999999989</c:v>
                </c:pt>
                <c:pt idx="3">
                  <c:v>-19.229249999999979</c:v>
                </c:pt>
                <c:pt idx="4">
                  <c:v>-23.421875</c:v>
                </c:pt>
                <c:pt idx="5">
                  <c:v>-27.439000000000078</c:v>
                </c:pt>
                <c:pt idx="6">
                  <c:v>-31.326749999999947</c:v>
                </c:pt>
                <c:pt idx="7">
                  <c:v>-32.479374999999891</c:v>
                </c:pt>
                <c:pt idx="8">
                  <c:v>-31.020625000000109</c:v>
                </c:pt>
                <c:pt idx="9">
                  <c:v>-29.410624999999982</c:v>
                </c:pt>
                <c:pt idx="10">
                  <c:v>-26.21875</c:v>
                </c:pt>
                <c:pt idx="11">
                  <c:v>-25.25</c:v>
                </c:pt>
                <c:pt idx="12">
                  <c:v>-25.25</c:v>
                </c:pt>
                <c:pt idx="13">
                  <c:v>-25.25</c:v>
                </c:pt>
                <c:pt idx="14">
                  <c:v>-25.25</c:v>
                </c:pt>
                <c:pt idx="15">
                  <c:v>-25.25</c:v>
                </c:pt>
                <c:pt idx="16">
                  <c:v>-13.125</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extLst>
            <c:ext xmlns:c16="http://schemas.microsoft.com/office/drawing/2014/chart" uri="{C3380CC4-5D6E-409C-BE32-E72D297353CC}">
              <c16:uniqueId val="{00000004-21F2-4F4F-9E1E-079A80F5C27B}"/>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c:f>
              <c:numCache>
                <c:formatCode>_(* #,##0_);_(* \(#,##0\);_(* "-"??_);_(@_)</c:formatCode>
                <c:ptCount val="30"/>
                <c:pt idx="0">
                  <c:v>0</c:v>
                </c:pt>
                <c:pt idx="1">
                  <c:v>-11446.397879440887</c:v>
                </c:pt>
                <c:pt idx="2">
                  <c:v>-11712.104849431673</c:v>
                </c:pt>
                <c:pt idx="3">
                  <c:v>-12075.990030592908</c:v>
                </c:pt>
                <c:pt idx="4">
                  <c:v>-12471.761102930872</c:v>
                </c:pt>
                <c:pt idx="5">
                  <c:v>-12950.025893911483</c:v>
                </c:pt>
                <c:pt idx="6">
                  <c:v>-14870.967366810839</c:v>
                </c:pt>
                <c:pt idx="7">
                  <c:v>-15715.914142705011</c:v>
                </c:pt>
                <c:pt idx="8">
                  <c:v>-16341.247812470465</c:v>
                </c:pt>
                <c:pt idx="9">
                  <c:v>-16985.908854063247</c:v>
                </c:pt>
                <c:pt idx="10">
                  <c:v>-17419.229763727264</c:v>
                </c:pt>
                <c:pt idx="11">
                  <c:v>-18051.134416836074</c:v>
                </c:pt>
                <c:pt idx="12">
                  <c:v>-18695.327810758379</c:v>
                </c:pt>
                <c:pt idx="13">
                  <c:v>-19359.129292060486</c:v>
                </c:pt>
                <c:pt idx="14">
                  <c:v>-20043.114853014922</c:v>
                </c:pt>
                <c:pt idx="15">
                  <c:v>-20747.877274085316</c:v>
                </c:pt>
                <c:pt idx="16">
                  <c:v>-21182.043488892188</c:v>
                </c:pt>
                <c:pt idx="17">
                  <c:v>-22227.659553742211</c:v>
                </c:pt>
                <c:pt idx="18">
                  <c:v>-22994.373610000664</c:v>
                </c:pt>
                <c:pt idx="19">
                  <c:v>-23788.59919367544</c:v>
                </c:pt>
                <c:pt idx="20">
                  <c:v>-24606.836048273588</c:v>
                </c:pt>
                <c:pt idx="21">
                  <c:v>-25449.200504663972</c:v>
                </c:pt>
                <c:pt idx="22">
                  <c:v>-26317.586543582442</c:v>
                </c:pt>
                <c:pt idx="23">
                  <c:v>-27212.158952641479</c:v>
                </c:pt>
                <c:pt idx="24">
                  <c:v>-28133.685463676484</c:v>
                </c:pt>
                <c:pt idx="25">
                  <c:v>-29082.956186823943</c:v>
                </c:pt>
                <c:pt idx="26">
                  <c:v>-30060.784263032096</c:v>
                </c:pt>
                <c:pt idx="27">
                  <c:v>-31068.006535593257</c:v>
                </c:pt>
                <c:pt idx="28">
                  <c:v>-32105.484241261151</c:v>
                </c:pt>
                <c:pt idx="29">
                  <c:v>-33174.103721530824</c:v>
                </c:pt>
              </c:numCache>
            </c:numRef>
          </c:val>
          <c:extLst>
            <c:ext xmlns:c16="http://schemas.microsoft.com/office/drawing/2014/chart" uri="{C3380CC4-5D6E-409C-BE32-E72D297353CC}">
              <c16:uniqueId val="{00000005-21F2-4F4F-9E1E-079A80F5C27B}"/>
            </c:ext>
          </c:extLst>
        </c:ser>
        <c:dLbls>
          <c:showLegendKey val="0"/>
          <c:showVal val="0"/>
          <c:showCatName val="0"/>
          <c:showSerName val="0"/>
          <c:showPercent val="0"/>
          <c:showBubbleSize val="0"/>
        </c:dLbls>
        <c:gapWidth val="150"/>
        <c:overlap val="100"/>
        <c:axId val="197198592"/>
        <c:axId val="197200128"/>
      </c:barChart>
      <c:catAx>
        <c:axId val="197198592"/>
        <c:scaling>
          <c:orientation val="minMax"/>
        </c:scaling>
        <c:delete val="0"/>
        <c:axPos val="b"/>
        <c:numFmt formatCode="0" sourceLinked="1"/>
        <c:majorTickMark val="out"/>
        <c:minorTickMark val="none"/>
        <c:tickLblPos val="nextTo"/>
        <c:crossAx val="197200128"/>
        <c:crosses val="autoZero"/>
        <c:auto val="1"/>
        <c:lblAlgn val="ctr"/>
        <c:lblOffset val="100"/>
        <c:noMultiLvlLbl val="0"/>
      </c:catAx>
      <c:valAx>
        <c:axId val="197200128"/>
        <c:scaling>
          <c:orientation val="minMax"/>
        </c:scaling>
        <c:delete val="0"/>
        <c:axPos val="l"/>
        <c:numFmt formatCode="_(* #,##0_);_(* \(#,##0\);_(* &quot;-&quot;??_);_(@_)" sourceLinked="1"/>
        <c:majorTickMark val="out"/>
        <c:minorTickMark val="none"/>
        <c:tickLblPos val="nextTo"/>
        <c:crossAx val="197198592"/>
        <c:crosses val="autoZero"/>
        <c:crossBetween val="between"/>
        <c:dispUnits>
          <c:builtInUnit val="thousands"/>
          <c:dispUnitsLbl>
            <c:layout>
              <c:manualLayout>
                <c:xMode val="edge"/>
                <c:yMode val="edge"/>
                <c:x val="1.5048908954100828E-2"/>
                <c:y val="0.41308122035205541"/>
              </c:manualLayout>
            </c:layout>
            <c:tx>
              <c:strRef>
                <c:f>'Charts - Freight'!$E$134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'Charts - Freight'!$I$185</c:f>
          <c:strCache>
            <c:ptCount val="1"/>
            <c:pt idx="0">
              <c:v>Freight track access charge</c:v>
            </c:pt>
          </c:strCache>
        </c:strRef>
      </c:tx>
      <c:overlay val="0"/>
      <c:txPr>
        <a:bodyPr/>
        <a:lstStyle/>
        <a:p>
          <a:pPr>
            <a:defRPr/>
          </a:pPr>
          <a:endParaRPr lang="en-US"/>
        </a:p>
      </c:txPr>
    </c:title>
    <c:autoTitleDeleted val="0"/>
    <c:plotArea>
      <c:layout/>
      <c:barChart>
        <c:barDir val="col"/>
        <c:grouping val="clustered"/>
        <c:varyColors val="0"/>
        <c:ser>
          <c:idx val="2"/>
          <c:order val="2"/>
          <c:tx>
            <c:strRef>
              <c:f>'Charts - Freight'!$B$190</c:f>
              <c:strCache>
                <c:ptCount val="1"/>
                <c:pt idx="0">
                  <c:v>Total charges</c:v>
                </c:pt>
              </c:strCache>
            </c:strRef>
          </c:tx>
          <c:invertIfNegative val="0"/>
          <c:dLbls>
            <c:delete val="1"/>
          </c:dLbls>
          <c:cat>
            <c:numRef>
              <c:f>'Charts - Freight'!$E$187:$AH$187</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[0]!tacchargesfreight</c:f>
              <c:numCache>
                <c:formatCode>_(* #,##0_);_(* \(#,##0\);_(* "-"??_);_(@_)</c:formatCode>
                <c:ptCount val="30"/>
                <c:pt idx="0">
                  <c:v>25162.500000000004</c:v>
                </c:pt>
                <c:pt idx="1">
                  <c:v>25600.775609756103</c:v>
                </c:pt>
                <c:pt idx="2">
                  <c:v>26368.798878048783</c:v>
                </c:pt>
                <c:pt idx="3">
                  <c:v>27159.862844390249</c:v>
                </c:pt>
                <c:pt idx="4">
                  <c:v>27974.658729721959</c:v>
                </c:pt>
                <c:pt idx="5">
                  <c:v>28813.898491613618</c:v>
                </c:pt>
                <c:pt idx="6">
                  <c:v>33388.104877157268</c:v>
                </c:pt>
                <c:pt idx="7">
                  <c:v>34389.748023471991</c:v>
                </c:pt>
                <c:pt idx="8">
                  <c:v>35421.440464176165</c:v>
                </c:pt>
                <c:pt idx="9">
                  <c:v>36484.083678101444</c:v>
                </c:pt>
                <c:pt idx="10">
                  <c:v>37578.606188444479</c:v>
                </c:pt>
                <c:pt idx="11">
                  <c:v>38705.964374097821</c:v>
                </c:pt>
                <c:pt idx="12">
                  <c:v>39867.143305320758</c:v>
                </c:pt>
                <c:pt idx="13">
                  <c:v>41063.157604480381</c:v>
                </c:pt>
                <c:pt idx="14">
                  <c:v>42295.052332614796</c:v>
                </c:pt>
                <c:pt idx="15">
                  <c:v>43563.903902593236</c:v>
                </c:pt>
                <c:pt idx="16">
                  <c:v>44870.821019671035</c:v>
                </c:pt>
                <c:pt idx="17">
                  <c:v>46216.945650261172</c:v>
                </c:pt>
                <c:pt idx="18">
                  <c:v>47603.454019769008</c:v>
                </c:pt>
                <c:pt idx="19">
                  <c:v>49031.55764036208</c:v>
                </c:pt>
                <c:pt idx="20">
                  <c:v>50502.504369572955</c:v>
                </c:pt>
                <c:pt idx="21">
                  <c:v>52017.57950066014</c:v>
                </c:pt>
                <c:pt idx="22">
                  <c:v>53578.106885679939</c:v>
                </c:pt>
                <c:pt idx="23">
                  <c:v>55185.45009225035</c:v>
                </c:pt>
                <c:pt idx="24">
                  <c:v>56841.013595017866</c:v>
                </c:pt>
                <c:pt idx="25">
                  <c:v>58546.244002868392</c:v>
                </c:pt>
                <c:pt idx="26">
                  <c:v>60302.631322954447</c:v>
                </c:pt>
                <c:pt idx="27">
                  <c:v>62111.710262643086</c:v>
                </c:pt>
                <c:pt idx="28">
                  <c:v>63975.061570522375</c:v>
                </c:pt>
                <c:pt idx="29">
                  <c:v>65894.313417638055</c:v>
                </c:pt>
              </c:numCache>
            </c:numRef>
          </c:val>
          <c:extLst>
            <c:ext xmlns:c16="http://schemas.microsoft.com/office/drawing/2014/chart" uri="{C3380CC4-5D6E-409C-BE32-E72D297353CC}">
              <c16:uniqueId val="{00000000-1D23-694A-B3E6-A523E336B6EF}"/>
            </c:ext>
          </c:extLst>
        </c:ser>
        <c:dLbls>
          <c:showLegendKey val="0"/>
          <c:showVal val="1"/>
          <c:showCatName val="0"/>
          <c:showSerName val="0"/>
          <c:showPercent val="0"/>
          <c:showBubbleSize val="0"/>
        </c:dLbls>
        <c:gapWidth val="75"/>
        <c:axId val="197240320"/>
        <c:axId val="197241856"/>
      </c:barChart>
      <c:lineChart>
        <c:grouping val="standard"/>
        <c:varyColors val="0"/>
        <c:ser>
          <c:idx val="0"/>
          <c:order val="0"/>
          <c:tx>
            <c:strRef>
              <c:f>'Charts - Freight'!$B$188:$D$188</c:f>
              <c:strCache>
                <c:ptCount val="3"/>
                <c:pt idx="0">
                  <c:v>R$ per GTK</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[0]!TACGTK</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smooth val="0"/>
          <c:extLst>
            <c:ext xmlns:c16="http://schemas.microsoft.com/office/drawing/2014/chart" uri="{C3380CC4-5D6E-409C-BE32-E72D297353CC}">
              <c16:uniqueId val="{00000001-1D23-694A-B3E6-A523E336B6EF}"/>
            </c:ext>
          </c:extLst>
        </c:ser>
        <c:ser>
          <c:idx val="1"/>
          <c:order val="1"/>
          <c:tx>
            <c:strRef>
              <c:f>'Charts - Freight'!$B$189:$D$189</c:f>
              <c:strCache>
                <c:ptCount val="3"/>
                <c:pt idx="0">
                  <c:v>R$ per train-km</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[0]!TACTrainkm</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smooth val="0"/>
          <c:extLst>
            <c:ext xmlns:c16="http://schemas.microsoft.com/office/drawing/2014/chart" uri="{C3380CC4-5D6E-409C-BE32-E72D297353CC}">
              <c16:uniqueId val="{00000002-1D23-694A-B3E6-A523E336B6EF}"/>
            </c:ext>
          </c:extLst>
        </c:ser>
        <c:dLbls>
          <c:showLegendKey val="0"/>
          <c:showVal val="0"/>
          <c:showCatName val="0"/>
          <c:showSerName val="0"/>
          <c:showPercent val="0"/>
          <c:showBubbleSize val="0"/>
        </c:dLbls>
        <c:marker val="1"/>
        <c:smooth val="0"/>
        <c:axId val="197250048"/>
        <c:axId val="197248128"/>
      </c:lineChart>
      <c:catAx>
        <c:axId val="197240320"/>
        <c:scaling>
          <c:orientation val="minMax"/>
        </c:scaling>
        <c:delete val="0"/>
        <c:axPos val="b"/>
        <c:numFmt formatCode="0" sourceLinked="1"/>
        <c:majorTickMark val="none"/>
        <c:minorTickMark val="none"/>
        <c:tickLblPos val="nextTo"/>
        <c:txPr>
          <a:bodyPr rot="2700000"/>
          <a:lstStyle/>
          <a:p>
            <a:pPr>
              <a:defRPr/>
            </a:pPr>
            <a:endParaRPr lang="en-US"/>
          </a:p>
        </c:txPr>
        <c:crossAx val="197241856"/>
        <c:crosses val="autoZero"/>
        <c:auto val="1"/>
        <c:lblAlgn val="ctr"/>
        <c:lblOffset val="100"/>
        <c:noMultiLvlLbl val="0"/>
      </c:catAx>
      <c:valAx>
        <c:axId val="197241856"/>
        <c:scaling>
          <c:orientation val="minMax"/>
        </c:scaling>
        <c:delete val="0"/>
        <c:axPos val="l"/>
        <c:title>
          <c:tx>
            <c:strRef>
              <c:f>'Charts - Freight'!$M$185</c:f>
              <c:strCache>
                <c:ptCount val="1"/>
                <c:pt idx="0">
                  <c:v>R$ millions</c:v>
                </c:pt>
              </c:strCache>
            </c:strRef>
          </c:tx>
          <c:overlay val="0"/>
          <c:txPr>
            <a:bodyPr rot="-5400000" vert="horz"/>
            <a:lstStyle/>
            <a:p>
              <a:pPr>
                <a:defRPr/>
              </a:pPr>
              <a:endParaRPr lang="en-US"/>
            </a:p>
          </c:txPr>
        </c:title>
        <c:numFmt formatCode="_(* #,##0_);_(* \(#,##0\);_(* &quot;-&quot;??_);_(@_)" sourceLinked="1"/>
        <c:majorTickMark val="none"/>
        <c:minorTickMark val="none"/>
        <c:tickLblPos val="nextTo"/>
        <c:crossAx val="197240320"/>
        <c:crosses val="autoZero"/>
        <c:crossBetween val="between"/>
      </c:valAx>
      <c:valAx>
        <c:axId val="197248128"/>
        <c:scaling>
          <c:orientation val="minMax"/>
        </c:scaling>
        <c:delete val="0"/>
        <c:axPos val="r"/>
        <c:title>
          <c:tx>
            <c:strRef>
              <c:f>'Charts - Freight'!$F$185</c:f>
              <c:strCache>
                <c:ptCount val="1"/>
                <c:pt idx="0">
                  <c:v>R$</c:v>
                </c:pt>
              </c:strCache>
            </c:strRef>
          </c:tx>
          <c:overlay val="0"/>
          <c:txPr>
            <a:bodyPr rot="-5400000" vert="horz"/>
            <a:lstStyle/>
            <a:p>
              <a:pPr>
                <a:defRPr/>
              </a:pPr>
              <a:endParaRPr lang="en-US"/>
            </a:p>
          </c:txPr>
        </c:title>
        <c:numFmt formatCode="0.00" sourceLinked="1"/>
        <c:majorTickMark val="out"/>
        <c:minorTickMark val="none"/>
        <c:tickLblPos val="nextTo"/>
        <c:crossAx val="197250048"/>
        <c:crosses val="max"/>
        <c:crossBetween val="between"/>
      </c:valAx>
      <c:catAx>
        <c:axId val="197250048"/>
        <c:scaling>
          <c:orientation val="minMax"/>
        </c:scaling>
        <c:delete val="1"/>
        <c:axPos val="b"/>
        <c:numFmt formatCode="0" sourceLinked="1"/>
        <c:majorTickMark val="out"/>
        <c:minorTickMark val="none"/>
        <c:tickLblPos val="none"/>
        <c:crossAx val="197248128"/>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Debt-to-equity ratio</a:t>
            </a:r>
          </a:p>
        </c:rich>
      </c:tx>
      <c:overlay val="0"/>
    </c:title>
    <c:autoTitleDeleted val="0"/>
    <c:plotArea>
      <c:layout/>
      <c:lineChart>
        <c:grouping val="standard"/>
        <c:varyColors val="0"/>
        <c:ser>
          <c:idx val="0"/>
          <c:order val="0"/>
          <c:tx>
            <c:strRef>
              <c:f>'Charts - Freight'!$B$221:$D$221</c:f>
              <c:strCache>
                <c:ptCount val="3"/>
                <c:pt idx="0">
                  <c:v>Debt-to-equity</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[0]!DE</c:f>
              <c:numCache>
                <c:formatCode>0%</c:formatCode>
                <c:ptCount val="30"/>
                <c:pt idx="0">
                  <c:v>7.5187969924812026E-2</c:v>
                </c:pt>
                <c:pt idx="1">
                  <c:v>3.1564507225341445E-2</c:v>
                </c:pt>
                <c:pt idx="2">
                  <c:v>2.3625547517688163E-2</c:v>
                </c:pt>
                <c:pt idx="3">
                  <c:v>2.0492444940089782E-2</c:v>
                </c:pt>
                <c:pt idx="4">
                  <c:v>1.857736840575638E-2</c:v>
                </c:pt>
                <c:pt idx="5">
                  <c:v>1.7230982808019119E-2</c:v>
                </c:pt>
                <c:pt idx="6">
                  <c:v>1.5748901193163207E-2</c:v>
                </c:pt>
                <c:pt idx="7">
                  <c:v>1.2610339965410814E-2</c:v>
                </c:pt>
                <c:pt idx="8">
                  <c:v>1.0270280977256317E-2</c:v>
                </c:pt>
                <c:pt idx="9">
                  <c:v>8.46605298599791E-3</c:v>
                </c:pt>
                <c:pt idx="10">
                  <c:v>7.048750216858011E-3</c:v>
                </c:pt>
                <c:pt idx="11">
                  <c:v>6.3030150344568284E-3</c:v>
                </c:pt>
                <c:pt idx="12">
                  <c:v>5.6815379083334531E-3</c:v>
                </c:pt>
                <c:pt idx="13">
                  <c:v>5.1559587266214978E-3</c:v>
                </c:pt>
                <c:pt idx="14">
                  <c:v>4.7059347791702536E-3</c:v>
                </c:pt>
                <c:pt idx="15">
                  <c:v>4.3164945563689879E-3</c:v>
                </c:pt>
                <c:pt idx="16">
                  <c:v>4.1751768329854275E-4</c:v>
                </c:pt>
                <c:pt idx="17">
                  <c:v>3.8611563002360113E-4</c:v>
                </c:pt>
                <c:pt idx="18">
                  <c:v>3.5822872943558321E-4</c:v>
                </c:pt>
                <c:pt idx="19">
                  <c:v>3.3335217244230477E-4</c:v>
                </c:pt>
                <c:pt idx="20">
                  <c:v>3.1103625024190895E-4</c:v>
                </c:pt>
                <c:pt idx="21">
                  <c:v>2.9091263059887048E-4</c:v>
                </c:pt>
                <c:pt idx="22">
                  <c:v>2.7268744227288707E-4</c:v>
                </c:pt>
                <c:pt idx="23">
                  <c:v>2.5611353978709125E-4</c:v>
                </c:pt>
                <c:pt idx="24">
                  <c:v>2.4098477748709841E-4</c:v>
                </c:pt>
                <c:pt idx="25">
                  <c:v>2.2712784489439775E-4</c:v>
                </c:pt>
                <c:pt idx="26">
                  <c:v>2.1439597853365898E-4</c:v>
                </c:pt>
                <c:pt idx="27">
                  <c:v>2.0266406564531871E-4</c:v>
                </c:pt>
                <c:pt idx="28">
                  <c:v>1.9182479312596556E-4</c:v>
                </c:pt>
                <c:pt idx="29">
                  <c:v>1.817855903200511E-4</c:v>
                </c:pt>
              </c:numCache>
            </c:numRef>
          </c:val>
          <c:smooth val="0"/>
          <c:extLst>
            <c:ext xmlns:c16="http://schemas.microsoft.com/office/drawing/2014/chart" uri="{C3380CC4-5D6E-409C-BE32-E72D297353CC}">
              <c16:uniqueId val="{00000000-8A11-EB40-A67E-9A55C9206E74}"/>
            </c:ext>
          </c:extLst>
        </c:ser>
        <c:dLbls>
          <c:showLegendKey val="0"/>
          <c:showVal val="0"/>
          <c:showCatName val="0"/>
          <c:showSerName val="0"/>
          <c:showPercent val="0"/>
          <c:showBubbleSize val="0"/>
        </c:dLbls>
        <c:smooth val="0"/>
        <c:axId val="197229184"/>
        <c:axId val="197288320"/>
      </c:lineChart>
      <c:catAx>
        <c:axId val="197229184"/>
        <c:scaling>
          <c:orientation val="minMax"/>
        </c:scaling>
        <c:delete val="0"/>
        <c:axPos val="b"/>
        <c:numFmt formatCode="0" sourceLinked="1"/>
        <c:majorTickMark val="none"/>
        <c:minorTickMark val="none"/>
        <c:tickLblPos val="nextTo"/>
        <c:crossAx val="197288320"/>
        <c:crosses val="autoZero"/>
        <c:auto val="1"/>
        <c:lblAlgn val="ctr"/>
        <c:lblOffset val="100"/>
        <c:noMultiLvlLbl val="0"/>
      </c:catAx>
      <c:valAx>
        <c:axId val="197288320"/>
        <c:scaling>
          <c:orientation val="minMax"/>
        </c:scaling>
        <c:delete val="0"/>
        <c:axPos val="l"/>
        <c:numFmt formatCode="0%" sourceLinked="1"/>
        <c:majorTickMark val="none"/>
        <c:minorTickMark val="none"/>
        <c:tickLblPos val="nextTo"/>
        <c:crossAx val="197229184"/>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 - Freight'!$H$171</c:f>
          <c:strCache>
            <c:ptCount val="1"/>
            <c:pt idx="0">
              <c:v>Tariff (R$/Ton-km)</c:v>
            </c:pt>
          </c:strCache>
        </c:strRef>
      </c:tx>
      <c:overlay val="0"/>
    </c:title>
    <c:autoTitleDeleted val="0"/>
    <c:plotArea>
      <c:layout/>
      <c:barChart>
        <c:barDir val="col"/>
        <c:grouping val="stacked"/>
        <c:varyColors val="0"/>
        <c:ser>
          <c:idx val="0"/>
          <c:order val="0"/>
          <c:tx>
            <c:strRef>
              <c:f>'Charts - Freight'!$B$173:$D$173</c:f>
              <c:strCache>
                <c:ptCount val="3"/>
                <c:pt idx="0">
                  <c:v>Commodity 1</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[0]!Freighttariff1</c:f>
              <c:numCache>
                <c:formatCode>0.0</c:formatCode>
                <c:ptCount val="30"/>
                <c:pt idx="0">
                  <c:v>1</c:v>
                </c:pt>
                <c:pt idx="1">
                  <c:v>1.0105</c:v>
                </c:pt>
                <c:pt idx="2">
                  <c:v>1.02111025</c:v>
                </c:pt>
                <c:pt idx="3">
                  <c:v>1.031831907625</c:v>
                </c:pt>
                <c:pt idx="4">
                  <c:v>1.0426661426550625</c:v>
                </c:pt>
                <c:pt idx="5">
                  <c:v>1.0536141371529406</c:v>
                </c:pt>
                <c:pt idx="6">
                  <c:v>1.0646770855930465</c:v>
                </c:pt>
                <c:pt idx="7">
                  <c:v>1.0758561949917735</c:v>
                </c:pt>
                <c:pt idx="8">
                  <c:v>1.0871526850391871</c:v>
                </c:pt>
                <c:pt idx="9">
                  <c:v>1.0985677882320986</c:v>
                </c:pt>
                <c:pt idx="10">
                  <c:v>1.1101027500085356</c:v>
                </c:pt>
                <c:pt idx="11">
                  <c:v>1.1217588288836253</c:v>
                </c:pt>
                <c:pt idx="12">
                  <c:v>1.1335372965869033</c:v>
                </c:pt>
                <c:pt idx="13">
                  <c:v>1.1454394382010658</c:v>
                </c:pt>
                <c:pt idx="14">
                  <c:v>1.157466552302177</c:v>
                </c:pt>
                <c:pt idx="15">
                  <c:v>1.1696199511013499</c:v>
                </c:pt>
                <c:pt idx="16">
                  <c:v>1.1819009605879141</c:v>
                </c:pt>
                <c:pt idx="17">
                  <c:v>1.1943109206740872</c:v>
                </c:pt>
                <c:pt idx="18">
                  <c:v>1.206851185341165</c:v>
                </c:pt>
                <c:pt idx="19">
                  <c:v>1.2195231227872472</c:v>
                </c:pt>
                <c:pt idx="20">
                  <c:v>1.2323281155765131</c:v>
                </c:pt>
                <c:pt idx="21">
                  <c:v>1.2452675607900665</c:v>
                </c:pt>
                <c:pt idx="22">
                  <c:v>1.2583428701783621</c:v>
                </c:pt>
                <c:pt idx="23">
                  <c:v>1.2715554703152347</c:v>
                </c:pt>
                <c:pt idx="24">
                  <c:v>1.2849068027535446</c:v>
                </c:pt>
                <c:pt idx="25">
                  <c:v>1.2983983241824568</c:v>
                </c:pt>
                <c:pt idx="26">
                  <c:v>1.3120315065863726</c:v>
                </c:pt>
                <c:pt idx="27">
                  <c:v>1.3258078374055293</c:v>
                </c:pt>
                <c:pt idx="28">
                  <c:v>1.3397288196982873</c:v>
                </c:pt>
                <c:pt idx="29">
                  <c:v>1.3537959723051192</c:v>
                </c:pt>
              </c:numCache>
            </c:numRef>
          </c:val>
          <c:extLst>
            <c:ext xmlns:c16="http://schemas.microsoft.com/office/drawing/2014/chart" uri="{C3380CC4-5D6E-409C-BE32-E72D297353CC}">
              <c16:uniqueId val="{00000000-91BE-C148-B8DE-11EDECD8E692}"/>
            </c:ext>
          </c:extLst>
        </c:ser>
        <c:ser>
          <c:idx val="1"/>
          <c:order val="1"/>
          <c:tx>
            <c:strRef>
              <c:f>'Charts - Freight'!$B$174:$D$174</c:f>
              <c:strCache>
                <c:ptCount val="3"/>
                <c:pt idx="0">
                  <c:v>Commodity 2</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[0]!Freighttariff2</c:f>
              <c:numCache>
                <c:formatCode>0.0</c:formatCode>
                <c:ptCount val="30"/>
                <c:pt idx="0">
                  <c:v>1</c:v>
                </c:pt>
                <c:pt idx="1">
                  <c:v>1.0266999999999999</c:v>
                </c:pt>
                <c:pt idx="2">
                  <c:v>1.0541128899999999</c:v>
                </c:pt>
                <c:pt idx="3">
                  <c:v>1.0822577041629997</c:v>
                </c:pt>
                <c:pt idx="4">
                  <c:v>1.1111539848641518</c:v>
                </c:pt>
                <c:pt idx="5">
                  <c:v>1.1408217962600247</c:v>
                </c:pt>
                <c:pt idx="6">
                  <c:v>1.1712817382201672</c:v>
                </c:pt>
                <c:pt idx="7">
                  <c:v>1.2025549606306456</c:v>
                </c:pt>
                <c:pt idx="8">
                  <c:v>1.2346631780794837</c:v>
                </c:pt>
                <c:pt idx="9">
                  <c:v>1.2676286849342058</c:v>
                </c:pt>
                <c:pt idx="10">
                  <c:v>1.3014743708219489</c:v>
                </c:pt>
                <c:pt idx="11">
                  <c:v>1.3362237365228948</c:v>
                </c:pt>
                <c:pt idx="12">
                  <c:v>1.3719009102880562</c:v>
                </c:pt>
                <c:pt idx="13">
                  <c:v>1.4085306645927471</c:v>
                </c:pt>
                <c:pt idx="14">
                  <c:v>1.4461384333373735</c:v>
                </c:pt>
                <c:pt idx="15">
                  <c:v>1.4847503295074813</c:v>
                </c:pt>
                <c:pt idx="16">
                  <c:v>1.5243931633053309</c:v>
                </c:pt>
                <c:pt idx="17">
                  <c:v>1.5650944607655832</c:v>
                </c:pt>
                <c:pt idx="18">
                  <c:v>1.6068824828680242</c:v>
                </c:pt>
                <c:pt idx="19">
                  <c:v>1.6497862451606002</c:v>
                </c:pt>
                <c:pt idx="20">
                  <c:v>1.6938355379063881</c:v>
                </c:pt>
                <c:pt idx="21">
                  <c:v>1.7390609467684885</c:v>
                </c:pt>
                <c:pt idx="22">
                  <c:v>1.7854938740472071</c:v>
                </c:pt>
                <c:pt idx="23">
                  <c:v>1.8331665604842673</c:v>
                </c:pt>
                <c:pt idx="24">
                  <c:v>1.8821121076491971</c:v>
                </c:pt>
                <c:pt idx="25">
                  <c:v>1.9323645009234305</c:v>
                </c:pt>
                <c:pt idx="26">
                  <c:v>1.9839586330980861</c:v>
                </c:pt>
                <c:pt idx="27">
                  <c:v>2.0369303286018048</c:v>
                </c:pt>
                <c:pt idx="28">
                  <c:v>2.0913163683754727</c:v>
                </c:pt>
                <c:pt idx="29">
                  <c:v>2.1471545154110978</c:v>
                </c:pt>
              </c:numCache>
            </c:numRef>
          </c:val>
          <c:extLst>
            <c:ext xmlns:c16="http://schemas.microsoft.com/office/drawing/2014/chart" uri="{C3380CC4-5D6E-409C-BE32-E72D297353CC}">
              <c16:uniqueId val="{00000001-91BE-C148-B8DE-11EDECD8E692}"/>
            </c:ext>
          </c:extLst>
        </c:ser>
        <c:ser>
          <c:idx val="2"/>
          <c:order val="2"/>
          <c:tx>
            <c:strRef>
              <c:f>'Charts - Freight'!$B$175:$D$175</c:f>
              <c:strCache>
                <c:ptCount val="3"/>
                <c:pt idx="0">
                  <c:v>Commodity 3</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[0]!Freighttariff3</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1.3842338707244459</c:v>
                </c:pt>
                <c:pt idx="12">
                  <c:v>1.4257608868461793</c:v>
                </c:pt>
                <c:pt idx="13">
                  <c:v>1.4685337134515648</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1.8602945717094976</c:v>
                </c:pt>
                <c:pt idx="22">
                  <c:v>1.9161034088607827</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2-91BE-C148-B8DE-11EDECD8E692}"/>
            </c:ext>
          </c:extLst>
        </c:ser>
        <c:ser>
          <c:idx val="3"/>
          <c:order val="3"/>
          <c:tx>
            <c:strRef>
              <c:f>'Charts - Freight'!$B$176:$D$176</c:f>
              <c:strCache>
                <c:ptCount val="3"/>
                <c:pt idx="0">
                  <c:v>Commodity 4</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[0]!Freighttariff4</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1.3842338707244459</c:v>
                </c:pt>
                <c:pt idx="12">
                  <c:v>1.4257608868461793</c:v>
                </c:pt>
                <c:pt idx="13">
                  <c:v>1.4685337134515648</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1.8602945717094976</c:v>
                </c:pt>
                <c:pt idx="22">
                  <c:v>1.9161034088607827</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3-91BE-C148-B8DE-11EDECD8E692}"/>
            </c:ext>
          </c:extLst>
        </c:ser>
        <c:ser>
          <c:idx val="4"/>
          <c:order val="4"/>
          <c:tx>
            <c:strRef>
              <c:f>'Charts - Freight'!$B$177:$D$177</c:f>
              <c:strCache>
                <c:ptCount val="3"/>
                <c:pt idx="0">
                  <c:v>Commodity 5</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[0]!Freighttariff5</c:f>
              <c:numCache>
                <c:formatCode>0.0</c:formatCode>
                <c:ptCount val="30"/>
                <c:pt idx="0">
                  <c:v>1</c:v>
                </c:pt>
                <c:pt idx="1">
                  <c:v>1.0297000000000001</c:v>
                </c:pt>
                <c:pt idx="2">
                  <c:v>1.0602820900000001</c:v>
                </c:pt>
                <c:pt idx="3">
                  <c:v>1.0917724680730001</c:v>
                </c:pt>
                <c:pt idx="4">
                  <c:v>1.1241981103747682</c:v>
                </c:pt>
                <c:pt idx="5">
                  <c:v>1.157586794252899</c:v>
                </c:pt>
                <c:pt idx="6">
                  <c:v>1.1919671220422101</c:v>
                </c:pt>
                <c:pt idx="7">
                  <c:v>1.2273685455668639</c:v>
                </c:pt>
                <c:pt idx="8">
                  <c:v>1.2638213913701999</c:v>
                </c:pt>
                <c:pt idx="9">
                  <c:v>1.3013568866938949</c:v>
                </c:pt>
                <c:pt idx="10">
                  <c:v>1.3400071862287037</c:v>
                </c:pt>
                <c:pt idx="11">
                  <c:v>1.3798053996596964</c:v>
                </c:pt>
                <c:pt idx="12">
                  <c:v>1.4207856200295894</c:v>
                </c:pt>
                <c:pt idx="13">
                  <c:v>1.4629829529444682</c:v>
                </c:pt>
                <c:pt idx="14">
                  <c:v>1.506433546646919</c:v>
                </c:pt>
                <c:pt idx="15">
                  <c:v>1.5511746229823327</c:v>
                </c:pt>
                <c:pt idx="16">
                  <c:v>1.5972445092849081</c:v>
                </c:pt>
                <c:pt idx="17">
                  <c:v>1.6446826712106699</c:v>
                </c:pt>
                <c:pt idx="18">
                  <c:v>1.6935297465456269</c:v>
                </c:pt>
                <c:pt idx="19">
                  <c:v>1.7438275800180321</c:v>
                </c:pt>
                <c:pt idx="20">
                  <c:v>1.7956192591445677</c:v>
                </c:pt>
                <c:pt idx="21">
                  <c:v>1.8489491511411613</c:v>
                </c:pt>
                <c:pt idx="22">
                  <c:v>1.9038629409300538</c:v>
                </c:pt>
                <c:pt idx="23">
                  <c:v>1.9604076702756765</c:v>
                </c:pt>
                <c:pt idx="24">
                  <c:v>2.0186317780828644</c:v>
                </c:pt>
                <c:pt idx="25">
                  <c:v>2.0785851418919257</c:v>
                </c:pt>
                <c:pt idx="26">
                  <c:v>2.1403191206061161</c:v>
                </c:pt>
                <c:pt idx="27">
                  <c:v>2.203886598488118</c:v>
                </c:pt>
                <c:pt idx="28">
                  <c:v>2.269342030463215</c:v>
                </c:pt>
                <c:pt idx="29">
                  <c:v>2.3367414887679727</c:v>
                </c:pt>
              </c:numCache>
            </c:numRef>
          </c:val>
          <c:extLst>
            <c:ext xmlns:c16="http://schemas.microsoft.com/office/drawing/2014/chart" uri="{C3380CC4-5D6E-409C-BE32-E72D297353CC}">
              <c16:uniqueId val="{00000004-91BE-C148-B8DE-11EDECD8E692}"/>
            </c:ext>
          </c:extLst>
        </c:ser>
        <c:ser>
          <c:idx val="5"/>
          <c:order val="5"/>
          <c:tx>
            <c:strRef>
              <c:f>'Charts - Freight'!$B$178:$D$178</c:f>
              <c:strCache>
                <c:ptCount val="3"/>
                <c:pt idx="0">
                  <c:v>Commodity 6</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[0]!Freighttariff6</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1.3842338707244459</c:v>
                </c:pt>
                <c:pt idx="12">
                  <c:v>1.4257608868461793</c:v>
                </c:pt>
                <c:pt idx="13">
                  <c:v>1.4685337134515648</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1.8602945717094976</c:v>
                </c:pt>
                <c:pt idx="22">
                  <c:v>1.9161034088607827</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5-91BE-C148-B8DE-11EDECD8E692}"/>
            </c:ext>
          </c:extLst>
        </c:ser>
        <c:ser>
          <c:idx val="6"/>
          <c:order val="6"/>
          <c:tx>
            <c:strRef>
              <c:f>'Charts - Freight'!$B$179:$D$179</c:f>
              <c:strCache>
                <c:ptCount val="3"/>
                <c:pt idx="0">
                  <c:v>Commodity 7</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[0]!Freighttariff7</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1.3842338707244459</c:v>
                </c:pt>
                <c:pt idx="12">
                  <c:v>1.4257608868461793</c:v>
                </c:pt>
                <c:pt idx="13">
                  <c:v>1.4685337134515648</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1.8602945717094976</c:v>
                </c:pt>
                <c:pt idx="22">
                  <c:v>1.9161034088607827</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6-91BE-C148-B8DE-11EDECD8E692}"/>
            </c:ext>
          </c:extLst>
        </c:ser>
        <c:ser>
          <c:idx val="7"/>
          <c:order val="7"/>
          <c:tx>
            <c:strRef>
              <c:f>'Charts - Freight'!$B$180:$D$180</c:f>
              <c:strCache>
                <c:ptCount val="3"/>
                <c:pt idx="0">
                  <c:v>Commodity 8</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[0]!Freighttariff8</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1.3842338707244459</c:v>
                </c:pt>
                <c:pt idx="12">
                  <c:v>1.4257608868461793</c:v>
                </c:pt>
                <c:pt idx="13">
                  <c:v>1.4685337134515648</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1.8602945717094976</c:v>
                </c:pt>
                <c:pt idx="22">
                  <c:v>1.9161034088607827</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7-91BE-C148-B8DE-11EDECD8E692}"/>
            </c:ext>
          </c:extLst>
        </c:ser>
        <c:ser>
          <c:idx val="8"/>
          <c:order val="8"/>
          <c:tx>
            <c:strRef>
              <c:f>'Charts - Freight'!$B$181</c:f>
              <c:strCache>
                <c:ptCount val="1"/>
                <c:pt idx="0">
                  <c:v>Commodity 9</c:v>
                </c:pt>
              </c:strCache>
            </c:strRef>
          </c:tx>
          <c:invertIfNegative val="0"/>
          <c:dLbls>
            <c:delete val="1"/>
          </c:dLbls>
          <c:val>
            <c:numRef>
              <c:f>[0]!Freighttariff9</c:f>
              <c:numCache>
                <c:formatCode>0.0</c:formatCode>
                <c:ptCount val="30"/>
                <c:pt idx="0">
                  <c:v>1</c:v>
                </c:pt>
                <c:pt idx="1">
                  <c:v>1.0287999999999999</c:v>
                </c:pt>
                <c:pt idx="2">
                  <c:v>1.0584294399999998</c:v>
                </c:pt>
                <c:pt idx="3">
                  <c:v>1.0889122078719997</c:v>
                </c:pt>
                <c:pt idx="4">
                  <c:v>1.1202728794587133</c:v>
                </c:pt>
                <c:pt idx="5">
                  <c:v>1.1525367383871241</c:v>
                </c:pt>
                <c:pt idx="6">
                  <c:v>1.1857297964526732</c:v>
                </c:pt>
                <c:pt idx="7">
                  <c:v>1.2198788145905102</c:v>
                </c:pt>
                <c:pt idx="8">
                  <c:v>1.2550113244507168</c:v>
                </c:pt>
                <c:pt idx="9">
                  <c:v>1.2911556505948973</c:v>
                </c:pt>
                <c:pt idx="10">
                  <c:v>1.3283409333320304</c:v>
                </c:pt>
                <c:pt idx="11">
                  <c:v>1.3665971522119928</c:v>
                </c:pt>
                <c:pt idx="12">
                  <c:v>1.4059551501956982</c:v>
                </c:pt>
                <c:pt idx="13">
                  <c:v>1.4464466585213342</c:v>
                </c:pt>
                <c:pt idx="14">
                  <c:v>1.4881043222867485</c:v>
                </c:pt>
                <c:pt idx="15">
                  <c:v>1.5309617267686066</c:v>
                </c:pt>
                <c:pt idx="16">
                  <c:v>1.5750534244995424</c:v>
                </c:pt>
                <c:pt idx="17">
                  <c:v>1.6204149631251292</c:v>
                </c:pt>
                <c:pt idx="18">
                  <c:v>1.6670829140631329</c:v>
                </c:pt>
                <c:pt idx="19">
                  <c:v>1.715094901988151</c:v>
                </c:pt>
                <c:pt idx="20">
                  <c:v>1.7644896351654096</c:v>
                </c:pt>
                <c:pt idx="21">
                  <c:v>1.8153069366581733</c:v>
                </c:pt>
                <c:pt idx="22">
                  <c:v>1.8675877764339286</c:v>
                </c:pt>
                <c:pt idx="23">
                  <c:v>1.9213743043952256</c:v>
                </c:pt>
                <c:pt idx="24">
                  <c:v>1.9767098843618081</c:v>
                </c:pt>
                <c:pt idx="25">
                  <c:v>2.0336391290314282</c:v>
                </c:pt>
                <c:pt idx="26">
                  <c:v>2.0922079359475334</c:v>
                </c:pt>
                <c:pt idx="27">
                  <c:v>2.1524635245028221</c:v>
                </c:pt>
                <c:pt idx="28">
                  <c:v>2.214454474008503</c:v>
                </c:pt>
                <c:pt idx="29">
                  <c:v>2.2782307628599479</c:v>
                </c:pt>
              </c:numCache>
            </c:numRef>
          </c:val>
          <c:extLst>
            <c:ext xmlns:c16="http://schemas.microsoft.com/office/drawing/2014/chart" uri="{C3380CC4-5D6E-409C-BE32-E72D297353CC}">
              <c16:uniqueId val="{00000008-91BE-C148-B8DE-11EDECD8E692}"/>
            </c:ext>
          </c:extLst>
        </c:ser>
        <c:ser>
          <c:idx val="9"/>
          <c:order val="9"/>
          <c:tx>
            <c:strRef>
              <c:f>'Charts - Freight'!$B$182</c:f>
              <c:strCache>
                <c:ptCount val="1"/>
                <c:pt idx="0">
                  <c:v>Commodity 10</c:v>
                </c:pt>
              </c:strCache>
            </c:strRef>
          </c:tx>
          <c:invertIfNegative val="0"/>
          <c:dLbls>
            <c:delete val="1"/>
          </c:dLbls>
          <c:val>
            <c:numRef>
              <c:f>[0]!Freighttariff10</c:f>
              <c:numCache>
                <c:formatCode>0.0</c:formatCode>
                <c:ptCount val="30"/>
                <c:pt idx="0">
                  <c:v>1</c:v>
                </c:pt>
                <c:pt idx="1">
                  <c:v>1.0297000000000001</c:v>
                </c:pt>
                <c:pt idx="2">
                  <c:v>1.0602820900000001</c:v>
                </c:pt>
                <c:pt idx="3">
                  <c:v>1.0917724680730001</c:v>
                </c:pt>
                <c:pt idx="4">
                  <c:v>1.1241981103747682</c:v>
                </c:pt>
                <c:pt idx="5">
                  <c:v>1.157586794252899</c:v>
                </c:pt>
                <c:pt idx="6">
                  <c:v>1.1919671220422101</c:v>
                </c:pt>
                <c:pt idx="7">
                  <c:v>1.2273685455668639</c:v>
                </c:pt>
                <c:pt idx="8">
                  <c:v>1.2638213913701999</c:v>
                </c:pt>
                <c:pt idx="9">
                  <c:v>1.3013568866938949</c:v>
                </c:pt>
                <c:pt idx="10">
                  <c:v>1.3400071862287037</c:v>
                </c:pt>
                <c:pt idx="11">
                  <c:v>1.3798053996596964</c:v>
                </c:pt>
                <c:pt idx="12">
                  <c:v>1.4207856200295894</c:v>
                </c:pt>
                <c:pt idx="13">
                  <c:v>1.4629829529444682</c:v>
                </c:pt>
                <c:pt idx="14">
                  <c:v>1.506433546646919</c:v>
                </c:pt>
                <c:pt idx="15">
                  <c:v>1.5511746229823327</c:v>
                </c:pt>
                <c:pt idx="16">
                  <c:v>1.5972445092849081</c:v>
                </c:pt>
                <c:pt idx="17">
                  <c:v>1.6446826712106699</c:v>
                </c:pt>
                <c:pt idx="18">
                  <c:v>1.6935297465456269</c:v>
                </c:pt>
                <c:pt idx="19">
                  <c:v>1.7438275800180321</c:v>
                </c:pt>
                <c:pt idx="20">
                  <c:v>1.7956192591445677</c:v>
                </c:pt>
                <c:pt idx="21">
                  <c:v>1.8489491511411613</c:v>
                </c:pt>
                <c:pt idx="22">
                  <c:v>1.9038629409300538</c:v>
                </c:pt>
                <c:pt idx="23">
                  <c:v>1.9604076702756765</c:v>
                </c:pt>
                <c:pt idx="24">
                  <c:v>2.0186317780828644</c:v>
                </c:pt>
                <c:pt idx="25">
                  <c:v>2.0785851418919257</c:v>
                </c:pt>
                <c:pt idx="26">
                  <c:v>2.1403191206061161</c:v>
                </c:pt>
                <c:pt idx="27">
                  <c:v>2.203886598488118</c:v>
                </c:pt>
                <c:pt idx="28">
                  <c:v>2.269342030463215</c:v>
                </c:pt>
                <c:pt idx="29">
                  <c:v>2.3367414887679727</c:v>
                </c:pt>
              </c:numCache>
            </c:numRef>
          </c:val>
          <c:extLst>
            <c:ext xmlns:c16="http://schemas.microsoft.com/office/drawing/2014/chart" uri="{C3380CC4-5D6E-409C-BE32-E72D297353CC}">
              <c16:uniqueId val="{00000009-91BE-C148-B8DE-11EDECD8E692}"/>
            </c:ext>
          </c:extLst>
        </c:ser>
        <c:dLbls>
          <c:showLegendKey val="0"/>
          <c:showVal val="1"/>
          <c:showCatName val="0"/>
          <c:showSerName val="0"/>
          <c:showPercent val="0"/>
          <c:showBubbleSize val="0"/>
        </c:dLbls>
        <c:gapWidth val="75"/>
        <c:overlap val="100"/>
        <c:axId val="202672768"/>
        <c:axId val="202690944"/>
      </c:barChart>
      <c:catAx>
        <c:axId val="202672768"/>
        <c:scaling>
          <c:orientation val="minMax"/>
        </c:scaling>
        <c:delete val="0"/>
        <c:axPos val="b"/>
        <c:numFmt formatCode="0" sourceLinked="1"/>
        <c:majorTickMark val="none"/>
        <c:minorTickMark val="none"/>
        <c:tickLblPos val="nextTo"/>
        <c:crossAx val="202690944"/>
        <c:crosses val="autoZero"/>
        <c:auto val="1"/>
        <c:lblAlgn val="ctr"/>
        <c:lblOffset val="100"/>
        <c:noMultiLvlLbl val="0"/>
      </c:catAx>
      <c:valAx>
        <c:axId val="202690944"/>
        <c:scaling>
          <c:orientation val="minMax"/>
        </c:scaling>
        <c:delete val="0"/>
        <c:axPos val="l"/>
        <c:title>
          <c:tx>
            <c:strRef>
              <c:f>'Charts - Freight'!$F$171</c:f>
              <c:strCache>
                <c:ptCount val="1"/>
                <c:pt idx="0">
                  <c:v>R$/Ton-km</c:v>
                </c:pt>
              </c:strCache>
            </c:strRef>
          </c:tx>
          <c:overlay val="0"/>
          <c:txPr>
            <a:bodyPr rot="-5400000" vert="horz"/>
            <a:lstStyle/>
            <a:p>
              <a:pPr>
                <a:defRPr/>
              </a:pPr>
              <a:endParaRPr lang="en-US"/>
            </a:p>
          </c:txPr>
        </c:title>
        <c:numFmt formatCode="0.0" sourceLinked="1"/>
        <c:majorTickMark val="none"/>
        <c:minorTickMark val="none"/>
        <c:tickLblPos val="nextTo"/>
        <c:crossAx val="202672768"/>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Public subsidy</a:t>
            </a:r>
          </a:p>
        </c:rich>
      </c:tx>
      <c:overlay val="0"/>
    </c:title>
    <c:autoTitleDeleted val="0"/>
    <c:plotArea>
      <c:layout/>
      <c:barChart>
        <c:barDir val="col"/>
        <c:grouping val="clustered"/>
        <c:varyColors val="0"/>
        <c:ser>
          <c:idx val="0"/>
          <c:order val="0"/>
          <c:tx>
            <c:strRef>
              <c:f>'Charts - Freight'!$B$196</c:f>
              <c:strCache>
                <c:ptCount val="1"/>
                <c:pt idx="0">
                  <c:v>Operating subsidy</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[0]!operatingsubsidyfreightreal</c:f>
              <c:numCache>
                <c:formatCode>_(* #,##0.00_);_(* \(#,##0.00\);_(* "-"??_);_(@_)</c:formatCode>
                <c:ptCount val="30"/>
                <c:pt idx="0">
                  <c:v>10</c:v>
                </c:pt>
                <c:pt idx="1">
                  <c:v>10.3</c:v>
                </c:pt>
                <c:pt idx="2">
                  <c:v>10.609000000000002</c:v>
                </c:pt>
                <c:pt idx="3">
                  <c:v>10.927270000000002</c:v>
                </c:pt>
                <c:pt idx="4">
                  <c:v>11.255088100000002</c:v>
                </c:pt>
                <c:pt idx="5">
                  <c:v>11.592740743000002</c:v>
                </c:pt>
                <c:pt idx="6">
                  <c:v>11.940522965290002</c:v>
                </c:pt>
                <c:pt idx="7">
                  <c:v>12.298738654248703</c:v>
                </c:pt>
                <c:pt idx="8">
                  <c:v>12.667700813876165</c:v>
                </c:pt>
                <c:pt idx="9">
                  <c:v>13.047731838292449</c:v>
                </c:pt>
                <c:pt idx="10">
                  <c:v>13.439163793441223</c:v>
                </c:pt>
                <c:pt idx="11">
                  <c:v>13.84233870724446</c:v>
                </c:pt>
                <c:pt idx="12">
                  <c:v>14.257608868461794</c:v>
                </c:pt>
                <c:pt idx="13">
                  <c:v>14.685337134515649</c:v>
                </c:pt>
                <c:pt idx="14">
                  <c:v>15.125897248551119</c:v>
                </c:pt>
                <c:pt idx="15">
                  <c:v>15.579674166007653</c:v>
                </c:pt>
                <c:pt idx="16">
                  <c:v>16.047064390987885</c:v>
                </c:pt>
                <c:pt idx="17">
                  <c:v>16.52847632271752</c:v>
                </c:pt>
                <c:pt idx="18">
                  <c:v>17.024330612399044</c:v>
                </c:pt>
                <c:pt idx="19">
                  <c:v>17.535060530771016</c:v>
                </c:pt>
                <c:pt idx="20">
                  <c:v>18.061112346694149</c:v>
                </c:pt>
                <c:pt idx="21">
                  <c:v>18.602945717094972</c:v>
                </c:pt>
                <c:pt idx="22">
                  <c:v>19.161034088607821</c:v>
                </c:pt>
                <c:pt idx="23">
                  <c:v>19.735865111266055</c:v>
                </c:pt>
                <c:pt idx="24">
                  <c:v>20.327941064604037</c:v>
                </c:pt>
                <c:pt idx="25">
                  <c:v>20.937779296542157</c:v>
                </c:pt>
                <c:pt idx="26">
                  <c:v>21.565912675438422</c:v>
                </c:pt>
                <c:pt idx="27">
                  <c:v>22.212890055701575</c:v>
                </c:pt>
                <c:pt idx="28">
                  <c:v>22.879276757372622</c:v>
                </c:pt>
                <c:pt idx="29">
                  <c:v>23.565655060093803</c:v>
                </c:pt>
              </c:numCache>
            </c:numRef>
          </c:val>
          <c:extLst>
            <c:ext xmlns:c16="http://schemas.microsoft.com/office/drawing/2014/chart" uri="{C3380CC4-5D6E-409C-BE32-E72D297353CC}">
              <c16:uniqueId val="{00000000-01A1-7B43-8A26-D9A3240F1943}"/>
            </c:ext>
          </c:extLst>
        </c:ser>
        <c:ser>
          <c:idx val="1"/>
          <c:order val="1"/>
          <c:tx>
            <c:strRef>
              <c:f>'Charts - Freight'!$B$197</c:f>
              <c:strCache>
                <c:ptCount val="1"/>
                <c:pt idx="0">
                  <c:v>Capital subsidy</c:v>
                </c:pt>
              </c:strCache>
            </c:strRef>
          </c:tx>
          <c:invertIfNegative val="0"/>
          <c:dLbls>
            <c:delete val="1"/>
          </c:dLbls>
          <c:val>
            <c:numRef>
              <c:f>[0]!capitalsubsidyfreight</c:f>
              <c:numCache>
                <c:formatCode>_(* #,##0.00_);_(* \(#,##0.00\);_(* "-"??_);_(@_)</c:formatCode>
                <c:ptCount val="30"/>
                <c:pt idx="0">
                  <c:v>10</c:v>
                </c:pt>
                <c:pt idx="1">
                  <c:v>10.3</c:v>
                </c:pt>
                <c:pt idx="2">
                  <c:v>10.609000000000002</c:v>
                </c:pt>
                <c:pt idx="3">
                  <c:v>10.927270000000002</c:v>
                </c:pt>
                <c:pt idx="4">
                  <c:v>11.255088100000002</c:v>
                </c:pt>
                <c:pt idx="5">
                  <c:v>11.592740743000002</c:v>
                </c:pt>
                <c:pt idx="6">
                  <c:v>11.940522965290002</c:v>
                </c:pt>
                <c:pt idx="7">
                  <c:v>12.298738654248703</c:v>
                </c:pt>
                <c:pt idx="8">
                  <c:v>12.667700813876165</c:v>
                </c:pt>
                <c:pt idx="9">
                  <c:v>13.047731838292449</c:v>
                </c:pt>
                <c:pt idx="10">
                  <c:v>13.439163793441223</c:v>
                </c:pt>
                <c:pt idx="11">
                  <c:v>13.84233870724446</c:v>
                </c:pt>
                <c:pt idx="12">
                  <c:v>14.257608868461794</c:v>
                </c:pt>
                <c:pt idx="13">
                  <c:v>14.685337134515649</c:v>
                </c:pt>
                <c:pt idx="14">
                  <c:v>15.125897248551119</c:v>
                </c:pt>
                <c:pt idx="15">
                  <c:v>15.579674166007653</c:v>
                </c:pt>
                <c:pt idx="16">
                  <c:v>16.047064390987885</c:v>
                </c:pt>
                <c:pt idx="17">
                  <c:v>16.52847632271752</c:v>
                </c:pt>
                <c:pt idx="18">
                  <c:v>17.024330612399044</c:v>
                </c:pt>
                <c:pt idx="19">
                  <c:v>17.535060530771016</c:v>
                </c:pt>
                <c:pt idx="20">
                  <c:v>18.061112346694149</c:v>
                </c:pt>
                <c:pt idx="21">
                  <c:v>18.602945717094972</c:v>
                </c:pt>
                <c:pt idx="22">
                  <c:v>19.161034088607821</c:v>
                </c:pt>
                <c:pt idx="23">
                  <c:v>19.735865111266055</c:v>
                </c:pt>
                <c:pt idx="24">
                  <c:v>20.327941064604037</c:v>
                </c:pt>
                <c:pt idx="25">
                  <c:v>20.937779296542157</c:v>
                </c:pt>
                <c:pt idx="26">
                  <c:v>21.565912675438422</c:v>
                </c:pt>
                <c:pt idx="27">
                  <c:v>22.212890055701575</c:v>
                </c:pt>
                <c:pt idx="28">
                  <c:v>22.879276757372622</c:v>
                </c:pt>
                <c:pt idx="29">
                  <c:v>23.565655060093803</c:v>
                </c:pt>
              </c:numCache>
            </c:numRef>
          </c:val>
          <c:extLst>
            <c:ext xmlns:c16="http://schemas.microsoft.com/office/drawing/2014/chart" uri="{C3380CC4-5D6E-409C-BE32-E72D297353CC}">
              <c16:uniqueId val="{00000001-01A1-7B43-8A26-D9A3240F1943}"/>
            </c:ext>
          </c:extLst>
        </c:ser>
        <c:dLbls>
          <c:showLegendKey val="0"/>
          <c:showVal val="1"/>
          <c:showCatName val="0"/>
          <c:showSerName val="0"/>
          <c:showPercent val="0"/>
          <c:showBubbleSize val="0"/>
        </c:dLbls>
        <c:gapWidth val="75"/>
        <c:axId val="197350144"/>
        <c:axId val="197351680"/>
      </c:barChart>
      <c:catAx>
        <c:axId val="197350144"/>
        <c:scaling>
          <c:orientation val="minMax"/>
        </c:scaling>
        <c:delete val="0"/>
        <c:axPos val="b"/>
        <c:numFmt formatCode="0" sourceLinked="1"/>
        <c:majorTickMark val="none"/>
        <c:minorTickMark val="none"/>
        <c:tickLblPos val="nextTo"/>
        <c:crossAx val="197351680"/>
        <c:crosses val="autoZero"/>
        <c:auto val="1"/>
        <c:lblAlgn val="ctr"/>
        <c:lblOffset val="100"/>
        <c:noMultiLvlLbl val="0"/>
      </c:catAx>
      <c:valAx>
        <c:axId val="197351680"/>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00_);_(* \(#,##0.00\);_(* &quot;-&quot;??_);_(@_)" sourceLinked="1"/>
        <c:majorTickMark val="none"/>
        <c:minorTickMark val="none"/>
        <c:tickLblPos val="nextTo"/>
        <c:crossAx val="197350144"/>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c:f>
              <c:numCache>
                <c:formatCode>_(* #,##0_);_(* \(#,##0\);_(* "-"??_);_(@_)</c:formatCode>
                <c:ptCount val="30"/>
                <c:pt idx="0">
                  <c:v>41512</c:v>
                </c:pt>
                <c:pt idx="1">
                  <c:v>41614.380000000005</c:v>
                </c:pt>
                <c:pt idx="2">
                  <c:v>42748.990612583482</c:v>
                </c:pt>
                <c:pt idx="3">
                  <c:v>43915.484884147147</c:v>
                </c:pt>
                <c:pt idx="4">
                  <c:v>45115.548812769885</c:v>
                </c:pt>
                <c:pt idx="5">
                  <c:v>46350.162464585344</c:v>
                </c:pt>
                <c:pt idx="6">
                  <c:v>53508.278300793252</c:v>
                </c:pt>
                <c:pt idx="7">
                  <c:v>54977.708341283571</c:v>
                </c:pt>
                <c:pt idx="8">
                  <c:v>56490.075045971564</c:v>
                </c:pt>
                <c:pt idx="9">
                  <c:v>58046.116861572846</c:v>
                </c:pt>
                <c:pt idx="10">
                  <c:v>59647.053475840497</c:v>
                </c:pt>
                <c:pt idx="11">
                  <c:v>61294.199399680518</c:v>
                </c:pt>
                <c:pt idx="12">
                  <c:v>62988.90790760627</c:v>
                </c:pt>
                <c:pt idx="13">
                  <c:v>64732.572167349426</c:v>
                </c:pt>
                <c:pt idx="14">
                  <c:v>66526.626409754623</c:v>
                </c:pt>
                <c:pt idx="15">
                  <c:v>68372.547136841065</c:v>
                </c:pt>
                <c:pt idx="16">
                  <c:v>70271.854367560314</c:v>
                </c:pt>
                <c:pt idx="17">
                  <c:v>72225.745673004873</c:v>
                </c:pt>
                <c:pt idx="18">
                  <c:v>74235.850493002712</c:v>
                </c:pt>
                <c:pt idx="19">
                  <c:v>76304.895399639834</c:v>
                </c:pt>
                <c:pt idx="20">
                  <c:v>78433.867658081552</c:v>
                </c:pt>
                <c:pt idx="21">
                  <c:v>80624.424869626702</c:v>
                </c:pt>
                <c:pt idx="22">
                  <c:v>82878.57645757281</c:v>
                </c:pt>
                <c:pt idx="23">
                  <c:v>85198.085197489432</c:v>
                </c:pt>
                <c:pt idx="24">
                  <c:v>87584.86879308577</c:v>
                </c:pt>
                <c:pt idx="25">
                  <c:v>90040.901498936539</c:v>
                </c:pt>
                <c:pt idx="26">
                  <c:v>92568.215791394294</c:v>
                </c:pt>
                <c:pt idx="27">
                  <c:v>95168.904089073447</c:v>
                </c:pt>
                <c:pt idx="28">
                  <c:v>97845.120524345461</c:v>
                </c:pt>
                <c:pt idx="29">
                  <c:v>100599.08276733437</c:v>
                </c:pt>
              </c:numCache>
            </c:numRef>
          </c:val>
          <c:extLst>
            <c:ext xmlns:c16="http://schemas.microsoft.com/office/drawing/2014/chart" uri="{C3380CC4-5D6E-409C-BE32-E72D297353CC}">
              <c16:uniqueId val="{00000000-3C60-FA4A-A2D9-7C33FCC2412D}"/>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c:f>
              <c:numCache>
                <c:formatCode>_(* #,##0_);_(* \(#,##0\);_(* "-"??_);_(@_)</c:formatCode>
                <c:ptCount val="30"/>
                <c:pt idx="0">
                  <c:v>16152.500000000002</c:v>
                </c:pt>
                <c:pt idx="1">
                  <c:v>16293.292682926831</c:v>
                </c:pt>
                <c:pt idx="2">
                  <c:v>16793.096286763328</c:v>
                </c:pt>
                <c:pt idx="3">
                  <c:v>17521.435174444574</c:v>
                </c:pt>
                <c:pt idx="4">
                  <c:v>18202.89927377622</c:v>
                </c:pt>
                <c:pt idx="5">
                  <c:v>18754.492058441123</c:v>
                </c:pt>
                <c:pt idx="6">
                  <c:v>21375.936756161896</c:v>
                </c:pt>
                <c:pt idx="7">
                  <c:v>22007.225872671646</c:v>
                </c:pt>
                <c:pt idx="8">
                  <c:v>22671.691980649022</c:v>
                </c:pt>
                <c:pt idx="9">
                  <c:v>23357.302175552366</c:v>
                </c:pt>
                <c:pt idx="10">
                  <c:v>24063.219351418014</c:v>
                </c:pt>
                <c:pt idx="11">
                  <c:v>24790.052717674847</c:v>
                </c:pt>
                <c:pt idx="12">
                  <c:v>25538.429760034585</c:v>
                </c:pt>
                <c:pt idx="13">
                  <c:v>26308.996788780321</c:v>
                </c:pt>
                <c:pt idx="14">
                  <c:v>27102.419503503643</c:v>
                </c:pt>
                <c:pt idx="15">
                  <c:v>27919.383574783868</c:v>
                </c:pt>
                <c:pt idx="16">
                  <c:v>28760.595243317708</c:v>
                </c:pt>
                <c:pt idx="17">
                  <c:v>29617.644456223999</c:v>
                </c:pt>
                <c:pt idx="18">
                  <c:v>30491.798897437598</c:v>
                </c:pt>
                <c:pt idx="19">
                  <c:v>31410.449342855347</c:v>
                </c:pt>
                <c:pt idx="20">
                  <c:v>32356.390672603382</c:v>
                </c:pt>
                <c:pt idx="21">
                  <c:v>33327.941613211588</c:v>
                </c:pt>
                <c:pt idx="22">
                  <c:v>34330.945453005785</c:v>
                </c:pt>
                <c:pt idx="23">
                  <c:v>35363.77077896156</c:v>
                </c:pt>
                <c:pt idx="24">
                  <c:v>36427.312235663747</c:v>
                </c:pt>
                <c:pt idx="25">
                  <c:v>37522.491307034717</c:v>
                </c:pt>
                <c:pt idx="26">
                  <c:v>38650.257121514587</c:v>
                </c:pt>
                <c:pt idx="27">
                  <c:v>39811.587281396576</c:v>
                </c:pt>
                <c:pt idx="28">
                  <c:v>41007.488717042776</c:v>
                </c:pt>
                <c:pt idx="29">
                  <c:v>42238.998566726113</c:v>
                </c:pt>
              </c:numCache>
            </c:numRef>
          </c:val>
          <c:extLst>
            <c:ext xmlns:c16="http://schemas.microsoft.com/office/drawing/2014/chart" uri="{C3380CC4-5D6E-409C-BE32-E72D297353CC}">
              <c16:uniqueId val="{00000001-3C60-FA4A-A2D9-7C33FCC2412D}"/>
            </c:ext>
          </c:extLst>
        </c:ser>
        <c:dLbls>
          <c:showLegendKey val="0"/>
          <c:showVal val="0"/>
          <c:showCatName val="0"/>
          <c:showSerName val="0"/>
          <c:showPercent val="0"/>
          <c:showBubbleSize val="0"/>
        </c:dLbls>
        <c:gapWidth val="150"/>
        <c:axId val="202708096"/>
        <c:axId val="202709632"/>
      </c:barChart>
      <c:lineChart>
        <c:grouping val="standard"/>
        <c:varyColors val="0"/>
        <c:ser>
          <c:idx val="2"/>
          <c:order val="2"/>
          <c:tx>
            <c:strRef>
              <c:f>'Charts - Freight'!$B$140</c:f>
              <c:strCache>
                <c:ptCount val="1"/>
                <c:pt idx="0">
                  <c:v>Operating profit</c:v>
                </c:pt>
              </c:strCache>
            </c:strRef>
          </c:tx>
          <c:marker>
            <c:symbol val="none"/>
          </c:marker>
          <c:val>
            <c:numRef>
              <c:f>[0]!Operating_profit</c:f>
              <c:numCache>
                <c:formatCode>0%</c:formatCode>
                <c:ptCount val="30"/>
                <c:pt idx="0">
                  <c:v>0.61089564463287727</c:v>
                </c:pt>
                <c:pt idx="1">
                  <c:v>0.60846965200666614</c:v>
                </c:pt>
                <c:pt idx="2">
                  <c:v>0.60716975895519376</c:v>
                </c:pt>
                <c:pt idx="3">
                  <c:v>0.60101920266467201</c:v>
                </c:pt>
                <c:pt idx="4">
                  <c:v>0.5965271452350388</c:v>
                </c:pt>
                <c:pt idx="5">
                  <c:v>0.5953737579070878</c:v>
                </c:pt>
                <c:pt idx="6">
                  <c:v>0.60051159493492801</c:v>
                </c:pt>
                <c:pt idx="7">
                  <c:v>0.59970638033768142</c:v>
                </c:pt>
                <c:pt idx="8">
                  <c:v>0.59866061494521261</c:v>
                </c:pt>
                <c:pt idx="9">
                  <c:v>0.59760784289404978</c:v>
                </c:pt>
                <c:pt idx="10">
                  <c:v>0.59657320941822212</c:v>
                </c:pt>
                <c:pt idx="11">
                  <c:v>0.59555630124105896</c:v>
                </c:pt>
                <c:pt idx="12">
                  <c:v>0.59455671469181526</c:v>
                </c:pt>
                <c:pt idx="13">
                  <c:v>0.59357405541115882</c:v>
                </c:pt>
                <c:pt idx="14">
                  <c:v>0.59260793811228518</c:v>
                </c:pt>
                <c:pt idx="15">
                  <c:v>0.59165798637125644</c:v>
                </c:pt>
                <c:pt idx="16">
                  <c:v>0.59072383243390691</c:v>
                </c:pt>
                <c:pt idx="17">
                  <c:v>0.58992954409477416</c:v>
                </c:pt>
                <c:pt idx="18">
                  <c:v>0.58925776838359678</c:v>
                </c:pt>
                <c:pt idx="19">
                  <c:v>0.58835603956540372</c:v>
                </c:pt>
                <c:pt idx="20">
                  <c:v>0.58746914262018424</c:v>
                </c:pt>
                <c:pt idx="21">
                  <c:v>0.58662723278827278</c:v>
                </c:pt>
                <c:pt idx="22">
                  <c:v>0.58576815721997255</c:v>
                </c:pt>
                <c:pt idx="23">
                  <c:v>0.58492293932441997</c:v>
                </c:pt>
                <c:pt idx="24">
                  <c:v>0.58409126213660056</c:v>
                </c:pt>
                <c:pt idx="25">
                  <c:v>0.583272816215885</c:v>
                </c:pt>
                <c:pt idx="26">
                  <c:v>0.58246729948199183</c:v>
                </c:pt>
                <c:pt idx="27">
                  <c:v>0.58167441705396883</c:v>
                </c:pt>
                <c:pt idx="28">
                  <c:v>0.58089388109201168</c:v>
                </c:pt>
                <c:pt idx="29">
                  <c:v>0.58012541064199863</c:v>
                </c:pt>
              </c:numCache>
            </c:numRef>
          </c:val>
          <c:smooth val="0"/>
          <c:extLst>
            <c:ext xmlns:c16="http://schemas.microsoft.com/office/drawing/2014/chart" uri="{C3380CC4-5D6E-409C-BE32-E72D297353CC}">
              <c16:uniqueId val="{00000002-3C60-FA4A-A2D9-7C33FCC2412D}"/>
            </c:ext>
          </c:extLst>
        </c:ser>
        <c:dLbls>
          <c:showLegendKey val="0"/>
          <c:showVal val="0"/>
          <c:showCatName val="0"/>
          <c:showSerName val="0"/>
          <c:showPercent val="0"/>
          <c:showBubbleSize val="0"/>
        </c:dLbls>
        <c:marker val="1"/>
        <c:smooth val="0"/>
        <c:axId val="202721920"/>
        <c:axId val="202720384"/>
      </c:lineChart>
      <c:catAx>
        <c:axId val="202708096"/>
        <c:scaling>
          <c:orientation val="minMax"/>
        </c:scaling>
        <c:delete val="0"/>
        <c:axPos val="b"/>
        <c:numFmt formatCode="0" sourceLinked="1"/>
        <c:majorTickMark val="out"/>
        <c:minorTickMark val="none"/>
        <c:tickLblPos val="nextTo"/>
        <c:crossAx val="202709632"/>
        <c:crosses val="autoZero"/>
        <c:auto val="1"/>
        <c:lblAlgn val="ctr"/>
        <c:lblOffset val="100"/>
        <c:noMultiLvlLbl val="0"/>
      </c:catAx>
      <c:valAx>
        <c:axId val="202709632"/>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2708096"/>
        <c:crosses val="autoZero"/>
        <c:crossBetween val="between"/>
        <c:dispUnits>
          <c:builtInUnit val="thousands"/>
        </c:dispUnits>
      </c:valAx>
      <c:valAx>
        <c:axId val="202720384"/>
        <c:scaling>
          <c:orientation val="minMax"/>
        </c:scaling>
        <c:delete val="0"/>
        <c:axPos val="r"/>
        <c:numFmt formatCode="0%" sourceLinked="1"/>
        <c:majorTickMark val="out"/>
        <c:minorTickMark val="none"/>
        <c:tickLblPos val="nextTo"/>
        <c:crossAx val="202721920"/>
        <c:crosses val="max"/>
        <c:crossBetween val="between"/>
      </c:valAx>
      <c:catAx>
        <c:axId val="202721920"/>
        <c:scaling>
          <c:orientation val="minMax"/>
        </c:scaling>
        <c:delete val="1"/>
        <c:axPos val="b"/>
        <c:majorTickMark val="out"/>
        <c:minorTickMark val="none"/>
        <c:tickLblPos val="none"/>
        <c:crossAx val="202720384"/>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Passenger traffic</a:t>
            </a:r>
          </a:p>
        </c:rich>
      </c:tx>
      <c:overlay val="0"/>
    </c:title>
    <c:autoTitleDeleted val="0"/>
    <c:plotArea>
      <c:layout/>
      <c:barChart>
        <c:barDir val="col"/>
        <c:grouping val="stacked"/>
        <c:varyColors val="0"/>
        <c:ser>
          <c:idx val="0"/>
          <c:order val="0"/>
          <c:tx>
            <c:strRef>
              <c:f>'Charts - Passenger'!$B$145</c:f>
              <c:strCache>
                <c:ptCount val="1"/>
                <c:pt idx="0">
                  <c:v>Domestic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[0]!domesticgtkpax</c:f>
              <c:numCache>
                <c:formatCode>_(* #,##0_);_(* \(#,##0\);_(* "-"??_);_(@_)</c:formatCode>
                <c:ptCount val="30"/>
                <c:pt idx="0">
                  <c:v>10000</c:v>
                </c:pt>
                <c:pt idx="1">
                  <c:v>10625</c:v>
                </c:pt>
                <c:pt idx="2">
                  <c:v>10625</c:v>
                </c:pt>
                <c:pt idx="3">
                  <c:v>11250</c:v>
                </c:pt>
                <c:pt idx="4">
                  <c:v>12500</c:v>
                </c:pt>
                <c:pt idx="5">
                  <c:v>13125</c:v>
                </c:pt>
                <c:pt idx="6">
                  <c:v>13750</c:v>
                </c:pt>
                <c:pt idx="7">
                  <c:v>14375</c:v>
                </c:pt>
                <c:pt idx="8">
                  <c:v>15000</c:v>
                </c:pt>
                <c:pt idx="9">
                  <c:v>15625</c:v>
                </c:pt>
                <c:pt idx="10">
                  <c:v>16250</c:v>
                </c:pt>
                <c:pt idx="11">
                  <c:v>16875</c:v>
                </c:pt>
                <c:pt idx="12">
                  <c:v>17500</c:v>
                </c:pt>
                <c:pt idx="13">
                  <c:v>18125</c:v>
                </c:pt>
                <c:pt idx="14">
                  <c:v>18750</c:v>
                </c:pt>
                <c:pt idx="15">
                  <c:v>19375</c:v>
                </c:pt>
                <c:pt idx="16">
                  <c:v>20000</c:v>
                </c:pt>
                <c:pt idx="17">
                  <c:v>20625</c:v>
                </c:pt>
                <c:pt idx="18">
                  <c:v>21250</c:v>
                </c:pt>
                <c:pt idx="19">
                  <c:v>21875</c:v>
                </c:pt>
                <c:pt idx="20">
                  <c:v>22500</c:v>
                </c:pt>
                <c:pt idx="21">
                  <c:v>23125</c:v>
                </c:pt>
                <c:pt idx="22">
                  <c:v>23750</c:v>
                </c:pt>
                <c:pt idx="23">
                  <c:v>24375</c:v>
                </c:pt>
                <c:pt idx="24">
                  <c:v>25000</c:v>
                </c:pt>
                <c:pt idx="25">
                  <c:v>25625</c:v>
                </c:pt>
                <c:pt idx="26">
                  <c:v>26250</c:v>
                </c:pt>
                <c:pt idx="27">
                  <c:v>26875</c:v>
                </c:pt>
                <c:pt idx="28">
                  <c:v>27500</c:v>
                </c:pt>
                <c:pt idx="29">
                  <c:v>28125</c:v>
                </c:pt>
              </c:numCache>
            </c:numRef>
          </c:val>
          <c:extLst>
            <c:ext xmlns:c16="http://schemas.microsoft.com/office/drawing/2014/chart" uri="{C3380CC4-5D6E-409C-BE32-E72D297353CC}">
              <c16:uniqueId val="{00000000-CFA8-314C-A293-9CF5D0FE2192}"/>
            </c:ext>
          </c:extLst>
        </c:ser>
        <c:ser>
          <c:idx val="1"/>
          <c:order val="1"/>
          <c:tx>
            <c:strRef>
              <c:f>'Charts - Passenger'!$B$146</c:f>
              <c:strCache>
                <c:ptCount val="1"/>
                <c:pt idx="0">
                  <c:v>International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[0]!internationalgtkpax</c:f>
              <c:numCache>
                <c:formatCode>_(* #,##0_);_(* \(#,##0\);_(* "-"??_);_(@_)</c:formatCode>
                <c:ptCount val="30"/>
                <c:pt idx="0">
                  <c:v>10000</c:v>
                </c:pt>
                <c:pt idx="1">
                  <c:v>10625</c:v>
                </c:pt>
                <c:pt idx="2">
                  <c:v>10625</c:v>
                </c:pt>
                <c:pt idx="3">
                  <c:v>11250</c:v>
                </c:pt>
                <c:pt idx="4">
                  <c:v>12500</c:v>
                </c:pt>
                <c:pt idx="5">
                  <c:v>13125</c:v>
                </c:pt>
                <c:pt idx="6">
                  <c:v>13750</c:v>
                </c:pt>
                <c:pt idx="7">
                  <c:v>14375</c:v>
                </c:pt>
                <c:pt idx="8">
                  <c:v>15000</c:v>
                </c:pt>
                <c:pt idx="9">
                  <c:v>15625</c:v>
                </c:pt>
                <c:pt idx="10">
                  <c:v>16250</c:v>
                </c:pt>
                <c:pt idx="11">
                  <c:v>16875</c:v>
                </c:pt>
                <c:pt idx="12">
                  <c:v>17500</c:v>
                </c:pt>
                <c:pt idx="13">
                  <c:v>18125</c:v>
                </c:pt>
                <c:pt idx="14">
                  <c:v>18750</c:v>
                </c:pt>
                <c:pt idx="15">
                  <c:v>19375</c:v>
                </c:pt>
                <c:pt idx="16">
                  <c:v>20000</c:v>
                </c:pt>
                <c:pt idx="17">
                  <c:v>20625</c:v>
                </c:pt>
                <c:pt idx="18">
                  <c:v>21250</c:v>
                </c:pt>
                <c:pt idx="19">
                  <c:v>21875</c:v>
                </c:pt>
                <c:pt idx="20">
                  <c:v>22500</c:v>
                </c:pt>
                <c:pt idx="21">
                  <c:v>23125</c:v>
                </c:pt>
                <c:pt idx="22">
                  <c:v>23750</c:v>
                </c:pt>
                <c:pt idx="23">
                  <c:v>24375</c:v>
                </c:pt>
                <c:pt idx="24">
                  <c:v>25000</c:v>
                </c:pt>
                <c:pt idx="25">
                  <c:v>25625</c:v>
                </c:pt>
                <c:pt idx="26">
                  <c:v>26250</c:v>
                </c:pt>
                <c:pt idx="27">
                  <c:v>26875</c:v>
                </c:pt>
                <c:pt idx="28">
                  <c:v>27500</c:v>
                </c:pt>
                <c:pt idx="29">
                  <c:v>28125</c:v>
                </c:pt>
              </c:numCache>
            </c:numRef>
          </c:val>
          <c:extLst>
            <c:ext xmlns:c16="http://schemas.microsoft.com/office/drawing/2014/chart" uri="{C3380CC4-5D6E-409C-BE32-E72D297353CC}">
              <c16:uniqueId val="{00000001-CFA8-314C-A293-9CF5D0FE2192}"/>
            </c:ext>
          </c:extLst>
        </c:ser>
        <c:ser>
          <c:idx val="2"/>
          <c:order val="2"/>
          <c:tx>
            <c:strRef>
              <c:f>'Charts - Passenger'!$B$147</c:f>
              <c:strCache>
                <c:ptCount val="1"/>
                <c:pt idx="0">
                  <c:v>Sub-urban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[0]!suburbangtkpax</c:f>
              <c:numCache>
                <c:formatCode>_(* #,##0_);_(* \(#,##0\);_(* "-"??_);_(@_)</c:formatCode>
                <c:ptCount val="30"/>
                <c:pt idx="0">
                  <c:v>10000</c:v>
                </c:pt>
                <c:pt idx="1">
                  <c:v>10625</c:v>
                </c:pt>
                <c:pt idx="2">
                  <c:v>10625</c:v>
                </c:pt>
                <c:pt idx="3">
                  <c:v>11250</c:v>
                </c:pt>
                <c:pt idx="4">
                  <c:v>12500</c:v>
                </c:pt>
                <c:pt idx="5">
                  <c:v>13125</c:v>
                </c:pt>
                <c:pt idx="6">
                  <c:v>13750</c:v>
                </c:pt>
                <c:pt idx="7">
                  <c:v>14375</c:v>
                </c:pt>
                <c:pt idx="8">
                  <c:v>15000</c:v>
                </c:pt>
                <c:pt idx="9">
                  <c:v>15625</c:v>
                </c:pt>
                <c:pt idx="10">
                  <c:v>16250</c:v>
                </c:pt>
                <c:pt idx="11">
                  <c:v>16875</c:v>
                </c:pt>
                <c:pt idx="12">
                  <c:v>17500</c:v>
                </c:pt>
                <c:pt idx="13">
                  <c:v>18125</c:v>
                </c:pt>
                <c:pt idx="14">
                  <c:v>18750</c:v>
                </c:pt>
                <c:pt idx="15">
                  <c:v>19375</c:v>
                </c:pt>
                <c:pt idx="16">
                  <c:v>20000</c:v>
                </c:pt>
                <c:pt idx="17">
                  <c:v>20625</c:v>
                </c:pt>
                <c:pt idx="18">
                  <c:v>21250</c:v>
                </c:pt>
                <c:pt idx="19">
                  <c:v>21875</c:v>
                </c:pt>
                <c:pt idx="20">
                  <c:v>22500</c:v>
                </c:pt>
                <c:pt idx="21">
                  <c:v>23125</c:v>
                </c:pt>
                <c:pt idx="22">
                  <c:v>23750</c:v>
                </c:pt>
                <c:pt idx="23">
                  <c:v>24375</c:v>
                </c:pt>
                <c:pt idx="24">
                  <c:v>25000</c:v>
                </c:pt>
                <c:pt idx="25">
                  <c:v>25625</c:v>
                </c:pt>
                <c:pt idx="26">
                  <c:v>26250</c:v>
                </c:pt>
                <c:pt idx="27">
                  <c:v>26875</c:v>
                </c:pt>
                <c:pt idx="28">
                  <c:v>27500</c:v>
                </c:pt>
                <c:pt idx="29">
                  <c:v>28125</c:v>
                </c:pt>
              </c:numCache>
            </c:numRef>
          </c:val>
          <c:extLst>
            <c:ext xmlns:c16="http://schemas.microsoft.com/office/drawing/2014/chart" uri="{C3380CC4-5D6E-409C-BE32-E72D297353CC}">
              <c16:uniqueId val="{00000002-CFA8-314C-A293-9CF5D0FE2192}"/>
            </c:ext>
          </c:extLst>
        </c:ser>
        <c:dLbls>
          <c:showLegendKey val="0"/>
          <c:showVal val="0"/>
          <c:showCatName val="0"/>
          <c:showSerName val="0"/>
          <c:showPercent val="0"/>
          <c:showBubbleSize val="0"/>
        </c:dLbls>
        <c:gapWidth val="150"/>
        <c:overlap val="100"/>
        <c:axId val="203076352"/>
        <c:axId val="203077888"/>
      </c:barChart>
      <c:catAx>
        <c:axId val="203076352"/>
        <c:scaling>
          <c:orientation val="minMax"/>
        </c:scaling>
        <c:delete val="0"/>
        <c:axPos val="b"/>
        <c:numFmt formatCode="0" sourceLinked="1"/>
        <c:majorTickMark val="out"/>
        <c:minorTickMark val="none"/>
        <c:tickLblPos val="nextTo"/>
        <c:crossAx val="203077888"/>
        <c:crosses val="autoZero"/>
        <c:auto val="1"/>
        <c:lblAlgn val="ctr"/>
        <c:lblOffset val="100"/>
        <c:noMultiLvlLbl val="0"/>
      </c:catAx>
      <c:valAx>
        <c:axId val="203077888"/>
        <c:scaling>
          <c:orientation val="minMax"/>
        </c:scaling>
        <c:delete val="0"/>
        <c:axPos val="l"/>
        <c:numFmt formatCode="_(* #,##0_);_(* \(#,##0\);_(* &quot;-&quot;??_);_(@_)" sourceLinked="1"/>
        <c:majorTickMark val="out"/>
        <c:minorTickMark val="none"/>
        <c:tickLblPos val="nextTo"/>
        <c:crossAx val="203076352"/>
        <c:crosses val="autoZero"/>
        <c:crossBetween val="between"/>
        <c:dispUnits>
          <c:builtInUnit val="thousands"/>
          <c:dispUnitsLbl>
            <c:layout>
              <c:manualLayout>
                <c:xMode val="edge"/>
                <c:yMode val="edge"/>
                <c:x val="3.1215161649944412E-2"/>
                <c:y val="0.26436351706036748"/>
              </c:manualLayout>
            </c:layout>
            <c:tx>
              <c:strRef>
                <c:f>'Charts - Freight'!$F$142</c:f>
                <c:strCache>
                  <c:ptCount val="1"/>
                  <c:pt idx="0">
                    <c:v>GTK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ndard"/>
        <c:varyColors val="0"/>
        <c:ser>
          <c:idx val="0"/>
          <c:order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D2E7-4B45-A1B7-590899444C92}"/>
            </c:ext>
          </c:extLst>
        </c:ser>
        <c:dLbls>
          <c:showLegendKey val="0"/>
          <c:showVal val="0"/>
          <c:showCatName val="0"/>
          <c:showSerName val="0"/>
          <c:showPercent val="0"/>
          <c:showBubbleSize val="0"/>
        </c:dLbls>
        <c:axId val="202773632"/>
        <c:axId val="202775168"/>
      </c:areaChart>
      <c:catAx>
        <c:axId val="202773632"/>
        <c:scaling>
          <c:orientation val="minMax"/>
        </c:scaling>
        <c:delete val="0"/>
        <c:axPos val="b"/>
        <c:numFmt formatCode="0" sourceLinked="1"/>
        <c:majorTickMark val="out"/>
        <c:minorTickMark val="none"/>
        <c:tickLblPos val="nextTo"/>
        <c:crossAx val="202775168"/>
        <c:crosses val="autoZero"/>
        <c:auto val="1"/>
        <c:lblAlgn val="ctr"/>
        <c:lblOffset val="100"/>
        <c:noMultiLvlLbl val="0"/>
      </c:catAx>
      <c:valAx>
        <c:axId val="202775168"/>
        <c:scaling>
          <c:orientation val="minMax"/>
        </c:scaling>
        <c:delete val="0"/>
        <c:axPos val="l"/>
        <c:title>
          <c:tx>
            <c:rich>
              <a:bodyPr rot="-5400000" vert="horz"/>
              <a:lstStyle/>
              <a:p>
                <a:pPr>
                  <a:defRPr/>
                </a:pPr>
                <a:r>
                  <a:rPr lang="en-US"/>
                  <a:t>R$ (Millions)</a:t>
                </a:r>
              </a:p>
            </c:rich>
          </c:tx>
          <c:overlay val="0"/>
        </c:title>
        <c:numFmt formatCode="General" sourceLinked="1"/>
        <c:majorTickMark val="out"/>
        <c:minorTickMark val="none"/>
        <c:tickLblPos val="nextTo"/>
        <c:crossAx val="202773632"/>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Debt ratios</a:t>
            </a:r>
          </a:p>
        </c:rich>
      </c:tx>
      <c:overlay val="0"/>
    </c:title>
    <c:autoTitleDeleted val="0"/>
    <c:plotArea>
      <c:layout/>
      <c:lineChart>
        <c:grouping val="standard"/>
        <c:varyColors val="0"/>
        <c:ser>
          <c:idx val="0"/>
          <c:order val="0"/>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AF39-2544-8A48-E09B2FF91294}"/>
            </c:ext>
          </c:extLst>
        </c:ser>
        <c:dLbls>
          <c:showLegendKey val="0"/>
          <c:showVal val="0"/>
          <c:showCatName val="0"/>
          <c:showSerName val="0"/>
          <c:showPercent val="0"/>
          <c:showBubbleSize val="0"/>
        </c:dLbls>
        <c:marker val="1"/>
        <c:smooth val="0"/>
        <c:axId val="202822400"/>
        <c:axId val="202823936"/>
      </c:line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AF39-2544-8A48-E09B2FF91294}"/>
            </c:ext>
          </c:extLst>
        </c:ser>
        <c:dLbls>
          <c:showLegendKey val="0"/>
          <c:showVal val="0"/>
          <c:showCatName val="0"/>
          <c:showSerName val="0"/>
          <c:showPercent val="0"/>
          <c:showBubbleSize val="0"/>
        </c:dLbls>
        <c:marker val="1"/>
        <c:smooth val="0"/>
        <c:axId val="202831360"/>
        <c:axId val="202829824"/>
      </c:lineChart>
      <c:catAx>
        <c:axId val="202822400"/>
        <c:scaling>
          <c:orientation val="minMax"/>
        </c:scaling>
        <c:delete val="0"/>
        <c:axPos val="b"/>
        <c:numFmt formatCode="0" sourceLinked="1"/>
        <c:majorTickMark val="out"/>
        <c:minorTickMark val="none"/>
        <c:tickLblPos val="nextTo"/>
        <c:crossAx val="202823936"/>
        <c:crosses val="autoZero"/>
        <c:auto val="1"/>
        <c:lblAlgn val="ctr"/>
        <c:lblOffset val="100"/>
        <c:noMultiLvlLbl val="0"/>
      </c:catAx>
      <c:valAx>
        <c:axId val="202823936"/>
        <c:scaling>
          <c:orientation val="minMax"/>
        </c:scaling>
        <c:delete val="0"/>
        <c:axPos val="l"/>
        <c:numFmt formatCode="General" sourceLinked="1"/>
        <c:majorTickMark val="out"/>
        <c:minorTickMark val="none"/>
        <c:tickLblPos val="nextTo"/>
        <c:crossAx val="202822400"/>
        <c:crosses val="autoZero"/>
        <c:crossBetween val="between"/>
      </c:valAx>
      <c:valAx>
        <c:axId val="202829824"/>
        <c:scaling>
          <c:orientation val="minMax"/>
        </c:scaling>
        <c:delete val="0"/>
        <c:axPos val="r"/>
        <c:numFmt formatCode="General" sourceLinked="1"/>
        <c:majorTickMark val="out"/>
        <c:minorTickMark val="none"/>
        <c:tickLblPos val="nextTo"/>
        <c:crossAx val="202831360"/>
        <c:crosses val="max"/>
        <c:crossBetween val="between"/>
      </c:valAx>
      <c:catAx>
        <c:axId val="202831360"/>
        <c:scaling>
          <c:orientation val="minMax"/>
        </c:scaling>
        <c:delete val="1"/>
        <c:axPos val="b"/>
        <c:numFmt formatCode="0" sourceLinked="1"/>
        <c:majorTickMark val="out"/>
        <c:minorTickMark val="none"/>
        <c:tickLblPos val="none"/>
        <c:crossAx val="202829824"/>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F955-1B41-A54C-922F8FCEED1F}"/>
            </c:ext>
          </c:extLst>
        </c:ser>
        <c:ser>
          <c:idx val="1"/>
          <c:order val="1"/>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F955-1B41-A54C-922F8FCEED1F}"/>
            </c:ext>
          </c:extLst>
        </c:ser>
        <c:dLbls>
          <c:showLegendKey val="0"/>
          <c:showVal val="0"/>
          <c:showCatName val="0"/>
          <c:showSerName val="0"/>
          <c:showPercent val="0"/>
          <c:showBubbleSize val="0"/>
        </c:dLbls>
        <c:gapWidth val="150"/>
        <c:axId val="203141120"/>
        <c:axId val="203142656"/>
      </c:barChart>
      <c:lineChart>
        <c:grouping val="standard"/>
        <c:varyColors val="0"/>
        <c:ser>
          <c:idx val="2"/>
          <c:order val="2"/>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6="http://schemas.microsoft.com/office/drawing/2014/chart" uri="{C3380CC4-5D6E-409C-BE32-E72D297353CC}">
              <c16:uniqueId val="{00000002-F955-1B41-A54C-922F8FCEED1F}"/>
            </c:ext>
          </c:extLst>
        </c:ser>
        <c:dLbls>
          <c:showLegendKey val="0"/>
          <c:showVal val="0"/>
          <c:showCatName val="0"/>
          <c:showSerName val="0"/>
          <c:showPercent val="0"/>
          <c:showBubbleSize val="0"/>
        </c:dLbls>
        <c:marker val="1"/>
        <c:smooth val="0"/>
        <c:axId val="203146368"/>
        <c:axId val="203144576"/>
      </c:lineChart>
      <c:catAx>
        <c:axId val="203141120"/>
        <c:scaling>
          <c:orientation val="minMax"/>
        </c:scaling>
        <c:delete val="0"/>
        <c:axPos val="b"/>
        <c:numFmt formatCode="0" sourceLinked="1"/>
        <c:majorTickMark val="out"/>
        <c:minorTickMark val="none"/>
        <c:tickLblPos val="nextTo"/>
        <c:crossAx val="203142656"/>
        <c:crosses val="autoZero"/>
        <c:auto val="1"/>
        <c:lblAlgn val="ctr"/>
        <c:lblOffset val="100"/>
        <c:noMultiLvlLbl val="0"/>
      </c:catAx>
      <c:valAx>
        <c:axId val="203142656"/>
        <c:scaling>
          <c:orientation val="minMax"/>
        </c:scaling>
        <c:delete val="0"/>
        <c:axPos val="l"/>
        <c:numFmt formatCode="General" sourceLinked="1"/>
        <c:majorTickMark val="out"/>
        <c:minorTickMark val="none"/>
        <c:tickLblPos val="nextTo"/>
        <c:crossAx val="203141120"/>
        <c:crosses val="autoZero"/>
        <c:crossBetween val="between"/>
        <c:dispUnits>
          <c:builtInUnit val="thousands"/>
          <c:dispUnitsLbl>
            <c:layout>
              <c:manualLayout>
                <c:xMode val="edge"/>
                <c:yMode val="edge"/>
                <c:x val="3.0555555555555582E-2"/>
                <c:y val="0.29677092446777487"/>
              </c:manualLayout>
            </c:layout>
            <c:tx>
              <c:rich>
                <a:bodyPr/>
                <a:lstStyle/>
                <a:p>
                  <a:pPr>
                    <a:defRPr/>
                  </a:pPr>
                  <a:r>
                    <a:rPr lang="en-US"/>
                    <a:t>R$</a:t>
                  </a:r>
                  <a:r>
                    <a:rPr lang="en-US" baseline="0"/>
                    <a:t> (Billions)</a:t>
                  </a:r>
                  <a:endParaRPr lang="en-US"/>
                </a:p>
              </c:rich>
            </c:tx>
          </c:dispUnitsLbl>
        </c:dispUnits>
      </c:valAx>
      <c:valAx>
        <c:axId val="203144576"/>
        <c:scaling>
          <c:orientation val="minMax"/>
          <c:max val="10"/>
        </c:scaling>
        <c:delete val="0"/>
        <c:axPos val="r"/>
        <c:numFmt formatCode="General" sourceLinked="1"/>
        <c:majorTickMark val="out"/>
        <c:minorTickMark val="none"/>
        <c:tickLblPos val="nextTo"/>
        <c:crossAx val="203146368"/>
        <c:crosses val="max"/>
        <c:crossBetween val="between"/>
      </c:valAx>
      <c:catAx>
        <c:axId val="203146368"/>
        <c:scaling>
          <c:orientation val="minMax"/>
        </c:scaling>
        <c:delete val="1"/>
        <c:axPos val="b"/>
        <c:majorTickMark val="out"/>
        <c:minorTickMark val="none"/>
        <c:tickLblPos val="none"/>
        <c:crossAx val="203144576"/>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Traffic</a:t>
            </a:r>
            <a:r>
              <a:rPr lang="en-US" baseline="0"/>
              <a:t> intensity</a:t>
            </a:r>
            <a:endParaRPr lang="en-US"/>
          </a:p>
        </c:rich>
      </c:tx>
      <c:layout>
        <c:manualLayout>
          <c:xMode val="edge"/>
          <c:yMode val="edge"/>
          <c:x val="0.42911650387966283"/>
          <c:y val="3.2407407407408786E-2"/>
        </c:manualLayout>
      </c:layout>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0A25-754D-87D1-C9FEA9B5CF5E}"/>
            </c:ext>
          </c:extLst>
        </c:ser>
        <c:dLbls>
          <c:showLegendKey val="0"/>
          <c:showVal val="0"/>
          <c:showCatName val="0"/>
          <c:showSerName val="0"/>
          <c:showPercent val="0"/>
          <c:showBubbleSize val="0"/>
        </c:dLbls>
        <c:gapWidth val="150"/>
        <c:axId val="203155328"/>
        <c:axId val="203156864"/>
      </c:bar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0A25-754D-87D1-C9FEA9B5CF5E}"/>
            </c:ext>
          </c:extLst>
        </c:ser>
        <c:dLbls>
          <c:showLegendKey val="0"/>
          <c:showVal val="0"/>
          <c:showCatName val="0"/>
          <c:showSerName val="0"/>
          <c:showPercent val="0"/>
          <c:showBubbleSize val="0"/>
        </c:dLbls>
        <c:marker val="1"/>
        <c:smooth val="0"/>
        <c:axId val="203155328"/>
        <c:axId val="203156864"/>
      </c:lineChart>
      <c:catAx>
        <c:axId val="203155328"/>
        <c:scaling>
          <c:orientation val="minMax"/>
        </c:scaling>
        <c:delete val="0"/>
        <c:axPos val="b"/>
        <c:numFmt formatCode="0" sourceLinked="1"/>
        <c:majorTickMark val="out"/>
        <c:minorTickMark val="none"/>
        <c:tickLblPos val="nextTo"/>
        <c:crossAx val="203156864"/>
        <c:crosses val="autoZero"/>
        <c:auto val="1"/>
        <c:lblAlgn val="ctr"/>
        <c:lblOffset val="100"/>
        <c:noMultiLvlLbl val="0"/>
      </c:catAx>
      <c:valAx>
        <c:axId val="203156864"/>
        <c:scaling>
          <c:orientation val="minMax"/>
        </c:scaling>
        <c:delete val="0"/>
        <c:axPos val="l"/>
        <c:title>
          <c:tx>
            <c:rich>
              <a:bodyPr rot="-5400000" vert="horz"/>
              <a:lstStyle/>
              <a:p>
                <a:pPr>
                  <a:defRPr/>
                </a:pPr>
                <a:r>
                  <a:rPr lang="en-US"/>
                  <a:t>Million</a:t>
                </a:r>
                <a:r>
                  <a:rPr lang="en-US" baseline="0"/>
                  <a:t> traffic units per track-km</a:t>
                </a:r>
                <a:endParaRPr lang="en-US"/>
              </a:p>
            </c:rich>
          </c:tx>
          <c:overlay val="0"/>
        </c:title>
        <c:numFmt formatCode="General" sourceLinked="1"/>
        <c:majorTickMark val="out"/>
        <c:minorTickMark val="none"/>
        <c:tickLblPos val="nextTo"/>
        <c:crossAx val="203155328"/>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flows</a:t>
            </a:r>
          </a:p>
        </c:rich>
      </c:tx>
      <c:layout>
        <c:manualLayout>
          <c:xMode val="edge"/>
          <c:yMode val="edge"/>
          <c:x val="0.44301579949566072"/>
          <c:y val="3.7037037037037056E-2"/>
        </c:manualLayout>
      </c:layout>
      <c:overlay val="0"/>
    </c:title>
    <c:autoTitleDeleted val="0"/>
    <c:plotArea>
      <c:layout/>
      <c:barChart>
        <c:barDir val="col"/>
        <c:grouping val="clustered"/>
        <c:varyColors val="0"/>
        <c:ser>
          <c:idx val="0"/>
          <c:order val="0"/>
          <c:tx>
            <c:strRef>
              <c:f>'Charts - Freight'!$B$202:$D$202</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[0]!operatingcashflowpax</c:f>
              <c:numCache>
                <c:formatCode>_(* #,##0_);_(* \(#,##0\);_(* "-"??_);_(@_)</c:formatCode>
                <c:ptCount val="30"/>
                <c:pt idx="0">
                  <c:v>0</c:v>
                </c:pt>
                <c:pt idx="1">
                  <c:v>9711.9983596389757</c:v>
                </c:pt>
                <c:pt idx="2">
                  <c:v>10383.080923793646</c:v>
                </c:pt>
                <c:pt idx="3">
                  <c:v>11332.038751553499</c:v>
                </c:pt>
                <c:pt idx="4">
                  <c:v>13105.456950143558</c:v>
                </c:pt>
                <c:pt idx="5">
                  <c:v>14824.734865934801</c:v>
                </c:pt>
                <c:pt idx="6">
                  <c:v>16376.906870982404</c:v>
                </c:pt>
                <c:pt idx="7">
                  <c:v>18025.558867202464</c:v>
                </c:pt>
                <c:pt idx="8">
                  <c:v>19797.382657557842</c:v>
                </c:pt>
                <c:pt idx="9">
                  <c:v>21677.486956082153</c:v>
                </c:pt>
                <c:pt idx="10">
                  <c:v>23227.61198253063</c:v>
                </c:pt>
                <c:pt idx="11">
                  <c:v>25179.813063298785</c:v>
                </c:pt>
                <c:pt idx="12">
                  <c:v>27273.580134959677</c:v>
                </c:pt>
                <c:pt idx="13">
                  <c:v>29486.136986414142</c:v>
                </c:pt>
                <c:pt idx="14">
                  <c:v>31823.055235942418</c:v>
                </c:pt>
                <c:pt idx="15">
                  <c:v>34290.140776367734</c:v>
                </c:pt>
                <c:pt idx="16">
                  <c:v>36893.067960858076</c:v>
                </c:pt>
                <c:pt idx="17">
                  <c:v>39637.482506988839</c:v>
                </c:pt>
                <c:pt idx="18">
                  <c:v>42532.940545235855</c:v>
                </c:pt>
                <c:pt idx="19">
                  <c:v>45583.475785839277</c:v>
                </c:pt>
                <c:pt idx="20">
                  <c:v>48793.392030694806</c:v>
                </c:pt>
                <c:pt idx="21">
                  <c:v>52178.32062702479</c:v>
                </c:pt>
                <c:pt idx="22">
                  <c:v>55741.360295724051</c:v>
                </c:pt>
                <c:pt idx="23">
                  <c:v>59490.656925452909</c:v>
                </c:pt>
                <c:pt idx="24">
                  <c:v>63433.94622038371</c:v>
                </c:pt>
                <c:pt idx="25">
                  <c:v>67581.208911534108</c:v>
                </c:pt>
                <c:pt idx="26">
                  <c:v>71940.517206861725</c:v>
                </c:pt>
                <c:pt idx="27">
                  <c:v>76520.658109752476</c:v>
                </c:pt>
                <c:pt idx="28">
                  <c:v>81333.913072660231</c:v>
                </c:pt>
                <c:pt idx="29">
                  <c:v>86389.08806641557</c:v>
                </c:pt>
              </c:numCache>
            </c:numRef>
          </c:val>
          <c:extLst>
            <c:ext xmlns:c16="http://schemas.microsoft.com/office/drawing/2014/chart" uri="{C3380CC4-5D6E-409C-BE32-E72D297353CC}">
              <c16:uniqueId val="{00000000-728F-8641-9ABE-6320A4BCA4E5}"/>
            </c:ext>
          </c:extLst>
        </c:ser>
        <c:ser>
          <c:idx val="1"/>
          <c:order val="1"/>
          <c:tx>
            <c:strRef>
              <c:f>'Charts - Freight'!$B$203:$D$203</c:f>
              <c:strCache>
                <c:ptCount val="3"/>
                <c:pt idx="0">
                  <c:v>Net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[0]!netcashflowpax</c:f>
              <c:numCache>
                <c:formatCode>_(* #,##0_);_(* \(#,##0\);_(* "-"??_);_(@_)</c:formatCode>
                <c:ptCount val="30"/>
                <c:pt idx="0">
                  <c:v>0</c:v>
                </c:pt>
                <c:pt idx="1">
                  <c:v>4723.0495548194867</c:v>
                </c:pt>
                <c:pt idx="2">
                  <c:v>5073.3793368968227</c:v>
                </c:pt>
                <c:pt idx="3">
                  <c:v>5550.2805782767491</c:v>
                </c:pt>
                <c:pt idx="4">
                  <c:v>6436.6386661467795</c:v>
                </c:pt>
                <c:pt idx="5">
                  <c:v>7295.97448852465</c:v>
                </c:pt>
                <c:pt idx="6">
                  <c:v>8071.7930777151696</c:v>
                </c:pt>
                <c:pt idx="7">
                  <c:v>8872.7288592584609</c:v>
                </c:pt>
                <c:pt idx="8">
                  <c:v>9759.5942260558695</c:v>
                </c:pt>
                <c:pt idx="9">
                  <c:v>10698.120398586338</c:v>
                </c:pt>
                <c:pt idx="10">
                  <c:v>11474.184860776939</c:v>
                </c:pt>
                <c:pt idx="11">
                  <c:v>12463.42603234637</c:v>
                </c:pt>
                <c:pt idx="12">
                  <c:v>13510.621020797729</c:v>
                </c:pt>
                <c:pt idx="13">
                  <c:v>14617.220242724499</c:v>
                </c:pt>
                <c:pt idx="14">
                  <c:v>15786.009787574165</c:v>
                </c:pt>
                <c:pt idx="15">
                  <c:v>17019.892890474915</c:v>
                </c:pt>
                <c:pt idx="16">
                  <c:v>18297.33202538882</c:v>
                </c:pt>
                <c:pt idx="17">
                  <c:v>19702.387610736456</c:v>
                </c:pt>
                <c:pt idx="18">
                  <c:v>21150.488520577226</c:v>
                </c:pt>
                <c:pt idx="19">
                  <c:v>22676.139188317717</c:v>
                </c:pt>
                <c:pt idx="20">
                  <c:v>24281.491849607424</c:v>
                </c:pt>
                <c:pt idx="21">
                  <c:v>25971.862522800217</c:v>
                </c:pt>
                <c:pt idx="22">
                  <c:v>27753.800923428484</c:v>
                </c:pt>
                <c:pt idx="23">
                  <c:v>29628.880361559906</c:v>
                </c:pt>
                <c:pt idx="24">
                  <c:v>31600.969065990306</c:v>
                </c:pt>
                <c:pt idx="25">
                  <c:v>33675.057790239465</c:v>
                </c:pt>
                <c:pt idx="26">
                  <c:v>35830.808037937437</c:v>
                </c:pt>
                <c:pt idx="27">
                  <c:v>38146.988722418013</c:v>
                </c:pt>
                <c:pt idx="28">
                  <c:v>40554.115993898144</c:v>
                </c:pt>
                <c:pt idx="29">
                  <c:v>43082.218274502855</c:v>
                </c:pt>
              </c:numCache>
            </c:numRef>
          </c:val>
          <c:extLst>
            <c:ext xmlns:c16="http://schemas.microsoft.com/office/drawing/2014/chart" uri="{C3380CC4-5D6E-409C-BE32-E72D297353CC}">
              <c16:uniqueId val="{00000001-728F-8641-9ABE-6320A4BCA4E5}"/>
            </c:ext>
          </c:extLst>
        </c:ser>
        <c:dLbls>
          <c:showLegendKey val="0"/>
          <c:showVal val="0"/>
          <c:showCatName val="0"/>
          <c:showSerName val="0"/>
          <c:showPercent val="0"/>
          <c:showBubbleSize val="0"/>
        </c:dLbls>
        <c:gapWidth val="150"/>
        <c:axId val="203290112"/>
        <c:axId val="203291648"/>
      </c:barChart>
      <c:catAx>
        <c:axId val="203290112"/>
        <c:scaling>
          <c:orientation val="minMax"/>
        </c:scaling>
        <c:delete val="0"/>
        <c:axPos val="b"/>
        <c:numFmt formatCode="0" sourceLinked="1"/>
        <c:majorTickMark val="out"/>
        <c:minorTickMark val="none"/>
        <c:tickLblPos val="nextTo"/>
        <c:crossAx val="203291648"/>
        <c:crosses val="autoZero"/>
        <c:auto val="1"/>
        <c:lblAlgn val="ctr"/>
        <c:lblOffset val="100"/>
        <c:noMultiLvlLbl val="0"/>
      </c:catAx>
      <c:valAx>
        <c:axId val="203291648"/>
        <c:scaling>
          <c:orientation val="minMax"/>
        </c:scaling>
        <c:delete val="0"/>
        <c:axPos val="l"/>
        <c:numFmt formatCode="_(* #,##0_);_(* \(#,##0\);_(* &quot;-&quot;??_);_(@_)" sourceLinked="1"/>
        <c:majorTickMark val="out"/>
        <c:minorTickMark val="none"/>
        <c:tickLblPos val="nextTo"/>
        <c:crossAx val="203290112"/>
        <c:crosses val="autoZero"/>
        <c:crossBetween val="between"/>
        <c:dispUnits>
          <c:builtInUnit val="thousands"/>
          <c:dispUnitsLbl>
            <c:layout>
              <c:manualLayout>
                <c:xMode val="edge"/>
                <c:yMode val="edge"/>
                <c:x val="2.0541549953314659E-2"/>
                <c:y val="0.29214129483814522"/>
              </c:manualLayout>
            </c:layout>
            <c:tx>
              <c:strRef>
                <c:f>'Charts - Freight'!$E$134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Debt service coverage ratio</a:t>
            </a:r>
          </a:p>
        </c:rich>
      </c:tx>
      <c:overlay val="0"/>
    </c:title>
    <c:autoTitleDeleted val="0"/>
    <c:plotArea>
      <c:layout/>
      <c:lineChart>
        <c:grouping val="standard"/>
        <c:varyColors val="0"/>
        <c:ser>
          <c:idx val="0"/>
          <c:order val="0"/>
          <c:tx>
            <c:strRef>
              <c:f>'Charts - Freight'!$B$220:$D$220</c:f>
              <c:strCache>
                <c:ptCount val="3"/>
                <c:pt idx="0">
                  <c:v>DSCR</c:v>
                </c:pt>
              </c:strCache>
            </c:strRef>
          </c:tx>
          <c:marker>
            <c:symbol val="none"/>
          </c:marker>
          <c:cat>
            <c:numRef>
              <c:f>[0]!Yeardscr</c:f>
              <c:numCache>
                <c:formatCode>0</c:formatCode>
                <c:ptCount val="29"/>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pt idx="17">
                  <c:v>2028</c:v>
                </c:pt>
                <c:pt idx="18">
                  <c:v>2029</c:v>
                </c:pt>
                <c:pt idx="19">
                  <c:v>2030</c:v>
                </c:pt>
                <c:pt idx="20">
                  <c:v>2031</c:v>
                </c:pt>
                <c:pt idx="21">
                  <c:v>2032</c:v>
                </c:pt>
                <c:pt idx="22">
                  <c:v>2033</c:v>
                </c:pt>
                <c:pt idx="23">
                  <c:v>2034</c:v>
                </c:pt>
                <c:pt idx="24">
                  <c:v>2035</c:v>
                </c:pt>
                <c:pt idx="25">
                  <c:v>2036</c:v>
                </c:pt>
                <c:pt idx="26">
                  <c:v>2037</c:v>
                </c:pt>
                <c:pt idx="27">
                  <c:v>2038</c:v>
                </c:pt>
                <c:pt idx="28">
                  <c:v>2039</c:v>
                </c:pt>
              </c:numCache>
            </c:numRef>
          </c:cat>
          <c:val>
            <c:numRef>
              <c:f>[0]!dscrpax</c:f>
              <c:numCache>
                <c:formatCode>_(* #,##0_);_(* \(#,##0\);_(* "-"??_);_(@_)</c:formatCode>
                <c:ptCount val="26"/>
                <c:pt idx="0">
                  <c:v>309.80002263655354</c:v>
                </c:pt>
                <c:pt idx="1">
                  <c:v>245.83630985110116</c:v>
                </c:pt>
                <c:pt idx="2">
                  <c:v>299.24709855297937</c:v>
                </c:pt>
                <c:pt idx="3">
                  <c:v>335.50184513548396</c:v>
                </c:pt>
                <c:pt idx="4">
                  <c:v>369.00397923919849</c:v>
                </c:pt>
                <c:pt idx="5">
                  <c:v>397.19405966269494</c:v>
                </c:pt>
                <c:pt idx="6">
                  <c:v>371.28393109850191</c:v>
                </c:pt>
                <c:pt idx="7">
                  <c:v>419.47378441833536</c:v>
                </c:pt>
                <c:pt idx="8">
                  <c:v>473.12414515779477</c:v>
                </c:pt>
                <c:pt idx="9">
                  <c:v>523.13255320488747</c:v>
                </c:pt>
                <c:pt idx="10">
                  <c:v>1344.7517476008861</c:v>
                </c:pt>
                <c:pt idx="11">
                  <c:v>1456.5713596689793</c:v>
                </c:pt>
                <c:pt idx="12">
                  <c:v>1574.7350523532768</c:v>
                </c:pt>
                <c:pt idx="13">
                  <c:v>1699.5403832011882</c:v>
                </c:pt>
                <c:pt idx="14">
                  <c:v>1831.2974214138137</c:v>
                </c:pt>
                <c:pt idx="15">
                  <c:v>546.77047352089528</c:v>
                </c:pt>
                <c:pt idx="16">
                  <c:v>15854.993002795536</c:v>
                </c:pt>
                <c:pt idx="17">
                  <c:v>17013.176218094341</c:v>
                </c:pt>
                <c:pt idx="18">
                  <c:v>18233.390314335709</c:v>
                </c:pt>
                <c:pt idx="19">
                  <c:v>19517.356812277922</c:v>
                </c:pt>
                <c:pt idx="20">
                  <c:v>20871.328250809915</c:v>
                </c:pt>
                <c:pt idx="21">
                  <c:v>22296.544118289621</c:v>
                </c:pt>
                <c:pt idx="22">
                  <c:v>23796.262770181165</c:v>
                </c:pt>
                <c:pt idx="23">
                  <c:v>25373.578488153486</c:v>
                </c:pt>
                <c:pt idx="24">
                  <c:v>27032.483564613642</c:v>
                </c:pt>
                <c:pt idx="25">
                  <c:v>1403.717408914375</c:v>
                </c:pt>
              </c:numCache>
            </c:numRef>
          </c:val>
          <c:smooth val="0"/>
          <c:extLst>
            <c:ext xmlns:c16="http://schemas.microsoft.com/office/drawing/2014/chart" uri="{C3380CC4-5D6E-409C-BE32-E72D297353CC}">
              <c16:uniqueId val="{00000000-A8E0-6A46-9EA5-EB6C1BEED351}"/>
            </c:ext>
          </c:extLst>
        </c:ser>
        <c:dLbls>
          <c:showLegendKey val="0"/>
          <c:showVal val="0"/>
          <c:showCatName val="0"/>
          <c:showSerName val="0"/>
          <c:showPercent val="0"/>
          <c:showBubbleSize val="0"/>
        </c:dLbls>
        <c:smooth val="0"/>
        <c:axId val="203193344"/>
        <c:axId val="203199232"/>
      </c:lineChart>
      <c:catAx>
        <c:axId val="203193344"/>
        <c:scaling>
          <c:orientation val="minMax"/>
        </c:scaling>
        <c:delete val="0"/>
        <c:axPos val="b"/>
        <c:numFmt formatCode="0" sourceLinked="1"/>
        <c:majorTickMark val="out"/>
        <c:minorTickMark val="none"/>
        <c:tickLblPos val="nextTo"/>
        <c:crossAx val="203199232"/>
        <c:crosses val="autoZero"/>
        <c:auto val="1"/>
        <c:lblAlgn val="ctr"/>
        <c:lblOffset val="100"/>
        <c:noMultiLvlLbl val="0"/>
      </c:catAx>
      <c:valAx>
        <c:axId val="203199232"/>
        <c:scaling>
          <c:orientation val="minMax"/>
        </c:scaling>
        <c:delete val="0"/>
        <c:axPos val="l"/>
        <c:numFmt formatCode="_(* #,##0_);_(* \(#,##0\);_(* &quot;-&quot;??_);_(@_)" sourceLinked="1"/>
        <c:majorTickMark val="out"/>
        <c:minorTickMark val="none"/>
        <c:tickLblPos val="nextTo"/>
        <c:crossAx val="203193344"/>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tx>
            <c:strRef>
              <c:f>'Charts - Freight'!$B$225:$D$225</c:f>
              <c:strCache>
                <c:ptCount val="3"/>
                <c:pt idx="0">
                  <c:v>Current assets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[0]!currentassetspax</c:f>
              <c:numCache>
                <c:formatCode>_(* #,##0_);_(* \(#,##0\);_(* "-"??_);_(@_)</c:formatCode>
                <c:ptCount val="30"/>
                <c:pt idx="0">
                  <c:v>5300</c:v>
                </c:pt>
                <c:pt idx="1">
                  <c:v>10504.656567522527</c:v>
                </c:pt>
                <c:pt idx="2">
                  <c:v>15745.912686229014</c:v>
                </c:pt>
                <c:pt idx="3">
                  <c:v>21817.270858117801</c:v>
                </c:pt>
                <c:pt idx="4">
                  <c:v>29159.673824533947</c:v>
                </c:pt>
                <c:pt idx="5">
                  <c:v>37040.734382045477</c:v>
                </c:pt>
                <c:pt idx="6">
                  <c:v>45726.247142624328</c:v>
                </c:pt>
                <c:pt idx="7">
                  <c:v>55242.520737993786</c:v>
                </c:pt>
                <c:pt idx="8">
                  <c:v>65676.721908888241</c:v>
                </c:pt>
                <c:pt idx="9">
                  <c:v>77081.79600330189</c:v>
                </c:pt>
                <c:pt idx="10">
                  <c:v>89296.614969703864</c:v>
                </c:pt>
                <c:pt idx="11">
                  <c:v>102535.74008373456</c:v>
                </c:pt>
                <c:pt idx="12">
                  <c:v>116858.56249014447</c:v>
                </c:pt>
                <c:pt idx="13">
                  <c:v>132325.9784314711</c:v>
                </c:pt>
                <c:pt idx="14">
                  <c:v>149001.7269081698</c:v>
                </c:pt>
                <c:pt idx="15">
                  <c:v>166952.50888159408</c:v>
                </c:pt>
                <c:pt idx="16">
                  <c:v>186223.54864256649</c:v>
                </c:pt>
                <c:pt idx="17">
                  <c:v>206944.19396050414</c:v>
                </c:pt>
                <c:pt idx="18">
                  <c:v>229159.2868212352</c:v>
                </c:pt>
                <c:pt idx="19">
                  <c:v>252948.24134870004</c:v>
                </c:pt>
                <c:pt idx="20">
                  <c:v>278392.69405248144</c:v>
                </c:pt>
                <c:pt idx="21">
                  <c:v>305579.67014157865</c:v>
                </c:pt>
                <c:pt idx="22">
                  <c:v>334602.81984138599</c:v>
                </c:pt>
                <c:pt idx="23">
                  <c:v>365557.44469980174</c:v>
                </c:pt>
                <c:pt idx="24">
                  <c:v>398542.79531245481</c:v>
                </c:pt>
                <c:pt idx="25">
                  <c:v>433663.19675210508</c:v>
                </c:pt>
                <c:pt idx="26">
                  <c:v>471002.72232497443</c:v>
                </c:pt>
                <c:pt idx="27">
                  <c:v>510724.30409169226</c:v>
                </c:pt>
                <c:pt idx="28">
                  <c:v>552921.48332403856</c:v>
                </c:pt>
                <c:pt idx="29">
                  <c:v>597717.92610904702</c:v>
                </c:pt>
              </c:numCache>
            </c:numRef>
          </c:val>
          <c:extLst>
            <c:ext xmlns:c16="http://schemas.microsoft.com/office/drawing/2014/chart" uri="{C3380CC4-5D6E-409C-BE32-E72D297353CC}">
              <c16:uniqueId val="{00000000-F190-0E48-B04B-E9E146B14D9B}"/>
            </c:ext>
          </c:extLst>
        </c:ser>
        <c:ser>
          <c:idx val="1"/>
          <c:order val="1"/>
          <c:tx>
            <c:strRef>
              <c:f>'Charts - Freight'!$B$226:$D$226</c:f>
              <c:strCache>
                <c:ptCount val="3"/>
                <c:pt idx="0">
                  <c:v>Current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[0]!currentliabilitiespax</c:f>
              <c:numCache>
                <c:formatCode>_(* #,##0_);_(* \(#,##0\);_(* "-"??_);_(@_)</c:formatCode>
                <c:ptCount val="30"/>
                <c:pt idx="0">
                  <c:v>1520</c:v>
                </c:pt>
                <c:pt idx="1">
                  <c:v>1646.3076923076922</c:v>
                </c:pt>
                <c:pt idx="2">
                  <c:v>1689.7969230769229</c:v>
                </c:pt>
                <c:pt idx="3">
                  <c:v>1815.3911615384613</c:v>
                </c:pt>
                <c:pt idx="4">
                  <c:v>2024.9425777692311</c:v>
                </c:pt>
                <c:pt idx="5">
                  <c:v>2165.1982910153847</c:v>
                </c:pt>
                <c:pt idx="6">
                  <c:v>2319.5089054032305</c:v>
                </c:pt>
                <c:pt idx="7">
                  <c:v>2473.6340369571958</c:v>
                </c:pt>
                <c:pt idx="8">
                  <c:v>2634.989257540265</c:v>
                </c:pt>
                <c:pt idx="9">
                  <c:v>2804.2282513018085</c:v>
                </c:pt>
                <c:pt idx="10">
                  <c:v>2955.9406316124991</c:v>
                </c:pt>
                <c:pt idx="11">
                  <c:v>3140.7402845329621</c:v>
                </c:pt>
                <c:pt idx="12">
                  <c:v>3333.977231626307</c:v>
                </c:pt>
                <c:pt idx="13">
                  <c:v>3535.992028509585</c:v>
                </c:pt>
                <c:pt idx="14">
                  <c:v>3747.1381132751458</c:v>
                </c:pt>
                <c:pt idx="15">
                  <c:v>4017.7822758316806</c:v>
                </c:pt>
                <c:pt idx="16">
                  <c:v>4184.5806373422247</c:v>
                </c:pt>
                <c:pt idx="17">
                  <c:v>4424.5459694659212</c:v>
                </c:pt>
                <c:pt idx="18">
                  <c:v>4675.1430989434311</c:v>
                </c:pt>
                <c:pt idx="19">
                  <c:v>4936.7939648170704</c:v>
                </c:pt>
                <c:pt idx="20">
                  <c:v>5209.9362538540818</c:v>
                </c:pt>
                <c:pt idx="21">
                  <c:v>5495.0239656649774</c:v>
                </c:pt>
                <c:pt idx="22">
                  <c:v>5792.5279975560588</c:v>
                </c:pt>
                <c:pt idx="23">
                  <c:v>6102.9367497915055</c:v>
                </c:pt>
                <c:pt idx="24">
                  <c:v>6426.7567519632785</c:v>
                </c:pt>
                <c:pt idx="25">
                  <c:v>6814.5133111905452</c:v>
                </c:pt>
                <c:pt idx="26">
                  <c:v>7116.7511828946826</c:v>
                </c:pt>
                <c:pt idx="27">
                  <c:v>7484.0352649209954</c:v>
                </c:pt>
                <c:pt idx="28">
                  <c:v>7866.951315804281</c:v>
                </c:pt>
                <c:pt idx="29">
                  <c:v>8266.1066980021351</c:v>
                </c:pt>
              </c:numCache>
            </c:numRef>
          </c:val>
          <c:extLst>
            <c:ext xmlns:c16="http://schemas.microsoft.com/office/drawing/2014/chart" uri="{C3380CC4-5D6E-409C-BE32-E72D297353CC}">
              <c16:uniqueId val="{00000001-F190-0E48-B04B-E9E146B14D9B}"/>
            </c:ext>
          </c:extLst>
        </c:ser>
        <c:dLbls>
          <c:showLegendKey val="0"/>
          <c:showVal val="0"/>
          <c:showCatName val="0"/>
          <c:showSerName val="0"/>
          <c:showPercent val="0"/>
          <c:showBubbleSize val="0"/>
        </c:dLbls>
        <c:gapWidth val="150"/>
        <c:axId val="203307648"/>
        <c:axId val="203325824"/>
      </c:barChart>
      <c:lineChart>
        <c:grouping val="standard"/>
        <c:varyColors val="0"/>
        <c:ser>
          <c:idx val="2"/>
          <c:order val="2"/>
          <c:tx>
            <c:strRef>
              <c:f>'Charts - Freight'!$B$227</c:f>
              <c:strCache>
                <c:ptCount val="1"/>
                <c:pt idx="0">
                  <c:v>Current ratio</c:v>
                </c:pt>
              </c:strCache>
            </c:strRef>
          </c:tx>
          <c:marker>
            <c:symbol val="none"/>
          </c:marker>
          <c:val>
            <c:numRef>
              <c:f>[0]!currentratiopax</c:f>
              <c:numCache>
                <c:formatCode>0.00</c:formatCode>
                <c:ptCount val="30"/>
                <c:pt idx="0">
                  <c:v>3.486842105263158</c:v>
                </c:pt>
                <c:pt idx="1">
                  <c:v>6.3807370982988907</c:v>
                </c:pt>
                <c:pt idx="2">
                  <c:v>9.3182278125809024</c:v>
                </c:pt>
                <c:pt idx="3">
                  <c:v>12.017944848662069</c:v>
                </c:pt>
                <c:pt idx="4">
                  <c:v>14.400247268570732</c:v>
                </c:pt>
                <c:pt idx="5">
                  <c:v>17.107317392475387</c:v>
                </c:pt>
                <c:pt idx="6">
                  <c:v>19.713762269291713</c:v>
                </c:pt>
                <c:pt idx="7">
                  <c:v>22.332535820839254</c:v>
                </c:pt>
                <c:pt idx="8">
                  <c:v>24.924853762097221</c:v>
                </c:pt>
                <c:pt idx="9">
                  <c:v>27.487703958305875</c:v>
                </c:pt>
                <c:pt idx="10">
                  <c:v>30.209204479520128</c:v>
                </c:pt>
                <c:pt idx="11">
                  <c:v>32.646997457474249</c:v>
                </c:pt>
                <c:pt idx="12">
                  <c:v>35.050798002343015</c:v>
                </c:pt>
                <c:pt idx="13">
                  <c:v>37.422589577286544</c:v>
                </c:pt>
                <c:pt idx="14">
                  <c:v>39.764140633166157</c:v>
                </c:pt>
                <c:pt idx="15">
                  <c:v>41.553398720948593</c:v>
                </c:pt>
                <c:pt idx="16">
                  <c:v>44.502320490792037</c:v>
                </c:pt>
                <c:pt idx="17">
                  <c:v>46.771848544153329</c:v>
                </c:pt>
                <c:pt idx="18">
                  <c:v>49.016528900051114</c:v>
                </c:pt>
                <c:pt idx="19">
                  <c:v>51.237350221901124</c:v>
                </c:pt>
                <c:pt idx="20">
                  <c:v>53.434952077684017</c:v>
                </c:pt>
                <c:pt idx="21">
                  <c:v>55.610252484967845</c:v>
                </c:pt>
                <c:pt idx="22">
                  <c:v>57.764558062137837</c:v>
                </c:pt>
                <c:pt idx="23">
                  <c:v>59.898612698597979</c:v>
                </c:pt>
                <c:pt idx="24">
                  <c:v>62.013051169348508</c:v>
                </c:pt>
                <c:pt idx="25">
                  <c:v>63.638175897310113</c:v>
                </c:pt>
                <c:pt idx="26">
                  <c:v>66.182266348870414</c:v>
                </c:pt>
                <c:pt idx="27">
                  <c:v>68.241835589090272</c:v>
                </c:pt>
                <c:pt idx="28">
                  <c:v>70.284086061807599</c:v>
                </c:pt>
                <c:pt idx="29">
                  <c:v>72.30948594620871</c:v>
                </c:pt>
              </c:numCache>
            </c:numRef>
          </c:val>
          <c:smooth val="0"/>
          <c:extLst>
            <c:ext xmlns:c16="http://schemas.microsoft.com/office/drawing/2014/chart" uri="{C3380CC4-5D6E-409C-BE32-E72D297353CC}">
              <c16:uniqueId val="{00000002-F190-0E48-B04B-E9E146B14D9B}"/>
            </c:ext>
          </c:extLst>
        </c:ser>
        <c:dLbls>
          <c:showLegendKey val="0"/>
          <c:showVal val="0"/>
          <c:showCatName val="0"/>
          <c:showSerName val="0"/>
          <c:showPercent val="0"/>
          <c:showBubbleSize val="0"/>
        </c:dLbls>
        <c:marker val="1"/>
        <c:smooth val="0"/>
        <c:axId val="203329536"/>
        <c:axId val="203327744"/>
      </c:lineChart>
      <c:catAx>
        <c:axId val="203307648"/>
        <c:scaling>
          <c:orientation val="minMax"/>
        </c:scaling>
        <c:delete val="0"/>
        <c:axPos val="b"/>
        <c:numFmt formatCode="0" sourceLinked="1"/>
        <c:majorTickMark val="out"/>
        <c:minorTickMark val="none"/>
        <c:tickLblPos val="nextTo"/>
        <c:crossAx val="203325824"/>
        <c:crosses val="autoZero"/>
        <c:auto val="1"/>
        <c:lblAlgn val="ctr"/>
        <c:lblOffset val="100"/>
        <c:noMultiLvlLbl val="0"/>
      </c:catAx>
      <c:valAx>
        <c:axId val="203325824"/>
        <c:scaling>
          <c:orientation val="minMax"/>
        </c:scaling>
        <c:delete val="0"/>
        <c:axPos val="l"/>
        <c:numFmt formatCode="_(* #,##0_);_(* \(#,##0\);_(* &quot;-&quot;??_);_(@_)" sourceLinked="1"/>
        <c:majorTickMark val="out"/>
        <c:minorTickMark val="none"/>
        <c:tickLblPos val="nextTo"/>
        <c:crossAx val="203307648"/>
        <c:crosses val="autoZero"/>
        <c:crossBetween val="between"/>
        <c:dispUnits>
          <c:builtInUnit val="thousands"/>
          <c:dispUnitsLbl>
            <c:layout>
              <c:manualLayout>
                <c:xMode val="edge"/>
                <c:yMode val="edge"/>
                <c:x val="3.0555555555555582E-2"/>
                <c:y val="0.29677092446777487"/>
              </c:manualLayout>
            </c:layout>
            <c:tx>
              <c:strRef>
                <c:f>'Charts - Freight'!$E$134</c:f>
                <c:strCache>
                  <c:ptCount val="1"/>
                  <c:pt idx="0">
                    <c:v>R$ millions</c:v>
                  </c:pt>
                </c:strCache>
              </c:strRef>
            </c:tx>
            <c:txPr>
              <a:bodyPr/>
              <a:lstStyle/>
              <a:p>
                <a:pPr>
                  <a:defRPr/>
                </a:pPr>
                <a:endParaRPr lang="en-US"/>
              </a:p>
            </c:txPr>
          </c:dispUnitsLbl>
        </c:dispUnits>
      </c:valAx>
      <c:valAx>
        <c:axId val="203327744"/>
        <c:scaling>
          <c:orientation val="minMax"/>
          <c:max val="10"/>
        </c:scaling>
        <c:delete val="0"/>
        <c:axPos val="r"/>
        <c:numFmt formatCode="0.00" sourceLinked="1"/>
        <c:majorTickMark val="out"/>
        <c:minorTickMark val="none"/>
        <c:tickLblPos val="nextTo"/>
        <c:crossAx val="203329536"/>
        <c:crosses val="max"/>
        <c:crossBetween val="between"/>
      </c:valAx>
      <c:catAx>
        <c:axId val="203329536"/>
        <c:scaling>
          <c:orientation val="minMax"/>
        </c:scaling>
        <c:delete val="1"/>
        <c:axPos val="b"/>
        <c:majorTickMark val="out"/>
        <c:minorTickMark val="none"/>
        <c:tickLblPos val="none"/>
        <c:crossAx val="203327744"/>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Return ratios</a:t>
            </a:r>
          </a:p>
        </c:rich>
      </c:tx>
      <c:overlay val="0"/>
    </c:title>
    <c:autoTitleDeleted val="0"/>
    <c:plotArea>
      <c:layout/>
      <c:lineChart>
        <c:grouping val="standard"/>
        <c:varyColors val="0"/>
        <c:ser>
          <c:idx val="0"/>
          <c:order val="0"/>
          <c:tx>
            <c:strRef>
              <c:f>'Charts - Freight'!$B$231:$D$231</c:f>
              <c:strCache>
                <c:ptCount val="3"/>
                <c:pt idx="0">
                  <c:v>Return on equity</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[0]!roepax</c:f>
              <c:numCache>
                <c:formatCode>0%</c:formatCode>
                <c:ptCount val="30"/>
                <c:pt idx="0">
                  <c:v>1.958114224137931</c:v>
                </c:pt>
                <c:pt idx="1">
                  <c:v>1.3739432150093156</c:v>
                </c:pt>
                <c:pt idx="2">
                  <c:v>0.8253590682974461</c:v>
                </c:pt>
                <c:pt idx="3">
                  <c:v>0.63355725264966745</c:v>
                </c:pt>
                <c:pt idx="4">
                  <c:v>0.54648243887428682</c:v>
                </c:pt>
                <c:pt idx="5">
                  <c:v>0.46410787340011067</c:v>
                </c:pt>
                <c:pt idx="6">
                  <c:v>0.40838429349915489</c:v>
                </c:pt>
                <c:pt idx="7">
                  <c:v>0.36724888856455606</c:v>
                </c:pt>
                <c:pt idx="8">
                  <c:v>0.33589000557375115</c:v>
                </c:pt>
                <c:pt idx="9">
                  <c:v>0.31090000800391304</c:v>
                </c:pt>
                <c:pt idx="10">
                  <c:v>0.28552178268206951</c:v>
                </c:pt>
                <c:pt idx="11">
                  <c:v>0.26819378414886802</c:v>
                </c:pt>
                <c:pt idx="12">
                  <c:v>0.25383672902519727</c:v>
                </c:pt>
                <c:pt idx="13">
                  <c:v>0.24150234495088763</c:v>
                </c:pt>
                <c:pt idx="14">
                  <c:v>0.23077632677401277</c:v>
                </c:pt>
                <c:pt idx="15">
                  <c:v>0.22135143642840346</c:v>
                </c:pt>
                <c:pt idx="16">
                  <c:v>0.21298449942702966</c:v>
                </c:pt>
                <c:pt idx="17">
                  <c:v>0.2055075199856515</c:v>
                </c:pt>
                <c:pt idx="18">
                  <c:v>0.1987950593286911</c:v>
                </c:pt>
                <c:pt idx="19">
                  <c:v>0.19272433160603655</c:v>
                </c:pt>
                <c:pt idx="20">
                  <c:v>0.18722305906826417</c:v>
                </c:pt>
                <c:pt idx="21">
                  <c:v>0.18214453678955636</c:v>
                </c:pt>
                <c:pt idx="22">
                  <c:v>0.17747817474438504</c:v>
                </c:pt>
                <c:pt idx="23">
                  <c:v>0.17317420215939461</c:v>
                </c:pt>
                <c:pt idx="24">
                  <c:v>0.16919330577496131</c:v>
                </c:pt>
                <c:pt idx="25">
                  <c:v>0.1654912668581163</c:v>
                </c:pt>
                <c:pt idx="26">
                  <c:v>0.16203943118351019</c:v>
                </c:pt>
                <c:pt idx="27">
                  <c:v>0.1588124487490257</c:v>
                </c:pt>
                <c:pt idx="28">
                  <c:v>0.15579397912995183</c:v>
                </c:pt>
                <c:pt idx="29">
                  <c:v>0.15295941682412614</c:v>
                </c:pt>
              </c:numCache>
            </c:numRef>
          </c:val>
          <c:smooth val="0"/>
          <c:extLst>
            <c:ext xmlns:c16="http://schemas.microsoft.com/office/drawing/2014/chart" uri="{C3380CC4-5D6E-409C-BE32-E72D297353CC}">
              <c16:uniqueId val="{00000000-6AE9-564C-8077-FE1925753068}"/>
            </c:ext>
          </c:extLst>
        </c:ser>
        <c:ser>
          <c:idx val="1"/>
          <c:order val="1"/>
          <c:tx>
            <c:strRef>
              <c:f>'Charts - Freight'!$B$232:$D$232</c:f>
              <c:strCache>
                <c:ptCount val="3"/>
                <c:pt idx="0">
                  <c:v>Return on assets</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[0]!roapax</c:f>
              <c:numCache>
                <c:formatCode>0%</c:formatCode>
                <c:ptCount val="30"/>
                <c:pt idx="0">
                  <c:v>1.417418096723869</c:v>
                </c:pt>
                <c:pt idx="1">
                  <c:v>1.1000067773530233</c:v>
                </c:pt>
                <c:pt idx="2">
                  <c:v>0.71782611230937809</c:v>
                </c:pt>
                <c:pt idx="3">
                  <c:v>0.57160623974732139</c:v>
                </c:pt>
                <c:pt idx="4">
                  <c:v>0.50289416164274781</c:v>
                </c:pt>
                <c:pt idx="5">
                  <c:v>0.43280289852427778</c:v>
                </c:pt>
                <c:pt idx="6">
                  <c:v>0.38470325958913548</c:v>
                </c:pt>
                <c:pt idx="7">
                  <c:v>0.34870728721570238</c:v>
                </c:pt>
                <c:pt idx="8">
                  <c:v>0.32099778382410993</c:v>
                </c:pt>
                <c:pt idx="9">
                  <c:v>0.29862614803634391</c:v>
                </c:pt>
                <c:pt idx="10">
                  <c:v>0.27535828721350214</c:v>
                </c:pt>
                <c:pt idx="11">
                  <c:v>0.25946120017130336</c:v>
                </c:pt>
                <c:pt idx="12">
                  <c:v>0.24619045863427791</c:v>
                </c:pt>
                <c:pt idx="13">
                  <c:v>0.23473099515794715</c:v>
                </c:pt>
                <c:pt idx="14">
                  <c:v>0.22472172006582813</c:v>
                </c:pt>
                <c:pt idx="15">
                  <c:v>0.21589262316721305</c:v>
                </c:pt>
                <c:pt idx="16">
                  <c:v>0.20805668939145111</c:v>
                </c:pt>
                <c:pt idx="17">
                  <c:v>0.20102140976405833</c:v>
                </c:pt>
                <c:pt idx="18">
                  <c:v>0.1946577171916993</c:v>
                </c:pt>
                <c:pt idx="19">
                  <c:v>0.18889015147126512</c:v>
                </c:pt>
                <c:pt idx="20">
                  <c:v>0.18365415428656293</c:v>
                </c:pt>
                <c:pt idx="21">
                  <c:v>0.17881061943218129</c:v>
                </c:pt>
                <c:pt idx="22">
                  <c:v>0.17435284469814902</c:v>
                </c:pt>
                <c:pt idx="23">
                  <c:v>0.17023505008945106</c:v>
                </c:pt>
                <c:pt idx="24">
                  <c:v>0.16642114381705167</c:v>
                </c:pt>
                <c:pt idx="25">
                  <c:v>0.16286971741378112</c:v>
                </c:pt>
                <c:pt idx="26">
                  <c:v>0.15956307888752549</c:v>
                </c:pt>
                <c:pt idx="27">
                  <c:v>0.15646721928127991</c:v>
                </c:pt>
                <c:pt idx="28">
                  <c:v>0.15356034237708091</c:v>
                </c:pt>
                <c:pt idx="29">
                  <c:v>0.15082799028417254</c:v>
                </c:pt>
              </c:numCache>
            </c:numRef>
          </c:val>
          <c:smooth val="0"/>
          <c:extLst>
            <c:ext xmlns:c16="http://schemas.microsoft.com/office/drawing/2014/chart" uri="{C3380CC4-5D6E-409C-BE32-E72D297353CC}">
              <c16:uniqueId val="{00000001-6AE9-564C-8077-FE1925753068}"/>
            </c:ext>
          </c:extLst>
        </c:ser>
        <c:dLbls>
          <c:showLegendKey val="0"/>
          <c:showVal val="0"/>
          <c:showCatName val="0"/>
          <c:showSerName val="0"/>
          <c:showPercent val="0"/>
          <c:showBubbleSize val="0"/>
        </c:dLbls>
        <c:smooth val="0"/>
        <c:axId val="203354496"/>
        <c:axId val="203356032"/>
      </c:lineChart>
      <c:catAx>
        <c:axId val="203354496"/>
        <c:scaling>
          <c:orientation val="minMax"/>
        </c:scaling>
        <c:delete val="0"/>
        <c:axPos val="b"/>
        <c:numFmt formatCode="0" sourceLinked="1"/>
        <c:majorTickMark val="out"/>
        <c:minorTickMark val="none"/>
        <c:tickLblPos val="nextTo"/>
        <c:crossAx val="203356032"/>
        <c:crosses val="autoZero"/>
        <c:auto val="1"/>
        <c:lblAlgn val="ctr"/>
        <c:lblOffset val="100"/>
        <c:noMultiLvlLbl val="0"/>
      </c:catAx>
      <c:valAx>
        <c:axId val="203356032"/>
        <c:scaling>
          <c:orientation val="minMax"/>
        </c:scaling>
        <c:delete val="0"/>
        <c:axPos val="l"/>
        <c:numFmt formatCode="0%" sourceLinked="1"/>
        <c:majorTickMark val="out"/>
        <c:minorTickMark val="none"/>
        <c:tickLblPos val="nextTo"/>
        <c:crossAx val="203354496"/>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Operating and working ratio</a:t>
            </a:r>
          </a:p>
        </c:rich>
      </c:tx>
      <c:overlay val="0"/>
    </c:title>
    <c:autoTitleDeleted val="0"/>
    <c:plotArea>
      <c:layout/>
      <c:lineChart>
        <c:grouping val="standard"/>
        <c:varyColors val="0"/>
        <c:ser>
          <c:idx val="0"/>
          <c:order val="0"/>
          <c:tx>
            <c:strRef>
              <c:f>'Charts - Freight'!$B$236:$D$236</c:f>
              <c:strCache>
                <c:ptCount val="3"/>
                <c:pt idx="0">
                  <c:v>Operating ratio</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[0]!operatingratiopax</c:f>
              <c:numCache>
                <c:formatCode>0%</c:formatCode>
                <c:ptCount val="30"/>
                <c:pt idx="0">
                  <c:v>0.46589425587467365</c:v>
                </c:pt>
                <c:pt idx="1">
                  <c:v>0.46055255395495298</c:v>
                </c:pt>
                <c:pt idx="2">
                  <c:v>0.46120447509937551</c:v>
                </c:pt>
                <c:pt idx="3">
                  <c:v>0.45686963667112346</c:v>
                </c:pt>
                <c:pt idx="4">
                  <c:v>0.44912459122488457</c:v>
                </c:pt>
                <c:pt idx="5">
                  <c:v>0.44593142003291064</c:v>
                </c:pt>
                <c:pt idx="6">
                  <c:v>0.44301001165298187</c:v>
                </c:pt>
                <c:pt idx="7">
                  <c:v>0.44032619305190573</c:v>
                </c:pt>
                <c:pt idx="8">
                  <c:v>0.43785134324813435</c:v>
                </c:pt>
                <c:pt idx="9">
                  <c:v>0.43556561858770287</c:v>
                </c:pt>
                <c:pt idx="10">
                  <c:v>0.4334355556570364</c:v>
                </c:pt>
                <c:pt idx="11">
                  <c:v>0.43146029514097162</c:v>
                </c:pt>
                <c:pt idx="12">
                  <c:v>0.42961616805211272</c:v>
                </c:pt>
                <c:pt idx="13">
                  <c:v>0.42789015326843838</c:v>
                </c:pt>
                <c:pt idx="14">
                  <c:v>0.42627092385277143</c:v>
                </c:pt>
                <c:pt idx="15">
                  <c:v>0.42474857892450418</c:v>
                </c:pt>
                <c:pt idx="16">
                  <c:v>0.42331442494607802</c:v>
                </c:pt>
                <c:pt idx="17">
                  <c:v>0.42196079611389536</c:v>
                </c:pt>
                <c:pt idx="18">
                  <c:v>0.42068090593081586</c:v>
                </c:pt>
                <c:pt idx="19">
                  <c:v>0.41943646516542976</c:v>
                </c:pt>
                <c:pt idx="20">
                  <c:v>0.41812964015924292</c:v>
                </c:pt>
                <c:pt idx="21">
                  <c:v>0.4170499613332283</c:v>
                </c:pt>
                <c:pt idx="22">
                  <c:v>0.41602254834746566</c:v>
                </c:pt>
                <c:pt idx="23">
                  <c:v>0.41504359378206268</c:v>
                </c:pt>
                <c:pt idx="24">
                  <c:v>0.41409180721813227</c:v>
                </c:pt>
                <c:pt idx="25">
                  <c:v>0.41320073640637905</c:v>
                </c:pt>
                <c:pt idx="26">
                  <c:v>0.41234868944351016</c:v>
                </c:pt>
                <c:pt idx="27">
                  <c:v>0.41153310032638918</c:v>
                </c:pt>
                <c:pt idx="28">
                  <c:v>0.41075162878601773</c:v>
                </c:pt>
                <c:pt idx="29">
                  <c:v>0.41000213567633476</c:v>
                </c:pt>
              </c:numCache>
            </c:numRef>
          </c:val>
          <c:smooth val="0"/>
          <c:extLst>
            <c:ext xmlns:c16="http://schemas.microsoft.com/office/drawing/2014/chart" uri="{C3380CC4-5D6E-409C-BE32-E72D297353CC}">
              <c16:uniqueId val="{00000000-010C-D746-BD15-A2A2D6ADC6DD}"/>
            </c:ext>
          </c:extLst>
        </c:ser>
        <c:ser>
          <c:idx val="1"/>
          <c:order val="1"/>
          <c:tx>
            <c:strRef>
              <c:f>'Charts - Freight'!$B$237:$D$237</c:f>
              <c:strCache>
                <c:ptCount val="3"/>
                <c:pt idx="0">
                  <c:v>Working ratio</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[0]!workingratiopax</c:f>
              <c:numCache>
                <c:formatCode>0%</c:formatCode>
                <c:ptCount val="30"/>
                <c:pt idx="0">
                  <c:v>0.46405842036553524</c:v>
                </c:pt>
                <c:pt idx="1">
                  <c:v>0.459187346244817</c:v>
                </c:pt>
                <c:pt idx="2">
                  <c:v>0.45942001222719248</c:v>
                </c:pt>
                <c:pt idx="3">
                  <c:v>0.45503568814709144</c:v>
                </c:pt>
                <c:pt idx="4">
                  <c:v>0.44734773454123927</c:v>
                </c:pt>
                <c:pt idx="5">
                  <c:v>0.44412840154485284</c:v>
                </c:pt>
                <c:pt idx="6">
                  <c:v>0.44119061346403288</c:v>
                </c:pt>
                <c:pt idx="7">
                  <c:v>0.43849861691564812</c:v>
                </c:pt>
                <c:pt idx="8">
                  <c:v>0.43602248105949198</c:v>
                </c:pt>
                <c:pt idx="9">
                  <c:v>0.43373687341543249</c:v>
                </c:pt>
                <c:pt idx="10">
                  <c:v>0.43162060169814359</c:v>
                </c:pt>
                <c:pt idx="11">
                  <c:v>0.42965500310898097</c:v>
                </c:pt>
                <c:pt idx="12">
                  <c:v>0.42782447695616505</c:v>
                </c:pt>
                <c:pt idx="13">
                  <c:v>0.42611538556118816</c:v>
                </c:pt>
                <c:pt idx="14">
                  <c:v>0.42451587478265779</c:v>
                </c:pt>
                <c:pt idx="15">
                  <c:v>0.42301559140852302</c:v>
                </c:pt>
                <c:pt idx="16">
                  <c:v>0.4216054526435965</c:v>
                </c:pt>
                <c:pt idx="17">
                  <c:v>0.42027745682233386</c:v>
                </c:pt>
                <c:pt idx="18">
                  <c:v>0.41902452699393167</c:v>
                </c:pt>
                <c:pt idx="19">
                  <c:v>0.4178409913524862</c:v>
                </c:pt>
                <c:pt idx="20">
                  <c:v>0.41672302192321736</c:v>
                </c:pt>
                <c:pt idx="21">
                  <c:v>0.41566004683539831</c:v>
                </c:pt>
                <c:pt idx="22">
                  <c:v>0.41465079080700035</c:v>
                </c:pt>
                <c:pt idx="23">
                  <c:v>0.41369122059182667</c:v>
                </c:pt>
                <c:pt idx="24">
                  <c:v>0.41277804906764232</c:v>
                </c:pt>
                <c:pt idx="25">
                  <c:v>0.4119072870825668</c:v>
                </c:pt>
                <c:pt idx="26">
                  <c:v>0.41107630754146823</c:v>
                </c:pt>
                <c:pt idx="27">
                  <c:v>0.41028240340601346</c:v>
                </c:pt>
                <c:pt idx="28">
                  <c:v>0.40952310972646611</c:v>
                </c:pt>
                <c:pt idx="29">
                  <c:v>0.40879617709557331</c:v>
                </c:pt>
              </c:numCache>
            </c:numRef>
          </c:val>
          <c:smooth val="0"/>
          <c:extLst>
            <c:ext xmlns:c16="http://schemas.microsoft.com/office/drawing/2014/chart" uri="{C3380CC4-5D6E-409C-BE32-E72D297353CC}">
              <c16:uniqueId val="{00000001-010C-D746-BD15-A2A2D6ADC6DD}"/>
            </c:ext>
          </c:extLst>
        </c:ser>
        <c:dLbls>
          <c:showLegendKey val="0"/>
          <c:showVal val="0"/>
          <c:showCatName val="0"/>
          <c:showSerName val="0"/>
          <c:showPercent val="0"/>
          <c:showBubbleSize val="0"/>
        </c:dLbls>
        <c:smooth val="0"/>
        <c:axId val="203380992"/>
        <c:axId val="203386880"/>
      </c:lineChart>
      <c:catAx>
        <c:axId val="203380992"/>
        <c:scaling>
          <c:orientation val="minMax"/>
        </c:scaling>
        <c:delete val="0"/>
        <c:axPos val="b"/>
        <c:numFmt formatCode="0" sourceLinked="1"/>
        <c:majorTickMark val="out"/>
        <c:minorTickMark val="none"/>
        <c:tickLblPos val="nextTo"/>
        <c:crossAx val="203386880"/>
        <c:crosses val="autoZero"/>
        <c:auto val="1"/>
        <c:lblAlgn val="ctr"/>
        <c:lblOffset val="100"/>
        <c:noMultiLvlLbl val="0"/>
      </c:catAx>
      <c:valAx>
        <c:axId val="203386880"/>
        <c:scaling>
          <c:orientation val="minMax"/>
        </c:scaling>
        <c:delete val="0"/>
        <c:axPos val="l"/>
        <c:numFmt formatCode="0%" sourceLinked="1"/>
        <c:majorTickMark val="out"/>
        <c:minorTickMark val="none"/>
        <c:tickLblPos val="nextTo"/>
        <c:crossAx val="20338099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Staff productivity</a:t>
            </a:r>
          </a:p>
        </c:rich>
      </c:tx>
      <c:overlay val="0"/>
    </c:title>
    <c:autoTitleDeleted val="0"/>
    <c:plotArea>
      <c:layout/>
      <c:barChart>
        <c:barDir val="col"/>
        <c:grouping val="clustered"/>
        <c:varyColors val="0"/>
        <c:ser>
          <c:idx val="0"/>
          <c:order val="0"/>
          <c:tx>
            <c:strRef>
              <c:f>'Charts - Freight'!$B$241:$D$241</c:f>
              <c:strCache>
                <c:ptCount val="3"/>
                <c:pt idx="0">
                  <c:v>Traffic units per staff</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[0]!trafficunitsperstaffpax</c:f>
              <c:numCache>
                <c:formatCode>_(* #,##0.00_);_(* \(#,##0.00\);_(* "-"??_);_(@_)</c:formatCode>
                <c:ptCount val="30"/>
                <c:pt idx="0">
                  <c:v>1.6</c:v>
                </c:pt>
                <c:pt idx="1">
                  <c:v>1.7</c:v>
                </c:pt>
                <c:pt idx="2">
                  <c:v>1.7</c:v>
                </c:pt>
                <c:pt idx="3">
                  <c:v>1.8</c:v>
                </c:pt>
                <c:pt idx="4">
                  <c:v>2</c:v>
                </c:pt>
                <c:pt idx="5">
                  <c:v>2.1</c:v>
                </c:pt>
                <c:pt idx="6">
                  <c:v>2.2000000000000002</c:v>
                </c:pt>
                <c:pt idx="7">
                  <c:v>2.2999999999999998</c:v>
                </c:pt>
                <c:pt idx="8">
                  <c:v>2.4</c:v>
                </c:pt>
                <c:pt idx="9">
                  <c:v>2.5</c:v>
                </c:pt>
                <c:pt idx="10">
                  <c:v>2.6</c:v>
                </c:pt>
                <c:pt idx="11">
                  <c:v>2.7</c:v>
                </c:pt>
                <c:pt idx="12">
                  <c:v>2.8</c:v>
                </c:pt>
                <c:pt idx="13">
                  <c:v>2.9</c:v>
                </c:pt>
                <c:pt idx="14">
                  <c:v>3</c:v>
                </c:pt>
                <c:pt idx="15">
                  <c:v>3.1</c:v>
                </c:pt>
                <c:pt idx="16">
                  <c:v>3.2</c:v>
                </c:pt>
                <c:pt idx="17">
                  <c:v>3.3</c:v>
                </c:pt>
                <c:pt idx="18">
                  <c:v>3.4</c:v>
                </c:pt>
                <c:pt idx="19">
                  <c:v>3.5</c:v>
                </c:pt>
                <c:pt idx="20">
                  <c:v>3.6</c:v>
                </c:pt>
                <c:pt idx="21">
                  <c:v>3.7</c:v>
                </c:pt>
                <c:pt idx="22">
                  <c:v>3.8</c:v>
                </c:pt>
                <c:pt idx="23">
                  <c:v>3.9</c:v>
                </c:pt>
                <c:pt idx="24">
                  <c:v>4</c:v>
                </c:pt>
                <c:pt idx="25">
                  <c:v>4.0999999999999996</c:v>
                </c:pt>
                <c:pt idx="26">
                  <c:v>4.2</c:v>
                </c:pt>
                <c:pt idx="27">
                  <c:v>4.3</c:v>
                </c:pt>
                <c:pt idx="28">
                  <c:v>4.4000000000000004</c:v>
                </c:pt>
                <c:pt idx="29">
                  <c:v>4.5</c:v>
                </c:pt>
              </c:numCache>
            </c:numRef>
          </c:val>
          <c:extLst>
            <c:ext xmlns:c16="http://schemas.microsoft.com/office/drawing/2014/chart" uri="{C3380CC4-5D6E-409C-BE32-E72D297353CC}">
              <c16:uniqueId val="{00000000-FC93-914C-BF9B-4FFB579923A7}"/>
            </c:ext>
          </c:extLst>
        </c:ser>
        <c:dLbls>
          <c:showLegendKey val="0"/>
          <c:showVal val="1"/>
          <c:showCatName val="0"/>
          <c:showSerName val="0"/>
          <c:showPercent val="0"/>
          <c:showBubbleSize val="0"/>
        </c:dLbls>
        <c:gapWidth val="75"/>
        <c:axId val="203502336"/>
        <c:axId val="203503872"/>
      </c:barChart>
      <c:lineChart>
        <c:grouping val="standard"/>
        <c:varyColors val="0"/>
        <c:ser>
          <c:idx val="1"/>
          <c:order val="1"/>
          <c:tx>
            <c:strRef>
              <c:f>'Charts - Freight'!$B$242:$D$242</c:f>
              <c:strCache>
                <c:ptCount val="3"/>
                <c:pt idx="0">
                  <c:v>EU railways</c:v>
                </c:pt>
              </c:strCache>
            </c:strRef>
          </c:tx>
          <c:marker>
            <c:symbol val="none"/>
          </c:marker>
          <c:dLbls>
            <c:delete val="1"/>
          </c:dLbls>
          <c:cat>
            <c:numRef>
              <c:f>'Charts - Freight'!$E$240:$AH$240</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[0]!trafficunitsperstaffpaxeu</c:f>
              <c:numCache>
                <c:formatCode>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FC93-914C-BF9B-4FFB579923A7}"/>
            </c:ext>
          </c:extLst>
        </c:ser>
        <c:dLbls>
          <c:showLegendKey val="0"/>
          <c:showVal val="1"/>
          <c:showCatName val="0"/>
          <c:showSerName val="0"/>
          <c:showPercent val="0"/>
          <c:showBubbleSize val="0"/>
        </c:dLbls>
        <c:marker val="1"/>
        <c:smooth val="0"/>
        <c:axId val="203502336"/>
        <c:axId val="203503872"/>
      </c:lineChart>
      <c:catAx>
        <c:axId val="203502336"/>
        <c:scaling>
          <c:orientation val="minMax"/>
        </c:scaling>
        <c:delete val="0"/>
        <c:axPos val="b"/>
        <c:numFmt formatCode="0" sourceLinked="1"/>
        <c:majorTickMark val="none"/>
        <c:minorTickMark val="none"/>
        <c:tickLblPos val="nextTo"/>
        <c:crossAx val="203503872"/>
        <c:crosses val="autoZero"/>
        <c:auto val="1"/>
        <c:lblAlgn val="ctr"/>
        <c:lblOffset val="100"/>
        <c:noMultiLvlLbl val="0"/>
      </c:catAx>
      <c:valAx>
        <c:axId val="203503872"/>
        <c:scaling>
          <c:orientation val="minMax"/>
        </c:scaling>
        <c:delete val="0"/>
        <c:axPos val="l"/>
        <c:title>
          <c:tx>
            <c:strRef>
              <c:f>'Charts - Freight'!$F$239</c:f>
              <c:strCache>
                <c:ptCount val="1"/>
                <c:pt idx="0">
                  <c:v>Traffic unit per staff</c:v>
                </c:pt>
              </c:strCache>
            </c:strRef>
          </c:tx>
          <c:overlay val="0"/>
          <c:txPr>
            <a:bodyPr rot="-5400000" vert="horz"/>
            <a:lstStyle/>
            <a:p>
              <a:pPr>
                <a:defRPr/>
              </a:pPr>
              <a:endParaRPr lang="en-US"/>
            </a:p>
          </c:txPr>
        </c:title>
        <c:numFmt formatCode="_(* #,##0.00_);_(* \(#,##0.00\);_(* &quot;-&quot;??_);_(@_)" sourceLinked="1"/>
        <c:majorTickMark val="none"/>
        <c:minorTickMark val="none"/>
        <c:tickLblPos val="nextTo"/>
        <c:crossAx val="203502336"/>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Staff productivity</a:t>
            </a:r>
          </a:p>
        </c:rich>
      </c:tx>
      <c:overlay val="0"/>
    </c:title>
    <c:autoTitleDeleted val="0"/>
    <c:plotArea>
      <c:layout/>
      <c:barChart>
        <c:barDir val="col"/>
        <c:grouping val="clustered"/>
        <c:varyColors val="0"/>
        <c:ser>
          <c:idx val="0"/>
          <c:order val="0"/>
          <c:tx>
            <c:strRef>
              <c:f>'Charts - Freight'!$B$248:$D$248</c:f>
              <c:strCache>
                <c:ptCount val="3"/>
                <c:pt idx="0">
                  <c:v>Average staff/track-km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[0]!staffpertrackkmpax</c:f>
              <c:numCache>
                <c:formatCode>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extLst>
            <c:ext xmlns:c16="http://schemas.microsoft.com/office/drawing/2014/chart" uri="{C3380CC4-5D6E-409C-BE32-E72D297353CC}">
              <c16:uniqueId val="{00000000-ECB2-3942-A057-D550E88F7AA9}"/>
            </c:ext>
          </c:extLst>
        </c:ser>
        <c:dLbls>
          <c:showLegendKey val="0"/>
          <c:showVal val="1"/>
          <c:showCatName val="0"/>
          <c:showSerName val="0"/>
          <c:showPercent val="0"/>
          <c:showBubbleSize val="0"/>
        </c:dLbls>
        <c:gapWidth val="75"/>
        <c:axId val="203525504"/>
        <c:axId val="203535488"/>
      </c:barChart>
      <c:lineChart>
        <c:grouping val="standard"/>
        <c:varyColors val="0"/>
        <c:ser>
          <c:idx val="1"/>
          <c:order val="1"/>
          <c:tx>
            <c:strRef>
              <c:f>'Charts - Freight'!$B$249:$D$249</c:f>
              <c:strCache>
                <c:ptCount val="3"/>
                <c:pt idx="0">
                  <c:v>EU railways</c:v>
                </c:pt>
              </c:strCache>
            </c:strRef>
          </c:tx>
          <c:marker>
            <c:symbol val="none"/>
          </c:marker>
          <c:dLbls>
            <c:delete val="1"/>
          </c:dLbls>
          <c:cat>
            <c:numRef>
              <c:f>'Charts - Freight'!$E$247:$AH$247</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[0]!staffpertrackkmpaxeu</c:f>
              <c:numCache>
                <c:formatCode>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ECB2-3942-A057-D550E88F7AA9}"/>
            </c:ext>
          </c:extLst>
        </c:ser>
        <c:dLbls>
          <c:showLegendKey val="0"/>
          <c:showVal val="1"/>
          <c:showCatName val="0"/>
          <c:showSerName val="0"/>
          <c:showPercent val="0"/>
          <c:showBubbleSize val="0"/>
        </c:dLbls>
        <c:marker val="1"/>
        <c:smooth val="0"/>
        <c:axId val="203525504"/>
        <c:axId val="203535488"/>
      </c:lineChart>
      <c:catAx>
        <c:axId val="203525504"/>
        <c:scaling>
          <c:orientation val="minMax"/>
        </c:scaling>
        <c:delete val="0"/>
        <c:axPos val="b"/>
        <c:numFmt formatCode="0" sourceLinked="1"/>
        <c:majorTickMark val="none"/>
        <c:minorTickMark val="none"/>
        <c:tickLblPos val="nextTo"/>
        <c:crossAx val="203535488"/>
        <c:crosses val="autoZero"/>
        <c:auto val="1"/>
        <c:lblAlgn val="ctr"/>
        <c:lblOffset val="100"/>
        <c:noMultiLvlLbl val="0"/>
      </c:catAx>
      <c:valAx>
        <c:axId val="203535488"/>
        <c:scaling>
          <c:orientation val="minMax"/>
        </c:scaling>
        <c:delete val="0"/>
        <c:axPos val="l"/>
        <c:title>
          <c:tx>
            <c:strRef>
              <c:f>'Charts - Freight'!$F$246</c:f>
              <c:strCache>
                <c:ptCount val="1"/>
                <c:pt idx="0">
                  <c:v>Staff per track-km</c:v>
                </c:pt>
              </c:strCache>
            </c:strRef>
          </c:tx>
          <c:overlay val="0"/>
          <c:txPr>
            <a:bodyPr rot="-5400000" vert="horz"/>
            <a:lstStyle/>
            <a:p>
              <a:pPr>
                <a:defRPr/>
              </a:pPr>
              <a:endParaRPr lang="en-US"/>
            </a:p>
          </c:txPr>
        </c:title>
        <c:numFmt formatCode="0.0" sourceLinked="1"/>
        <c:majorTickMark val="none"/>
        <c:minorTickMark val="none"/>
        <c:tickLblPos val="nextTo"/>
        <c:crossAx val="203525504"/>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 intensity</a:t>
            </a:r>
          </a:p>
        </c:rich>
      </c:tx>
      <c:layout>
        <c:manualLayout>
          <c:xMode val="edge"/>
          <c:yMode val="edge"/>
          <c:x val="0.42911650387966344"/>
          <c:y val="3.2407407407408814E-2"/>
        </c:manualLayout>
      </c:layout>
      <c:overlay val="0"/>
    </c:title>
    <c:autoTitleDeleted val="0"/>
    <c:plotArea>
      <c:layout/>
      <c:barChart>
        <c:barDir val="col"/>
        <c:grouping val="clustered"/>
        <c:varyColors val="0"/>
        <c:ser>
          <c:idx val="0"/>
          <c:order val="0"/>
          <c:tx>
            <c:strRef>
              <c:f>'Charts - Freight'!$B$255:$D$255</c:f>
              <c:strCache>
                <c:ptCount val="3"/>
                <c:pt idx="0">
                  <c:v>Traffic units per track-km</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[0]!trafficunitspertrackkmpax</c:f>
              <c:numCache>
                <c:formatCode>_(* #,##0.00_);_(* \(#,##0.00\);_(* "-"??_);_(@_)</c:formatCode>
                <c:ptCount val="30"/>
                <c:pt idx="0">
                  <c:v>1.6</c:v>
                </c:pt>
                <c:pt idx="1">
                  <c:v>1.7</c:v>
                </c:pt>
                <c:pt idx="2">
                  <c:v>1.7</c:v>
                </c:pt>
                <c:pt idx="3">
                  <c:v>1.8</c:v>
                </c:pt>
                <c:pt idx="4">
                  <c:v>2</c:v>
                </c:pt>
                <c:pt idx="5">
                  <c:v>2.1</c:v>
                </c:pt>
                <c:pt idx="6">
                  <c:v>2.2000000000000002</c:v>
                </c:pt>
                <c:pt idx="7">
                  <c:v>2.2999999999999998</c:v>
                </c:pt>
                <c:pt idx="8">
                  <c:v>2.4</c:v>
                </c:pt>
                <c:pt idx="9">
                  <c:v>2.5</c:v>
                </c:pt>
                <c:pt idx="10">
                  <c:v>2.6</c:v>
                </c:pt>
                <c:pt idx="11">
                  <c:v>2.7</c:v>
                </c:pt>
                <c:pt idx="12">
                  <c:v>2.8</c:v>
                </c:pt>
                <c:pt idx="13">
                  <c:v>2.9</c:v>
                </c:pt>
                <c:pt idx="14">
                  <c:v>3</c:v>
                </c:pt>
                <c:pt idx="15">
                  <c:v>3.1</c:v>
                </c:pt>
                <c:pt idx="16">
                  <c:v>3.2</c:v>
                </c:pt>
                <c:pt idx="17">
                  <c:v>3.3</c:v>
                </c:pt>
                <c:pt idx="18">
                  <c:v>3.4</c:v>
                </c:pt>
                <c:pt idx="19">
                  <c:v>3.5</c:v>
                </c:pt>
                <c:pt idx="20">
                  <c:v>3.6</c:v>
                </c:pt>
                <c:pt idx="21">
                  <c:v>3.7</c:v>
                </c:pt>
                <c:pt idx="22">
                  <c:v>3.8</c:v>
                </c:pt>
                <c:pt idx="23">
                  <c:v>3.9</c:v>
                </c:pt>
                <c:pt idx="24">
                  <c:v>4</c:v>
                </c:pt>
                <c:pt idx="25">
                  <c:v>4.0999999999999996</c:v>
                </c:pt>
                <c:pt idx="26">
                  <c:v>4.2</c:v>
                </c:pt>
                <c:pt idx="27">
                  <c:v>4.3</c:v>
                </c:pt>
                <c:pt idx="28">
                  <c:v>4.4000000000000004</c:v>
                </c:pt>
                <c:pt idx="29">
                  <c:v>4.5</c:v>
                </c:pt>
              </c:numCache>
            </c:numRef>
          </c:val>
          <c:extLst>
            <c:ext xmlns:c16="http://schemas.microsoft.com/office/drawing/2014/chart" uri="{C3380CC4-5D6E-409C-BE32-E72D297353CC}">
              <c16:uniqueId val="{00000000-5C58-D74F-AED7-E3463EDFC13E}"/>
            </c:ext>
          </c:extLst>
        </c:ser>
        <c:dLbls>
          <c:showLegendKey val="0"/>
          <c:showVal val="0"/>
          <c:showCatName val="0"/>
          <c:showSerName val="0"/>
          <c:showPercent val="0"/>
          <c:showBubbleSize val="0"/>
        </c:dLbls>
        <c:gapWidth val="150"/>
        <c:axId val="203446528"/>
        <c:axId val="203460608"/>
      </c:barChart>
      <c:lineChart>
        <c:grouping val="standard"/>
        <c:varyColors val="0"/>
        <c:ser>
          <c:idx val="1"/>
          <c:order val="1"/>
          <c:tx>
            <c:strRef>
              <c:f>'Charts - Freight'!$B$256:$D$256</c:f>
              <c:strCache>
                <c:ptCount val="3"/>
                <c:pt idx="0">
                  <c:v>EU railways</c:v>
                </c:pt>
              </c:strCache>
            </c:strRef>
          </c:tx>
          <c:marker>
            <c:symbol val="none"/>
          </c:marker>
          <c:cat>
            <c:numRef>
              <c:f>'Charts - Freight'!$E$254:$AH$254</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[0]!trafficunitspertrackkmpaxeu</c:f>
              <c:numCache>
                <c:formatCode>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5C58-D74F-AED7-E3463EDFC13E}"/>
            </c:ext>
          </c:extLst>
        </c:ser>
        <c:dLbls>
          <c:showLegendKey val="0"/>
          <c:showVal val="0"/>
          <c:showCatName val="0"/>
          <c:showSerName val="0"/>
          <c:showPercent val="0"/>
          <c:showBubbleSize val="0"/>
        </c:dLbls>
        <c:marker val="1"/>
        <c:smooth val="0"/>
        <c:axId val="203446528"/>
        <c:axId val="203460608"/>
      </c:lineChart>
      <c:catAx>
        <c:axId val="203446528"/>
        <c:scaling>
          <c:orientation val="minMax"/>
        </c:scaling>
        <c:delete val="0"/>
        <c:axPos val="b"/>
        <c:numFmt formatCode="0" sourceLinked="1"/>
        <c:majorTickMark val="out"/>
        <c:minorTickMark val="none"/>
        <c:tickLblPos val="nextTo"/>
        <c:crossAx val="203460608"/>
        <c:crosses val="autoZero"/>
        <c:auto val="1"/>
        <c:lblAlgn val="ctr"/>
        <c:lblOffset val="100"/>
        <c:noMultiLvlLbl val="0"/>
      </c:catAx>
      <c:valAx>
        <c:axId val="203460608"/>
        <c:scaling>
          <c:orientation val="minMax"/>
        </c:scaling>
        <c:delete val="0"/>
        <c:axPos val="l"/>
        <c:title>
          <c:tx>
            <c:rich>
              <a:bodyPr rot="-5400000" vert="horz"/>
              <a:lstStyle/>
              <a:p>
                <a:pPr>
                  <a:defRPr/>
                </a:pPr>
                <a:r>
                  <a:rPr lang="en-US"/>
                  <a:t>Million traffic units per track-km</a:t>
                </a:r>
              </a:p>
            </c:rich>
          </c:tx>
          <c:overlay val="0"/>
        </c:title>
        <c:numFmt formatCode="_(* #,##0.00_);_(* \(#,##0.00\);_(* &quot;-&quot;??_);_(@_)" sourceLinked="1"/>
        <c:majorTickMark val="out"/>
        <c:minorTickMark val="none"/>
        <c:tickLblPos val="nextTo"/>
        <c:crossAx val="203446528"/>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overlay val="0"/>
    </c:title>
    <c:autoTitleDeleted val="0"/>
    <c:plotArea>
      <c:layout/>
      <c:barChart>
        <c:barDir val="col"/>
        <c:grouping val="clustered"/>
        <c:varyColors val="0"/>
        <c:ser>
          <c:idx val="0"/>
          <c:order val="0"/>
          <c:tx>
            <c:strRef>
              <c:f>'Charts - Freight'!$B$216:$D$216</c:f>
              <c:strCache>
                <c:ptCount val="3"/>
                <c:pt idx="0">
                  <c:v>Capital expenditure</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[0]!capexpax</c:f>
              <c:numCache>
                <c:formatCode>General</c:formatCode>
                <c:ptCount val="30"/>
                <c:pt idx="0">
                  <c:v>0</c:v>
                </c:pt>
                <c:pt idx="1">
                  <c:v>280</c:v>
                </c:pt>
                <c:pt idx="2">
                  <c:v>280</c:v>
                </c:pt>
                <c:pt idx="3">
                  <c:v>280</c:v>
                </c:pt>
                <c:pt idx="4">
                  <c:v>280</c:v>
                </c:pt>
                <c:pt idx="5">
                  <c:v>280</c:v>
                </c:pt>
                <c:pt idx="6">
                  <c:v>280</c:v>
                </c:pt>
                <c:pt idx="7">
                  <c:v>280</c:v>
                </c:pt>
                <c:pt idx="8">
                  <c:v>280</c:v>
                </c:pt>
                <c:pt idx="9">
                  <c:v>280</c:v>
                </c:pt>
                <c:pt idx="10">
                  <c:v>280</c:v>
                </c:pt>
                <c:pt idx="11">
                  <c:v>280</c:v>
                </c:pt>
                <c:pt idx="12">
                  <c:v>280</c:v>
                </c:pt>
                <c:pt idx="13">
                  <c:v>280</c:v>
                </c:pt>
                <c:pt idx="14">
                  <c:v>280</c:v>
                </c:pt>
                <c:pt idx="15">
                  <c:v>280</c:v>
                </c:pt>
                <c:pt idx="16">
                  <c:v>280</c:v>
                </c:pt>
                <c:pt idx="17">
                  <c:v>280</c:v>
                </c:pt>
                <c:pt idx="18">
                  <c:v>280</c:v>
                </c:pt>
                <c:pt idx="19">
                  <c:v>280</c:v>
                </c:pt>
                <c:pt idx="20">
                  <c:v>280</c:v>
                </c:pt>
                <c:pt idx="21">
                  <c:v>280</c:v>
                </c:pt>
                <c:pt idx="22">
                  <c:v>280</c:v>
                </c:pt>
                <c:pt idx="23">
                  <c:v>280</c:v>
                </c:pt>
                <c:pt idx="24">
                  <c:v>280</c:v>
                </c:pt>
                <c:pt idx="25">
                  <c:v>280</c:v>
                </c:pt>
                <c:pt idx="26">
                  <c:v>280</c:v>
                </c:pt>
                <c:pt idx="27">
                  <c:v>280</c:v>
                </c:pt>
                <c:pt idx="28">
                  <c:v>280</c:v>
                </c:pt>
                <c:pt idx="29">
                  <c:v>280</c:v>
                </c:pt>
              </c:numCache>
            </c:numRef>
          </c:val>
          <c:extLst>
            <c:ext xmlns:c16="http://schemas.microsoft.com/office/drawing/2014/chart" uri="{C3380CC4-5D6E-409C-BE32-E72D297353CC}">
              <c16:uniqueId val="{00000000-7D9F-F241-A81B-3C101F239FB8}"/>
            </c:ext>
          </c:extLst>
        </c:ser>
        <c:dLbls>
          <c:showLegendKey val="0"/>
          <c:showVal val="0"/>
          <c:showCatName val="0"/>
          <c:showSerName val="0"/>
          <c:showPercent val="0"/>
          <c:showBubbleSize val="0"/>
        </c:dLbls>
        <c:gapWidth val="150"/>
        <c:axId val="203558912"/>
        <c:axId val="203560448"/>
      </c:barChart>
      <c:catAx>
        <c:axId val="203558912"/>
        <c:scaling>
          <c:orientation val="minMax"/>
        </c:scaling>
        <c:delete val="0"/>
        <c:axPos val="b"/>
        <c:numFmt formatCode="0" sourceLinked="1"/>
        <c:majorTickMark val="out"/>
        <c:minorTickMark val="none"/>
        <c:tickLblPos val="nextTo"/>
        <c:crossAx val="203560448"/>
        <c:crosses val="autoZero"/>
        <c:auto val="1"/>
        <c:lblAlgn val="ctr"/>
        <c:lblOffset val="100"/>
        <c:noMultiLvlLbl val="0"/>
      </c:catAx>
      <c:valAx>
        <c:axId val="203560448"/>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General" sourceLinked="1"/>
        <c:majorTickMark val="out"/>
        <c:minorTickMark val="none"/>
        <c:tickLblPos val="nextTo"/>
        <c:crossAx val="203558912"/>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[0]!operatingcashflowpax</c:f>
              <c:numCache>
                <c:formatCode>_(* #,##0_);_(* \(#,##0\);_(* "-"??_);_(@_)</c:formatCode>
                <c:ptCount val="30"/>
                <c:pt idx="0">
                  <c:v>0</c:v>
                </c:pt>
                <c:pt idx="1">
                  <c:v>9711.9983596389757</c:v>
                </c:pt>
                <c:pt idx="2">
                  <c:v>10383.080923793646</c:v>
                </c:pt>
                <c:pt idx="3">
                  <c:v>11332.038751553499</c:v>
                </c:pt>
                <c:pt idx="4">
                  <c:v>13105.456950143558</c:v>
                </c:pt>
                <c:pt idx="5">
                  <c:v>14824.734865934801</c:v>
                </c:pt>
                <c:pt idx="6">
                  <c:v>16376.906870982404</c:v>
                </c:pt>
                <c:pt idx="7">
                  <c:v>18025.558867202464</c:v>
                </c:pt>
                <c:pt idx="8">
                  <c:v>19797.382657557842</c:v>
                </c:pt>
                <c:pt idx="9">
                  <c:v>21677.486956082153</c:v>
                </c:pt>
                <c:pt idx="10">
                  <c:v>23227.61198253063</c:v>
                </c:pt>
                <c:pt idx="11">
                  <c:v>25179.813063298785</c:v>
                </c:pt>
                <c:pt idx="12">
                  <c:v>27273.580134959677</c:v>
                </c:pt>
                <c:pt idx="13">
                  <c:v>29486.136986414142</c:v>
                </c:pt>
                <c:pt idx="14">
                  <c:v>31823.055235942418</c:v>
                </c:pt>
                <c:pt idx="15">
                  <c:v>34290.140776367734</c:v>
                </c:pt>
                <c:pt idx="16">
                  <c:v>36893.067960858076</c:v>
                </c:pt>
                <c:pt idx="17">
                  <c:v>39637.482506988839</c:v>
                </c:pt>
                <c:pt idx="18">
                  <c:v>42532.940545235855</c:v>
                </c:pt>
                <c:pt idx="19">
                  <c:v>45583.475785839277</c:v>
                </c:pt>
                <c:pt idx="20">
                  <c:v>48793.392030694806</c:v>
                </c:pt>
                <c:pt idx="21">
                  <c:v>52178.32062702479</c:v>
                </c:pt>
                <c:pt idx="22">
                  <c:v>55741.360295724051</c:v>
                </c:pt>
                <c:pt idx="23">
                  <c:v>59490.656925452909</c:v>
                </c:pt>
                <c:pt idx="24">
                  <c:v>63433.94622038371</c:v>
                </c:pt>
                <c:pt idx="25">
                  <c:v>67581.208911534108</c:v>
                </c:pt>
                <c:pt idx="26">
                  <c:v>71940.517206861725</c:v>
                </c:pt>
                <c:pt idx="27">
                  <c:v>76520.658109752476</c:v>
                </c:pt>
                <c:pt idx="28">
                  <c:v>81333.913072660231</c:v>
                </c:pt>
                <c:pt idx="29">
                  <c:v>86389.08806641557</c:v>
                </c:pt>
              </c:numCache>
            </c:numRef>
          </c:val>
          <c:extLst>
            <c:ext xmlns:c16="http://schemas.microsoft.com/office/drawing/2014/chart" uri="{C3380CC4-5D6E-409C-BE32-E72D297353CC}">
              <c16:uniqueId val="{00000000-7058-EE42-881A-0460ED2797A7}"/>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[0]!investingcashflowpax</c:f>
              <c:numCache>
                <c:formatCode>_(* #,##0_);_(* \(#,##0\);_(* "-"??_);_(@_)</c:formatCode>
                <c:ptCount val="30"/>
                <c:pt idx="0">
                  <c:v>0</c:v>
                </c:pt>
                <c:pt idx="1">
                  <c:v>-250</c:v>
                </c:pt>
                <c:pt idx="2">
                  <c:v>-250</c:v>
                </c:pt>
                <c:pt idx="3">
                  <c:v>-250</c:v>
                </c:pt>
                <c:pt idx="4">
                  <c:v>-250</c:v>
                </c:pt>
                <c:pt idx="5">
                  <c:v>-250</c:v>
                </c:pt>
                <c:pt idx="6">
                  <c:v>-250</c:v>
                </c:pt>
                <c:pt idx="7">
                  <c:v>-250</c:v>
                </c:pt>
                <c:pt idx="8">
                  <c:v>-250</c:v>
                </c:pt>
                <c:pt idx="9">
                  <c:v>-255</c:v>
                </c:pt>
                <c:pt idx="10">
                  <c:v>-255</c:v>
                </c:pt>
                <c:pt idx="11">
                  <c:v>-255</c:v>
                </c:pt>
                <c:pt idx="12">
                  <c:v>-255</c:v>
                </c:pt>
                <c:pt idx="13">
                  <c:v>-255</c:v>
                </c:pt>
                <c:pt idx="14">
                  <c:v>-255</c:v>
                </c:pt>
                <c:pt idx="15">
                  <c:v>-255</c:v>
                </c:pt>
                <c:pt idx="16">
                  <c:v>-255</c:v>
                </c:pt>
                <c:pt idx="17">
                  <c:v>-255</c:v>
                </c:pt>
                <c:pt idx="18">
                  <c:v>-255</c:v>
                </c:pt>
                <c:pt idx="19">
                  <c:v>-255</c:v>
                </c:pt>
                <c:pt idx="20">
                  <c:v>-255</c:v>
                </c:pt>
                <c:pt idx="21">
                  <c:v>-260</c:v>
                </c:pt>
                <c:pt idx="22">
                  <c:v>-260</c:v>
                </c:pt>
                <c:pt idx="23">
                  <c:v>-260</c:v>
                </c:pt>
                <c:pt idx="24">
                  <c:v>-260</c:v>
                </c:pt>
                <c:pt idx="25">
                  <c:v>-260</c:v>
                </c:pt>
                <c:pt idx="26">
                  <c:v>-260</c:v>
                </c:pt>
                <c:pt idx="27">
                  <c:v>-260</c:v>
                </c:pt>
                <c:pt idx="28">
                  <c:v>-260</c:v>
                </c:pt>
                <c:pt idx="29">
                  <c:v>-260</c:v>
                </c:pt>
              </c:numCache>
            </c:numRef>
          </c:val>
          <c:extLst>
            <c:ext xmlns:c16="http://schemas.microsoft.com/office/drawing/2014/chart" uri="{C3380CC4-5D6E-409C-BE32-E72D297353CC}">
              <c16:uniqueId val="{00000001-7058-EE42-881A-0460ED2797A7}"/>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[0]!loanspax</c:f>
              <c:numCache>
                <c:formatCode>_(* #,##0_);_(* \(#,##0\);_(* "-"??_);_(@_)</c:formatCode>
                <c:ptCount val="30"/>
                <c:pt idx="0">
                  <c:v>0</c:v>
                </c:pt>
                <c:pt idx="1">
                  <c:v>-20</c:v>
                </c:pt>
                <c:pt idx="2">
                  <c:v>10</c:v>
                </c:pt>
                <c:pt idx="3">
                  <c:v>15</c:v>
                </c:pt>
                <c:pt idx="4">
                  <c:v>15</c:v>
                </c:pt>
                <c:pt idx="5">
                  <c:v>15</c:v>
                </c:pt>
                <c:pt idx="6">
                  <c:v>15</c:v>
                </c:pt>
                <c:pt idx="7">
                  <c:v>-32.4395066669153</c:v>
                </c:pt>
                <c:pt idx="8">
                  <c:v>-32.807442498607458</c:v>
                </c:pt>
                <c:pt idx="9">
                  <c:v>-33.238398074929925</c:v>
                </c:pt>
                <c:pt idx="10">
                  <c:v>-34.094414864335292</c:v>
                </c:pt>
                <c:pt idx="11">
                  <c:v>-9.6624153580774621</c:v>
                </c:pt>
                <c:pt idx="12">
                  <c:v>-10.24214612536878</c:v>
                </c:pt>
                <c:pt idx="13">
                  <c:v>-10.857626130981783</c:v>
                </c:pt>
                <c:pt idx="14">
                  <c:v>-11.511116225829554</c:v>
                </c:pt>
                <c:pt idx="15">
                  <c:v>-12.205023440600621</c:v>
                </c:pt>
                <c:pt idx="16">
                  <c:v>-62.941910614353816</c:v>
                </c:pt>
                <c:pt idx="17">
                  <c:v>0</c:v>
                </c:pt>
                <c:pt idx="18">
                  <c:v>0</c:v>
                </c:pt>
                <c:pt idx="19">
                  <c:v>0</c:v>
                </c:pt>
                <c:pt idx="20">
                  <c:v>0</c:v>
                </c:pt>
                <c:pt idx="21">
                  <c:v>0</c:v>
                </c:pt>
                <c:pt idx="22">
                  <c:v>0</c:v>
                </c:pt>
                <c:pt idx="23">
                  <c:v>0</c:v>
                </c:pt>
                <c:pt idx="24">
                  <c:v>0</c:v>
                </c:pt>
                <c:pt idx="25">
                  <c:v>0</c:v>
                </c:pt>
                <c:pt idx="26">
                  <c:v>-50</c:v>
                </c:pt>
                <c:pt idx="27">
                  <c:v>0</c:v>
                </c:pt>
                <c:pt idx="28">
                  <c:v>0</c:v>
                </c:pt>
                <c:pt idx="29">
                  <c:v>0</c:v>
                </c:pt>
              </c:numCache>
            </c:numRef>
          </c:val>
          <c:extLst>
            <c:ext xmlns:c16="http://schemas.microsoft.com/office/drawing/2014/chart" uri="{C3380CC4-5D6E-409C-BE32-E72D297353CC}">
              <c16:uniqueId val="{00000002-7058-EE42-881A-0460ED2797A7}"/>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[0]!equitypax</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7058-EE42-881A-0460ED2797A7}"/>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[0]!netinterestpax</c:f>
              <c:numCache>
                <c:formatCode>_(* #,##0_);_(* \(#,##0\);_(* "-"??_);_(@_)</c:formatCode>
                <c:ptCount val="30"/>
                <c:pt idx="0">
                  <c:v>0</c:v>
                </c:pt>
                <c:pt idx="1">
                  <c:v>-11.349249999999998</c:v>
                </c:pt>
                <c:pt idx="2">
                  <c:v>-12.235749999999996</c:v>
                </c:pt>
                <c:pt idx="3">
                  <c:v>-12.868499999999983</c:v>
                </c:pt>
                <c:pt idx="4">
                  <c:v>-14.062249999999949</c:v>
                </c:pt>
                <c:pt idx="5">
                  <c:v>-15.174999999999955</c:v>
                </c:pt>
                <c:pt idx="6">
                  <c:v>-16.231500000000096</c:v>
                </c:pt>
                <c:pt idx="7">
                  <c:v>-16.109750000000076</c:v>
                </c:pt>
                <c:pt idx="8">
                  <c:v>-14.388314168307716</c:v>
                </c:pt>
                <c:pt idx="9">
                  <c:v>-12.57935859198551</c:v>
                </c:pt>
                <c:pt idx="10">
                  <c:v>-10.306591802579987</c:v>
                </c:pt>
                <c:pt idx="11">
                  <c:v>-9.0620913088378074</c:v>
                </c:pt>
                <c:pt idx="12">
                  <c:v>-8.4823605415467682</c:v>
                </c:pt>
                <c:pt idx="13">
                  <c:v>-7.8668805359338876</c:v>
                </c:pt>
                <c:pt idx="14">
                  <c:v>-7.2133904410857212</c:v>
                </c:pt>
                <c:pt idx="15">
                  <c:v>-6.5194832263150602</c:v>
                </c:pt>
                <c:pt idx="16">
                  <c:v>-4.5325960525606206</c:v>
                </c:pt>
                <c:pt idx="17">
                  <c:v>-2.5</c:v>
                </c:pt>
                <c:pt idx="18">
                  <c:v>-2.5</c:v>
                </c:pt>
                <c:pt idx="19">
                  <c:v>-2.5</c:v>
                </c:pt>
                <c:pt idx="20">
                  <c:v>-2.5</c:v>
                </c:pt>
                <c:pt idx="21">
                  <c:v>-2.5</c:v>
                </c:pt>
                <c:pt idx="22">
                  <c:v>-2.5</c:v>
                </c:pt>
                <c:pt idx="23">
                  <c:v>-2.5</c:v>
                </c:pt>
                <c:pt idx="24">
                  <c:v>-2.5</c:v>
                </c:pt>
                <c:pt idx="25">
                  <c:v>-2.5</c:v>
                </c:pt>
                <c:pt idx="26">
                  <c:v>-1.25</c:v>
                </c:pt>
                <c:pt idx="27">
                  <c:v>0</c:v>
                </c:pt>
                <c:pt idx="28">
                  <c:v>0</c:v>
                </c:pt>
                <c:pt idx="29">
                  <c:v>0</c:v>
                </c:pt>
              </c:numCache>
            </c:numRef>
          </c:val>
          <c:extLst>
            <c:ext xmlns:c16="http://schemas.microsoft.com/office/drawing/2014/chart" uri="{C3380CC4-5D6E-409C-BE32-E72D297353CC}">
              <c16:uniqueId val="{00000004-7058-EE42-881A-0460ED2797A7}"/>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[0]!dividendspax</c:f>
              <c:numCache>
                <c:formatCode>_(* #,##0_);_(* \(#,##0\);_(* "-"??_);_(@_)</c:formatCode>
                <c:ptCount val="30"/>
                <c:pt idx="0">
                  <c:v>0</c:v>
                </c:pt>
                <c:pt idx="1">
                  <c:v>-4723.0495548194885</c:v>
                </c:pt>
                <c:pt idx="2">
                  <c:v>-5073.3793368968236</c:v>
                </c:pt>
                <c:pt idx="3">
                  <c:v>-5550.2805782767491</c:v>
                </c:pt>
                <c:pt idx="4">
                  <c:v>-6436.6386661467786</c:v>
                </c:pt>
                <c:pt idx="5">
                  <c:v>-7295.974488524651</c:v>
                </c:pt>
                <c:pt idx="6">
                  <c:v>-8071.7930777151696</c:v>
                </c:pt>
                <c:pt idx="7">
                  <c:v>-8872.7288592584609</c:v>
                </c:pt>
                <c:pt idx="8">
                  <c:v>-9759.5942260558713</c:v>
                </c:pt>
                <c:pt idx="9">
                  <c:v>-10698.120398586339</c:v>
                </c:pt>
                <c:pt idx="10">
                  <c:v>-11474.184860776939</c:v>
                </c:pt>
                <c:pt idx="11">
                  <c:v>-12463.426032346368</c:v>
                </c:pt>
                <c:pt idx="12">
                  <c:v>-13510.621020797726</c:v>
                </c:pt>
                <c:pt idx="13">
                  <c:v>-14617.220242724499</c:v>
                </c:pt>
                <c:pt idx="14">
                  <c:v>-15786.009787574165</c:v>
                </c:pt>
                <c:pt idx="15">
                  <c:v>-17019.892890474915</c:v>
                </c:pt>
                <c:pt idx="16">
                  <c:v>-18297.332025388823</c:v>
                </c:pt>
                <c:pt idx="17">
                  <c:v>-19702.387610736459</c:v>
                </c:pt>
                <c:pt idx="18">
                  <c:v>-21150.488520577226</c:v>
                </c:pt>
                <c:pt idx="19">
                  <c:v>-22676.139188317717</c:v>
                </c:pt>
                <c:pt idx="20">
                  <c:v>-24281.491849607424</c:v>
                </c:pt>
                <c:pt idx="21">
                  <c:v>-25971.862522800217</c:v>
                </c:pt>
                <c:pt idx="22">
                  <c:v>-27753.80092342848</c:v>
                </c:pt>
                <c:pt idx="23">
                  <c:v>-29628.880361559903</c:v>
                </c:pt>
                <c:pt idx="24">
                  <c:v>-31600.96906599031</c:v>
                </c:pt>
                <c:pt idx="25">
                  <c:v>-33675.057790239458</c:v>
                </c:pt>
                <c:pt idx="26">
                  <c:v>-35830.808037937444</c:v>
                </c:pt>
                <c:pt idx="27">
                  <c:v>-38146.988722418013</c:v>
                </c:pt>
                <c:pt idx="28">
                  <c:v>-40554.115993898144</c:v>
                </c:pt>
                <c:pt idx="29">
                  <c:v>-43082.218274502855</c:v>
                </c:pt>
              </c:numCache>
            </c:numRef>
          </c:val>
          <c:extLst>
            <c:ext xmlns:c16="http://schemas.microsoft.com/office/drawing/2014/chart" uri="{C3380CC4-5D6E-409C-BE32-E72D297353CC}">
              <c16:uniqueId val="{00000005-7058-EE42-881A-0460ED2797A7}"/>
            </c:ext>
          </c:extLst>
        </c:ser>
        <c:dLbls>
          <c:showLegendKey val="0"/>
          <c:showVal val="0"/>
          <c:showCatName val="0"/>
          <c:showSerName val="0"/>
          <c:showPercent val="0"/>
          <c:showBubbleSize val="0"/>
        </c:dLbls>
        <c:gapWidth val="150"/>
        <c:overlap val="100"/>
        <c:axId val="203601024"/>
        <c:axId val="203602560"/>
      </c:barChart>
      <c:catAx>
        <c:axId val="203601024"/>
        <c:scaling>
          <c:orientation val="minMax"/>
        </c:scaling>
        <c:delete val="0"/>
        <c:axPos val="b"/>
        <c:numFmt formatCode="0" sourceLinked="1"/>
        <c:majorTickMark val="out"/>
        <c:minorTickMark val="none"/>
        <c:tickLblPos val="nextTo"/>
        <c:crossAx val="203602560"/>
        <c:crosses val="autoZero"/>
        <c:auto val="1"/>
        <c:lblAlgn val="ctr"/>
        <c:lblOffset val="100"/>
        <c:noMultiLvlLbl val="0"/>
      </c:catAx>
      <c:valAx>
        <c:axId val="203602560"/>
        <c:scaling>
          <c:orientation val="minMax"/>
        </c:scaling>
        <c:delete val="0"/>
        <c:axPos val="l"/>
        <c:numFmt formatCode="_(* #,##0_);_(* \(#,##0\);_(* &quot;-&quot;??_);_(@_)" sourceLinked="1"/>
        <c:majorTickMark val="out"/>
        <c:minorTickMark val="none"/>
        <c:tickLblPos val="nextTo"/>
        <c:crossAx val="203601024"/>
        <c:crosses val="autoZero"/>
        <c:crossBetween val="between"/>
        <c:dispUnits>
          <c:builtInUnit val="thousands"/>
          <c:dispUnitsLbl>
            <c:layout>
              <c:manualLayout>
                <c:xMode val="edge"/>
                <c:yMode val="edge"/>
                <c:x val="1.5048908954100828E-2"/>
                <c:y val="0.41308122035205552"/>
              </c:manualLayout>
            </c:layout>
            <c:tx>
              <c:strRef>
                <c:f>'Charts - Freight'!$E$134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'Charts - Passenger'!$L$172</c:f>
          <c:strCache>
            <c:ptCount val="1"/>
            <c:pt idx="0">
              <c:v>Passenger track access charge</c:v>
            </c:pt>
          </c:strCache>
        </c:strRef>
      </c:tx>
      <c:overlay val="0"/>
      <c:txPr>
        <a:bodyPr/>
        <a:lstStyle/>
        <a:p>
          <a:pPr>
            <a:defRPr/>
          </a:pPr>
          <a:endParaRPr lang="en-US"/>
        </a:p>
      </c:txPr>
    </c:title>
    <c:autoTitleDeleted val="0"/>
    <c:plotArea>
      <c:layout/>
      <c:barChart>
        <c:barDir val="col"/>
        <c:grouping val="stacked"/>
        <c:varyColors val="0"/>
        <c:ser>
          <c:idx val="2"/>
          <c:order val="2"/>
          <c:tx>
            <c:strRef>
              <c:f>'Charts - Passenger'!$B$177</c:f>
              <c:strCache>
                <c:ptCount val="1"/>
                <c:pt idx="0">
                  <c:v>Total charges</c:v>
                </c:pt>
              </c:strCache>
            </c:strRef>
          </c:tx>
          <c:invertIfNegative val="0"/>
          <c:dLbls>
            <c:delete val="1"/>
          </c:dLbls>
          <c:cat>
            <c:numRef>
              <c:f>'Charts - Passenger'!$E$174:$AH$174</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[0]!paxtactotal</c:f>
              <c:numCache>
                <c:formatCode>_(* #,##0_);_(* \(#,##0\);_(* "-"??_);_(@_)</c:formatCode>
                <c:ptCount val="30"/>
                <c:pt idx="0">
                  <c:v>15750</c:v>
                </c:pt>
                <c:pt idx="1">
                  <c:v>17188.125</c:v>
                </c:pt>
                <c:pt idx="2">
                  <c:v>17703.768750000003</c:v>
                </c:pt>
                <c:pt idx="3">
                  <c:v>19259.313375000002</c:v>
                </c:pt>
                <c:pt idx="4">
                  <c:v>21947.421795000002</c:v>
                </c:pt>
                <c:pt idx="5">
                  <c:v>23692.663893506251</c:v>
                </c:pt>
                <c:pt idx="6">
                  <c:v>25522.867838307378</c:v>
                </c:pt>
                <c:pt idx="7">
                  <c:v>27441.560622292414</c:v>
                </c:pt>
                <c:pt idx="8">
                  <c:v>29452.404392262084</c:v>
                </c:pt>
                <c:pt idx="9">
                  <c:v>31559.201383869862</c:v>
                </c:pt>
                <c:pt idx="10">
                  <c:v>33765.899031021072</c:v>
                </c:pt>
                <c:pt idx="11">
                  <c:v>36076.595255755878</c:v>
                </c:pt>
                <c:pt idx="12">
                  <c:v>38495.543944846839</c:v>
                </c:pt>
                <c:pt idx="13">
                  <c:v>41027.160619553091</c:v>
                </c:pt>
                <c:pt idx="14">
                  <c:v>43676.028305191358</c:v>
                </c:pt>
                <c:pt idx="15">
                  <c:v>46446.903607410313</c:v>
                </c:pt>
                <c:pt idx="16">
                  <c:v>49344.723002287741</c:v>
                </c:pt>
                <c:pt idx="17">
                  <c:v>52374.609347611149</c:v>
                </c:pt>
                <c:pt idx="18">
                  <c:v>55541.878622951881</c:v>
                </c:pt>
                <c:pt idx="19">
                  <c:v>58852.046906400225</c:v>
                </c:pt>
                <c:pt idx="20">
                  <c:v>62310.837596094818</c:v>
                </c:pt>
                <c:pt idx="21">
                  <c:v>65924.188884955322</c:v>
                </c:pt>
                <c:pt idx="22">
                  <c:v>69698.261497310974</c:v>
                </c:pt>
                <c:pt idx="23">
                  <c:v>73639.446696411498</c:v>
                </c:pt>
                <c:pt idx="24">
                  <c:v>77754.374572110479</c:v>
                </c:pt>
                <c:pt idx="25">
                  <c:v>82049.922618324621</c:v>
                </c:pt>
                <c:pt idx="26">
                  <c:v>86533.224610196718</c:v>
                </c:pt>
                <c:pt idx="27">
                  <c:v>91211.67979122464</c:v>
                </c:pt>
                <c:pt idx="28">
                  <c:v>96092.962380965051</c:v>
                </c:pt>
                <c:pt idx="29">
                  <c:v>101185.03141427781</c:v>
                </c:pt>
              </c:numCache>
            </c:numRef>
          </c:val>
          <c:extLst>
            <c:ext xmlns:c16="http://schemas.microsoft.com/office/drawing/2014/chart" uri="{C3380CC4-5D6E-409C-BE32-E72D297353CC}">
              <c16:uniqueId val="{00000000-1E90-BF48-9018-52576CEEC458}"/>
            </c:ext>
          </c:extLst>
        </c:ser>
        <c:dLbls>
          <c:showLegendKey val="0"/>
          <c:showVal val="1"/>
          <c:showCatName val="0"/>
          <c:showSerName val="0"/>
          <c:showPercent val="0"/>
          <c:showBubbleSize val="0"/>
        </c:dLbls>
        <c:gapWidth val="75"/>
        <c:overlap val="100"/>
        <c:axId val="203662848"/>
        <c:axId val="203664384"/>
      </c:barChart>
      <c:lineChart>
        <c:grouping val="standard"/>
        <c:varyColors val="0"/>
        <c:ser>
          <c:idx val="0"/>
          <c:order val="0"/>
          <c:tx>
            <c:strRef>
              <c:f>'Charts - Passenger'!$B$175</c:f>
              <c:strCache>
                <c:ptCount val="1"/>
                <c:pt idx="0">
                  <c:v>R$ per GTK</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[0]!paxtacgtk</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smooth val="0"/>
          <c:extLst>
            <c:ext xmlns:c16="http://schemas.microsoft.com/office/drawing/2014/chart" uri="{C3380CC4-5D6E-409C-BE32-E72D297353CC}">
              <c16:uniqueId val="{00000001-1E90-BF48-9018-52576CEEC458}"/>
            </c:ext>
          </c:extLst>
        </c:ser>
        <c:ser>
          <c:idx val="1"/>
          <c:order val="1"/>
          <c:tx>
            <c:strRef>
              <c:f>'Charts - Passenger'!$B$176</c:f>
              <c:strCache>
                <c:ptCount val="1"/>
                <c:pt idx="0">
                  <c:v>R$ per train-km</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[0]!paxtactrainkm</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smooth val="0"/>
          <c:extLst>
            <c:ext xmlns:c16="http://schemas.microsoft.com/office/drawing/2014/chart" uri="{C3380CC4-5D6E-409C-BE32-E72D297353CC}">
              <c16:uniqueId val="{00000002-1E90-BF48-9018-52576CEEC458}"/>
            </c:ext>
          </c:extLst>
        </c:ser>
        <c:dLbls>
          <c:showLegendKey val="0"/>
          <c:showVal val="0"/>
          <c:showCatName val="0"/>
          <c:showSerName val="0"/>
          <c:showPercent val="0"/>
          <c:showBubbleSize val="0"/>
        </c:dLbls>
        <c:marker val="1"/>
        <c:smooth val="0"/>
        <c:axId val="203676672"/>
        <c:axId val="203674752"/>
      </c:lineChart>
      <c:catAx>
        <c:axId val="203662848"/>
        <c:scaling>
          <c:orientation val="minMax"/>
        </c:scaling>
        <c:delete val="0"/>
        <c:axPos val="b"/>
        <c:numFmt formatCode="0" sourceLinked="1"/>
        <c:majorTickMark val="none"/>
        <c:minorTickMark val="none"/>
        <c:tickLblPos val="nextTo"/>
        <c:txPr>
          <a:bodyPr rot="2700000"/>
          <a:lstStyle/>
          <a:p>
            <a:pPr>
              <a:defRPr/>
            </a:pPr>
            <a:endParaRPr lang="en-US"/>
          </a:p>
        </c:txPr>
        <c:crossAx val="203664384"/>
        <c:crosses val="autoZero"/>
        <c:auto val="1"/>
        <c:lblAlgn val="ctr"/>
        <c:lblOffset val="100"/>
        <c:noMultiLvlLbl val="0"/>
      </c:catAx>
      <c:valAx>
        <c:axId val="203664384"/>
        <c:scaling>
          <c:orientation val="minMax"/>
        </c:scaling>
        <c:delete val="0"/>
        <c:axPos val="l"/>
        <c:title>
          <c:tx>
            <c:strRef>
              <c:f>'Charts - Passenger'!$F$172</c:f>
              <c:strCache>
                <c:ptCount val="1"/>
                <c:pt idx="0">
                  <c:v>R$ millions</c:v>
                </c:pt>
              </c:strCache>
            </c:strRef>
          </c:tx>
          <c:overlay val="0"/>
          <c:txPr>
            <a:bodyPr rot="-5400000" vert="horz"/>
            <a:lstStyle/>
            <a:p>
              <a:pPr>
                <a:defRPr/>
              </a:pPr>
              <a:endParaRPr lang="en-US"/>
            </a:p>
          </c:txPr>
        </c:title>
        <c:numFmt formatCode="_(* #,##0_);_(* \(#,##0\);_(* &quot;-&quot;??_);_(@_)" sourceLinked="1"/>
        <c:majorTickMark val="none"/>
        <c:minorTickMark val="none"/>
        <c:tickLblPos val="nextTo"/>
        <c:crossAx val="203662848"/>
        <c:crosses val="autoZero"/>
        <c:crossBetween val="between"/>
      </c:valAx>
      <c:valAx>
        <c:axId val="203674752"/>
        <c:scaling>
          <c:orientation val="minMax"/>
        </c:scaling>
        <c:delete val="0"/>
        <c:axPos val="r"/>
        <c:title>
          <c:tx>
            <c:strRef>
              <c:f>'Charts - Passenger'!$I$172</c:f>
              <c:strCache>
                <c:ptCount val="1"/>
                <c:pt idx="0">
                  <c:v>R$</c:v>
                </c:pt>
              </c:strCache>
            </c:strRef>
          </c:tx>
          <c:overlay val="0"/>
          <c:txPr>
            <a:bodyPr rot="-5400000" vert="horz"/>
            <a:lstStyle/>
            <a:p>
              <a:pPr>
                <a:defRPr/>
              </a:pPr>
              <a:endParaRPr lang="en-US"/>
            </a:p>
          </c:txPr>
        </c:title>
        <c:numFmt formatCode="0.00" sourceLinked="1"/>
        <c:majorTickMark val="out"/>
        <c:minorTickMark val="none"/>
        <c:tickLblPos val="nextTo"/>
        <c:crossAx val="203676672"/>
        <c:crosses val="max"/>
        <c:crossBetween val="between"/>
      </c:valAx>
      <c:catAx>
        <c:axId val="203676672"/>
        <c:scaling>
          <c:orientation val="minMax"/>
        </c:scaling>
        <c:delete val="1"/>
        <c:axPos val="b"/>
        <c:numFmt formatCode="0" sourceLinked="1"/>
        <c:majorTickMark val="out"/>
        <c:minorTickMark val="none"/>
        <c:tickLblPos val="none"/>
        <c:crossAx val="203674752"/>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Debt-to-equity ratio</a:t>
            </a:r>
          </a:p>
        </c:rich>
      </c:tx>
      <c:overlay val="0"/>
    </c:title>
    <c:autoTitleDeleted val="0"/>
    <c:plotArea>
      <c:layout/>
      <c:lineChart>
        <c:grouping val="standard"/>
        <c:varyColors val="0"/>
        <c:ser>
          <c:idx val="0"/>
          <c:order val="0"/>
          <c:tx>
            <c:strRef>
              <c:f>'Charts - Freight'!$B$221:$D$221</c:f>
              <c:strCache>
                <c:ptCount val="3"/>
                <c:pt idx="0">
                  <c:v>Debt-to-equity</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[0]!debttoequitypax</c:f>
              <c:numCache>
                <c:formatCode>0%</c:formatCode>
                <c:ptCount val="30"/>
                <c:pt idx="0">
                  <c:v>5.3879310344827583E-2</c:v>
                </c:pt>
                <c:pt idx="1">
                  <c:v>2.3088213573641096E-2</c:v>
                </c:pt>
                <c:pt idx="2">
                  <c:v>1.563989789586049E-2</c:v>
                </c:pt>
                <c:pt idx="3">
                  <c:v>1.1876439264092023E-2</c:v>
                </c:pt>
                <c:pt idx="4">
                  <c:v>9.3821594726081047E-3</c:v>
                </c:pt>
                <c:pt idx="5">
                  <c:v>7.7684071807457402E-3</c:v>
                </c:pt>
                <c:pt idx="6">
                  <c:v>6.6096665332910347E-3</c:v>
                </c:pt>
                <c:pt idx="7">
                  <c:v>4.8687609482066796E-3</c:v>
                </c:pt>
                <c:pt idx="8">
                  <c:v>3.5880549602058795E-3</c:v>
                </c:pt>
                <c:pt idx="9">
                  <c:v>2.6218140566332798E-3</c:v>
                </c:pt>
                <c:pt idx="10">
                  <c:v>1.8791737894279649E-3</c:v>
                </c:pt>
                <c:pt idx="11">
                  <c:v>1.5419605863926321E-3</c:v>
                </c:pt>
                <c:pt idx="12">
                  <c:v>1.2651743546528748E-3</c:v>
                </c:pt>
                <c:pt idx="13">
                  <c:v>1.0351727924491311E-3</c:v>
                </c:pt>
                <c:pt idx="14">
                  <c:v>8.4202498259532208E-4</c:v>
                </c:pt>
                <c:pt idx="15">
                  <c:v>6.783388473317137E-4</c:v>
                </c:pt>
                <c:pt idx="16">
                  <c:v>2.6921598159984817E-4</c:v>
                </c:pt>
                <c:pt idx="17">
                  <c:v>2.423401640288271E-4</c:v>
                </c:pt>
                <c:pt idx="18">
                  <c:v>2.1891766865191132E-4</c:v>
                </c:pt>
                <c:pt idx="19">
                  <c:v>1.9838833338801294E-4</c:v>
                </c:pt>
                <c:pt idx="20">
                  <c:v>1.8029756606967689E-4</c:v>
                </c:pt>
                <c:pt idx="21">
                  <c:v>1.6429157066419464E-4</c:v>
                </c:pt>
                <c:pt idx="22">
                  <c:v>1.5007260179825298E-4</c:v>
                </c:pt>
                <c:pt idx="23">
                  <c:v>1.3739304788249786E-4</c:v>
                </c:pt>
                <c:pt idx="24">
                  <c:v>1.2604617498977017E-4</c:v>
                </c:pt>
                <c:pt idx="25">
                  <c:v>1.1585997315333427E-4</c:v>
                </c:pt>
                <c:pt idx="26">
                  <c:v>0</c:v>
                </c:pt>
                <c:pt idx="27">
                  <c:v>0</c:v>
                </c:pt>
                <c:pt idx="28">
                  <c:v>0</c:v>
                </c:pt>
                <c:pt idx="29">
                  <c:v>0</c:v>
                </c:pt>
              </c:numCache>
            </c:numRef>
          </c:val>
          <c:smooth val="0"/>
          <c:extLst>
            <c:ext xmlns:c16="http://schemas.microsoft.com/office/drawing/2014/chart" uri="{C3380CC4-5D6E-409C-BE32-E72D297353CC}">
              <c16:uniqueId val="{00000000-83DF-C34B-A165-6D20089B17F6}"/>
            </c:ext>
          </c:extLst>
        </c:ser>
        <c:dLbls>
          <c:showLegendKey val="0"/>
          <c:showVal val="0"/>
          <c:showCatName val="0"/>
          <c:showSerName val="0"/>
          <c:showPercent val="0"/>
          <c:showBubbleSize val="0"/>
        </c:dLbls>
        <c:smooth val="0"/>
        <c:axId val="203709056"/>
        <c:axId val="203714944"/>
      </c:lineChart>
      <c:catAx>
        <c:axId val="203709056"/>
        <c:scaling>
          <c:orientation val="minMax"/>
        </c:scaling>
        <c:delete val="0"/>
        <c:axPos val="b"/>
        <c:numFmt formatCode="0" sourceLinked="1"/>
        <c:majorTickMark val="none"/>
        <c:minorTickMark val="none"/>
        <c:tickLblPos val="nextTo"/>
        <c:crossAx val="203714944"/>
        <c:crosses val="autoZero"/>
        <c:auto val="1"/>
        <c:lblAlgn val="ctr"/>
        <c:lblOffset val="100"/>
        <c:noMultiLvlLbl val="0"/>
      </c:catAx>
      <c:valAx>
        <c:axId val="203714944"/>
        <c:scaling>
          <c:orientation val="minMax"/>
        </c:scaling>
        <c:delete val="0"/>
        <c:axPos val="l"/>
        <c:numFmt formatCode="0%" sourceLinked="1"/>
        <c:majorTickMark val="none"/>
        <c:minorTickMark val="none"/>
        <c:tickLblPos val="nextTo"/>
        <c:crossAx val="203709056"/>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 - Passenger'!$H$165</c:f>
          <c:strCache>
            <c:ptCount val="1"/>
            <c:pt idx="0">
              <c:v>Fare (R$/Passenger-km)</c:v>
            </c:pt>
          </c:strCache>
        </c:strRef>
      </c:tx>
      <c:overlay val="0"/>
    </c:title>
    <c:autoTitleDeleted val="0"/>
    <c:plotArea>
      <c:layout/>
      <c:barChart>
        <c:barDir val="col"/>
        <c:grouping val="stacked"/>
        <c:varyColors val="0"/>
        <c:ser>
          <c:idx val="0"/>
          <c:order val="0"/>
          <c:tx>
            <c:strRef>
              <c:f>'Charts - Passenger'!$B$167</c:f>
              <c:strCache>
                <c:ptCount val="1"/>
                <c:pt idx="0">
                  <c:v>Domestic passenger</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[0]!domestictariffpax</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1.3842338707244459</c:v>
                </c:pt>
                <c:pt idx="12">
                  <c:v>1.4257608868461793</c:v>
                </c:pt>
                <c:pt idx="13">
                  <c:v>1.4685337134515648</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1.8602945717094976</c:v>
                </c:pt>
                <c:pt idx="22">
                  <c:v>1.9161034088607827</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0-C123-874D-A0F8-A4E5A5E33AEB}"/>
            </c:ext>
          </c:extLst>
        </c:ser>
        <c:ser>
          <c:idx val="1"/>
          <c:order val="1"/>
          <c:tx>
            <c:strRef>
              <c:f>'Charts - Passenger'!$B$168</c:f>
              <c:strCache>
                <c:ptCount val="1"/>
                <c:pt idx="0">
                  <c:v>International passenger</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[0]!internationaltariffpax</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1.3842338707244459</c:v>
                </c:pt>
                <c:pt idx="12">
                  <c:v>1.4257608868461793</c:v>
                </c:pt>
                <c:pt idx="13">
                  <c:v>1.4685337134515648</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1.8602945717094976</c:v>
                </c:pt>
                <c:pt idx="22">
                  <c:v>1.9161034088607827</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1-C123-874D-A0F8-A4E5A5E33AEB}"/>
            </c:ext>
          </c:extLst>
        </c:ser>
        <c:ser>
          <c:idx val="2"/>
          <c:order val="2"/>
          <c:tx>
            <c:strRef>
              <c:f>'Charts - Passenger'!$B$169</c:f>
              <c:strCache>
                <c:ptCount val="1"/>
                <c:pt idx="0">
                  <c:v>Sub-urban passenger</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[0]!suburbantariffpax</c:f>
              <c:numCache>
                <c:formatCode>0.0</c:formatCode>
                <c:ptCount val="30"/>
                <c:pt idx="0">
                  <c:v>1</c:v>
                </c:pt>
                <c:pt idx="1">
                  <c:v>1.03</c:v>
                </c:pt>
                <c:pt idx="2">
                  <c:v>1.0609</c:v>
                </c:pt>
                <c:pt idx="3">
                  <c:v>1.092727</c:v>
                </c:pt>
                <c:pt idx="4">
                  <c:v>1.1255088100000001</c:v>
                </c:pt>
                <c:pt idx="5">
                  <c:v>1.1592740743000001</c:v>
                </c:pt>
                <c:pt idx="6">
                  <c:v>1.1940522965290001</c:v>
                </c:pt>
                <c:pt idx="7">
                  <c:v>1.2298738654248702</c:v>
                </c:pt>
                <c:pt idx="8">
                  <c:v>1.2667700813876164</c:v>
                </c:pt>
                <c:pt idx="9">
                  <c:v>1.3047731838292449</c:v>
                </c:pt>
                <c:pt idx="10">
                  <c:v>1.3439163793441222</c:v>
                </c:pt>
                <c:pt idx="11">
                  <c:v>1.3842338707244459</c:v>
                </c:pt>
                <c:pt idx="12">
                  <c:v>1.4257608868461793</c:v>
                </c:pt>
                <c:pt idx="13">
                  <c:v>1.4685337134515648</c:v>
                </c:pt>
                <c:pt idx="14">
                  <c:v>1.5125897248551119</c:v>
                </c:pt>
                <c:pt idx="15">
                  <c:v>1.5579674166007653</c:v>
                </c:pt>
                <c:pt idx="16">
                  <c:v>1.6047064390987884</c:v>
                </c:pt>
                <c:pt idx="17">
                  <c:v>1.652847632271752</c:v>
                </c:pt>
                <c:pt idx="18">
                  <c:v>1.7024330612399046</c:v>
                </c:pt>
                <c:pt idx="19">
                  <c:v>1.7535060530771018</c:v>
                </c:pt>
                <c:pt idx="20">
                  <c:v>1.806111234669415</c:v>
                </c:pt>
                <c:pt idx="21">
                  <c:v>1.8602945717094976</c:v>
                </c:pt>
                <c:pt idx="22">
                  <c:v>1.9161034088607827</c:v>
                </c:pt>
                <c:pt idx="23">
                  <c:v>1.9735865111266062</c:v>
                </c:pt>
                <c:pt idx="24">
                  <c:v>2.0327941064604045</c:v>
                </c:pt>
                <c:pt idx="25">
                  <c:v>2.0937779296542165</c:v>
                </c:pt>
                <c:pt idx="26">
                  <c:v>2.1565912675438432</c:v>
                </c:pt>
                <c:pt idx="27">
                  <c:v>2.2212890055701586</c:v>
                </c:pt>
                <c:pt idx="28">
                  <c:v>2.2879276757372633</c:v>
                </c:pt>
                <c:pt idx="29">
                  <c:v>2.3565655060093813</c:v>
                </c:pt>
              </c:numCache>
            </c:numRef>
          </c:val>
          <c:extLst>
            <c:ext xmlns:c16="http://schemas.microsoft.com/office/drawing/2014/chart" uri="{C3380CC4-5D6E-409C-BE32-E72D297353CC}">
              <c16:uniqueId val="{00000002-C123-874D-A0F8-A4E5A5E33AEB}"/>
            </c:ext>
          </c:extLst>
        </c:ser>
        <c:dLbls>
          <c:showLegendKey val="0"/>
          <c:showVal val="1"/>
          <c:showCatName val="0"/>
          <c:showSerName val="0"/>
          <c:showPercent val="0"/>
          <c:showBubbleSize val="0"/>
        </c:dLbls>
        <c:gapWidth val="75"/>
        <c:overlap val="100"/>
        <c:axId val="203748480"/>
        <c:axId val="203750016"/>
      </c:barChart>
      <c:catAx>
        <c:axId val="203748480"/>
        <c:scaling>
          <c:orientation val="minMax"/>
        </c:scaling>
        <c:delete val="0"/>
        <c:axPos val="b"/>
        <c:numFmt formatCode="0" sourceLinked="1"/>
        <c:majorTickMark val="none"/>
        <c:minorTickMark val="none"/>
        <c:tickLblPos val="nextTo"/>
        <c:crossAx val="203750016"/>
        <c:crosses val="autoZero"/>
        <c:auto val="1"/>
        <c:lblAlgn val="ctr"/>
        <c:lblOffset val="100"/>
        <c:noMultiLvlLbl val="0"/>
      </c:catAx>
      <c:valAx>
        <c:axId val="203750016"/>
        <c:scaling>
          <c:orientation val="minMax"/>
        </c:scaling>
        <c:delete val="0"/>
        <c:axPos val="l"/>
        <c:title>
          <c:tx>
            <c:strRef>
              <c:f>'Charts - Passenger'!$F$165</c:f>
              <c:strCache>
                <c:ptCount val="1"/>
                <c:pt idx="0">
                  <c:v>R$/Passenger-km</c:v>
                </c:pt>
              </c:strCache>
            </c:strRef>
          </c:tx>
          <c:overlay val="0"/>
          <c:txPr>
            <a:bodyPr rot="-5400000" vert="horz"/>
            <a:lstStyle/>
            <a:p>
              <a:pPr>
                <a:defRPr/>
              </a:pPr>
              <a:endParaRPr lang="en-US"/>
            </a:p>
          </c:txPr>
        </c:title>
        <c:numFmt formatCode="0.0" sourceLinked="1"/>
        <c:majorTickMark val="none"/>
        <c:minorTickMark val="none"/>
        <c:tickLblPos val="nextTo"/>
        <c:crossAx val="203748480"/>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Public subsidy</a:t>
            </a:r>
          </a:p>
        </c:rich>
      </c:tx>
      <c:overlay val="0"/>
    </c:title>
    <c:autoTitleDeleted val="0"/>
    <c:plotArea>
      <c:layout/>
      <c:barChart>
        <c:barDir val="col"/>
        <c:grouping val="clustered"/>
        <c:varyColors val="0"/>
        <c:ser>
          <c:idx val="0"/>
          <c:order val="0"/>
          <c:tx>
            <c:strRef>
              <c:f>'Charts - Freight'!$B$196:$D$196</c:f>
              <c:strCache>
                <c:ptCount val="3"/>
                <c:pt idx="0">
                  <c:v>Operating subsidy</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[0]!operatingsubsidypax</c:f>
              <c:numCache>
                <c:formatCode>_(* #,##0.00_);_(* \(#,##0.00\);_(* "-"??_);_(@_)</c:formatCode>
                <c:ptCount val="30"/>
                <c:pt idx="0">
                  <c:v>10</c:v>
                </c:pt>
                <c:pt idx="1">
                  <c:v>10.3</c:v>
                </c:pt>
                <c:pt idx="2">
                  <c:v>10.609000000000002</c:v>
                </c:pt>
                <c:pt idx="3">
                  <c:v>10.927270000000002</c:v>
                </c:pt>
                <c:pt idx="4">
                  <c:v>11.255088100000002</c:v>
                </c:pt>
                <c:pt idx="5">
                  <c:v>11.592740743000002</c:v>
                </c:pt>
                <c:pt idx="6">
                  <c:v>11.940522965290002</c:v>
                </c:pt>
                <c:pt idx="7">
                  <c:v>12.298738654248703</c:v>
                </c:pt>
                <c:pt idx="8">
                  <c:v>12.667700813876165</c:v>
                </c:pt>
                <c:pt idx="9">
                  <c:v>13.047731838292449</c:v>
                </c:pt>
                <c:pt idx="10">
                  <c:v>13.439163793441223</c:v>
                </c:pt>
                <c:pt idx="11">
                  <c:v>13.84233870724446</c:v>
                </c:pt>
                <c:pt idx="12">
                  <c:v>14.257608868461794</c:v>
                </c:pt>
                <c:pt idx="13">
                  <c:v>14.685337134515649</c:v>
                </c:pt>
                <c:pt idx="14">
                  <c:v>15.125897248551119</c:v>
                </c:pt>
                <c:pt idx="15">
                  <c:v>15.579674166007653</c:v>
                </c:pt>
                <c:pt idx="16">
                  <c:v>16.047064390987885</c:v>
                </c:pt>
                <c:pt idx="17">
                  <c:v>16.52847632271752</c:v>
                </c:pt>
                <c:pt idx="18">
                  <c:v>17.024330612399044</c:v>
                </c:pt>
                <c:pt idx="19">
                  <c:v>17.535060530771016</c:v>
                </c:pt>
                <c:pt idx="20">
                  <c:v>18.061112346694149</c:v>
                </c:pt>
                <c:pt idx="21">
                  <c:v>18.602945717094972</c:v>
                </c:pt>
                <c:pt idx="22">
                  <c:v>19.161034088607821</c:v>
                </c:pt>
                <c:pt idx="23">
                  <c:v>19.735865111266055</c:v>
                </c:pt>
                <c:pt idx="24">
                  <c:v>20.327941064604037</c:v>
                </c:pt>
                <c:pt idx="25">
                  <c:v>20.937779296542157</c:v>
                </c:pt>
                <c:pt idx="26">
                  <c:v>21.565912675438422</c:v>
                </c:pt>
                <c:pt idx="27">
                  <c:v>22.212890055701575</c:v>
                </c:pt>
                <c:pt idx="28">
                  <c:v>22.879276757372622</c:v>
                </c:pt>
                <c:pt idx="29">
                  <c:v>23.565655060093803</c:v>
                </c:pt>
              </c:numCache>
            </c:numRef>
          </c:val>
          <c:extLst>
            <c:ext xmlns:c16="http://schemas.microsoft.com/office/drawing/2014/chart" uri="{C3380CC4-5D6E-409C-BE32-E72D297353CC}">
              <c16:uniqueId val="{00000000-3EA5-314D-BB62-9293F1AD4D5F}"/>
            </c:ext>
          </c:extLst>
        </c:ser>
        <c:ser>
          <c:idx val="1"/>
          <c:order val="1"/>
          <c:tx>
            <c:strRef>
              <c:f>'Charts - Freight'!$B$197</c:f>
              <c:strCache>
                <c:ptCount val="1"/>
                <c:pt idx="0">
                  <c:v>Capital subsidy</c:v>
                </c:pt>
              </c:strCache>
            </c:strRef>
          </c:tx>
          <c:invertIfNegative val="0"/>
          <c:dLbls>
            <c:delete val="1"/>
          </c:dLbls>
          <c:val>
            <c:numRef>
              <c:f>[0]!capitalsubsidypax</c:f>
              <c:numCache>
                <c:formatCode>_(* #,##0.00_);_(* \(#,##0.00\);_(* "-"??_);_(@_)</c:formatCode>
                <c:ptCount val="30"/>
                <c:pt idx="0">
                  <c:v>15</c:v>
                </c:pt>
                <c:pt idx="1">
                  <c:v>15.450000000000001</c:v>
                </c:pt>
                <c:pt idx="2">
                  <c:v>15.913500000000001</c:v>
                </c:pt>
                <c:pt idx="3">
                  <c:v>16.390905</c:v>
                </c:pt>
                <c:pt idx="4">
                  <c:v>16.882632149999999</c:v>
                </c:pt>
                <c:pt idx="5">
                  <c:v>17.3891111145</c:v>
                </c:pt>
                <c:pt idx="6">
                  <c:v>17.910784447935001</c:v>
                </c:pt>
                <c:pt idx="7">
                  <c:v>18.448107981373052</c:v>
                </c:pt>
                <c:pt idx="8">
                  <c:v>19.001551220814246</c:v>
                </c:pt>
                <c:pt idx="9">
                  <c:v>19.571597757438674</c:v>
                </c:pt>
                <c:pt idx="10">
                  <c:v>20.158745690161833</c:v>
                </c:pt>
                <c:pt idx="11">
                  <c:v>20.763508060866688</c:v>
                </c:pt>
                <c:pt idx="12">
                  <c:v>21.386413302692688</c:v>
                </c:pt>
                <c:pt idx="13">
                  <c:v>22.02800570177347</c:v>
                </c:pt>
                <c:pt idx="14">
                  <c:v>22.688845872826676</c:v>
                </c:pt>
                <c:pt idx="15">
                  <c:v>23.369511249011477</c:v>
                </c:pt>
                <c:pt idx="16">
                  <c:v>24.070596586481823</c:v>
                </c:pt>
                <c:pt idx="17">
                  <c:v>24.792714484076278</c:v>
                </c:pt>
                <c:pt idx="18">
                  <c:v>25.536495918598568</c:v>
                </c:pt>
                <c:pt idx="19">
                  <c:v>26.302590796156526</c:v>
                </c:pt>
                <c:pt idx="20">
                  <c:v>27.091668520041221</c:v>
                </c:pt>
                <c:pt idx="21">
                  <c:v>27.90441857564246</c:v>
                </c:pt>
                <c:pt idx="22">
                  <c:v>28.741551132911734</c:v>
                </c:pt>
                <c:pt idx="23">
                  <c:v>29.603797666899087</c:v>
                </c:pt>
                <c:pt idx="24">
                  <c:v>30.491911596906061</c:v>
                </c:pt>
                <c:pt idx="25">
                  <c:v>31.406668944813244</c:v>
                </c:pt>
                <c:pt idx="26">
                  <c:v>32.348869013157639</c:v>
                </c:pt>
                <c:pt idx="27">
                  <c:v>33.319335083552367</c:v>
                </c:pt>
                <c:pt idx="28">
                  <c:v>34.318915136058941</c:v>
                </c:pt>
                <c:pt idx="29">
                  <c:v>35.348482590140712</c:v>
                </c:pt>
              </c:numCache>
            </c:numRef>
          </c:val>
          <c:extLst>
            <c:ext xmlns:c16="http://schemas.microsoft.com/office/drawing/2014/chart" uri="{C3380CC4-5D6E-409C-BE32-E72D297353CC}">
              <c16:uniqueId val="{00000001-3EA5-314D-BB62-9293F1AD4D5F}"/>
            </c:ext>
          </c:extLst>
        </c:ser>
        <c:dLbls>
          <c:showLegendKey val="0"/>
          <c:showVal val="1"/>
          <c:showCatName val="0"/>
          <c:showSerName val="0"/>
          <c:showPercent val="0"/>
          <c:showBubbleSize val="0"/>
        </c:dLbls>
        <c:gapWidth val="75"/>
        <c:axId val="203791744"/>
        <c:axId val="203801728"/>
      </c:barChart>
      <c:catAx>
        <c:axId val="203791744"/>
        <c:scaling>
          <c:orientation val="minMax"/>
        </c:scaling>
        <c:delete val="0"/>
        <c:axPos val="b"/>
        <c:numFmt formatCode="0" sourceLinked="1"/>
        <c:majorTickMark val="none"/>
        <c:minorTickMark val="none"/>
        <c:tickLblPos val="nextTo"/>
        <c:crossAx val="203801728"/>
        <c:crosses val="autoZero"/>
        <c:auto val="1"/>
        <c:lblAlgn val="ctr"/>
        <c:lblOffset val="100"/>
        <c:noMultiLvlLbl val="0"/>
      </c:catAx>
      <c:valAx>
        <c:axId val="203801728"/>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00_);_(* \(#,##0.00\);_(* &quot;-&quot;??_);_(@_)" sourceLinked="1"/>
        <c:majorTickMark val="none"/>
        <c:minorTickMark val="none"/>
        <c:tickLblPos val="nextTo"/>
        <c:crossAx val="203791744"/>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[0]!operatingrevenuespax</c:f>
              <c:numCache>
                <c:formatCode>_(* #,##0_);_(* \(#,##0\);_(* "-"??_);_(@_)</c:formatCode>
                <c:ptCount val="30"/>
                <c:pt idx="0">
                  <c:v>24512</c:v>
                </c:pt>
                <c:pt idx="1">
                  <c:v>26776.924713958808</c:v>
                </c:pt>
                <c:pt idx="2">
                  <c:v>27566.26488385785</c:v>
                </c:pt>
                <c:pt idx="3">
                  <c:v>30017.618080946355</c:v>
                </c:pt>
                <c:pt idx="4">
                  <c:v>34279.949024389927</c:v>
                </c:pt>
                <c:pt idx="5">
                  <c:v>37032.53579802921</c:v>
                </c:pt>
                <c:pt idx="6">
                  <c:v>39919.86872866359</c:v>
                </c:pt>
                <c:pt idx="7">
                  <c:v>42947.555221003211</c:v>
                </c:pt>
                <c:pt idx="8">
                  <c:v>46121.417852499559</c:v>
                </c:pt>
                <c:pt idx="9">
                  <c:v>49447.511898881392</c:v>
                </c:pt>
                <c:pt idx="10">
                  <c:v>52932.085166842822</c:v>
                </c:pt>
                <c:pt idx="11">
                  <c:v>56581.692703882596</c:v>
                </c:pt>
                <c:pt idx="12">
                  <c:v>60403.079921803474</c:v>
                </c:pt>
                <c:pt idx="13">
                  <c:v>64403.26892675741</c:v>
                </c:pt>
                <c:pt idx="14">
                  <c:v>68589.548549552623</c:v>
                </c:pt>
                <c:pt idx="15">
                  <c:v>72969.484029237487</c:v>
                </c:pt>
                <c:pt idx="16">
                  <c:v>77550.9270376473</c:v>
                </c:pt>
                <c:pt idx="17">
                  <c:v>82342.026056656177</c:v>
                </c:pt>
                <c:pt idx="18">
                  <c:v>87351.237120274876</c:v>
                </c:pt>
                <c:pt idx="19">
                  <c:v>92587.19966844481</c:v>
                </c:pt>
                <c:pt idx="20">
                  <c:v>98058.577363466902</c:v>
                </c:pt>
                <c:pt idx="21">
                  <c:v>103776.10431871914</c:v>
                </c:pt>
                <c:pt idx="22">
                  <c:v>109748.87054206799</c:v>
                </c:pt>
                <c:pt idx="23">
                  <c:v>115987.04459601869</c:v>
                </c:pt>
                <c:pt idx="24">
                  <c:v>122501.07173193288</c:v>
                </c:pt>
                <c:pt idx="25">
                  <c:v>129302.09723360164</c:v>
                </c:pt>
                <c:pt idx="26">
                  <c:v>136401.37348583053</c:v>
                </c:pt>
                <c:pt idx="27">
                  <c:v>143810.6746003149</c:v>
                </c:pt>
                <c:pt idx="28">
                  <c:v>151542.21271132951</c:v>
                </c:pt>
                <c:pt idx="29">
                  <c:v>159608.6536601354</c:v>
                </c:pt>
              </c:numCache>
            </c:numRef>
          </c:val>
          <c:extLst>
            <c:ext xmlns:c16="http://schemas.microsoft.com/office/drawing/2014/chart" uri="{C3380CC4-5D6E-409C-BE32-E72D297353CC}">
              <c16:uniqueId val="{00000000-80FF-F147-999E-21B8DC996994}"/>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[0]!operatingcostspax</c:f>
              <c:numCache>
                <c:formatCode>_(* #,##0_);_(* \(#,##0\);_(* "-"??_);_(@_)</c:formatCode>
                <c:ptCount val="30"/>
                <c:pt idx="0">
                  <c:v>11420</c:v>
                </c:pt>
                <c:pt idx="1">
                  <c:v>12332.181064073227</c:v>
                </c:pt>
                <c:pt idx="2">
                  <c:v>12713.684726210007</c:v>
                </c:pt>
                <c:pt idx="3">
                  <c:v>13714.138266374508</c:v>
                </c:pt>
                <c:pt idx="4">
                  <c:v>15395.968092789008</c:v>
                </c:pt>
                <c:pt idx="5">
                  <c:v>16513.971275834763</c:v>
                </c:pt>
                <c:pt idx="6">
                  <c:v>17684.901510670763</c:v>
                </c:pt>
                <c:pt idx="7">
                  <c:v>18910.933491350843</c:v>
                </c:pt>
                <c:pt idx="8">
                  <c:v>20194.324759225416</c:v>
                </c:pt>
                <c:pt idx="9">
                  <c:v>21537.636107859071</c:v>
                </c:pt>
                <c:pt idx="10">
                  <c:v>22942.647746376093</c:v>
                </c:pt>
                <c:pt idx="11">
                  <c:v>24412.753833592946</c:v>
                </c:pt>
                <c:pt idx="12">
                  <c:v>25950.139734550718</c:v>
                </c:pt>
                <c:pt idx="13">
                  <c:v>27557.524612058682</c:v>
                </c:pt>
                <c:pt idx="14">
                  <c:v>29237.730226862317</c:v>
                </c:pt>
                <c:pt idx="15">
                  <c:v>30993.684646272926</c:v>
                </c:pt>
                <c:pt idx="16">
                  <c:v>32828.426082976919</c:v>
                </c:pt>
                <c:pt idx="17">
                  <c:v>34745.106868497758</c:v>
                </c:pt>
                <c:pt idx="18">
                  <c:v>36746.997565934747</c:v>
                </c:pt>
                <c:pt idx="19">
                  <c:v>38834.447748498344</c:v>
                </c:pt>
                <c:pt idx="20">
                  <c:v>41001.197667513698</c:v>
                </c:pt>
                <c:pt idx="21">
                  <c:v>43279.820293434881</c:v>
                </c:pt>
                <c:pt idx="22">
                  <c:v>45658.004801167233</c:v>
                </c:pt>
                <c:pt idx="23">
                  <c:v>48139.679821291968</c:v>
                </c:pt>
                <c:pt idx="24">
                  <c:v>50726.690179634141</c:v>
                </c:pt>
                <c:pt idx="25">
                  <c:v>53427.721795813428</c:v>
                </c:pt>
                <c:pt idx="26">
                  <c:v>56244.927595176974</c:v>
                </c:pt>
                <c:pt idx="27">
                  <c:v>59182.8527782971</c:v>
                </c:pt>
                <c:pt idx="28">
                  <c:v>62246.210701015756</c:v>
                </c:pt>
                <c:pt idx="29">
                  <c:v>65439.888873079959</c:v>
                </c:pt>
              </c:numCache>
            </c:numRef>
          </c:val>
          <c:extLst>
            <c:ext xmlns:c16="http://schemas.microsoft.com/office/drawing/2014/chart" uri="{C3380CC4-5D6E-409C-BE32-E72D297353CC}">
              <c16:uniqueId val="{00000001-80FF-F147-999E-21B8DC996994}"/>
            </c:ext>
          </c:extLst>
        </c:ser>
        <c:dLbls>
          <c:showLegendKey val="0"/>
          <c:showVal val="0"/>
          <c:showCatName val="0"/>
          <c:showSerName val="0"/>
          <c:showPercent val="0"/>
          <c:showBubbleSize val="0"/>
        </c:dLbls>
        <c:gapWidth val="150"/>
        <c:axId val="203853824"/>
        <c:axId val="203855360"/>
      </c:barChart>
      <c:lineChart>
        <c:grouping val="standard"/>
        <c:varyColors val="0"/>
        <c:ser>
          <c:idx val="2"/>
          <c:order val="2"/>
          <c:tx>
            <c:strRef>
              <c:f>'Charts - Freight'!$B$140</c:f>
              <c:strCache>
                <c:ptCount val="1"/>
                <c:pt idx="0">
                  <c:v>Operating profit</c:v>
                </c:pt>
              </c:strCache>
            </c:strRef>
          </c:tx>
          <c:marker>
            <c:symbol val="none"/>
          </c:marker>
          <c:val>
            <c:numRef>
              <c:f>[0]!operatingprofitpax</c:f>
              <c:numCache>
                <c:formatCode>0%</c:formatCode>
                <c:ptCount val="30"/>
                <c:pt idx="0">
                  <c:v>0.53410574412532641</c:v>
                </c:pt>
                <c:pt idx="1">
                  <c:v>0.53944744604504702</c:v>
                </c:pt>
                <c:pt idx="2">
                  <c:v>0.53879552490062443</c:v>
                </c:pt>
                <c:pt idx="3">
                  <c:v>0.54313036332887654</c:v>
                </c:pt>
                <c:pt idx="4">
                  <c:v>0.55087540877511543</c:v>
                </c:pt>
                <c:pt idx="5">
                  <c:v>0.55406857996708936</c:v>
                </c:pt>
                <c:pt idx="6">
                  <c:v>0.55698998834701818</c:v>
                </c:pt>
                <c:pt idx="7">
                  <c:v>0.55967380694809421</c:v>
                </c:pt>
                <c:pt idx="8">
                  <c:v>0.56214865675186565</c:v>
                </c:pt>
                <c:pt idx="9">
                  <c:v>0.56443438141229718</c:v>
                </c:pt>
                <c:pt idx="10">
                  <c:v>0.5665644443429636</c:v>
                </c:pt>
                <c:pt idx="11">
                  <c:v>0.56853970485902838</c:v>
                </c:pt>
                <c:pt idx="12">
                  <c:v>0.57038383194788722</c:v>
                </c:pt>
                <c:pt idx="13">
                  <c:v>0.57210984673156162</c:v>
                </c:pt>
                <c:pt idx="14">
                  <c:v>0.57372907614722857</c:v>
                </c:pt>
                <c:pt idx="15">
                  <c:v>0.57525142107549576</c:v>
                </c:pt>
                <c:pt idx="16">
                  <c:v>0.57668557505392204</c:v>
                </c:pt>
                <c:pt idx="17">
                  <c:v>0.57803920388610464</c:v>
                </c:pt>
                <c:pt idx="18">
                  <c:v>0.57931909406918414</c:v>
                </c:pt>
                <c:pt idx="19">
                  <c:v>0.58056353483457024</c:v>
                </c:pt>
                <c:pt idx="20">
                  <c:v>0.58187035984075708</c:v>
                </c:pt>
                <c:pt idx="21">
                  <c:v>0.58295003866677175</c:v>
                </c:pt>
                <c:pt idx="22">
                  <c:v>0.58397745165253434</c:v>
                </c:pt>
                <c:pt idx="23">
                  <c:v>0.58495640621793732</c:v>
                </c:pt>
                <c:pt idx="24">
                  <c:v>0.58590819278186779</c:v>
                </c:pt>
                <c:pt idx="25">
                  <c:v>0.58679926359362089</c:v>
                </c:pt>
                <c:pt idx="26">
                  <c:v>0.58765131055648989</c:v>
                </c:pt>
                <c:pt idx="27">
                  <c:v>0.58846689967361088</c:v>
                </c:pt>
                <c:pt idx="28">
                  <c:v>0.58924837121398232</c:v>
                </c:pt>
                <c:pt idx="29">
                  <c:v>0.58999786432366519</c:v>
                </c:pt>
              </c:numCache>
            </c:numRef>
          </c:val>
          <c:smooth val="0"/>
          <c:extLst>
            <c:ext xmlns:c16="http://schemas.microsoft.com/office/drawing/2014/chart" uri="{C3380CC4-5D6E-409C-BE32-E72D297353CC}">
              <c16:uniqueId val="{00000002-80FF-F147-999E-21B8DC996994}"/>
            </c:ext>
          </c:extLst>
        </c:ser>
        <c:dLbls>
          <c:showLegendKey val="0"/>
          <c:showVal val="0"/>
          <c:showCatName val="0"/>
          <c:showSerName val="0"/>
          <c:showPercent val="0"/>
          <c:showBubbleSize val="0"/>
        </c:dLbls>
        <c:marker val="1"/>
        <c:smooth val="0"/>
        <c:axId val="203859456"/>
        <c:axId val="203857920"/>
      </c:lineChart>
      <c:catAx>
        <c:axId val="203853824"/>
        <c:scaling>
          <c:orientation val="minMax"/>
        </c:scaling>
        <c:delete val="0"/>
        <c:axPos val="b"/>
        <c:numFmt formatCode="0" sourceLinked="1"/>
        <c:majorTickMark val="out"/>
        <c:minorTickMark val="none"/>
        <c:tickLblPos val="nextTo"/>
        <c:crossAx val="203855360"/>
        <c:crosses val="autoZero"/>
        <c:auto val="1"/>
        <c:lblAlgn val="ctr"/>
        <c:lblOffset val="100"/>
        <c:noMultiLvlLbl val="0"/>
      </c:catAx>
      <c:valAx>
        <c:axId val="203855360"/>
        <c:scaling>
          <c:orientation val="minMax"/>
        </c:scaling>
        <c:delete val="0"/>
        <c:axPos val="l"/>
        <c:title>
          <c:tx>
            <c:strRef>
              <c:f>'Charts - Passenger'!$E$135</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3853824"/>
        <c:crosses val="autoZero"/>
        <c:crossBetween val="between"/>
        <c:dispUnits>
          <c:builtInUnit val="thousands"/>
        </c:dispUnits>
      </c:valAx>
      <c:valAx>
        <c:axId val="203857920"/>
        <c:scaling>
          <c:orientation val="minMax"/>
        </c:scaling>
        <c:delete val="0"/>
        <c:axPos val="r"/>
        <c:numFmt formatCode="0%" sourceLinked="1"/>
        <c:majorTickMark val="out"/>
        <c:minorTickMark val="none"/>
        <c:tickLblPos val="nextTo"/>
        <c:crossAx val="203859456"/>
        <c:crosses val="max"/>
        <c:crossBetween val="between"/>
      </c:valAx>
      <c:catAx>
        <c:axId val="203859456"/>
        <c:scaling>
          <c:orientation val="minMax"/>
        </c:scaling>
        <c:delete val="1"/>
        <c:axPos val="b"/>
        <c:majorTickMark val="out"/>
        <c:minorTickMark val="none"/>
        <c:tickLblPos val="none"/>
        <c:crossAx val="203857920"/>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Passenger traffic</a:t>
            </a:r>
          </a:p>
        </c:rich>
      </c:tx>
      <c:overlay val="0"/>
    </c:title>
    <c:autoTitleDeleted val="0"/>
    <c:plotArea>
      <c:layout/>
      <c:barChart>
        <c:barDir val="col"/>
        <c:grouping val="stacked"/>
        <c:varyColors val="0"/>
        <c:ser>
          <c:idx val="0"/>
          <c:order val="0"/>
          <c:tx>
            <c:strRef>
              <c:f>'Charts - Passenger'!$B$145</c:f>
              <c:strCache>
                <c:ptCount val="1"/>
                <c:pt idx="0">
                  <c:v>Domestic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[0]!domesticpkmpax</c:f>
              <c:numCache>
                <c:formatCode>_(* #,##0_);_(* \(#,##0\);_(* "-"??_);_(@_)</c:formatCode>
                <c:ptCount val="30"/>
                <c:pt idx="0">
                  <c:v>8000</c:v>
                </c:pt>
                <c:pt idx="1">
                  <c:v>8500</c:v>
                </c:pt>
                <c:pt idx="2">
                  <c:v>8500</c:v>
                </c:pt>
                <c:pt idx="3">
                  <c:v>9000</c:v>
                </c:pt>
                <c:pt idx="4">
                  <c:v>10000</c:v>
                </c:pt>
                <c:pt idx="5">
                  <c:v>10500</c:v>
                </c:pt>
                <c:pt idx="6">
                  <c:v>11000</c:v>
                </c:pt>
                <c:pt idx="7">
                  <c:v>11500</c:v>
                </c:pt>
                <c:pt idx="8">
                  <c:v>12000</c:v>
                </c:pt>
                <c:pt idx="9">
                  <c:v>12500</c:v>
                </c:pt>
                <c:pt idx="10">
                  <c:v>13000</c:v>
                </c:pt>
                <c:pt idx="11">
                  <c:v>13500</c:v>
                </c:pt>
                <c:pt idx="12">
                  <c:v>14000</c:v>
                </c:pt>
                <c:pt idx="13">
                  <c:v>14500</c:v>
                </c:pt>
                <c:pt idx="14">
                  <c:v>15000</c:v>
                </c:pt>
                <c:pt idx="15">
                  <c:v>15500</c:v>
                </c:pt>
                <c:pt idx="16">
                  <c:v>16000</c:v>
                </c:pt>
                <c:pt idx="17">
                  <c:v>16500</c:v>
                </c:pt>
                <c:pt idx="18">
                  <c:v>17000</c:v>
                </c:pt>
                <c:pt idx="19">
                  <c:v>17500</c:v>
                </c:pt>
                <c:pt idx="20">
                  <c:v>18000</c:v>
                </c:pt>
                <c:pt idx="21">
                  <c:v>18500</c:v>
                </c:pt>
                <c:pt idx="22">
                  <c:v>19000</c:v>
                </c:pt>
                <c:pt idx="23">
                  <c:v>19500</c:v>
                </c:pt>
                <c:pt idx="24">
                  <c:v>20000</c:v>
                </c:pt>
                <c:pt idx="25">
                  <c:v>20500</c:v>
                </c:pt>
                <c:pt idx="26">
                  <c:v>21000</c:v>
                </c:pt>
                <c:pt idx="27">
                  <c:v>21500</c:v>
                </c:pt>
                <c:pt idx="28">
                  <c:v>22000</c:v>
                </c:pt>
                <c:pt idx="29">
                  <c:v>22500</c:v>
                </c:pt>
              </c:numCache>
            </c:numRef>
          </c:val>
          <c:extLst>
            <c:ext xmlns:c16="http://schemas.microsoft.com/office/drawing/2014/chart" uri="{C3380CC4-5D6E-409C-BE32-E72D297353CC}">
              <c16:uniqueId val="{00000000-B394-0340-B533-B5D5522A10C6}"/>
            </c:ext>
          </c:extLst>
        </c:ser>
        <c:ser>
          <c:idx val="1"/>
          <c:order val="1"/>
          <c:tx>
            <c:strRef>
              <c:f>'Charts - Passenger'!$B$146</c:f>
              <c:strCache>
                <c:ptCount val="1"/>
                <c:pt idx="0">
                  <c:v>International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[0]!internationalpkmpax</c:f>
              <c:numCache>
                <c:formatCode>_(* #,##0_);_(* \(#,##0\);_(* "-"??_);_(@_)</c:formatCode>
                <c:ptCount val="30"/>
                <c:pt idx="0">
                  <c:v>8000</c:v>
                </c:pt>
                <c:pt idx="1">
                  <c:v>8500</c:v>
                </c:pt>
                <c:pt idx="2">
                  <c:v>8500</c:v>
                </c:pt>
                <c:pt idx="3">
                  <c:v>9000</c:v>
                </c:pt>
                <c:pt idx="4">
                  <c:v>10000</c:v>
                </c:pt>
                <c:pt idx="5">
                  <c:v>10500</c:v>
                </c:pt>
                <c:pt idx="6">
                  <c:v>11000</c:v>
                </c:pt>
                <c:pt idx="7">
                  <c:v>11500</c:v>
                </c:pt>
                <c:pt idx="8">
                  <c:v>12000</c:v>
                </c:pt>
                <c:pt idx="9">
                  <c:v>12500</c:v>
                </c:pt>
                <c:pt idx="10">
                  <c:v>13000</c:v>
                </c:pt>
                <c:pt idx="11">
                  <c:v>13500</c:v>
                </c:pt>
                <c:pt idx="12">
                  <c:v>14000</c:v>
                </c:pt>
                <c:pt idx="13">
                  <c:v>14500</c:v>
                </c:pt>
                <c:pt idx="14">
                  <c:v>15000</c:v>
                </c:pt>
                <c:pt idx="15">
                  <c:v>15500</c:v>
                </c:pt>
                <c:pt idx="16">
                  <c:v>16000</c:v>
                </c:pt>
                <c:pt idx="17">
                  <c:v>16500</c:v>
                </c:pt>
                <c:pt idx="18">
                  <c:v>17000</c:v>
                </c:pt>
                <c:pt idx="19">
                  <c:v>17500</c:v>
                </c:pt>
                <c:pt idx="20">
                  <c:v>18000</c:v>
                </c:pt>
                <c:pt idx="21">
                  <c:v>18500</c:v>
                </c:pt>
                <c:pt idx="22">
                  <c:v>19000</c:v>
                </c:pt>
                <c:pt idx="23">
                  <c:v>19500</c:v>
                </c:pt>
                <c:pt idx="24">
                  <c:v>20000</c:v>
                </c:pt>
                <c:pt idx="25">
                  <c:v>20500</c:v>
                </c:pt>
                <c:pt idx="26">
                  <c:v>21000</c:v>
                </c:pt>
                <c:pt idx="27">
                  <c:v>21500</c:v>
                </c:pt>
                <c:pt idx="28">
                  <c:v>22000</c:v>
                </c:pt>
                <c:pt idx="29">
                  <c:v>22500</c:v>
                </c:pt>
              </c:numCache>
            </c:numRef>
          </c:val>
          <c:extLst>
            <c:ext xmlns:c16="http://schemas.microsoft.com/office/drawing/2014/chart" uri="{C3380CC4-5D6E-409C-BE32-E72D297353CC}">
              <c16:uniqueId val="{00000001-B394-0340-B533-B5D5522A10C6}"/>
            </c:ext>
          </c:extLst>
        </c:ser>
        <c:ser>
          <c:idx val="2"/>
          <c:order val="2"/>
          <c:tx>
            <c:strRef>
              <c:f>'Charts - Passenger'!$B$147</c:f>
              <c:strCache>
                <c:ptCount val="1"/>
                <c:pt idx="0">
                  <c:v>Sub-urban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[0]!suburbanpkmpax</c:f>
              <c:numCache>
                <c:formatCode>_(* #,##0_);_(* \(#,##0\);_(* "-"??_);_(@_)</c:formatCode>
                <c:ptCount val="30"/>
                <c:pt idx="0">
                  <c:v>8000</c:v>
                </c:pt>
                <c:pt idx="1">
                  <c:v>8500</c:v>
                </c:pt>
                <c:pt idx="2">
                  <c:v>8500</c:v>
                </c:pt>
                <c:pt idx="3">
                  <c:v>9000</c:v>
                </c:pt>
                <c:pt idx="4">
                  <c:v>10000</c:v>
                </c:pt>
                <c:pt idx="5">
                  <c:v>10500</c:v>
                </c:pt>
                <c:pt idx="6">
                  <c:v>11000</c:v>
                </c:pt>
                <c:pt idx="7">
                  <c:v>11500</c:v>
                </c:pt>
                <c:pt idx="8">
                  <c:v>12000</c:v>
                </c:pt>
                <c:pt idx="9">
                  <c:v>12500</c:v>
                </c:pt>
                <c:pt idx="10">
                  <c:v>13000</c:v>
                </c:pt>
                <c:pt idx="11">
                  <c:v>13500</c:v>
                </c:pt>
                <c:pt idx="12">
                  <c:v>14000</c:v>
                </c:pt>
                <c:pt idx="13">
                  <c:v>14500</c:v>
                </c:pt>
                <c:pt idx="14">
                  <c:v>15000</c:v>
                </c:pt>
                <c:pt idx="15">
                  <c:v>15500</c:v>
                </c:pt>
                <c:pt idx="16">
                  <c:v>16000</c:v>
                </c:pt>
                <c:pt idx="17">
                  <c:v>16500</c:v>
                </c:pt>
                <c:pt idx="18">
                  <c:v>17000</c:v>
                </c:pt>
                <c:pt idx="19">
                  <c:v>17500</c:v>
                </c:pt>
                <c:pt idx="20">
                  <c:v>18000</c:v>
                </c:pt>
                <c:pt idx="21">
                  <c:v>18500</c:v>
                </c:pt>
                <c:pt idx="22">
                  <c:v>19000</c:v>
                </c:pt>
                <c:pt idx="23">
                  <c:v>19500</c:v>
                </c:pt>
                <c:pt idx="24">
                  <c:v>20000</c:v>
                </c:pt>
                <c:pt idx="25">
                  <c:v>20500</c:v>
                </c:pt>
                <c:pt idx="26">
                  <c:v>21000</c:v>
                </c:pt>
                <c:pt idx="27">
                  <c:v>21500</c:v>
                </c:pt>
                <c:pt idx="28">
                  <c:v>22000</c:v>
                </c:pt>
                <c:pt idx="29">
                  <c:v>22500</c:v>
                </c:pt>
              </c:numCache>
            </c:numRef>
          </c:val>
          <c:extLst>
            <c:ext xmlns:c16="http://schemas.microsoft.com/office/drawing/2014/chart" uri="{C3380CC4-5D6E-409C-BE32-E72D297353CC}">
              <c16:uniqueId val="{00000002-B394-0340-B533-B5D5522A10C6}"/>
            </c:ext>
          </c:extLst>
        </c:ser>
        <c:dLbls>
          <c:showLegendKey val="0"/>
          <c:showVal val="0"/>
          <c:showCatName val="0"/>
          <c:showSerName val="0"/>
          <c:showPercent val="0"/>
          <c:showBubbleSize val="0"/>
        </c:dLbls>
        <c:gapWidth val="150"/>
        <c:overlap val="100"/>
        <c:axId val="203909760"/>
        <c:axId val="203919744"/>
      </c:barChart>
      <c:catAx>
        <c:axId val="203909760"/>
        <c:scaling>
          <c:orientation val="minMax"/>
        </c:scaling>
        <c:delete val="0"/>
        <c:axPos val="b"/>
        <c:numFmt formatCode="0" sourceLinked="1"/>
        <c:majorTickMark val="out"/>
        <c:minorTickMark val="none"/>
        <c:tickLblPos val="nextTo"/>
        <c:crossAx val="203919744"/>
        <c:crosses val="autoZero"/>
        <c:auto val="1"/>
        <c:lblAlgn val="ctr"/>
        <c:lblOffset val="100"/>
        <c:noMultiLvlLbl val="0"/>
      </c:catAx>
      <c:valAx>
        <c:axId val="203919744"/>
        <c:scaling>
          <c:orientation val="minMax"/>
        </c:scaling>
        <c:delete val="0"/>
        <c:axPos val="l"/>
        <c:numFmt formatCode="_(* #,##0_);_(* \(#,##0\);_(* &quot;-&quot;??_);_(@_)" sourceLinked="1"/>
        <c:majorTickMark val="out"/>
        <c:minorTickMark val="none"/>
        <c:tickLblPos val="nextTo"/>
        <c:crossAx val="203909760"/>
        <c:crosses val="autoZero"/>
        <c:crossBetween val="between"/>
        <c:dispUnits>
          <c:builtInUnit val="thousands"/>
          <c:dispUnitsLbl>
            <c:layout>
              <c:manualLayout>
                <c:xMode val="edge"/>
                <c:yMode val="edge"/>
                <c:x val="3.1215161649944412E-2"/>
                <c:y val="0.26436351706036748"/>
              </c:manualLayout>
            </c:layout>
            <c:tx>
              <c:strRef>
                <c:f>'Charts - Passenger'!$F$158</c:f>
                <c:strCache>
                  <c:ptCount val="1"/>
                  <c:pt idx="0">
                    <c:v>Passenger-km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Passenger traffic</a:t>
            </a:r>
          </a:p>
        </c:rich>
      </c:tx>
      <c:overlay val="0"/>
    </c:title>
    <c:autoTitleDeleted val="0"/>
    <c:plotArea>
      <c:layout/>
      <c:barChart>
        <c:barDir val="col"/>
        <c:grouping val="stacked"/>
        <c:varyColors val="0"/>
        <c:ser>
          <c:idx val="0"/>
          <c:order val="0"/>
          <c:tx>
            <c:strRef>
              <c:f>'Charts - Passenger'!$B$145</c:f>
              <c:strCache>
                <c:ptCount val="1"/>
                <c:pt idx="0">
                  <c:v>Domestic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[0]!domestictrainkmpax</c:f>
              <c:numCache>
                <c:formatCode>_(* #,##0_);_(* \(#,##0\);_(* "-"??_);_(@_)</c:formatCode>
                <c:ptCount val="30"/>
                <c:pt idx="0">
                  <c:v>500</c:v>
                </c:pt>
                <c:pt idx="1">
                  <c:v>500</c:v>
                </c:pt>
                <c:pt idx="2">
                  <c:v>500</c:v>
                </c:pt>
                <c:pt idx="3">
                  <c:v>500</c:v>
                </c:pt>
                <c:pt idx="4">
                  <c:v>500</c:v>
                </c:pt>
                <c:pt idx="5">
                  <c:v>500</c:v>
                </c:pt>
                <c:pt idx="6">
                  <c:v>500</c:v>
                </c:pt>
                <c:pt idx="7">
                  <c:v>500</c:v>
                </c:pt>
                <c:pt idx="8">
                  <c:v>500</c:v>
                </c:pt>
                <c:pt idx="9">
                  <c:v>500</c:v>
                </c:pt>
                <c:pt idx="10">
                  <c:v>500</c:v>
                </c:pt>
                <c:pt idx="11">
                  <c:v>500</c:v>
                </c:pt>
                <c:pt idx="12">
                  <c:v>500</c:v>
                </c:pt>
                <c:pt idx="13">
                  <c:v>500</c:v>
                </c:pt>
                <c:pt idx="14">
                  <c:v>500</c:v>
                </c:pt>
                <c:pt idx="15">
                  <c:v>500</c:v>
                </c:pt>
                <c:pt idx="16">
                  <c:v>500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numCache>
            </c:numRef>
          </c:val>
          <c:extLst>
            <c:ext xmlns:c16="http://schemas.microsoft.com/office/drawing/2014/chart" uri="{C3380CC4-5D6E-409C-BE32-E72D297353CC}">
              <c16:uniqueId val="{00000000-40D1-4C49-B71F-AA1B57FD6A95}"/>
            </c:ext>
          </c:extLst>
        </c:ser>
        <c:ser>
          <c:idx val="1"/>
          <c:order val="1"/>
          <c:tx>
            <c:strRef>
              <c:f>'Charts - Passenger'!$B$146</c:f>
              <c:strCache>
                <c:ptCount val="1"/>
                <c:pt idx="0">
                  <c:v>International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[0]!internationaltrainkmpax</c:f>
              <c:numCache>
                <c:formatCode>_(* #,##0_);_(* \(#,##0\);_(* "-"??_);_(@_)</c:formatCode>
                <c:ptCount val="30"/>
                <c:pt idx="0">
                  <c:v>500</c:v>
                </c:pt>
                <c:pt idx="1">
                  <c:v>500</c:v>
                </c:pt>
                <c:pt idx="2">
                  <c:v>500</c:v>
                </c:pt>
                <c:pt idx="3">
                  <c:v>500</c:v>
                </c:pt>
                <c:pt idx="4">
                  <c:v>500</c:v>
                </c:pt>
                <c:pt idx="5">
                  <c:v>500</c:v>
                </c:pt>
                <c:pt idx="6">
                  <c:v>500</c:v>
                </c:pt>
                <c:pt idx="7">
                  <c:v>500</c:v>
                </c:pt>
                <c:pt idx="8">
                  <c:v>500</c:v>
                </c:pt>
                <c:pt idx="9">
                  <c:v>500</c:v>
                </c:pt>
                <c:pt idx="10">
                  <c:v>500</c:v>
                </c:pt>
                <c:pt idx="11">
                  <c:v>500</c:v>
                </c:pt>
                <c:pt idx="12">
                  <c:v>500</c:v>
                </c:pt>
                <c:pt idx="13">
                  <c:v>500</c:v>
                </c:pt>
                <c:pt idx="14">
                  <c:v>500</c:v>
                </c:pt>
                <c:pt idx="15">
                  <c:v>500</c:v>
                </c:pt>
                <c:pt idx="16">
                  <c:v>500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numCache>
            </c:numRef>
          </c:val>
          <c:extLst>
            <c:ext xmlns:c16="http://schemas.microsoft.com/office/drawing/2014/chart" uri="{C3380CC4-5D6E-409C-BE32-E72D297353CC}">
              <c16:uniqueId val="{00000001-40D1-4C49-B71F-AA1B57FD6A95}"/>
            </c:ext>
          </c:extLst>
        </c:ser>
        <c:ser>
          <c:idx val="2"/>
          <c:order val="2"/>
          <c:tx>
            <c:strRef>
              <c:f>'Charts - Passenger'!$B$147</c:f>
              <c:strCache>
                <c:ptCount val="1"/>
                <c:pt idx="0">
                  <c:v>Sub-urban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[0]!suburbantrainkmpax</c:f>
              <c:numCache>
                <c:formatCode>_(* #,##0_);_(* \(#,##0\);_(* "-"??_);_(@_)</c:formatCode>
                <c:ptCount val="30"/>
                <c:pt idx="0">
                  <c:v>500</c:v>
                </c:pt>
                <c:pt idx="1">
                  <c:v>500</c:v>
                </c:pt>
                <c:pt idx="2">
                  <c:v>500</c:v>
                </c:pt>
                <c:pt idx="3">
                  <c:v>500</c:v>
                </c:pt>
                <c:pt idx="4">
                  <c:v>500</c:v>
                </c:pt>
                <c:pt idx="5">
                  <c:v>500</c:v>
                </c:pt>
                <c:pt idx="6">
                  <c:v>500</c:v>
                </c:pt>
                <c:pt idx="7">
                  <c:v>500</c:v>
                </c:pt>
                <c:pt idx="8">
                  <c:v>500</c:v>
                </c:pt>
                <c:pt idx="9">
                  <c:v>500</c:v>
                </c:pt>
                <c:pt idx="10">
                  <c:v>500</c:v>
                </c:pt>
                <c:pt idx="11">
                  <c:v>500</c:v>
                </c:pt>
                <c:pt idx="12">
                  <c:v>500</c:v>
                </c:pt>
                <c:pt idx="13">
                  <c:v>500</c:v>
                </c:pt>
                <c:pt idx="14">
                  <c:v>500</c:v>
                </c:pt>
                <c:pt idx="15">
                  <c:v>500</c:v>
                </c:pt>
                <c:pt idx="16">
                  <c:v>500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numCache>
            </c:numRef>
          </c:val>
          <c:extLst>
            <c:ext xmlns:c16="http://schemas.microsoft.com/office/drawing/2014/chart" uri="{C3380CC4-5D6E-409C-BE32-E72D297353CC}">
              <c16:uniqueId val="{00000002-40D1-4C49-B71F-AA1B57FD6A95}"/>
            </c:ext>
          </c:extLst>
        </c:ser>
        <c:dLbls>
          <c:showLegendKey val="0"/>
          <c:showVal val="0"/>
          <c:showCatName val="0"/>
          <c:showSerName val="0"/>
          <c:showPercent val="0"/>
          <c:showBubbleSize val="0"/>
        </c:dLbls>
        <c:gapWidth val="150"/>
        <c:overlap val="100"/>
        <c:axId val="203945856"/>
        <c:axId val="203947392"/>
      </c:barChart>
      <c:catAx>
        <c:axId val="203945856"/>
        <c:scaling>
          <c:orientation val="minMax"/>
        </c:scaling>
        <c:delete val="0"/>
        <c:axPos val="b"/>
        <c:numFmt formatCode="0" sourceLinked="1"/>
        <c:majorTickMark val="out"/>
        <c:minorTickMark val="none"/>
        <c:tickLblPos val="nextTo"/>
        <c:crossAx val="203947392"/>
        <c:crosses val="autoZero"/>
        <c:auto val="1"/>
        <c:lblAlgn val="ctr"/>
        <c:lblOffset val="100"/>
        <c:noMultiLvlLbl val="0"/>
      </c:catAx>
      <c:valAx>
        <c:axId val="203947392"/>
        <c:scaling>
          <c:orientation val="minMax"/>
        </c:scaling>
        <c:delete val="0"/>
        <c:axPos val="l"/>
        <c:numFmt formatCode="_(* #,##0_);_(* \(#,##0\);_(* &quot;-&quot;??_);_(@_)" sourceLinked="1"/>
        <c:majorTickMark val="out"/>
        <c:minorTickMark val="none"/>
        <c:tickLblPos val="nextTo"/>
        <c:crossAx val="203945856"/>
        <c:crosses val="autoZero"/>
        <c:crossBetween val="between"/>
        <c:dispUnits>
          <c:builtInUnit val="thousands"/>
          <c:dispUnitsLbl>
            <c:layout>
              <c:manualLayout>
                <c:xMode val="edge"/>
                <c:yMode val="edge"/>
                <c:x val="3.1215161649944412E-2"/>
                <c:y val="0.26436351706036748"/>
              </c:manualLayout>
            </c:layout>
            <c:tx>
              <c:strRef>
                <c:f>'Charts - Passenger'!$F$151</c:f>
                <c:strCache>
                  <c:ptCount val="1"/>
                  <c:pt idx="0">
                    <c:v>Train-km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a:t>
            </a:r>
          </a:p>
        </c:rich>
      </c:tx>
      <c:overlay val="0"/>
    </c:title>
    <c:autoTitleDeleted val="0"/>
    <c:plotArea>
      <c:layout/>
      <c:barChart>
        <c:barDir val="col"/>
        <c:grouping val="stacked"/>
        <c:varyColors val="0"/>
        <c:ser>
          <c:idx val="0"/>
          <c:order val="0"/>
          <c:tx>
            <c:strRef>
              <c:f>'Charts - Infrastructure'!$B$145</c:f>
              <c:strCache>
                <c:ptCount val="1"/>
                <c:pt idx="0">
                  <c:v>Total freight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[0]!freighttrafficgtk</c:f>
              <c:numCache>
                <c:formatCode>_(* #,##0_);_(* \(#,##0\);_(* "-"??_);_(@_)</c:formatCode>
                <c:ptCount val="30"/>
                <c:pt idx="0">
                  <c:v>100000.00000000001</c:v>
                </c:pt>
                <c:pt idx="1">
                  <c:v>98780.487804878067</c:v>
                </c:pt>
                <c:pt idx="2">
                  <c:v>98780.487804878067</c:v>
                </c:pt>
                <c:pt idx="3">
                  <c:v>98780.487804878067</c:v>
                </c:pt>
                <c:pt idx="4">
                  <c:v>98780.487804878067</c:v>
                </c:pt>
                <c:pt idx="5">
                  <c:v>98780.487804878067</c:v>
                </c:pt>
                <c:pt idx="6">
                  <c:v>111128.04878048781</c:v>
                </c:pt>
                <c:pt idx="7">
                  <c:v>111128.04878048781</c:v>
                </c:pt>
                <c:pt idx="8">
                  <c:v>111128.04878048781</c:v>
                </c:pt>
                <c:pt idx="9">
                  <c:v>111128.04878048781</c:v>
                </c:pt>
                <c:pt idx="10">
                  <c:v>111128.04878048781</c:v>
                </c:pt>
                <c:pt idx="11">
                  <c:v>111128.04878048781</c:v>
                </c:pt>
                <c:pt idx="12">
                  <c:v>111128.04878048781</c:v>
                </c:pt>
                <c:pt idx="13">
                  <c:v>111128.04878048781</c:v>
                </c:pt>
                <c:pt idx="14">
                  <c:v>111128.04878048781</c:v>
                </c:pt>
                <c:pt idx="15">
                  <c:v>111128.04878048781</c:v>
                </c:pt>
                <c:pt idx="16">
                  <c:v>111128.04878048781</c:v>
                </c:pt>
                <c:pt idx="17">
                  <c:v>111128.04878048781</c:v>
                </c:pt>
                <c:pt idx="18">
                  <c:v>111128.04878048781</c:v>
                </c:pt>
                <c:pt idx="19">
                  <c:v>111128.04878048781</c:v>
                </c:pt>
                <c:pt idx="20">
                  <c:v>111128.04878048781</c:v>
                </c:pt>
                <c:pt idx="21">
                  <c:v>111128.04878048781</c:v>
                </c:pt>
                <c:pt idx="22">
                  <c:v>111128.04878048781</c:v>
                </c:pt>
                <c:pt idx="23">
                  <c:v>111128.04878048781</c:v>
                </c:pt>
                <c:pt idx="24">
                  <c:v>111128.04878048781</c:v>
                </c:pt>
                <c:pt idx="25">
                  <c:v>111128.04878048781</c:v>
                </c:pt>
                <c:pt idx="26">
                  <c:v>111128.04878048781</c:v>
                </c:pt>
                <c:pt idx="27">
                  <c:v>111128.04878048781</c:v>
                </c:pt>
                <c:pt idx="28">
                  <c:v>111128.04878048781</c:v>
                </c:pt>
                <c:pt idx="29">
                  <c:v>111128.04878048781</c:v>
                </c:pt>
              </c:numCache>
            </c:numRef>
          </c:val>
          <c:extLst>
            <c:ext xmlns:c16="http://schemas.microsoft.com/office/drawing/2014/chart" uri="{C3380CC4-5D6E-409C-BE32-E72D297353CC}">
              <c16:uniqueId val="{00000000-AADB-5F43-8F81-A1AE9FEBDE87}"/>
            </c:ext>
          </c:extLst>
        </c:ser>
        <c:ser>
          <c:idx val="1"/>
          <c:order val="1"/>
          <c:tx>
            <c:strRef>
              <c:f>'Charts - Infrastructure'!$B$146</c:f>
              <c:strCache>
                <c:ptCount val="1"/>
                <c:pt idx="0">
                  <c:v>Total passenger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[0]!paxtrafficgtk</c:f>
              <c:numCache>
                <c:formatCode>_(* #,##0_);_(* \(#,##0\);_(* "-"??_);_(@_)</c:formatCode>
                <c:ptCount val="30"/>
                <c:pt idx="0">
                  <c:v>60000</c:v>
                </c:pt>
                <c:pt idx="1">
                  <c:v>63750</c:v>
                </c:pt>
                <c:pt idx="2">
                  <c:v>63750</c:v>
                </c:pt>
                <c:pt idx="3">
                  <c:v>67500</c:v>
                </c:pt>
                <c:pt idx="4">
                  <c:v>75000</c:v>
                </c:pt>
                <c:pt idx="5">
                  <c:v>78750</c:v>
                </c:pt>
                <c:pt idx="6">
                  <c:v>82500</c:v>
                </c:pt>
                <c:pt idx="7">
                  <c:v>86250</c:v>
                </c:pt>
                <c:pt idx="8">
                  <c:v>90000</c:v>
                </c:pt>
                <c:pt idx="9">
                  <c:v>93750</c:v>
                </c:pt>
                <c:pt idx="10">
                  <c:v>97500</c:v>
                </c:pt>
                <c:pt idx="11">
                  <c:v>101250</c:v>
                </c:pt>
                <c:pt idx="12">
                  <c:v>105000</c:v>
                </c:pt>
                <c:pt idx="13">
                  <c:v>108750</c:v>
                </c:pt>
                <c:pt idx="14">
                  <c:v>112500</c:v>
                </c:pt>
                <c:pt idx="15">
                  <c:v>116250</c:v>
                </c:pt>
                <c:pt idx="16">
                  <c:v>120000</c:v>
                </c:pt>
                <c:pt idx="17">
                  <c:v>123750</c:v>
                </c:pt>
                <c:pt idx="18">
                  <c:v>127500</c:v>
                </c:pt>
                <c:pt idx="19">
                  <c:v>131250</c:v>
                </c:pt>
                <c:pt idx="20">
                  <c:v>135000</c:v>
                </c:pt>
                <c:pt idx="21">
                  <c:v>138750</c:v>
                </c:pt>
                <c:pt idx="22">
                  <c:v>142500</c:v>
                </c:pt>
                <c:pt idx="23">
                  <c:v>146250</c:v>
                </c:pt>
                <c:pt idx="24">
                  <c:v>150000</c:v>
                </c:pt>
                <c:pt idx="25">
                  <c:v>153750</c:v>
                </c:pt>
                <c:pt idx="26">
                  <c:v>157500</c:v>
                </c:pt>
                <c:pt idx="27">
                  <c:v>161250</c:v>
                </c:pt>
                <c:pt idx="28">
                  <c:v>165000</c:v>
                </c:pt>
                <c:pt idx="29">
                  <c:v>168750</c:v>
                </c:pt>
              </c:numCache>
            </c:numRef>
          </c:val>
          <c:extLst>
            <c:ext xmlns:c16="http://schemas.microsoft.com/office/drawing/2014/chart" uri="{C3380CC4-5D6E-409C-BE32-E72D297353CC}">
              <c16:uniqueId val="{00000001-AADB-5F43-8F81-A1AE9FEBDE87}"/>
            </c:ext>
          </c:extLst>
        </c:ser>
        <c:dLbls>
          <c:showLegendKey val="0"/>
          <c:showVal val="0"/>
          <c:showCatName val="0"/>
          <c:showSerName val="0"/>
          <c:showPercent val="0"/>
          <c:showBubbleSize val="0"/>
        </c:dLbls>
        <c:gapWidth val="150"/>
        <c:overlap val="100"/>
        <c:axId val="204210944"/>
        <c:axId val="204212480"/>
      </c:barChart>
      <c:catAx>
        <c:axId val="204210944"/>
        <c:scaling>
          <c:orientation val="minMax"/>
        </c:scaling>
        <c:delete val="0"/>
        <c:axPos val="b"/>
        <c:numFmt formatCode="0" sourceLinked="1"/>
        <c:majorTickMark val="out"/>
        <c:minorTickMark val="none"/>
        <c:tickLblPos val="nextTo"/>
        <c:crossAx val="204212480"/>
        <c:crosses val="autoZero"/>
        <c:auto val="1"/>
        <c:lblAlgn val="ctr"/>
        <c:lblOffset val="100"/>
        <c:noMultiLvlLbl val="0"/>
      </c:catAx>
      <c:valAx>
        <c:axId val="204212480"/>
        <c:scaling>
          <c:orientation val="minMax"/>
        </c:scaling>
        <c:delete val="0"/>
        <c:axPos val="l"/>
        <c:numFmt formatCode="_(* #,##0_);_(* \(#,##0\);_(* &quot;-&quot;??_);_(@_)" sourceLinked="1"/>
        <c:majorTickMark val="out"/>
        <c:minorTickMark val="none"/>
        <c:tickLblPos val="nextTo"/>
        <c:crossAx val="204210944"/>
        <c:crosses val="autoZero"/>
        <c:crossBetween val="between"/>
        <c:dispUnits>
          <c:builtInUnit val="thousands"/>
          <c:dispUnitsLbl>
            <c:layout>
              <c:manualLayout>
                <c:xMode val="edge"/>
                <c:yMode val="edge"/>
                <c:x val="3.1215161649944412E-2"/>
                <c:y val="0.26436351706036748"/>
              </c:manualLayout>
            </c:layout>
            <c:tx>
              <c:strRef>
                <c:f>'Charts - Freight'!$F$142</c:f>
                <c:strCache>
                  <c:ptCount val="1"/>
                  <c:pt idx="0">
                    <c:v>GTK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ndard"/>
        <c:varyColors val="0"/>
        <c:ser>
          <c:idx val="0"/>
          <c:order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5CF4-3B4E-9D55-0BF7945AD9A3}"/>
            </c:ext>
          </c:extLst>
        </c:ser>
        <c:dLbls>
          <c:showLegendKey val="0"/>
          <c:showVal val="0"/>
          <c:showCatName val="0"/>
          <c:showSerName val="0"/>
          <c:showPercent val="0"/>
          <c:showBubbleSize val="0"/>
        </c:dLbls>
        <c:axId val="204235904"/>
        <c:axId val="204237440"/>
      </c:areaChart>
      <c:catAx>
        <c:axId val="204235904"/>
        <c:scaling>
          <c:orientation val="minMax"/>
        </c:scaling>
        <c:delete val="0"/>
        <c:axPos val="b"/>
        <c:numFmt formatCode="0" sourceLinked="1"/>
        <c:majorTickMark val="out"/>
        <c:minorTickMark val="none"/>
        <c:tickLblPos val="nextTo"/>
        <c:crossAx val="204237440"/>
        <c:crosses val="autoZero"/>
        <c:auto val="1"/>
        <c:lblAlgn val="ctr"/>
        <c:lblOffset val="100"/>
        <c:noMultiLvlLbl val="0"/>
      </c:catAx>
      <c:valAx>
        <c:axId val="204237440"/>
        <c:scaling>
          <c:orientation val="minMax"/>
        </c:scaling>
        <c:delete val="0"/>
        <c:axPos val="l"/>
        <c:title>
          <c:tx>
            <c:rich>
              <a:bodyPr rot="-5400000" vert="horz"/>
              <a:lstStyle/>
              <a:p>
                <a:pPr>
                  <a:defRPr/>
                </a:pPr>
                <a:r>
                  <a:rPr lang="en-US"/>
                  <a:t>R$ (Millions)</a:t>
                </a:r>
              </a:p>
            </c:rich>
          </c:tx>
          <c:overlay val="0"/>
        </c:title>
        <c:numFmt formatCode="General" sourceLinked="1"/>
        <c:majorTickMark val="out"/>
        <c:minorTickMark val="none"/>
        <c:tickLblPos val="nextTo"/>
        <c:crossAx val="20423590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Debt ratios</a:t>
            </a:r>
          </a:p>
        </c:rich>
      </c:tx>
      <c:overlay val="0"/>
    </c:title>
    <c:autoTitleDeleted val="0"/>
    <c:plotArea>
      <c:layout/>
      <c:lineChart>
        <c:grouping val="standard"/>
        <c:varyColors val="0"/>
        <c:ser>
          <c:idx val="0"/>
          <c:order val="0"/>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4CF9-AD48-A1F8-6A0032F5FF8A}"/>
            </c:ext>
          </c:extLst>
        </c:ser>
        <c:dLbls>
          <c:showLegendKey val="0"/>
          <c:showVal val="0"/>
          <c:showCatName val="0"/>
          <c:showSerName val="0"/>
          <c:showPercent val="0"/>
          <c:showBubbleSize val="0"/>
        </c:dLbls>
        <c:marker val="1"/>
        <c:smooth val="0"/>
        <c:axId val="204284672"/>
        <c:axId val="204286208"/>
      </c:line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4CF9-AD48-A1F8-6A0032F5FF8A}"/>
            </c:ext>
          </c:extLst>
        </c:ser>
        <c:dLbls>
          <c:showLegendKey val="0"/>
          <c:showVal val="0"/>
          <c:showCatName val="0"/>
          <c:showSerName val="0"/>
          <c:showPercent val="0"/>
          <c:showBubbleSize val="0"/>
        </c:dLbls>
        <c:marker val="1"/>
        <c:smooth val="0"/>
        <c:axId val="204293632"/>
        <c:axId val="204292096"/>
      </c:lineChart>
      <c:catAx>
        <c:axId val="204284672"/>
        <c:scaling>
          <c:orientation val="minMax"/>
        </c:scaling>
        <c:delete val="0"/>
        <c:axPos val="b"/>
        <c:numFmt formatCode="0" sourceLinked="1"/>
        <c:majorTickMark val="out"/>
        <c:minorTickMark val="none"/>
        <c:tickLblPos val="nextTo"/>
        <c:crossAx val="204286208"/>
        <c:crosses val="autoZero"/>
        <c:auto val="1"/>
        <c:lblAlgn val="ctr"/>
        <c:lblOffset val="100"/>
        <c:noMultiLvlLbl val="0"/>
      </c:catAx>
      <c:valAx>
        <c:axId val="204286208"/>
        <c:scaling>
          <c:orientation val="minMax"/>
        </c:scaling>
        <c:delete val="0"/>
        <c:axPos val="l"/>
        <c:numFmt formatCode="General" sourceLinked="1"/>
        <c:majorTickMark val="out"/>
        <c:minorTickMark val="none"/>
        <c:tickLblPos val="nextTo"/>
        <c:crossAx val="204284672"/>
        <c:crosses val="autoZero"/>
        <c:crossBetween val="between"/>
      </c:valAx>
      <c:valAx>
        <c:axId val="204292096"/>
        <c:scaling>
          <c:orientation val="minMax"/>
        </c:scaling>
        <c:delete val="0"/>
        <c:axPos val="r"/>
        <c:numFmt formatCode="General" sourceLinked="1"/>
        <c:majorTickMark val="out"/>
        <c:minorTickMark val="none"/>
        <c:tickLblPos val="nextTo"/>
        <c:crossAx val="204293632"/>
        <c:crosses val="max"/>
        <c:crossBetween val="between"/>
      </c:valAx>
      <c:catAx>
        <c:axId val="204293632"/>
        <c:scaling>
          <c:orientation val="minMax"/>
        </c:scaling>
        <c:delete val="1"/>
        <c:axPos val="b"/>
        <c:numFmt formatCode="0" sourceLinked="1"/>
        <c:majorTickMark val="out"/>
        <c:minorTickMark val="none"/>
        <c:tickLblPos val="none"/>
        <c:crossAx val="204292096"/>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BD55-1A43-981E-49AEB0878F93}"/>
            </c:ext>
          </c:extLst>
        </c:ser>
        <c:ser>
          <c:idx val="1"/>
          <c:order val="1"/>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BD55-1A43-981E-49AEB0878F93}"/>
            </c:ext>
          </c:extLst>
        </c:ser>
        <c:dLbls>
          <c:showLegendKey val="0"/>
          <c:showVal val="0"/>
          <c:showCatName val="0"/>
          <c:showSerName val="0"/>
          <c:showPercent val="0"/>
          <c:showBubbleSize val="0"/>
        </c:dLbls>
        <c:gapWidth val="150"/>
        <c:axId val="204320768"/>
        <c:axId val="204322304"/>
      </c:barChart>
      <c:lineChart>
        <c:grouping val="standard"/>
        <c:varyColors val="0"/>
        <c:ser>
          <c:idx val="2"/>
          <c:order val="2"/>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6="http://schemas.microsoft.com/office/drawing/2014/chart" uri="{C3380CC4-5D6E-409C-BE32-E72D297353CC}">
              <c16:uniqueId val="{00000002-BD55-1A43-981E-49AEB0878F93}"/>
            </c:ext>
          </c:extLst>
        </c:ser>
        <c:dLbls>
          <c:showLegendKey val="0"/>
          <c:showVal val="0"/>
          <c:showCatName val="0"/>
          <c:showSerName val="0"/>
          <c:showPercent val="0"/>
          <c:showBubbleSize val="0"/>
        </c:dLbls>
        <c:marker val="1"/>
        <c:smooth val="0"/>
        <c:axId val="204330112"/>
        <c:axId val="204324224"/>
      </c:lineChart>
      <c:catAx>
        <c:axId val="204320768"/>
        <c:scaling>
          <c:orientation val="minMax"/>
        </c:scaling>
        <c:delete val="0"/>
        <c:axPos val="b"/>
        <c:numFmt formatCode="0" sourceLinked="1"/>
        <c:majorTickMark val="out"/>
        <c:minorTickMark val="none"/>
        <c:tickLblPos val="nextTo"/>
        <c:crossAx val="204322304"/>
        <c:crosses val="autoZero"/>
        <c:auto val="1"/>
        <c:lblAlgn val="ctr"/>
        <c:lblOffset val="100"/>
        <c:noMultiLvlLbl val="0"/>
      </c:catAx>
      <c:valAx>
        <c:axId val="204322304"/>
        <c:scaling>
          <c:orientation val="minMax"/>
        </c:scaling>
        <c:delete val="0"/>
        <c:axPos val="l"/>
        <c:numFmt formatCode="General" sourceLinked="1"/>
        <c:majorTickMark val="out"/>
        <c:minorTickMark val="none"/>
        <c:tickLblPos val="nextTo"/>
        <c:crossAx val="204320768"/>
        <c:crosses val="autoZero"/>
        <c:crossBetween val="between"/>
        <c:dispUnits>
          <c:builtInUnit val="thousands"/>
          <c:dispUnitsLbl>
            <c:layout>
              <c:manualLayout>
                <c:xMode val="edge"/>
                <c:yMode val="edge"/>
                <c:x val="3.0555555555555582E-2"/>
                <c:y val="0.29677092446777487"/>
              </c:manualLayout>
            </c:layout>
            <c:tx>
              <c:rich>
                <a:bodyPr/>
                <a:lstStyle/>
                <a:p>
                  <a:pPr>
                    <a:defRPr/>
                  </a:pPr>
                  <a:r>
                    <a:rPr lang="en-US"/>
                    <a:t>R$</a:t>
                  </a:r>
                  <a:r>
                    <a:rPr lang="en-US" baseline="0"/>
                    <a:t> (Billions)</a:t>
                  </a:r>
                  <a:endParaRPr lang="en-US"/>
                </a:p>
              </c:rich>
            </c:tx>
          </c:dispUnitsLbl>
        </c:dispUnits>
      </c:valAx>
      <c:valAx>
        <c:axId val="204324224"/>
        <c:scaling>
          <c:orientation val="minMax"/>
          <c:max val="10"/>
        </c:scaling>
        <c:delete val="0"/>
        <c:axPos val="r"/>
        <c:numFmt formatCode="General" sourceLinked="1"/>
        <c:majorTickMark val="out"/>
        <c:minorTickMark val="none"/>
        <c:tickLblPos val="nextTo"/>
        <c:crossAx val="204330112"/>
        <c:crosses val="max"/>
        <c:crossBetween val="between"/>
      </c:valAx>
      <c:catAx>
        <c:axId val="204330112"/>
        <c:scaling>
          <c:orientation val="minMax"/>
        </c:scaling>
        <c:delete val="1"/>
        <c:axPos val="b"/>
        <c:majorTickMark val="out"/>
        <c:minorTickMark val="none"/>
        <c:tickLblPos val="none"/>
        <c:crossAx val="204324224"/>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Traffic</a:t>
            </a:r>
            <a:r>
              <a:rPr lang="en-US" baseline="0"/>
              <a:t> intensity</a:t>
            </a:r>
            <a:endParaRPr lang="en-US"/>
          </a:p>
        </c:rich>
      </c:tx>
      <c:layout>
        <c:manualLayout>
          <c:xMode val="edge"/>
          <c:yMode val="edge"/>
          <c:x val="0.42911650387966316"/>
          <c:y val="3.24074074074088E-2"/>
        </c:manualLayout>
      </c:layout>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B86B-B84F-8F7F-05E3DFF81E71}"/>
            </c:ext>
          </c:extLst>
        </c:ser>
        <c:dLbls>
          <c:showLegendKey val="0"/>
          <c:showVal val="0"/>
          <c:showCatName val="0"/>
          <c:showSerName val="0"/>
          <c:showPercent val="0"/>
          <c:showBubbleSize val="0"/>
        </c:dLbls>
        <c:gapWidth val="150"/>
        <c:axId val="204347264"/>
        <c:axId val="204348800"/>
      </c:bar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B86B-B84F-8F7F-05E3DFF81E71}"/>
            </c:ext>
          </c:extLst>
        </c:ser>
        <c:dLbls>
          <c:showLegendKey val="0"/>
          <c:showVal val="0"/>
          <c:showCatName val="0"/>
          <c:showSerName val="0"/>
          <c:showPercent val="0"/>
          <c:showBubbleSize val="0"/>
        </c:dLbls>
        <c:marker val="1"/>
        <c:smooth val="0"/>
        <c:axId val="204347264"/>
        <c:axId val="204348800"/>
      </c:lineChart>
      <c:catAx>
        <c:axId val="204347264"/>
        <c:scaling>
          <c:orientation val="minMax"/>
        </c:scaling>
        <c:delete val="0"/>
        <c:axPos val="b"/>
        <c:numFmt formatCode="0" sourceLinked="1"/>
        <c:majorTickMark val="out"/>
        <c:minorTickMark val="none"/>
        <c:tickLblPos val="nextTo"/>
        <c:crossAx val="204348800"/>
        <c:crosses val="autoZero"/>
        <c:auto val="1"/>
        <c:lblAlgn val="ctr"/>
        <c:lblOffset val="100"/>
        <c:noMultiLvlLbl val="0"/>
      </c:catAx>
      <c:valAx>
        <c:axId val="204348800"/>
        <c:scaling>
          <c:orientation val="minMax"/>
        </c:scaling>
        <c:delete val="0"/>
        <c:axPos val="l"/>
        <c:title>
          <c:tx>
            <c:rich>
              <a:bodyPr rot="-5400000" vert="horz"/>
              <a:lstStyle/>
              <a:p>
                <a:pPr>
                  <a:defRPr/>
                </a:pPr>
                <a:r>
                  <a:rPr lang="en-US"/>
                  <a:t>Million</a:t>
                </a:r>
                <a:r>
                  <a:rPr lang="en-US" baseline="0"/>
                  <a:t> traffic units per track-km</a:t>
                </a:r>
                <a:endParaRPr lang="en-US"/>
              </a:p>
            </c:rich>
          </c:tx>
          <c:overlay val="0"/>
        </c:title>
        <c:numFmt formatCode="General" sourceLinked="1"/>
        <c:majorTickMark val="out"/>
        <c:minorTickMark val="none"/>
        <c:tickLblPos val="nextTo"/>
        <c:crossAx val="204347264"/>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flows</a:t>
            </a:r>
          </a:p>
        </c:rich>
      </c:tx>
      <c:layout>
        <c:manualLayout>
          <c:xMode val="edge"/>
          <c:yMode val="edge"/>
          <c:x val="0.44301579949566083"/>
          <c:y val="3.7037037037037056E-2"/>
        </c:manualLayout>
      </c:layout>
      <c:overlay val="0"/>
    </c:title>
    <c:autoTitleDeleted val="0"/>
    <c:plotArea>
      <c:layout/>
      <c:barChart>
        <c:barDir val="col"/>
        <c:grouping val="clustered"/>
        <c:varyColors val="0"/>
        <c:ser>
          <c:idx val="0"/>
          <c:order val="0"/>
          <c:tx>
            <c:strRef>
              <c:f>'Charts - Freight'!$B$202:$D$202</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[0]!operatingcashflowinfra</c:f>
              <c:numCache>
                <c:formatCode>_(* #,##0_);_(* \(#,##0\);_(* "-"??_);_(@_)</c:formatCode>
                <c:ptCount val="30"/>
                <c:pt idx="0">
                  <c:v>0</c:v>
                </c:pt>
                <c:pt idx="1">
                  <c:v>27169.260795835875</c:v>
                </c:pt>
                <c:pt idx="2">
                  <c:v>28232.321656527576</c:v>
                </c:pt>
                <c:pt idx="3">
                  <c:v>29928.184922482185</c:v>
                </c:pt>
                <c:pt idx="4">
                  <c:v>32430.915734590944</c:v>
                </c:pt>
                <c:pt idx="5">
                  <c:v>34690.235042531553</c:v>
                </c:pt>
                <c:pt idx="6">
                  <c:v>39022.091203316661</c:v>
                </c:pt>
                <c:pt idx="7">
                  <c:v>41934.00561537101</c:v>
                </c:pt>
                <c:pt idx="8">
                  <c:v>44572.643583934892</c:v>
                </c:pt>
                <c:pt idx="9">
                  <c:v>47332.783680796812</c:v>
                </c:pt>
                <c:pt idx="10">
                  <c:v>49573.283496049335</c:v>
                </c:pt>
                <c:pt idx="11">
                  <c:v>52378.777002494629</c:v>
                </c:pt>
                <c:pt idx="12">
                  <c:v>55351.923394553574</c:v>
                </c:pt>
                <c:pt idx="13">
                  <c:v>58457.176868947972</c:v>
                </c:pt>
                <c:pt idx="14">
                  <c:v>61704.155016376593</c:v>
                </c:pt>
                <c:pt idx="15">
                  <c:v>65092.077642276832</c:v>
                </c:pt>
                <c:pt idx="16">
                  <c:v>68632.830108557057</c:v>
                </c:pt>
                <c:pt idx="17">
                  <c:v>72327.671585913762</c:v>
                </c:pt>
                <c:pt idx="18">
                  <c:v>76189.648760261945</c:v>
                </c:pt>
                <c:pt idx="19">
                  <c:v>80220.892284133282</c:v>
                </c:pt>
                <c:pt idx="20">
                  <c:v>84428.115907585394</c:v>
                </c:pt>
                <c:pt idx="21">
                  <c:v>88818.284286625858</c:v>
                </c:pt>
                <c:pt idx="22">
                  <c:v>93398.622000950287</c:v>
                </c:pt>
                <c:pt idx="23">
                  <c:v>98176.622886883561</c:v>
                </c:pt>
                <c:pt idx="24">
                  <c:v>103160.05969635457</c:v>
                </c:pt>
                <c:pt idx="25">
                  <c:v>108356.99409309009</c:v>
                </c:pt>
                <c:pt idx="26">
                  <c:v>113775.78699758439</c:v>
                </c:pt>
                <c:pt idx="27">
                  <c:v>119425.10929278545</c:v>
                </c:pt>
                <c:pt idx="28">
                  <c:v>125312.69944878791</c:v>
                </c:pt>
                <c:pt idx="29">
                  <c:v>131434.27287413037</c:v>
                </c:pt>
              </c:numCache>
            </c:numRef>
          </c:val>
          <c:extLst>
            <c:ext xmlns:c16="http://schemas.microsoft.com/office/drawing/2014/chart" uri="{C3380CC4-5D6E-409C-BE32-E72D297353CC}">
              <c16:uniqueId val="{00000000-7B05-5A4C-A3CB-CBA5B7BD5A16}"/>
            </c:ext>
          </c:extLst>
        </c:ser>
        <c:ser>
          <c:idx val="1"/>
          <c:order val="1"/>
          <c:tx>
            <c:strRef>
              <c:f>'Charts - Freight'!$B$203:$D$203</c:f>
              <c:strCache>
                <c:ptCount val="3"/>
                <c:pt idx="0">
                  <c:v>Net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[0]!netcashflowinfra</c:f>
              <c:numCache>
                <c:formatCode>_(* #,##0_);_(* \(#,##0\);_(* "-"??_);_(@_)</c:formatCode>
                <c:ptCount val="30"/>
                <c:pt idx="0">
                  <c:v>0</c:v>
                </c:pt>
                <c:pt idx="1">
                  <c:v>8117.9507387507656</c:v>
                </c:pt>
                <c:pt idx="2">
                  <c:v>8394.8964469582752</c:v>
                </c:pt>
                <c:pt idx="3">
                  <c:v>8907.4443982446574</c:v>
                </c:pt>
                <c:pt idx="4">
                  <c:v>9656.4887600222828</c:v>
                </c:pt>
                <c:pt idx="5">
                  <c:v>10333.981696093819</c:v>
                </c:pt>
                <c:pt idx="6">
                  <c:v>11633.226746329379</c:v>
                </c:pt>
                <c:pt idx="7">
                  <c:v>12494.871367005719</c:v>
                </c:pt>
                <c:pt idx="8">
                  <c:v>13286.906290546714</c:v>
                </c:pt>
                <c:pt idx="9">
                  <c:v>14115.414833566283</c:v>
                </c:pt>
                <c:pt idx="10">
                  <c:v>14794.914672521852</c:v>
                </c:pt>
                <c:pt idx="11">
                  <c:v>15635.262153166652</c:v>
                </c:pt>
                <c:pt idx="12">
                  <c:v>16527.392942356884</c:v>
                </c:pt>
                <c:pt idx="13">
                  <c:v>17459.161462394928</c:v>
                </c:pt>
                <c:pt idx="14">
                  <c:v>18433.453158674827</c:v>
                </c:pt>
                <c:pt idx="15">
                  <c:v>19450.034146057755</c:v>
                </c:pt>
                <c:pt idx="16">
                  <c:v>20454.270211543073</c:v>
                </c:pt>
                <c:pt idx="17">
                  <c:v>21624.739290119353</c:v>
                </c:pt>
                <c:pt idx="18">
                  <c:v>22783.555576854167</c:v>
                </c:pt>
                <c:pt idx="19">
                  <c:v>23993.158462478837</c:v>
                </c:pt>
                <c:pt idx="20">
                  <c:v>25255.562272831638</c:v>
                </c:pt>
                <c:pt idx="21">
                  <c:v>26572.856611560463</c:v>
                </c:pt>
                <c:pt idx="22">
                  <c:v>27947.209065624957</c:v>
                </c:pt>
                <c:pt idx="23">
                  <c:v>29380.868005365148</c:v>
                </c:pt>
                <c:pt idx="24">
                  <c:v>30876.165482385448</c:v>
                </c:pt>
                <c:pt idx="25">
                  <c:v>32435.520228610476</c:v>
                </c:pt>
                <c:pt idx="26">
                  <c:v>34061.440759979276</c:v>
                </c:pt>
                <c:pt idx="27">
                  <c:v>35756.528588360699</c:v>
                </c:pt>
                <c:pt idx="28">
                  <c:v>37523.1055091772</c:v>
                </c:pt>
                <c:pt idx="29">
                  <c:v>39359.886407016165</c:v>
                </c:pt>
              </c:numCache>
            </c:numRef>
          </c:val>
          <c:extLst>
            <c:ext xmlns:c16="http://schemas.microsoft.com/office/drawing/2014/chart" uri="{C3380CC4-5D6E-409C-BE32-E72D297353CC}">
              <c16:uniqueId val="{00000001-7B05-5A4C-A3CB-CBA5B7BD5A16}"/>
            </c:ext>
          </c:extLst>
        </c:ser>
        <c:dLbls>
          <c:showLegendKey val="0"/>
          <c:showVal val="0"/>
          <c:showCatName val="0"/>
          <c:showSerName val="0"/>
          <c:showPercent val="0"/>
          <c:showBubbleSize val="0"/>
        </c:dLbls>
        <c:gapWidth val="150"/>
        <c:axId val="204408320"/>
        <c:axId val="204409856"/>
      </c:barChart>
      <c:catAx>
        <c:axId val="204408320"/>
        <c:scaling>
          <c:orientation val="minMax"/>
        </c:scaling>
        <c:delete val="0"/>
        <c:axPos val="b"/>
        <c:numFmt formatCode="0" sourceLinked="1"/>
        <c:majorTickMark val="out"/>
        <c:minorTickMark val="none"/>
        <c:tickLblPos val="nextTo"/>
        <c:crossAx val="204409856"/>
        <c:crosses val="autoZero"/>
        <c:auto val="1"/>
        <c:lblAlgn val="ctr"/>
        <c:lblOffset val="100"/>
        <c:noMultiLvlLbl val="0"/>
      </c:catAx>
      <c:valAx>
        <c:axId val="204409856"/>
        <c:scaling>
          <c:orientation val="minMax"/>
        </c:scaling>
        <c:delete val="0"/>
        <c:axPos val="l"/>
        <c:numFmt formatCode="_(* #,##0_);_(* \(#,##0\);_(* &quot;-&quot;??_);_(@_)" sourceLinked="1"/>
        <c:majorTickMark val="out"/>
        <c:minorTickMark val="none"/>
        <c:tickLblPos val="nextTo"/>
        <c:crossAx val="204408320"/>
        <c:crosses val="autoZero"/>
        <c:crossBetween val="between"/>
        <c:dispUnits>
          <c:builtInUnit val="thousands"/>
          <c:dispUnitsLbl>
            <c:layout>
              <c:manualLayout>
                <c:xMode val="edge"/>
                <c:yMode val="edge"/>
                <c:x val="2.0541549953314659E-2"/>
                <c:y val="0.29214129483814522"/>
              </c:manualLayout>
            </c:layout>
            <c:tx>
              <c:strRef>
                <c:f>'Charts - Freight'!$E$134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Debt service coverage ratio</a:t>
            </a:r>
          </a:p>
        </c:rich>
      </c:tx>
      <c:overlay val="0"/>
    </c:title>
    <c:autoTitleDeleted val="0"/>
    <c:plotArea>
      <c:layout/>
      <c:lineChart>
        <c:grouping val="standard"/>
        <c:varyColors val="0"/>
        <c:ser>
          <c:idx val="0"/>
          <c:order val="0"/>
          <c:tx>
            <c:strRef>
              <c:f>'Charts - Infrastructure'!$B$197</c:f>
              <c:strCache>
                <c:ptCount val="1"/>
                <c:pt idx="0">
                  <c:v>DSCR</c:v>
                </c:pt>
              </c:strCache>
            </c:strRef>
          </c:tx>
          <c:marker>
            <c:symbol val="none"/>
          </c:marker>
          <c:cat>
            <c:numRef>
              <c:f>[0]!Yeardscr</c:f>
              <c:numCache>
                <c:formatCode>0</c:formatCode>
                <c:ptCount val="29"/>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pt idx="17">
                  <c:v>2028</c:v>
                </c:pt>
                <c:pt idx="18">
                  <c:v>2029</c:v>
                </c:pt>
                <c:pt idx="19">
                  <c:v>2030</c:v>
                </c:pt>
                <c:pt idx="20">
                  <c:v>2031</c:v>
                </c:pt>
                <c:pt idx="21">
                  <c:v>2032</c:v>
                </c:pt>
                <c:pt idx="22">
                  <c:v>2033</c:v>
                </c:pt>
                <c:pt idx="23">
                  <c:v>2034</c:v>
                </c:pt>
                <c:pt idx="24">
                  <c:v>2035</c:v>
                </c:pt>
                <c:pt idx="25">
                  <c:v>2036</c:v>
                </c:pt>
                <c:pt idx="26">
                  <c:v>2037</c:v>
                </c:pt>
                <c:pt idx="27">
                  <c:v>2038</c:v>
                </c:pt>
                <c:pt idx="28">
                  <c:v>2039</c:v>
                </c:pt>
              </c:numCache>
            </c:numRef>
          </c:cat>
          <c:val>
            <c:numRef>
              <c:f>[0]!dscrinfra</c:f>
              <c:numCache>
                <c:formatCode>_(* #,##0_);_(* \(#,##0\);_(* "-"??_);_(@_)</c:formatCode>
                <c:ptCount val="16"/>
                <c:pt idx="0">
                  <c:v>1367.0068324948868</c:v>
                </c:pt>
                <c:pt idx="1">
                  <c:v>623.96007816048746</c:v>
                </c:pt>
                <c:pt idx="2">
                  <c:v>904.32503656142831</c:v>
                </c:pt>
                <c:pt idx="3">
                  <c:v>939.95843010190413</c:v>
                </c:pt>
                <c:pt idx="4">
                  <c:v>963.12270201511865</c:v>
                </c:pt>
                <c:pt idx="5">
                  <c:v>1038.3877167955045</c:v>
                </c:pt>
                <c:pt idx="6">
                  <c:v>1106.9492672176073</c:v>
                </c:pt>
                <c:pt idx="7">
                  <c:v>1206.0513720878005</c:v>
                </c:pt>
                <c:pt idx="8">
                  <c:v>1315.8046752601797</c:v>
                </c:pt>
                <c:pt idx="9">
                  <c:v>4110.5541870687675</c:v>
                </c:pt>
                <c:pt idx="10">
                  <c:v>4364.8980835412194</c:v>
                </c:pt>
                <c:pt idx="11">
                  <c:v>4612.6602828794648</c:v>
                </c:pt>
                <c:pt idx="12">
                  <c:v>4871.4314057456641</c:v>
                </c:pt>
                <c:pt idx="13">
                  <c:v>5142.0129180313825</c:v>
                </c:pt>
                <c:pt idx="14">
                  <c:v>5424.3398035230693</c:v>
                </c:pt>
                <c:pt idx="15">
                  <c:v>333.1690781968789</c:v>
                </c:pt>
              </c:numCache>
            </c:numRef>
          </c:val>
          <c:smooth val="0"/>
          <c:extLst>
            <c:ext xmlns:c16="http://schemas.microsoft.com/office/drawing/2014/chart" uri="{C3380CC4-5D6E-409C-BE32-E72D297353CC}">
              <c16:uniqueId val="{00000000-54C5-E048-9E2D-D06AD12CF7B4}"/>
            </c:ext>
          </c:extLst>
        </c:ser>
        <c:dLbls>
          <c:showLegendKey val="0"/>
          <c:showVal val="0"/>
          <c:showCatName val="0"/>
          <c:showSerName val="0"/>
          <c:showPercent val="0"/>
          <c:showBubbleSize val="0"/>
        </c:dLbls>
        <c:smooth val="0"/>
        <c:axId val="204454912"/>
        <c:axId val="204464896"/>
      </c:lineChart>
      <c:catAx>
        <c:axId val="204454912"/>
        <c:scaling>
          <c:orientation val="minMax"/>
        </c:scaling>
        <c:delete val="0"/>
        <c:axPos val="b"/>
        <c:numFmt formatCode="0" sourceLinked="1"/>
        <c:majorTickMark val="out"/>
        <c:minorTickMark val="none"/>
        <c:tickLblPos val="nextTo"/>
        <c:crossAx val="204464896"/>
        <c:crosses val="autoZero"/>
        <c:auto val="1"/>
        <c:lblAlgn val="ctr"/>
        <c:lblOffset val="100"/>
        <c:noMultiLvlLbl val="0"/>
      </c:catAx>
      <c:valAx>
        <c:axId val="204464896"/>
        <c:scaling>
          <c:orientation val="minMax"/>
        </c:scaling>
        <c:delete val="0"/>
        <c:axPos val="l"/>
        <c:numFmt formatCode="_(* #,##0_);_(* \(#,##0\);_(* &quot;-&quot;??_);_(@_)" sourceLinked="1"/>
        <c:majorTickMark val="out"/>
        <c:minorTickMark val="none"/>
        <c:tickLblPos val="nextTo"/>
        <c:crossAx val="204454912"/>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tx>
            <c:strRef>
              <c:f>'Charts - Freight'!$B$225:$D$225</c:f>
              <c:strCache>
                <c:ptCount val="3"/>
                <c:pt idx="0">
                  <c:v>Current assets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[0]!currentassetsinfra</c:f>
              <c:numCache>
                <c:formatCode>_(* #,##0_);_(* \(#,##0\);_(* "-"??_);_(@_)</c:formatCode>
                <c:ptCount val="30"/>
                <c:pt idx="0">
                  <c:v>5300</c:v>
                </c:pt>
                <c:pt idx="1">
                  <c:v>13652.344782422995</c:v>
                </c:pt>
                <c:pt idx="2">
                  <c:v>22207.806748426632</c:v>
                </c:pt>
                <c:pt idx="3">
                  <c:v>31408.230055665743</c:v>
                </c:pt>
                <c:pt idx="4">
                  <c:v>41501.739592893326</c:v>
                </c:pt>
                <c:pt idx="5">
                  <c:v>52158.351113004268</c:v>
                </c:pt>
                <c:pt idx="6">
                  <c:v>64589.706552621625</c:v>
                </c:pt>
                <c:pt idx="7">
                  <c:v>77449.006584705465</c:v>
                </c:pt>
                <c:pt idx="8">
                  <c:v>91115.570399959644</c:v>
                </c:pt>
                <c:pt idx="9">
                  <c:v>105626.45736364198</c:v>
                </c:pt>
                <c:pt idx="10">
                  <c:v>120833.26595624071</c:v>
                </c:pt>
                <c:pt idx="11">
                  <c:v>136897.47320192563</c:v>
                </c:pt>
                <c:pt idx="12">
                  <c:v>153871.51477506058</c:v>
                </c:pt>
                <c:pt idx="13">
                  <c:v>171795.70456820572</c:v>
                </c:pt>
                <c:pt idx="14">
                  <c:v>190713.26655583348</c:v>
                </c:pt>
                <c:pt idx="15">
                  <c:v>210667.21633344144</c:v>
                </c:pt>
                <c:pt idx="16">
                  <c:v>231645.9616893417</c:v>
                </c:pt>
                <c:pt idx="17">
                  <c:v>253816.5156833253</c:v>
                </c:pt>
                <c:pt idx="18">
                  <c:v>277168.03386949131</c:v>
                </c:pt>
                <c:pt idx="19">
                  <c:v>301752.14048782282</c:v>
                </c:pt>
                <c:pt idx="20">
                  <c:v>327622.50442949217</c:v>
                </c:pt>
                <c:pt idx="21">
                  <c:v>354834.91558031418</c:v>
                </c:pt>
                <c:pt idx="22">
                  <c:v>383447.36390634795</c:v>
                </c:pt>
                <c:pt idx="23">
                  <c:v>413520.12137745268</c:v>
                </c:pt>
                <c:pt idx="24">
                  <c:v>445115.82682789408</c:v>
                </c:pt>
                <c:pt idx="25">
                  <c:v>478299.57385649654</c:v>
                </c:pt>
                <c:pt idx="26">
                  <c:v>513139.00187234883</c:v>
                </c:pt>
                <c:pt idx="27">
                  <c:v>549704.39039569651</c:v>
                </c:pt>
                <c:pt idx="28">
                  <c:v>588068.38069119107</c:v>
                </c:pt>
                <c:pt idx="29">
                  <c:v>628302.37025299342</c:v>
                </c:pt>
              </c:numCache>
            </c:numRef>
          </c:val>
          <c:extLst>
            <c:ext xmlns:c16="http://schemas.microsoft.com/office/drawing/2014/chart" uri="{C3380CC4-5D6E-409C-BE32-E72D297353CC}">
              <c16:uniqueId val="{00000000-1A6C-924F-9257-651FE4BC3DAB}"/>
            </c:ext>
          </c:extLst>
        </c:ser>
        <c:ser>
          <c:idx val="1"/>
          <c:order val="1"/>
          <c:tx>
            <c:strRef>
              <c:f>'Charts - Freight'!$B$226:$D$226</c:f>
              <c:strCache>
                <c:ptCount val="3"/>
                <c:pt idx="0">
                  <c:v>Current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[0]!currentliabilitiesinfra</c:f>
              <c:numCache>
                <c:formatCode>_(* #,##0_);_(* \(#,##0\);_(* "-"??_);_(@_)</c:formatCode>
                <c:ptCount val="30"/>
                <c:pt idx="0">
                  <c:v>610</c:v>
                </c:pt>
                <c:pt idx="1">
                  <c:v>666.30024136178872</c:v>
                </c:pt>
                <c:pt idx="2">
                  <c:v>682.84305812645198</c:v>
                </c:pt>
                <c:pt idx="3">
                  <c:v>718.54829990744793</c:v>
                </c:pt>
                <c:pt idx="4">
                  <c:v>772.17334598130822</c:v>
                </c:pt>
                <c:pt idx="5">
                  <c:v>800.48579338569186</c:v>
                </c:pt>
                <c:pt idx="6">
                  <c:v>849.56821939901579</c:v>
                </c:pt>
                <c:pt idx="7">
                  <c:v>880.55708784974956</c:v>
                </c:pt>
                <c:pt idx="8">
                  <c:v>912.66092701006835</c:v>
                </c:pt>
                <c:pt idx="9">
                  <c:v>923.41874514094138</c:v>
                </c:pt>
                <c:pt idx="10">
                  <c:v>957.8708875253576</c:v>
                </c:pt>
                <c:pt idx="11">
                  <c:v>993.55908158221223</c:v>
                </c:pt>
                <c:pt idx="12">
                  <c:v>1030.5264834837053</c:v>
                </c:pt>
                <c:pt idx="13">
                  <c:v>1068.8177263258638</c:v>
                </c:pt>
                <c:pt idx="14">
                  <c:v>1108.4789699034166</c:v>
                </c:pt>
                <c:pt idx="15">
                  <c:v>1349.557952141929</c:v>
                </c:pt>
                <c:pt idx="16">
                  <c:v>1192.1040422418394</c:v>
                </c:pt>
                <c:pt idx="17">
                  <c:v>1236.1682955908166</c:v>
                </c:pt>
                <c:pt idx="18">
                  <c:v>1281.8035105027147</c:v>
                </c:pt>
                <c:pt idx="19">
                  <c:v>1329.0642868432949</c:v>
                </c:pt>
                <c:pt idx="20">
                  <c:v>1378.0070866048577</c:v>
                </c:pt>
                <c:pt idx="21">
                  <c:v>1428.6902964939552</c:v>
                </c:pt>
                <c:pt idx="22">
                  <c:v>1481.1742925984543</c:v>
                </c:pt>
                <c:pt idx="23">
                  <c:v>1535.5215072023791</c:v>
                </c:pt>
                <c:pt idx="24">
                  <c:v>1591.7964978191997</c:v>
                </c:pt>
                <c:pt idx="25">
                  <c:v>1650.0660185165482</c:v>
                </c:pt>
                <c:pt idx="26">
                  <c:v>1710.3990936076998</c:v>
                </c:pt>
                <c:pt idx="27">
                  <c:v>1772.8670937876561</c:v>
                </c:pt>
                <c:pt idx="28">
                  <c:v>1837.5438147941629</c:v>
                </c:pt>
                <c:pt idx="29">
                  <c:v>1904.5055586766512</c:v>
                </c:pt>
              </c:numCache>
            </c:numRef>
          </c:val>
          <c:extLst>
            <c:ext xmlns:c16="http://schemas.microsoft.com/office/drawing/2014/chart" uri="{C3380CC4-5D6E-409C-BE32-E72D297353CC}">
              <c16:uniqueId val="{00000001-1A6C-924F-9257-651FE4BC3DAB}"/>
            </c:ext>
          </c:extLst>
        </c:ser>
        <c:dLbls>
          <c:showLegendKey val="0"/>
          <c:showVal val="0"/>
          <c:showCatName val="0"/>
          <c:showSerName val="0"/>
          <c:showPercent val="0"/>
          <c:showBubbleSize val="0"/>
        </c:dLbls>
        <c:gapWidth val="150"/>
        <c:axId val="204561024"/>
        <c:axId val="204583296"/>
      </c:barChart>
      <c:lineChart>
        <c:grouping val="standard"/>
        <c:varyColors val="0"/>
        <c:ser>
          <c:idx val="2"/>
          <c:order val="2"/>
          <c:tx>
            <c:strRef>
              <c:f>'Charts - Freight'!$B$227</c:f>
              <c:strCache>
                <c:ptCount val="1"/>
                <c:pt idx="0">
                  <c:v>Current ratio</c:v>
                </c:pt>
              </c:strCache>
            </c:strRef>
          </c:tx>
          <c:marker>
            <c:symbol val="none"/>
          </c:marker>
          <c:val>
            <c:numRef>
              <c:f>[0]!currentratioinfra</c:f>
              <c:numCache>
                <c:formatCode>0.00</c:formatCode>
                <c:ptCount val="30"/>
                <c:pt idx="0">
                  <c:v>8.6885245901639347</c:v>
                </c:pt>
                <c:pt idx="1">
                  <c:v>20.489779133983571</c:v>
                </c:pt>
                <c:pt idx="2">
                  <c:v>32.522563543897213</c:v>
                </c:pt>
                <c:pt idx="3">
                  <c:v>43.710673394831296</c:v>
                </c:pt>
                <c:pt idx="4">
                  <c:v>53.746661690518835</c:v>
                </c:pt>
                <c:pt idx="5">
                  <c:v>65.158372008575071</c:v>
                </c:pt>
                <c:pt idx="6">
                  <c:v>76.026509793777777</c:v>
                </c:pt>
                <c:pt idx="7">
                  <c:v>87.954554739693009</c:v>
                </c:pt>
                <c:pt idx="8">
                  <c:v>99.835073139878673</c:v>
                </c:pt>
                <c:pt idx="9">
                  <c:v>114.38630406784759</c:v>
                </c:pt>
                <c:pt idx="10">
                  <c:v>126.14775908725163</c:v>
                </c:pt>
                <c:pt idx="11">
                  <c:v>137.78493472569403</c:v>
                </c:pt>
                <c:pt idx="12">
                  <c:v>149.31349872241648</c:v>
                </c:pt>
                <c:pt idx="13">
                  <c:v>160.73433321392</c:v>
                </c:pt>
                <c:pt idx="14">
                  <c:v>172.04951265106149</c:v>
                </c:pt>
                <c:pt idx="15">
                  <c:v>156.10090400273984</c:v>
                </c:pt>
                <c:pt idx="16">
                  <c:v>194.3168997680055</c:v>
                </c:pt>
                <c:pt idx="17">
                  <c:v>205.32521064376252</c:v>
                </c:pt>
                <c:pt idx="18">
                  <c:v>216.23285597087175</c:v>
                </c:pt>
                <c:pt idx="19">
                  <c:v>227.04104193825299</c:v>
                </c:pt>
                <c:pt idx="20">
                  <c:v>237.7509576069674</c:v>
                </c:pt>
                <c:pt idx="21">
                  <c:v>248.36377516603054</c:v>
                </c:pt>
                <c:pt idx="22">
                  <c:v>258.88065018577822</c:v>
                </c:pt>
                <c:pt idx="23">
                  <c:v>269.30272186865011</c:v>
                </c:pt>
                <c:pt idx="24">
                  <c:v>279.63111329727997</c:v>
                </c:pt>
                <c:pt idx="25">
                  <c:v>289.86693167980042</c:v>
                </c:pt>
                <c:pt idx="26">
                  <c:v>300.01126859228992</c:v>
                </c:pt>
                <c:pt idx="27">
                  <c:v>310.06520021829505</c:v>
                </c:pt>
                <c:pt idx="28">
                  <c:v>320.02958294470113</c:v>
                </c:pt>
                <c:pt idx="29">
                  <c:v>329.90314330695384</c:v>
                </c:pt>
              </c:numCache>
            </c:numRef>
          </c:val>
          <c:smooth val="0"/>
          <c:extLst>
            <c:ext xmlns:c16="http://schemas.microsoft.com/office/drawing/2014/chart" uri="{C3380CC4-5D6E-409C-BE32-E72D297353CC}">
              <c16:uniqueId val="{00000002-1A6C-924F-9257-651FE4BC3DAB}"/>
            </c:ext>
          </c:extLst>
        </c:ser>
        <c:dLbls>
          <c:showLegendKey val="0"/>
          <c:showVal val="0"/>
          <c:showCatName val="0"/>
          <c:showSerName val="0"/>
          <c:showPercent val="0"/>
          <c:showBubbleSize val="0"/>
        </c:dLbls>
        <c:marker val="1"/>
        <c:smooth val="0"/>
        <c:axId val="204591104"/>
        <c:axId val="204585216"/>
      </c:lineChart>
      <c:catAx>
        <c:axId val="204561024"/>
        <c:scaling>
          <c:orientation val="minMax"/>
        </c:scaling>
        <c:delete val="0"/>
        <c:axPos val="b"/>
        <c:numFmt formatCode="0" sourceLinked="1"/>
        <c:majorTickMark val="out"/>
        <c:minorTickMark val="none"/>
        <c:tickLblPos val="nextTo"/>
        <c:crossAx val="204583296"/>
        <c:crosses val="autoZero"/>
        <c:auto val="1"/>
        <c:lblAlgn val="ctr"/>
        <c:lblOffset val="100"/>
        <c:noMultiLvlLbl val="0"/>
      </c:catAx>
      <c:valAx>
        <c:axId val="204583296"/>
        <c:scaling>
          <c:orientation val="minMax"/>
        </c:scaling>
        <c:delete val="0"/>
        <c:axPos val="l"/>
        <c:numFmt formatCode="_(* #,##0_);_(* \(#,##0\);_(* &quot;-&quot;??_);_(@_)" sourceLinked="1"/>
        <c:majorTickMark val="out"/>
        <c:minorTickMark val="none"/>
        <c:tickLblPos val="nextTo"/>
        <c:crossAx val="204561024"/>
        <c:crosses val="autoZero"/>
        <c:crossBetween val="between"/>
        <c:dispUnits>
          <c:builtInUnit val="thousands"/>
          <c:dispUnitsLbl>
            <c:layout>
              <c:manualLayout>
                <c:xMode val="edge"/>
                <c:yMode val="edge"/>
                <c:x val="3.0555555555555582E-2"/>
                <c:y val="0.29677092446777487"/>
              </c:manualLayout>
            </c:layout>
            <c:tx>
              <c:strRef>
                <c:f>'Charts - Freight'!$E$134</c:f>
                <c:strCache>
                  <c:ptCount val="1"/>
                  <c:pt idx="0">
                    <c:v>R$ millions</c:v>
                  </c:pt>
                </c:strCache>
              </c:strRef>
            </c:tx>
            <c:txPr>
              <a:bodyPr/>
              <a:lstStyle/>
              <a:p>
                <a:pPr>
                  <a:defRPr/>
                </a:pPr>
                <a:endParaRPr lang="en-US"/>
              </a:p>
            </c:txPr>
          </c:dispUnitsLbl>
        </c:dispUnits>
      </c:valAx>
      <c:valAx>
        <c:axId val="204585216"/>
        <c:scaling>
          <c:orientation val="minMax"/>
          <c:max val="10"/>
        </c:scaling>
        <c:delete val="0"/>
        <c:axPos val="r"/>
        <c:numFmt formatCode="0.00" sourceLinked="1"/>
        <c:majorTickMark val="out"/>
        <c:minorTickMark val="none"/>
        <c:tickLblPos val="nextTo"/>
        <c:crossAx val="204591104"/>
        <c:crosses val="max"/>
        <c:crossBetween val="between"/>
      </c:valAx>
      <c:catAx>
        <c:axId val="204591104"/>
        <c:scaling>
          <c:orientation val="minMax"/>
        </c:scaling>
        <c:delete val="1"/>
        <c:axPos val="b"/>
        <c:majorTickMark val="out"/>
        <c:minorTickMark val="none"/>
        <c:tickLblPos val="none"/>
        <c:crossAx val="204585216"/>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Return ratios</a:t>
            </a:r>
          </a:p>
        </c:rich>
      </c:tx>
      <c:overlay val="0"/>
    </c:title>
    <c:autoTitleDeleted val="0"/>
    <c:plotArea>
      <c:layout/>
      <c:lineChart>
        <c:grouping val="standard"/>
        <c:varyColors val="0"/>
        <c:ser>
          <c:idx val="0"/>
          <c:order val="0"/>
          <c:tx>
            <c:strRef>
              <c:f>'Charts - Infrastructure'!$B$208</c:f>
              <c:strCache>
                <c:ptCount val="1"/>
                <c:pt idx="0">
                  <c:v>Return on equity</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[0]!roeinfra</c:f>
              <c:numCache>
                <c:formatCode>0%</c:formatCode>
                <c:ptCount val="30"/>
                <c:pt idx="0">
                  <c:v>4.678568232662192</c:v>
                </c:pt>
                <c:pt idx="1">
                  <c:v>2.7927566667729429</c:v>
                </c:pt>
                <c:pt idx="2">
                  <c:v>1.5433673325448425</c:v>
                </c:pt>
                <c:pt idx="3">
                  <c:v>1.1004835307219791</c:v>
                </c:pt>
                <c:pt idx="4">
                  <c:v>0.88149598980324184</c:v>
                </c:pt>
                <c:pt idx="5">
                  <c:v>0.73264569372892008</c:v>
                </c:pt>
                <c:pt idx="6">
                  <c:v>0.66921781482967013</c:v>
                </c:pt>
                <c:pt idx="7">
                  <c:v>0.58519177850902004</c:v>
                </c:pt>
                <c:pt idx="8">
                  <c:v>0.52438934036145723</c:v>
                </c:pt>
                <c:pt idx="9">
                  <c:v>0.47737802499866749</c:v>
                </c:pt>
                <c:pt idx="10">
                  <c:v>0.4346908720587363</c:v>
                </c:pt>
                <c:pt idx="11">
                  <c:v>0.40386137996276888</c:v>
                </c:pt>
                <c:pt idx="12">
                  <c:v>0.37857513726370201</c:v>
                </c:pt>
                <c:pt idx="13">
                  <c:v>0.35724655584915005</c:v>
                </c:pt>
                <c:pt idx="14">
                  <c:v>0.33896271784665644</c:v>
                </c:pt>
                <c:pt idx="15">
                  <c:v>0.3231804941063931</c:v>
                </c:pt>
                <c:pt idx="16">
                  <c:v>0.3092600490045479</c:v>
                </c:pt>
                <c:pt idx="17">
                  <c:v>0.29699589369022139</c:v>
                </c:pt>
                <c:pt idx="18">
                  <c:v>0.28618545669109052</c:v>
                </c:pt>
                <c:pt idx="19">
                  <c:v>0.27652095082463507</c:v>
                </c:pt>
                <c:pt idx="20">
                  <c:v>0.26782818636597361</c:v>
                </c:pt>
                <c:pt idx="21">
                  <c:v>0.25996657661523792</c:v>
                </c:pt>
                <c:pt idx="22">
                  <c:v>0.25282141002649999</c:v>
                </c:pt>
                <c:pt idx="23">
                  <c:v>0.24629816103252758</c:v>
                </c:pt>
                <c:pt idx="24">
                  <c:v>0.24031823853483519</c:v>
                </c:pt>
                <c:pt idx="25">
                  <c:v>0.23481576534761842</c:v>
                </c:pt>
                <c:pt idx="26">
                  <c:v>0.22973510827024932</c:v>
                </c:pt>
                <c:pt idx="27">
                  <c:v>0.22502896231725189</c:v>
                </c:pt>
                <c:pt idx="28">
                  <c:v>0.22066120951719329</c:v>
                </c:pt>
                <c:pt idx="29">
                  <c:v>0.21663866528351428</c:v>
                </c:pt>
              </c:numCache>
            </c:numRef>
          </c:val>
          <c:smooth val="0"/>
          <c:extLst>
            <c:ext xmlns:c16="http://schemas.microsoft.com/office/drawing/2014/chart" uri="{C3380CC4-5D6E-409C-BE32-E72D297353CC}">
              <c16:uniqueId val="{00000000-CCB7-B845-A808-87010A8EAC1C}"/>
            </c:ext>
          </c:extLst>
        </c:ser>
        <c:ser>
          <c:idx val="1"/>
          <c:order val="1"/>
          <c:tx>
            <c:strRef>
              <c:f>'Charts - Infrastructure'!$B$209</c:f>
              <c:strCache>
                <c:ptCount val="1"/>
                <c:pt idx="0">
                  <c:v>Return on assets</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[0]!roainfra</c:f>
              <c:numCache>
                <c:formatCode>0%</c:formatCode>
                <c:ptCount val="30"/>
                <c:pt idx="0">
                  <c:v>4.0782371294851796</c:v>
                </c:pt>
                <c:pt idx="1">
                  <c:v>2.5735280691399987</c:v>
                </c:pt>
                <c:pt idx="2">
                  <c:v>1.4741409320593495</c:v>
                </c:pt>
                <c:pt idx="3">
                  <c:v>1.0652598360464478</c:v>
                </c:pt>
                <c:pt idx="4">
                  <c:v>0.85912209011341811</c:v>
                </c:pt>
                <c:pt idx="5">
                  <c:v>0.71720132377079471</c:v>
                </c:pt>
                <c:pt idx="6">
                  <c:v>0.65722345862849396</c:v>
                </c:pt>
                <c:pt idx="7">
                  <c:v>0.57623780619713127</c:v>
                </c:pt>
                <c:pt idx="8">
                  <c:v>0.51755333524363178</c:v>
                </c:pt>
                <c:pt idx="9">
                  <c:v>0.47198461941782377</c:v>
                </c:pt>
                <c:pt idx="10">
                  <c:v>0.4303302551705307</c:v>
                </c:pt>
                <c:pt idx="11">
                  <c:v>0.40018735508450631</c:v>
                </c:pt>
                <c:pt idx="12">
                  <c:v>0.37542472738985794</c:v>
                </c:pt>
                <c:pt idx="13">
                  <c:v>0.35450733799351097</c:v>
                </c:pt>
                <c:pt idx="14">
                  <c:v>0.33655316605722718</c:v>
                </c:pt>
                <c:pt idx="15">
                  <c:v>0.32103923971892095</c:v>
                </c:pt>
                <c:pt idx="16">
                  <c:v>0.30747907117309381</c:v>
                </c:pt>
                <c:pt idx="17">
                  <c:v>0.29550461077064089</c:v>
                </c:pt>
                <c:pt idx="18">
                  <c:v>0.2848227046695761</c:v>
                </c:pt>
                <c:pt idx="19">
                  <c:v>0.27526834763060321</c:v>
                </c:pt>
                <c:pt idx="20">
                  <c:v>0.26667081439375151</c:v>
                </c:pt>
                <c:pt idx="21">
                  <c:v>0.25889219183890033</c:v>
                </c:pt>
                <c:pt idx="22">
                  <c:v>0.25181985983371108</c:v>
                </c:pt>
                <c:pt idx="23">
                  <c:v>0.24536094896576674</c:v>
                </c:pt>
                <c:pt idx="24">
                  <c:v>0.23943819425118626</c:v>
                </c:pt>
                <c:pt idx="25">
                  <c:v>0.23398679113755463</c:v>
                </c:pt>
                <c:pt idx="26">
                  <c:v>0.22895198208829454</c:v>
                </c:pt>
                <c:pt idx="27">
                  <c:v>0.22428718307823864</c:v>
                </c:pt>
                <c:pt idx="28">
                  <c:v>0.21995686292196173</c:v>
                </c:pt>
                <c:pt idx="29">
                  <c:v>0.21596823819398936</c:v>
                </c:pt>
              </c:numCache>
            </c:numRef>
          </c:val>
          <c:smooth val="0"/>
          <c:extLst>
            <c:ext xmlns:c16="http://schemas.microsoft.com/office/drawing/2014/chart" uri="{C3380CC4-5D6E-409C-BE32-E72D297353CC}">
              <c16:uniqueId val="{00000001-CCB7-B845-A808-87010A8EAC1C}"/>
            </c:ext>
          </c:extLst>
        </c:ser>
        <c:dLbls>
          <c:showLegendKey val="0"/>
          <c:showVal val="0"/>
          <c:showCatName val="0"/>
          <c:showSerName val="0"/>
          <c:showPercent val="0"/>
          <c:showBubbleSize val="0"/>
        </c:dLbls>
        <c:smooth val="0"/>
        <c:axId val="204612352"/>
        <c:axId val="204613888"/>
      </c:lineChart>
      <c:catAx>
        <c:axId val="204612352"/>
        <c:scaling>
          <c:orientation val="minMax"/>
        </c:scaling>
        <c:delete val="0"/>
        <c:axPos val="b"/>
        <c:numFmt formatCode="0" sourceLinked="1"/>
        <c:majorTickMark val="out"/>
        <c:minorTickMark val="none"/>
        <c:tickLblPos val="nextTo"/>
        <c:crossAx val="204613888"/>
        <c:crosses val="autoZero"/>
        <c:auto val="1"/>
        <c:lblAlgn val="ctr"/>
        <c:lblOffset val="100"/>
        <c:noMultiLvlLbl val="0"/>
      </c:catAx>
      <c:valAx>
        <c:axId val="204613888"/>
        <c:scaling>
          <c:orientation val="minMax"/>
        </c:scaling>
        <c:delete val="0"/>
        <c:axPos val="l"/>
        <c:numFmt formatCode="0%" sourceLinked="1"/>
        <c:majorTickMark val="out"/>
        <c:minorTickMark val="none"/>
        <c:tickLblPos val="nextTo"/>
        <c:crossAx val="204612352"/>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Operating and working ratio</a:t>
            </a:r>
          </a:p>
        </c:rich>
      </c:tx>
      <c:overlay val="0"/>
    </c:title>
    <c:autoTitleDeleted val="0"/>
    <c:plotArea>
      <c:layout/>
      <c:lineChart>
        <c:grouping val="standard"/>
        <c:varyColors val="0"/>
        <c:ser>
          <c:idx val="0"/>
          <c:order val="0"/>
          <c:tx>
            <c:strRef>
              <c:f>'Charts - Freight'!$B$236:$D$236</c:f>
              <c:strCache>
                <c:ptCount val="3"/>
                <c:pt idx="0">
                  <c:v>Operating ratio</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[0]!operatingratioinfra</c:f>
              <c:numCache>
                <c:formatCode>0%</c:formatCode>
                <c:ptCount val="30"/>
                <c:pt idx="0">
                  <c:v>8.5615405949667794E-2</c:v>
                </c:pt>
                <c:pt idx="1">
                  <c:v>8.6483892699641227E-2</c:v>
                </c:pt>
                <c:pt idx="2">
                  <c:v>8.8419724222246879E-2</c:v>
                </c:pt>
                <c:pt idx="3">
                  <c:v>8.9093343056864449E-2</c:v>
                </c:pt>
                <c:pt idx="4">
                  <c:v>9.0119635054292449E-2</c:v>
                </c:pt>
                <c:pt idx="5">
                  <c:v>8.9235886534928574E-2</c:v>
                </c:pt>
                <c:pt idx="6">
                  <c:v>8.5187039462179717E-2</c:v>
                </c:pt>
                <c:pt idx="7">
                  <c:v>8.4458387823822437E-2</c:v>
                </c:pt>
                <c:pt idx="8">
                  <c:v>8.3746144012750573E-2</c:v>
                </c:pt>
                <c:pt idx="9">
                  <c:v>8.3046882218942117E-2</c:v>
                </c:pt>
                <c:pt idx="10">
                  <c:v>8.236706832013678E-2</c:v>
                </c:pt>
                <c:pt idx="11">
                  <c:v>8.1703788974888544E-2</c:v>
                </c:pt>
                <c:pt idx="12">
                  <c:v>8.1004593296584326E-2</c:v>
                </c:pt>
                <c:pt idx="13">
                  <c:v>8.0254549084836979E-2</c:v>
                </c:pt>
                <c:pt idx="14">
                  <c:v>7.9632482569499508E-2</c:v>
                </c:pt>
                <c:pt idx="15">
                  <c:v>7.8879085962326137E-2</c:v>
                </c:pt>
                <c:pt idx="16">
                  <c:v>7.8303195251011176E-2</c:v>
                </c:pt>
                <c:pt idx="17">
                  <c:v>7.7739118860941689E-2</c:v>
                </c:pt>
                <c:pt idx="18">
                  <c:v>7.7186602178830929E-2</c:v>
                </c:pt>
                <c:pt idx="19">
                  <c:v>7.6645394287341476E-2</c:v>
                </c:pt>
                <c:pt idx="20">
                  <c:v>7.6115248131702312E-2</c:v>
                </c:pt>
                <c:pt idx="21">
                  <c:v>7.5595920655027168E-2</c:v>
                </c:pt>
                <c:pt idx="22">
                  <c:v>7.5087172906326979E-2</c:v>
                </c:pt>
                <c:pt idx="23">
                  <c:v>7.4588770124636564E-2</c:v>
                </c:pt>
                <c:pt idx="24">
                  <c:v>7.4100481802211557E-2</c:v>
                </c:pt>
                <c:pt idx="25">
                  <c:v>7.362208172937304E-2</c:v>
                </c:pt>
                <c:pt idx="26">
                  <c:v>7.3153348023253392E-2</c:v>
                </c:pt>
                <c:pt idx="27">
                  <c:v>7.2694063142427864E-2</c:v>
                </c:pt>
                <c:pt idx="28">
                  <c:v>7.2216970538489633E-2</c:v>
                </c:pt>
                <c:pt idx="29">
                  <c:v>7.1428960327381025E-2</c:v>
                </c:pt>
              </c:numCache>
            </c:numRef>
          </c:val>
          <c:smooth val="0"/>
          <c:extLst>
            <c:ext xmlns:c16="http://schemas.microsoft.com/office/drawing/2014/chart" uri="{C3380CC4-5D6E-409C-BE32-E72D297353CC}">
              <c16:uniqueId val="{00000000-77AE-CE4D-936C-97583081C319}"/>
            </c:ext>
          </c:extLst>
        </c:ser>
        <c:ser>
          <c:idx val="1"/>
          <c:order val="1"/>
          <c:tx>
            <c:strRef>
              <c:f>'Charts - Freight'!$B$237:$D$237</c:f>
              <c:strCache>
                <c:ptCount val="3"/>
                <c:pt idx="0">
                  <c:v>Working ratio</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[0]!workingratioinfra</c:f>
              <c:numCache>
                <c:formatCode>0%</c:formatCode>
                <c:ptCount val="30"/>
                <c:pt idx="0">
                  <c:v>8.4409555161644292E-2</c:v>
                </c:pt>
                <c:pt idx="1">
                  <c:v>8.5322929717763396E-2</c:v>
                </c:pt>
                <c:pt idx="2">
                  <c:v>8.6932962928016028E-2</c:v>
                </c:pt>
                <c:pt idx="3">
                  <c:v>8.7432331071329444E-2</c:v>
                </c:pt>
                <c:pt idx="4">
                  <c:v>8.8342624827758467E-2</c:v>
                </c:pt>
                <c:pt idx="5">
                  <c:v>8.7325443711215395E-2</c:v>
                </c:pt>
                <c:pt idx="6">
                  <c:v>8.3286041007142875E-2</c:v>
                </c:pt>
                <c:pt idx="7">
                  <c:v>8.2459283171654504E-2</c:v>
                </c:pt>
                <c:pt idx="8">
                  <c:v>8.1661614728837775E-2</c:v>
                </c:pt>
                <c:pt idx="9">
                  <c:v>8.0891540686477498E-2</c:v>
                </c:pt>
                <c:pt idx="10">
                  <c:v>8.0147635087000096E-2</c:v>
                </c:pt>
                <c:pt idx="11">
                  <c:v>7.9428590475821861E-2</c:v>
                </c:pt>
                <c:pt idx="12">
                  <c:v>7.8733351291011097E-2</c:v>
                </c:pt>
                <c:pt idx="13">
                  <c:v>7.8060817231085836E-2</c:v>
                </c:pt>
                <c:pt idx="14">
                  <c:v>7.7409360489264403E-2</c:v>
                </c:pt>
                <c:pt idx="15">
                  <c:v>7.6778776609627314E-2</c:v>
                </c:pt>
                <c:pt idx="16">
                  <c:v>7.6167163006753524E-2</c:v>
                </c:pt>
                <c:pt idx="17">
                  <c:v>7.5574147052679258E-2</c:v>
                </c:pt>
                <c:pt idx="18">
                  <c:v>7.4998895440822874E-2</c:v>
                </c:pt>
                <c:pt idx="19">
                  <c:v>7.444062390704996E-2</c:v>
                </c:pt>
                <c:pt idx="20">
                  <c:v>7.3898593674636553E-2</c:v>
                </c:pt>
                <c:pt idx="21">
                  <c:v>7.3372108203494532E-2</c:v>
                </c:pt>
                <c:pt idx="22">
                  <c:v>7.2860510213911961E-2</c:v>
                </c:pt>
                <c:pt idx="23">
                  <c:v>7.2363178958266841E-2</c:v>
                </c:pt>
                <c:pt idx="24">
                  <c:v>7.1879527717020386E-2</c:v>
                </c:pt>
                <c:pt idx="25">
                  <c:v>7.1409001497823504E-2</c:v>
                </c:pt>
                <c:pt idx="26">
                  <c:v>7.0951074918803425E-2</c:v>
                </c:pt>
                <c:pt idx="27">
                  <c:v>7.0505250259079957E-2</c:v>
                </c:pt>
                <c:pt idx="28">
                  <c:v>7.0071134616294412E-2</c:v>
                </c:pt>
                <c:pt idx="29">
                  <c:v>6.9650230398639948E-2</c:v>
                </c:pt>
              </c:numCache>
            </c:numRef>
          </c:val>
          <c:smooth val="0"/>
          <c:extLst>
            <c:ext xmlns:c16="http://schemas.microsoft.com/office/drawing/2014/chart" uri="{C3380CC4-5D6E-409C-BE32-E72D297353CC}">
              <c16:uniqueId val="{00000001-77AE-CE4D-936C-97583081C319}"/>
            </c:ext>
          </c:extLst>
        </c:ser>
        <c:dLbls>
          <c:showLegendKey val="0"/>
          <c:showVal val="0"/>
          <c:showCatName val="0"/>
          <c:showSerName val="0"/>
          <c:showPercent val="0"/>
          <c:showBubbleSize val="0"/>
        </c:dLbls>
        <c:smooth val="0"/>
        <c:axId val="204647040"/>
        <c:axId val="204652928"/>
      </c:lineChart>
      <c:catAx>
        <c:axId val="204647040"/>
        <c:scaling>
          <c:orientation val="minMax"/>
        </c:scaling>
        <c:delete val="0"/>
        <c:axPos val="b"/>
        <c:numFmt formatCode="0" sourceLinked="1"/>
        <c:majorTickMark val="out"/>
        <c:minorTickMark val="none"/>
        <c:tickLblPos val="nextTo"/>
        <c:crossAx val="204652928"/>
        <c:crosses val="autoZero"/>
        <c:auto val="1"/>
        <c:lblAlgn val="ctr"/>
        <c:lblOffset val="100"/>
        <c:noMultiLvlLbl val="0"/>
      </c:catAx>
      <c:valAx>
        <c:axId val="204652928"/>
        <c:scaling>
          <c:orientation val="minMax"/>
        </c:scaling>
        <c:delete val="0"/>
        <c:axPos val="l"/>
        <c:numFmt formatCode="0%" sourceLinked="1"/>
        <c:majorTickMark val="out"/>
        <c:minorTickMark val="none"/>
        <c:tickLblPos val="nextTo"/>
        <c:crossAx val="204647040"/>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Staff productivity</a:t>
            </a:r>
          </a:p>
        </c:rich>
      </c:tx>
      <c:overlay val="0"/>
    </c:title>
    <c:autoTitleDeleted val="0"/>
    <c:plotArea>
      <c:layout/>
      <c:barChart>
        <c:barDir val="col"/>
        <c:grouping val="clustered"/>
        <c:varyColors val="0"/>
        <c:ser>
          <c:idx val="0"/>
          <c:order val="0"/>
          <c:tx>
            <c:strRef>
              <c:f>'Charts - Freight'!$B$241:$D$241</c:f>
              <c:strCache>
                <c:ptCount val="3"/>
                <c:pt idx="0">
                  <c:v>Traffic units per staff</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[0]!trafficunitsperstaffinfra</c:f>
              <c:numCache>
                <c:formatCode>_(* #,##0.00_);_(* \(#,##0.00\);_(* "-"??_);_(@_)</c:formatCode>
                <c:ptCount val="30"/>
                <c:pt idx="0">
                  <c:v>7.5333333333333332</c:v>
                </c:pt>
                <c:pt idx="1">
                  <c:v>7.1875</c:v>
                </c:pt>
                <c:pt idx="2">
                  <c:v>6.7647058823529411</c:v>
                </c:pt>
                <c:pt idx="3">
                  <c:v>6.5555555555555554</c:v>
                </c:pt>
                <c:pt idx="4">
                  <c:v>6.2</c:v>
                </c:pt>
                <c:pt idx="5">
                  <c:v>6.35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numCache>
            </c:numRef>
          </c:val>
          <c:extLst>
            <c:ext xmlns:c16="http://schemas.microsoft.com/office/drawing/2014/chart" uri="{C3380CC4-5D6E-409C-BE32-E72D297353CC}">
              <c16:uniqueId val="{00000000-68C1-294C-A42C-11C0B0608923}"/>
            </c:ext>
          </c:extLst>
        </c:ser>
        <c:dLbls>
          <c:showLegendKey val="0"/>
          <c:showVal val="1"/>
          <c:showCatName val="0"/>
          <c:showSerName val="0"/>
          <c:showPercent val="0"/>
          <c:showBubbleSize val="0"/>
        </c:dLbls>
        <c:gapWidth val="75"/>
        <c:axId val="204694656"/>
        <c:axId val="204696192"/>
      </c:barChart>
      <c:lineChart>
        <c:grouping val="standard"/>
        <c:varyColors val="0"/>
        <c:ser>
          <c:idx val="1"/>
          <c:order val="1"/>
          <c:tx>
            <c:strRef>
              <c:f>'Charts - Freight'!$B$242:$D$242</c:f>
              <c:strCache>
                <c:ptCount val="3"/>
                <c:pt idx="0">
                  <c:v>EU railways</c:v>
                </c:pt>
              </c:strCache>
            </c:strRef>
          </c:tx>
          <c:marker>
            <c:symbol val="none"/>
          </c:marker>
          <c:dLbls>
            <c:delete val="1"/>
          </c:dLbls>
          <c:cat>
            <c:numRef>
              <c:f>'Charts - Freight'!$E$240:$AH$240</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[0]!trafficunitsperstaffinfraeu</c:f>
              <c:numCache>
                <c:formatCode>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68C1-294C-A42C-11C0B0608923}"/>
            </c:ext>
          </c:extLst>
        </c:ser>
        <c:dLbls>
          <c:showLegendKey val="0"/>
          <c:showVal val="1"/>
          <c:showCatName val="0"/>
          <c:showSerName val="0"/>
          <c:showPercent val="0"/>
          <c:showBubbleSize val="0"/>
        </c:dLbls>
        <c:marker val="1"/>
        <c:smooth val="0"/>
        <c:axId val="204694656"/>
        <c:axId val="204696192"/>
      </c:lineChart>
      <c:catAx>
        <c:axId val="204694656"/>
        <c:scaling>
          <c:orientation val="minMax"/>
        </c:scaling>
        <c:delete val="0"/>
        <c:axPos val="b"/>
        <c:numFmt formatCode="0" sourceLinked="1"/>
        <c:majorTickMark val="none"/>
        <c:minorTickMark val="none"/>
        <c:tickLblPos val="nextTo"/>
        <c:crossAx val="204696192"/>
        <c:crosses val="autoZero"/>
        <c:auto val="1"/>
        <c:lblAlgn val="ctr"/>
        <c:lblOffset val="100"/>
        <c:noMultiLvlLbl val="0"/>
      </c:catAx>
      <c:valAx>
        <c:axId val="204696192"/>
        <c:scaling>
          <c:orientation val="minMax"/>
        </c:scaling>
        <c:delete val="0"/>
        <c:axPos val="l"/>
        <c:title>
          <c:tx>
            <c:strRef>
              <c:f>'Charts - Freight'!$F$239</c:f>
              <c:strCache>
                <c:ptCount val="1"/>
                <c:pt idx="0">
                  <c:v>Traffic unit per staff</c:v>
                </c:pt>
              </c:strCache>
            </c:strRef>
          </c:tx>
          <c:overlay val="0"/>
          <c:txPr>
            <a:bodyPr rot="-5400000" vert="horz"/>
            <a:lstStyle/>
            <a:p>
              <a:pPr>
                <a:defRPr/>
              </a:pPr>
              <a:endParaRPr lang="en-US"/>
            </a:p>
          </c:txPr>
        </c:title>
        <c:numFmt formatCode="_(* #,##0.00_);_(* \(#,##0.00\);_(* &quot;-&quot;??_);_(@_)" sourceLinked="1"/>
        <c:majorTickMark val="none"/>
        <c:minorTickMark val="none"/>
        <c:tickLblPos val="nextTo"/>
        <c:crossAx val="204694656"/>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Staff productivity</a:t>
            </a:r>
          </a:p>
        </c:rich>
      </c:tx>
      <c:overlay val="0"/>
    </c:title>
    <c:autoTitleDeleted val="0"/>
    <c:plotArea>
      <c:layout/>
      <c:barChart>
        <c:barDir val="col"/>
        <c:grouping val="clustered"/>
        <c:varyColors val="0"/>
        <c:ser>
          <c:idx val="0"/>
          <c:order val="0"/>
          <c:tx>
            <c:strRef>
              <c:f>'Charts - Freight'!$B$248:$D$248</c:f>
              <c:strCache>
                <c:ptCount val="3"/>
                <c:pt idx="0">
                  <c:v>Average staff/track-km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[0]!staffpertrackkminfra</c:f>
              <c:numCache>
                <c:formatCode>0.0</c:formatCode>
                <c:ptCount val="30"/>
                <c:pt idx="0">
                  <c:v>1</c:v>
                </c:pt>
                <c:pt idx="1">
                  <c:v>1.0666666666666667</c:v>
                </c:pt>
                <c:pt idx="2">
                  <c:v>1.1333333333333333</c:v>
                </c:pt>
                <c:pt idx="3">
                  <c:v>1.2</c:v>
                </c:pt>
                <c:pt idx="4">
                  <c:v>1.3333333333333333</c:v>
                </c:pt>
                <c:pt idx="5">
                  <c:v>1.3333333333333333</c:v>
                </c:pt>
                <c:pt idx="6">
                  <c:v>1.3333333333333333</c:v>
                </c:pt>
                <c:pt idx="7">
                  <c:v>1.3333333333333333</c:v>
                </c:pt>
                <c:pt idx="8">
                  <c:v>1.3333333333333333</c:v>
                </c:pt>
                <c:pt idx="9">
                  <c:v>1.3333333333333333</c:v>
                </c:pt>
                <c:pt idx="10">
                  <c:v>1.3333333333333333</c:v>
                </c:pt>
                <c:pt idx="11">
                  <c:v>1.3333333333333333</c:v>
                </c:pt>
                <c:pt idx="12">
                  <c:v>1.3333333333333333</c:v>
                </c:pt>
                <c:pt idx="13">
                  <c:v>1.3333333333333333</c:v>
                </c:pt>
                <c:pt idx="14">
                  <c:v>1.3333333333333333</c:v>
                </c:pt>
                <c:pt idx="15">
                  <c:v>1.3333333333333333</c:v>
                </c:pt>
                <c:pt idx="16">
                  <c:v>1.3333333333333333</c:v>
                </c:pt>
                <c:pt idx="17">
                  <c:v>1.3333333333333333</c:v>
                </c:pt>
                <c:pt idx="18">
                  <c:v>1.3333333333333333</c:v>
                </c:pt>
                <c:pt idx="19">
                  <c:v>1.3333333333333333</c:v>
                </c:pt>
                <c:pt idx="20">
                  <c:v>1.3333333333333333</c:v>
                </c:pt>
                <c:pt idx="21">
                  <c:v>1.3333333333333333</c:v>
                </c:pt>
                <c:pt idx="22">
                  <c:v>1.3333333333333333</c:v>
                </c:pt>
                <c:pt idx="23">
                  <c:v>1.3333333333333333</c:v>
                </c:pt>
                <c:pt idx="24">
                  <c:v>1.3333333333333333</c:v>
                </c:pt>
                <c:pt idx="25">
                  <c:v>1.3333333333333333</c:v>
                </c:pt>
                <c:pt idx="26">
                  <c:v>1.3333333333333333</c:v>
                </c:pt>
                <c:pt idx="27">
                  <c:v>1.3333333333333333</c:v>
                </c:pt>
                <c:pt idx="28">
                  <c:v>1.3333333333333333</c:v>
                </c:pt>
                <c:pt idx="29">
                  <c:v>1.3333333333333333</c:v>
                </c:pt>
              </c:numCache>
            </c:numRef>
          </c:val>
          <c:extLst>
            <c:ext xmlns:c16="http://schemas.microsoft.com/office/drawing/2014/chart" uri="{C3380CC4-5D6E-409C-BE32-E72D297353CC}">
              <c16:uniqueId val="{00000000-60AB-E14E-881B-0CFE30442ED6}"/>
            </c:ext>
          </c:extLst>
        </c:ser>
        <c:dLbls>
          <c:showLegendKey val="0"/>
          <c:showVal val="1"/>
          <c:showCatName val="0"/>
          <c:showSerName val="0"/>
          <c:showPercent val="0"/>
          <c:showBubbleSize val="0"/>
        </c:dLbls>
        <c:gapWidth val="75"/>
        <c:axId val="204722176"/>
        <c:axId val="204723712"/>
      </c:barChart>
      <c:lineChart>
        <c:grouping val="standard"/>
        <c:varyColors val="0"/>
        <c:ser>
          <c:idx val="1"/>
          <c:order val="1"/>
          <c:tx>
            <c:strRef>
              <c:f>'Charts - Freight'!$B$249:$D$249</c:f>
              <c:strCache>
                <c:ptCount val="3"/>
                <c:pt idx="0">
                  <c:v>EU railways</c:v>
                </c:pt>
              </c:strCache>
            </c:strRef>
          </c:tx>
          <c:marker>
            <c:symbol val="none"/>
          </c:marker>
          <c:dLbls>
            <c:delete val="1"/>
          </c:dLbls>
          <c:cat>
            <c:numRef>
              <c:f>'Charts - Freight'!$E$247:$AH$247</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[0]!staffpertrackkminfraeu</c:f>
              <c:numCache>
                <c:formatCode>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60AB-E14E-881B-0CFE30442ED6}"/>
            </c:ext>
          </c:extLst>
        </c:ser>
        <c:dLbls>
          <c:showLegendKey val="0"/>
          <c:showVal val="1"/>
          <c:showCatName val="0"/>
          <c:showSerName val="0"/>
          <c:showPercent val="0"/>
          <c:showBubbleSize val="0"/>
        </c:dLbls>
        <c:marker val="1"/>
        <c:smooth val="0"/>
        <c:axId val="204722176"/>
        <c:axId val="204723712"/>
      </c:lineChart>
      <c:catAx>
        <c:axId val="204722176"/>
        <c:scaling>
          <c:orientation val="minMax"/>
        </c:scaling>
        <c:delete val="0"/>
        <c:axPos val="b"/>
        <c:numFmt formatCode="0" sourceLinked="1"/>
        <c:majorTickMark val="none"/>
        <c:minorTickMark val="none"/>
        <c:tickLblPos val="nextTo"/>
        <c:crossAx val="204723712"/>
        <c:crosses val="autoZero"/>
        <c:auto val="1"/>
        <c:lblAlgn val="ctr"/>
        <c:lblOffset val="100"/>
        <c:noMultiLvlLbl val="0"/>
      </c:catAx>
      <c:valAx>
        <c:axId val="204723712"/>
        <c:scaling>
          <c:orientation val="minMax"/>
        </c:scaling>
        <c:delete val="0"/>
        <c:axPos val="l"/>
        <c:title>
          <c:tx>
            <c:strRef>
              <c:f>'Charts - Freight'!$F$246</c:f>
              <c:strCache>
                <c:ptCount val="1"/>
                <c:pt idx="0">
                  <c:v>Staff per track-km</c:v>
                </c:pt>
              </c:strCache>
            </c:strRef>
          </c:tx>
          <c:overlay val="0"/>
          <c:txPr>
            <a:bodyPr rot="-5400000" vert="horz"/>
            <a:lstStyle/>
            <a:p>
              <a:pPr>
                <a:defRPr/>
              </a:pPr>
              <a:endParaRPr lang="en-US"/>
            </a:p>
          </c:txPr>
        </c:title>
        <c:numFmt formatCode="0.0" sourceLinked="1"/>
        <c:majorTickMark val="none"/>
        <c:minorTickMark val="none"/>
        <c:tickLblPos val="nextTo"/>
        <c:crossAx val="204722176"/>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 intensity</a:t>
            </a:r>
          </a:p>
        </c:rich>
      </c:tx>
      <c:layout>
        <c:manualLayout>
          <c:xMode val="edge"/>
          <c:yMode val="edge"/>
          <c:x val="0.42911650387966377"/>
          <c:y val="3.2407407407408828E-2"/>
        </c:manualLayout>
      </c:layout>
      <c:overlay val="0"/>
    </c:title>
    <c:autoTitleDeleted val="0"/>
    <c:plotArea>
      <c:layout/>
      <c:barChart>
        <c:barDir val="col"/>
        <c:grouping val="clustered"/>
        <c:varyColors val="0"/>
        <c:ser>
          <c:idx val="0"/>
          <c:order val="0"/>
          <c:tx>
            <c:strRef>
              <c:f>'Charts - Freight'!$B$255:$D$255</c:f>
              <c:strCache>
                <c:ptCount val="3"/>
                <c:pt idx="0">
                  <c:v>Traffic units per track-km</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[0]!trafficunitspertrackkminfra</c:f>
              <c:numCache>
                <c:formatCode>_(* #,##0.00_);_(* \(#,##0.00\);_(* "-"??_);_(@_)</c:formatCode>
                <c:ptCount val="30"/>
                <c:pt idx="0">
                  <c:v>7.5333333333333332</c:v>
                </c:pt>
                <c:pt idx="1">
                  <c:v>7.666666666666667</c:v>
                </c:pt>
                <c:pt idx="2">
                  <c:v>7.666666666666667</c:v>
                </c:pt>
                <c:pt idx="3">
                  <c:v>7.8666666666666663</c:v>
                </c:pt>
                <c:pt idx="4">
                  <c:v>8.2666666666666675</c:v>
                </c:pt>
                <c:pt idx="5">
                  <c:v>8.4666666666666668</c:v>
                </c:pt>
                <c:pt idx="6">
                  <c:v>9.1999999999999993</c:v>
                </c:pt>
                <c:pt idx="7">
                  <c:v>9.4</c:v>
                </c:pt>
                <c:pt idx="8">
                  <c:v>9.6</c:v>
                </c:pt>
                <c:pt idx="9">
                  <c:v>9.8000000000000007</c:v>
                </c:pt>
                <c:pt idx="10">
                  <c:v>10</c:v>
                </c:pt>
                <c:pt idx="11">
                  <c:v>10.199999999999999</c:v>
                </c:pt>
                <c:pt idx="12">
                  <c:v>10.4</c:v>
                </c:pt>
                <c:pt idx="13">
                  <c:v>10.6</c:v>
                </c:pt>
                <c:pt idx="14">
                  <c:v>10.8</c:v>
                </c:pt>
                <c:pt idx="15">
                  <c:v>11</c:v>
                </c:pt>
                <c:pt idx="16">
                  <c:v>11.2</c:v>
                </c:pt>
                <c:pt idx="17">
                  <c:v>11.4</c:v>
                </c:pt>
                <c:pt idx="18">
                  <c:v>11.6</c:v>
                </c:pt>
                <c:pt idx="19">
                  <c:v>11.8</c:v>
                </c:pt>
                <c:pt idx="20">
                  <c:v>12</c:v>
                </c:pt>
                <c:pt idx="21">
                  <c:v>12.2</c:v>
                </c:pt>
                <c:pt idx="22">
                  <c:v>12.4</c:v>
                </c:pt>
                <c:pt idx="23">
                  <c:v>12.6</c:v>
                </c:pt>
                <c:pt idx="24">
                  <c:v>12.8</c:v>
                </c:pt>
                <c:pt idx="25">
                  <c:v>13</c:v>
                </c:pt>
                <c:pt idx="26">
                  <c:v>13.2</c:v>
                </c:pt>
                <c:pt idx="27">
                  <c:v>13.4</c:v>
                </c:pt>
                <c:pt idx="28">
                  <c:v>13.6</c:v>
                </c:pt>
                <c:pt idx="29">
                  <c:v>13.8</c:v>
                </c:pt>
              </c:numCache>
            </c:numRef>
          </c:val>
          <c:extLst>
            <c:ext xmlns:c16="http://schemas.microsoft.com/office/drawing/2014/chart" uri="{C3380CC4-5D6E-409C-BE32-E72D297353CC}">
              <c16:uniqueId val="{00000000-332D-2E44-97EA-64BE12D831A7}"/>
            </c:ext>
          </c:extLst>
        </c:ser>
        <c:dLbls>
          <c:showLegendKey val="0"/>
          <c:showVal val="0"/>
          <c:showCatName val="0"/>
          <c:showSerName val="0"/>
          <c:showPercent val="0"/>
          <c:showBubbleSize val="0"/>
        </c:dLbls>
        <c:gapWidth val="150"/>
        <c:axId val="204520064"/>
        <c:axId val="204530048"/>
      </c:barChart>
      <c:lineChart>
        <c:grouping val="standard"/>
        <c:varyColors val="0"/>
        <c:ser>
          <c:idx val="1"/>
          <c:order val="1"/>
          <c:tx>
            <c:strRef>
              <c:f>'Charts - Freight'!$B$256:$D$256</c:f>
              <c:strCache>
                <c:ptCount val="3"/>
                <c:pt idx="0">
                  <c:v>EU railways</c:v>
                </c:pt>
              </c:strCache>
            </c:strRef>
          </c:tx>
          <c:marker>
            <c:symbol val="none"/>
          </c:marker>
          <c:cat>
            <c:numRef>
              <c:f>'Charts - Freight'!$E$254:$AH$254</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[0]!trafficunitspertrackkminfraeu</c:f>
              <c:numCache>
                <c:formatCode>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1-332D-2E44-97EA-64BE12D831A7}"/>
            </c:ext>
          </c:extLst>
        </c:ser>
        <c:dLbls>
          <c:showLegendKey val="0"/>
          <c:showVal val="0"/>
          <c:showCatName val="0"/>
          <c:showSerName val="0"/>
          <c:showPercent val="0"/>
          <c:showBubbleSize val="0"/>
        </c:dLbls>
        <c:marker val="1"/>
        <c:smooth val="0"/>
        <c:axId val="204520064"/>
        <c:axId val="204530048"/>
      </c:lineChart>
      <c:catAx>
        <c:axId val="204520064"/>
        <c:scaling>
          <c:orientation val="minMax"/>
        </c:scaling>
        <c:delete val="0"/>
        <c:axPos val="b"/>
        <c:numFmt formatCode="0" sourceLinked="1"/>
        <c:majorTickMark val="out"/>
        <c:minorTickMark val="none"/>
        <c:tickLblPos val="nextTo"/>
        <c:crossAx val="204530048"/>
        <c:crosses val="autoZero"/>
        <c:auto val="1"/>
        <c:lblAlgn val="ctr"/>
        <c:lblOffset val="100"/>
        <c:noMultiLvlLbl val="0"/>
      </c:catAx>
      <c:valAx>
        <c:axId val="204530048"/>
        <c:scaling>
          <c:orientation val="minMax"/>
        </c:scaling>
        <c:delete val="0"/>
        <c:axPos val="l"/>
        <c:title>
          <c:tx>
            <c:rich>
              <a:bodyPr rot="-5400000" vert="horz"/>
              <a:lstStyle/>
              <a:p>
                <a:pPr>
                  <a:defRPr/>
                </a:pPr>
                <a:r>
                  <a:rPr lang="en-US"/>
                  <a:t>Million traffic units per track-km</a:t>
                </a:r>
              </a:p>
            </c:rich>
          </c:tx>
          <c:overlay val="0"/>
        </c:title>
        <c:numFmt formatCode="_(* #,##0.00_);_(* \(#,##0.00\);_(* &quot;-&quot;??_);_(@_)" sourceLinked="1"/>
        <c:majorTickMark val="out"/>
        <c:minorTickMark val="none"/>
        <c:tickLblPos val="nextTo"/>
        <c:crossAx val="204520064"/>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overlay val="0"/>
    </c:title>
    <c:autoTitleDeleted val="0"/>
    <c:plotArea>
      <c:layout/>
      <c:barChart>
        <c:barDir val="col"/>
        <c:grouping val="clustered"/>
        <c:varyColors val="0"/>
        <c:ser>
          <c:idx val="0"/>
          <c:order val="0"/>
          <c:tx>
            <c:strRef>
              <c:f>'Charts - Infrastructure'!$B$193</c:f>
              <c:strCache>
                <c:ptCount val="1"/>
                <c:pt idx="0">
                  <c:v>Capital expenditure</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[0]!capexinfra</c:f>
              <c:numCache>
                <c:formatCode>General</c:formatCode>
                <c:ptCount val="30"/>
                <c:pt idx="0">
                  <c:v>0</c:v>
                </c:pt>
                <c:pt idx="1">
                  <c:v>135</c:v>
                </c:pt>
                <c:pt idx="2">
                  <c:v>290</c:v>
                </c:pt>
                <c:pt idx="3">
                  <c:v>290</c:v>
                </c:pt>
                <c:pt idx="4">
                  <c:v>290</c:v>
                </c:pt>
                <c:pt idx="5">
                  <c:v>290</c:v>
                </c:pt>
                <c:pt idx="6">
                  <c:v>290</c:v>
                </c:pt>
                <c:pt idx="7">
                  <c:v>290</c:v>
                </c:pt>
                <c:pt idx="8">
                  <c:v>290</c:v>
                </c:pt>
                <c:pt idx="9">
                  <c:v>290</c:v>
                </c:pt>
                <c:pt idx="10">
                  <c:v>290</c:v>
                </c:pt>
                <c:pt idx="11">
                  <c:v>290</c:v>
                </c:pt>
                <c:pt idx="12">
                  <c:v>290</c:v>
                </c:pt>
                <c:pt idx="13">
                  <c:v>290</c:v>
                </c:pt>
                <c:pt idx="14">
                  <c:v>290</c:v>
                </c:pt>
                <c:pt idx="15">
                  <c:v>290</c:v>
                </c:pt>
                <c:pt idx="16">
                  <c:v>290</c:v>
                </c:pt>
                <c:pt idx="17">
                  <c:v>290</c:v>
                </c:pt>
                <c:pt idx="18">
                  <c:v>290</c:v>
                </c:pt>
                <c:pt idx="19">
                  <c:v>290</c:v>
                </c:pt>
                <c:pt idx="20">
                  <c:v>290</c:v>
                </c:pt>
                <c:pt idx="21">
                  <c:v>290</c:v>
                </c:pt>
                <c:pt idx="22">
                  <c:v>290</c:v>
                </c:pt>
                <c:pt idx="23">
                  <c:v>290</c:v>
                </c:pt>
                <c:pt idx="24">
                  <c:v>290</c:v>
                </c:pt>
                <c:pt idx="25">
                  <c:v>290</c:v>
                </c:pt>
                <c:pt idx="26">
                  <c:v>290</c:v>
                </c:pt>
                <c:pt idx="27">
                  <c:v>290</c:v>
                </c:pt>
                <c:pt idx="28">
                  <c:v>290</c:v>
                </c:pt>
                <c:pt idx="29">
                  <c:v>290</c:v>
                </c:pt>
              </c:numCache>
            </c:numRef>
          </c:val>
          <c:extLst>
            <c:ext xmlns:c16="http://schemas.microsoft.com/office/drawing/2014/chart" uri="{C3380CC4-5D6E-409C-BE32-E72D297353CC}">
              <c16:uniqueId val="{00000000-4BE5-8747-A763-F01C5C4E3667}"/>
            </c:ext>
          </c:extLst>
        </c:ser>
        <c:dLbls>
          <c:showLegendKey val="0"/>
          <c:showVal val="0"/>
          <c:showCatName val="0"/>
          <c:showSerName val="0"/>
          <c:showPercent val="0"/>
          <c:showBubbleSize val="0"/>
        </c:dLbls>
        <c:gapWidth val="150"/>
        <c:axId val="204738944"/>
        <c:axId val="204740480"/>
      </c:barChart>
      <c:catAx>
        <c:axId val="204738944"/>
        <c:scaling>
          <c:orientation val="minMax"/>
        </c:scaling>
        <c:delete val="0"/>
        <c:axPos val="b"/>
        <c:numFmt formatCode="0" sourceLinked="1"/>
        <c:majorTickMark val="out"/>
        <c:minorTickMark val="none"/>
        <c:tickLblPos val="nextTo"/>
        <c:crossAx val="204740480"/>
        <c:crosses val="autoZero"/>
        <c:auto val="1"/>
        <c:lblAlgn val="ctr"/>
        <c:lblOffset val="100"/>
        <c:noMultiLvlLbl val="0"/>
      </c:catAx>
      <c:valAx>
        <c:axId val="204740480"/>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General" sourceLinked="1"/>
        <c:majorTickMark val="out"/>
        <c:minorTickMark val="none"/>
        <c:tickLblPos val="nextTo"/>
        <c:crossAx val="204738944"/>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[0]!operatingcashflowinfra</c:f>
              <c:numCache>
                <c:formatCode>_(* #,##0_);_(* \(#,##0\);_(* "-"??_);_(@_)</c:formatCode>
                <c:ptCount val="30"/>
                <c:pt idx="0">
                  <c:v>0</c:v>
                </c:pt>
                <c:pt idx="1">
                  <c:v>27169.260795835875</c:v>
                </c:pt>
                <c:pt idx="2">
                  <c:v>28232.321656527576</c:v>
                </c:pt>
                <c:pt idx="3">
                  <c:v>29928.184922482185</c:v>
                </c:pt>
                <c:pt idx="4">
                  <c:v>32430.915734590944</c:v>
                </c:pt>
                <c:pt idx="5">
                  <c:v>34690.235042531553</c:v>
                </c:pt>
                <c:pt idx="6">
                  <c:v>39022.091203316661</c:v>
                </c:pt>
                <c:pt idx="7">
                  <c:v>41934.00561537101</c:v>
                </c:pt>
                <c:pt idx="8">
                  <c:v>44572.643583934892</c:v>
                </c:pt>
                <c:pt idx="9">
                  <c:v>47332.783680796812</c:v>
                </c:pt>
                <c:pt idx="10">
                  <c:v>49573.283496049335</c:v>
                </c:pt>
                <c:pt idx="11">
                  <c:v>52378.777002494629</c:v>
                </c:pt>
                <c:pt idx="12">
                  <c:v>55351.923394553574</c:v>
                </c:pt>
                <c:pt idx="13">
                  <c:v>58457.176868947972</c:v>
                </c:pt>
                <c:pt idx="14">
                  <c:v>61704.155016376593</c:v>
                </c:pt>
                <c:pt idx="15">
                  <c:v>65092.077642276832</c:v>
                </c:pt>
                <c:pt idx="16">
                  <c:v>68632.830108557057</c:v>
                </c:pt>
                <c:pt idx="17">
                  <c:v>72327.671585913762</c:v>
                </c:pt>
                <c:pt idx="18">
                  <c:v>76189.648760261945</c:v>
                </c:pt>
                <c:pt idx="19">
                  <c:v>80220.892284133282</c:v>
                </c:pt>
                <c:pt idx="20">
                  <c:v>84428.115907585394</c:v>
                </c:pt>
                <c:pt idx="21">
                  <c:v>88818.284286625858</c:v>
                </c:pt>
                <c:pt idx="22">
                  <c:v>93398.622000950287</c:v>
                </c:pt>
                <c:pt idx="23">
                  <c:v>98176.622886883561</c:v>
                </c:pt>
                <c:pt idx="24">
                  <c:v>103160.05969635457</c:v>
                </c:pt>
                <c:pt idx="25">
                  <c:v>108356.99409309009</c:v>
                </c:pt>
                <c:pt idx="26">
                  <c:v>113775.78699758439</c:v>
                </c:pt>
                <c:pt idx="27">
                  <c:v>119425.10929278545</c:v>
                </c:pt>
                <c:pt idx="28">
                  <c:v>125312.69944878791</c:v>
                </c:pt>
                <c:pt idx="29">
                  <c:v>131434.27287413037</c:v>
                </c:pt>
              </c:numCache>
            </c:numRef>
          </c:val>
          <c:extLst>
            <c:ext xmlns:c16="http://schemas.microsoft.com/office/drawing/2014/chart" uri="{C3380CC4-5D6E-409C-BE32-E72D297353CC}">
              <c16:uniqueId val="{00000000-AFE4-0D48-83E6-C7CB4EF002A4}"/>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[0]!investingcashflowinfra</c:f>
              <c:numCache>
                <c:formatCode>_(* #,##0_);_(* \(#,##0\);_(* "-"??_);_(@_)</c:formatCode>
                <c:ptCount val="30"/>
                <c:pt idx="0">
                  <c:v>0</c:v>
                </c:pt>
                <c:pt idx="1">
                  <c:v>-105</c:v>
                </c:pt>
                <c:pt idx="2">
                  <c:v>-260</c:v>
                </c:pt>
                <c:pt idx="3">
                  <c:v>-260</c:v>
                </c:pt>
                <c:pt idx="4">
                  <c:v>-265</c:v>
                </c:pt>
                <c:pt idx="5">
                  <c:v>-265</c:v>
                </c:pt>
                <c:pt idx="6">
                  <c:v>-265</c:v>
                </c:pt>
                <c:pt idx="7">
                  <c:v>-265</c:v>
                </c:pt>
                <c:pt idx="8">
                  <c:v>-265</c:v>
                </c:pt>
                <c:pt idx="9">
                  <c:v>-265</c:v>
                </c:pt>
                <c:pt idx="10">
                  <c:v>-265</c:v>
                </c:pt>
                <c:pt idx="11">
                  <c:v>-270</c:v>
                </c:pt>
                <c:pt idx="12">
                  <c:v>-270</c:v>
                </c:pt>
                <c:pt idx="13">
                  <c:v>-270</c:v>
                </c:pt>
                <c:pt idx="14">
                  <c:v>-270</c:v>
                </c:pt>
                <c:pt idx="15">
                  <c:v>-270</c:v>
                </c:pt>
                <c:pt idx="16">
                  <c:v>-270</c:v>
                </c:pt>
                <c:pt idx="17">
                  <c:v>-270</c:v>
                </c:pt>
                <c:pt idx="18">
                  <c:v>-270</c:v>
                </c:pt>
                <c:pt idx="19">
                  <c:v>-270</c:v>
                </c:pt>
                <c:pt idx="20">
                  <c:v>-270</c:v>
                </c:pt>
                <c:pt idx="21">
                  <c:v>-270</c:v>
                </c:pt>
                <c:pt idx="22">
                  <c:v>-270</c:v>
                </c:pt>
                <c:pt idx="23">
                  <c:v>-270</c:v>
                </c:pt>
                <c:pt idx="24">
                  <c:v>-270</c:v>
                </c:pt>
                <c:pt idx="25">
                  <c:v>-270</c:v>
                </c:pt>
                <c:pt idx="26">
                  <c:v>-270</c:v>
                </c:pt>
                <c:pt idx="27">
                  <c:v>-270</c:v>
                </c:pt>
                <c:pt idx="28">
                  <c:v>-270</c:v>
                </c:pt>
                <c:pt idx="29">
                  <c:v>-270</c:v>
                </c:pt>
              </c:numCache>
            </c:numRef>
          </c:val>
          <c:extLst>
            <c:ext xmlns:c16="http://schemas.microsoft.com/office/drawing/2014/chart" uri="{C3380CC4-5D6E-409C-BE32-E72D297353CC}">
              <c16:uniqueId val="{00000001-AFE4-0D48-83E6-C7CB4EF002A4}"/>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[0]!loansinfra</c:f>
              <c:numCache>
                <c:formatCode>_(* #,##0_);_(* \(#,##0\);_(* "-"??_);_(@_)</c:formatCode>
                <c:ptCount val="30"/>
                <c:pt idx="0">
                  <c:v>0</c:v>
                </c:pt>
                <c:pt idx="1">
                  <c:v>-10</c:v>
                </c:pt>
                <c:pt idx="2">
                  <c:v>5</c:v>
                </c:pt>
                <c:pt idx="3">
                  <c:v>17.5</c:v>
                </c:pt>
                <c:pt idx="4">
                  <c:v>17.5</c:v>
                </c:pt>
                <c:pt idx="5">
                  <c:v>17.5</c:v>
                </c:pt>
                <c:pt idx="6">
                  <c:v>17.5</c:v>
                </c:pt>
                <c:pt idx="7">
                  <c:v>-22.5</c:v>
                </c:pt>
                <c:pt idx="8">
                  <c:v>-22.5</c:v>
                </c:pt>
                <c:pt idx="9">
                  <c:v>-22.5</c:v>
                </c:pt>
                <c:pt idx="10">
                  <c:v>0</c:v>
                </c:pt>
                <c:pt idx="11">
                  <c:v>0</c:v>
                </c:pt>
                <c:pt idx="12">
                  <c:v>0</c:v>
                </c:pt>
                <c:pt idx="13">
                  <c:v>0</c:v>
                </c:pt>
                <c:pt idx="14">
                  <c:v>0</c:v>
                </c:pt>
                <c:pt idx="15">
                  <c:v>0</c:v>
                </c:pt>
                <c:pt idx="16">
                  <c:v>-200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AFE4-0D48-83E6-C7CB4EF002A4}"/>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[0]!equityinfra</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AFE4-0D48-83E6-C7CB4EF002A4}"/>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[0]!netinterestinfra</c:f>
              <c:numCache>
                <c:formatCode>_(* #,##0_);_(* \(#,##0\);_(* "-"??_);_(@_)</c:formatCode>
                <c:ptCount val="30"/>
                <c:pt idx="0">
                  <c:v>0</c:v>
                </c:pt>
                <c:pt idx="1">
                  <c:v>-9.875</c:v>
                </c:pt>
                <c:pt idx="2">
                  <c:v>-10.247000000000014</c:v>
                </c:pt>
                <c:pt idx="3">
                  <c:v>-10.594500000000039</c:v>
                </c:pt>
                <c:pt idx="4">
                  <c:v>-12.002500000000055</c:v>
                </c:pt>
                <c:pt idx="5">
                  <c:v>-13.518500000000131</c:v>
                </c:pt>
                <c:pt idx="6">
                  <c:v>-15.079499999999825</c:v>
                </c:pt>
                <c:pt idx="7">
                  <c:v>-15.382500000000164</c:v>
                </c:pt>
                <c:pt idx="8">
                  <c:v>-14.457500000000437</c:v>
                </c:pt>
                <c:pt idx="9">
                  <c:v>-13.472499999999854</c:v>
                </c:pt>
                <c:pt idx="10">
                  <c:v>-12.0600000000004</c:v>
                </c:pt>
                <c:pt idx="11">
                  <c:v>-12</c:v>
                </c:pt>
                <c:pt idx="12">
                  <c:v>-12</c:v>
                </c:pt>
                <c:pt idx="13">
                  <c:v>-12</c:v>
                </c:pt>
                <c:pt idx="14">
                  <c:v>-12</c:v>
                </c:pt>
                <c:pt idx="15">
                  <c:v>-12</c:v>
                </c:pt>
                <c:pt idx="16">
                  <c:v>-6</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4-AFE4-0D48-83E6-C7CB4EF002A4}"/>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[0]!dividendsinfra</c:f>
              <c:numCache>
                <c:formatCode>_(* #,##0_);_(* \(#,##0\);_(* "-"??_);_(@_)</c:formatCode>
                <c:ptCount val="30"/>
                <c:pt idx="0">
                  <c:v>0</c:v>
                </c:pt>
                <c:pt idx="1">
                  <c:v>-18941.88505708511</c:v>
                </c:pt>
                <c:pt idx="2">
                  <c:v>-19588.0917095693</c:v>
                </c:pt>
                <c:pt idx="3">
                  <c:v>-20784.036929237529</c:v>
                </c:pt>
                <c:pt idx="4">
                  <c:v>-22531.807106718661</c:v>
                </c:pt>
                <c:pt idx="5">
                  <c:v>-24112.623957552234</c:v>
                </c:pt>
                <c:pt idx="6">
                  <c:v>-27144.195741435218</c:v>
                </c:pt>
                <c:pt idx="7">
                  <c:v>-29154.699856346666</c:v>
                </c:pt>
                <c:pt idx="8">
                  <c:v>-31002.781344608993</c:v>
                </c:pt>
                <c:pt idx="9">
                  <c:v>-32935.96794498797</c:v>
                </c:pt>
                <c:pt idx="10">
                  <c:v>-34521.467569217646</c:v>
                </c:pt>
                <c:pt idx="11">
                  <c:v>-36482.278357388845</c:v>
                </c:pt>
                <c:pt idx="12">
                  <c:v>-38563.916865499385</c:v>
                </c:pt>
                <c:pt idx="13">
                  <c:v>-40738.043412254818</c:v>
                </c:pt>
                <c:pt idx="14">
                  <c:v>-43011.390703574594</c:v>
                </c:pt>
                <c:pt idx="15">
                  <c:v>-45383.413007468087</c:v>
                </c:pt>
                <c:pt idx="16">
                  <c:v>-47726.630493600467</c:v>
                </c:pt>
                <c:pt idx="17">
                  <c:v>-50457.725010278489</c:v>
                </c:pt>
                <c:pt idx="18">
                  <c:v>-53161.629679326375</c:v>
                </c:pt>
                <c:pt idx="19">
                  <c:v>-55984.036412450601</c:v>
                </c:pt>
                <c:pt idx="20">
                  <c:v>-58929.645303273799</c:v>
                </c:pt>
                <c:pt idx="21">
                  <c:v>-62003.332093641038</c:v>
                </c:pt>
                <c:pt idx="22">
                  <c:v>-65210.154486458239</c:v>
                </c:pt>
                <c:pt idx="23">
                  <c:v>-68555.358679185316</c:v>
                </c:pt>
                <c:pt idx="24">
                  <c:v>-72044.38612556603</c:v>
                </c:pt>
                <c:pt idx="25">
                  <c:v>-75682.880533424424</c:v>
                </c:pt>
                <c:pt idx="26">
                  <c:v>-79476.695106618281</c:v>
                </c:pt>
                <c:pt idx="27">
                  <c:v>-83431.900039508299</c:v>
                </c:pt>
                <c:pt idx="28">
                  <c:v>-87553.91285474677</c:v>
                </c:pt>
                <c:pt idx="29">
                  <c:v>-91839.734949704347</c:v>
                </c:pt>
              </c:numCache>
            </c:numRef>
          </c:val>
          <c:extLst>
            <c:ext xmlns:c16="http://schemas.microsoft.com/office/drawing/2014/chart" uri="{C3380CC4-5D6E-409C-BE32-E72D297353CC}">
              <c16:uniqueId val="{00000005-AFE4-0D48-83E6-C7CB4EF002A4}"/>
            </c:ext>
          </c:extLst>
        </c:ser>
        <c:dLbls>
          <c:showLegendKey val="0"/>
          <c:showVal val="0"/>
          <c:showCatName val="0"/>
          <c:showSerName val="0"/>
          <c:showPercent val="0"/>
          <c:showBubbleSize val="0"/>
        </c:dLbls>
        <c:gapWidth val="150"/>
        <c:overlap val="100"/>
        <c:axId val="204785152"/>
        <c:axId val="204786688"/>
      </c:barChart>
      <c:catAx>
        <c:axId val="204785152"/>
        <c:scaling>
          <c:orientation val="minMax"/>
        </c:scaling>
        <c:delete val="0"/>
        <c:axPos val="b"/>
        <c:numFmt formatCode="0" sourceLinked="1"/>
        <c:majorTickMark val="out"/>
        <c:minorTickMark val="none"/>
        <c:tickLblPos val="nextTo"/>
        <c:crossAx val="204786688"/>
        <c:crosses val="autoZero"/>
        <c:auto val="1"/>
        <c:lblAlgn val="ctr"/>
        <c:lblOffset val="100"/>
        <c:noMultiLvlLbl val="0"/>
      </c:catAx>
      <c:valAx>
        <c:axId val="204786688"/>
        <c:scaling>
          <c:orientation val="minMax"/>
        </c:scaling>
        <c:delete val="0"/>
        <c:axPos val="l"/>
        <c:numFmt formatCode="_(* #,##0_);_(* \(#,##0\);_(* &quot;-&quot;??_);_(@_)" sourceLinked="1"/>
        <c:majorTickMark val="out"/>
        <c:minorTickMark val="none"/>
        <c:tickLblPos val="nextTo"/>
        <c:crossAx val="204785152"/>
        <c:crosses val="autoZero"/>
        <c:crossBetween val="between"/>
        <c:dispUnits>
          <c:builtInUnit val="thousands"/>
          <c:dispUnitsLbl>
            <c:layout>
              <c:manualLayout>
                <c:xMode val="edge"/>
                <c:yMode val="edge"/>
                <c:x val="1.5048908954100828E-2"/>
                <c:y val="0.41308122035205563"/>
              </c:manualLayout>
            </c:layout>
            <c:tx>
              <c:strRef>
                <c:f>'Charts - Freight'!$E$134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'Charts - Freight'!$I$185</c:f>
          <c:strCache>
            <c:ptCount val="1"/>
            <c:pt idx="0">
              <c:v>Freight track access charge</c:v>
            </c:pt>
          </c:strCache>
        </c:strRef>
      </c:tx>
      <c:overlay val="0"/>
      <c:txPr>
        <a:bodyPr/>
        <a:lstStyle/>
        <a:p>
          <a:pPr>
            <a:defRPr/>
          </a:pPr>
          <a:endParaRPr lang="en-US"/>
        </a:p>
      </c:txPr>
    </c:title>
    <c:autoTitleDeleted val="0"/>
    <c:plotArea>
      <c:layout/>
      <c:barChart>
        <c:barDir val="col"/>
        <c:grouping val="clustered"/>
        <c:varyColors val="0"/>
        <c:ser>
          <c:idx val="0"/>
          <c:order val="0"/>
          <c:tx>
            <c:strRef>
              <c:f>'Charts - Freight'!$B$188:$D$188</c:f>
              <c:strCache>
                <c:ptCount val="3"/>
                <c:pt idx="0">
                  <c:v>R$ per GTK</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[0]!TACGTK</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extLst>
            <c:ext xmlns:c16="http://schemas.microsoft.com/office/drawing/2014/chart" uri="{C3380CC4-5D6E-409C-BE32-E72D297353CC}">
              <c16:uniqueId val="{00000000-EC0E-F245-B416-0111A817AC27}"/>
            </c:ext>
          </c:extLst>
        </c:ser>
        <c:ser>
          <c:idx val="1"/>
          <c:order val="1"/>
          <c:tx>
            <c:strRef>
              <c:f>'Charts - Freight'!$B$189:$D$189</c:f>
              <c:strCache>
                <c:ptCount val="3"/>
                <c:pt idx="0">
                  <c:v>R$ per train-km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[0]!TACTrainkm</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extLst>
            <c:ext xmlns:c16="http://schemas.microsoft.com/office/drawing/2014/chart" uri="{C3380CC4-5D6E-409C-BE32-E72D297353CC}">
              <c16:uniqueId val="{00000001-EC0E-F245-B416-0111A817AC27}"/>
            </c:ext>
          </c:extLst>
        </c:ser>
        <c:dLbls>
          <c:showLegendKey val="0"/>
          <c:showVal val="1"/>
          <c:showCatName val="0"/>
          <c:showSerName val="0"/>
          <c:showPercent val="0"/>
          <c:showBubbleSize val="0"/>
        </c:dLbls>
        <c:gapWidth val="75"/>
        <c:axId val="204857344"/>
        <c:axId val="204858880"/>
      </c:barChart>
      <c:catAx>
        <c:axId val="204857344"/>
        <c:scaling>
          <c:orientation val="minMax"/>
        </c:scaling>
        <c:delete val="0"/>
        <c:axPos val="b"/>
        <c:numFmt formatCode="0" sourceLinked="1"/>
        <c:majorTickMark val="none"/>
        <c:minorTickMark val="none"/>
        <c:tickLblPos val="nextTo"/>
        <c:txPr>
          <a:bodyPr rot="2700000"/>
          <a:lstStyle/>
          <a:p>
            <a:pPr>
              <a:defRPr/>
            </a:pPr>
            <a:endParaRPr lang="en-US"/>
          </a:p>
        </c:txPr>
        <c:crossAx val="204858880"/>
        <c:crosses val="autoZero"/>
        <c:auto val="1"/>
        <c:lblAlgn val="ctr"/>
        <c:lblOffset val="100"/>
        <c:noMultiLvlLbl val="0"/>
      </c:catAx>
      <c:valAx>
        <c:axId val="204858880"/>
        <c:scaling>
          <c:orientation val="minMax"/>
        </c:scaling>
        <c:delete val="0"/>
        <c:axPos val="l"/>
        <c:title>
          <c:tx>
            <c:strRef>
              <c:f>'Charts - Freight'!$F$185</c:f>
              <c:strCache>
                <c:ptCount val="1"/>
                <c:pt idx="0">
                  <c:v>R$</c:v>
                </c:pt>
              </c:strCache>
            </c:strRef>
          </c:tx>
          <c:overlay val="0"/>
          <c:txPr>
            <a:bodyPr rot="-5400000" vert="horz"/>
            <a:lstStyle/>
            <a:p>
              <a:pPr>
                <a:defRPr/>
              </a:pPr>
              <a:endParaRPr lang="en-US"/>
            </a:p>
          </c:txPr>
        </c:title>
        <c:numFmt formatCode="0.00" sourceLinked="1"/>
        <c:majorTickMark val="none"/>
        <c:minorTickMark val="none"/>
        <c:tickLblPos val="nextTo"/>
        <c:crossAx val="204857344"/>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Debt-to-equity ratio</a:t>
            </a:r>
          </a:p>
        </c:rich>
      </c:tx>
      <c:overlay val="0"/>
    </c:title>
    <c:autoTitleDeleted val="0"/>
    <c:plotArea>
      <c:layout/>
      <c:lineChart>
        <c:grouping val="standard"/>
        <c:varyColors val="0"/>
        <c:ser>
          <c:idx val="0"/>
          <c:order val="0"/>
          <c:tx>
            <c:strRef>
              <c:f>'Charts - Freight'!$B$221:$D$221</c:f>
              <c:strCache>
                <c:ptCount val="3"/>
                <c:pt idx="0">
                  <c:v>Debt-to-equity</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[0]!debttoequityinfra</c:f>
              <c:numCache>
                <c:formatCode>0%</c:formatCode>
                <c:ptCount val="30"/>
                <c:pt idx="0">
                  <c:v>3.6241610738255034E-2</c:v>
                </c:pt>
                <c:pt idx="1">
                  <c:v>1.3776346669050577E-2</c:v>
                </c:pt>
                <c:pt idx="2">
                  <c:v>8.7049305105299738E-3</c:v>
                </c:pt>
                <c:pt idx="3">
                  <c:v>6.7150823458178733E-3</c:v>
                </c:pt>
                <c:pt idx="4">
                  <c:v>5.5075011463690017E-3</c:v>
                </c:pt>
                <c:pt idx="5">
                  <c:v>4.7179101872290314E-3</c:v>
                </c:pt>
                <c:pt idx="6">
                  <c:v>4.0835785846113689E-3</c:v>
                </c:pt>
                <c:pt idx="7">
                  <c:v>3.1211250272013078E-3</c:v>
                </c:pt>
                <c:pt idx="8">
                  <c:v>2.4110649471220137E-3</c:v>
                </c:pt>
                <c:pt idx="9">
                  <c:v>1.8709055090655956E-3</c:v>
                </c:pt>
                <c:pt idx="10">
                  <c:v>1.6369580805660579E-3</c:v>
                </c:pt>
                <c:pt idx="11">
                  <c:v>1.4460804410089069E-3</c:v>
                </c:pt>
                <c:pt idx="12">
                  <c:v>1.2875592117787547E-3</c:v>
                </c:pt>
                <c:pt idx="13">
                  <c:v>1.1540201988318995E-3</c:v>
                </c:pt>
                <c:pt idx="14">
                  <c:v>1.0402435941510159E-3</c:v>
                </c:pt>
                <c:pt idx="15">
                  <c:v>9.4226178926700929E-4</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20E0-944B-9BAC-A38A629A7DBF}"/>
            </c:ext>
          </c:extLst>
        </c:ser>
        <c:dLbls>
          <c:showLegendKey val="0"/>
          <c:showVal val="0"/>
          <c:showCatName val="0"/>
          <c:showSerName val="0"/>
          <c:showPercent val="0"/>
          <c:showBubbleSize val="0"/>
        </c:dLbls>
        <c:smooth val="0"/>
        <c:axId val="204899840"/>
        <c:axId val="204901376"/>
      </c:lineChart>
      <c:catAx>
        <c:axId val="204899840"/>
        <c:scaling>
          <c:orientation val="minMax"/>
        </c:scaling>
        <c:delete val="0"/>
        <c:axPos val="b"/>
        <c:numFmt formatCode="0" sourceLinked="1"/>
        <c:majorTickMark val="none"/>
        <c:minorTickMark val="none"/>
        <c:tickLblPos val="nextTo"/>
        <c:crossAx val="204901376"/>
        <c:crosses val="autoZero"/>
        <c:auto val="1"/>
        <c:lblAlgn val="ctr"/>
        <c:lblOffset val="100"/>
        <c:noMultiLvlLbl val="0"/>
      </c:catAx>
      <c:valAx>
        <c:axId val="204901376"/>
        <c:scaling>
          <c:orientation val="minMax"/>
        </c:scaling>
        <c:delete val="0"/>
        <c:axPos val="l"/>
        <c:numFmt formatCode="0%" sourceLinked="1"/>
        <c:majorTickMark val="none"/>
        <c:minorTickMark val="none"/>
        <c:tickLblPos val="nextTo"/>
        <c:crossAx val="204899840"/>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[0]!operatingrevenuesinfra</c:f>
              <c:numCache>
                <c:formatCode>_(* #,##0_);_(* \(#,##0\);_(* "-"??_);_(@_)</c:formatCode>
                <c:ptCount val="30"/>
                <c:pt idx="0">
                  <c:v>41464.5</c:v>
                </c:pt>
                <c:pt idx="1">
                  <c:v>43342.413367254689</c:v>
                </c:pt>
                <c:pt idx="2">
                  <c:v>44629.462475560264</c:v>
                </c:pt>
                <c:pt idx="3">
                  <c:v>46978.379153601578</c:v>
                </c:pt>
                <c:pt idx="4">
                  <c:v>50483.639846161881</c:v>
                </c:pt>
                <c:pt idx="5">
                  <c:v>53070.542842196119</c:v>
                </c:pt>
                <c:pt idx="6">
                  <c:v>59477.445059466445</c:v>
                </c:pt>
                <c:pt idx="7">
                  <c:v>62400.347313710416</c:v>
                </c:pt>
                <c:pt idx="8">
                  <c:v>65445.527251028543</c:v>
                </c:pt>
                <c:pt idx="9">
                  <c:v>68617.681653750478</c:v>
                </c:pt>
                <c:pt idx="10">
                  <c:v>71921.707245378129</c:v>
                </c:pt>
                <c:pt idx="11">
                  <c:v>75362.660041040275</c:v>
                </c:pt>
                <c:pt idx="12">
                  <c:v>78945.614046321498</c:v>
                </c:pt>
                <c:pt idx="13">
                  <c:v>82675.927741823587</c:v>
                </c:pt>
                <c:pt idx="14">
                  <c:v>86559.815758387616</c:v>
                </c:pt>
                <c:pt idx="15">
                  <c:v>90602.231248637938</c:v>
                </c:pt>
                <c:pt idx="16">
                  <c:v>94810.329061139098</c:v>
                </c:pt>
                <c:pt idx="17">
                  <c:v>99189.802583153782</c:v>
                </c:pt>
                <c:pt idx="18">
                  <c:v>103747.14700685862</c:v>
                </c:pt>
                <c:pt idx="19">
                  <c:v>108489.0930096604</c:v>
                </c:pt>
                <c:pt idx="20">
                  <c:v>113422.61503471887</c:v>
                </c:pt>
                <c:pt idx="21">
                  <c:v>118554.93985719691</c:v>
                </c:pt>
                <c:pt idx="22">
                  <c:v>123893.55544566346</c:v>
                </c:pt>
                <c:pt idx="23">
                  <c:v>129446.22012847484</c:v>
                </c:pt>
                <c:pt idx="24">
                  <c:v>135220.9720753438</c:v>
                </c:pt>
                <c:pt idx="25">
                  <c:v>141226.13910467943</c:v>
                </c:pt>
                <c:pt idx="26">
                  <c:v>147470.34882765758</c:v>
                </c:pt>
                <c:pt idx="27">
                  <c:v>153962.53914036011</c:v>
                </c:pt>
                <c:pt idx="28">
                  <c:v>160711.78798815043</c:v>
                </c:pt>
                <c:pt idx="29">
                  <c:v>167722.96358057851</c:v>
                </c:pt>
              </c:numCache>
            </c:numRef>
          </c:val>
          <c:extLst>
            <c:ext xmlns:c16="http://schemas.microsoft.com/office/drawing/2014/chart" uri="{C3380CC4-5D6E-409C-BE32-E72D297353CC}">
              <c16:uniqueId val="{00000000-8817-EC48-BD68-2750533E3DA7}"/>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[0]!operatingcostsinfra</c:f>
              <c:numCache>
                <c:formatCode>_(* #,##0_);_(* \(#,##0\);_(* "-"??_);_(@_)</c:formatCode>
                <c:ptCount val="30"/>
                <c:pt idx="0">
                  <c:v>3550</c:v>
                </c:pt>
                <c:pt idx="1">
                  <c:v>3748.4206269971501</c:v>
                </c:pt>
                <c:pt idx="2">
                  <c:v>3946.1247642761541</c:v>
                </c:pt>
                <c:pt idx="3">
                  <c:v>4185.4608501872744</c:v>
                </c:pt>
                <c:pt idx="4">
                  <c:v>4549.5671991484451</c:v>
                </c:pt>
                <c:pt idx="5">
                  <c:v>4735.7969394132788</c:v>
                </c:pt>
                <c:pt idx="6">
                  <c:v>5066.7074593903944</c:v>
                </c:pt>
                <c:pt idx="7">
                  <c:v>5270.2327337625711</c:v>
                </c:pt>
                <c:pt idx="8">
                  <c:v>5480.8105501550281</c:v>
                </c:pt>
                <c:pt idx="9">
                  <c:v>5698.484526435881</c:v>
                </c:pt>
                <c:pt idx="10">
                  <c:v>5923.9801743809367</c:v>
                </c:pt>
                <c:pt idx="11">
                  <c:v>6157.4148725794203</c:v>
                </c:pt>
                <c:pt idx="12">
                  <c:v>6394.9573583713882</c:v>
                </c:pt>
                <c:pt idx="13">
                  <c:v>6635.1193010906163</c:v>
                </c:pt>
                <c:pt idx="14">
                  <c:v>6892.9730195988905</c:v>
                </c:pt>
                <c:pt idx="15">
                  <c:v>7146.6211870398638</c:v>
                </c:pt>
                <c:pt idx="16">
                  <c:v>7423.9517082869934</c:v>
                </c:pt>
                <c:pt idx="17">
                  <c:v>7710.9278528051327</c:v>
                </c:pt>
                <c:pt idx="18">
                  <c:v>8007.8897632070866</c:v>
                </c:pt>
                <c:pt idx="19">
                  <c:v>8315.1893096014828</c:v>
                </c:pt>
                <c:pt idx="20">
                  <c:v>8633.190487114176</c:v>
                </c:pt>
                <c:pt idx="21">
                  <c:v>8962.2698267061751</c:v>
                </c:pt>
                <c:pt idx="22">
                  <c:v>9302.8168197281411</c:v>
                </c:pt>
                <c:pt idx="23">
                  <c:v>9655.2343566659129</c:v>
                </c:pt>
                <c:pt idx="24">
                  <c:v>10019.939180546371</c:v>
                </c:pt>
                <c:pt idx="25">
                  <c:v>10397.362355488514</c:v>
                </c:pt>
                <c:pt idx="26">
                  <c:v>10787.949750900212</c:v>
                </c:pt>
                <c:pt idx="27">
                  <c:v>11192.162541837859</c:v>
                </c:pt>
                <c:pt idx="28">
                  <c:v>11606.118458328252</c:v>
                </c:pt>
                <c:pt idx="29">
                  <c:v>11980.276911587915</c:v>
                </c:pt>
              </c:numCache>
            </c:numRef>
          </c:val>
          <c:extLst>
            <c:ext xmlns:c16="http://schemas.microsoft.com/office/drawing/2014/chart" uri="{C3380CC4-5D6E-409C-BE32-E72D297353CC}">
              <c16:uniqueId val="{00000001-8817-EC48-BD68-2750533E3DA7}"/>
            </c:ext>
          </c:extLst>
        </c:ser>
        <c:dLbls>
          <c:showLegendKey val="0"/>
          <c:showVal val="0"/>
          <c:showCatName val="0"/>
          <c:showSerName val="0"/>
          <c:showPercent val="0"/>
          <c:showBubbleSize val="0"/>
        </c:dLbls>
        <c:gapWidth val="150"/>
        <c:axId val="204936320"/>
        <c:axId val="204937856"/>
      </c:barChart>
      <c:lineChart>
        <c:grouping val="standard"/>
        <c:varyColors val="0"/>
        <c:ser>
          <c:idx val="2"/>
          <c:order val="2"/>
          <c:tx>
            <c:strRef>
              <c:f>'Charts - Freight'!$B$140</c:f>
              <c:strCache>
                <c:ptCount val="1"/>
                <c:pt idx="0">
                  <c:v>Operating profit</c:v>
                </c:pt>
              </c:strCache>
            </c:strRef>
          </c:tx>
          <c:marker>
            <c:symbol val="none"/>
          </c:marker>
          <c:val>
            <c:numRef>
              <c:f>[0]!operatingprofitinfra</c:f>
              <c:numCache>
                <c:formatCode>0%</c:formatCode>
                <c:ptCount val="30"/>
                <c:pt idx="0">
                  <c:v>0.91438459405033223</c:v>
                </c:pt>
                <c:pt idx="1">
                  <c:v>0.91351610730035882</c:v>
                </c:pt>
                <c:pt idx="2">
                  <c:v>0.91158027577775314</c:v>
                </c:pt>
                <c:pt idx="3">
                  <c:v>0.91090665694313566</c:v>
                </c:pt>
                <c:pt idx="4">
                  <c:v>0.90988036494570768</c:v>
                </c:pt>
                <c:pt idx="5">
                  <c:v>0.91076411346507136</c:v>
                </c:pt>
                <c:pt idx="6">
                  <c:v>0.91481296053782024</c:v>
                </c:pt>
                <c:pt idx="7">
                  <c:v>0.91554161217617758</c:v>
                </c:pt>
                <c:pt idx="8">
                  <c:v>0.9162538559872494</c:v>
                </c:pt>
                <c:pt idx="9">
                  <c:v>0.91695311778105792</c:v>
                </c:pt>
                <c:pt idx="10">
                  <c:v>0.91763293167986326</c:v>
                </c:pt>
                <c:pt idx="11">
                  <c:v>0.91829621102511139</c:v>
                </c:pt>
                <c:pt idx="12">
                  <c:v>0.91899540670341562</c:v>
                </c:pt>
                <c:pt idx="13">
                  <c:v>0.91974545091516302</c:v>
                </c:pt>
                <c:pt idx="14">
                  <c:v>0.92036751743050038</c:v>
                </c:pt>
                <c:pt idx="15">
                  <c:v>0.92112091403767382</c:v>
                </c:pt>
                <c:pt idx="16">
                  <c:v>0.92169680474898885</c:v>
                </c:pt>
                <c:pt idx="17">
                  <c:v>0.92226088113905824</c:v>
                </c:pt>
                <c:pt idx="18">
                  <c:v>0.92281339782116911</c:v>
                </c:pt>
                <c:pt idx="19">
                  <c:v>0.92335460571265848</c:v>
                </c:pt>
                <c:pt idx="20">
                  <c:v>0.92388475186829766</c:v>
                </c:pt>
                <c:pt idx="21">
                  <c:v>0.92440407934497282</c:v>
                </c:pt>
                <c:pt idx="22">
                  <c:v>0.92491282709367295</c:v>
                </c:pt>
                <c:pt idx="23">
                  <c:v>0.92541122987536339</c:v>
                </c:pt>
                <c:pt idx="24">
                  <c:v>0.92589951819778848</c:v>
                </c:pt>
                <c:pt idx="25">
                  <c:v>0.92637791827062699</c:v>
                </c:pt>
                <c:pt idx="26">
                  <c:v>0.92684665197674665</c:v>
                </c:pt>
                <c:pt idx="27">
                  <c:v>0.92730593685757212</c:v>
                </c:pt>
                <c:pt idx="28">
                  <c:v>0.92778302946151037</c:v>
                </c:pt>
                <c:pt idx="29">
                  <c:v>0.92857103967261889</c:v>
                </c:pt>
              </c:numCache>
            </c:numRef>
          </c:val>
          <c:smooth val="0"/>
          <c:extLst>
            <c:ext xmlns:c16="http://schemas.microsoft.com/office/drawing/2014/chart" uri="{C3380CC4-5D6E-409C-BE32-E72D297353CC}">
              <c16:uniqueId val="{00000002-8817-EC48-BD68-2750533E3DA7}"/>
            </c:ext>
          </c:extLst>
        </c:ser>
        <c:dLbls>
          <c:showLegendKey val="0"/>
          <c:showVal val="0"/>
          <c:showCatName val="0"/>
          <c:showSerName val="0"/>
          <c:showPercent val="0"/>
          <c:showBubbleSize val="0"/>
        </c:dLbls>
        <c:marker val="1"/>
        <c:smooth val="0"/>
        <c:axId val="204958336"/>
        <c:axId val="204956800"/>
      </c:lineChart>
      <c:catAx>
        <c:axId val="204936320"/>
        <c:scaling>
          <c:orientation val="minMax"/>
        </c:scaling>
        <c:delete val="0"/>
        <c:axPos val="b"/>
        <c:numFmt formatCode="0" sourceLinked="1"/>
        <c:majorTickMark val="out"/>
        <c:minorTickMark val="none"/>
        <c:tickLblPos val="nextTo"/>
        <c:crossAx val="204937856"/>
        <c:crosses val="autoZero"/>
        <c:auto val="1"/>
        <c:lblAlgn val="ctr"/>
        <c:lblOffset val="100"/>
        <c:noMultiLvlLbl val="0"/>
      </c:catAx>
      <c:valAx>
        <c:axId val="204937856"/>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4936320"/>
        <c:crosses val="autoZero"/>
        <c:crossBetween val="between"/>
        <c:dispUnits>
          <c:builtInUnit val="thousands"/>
        </c:dispUnits>
      </c:valAx>
      <c:valAx>
        <c:axId val="204956800"/>
        <c:scaling>
          <c:orientation val="minMax"/>
        </c:scaling>
        <c:delete val="0"/>
        <c:axPos val="r"/>
        <c:numFmt formatCode="0%" sourceLinked="1"/>
        <c:majorTickMark val="out"/>
        <c:minorTickMark val="none"/>
        <c:tickLblPos val="nextTo"/>
        <c:crossAx val="204958336"/>
        <c:crosses val="max"/>
        <c:crossBetween val="between"/>
      </c:valAx>
      <c:catAx>
        <c:axId val="204958336"/>
        <c:scaling>
          <c:orientation val="minMax"/>
        </c:scaling>
        <c:delete val="1"/>
        <c:axPos val="b"/>
        <c:majorTickMark val="out"/>
        <c:minorTickMark val="none"/>
        <c:tickLblPos val="none"/>
        <c:crossAx val="204956800"/>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 - Infrastructure'!$H$158</c:f>
          <c:strCache>
            <c:ptCount val="1"/>
            <c:pt idx="0">
              <c:v>Track access charge</c:v>
            </c:pt>
          </c:strCache>
        </c:strRef>
      </c:tx>
      <c:overlay val="0"/>
    </c:title>
    <c:autoTitleDeleted val="0"/>
    <c:plotArea>
      <c:layout/>
      <c:barChart>
        <c:barDir val="col"/>
        <c:grouping val="stacked"/>
        <c:varyColors val="0"/>
        <c:ser>
          <c:idx val="0"/>
          <c:order val="0"/>
          <c:tx>
            <c:strRef>
              <c:f>'Charts - Infrastructure'!$B$160</c:f>
              <c:strCache>
                <c:ptCount val="1"/>
                <c:pt idx="0">
                  <c:v>Freight (R$/GTK)</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[0]!freighttacgtk</c:f>
              <c:numCache>
                <c:formatCode>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extLst>
            <c:ext xmlns:c16="http://schemas.microsoft.com/office/drawing/2014/chart" uri="{C3380CC4-5D6E-409C-BE32-E72D297353CC}">
              <c16:uniqueId val="{00000000-3AD2-2A45-94EF-9D5367B65E46}"/>
            </c:ext>
          </c:extLst>
        </c:ser>
        <c:ser>
          <c:idx val="1"/>
          <c:order val="1"/>
          <c:tx>
            <c:strRef>
              <c:f>'Charts - Infrastructure'!$B$161</c:f>
              <c:strCache>
                <c:ptCount val="1"/>
                <c:pt idx="0">
                  <c:v>Freight (R$/Train-km)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[0]!freighttactrainkm</c:f>
              <c:numCache>
                <c:formatCode>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extLst>
            <c:ext xmlns:c16="http://schemas.microsoft.com/office/drawing/2014/chart" uri="{C3380CC4-5D6E-409C-BE32-E72D297353CC}">
              <c16:uniqueId val="{00000001-3AD2-2A45-94EF-9D5367B65E46}"/>
            </c:ext>
          </c:extLst>
        </c:ser>
        <c:ser>
          <c:idx val="2"/>
          <c:order val="2"/>
          <c:tx>
            <c:strRef>
              <c:f>'Charts - Infrastructure'!$B$162</c:f>
              <c:strCache>
                <c:ptCount val="1"/>
                <c:pt idx="0">
                  <c:v>Passenger (R$/GTK)</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[0]!paxtacgtk</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extLst>
            <c:ext xmlns:c16="http://schemas.microsoft.com/office/drawing/2014/chart" uri="{C3380CC4-5D6E-409C-BE32-E72D297353CC}">
              <c16:uniqueId val="{00000002-3AD2-2A45-94EF-9D5367B65E46}"/>
            </c:ext>
          </c:extLst>
        </c:ser>
        <c:ser>
          <c:idx val="3"/>
          <c:order val="3"/>
          <c:tx>
            <c:strRef>
              <c:f>'Charts - Infrastructure'!$B$163</c:f>
              <c:strCache>
                <c:ptCount val="1"/>
                <c:pt idx="0">
                  <c:v>Passenger (R$/Train-km)</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[0]!paxtactrainkm</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extLst>
            <c:ext xmlns:c16="http://schemas.microsoft.com/office/drawing/2014/chart" uri="{C3380CC4-5D6E-409C-BE32-E72D297353CC}">
              <c16:uniqueId val="{00000003-3AD2-2A45-94EF-9D5367B65E46}"/>
            </c:ext>
          </c:extLst>
        </c:ser>
        <c:dLbls>
          <c:showLegendKey val="0"/>
          <c:showVal val="1"/>
          <c:showCatName val="0"/>
          <c:showSerName val="0"/>
          <c:showPercent val="0"/>
          <c:showBubbleSize val="0"/>
        </c:dLbls>
        <c:gapWidth val="75"/>
        <c:overlap val="100"/>
        <c:axId val="204976896"/>
        <c:axId val="204978432"/>
      </c:barChart>
      <c:catAx>
        <c:axId val="204976896"/>
        <c:scaling>
          <c:orientation val="minMax"/>
        </c:scaling>
        <c:delete val="0"/>
        <c:axPos val="b"/>
        <c:numFmt formatCode="0" sourceLinked="1"/>
        <c:majorTickMark val="none"/>
        <c:minorTickMark val="none"/>
        <c:tickLblPos val="nextTo"/>
        <c:crossAx val="204978432"/>
        <c:crosses val="autoZero"/>
        <c:auto val="1"/>
        <c:lblAlgn val="ctr"/>
        <c:lblOffset val="100"/>
        <c:noMultiLvlLbl val="0"/>
      </c:catAx>
      <c:valAx>
        <c:axId val="204978432"/>
        <c:scaling>
          <c:orientation val="minMax"/>
        </c:scaling>
        <c:delete val="0"/>
        <c:axPos val="l"/>
        <c:title>
          <c:tx>
            <c:strRef>
              <c:f>'Charts - Infrastructure'!$F$158</c:f>
              <c:strCache>
                <c:ptCount val="1"/>
                <c:pt idx="0">
                  <c:v>R$</c:v>
                </c:pt>
              </c:strCache>
            </c:strRef>
          </c:tx>
          <c:overlay val="0"/>
          <c:txPr>
            <a:bodyPr rot="-5400000" vert="horz"/>
            <a:lstStyle/>
            <a:p>
              <a:pPr>
                <a:defRPr/>
              </a:pPr>
              <a:endParaRPr lang="en-US"/>
            </a:p>
          </c:txPr>
        </c:title>
        <c:numFmt formatCode="0.0" sourceLinked="1"/>
        <c:majorTickMark val="none"/>
        <c:minorTickMark val="none"/>
        <c:tickLblPos val="nextTo"/>
        <c:crossAx val="204976896"/>
        <c:crosses val="autoZero"/>
        <c:crossBetween val="between"/>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Public subsidy</a:t>
            </a:r>
          </a:p>
        </c:rich>
      </c:tx>
      <c:overlay val="0"/>
    </c:title>
    <c:autoTitleDeleted val="0"/>
    <c:plotArea>
      <c:layout/>
      <c:barChart>
        <c:barDir val="col"/>
        <c:grouping val="clustered"/>
        <c:varyColors val="0"/>
        <c:ser>
          <c:idx val="0"/>
          <c:order val="0"/>
          <c:tx>
            <c:strRef>
              <c:f>'Charts - Freight'!$B$196:$D$196</c:f>
              <c:strCache>
                <c:ptCount val="3"/>
                <c:pt idx="0">
                  <c:v>Operating subsidy</c:v>
                </c:pt>
              </c:strCache>
            </c:strRef>
          </c:tx>
          <c:invertIfNegative val="0"/>
          <c:dLbls>
            <c:delete val="1"/>
          </c:dLbls>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[0]!operatingsubsidyfreightreal</c:f>
              <c:numCache>
                <c:formatCode>_(* #,##0.00_);_(* \(#,##0.00\);_(* "-"??_);_(@_)</c:formatCode>
                <c:ptCount val="30"/>
                <c:pt idx="0">
                  <c:v>10</c:v>
                </c:pt>
                <c:pt idx="1">
                  <c:v>10.3</c:v>
                </c:pt>
                <c:pt idx="2">
                  <c:v>10.609000000000002</c:v>
                </c:pt>
                <c:pt idx="3">
                  <c:v>10.927270000000002</c:v>
                </c:pt>
                <c:pt idx="4">
                  <c:v>11.255088100000002</c:v>
                </c:pt>
                <c:pt idx="5">
                  <c:v>11.592740743000002</c:v>
                </c:pt>
                <c:pt idx="6">
                  <c:v>11.940522965290002</c:v>
                </c:pt>
                <c:pt idx="7">
                  <c:v>12.298738654248703</c:v>
                </c:pt>
                <c:pt idx="8">
                  <c:v>12.667700813876165</c:v>
                </c:pt>
                <c:pt idx="9">
                  <c:v>13.047731838292449</c:v>
                </c:pt>
                <c:pt idx="10">
                  <c:v>13.439163793441223</c:v>
                </c:pt>
                <c:pt idx="11">
                  <c:v>13.84233870724446</c:v>
                </c:pt>
                <c:pt idx="12">
                  <c:v>14.257608868461794</c:v>
                </c:pt>
                <c:pt idx="13">
                  <c:v>14.685337134515649</c:v>
                </c:pt>
                <c:pt idx="14">
                  <c:v>15.125897248551119</c:v>
                </c:pt>
                <c:pt idx="15">
                  <c:v>15.579674166007653</c:v>
                </c:pt>
                <c:pt idx="16">
                  <c:v>16.047064390987885</c:v>
                </c:pt>
                <c:pt idx="17">
                  <c:v>16.52847632271752</c:v>
                </c:pt>
                <c:pt idx="18">
                  <c:v>17.024330612399044</c:v>
                </c:pt>
                <c:pt idx="19">
                  <c:v>17.535060530771016</c:v>
                </c:pt>
                <c:pt idx="20">
                  <c:v>18.061112346694149</c:v>
                </c:pt>
                <c:pt idx="21">
                  <c:v>18.602945717094972</c:v>
                </c:pt>
                <c:pt idx="22">
                  <c:v>19.161034088607821</c:v>
                </c:pt>
                <c:pt idx="23">
                  <c:v>19.735865111266055</c:v>
                </c:pt>
                <c:pt idx="24">
                  <c:v>20.327941064604037</c:v>
                </c:pt>
                <c:pt idx="25">
                  <c:v>20.937779296542157</c:v>
                </c:pt>
                <c:pt idx="26">
                  <c:v>21.565912675438422</c:v>
                </c:pt>
                <c:pt idx="27">
                  <c:v>22.212890055701575</c:v>
                </c:pt>
                <c:pt idx="28">
                  <c:v>22.879276757372622</c:v>
                </c:pt>
                <c:pt idx="29">
                  <c:v>23.565655060093803</c:v>
                </c:pt>
              </c:numCache>
            </c:numRef>
          </c:val>
          <c:extLst>
            <c:ext xmlns:c16="http://schemas.microsoft.com/office/drawing/2014/chart" uri="{C3380CC4-5D6E-409C-BE32-E72D297353CC}">
              <c16:uniqueId val="{00000000-A962-1645-9857-711D46D3AD4E}"/>
            </c:ext>
          </c:extLst>
        </c:ser>
        <c:ser>
          <c:idx val="1"/>
          <c:order val="1"/>
          <c:tx>
            <c:strRef>
              <c:f>'Charts - Infrastructure'!$B$175</c:f>
              <c:strCache>
                <c:ptCount val="1"/>
                <c:pt idx="0">
                  <c:v>Capital subsidy</c:v>
                </c:pt>
              </c:strCache>
            </c:strRef>
          </c:tx>
          <c:invertIfNegative val="0"/>
          <c:dLbls>
            <c:delete val="1"/>
          </c:dLbls>
          <c:val>
            <c:numRef>
              <c:f>[0]!capitalsubsidyinfra</c:f>
              <c:numCache>
                <c:formatCode>_(* #,##0.00_);_(* \(#,##0.00\);_(* "-"??_);_(@_)</c:formatCode>
                <c:ptCount val="30"/>
                <c:pt idx="0">
                  <c:v>15</c:v>
                </c:pt>
                <c:pt idx="1">
                  <c:v>15.450000000000001</c:v>
                </c:pt>
                <c:pt idx="2">
                  <c:v>15.913500000000001</c:v>
                </c:pt>
                <c:pt idx="3">
                  <c:v>16.390905</c:v>
                </c:pt>
                <c:pt idx="4">
                  <c:v>16.882632149999999</c:v>
                </c:pt>
                <c:pt idx="5">
                  <c:v>17.3891111145</c:v>
                </c:pt>
                <c:pt idx="6">
                  <c:v>17.910784447935001</c:v>
                </c:pt>
                <c:pt idx="7">
                  <c:v>18.448107981373052</c:v>
                </c:pt>
                <c:pt idx="8">
                  <c:v>19.001551220814246</c:v>
                </c:pt>
                <c:pt idx="9">
                  <c:v>19.571597757438674</c:v>
                </c:pt>
                <c:pt idx="10">
                  <c:v>20.158745690161833</c:v>
                </c:pt>
                <c:pt idx="11">
                  <c:v>20.763508060866688</c:v>
                </c:pt>
                <c:pt idx="12">
                  <c:v>21.386413302692688</c:v>
                </c:pt>
                <c:pt idx="13">
                  <c:v>22.02800570177347</c:v>
                </c:pt>
                <c:pt idx="14">
                  <c:v>22.688845872826676</c:v>
                </c:pt>
                <c:pt idx="15">
                  <c:v>23.369511249011477</c:v>
                </c:pt>
                <c:pt idx="16">
                  <c:v>24.070596586481823</c:v>
                </c:pt>
                <c:pt idx="17">
                  <c:v>24.792714484076278</c:v>
                </c:pt>
                <c:pt idx="18">
                  <c:v>25.536495918598568</c:v>
                </c:pt>
                <c:pt idx="19">
                  <c:v>26.302590796156526</c:v>
                </c:pt>
                <c:pt idx="20">
                  <c:v>27.091668520041221</c:v>
                </c:pt>
                <c:pt idx="21">
                  <c:v>27.90441857564246</c:v>
                </c:pt>
                <c:pt idx="22">
                  <c:v>28.741551132911734</c:v>
                </c:pt>
                <c:pt idx="23">
                  <c:v>29.603797666899087</c:v>
                </c:pt>
                <c:pt idx="24">
                  <c:v>30.491911596906061</c:v>
                </c:pt>
                <c:pt idx="25">
                  <c:v>31.406668944813244</c:v>
                </c:pt>
                <c:pt idx="26">
                  <c:v>32.348869013157639</c:v>
                </c:pt>
                <c:pt idx="27">
                  <c:v>33.319335083552367</c:v>
                </c:pt>
                <c:pt idx="28">
                  <c:v>34.318915136058941</c:v>
                </c:pt>
                <c:pt idx="29">
                  <c:v>35.348482590140712</c:v>
                </c:pt>
              </c:numCache>
            </c:numRef>
          </c:val>
          <c:extLst>
            <c:ext xmlns:c16="http://schemas.microsoft.com/office/drawing/2014/chart" uri="{C3380CC4-5D6E-409C-BE32-E72D297353CC}">
              <c16:uniqueId val="{00000001-A962-1645-9857-711D46D3AD4E}"/>
            </c:ext>
          </c:extLst>
        </c:ser>
        <c:dLbls>
          <c:showLegendKey val="0"/>
          <c:showVal val="1"/>
          <c:showCatName val="0"/>
          <c:showSerName val="0"/>
          <c:showPercent val="0"/>
          <c:showBubbleSize val="0"/>
        </c:dLbls>
        <c:gapWidth val="75"/>
        <c:axId val="205024256"/>
        <c:axId val="205026048"/>
      </c:barChart>
      <c:catAx>
        <c:axId val="205024256"/>
        <c:scaling>
          <c:orientation val="minMax"/>
        </c:scaling>
        <c:delete val="0"/>
        <c:axPos val="b"/>
        <c:numFmt formatCode="0" sourceLinked="1"/>
        <c:majorTickMark val="none"/>
        <c:minorTickMark val="none"/>
        <c:tickLblPos val="nextTo"/>
        <c:crossAx val="205026048"/>
        <c:crosses val="autoZero"/>
        <c:auto val="1"/>
        <c:lblAlgn val="ctr"/>
        <c:lblOffset val="100"/>
        <c:noMultiLvlLbl val="0"/>
      </c:catAx>
      <c:valAx>
        <c:axId val="205026048"/>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00_);_(* \(#,##0.00\);_(* &quot;-&quot;??_);_(@_)" sourceLinked="1"/>
        <c:majorTickMark val="none"/>
        <c:minorTickMark val="none"/>
        <c:tickLblPos val="nextTo"/>
        <c:crossAx val="205024256"/>
        <c:crosses val="autoZero"/>
        <c:crossBetween val="between"/>
      </c:valAx>
    </c:plotArea>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a:t>
            </a:r>
          </a:p>
        </c:rich>
      </c:tx>
      <c:overlay val="0"/>
    </c:title>
    <c:autoTitleDeleted val="0"/>
    <c:plotArea>
      <c:layout/>
      <c:barChart>
        <c:barDir val="col"/>
        <c:grouping val="stacked"/>
        <c:varyColors val="0"/>
        <c:ser>
          <c:idx val="0"/>
          <c:order val="0"/>
          <c:tx>
            <c:strRef>
              <c:f>'Charts - Infrastructure'!$B$145</c:f>
              <c:strCache>
                <c:ptCount val="1"/>
                <c:pt idx="0">
                  <c:v>Total freight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[0]!freighttraffictrafficunits</c:f>
              <c:numCache>
                <c:formatCode>_(* #,##0_);_(* \(#,##0\);_(* "-"??_);_(@_)</c:formatCode>
                <c:ptCount val="30"/>
                <c:pt idx="0">
                  <c:v>65000</c:v>
                </c:pt>
                <c:pt idx="1">
                  <c:v>64000</c:v>
                </c:pt>
                <c:pt idx="2">
                  <c:v>64000</c:v>
                </c:pt>
                <c:pt idx="3">
                  <c:v>64000</c:v>
                </c:pt>
                <c:pt idx="4">
                  <c:v>64000</c:v>
                </c:pt>
                <c:pt idx="5">
                  <c:v>64000</c:v>
                </c:pt>
                <c:pt idx="6">
                  <c:v>72000</c:v>
                </c:pt>
                <c:pt idx="7">
                  <c:v>72000</c:v>
                </c:pt>
                <c:pt idx="8">
                  <c:v>72000</c:v>
                </c:pt>
                <c:pt idx="9">
                  <c:v>72000</c:v>
                </c:pt>
                <c:pt idx="10">
                  <c:v>72000</c:v>
                </c:pt>
                <c:pt idx="11">
                  <c:v>72000</c:v>
                </c:pt>
                <c:pt idx="12">
                  <c:v>72000</c:v>
                </c:pt>
                <c:pt idx="13">
                  <c:v>72000</c:v>
                </c:pt>
                <c:pt idx="14">
                  <c:v>72000</c:v>
                </c:pt>
                <c:pt idx="15">
                  <c:v>72000</c:v>
                </c:pt>
                <c:pt idx="16">
                  <c:v>72000</c:v>
                </c:pt>
                <c:pt idx="17">
                  <c:v>72000</c:v>
                </c:pt>
                <c:pt idx="18">
                  <c:v>72000</c:v>
                </c:pt>
                <c:pt idx="19">
                  <c:v>72000</c:v>
                </c:pt>
                <c:pt idx="20">
                  <c:v>72000</c:v>
                </c:pt>
                <c:pt idx="21">
                  <c:v>72000</c:v>
                </c:pt>
                <c:pt idx="22">
                  <c:v>72000</c:v>
                </c:pt>
                <c:pt idx="23">
                  <c:v>72000</c:v>
                </c:pt>
                <c:pt idx="24">
                  <c:v>72000</c:v>
                </c:pt>
                <c:pt idx="25">
                  <c:v>72000</c:v>
                </c:pt>
                <c:pt idx="26">
                  <c:v>72000</c:v>
                </c:pt>
                <c:pt idx="27">
                  <c:v>72000</c:v>
                </c:pt>
                <c:pt idx="28">
                  <c:v>72000</c:v>
                </c:pt>
                <c:pt idx="29">
                  <c:v>72000</c:v>
                </c:pt>
              </c:numCache>
            </c:numRef>
          </c:val>
          <c:extLst>
            <c:ext xmlns:c16="http://schemas.microsoft.com/office/drawing/2014/chart" uri="{C3380CC4-5D6E-409C-BE32-E72D297353CC}">
              <c16:uniqueId val="{00000000-30B7-774D-8334-9BC7B319715F}"/>
            </c:ext>
          </c:extLst>
        </c:ser>
        <c:ser>
          <c:idx val="1"/>
          <c:order val="1"/>
          <c:tx>
            <c:strRef>
              <c:f>'Charts - Infrastructure'!$B$146</c:f>
              <c:strCache>
                <c:ptCount val="1"/>
                <c:pt idx="0">
                  <c:v>Total passenger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[0]!paxtraffictrafficunits</c:f>
              <c:numCache>
                <c:formatCode>_(* #,##0_);_(* \(#,##0\);_(* "-"??_);_(@_)</c:formatCode>
                <c:ptCount val="30"/>
                <c:pt idx="0">
                  <c:v>48000</c:v>
                </c:pt>
                <c:pt idx="1">
                  <c:v>51000</c:v>
                </c:pt>
                <c:pt idx="2">
                  <c:v>51000</c:v>
                </c:pt>
                <c:pt idx="3">
                  <c:v>54000</c:v>
                </c:pt>
                <c:pt idx="4">
                  <c:v>60000</c:v>
                </c:pt>
                <c:pt idx="5">
                  <c:v>63000</c:v>
                </c:pt>
                <c:pt idx="6">
                  <c:v>66000</c:v>
                </c:pt>
                <c:pt idx="7">
                  <c:v>69000</c:v>
                </c:pt>
                <c:pt idx="8">
                  <c:v>72000</c:v>
                </c:pt>
                <c:pt idx="9">
                  <c:v>75000</c:v>
                </c:pt>
                <c:pt idx="10">
                  <c:v>78000</c:v>
                </c:pt>
                <c:pt idx="11">
                  <c:v>81000</c:v>
                </c:pt>
                <c:pt idx="12">
                  <c:v>84000</c:v>
                </c:pt>
                <c:pt idx="13">
                  <c:v>87000</c:v>
                </c:pt>
                <c:pt idx="14">
                  <c:v>90000</c:v>
                </c:pt>
                <c:pt idx="15">
                  <c:v>93000</c:v>
                </c:pt>
                <c:pt idx="16">
                  <c:v>96000</c:v>
                </c:pt>
                <c:pt idx="17">
                  <c:v>99000</c:v>
                </c:pt>
                <c:pt idx="18">
                  <c:v>102000</c:v>
                </c:pt>
                <c:pt idx="19">
                  <c:v>105000</c:v>
                </c:pt>
                <c:pt idx="20">
                  <c:v>108000</c:v>
                </c:pt>
                <c:pt idx="21">
                  <c:v>111000</c:v>
                </c:pt>
                <c:pt idx="22">
                  <c:v>114000</c:v>
                </c:pt>
                <c:pt idx="23">
                  <c:v>117000</c:v>
                </c:pt>
                <c:pt idx="24">
                  <c:v>120000</c:v>
                </c:pt>
                <c:pt idx="25">
                  <c:v>123000</c:v>
                </c:pt>
                <c:pt idx="26">
                  <c:v>126000</c:v>
                </c:pt>
                <c:pt idx="27">
                  <c:v>129000</c:v>
                </c:pt>
                <c:pt idx="28">
                  <c:v>132000</c:v>
                </c:pt>
                <c:pt idx="29">
                  <c:v>135000</c:v>
                </c:pt>
              </c:numCache>
            </c:numRef>
          </c:val>
          <c:extLst>
            <c:ext xmlns:c16="http://schemas.microsoft.com/office/drawing/2014/chart" uri="{C3380CC4-5D6E-409C-BE32-E72D297353CC}">
              <c16:uniqueId val="{00000001-30B7-774D-8334-9BC7B319715F}"/>
            </c:ext>
          </c:extLst>
        </c:ser>
        <c:dLbls>
          <c:showLegendKey val="0"/>
          <c:showVal val="0"/>
          <c:showCatName val="0"/>
          <c:showSerName val="0"/>
          <c:showPercent val="0"/>
          <c:showBubbleSize val="0"/>
        </c:dLbls>
        <c:gapWidth val="150"/>
        <c:overlap val="100"/>
        <c:axId val="205059200"/>
        <c:axId val="205060736"/>
      </c:barChart>
      <c:catAx>
        <c:axId val="205059200"/>
        <c:scaling>
          <c:orientation val="minMax"/>
        </c:scaling>
        <c:delete val="0"/>
        <c:axPos val="b"/>
        <c:numFmt formatCode="0" sourceLinked="1"/>
        <c:majorTickMark val="out"/>
        <c:minorTickMark val="none"/>
        <c:tickLblPos val="nextTo"/>
        <c:crossAx val="205060736"/>
        <c:crosses val="autoZero"/>
        <c:auto val="1"/>
        <c:lblAlgn val="ctr"/>
        <c:lblOffset val="100"/>
        <c:noMultiLvlLbl val="0"/>
      </c:catAx>
      <c:valAx>
        <c:axId val="205060736"/>
        <c:scaling>
          <c:orientation val="minMax"/>
        </c:scaling>
        <c:delete val="0"/>
        <c:axPos val="l"/>
        <c:numFmt formatCode="_(* #,##0_);_(* \(#,##0\);_(* &quot;-&quot;??_);_(@_)" sourceLinked="1"/>
        <c:majorTickMark val="out"/>
        <c:minorTickMark val="none"/>
        <c:tickLblPos val="nextTo"/>
        <c:crossAx val="205059200"/>
        <c:crosses val="autoZero"/>
        <c:crossBetween val="between"/>
        <c:dispUnits>
          <c:builtInUnit val="thousands"/>
          <c:dispUnitsLbl>
            <c:layout>
              <c:manualLayout>
                <c:xMode val="edge"/>
                <c:yMode val="edge"/>
                <c:x val="3.1215161649944412E-2"/>
                <c:y val="0.26436351706036748"/>
              </c:manualLayout>
            </c:layout>
            <c:tx>
              <c:strRef>
                <c:f>'Charts - Infrastructure'!$F$150</c:f>
                <c:strCache>
                  <c:ptCount val="1"/>
                  <c:pt idx="0">
                    <c:v>Traffic units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'Charts - Passenger'!$L$172</c:f>
          <c:strCache>
            <c:ptCount val="1"/>
            <c:pt idx="0">
              <c:v>Passenger track access charge</c:v>
            </c:pt>
          </c:strCache>
        </c:strRef>
      </c:tx>
      <c:overlay val="0"/>
      <c:txPr>
        <a:bodyPr/>
        <a:lstStyle/>
        <a:p>
          <a:pPr>
            <a:defRPr/>
          </a:pPr>
          <a:endParaRPr lang="en-US"/>
        </a:p>
      </c:txPr>
    </c:title>
    <c:autoTitleDeleted val="0"/>
    <c:plotArea>
      <c:layout/>
      <c:barChart>
        <c:barDir val="col"/>
        <c:grouping val="stacked"/>
        <c:varyColors val="0"/>
        <c:ser>
          <c:idx val="2"/>
          <c:order val="2"/>
          <c:tx>
            <c:strRef>
              <c:f>'Charts - Passenger'!$B$177</c:f>
              <c:strCache>
                <c:ptCount val="1"/>
                <c:pt idx="0">
                  <c:v>Total charges</c:v>
                </c:pt>
              </c:strCache>
            </c:strRef>
          </c:tx>
          <c:invertIfNegative val="0"/>
          <c:dLbls>
            <c:delete val="1"/>
          </c:dLbls>
          <c:cat>
            <c:numRef>
              <c:f>'Charts - Passenger'!$E$174:$AH$174</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[0]!paxtactotal</c:f>
              <c:numCache>
                <c:formatCode>_(* #,##0_);_(* \(#,##0\);_(* "-"??_);_(@_)</c:formatCode>
                <c:ptCount val="30"/>
                <c:pt idx="0">
                  <c:v>15750</c:v>
                </c:pt>
                <c:pt idx="1">
                  <c:v>17188.125</c:v>
                </c:pt>
                <c:pt idx="2">
                  <c:v>17703.768750000003</c:v>
                </c:pt>
                <c:pt idx="3">
                  <c:v>19259.313375000002</c:v>
                </c:pt>
                <c:pt idx="4">
                  <c:v>21947.421795000002</c:v>
                </c:pt>
                <c:pt idx="5">
                  <c:v>23692.663893506251</c:v>
                </c:pt>
                <c:pt idx="6">
                  <c:v>25522.867838307378</c:v>
                </c:pt>
                <c:pt idx="7">
                  <c:v>27441.560622292414</c:v>
                </c:pt>
                <c:pt idx="8">
                  <c:v>29452.404392262084</c:v>
                </c:pt>
                <c:pt idx="9">
                  <c:v>31559.201383869862</c:v>
                </c:pt>
                <c:pt idx="10">
                  <c:v>33765.899031021072</c:v>
                </c:pt>
                <c:pt idx="11">
                  <c:v>36076.595255755878</c:v>
                </c:pt>
                <c:pt idx="12">
                  <c:v>38495.543944846839</c:v>
                </c:pt>
                <c:pt idx="13">
                  <c:v>41027.160619553091</c:v>
                </c:pt>
                <c:pt idx="14">
                  <c:v>43676.028305191358</c:v>
                </c:pt>
                <c:pt idx="15">
                  <c:v>46446.903607410313</c:v>
                </c:pt>
                <c:pt idx="16">
                  <c:v>49344.723002287741</c:v>
                </c:pt>
                <c:pt idx="17">
                  <c:v>52374.609347611149</c:v>
                </c:pt>
                <c:pt idx="18">
                  <c:v>55541.878622951881</c:v>
                </c:pt>
                <c:pt idx="19">
                  <c:v>58852.046906400225</c:v>
                </c:pt>
                <c:pt idx="20">
                  <c:v>62310.837596094818</c:v>
                </c:pt>
                <c:pt idx="21">
                  <c:v>65924.188884955322</c:v>
                </c:pt>
                <c:pt idx="22">
                  <c:v>69698.261497310974</c:v>
                </c:pt>
                <c:pt idx="23">
                  <c:v>73639.446696411498</c:v>
                </c:pt>
                <c:pt idx="24">
                  <c:v>77754.374572110479</c:v>
                </c:pt>
                <c:pt idx="25">
                  <c:v>82049.922618324621</c:v>
                </c:pt>
                <c:pt idx="26">
                  <c:v>86533.224610196718</c:v>
                </c:pt>
                <c:pt idx="27">
                  <c:v>91211.67979122464</c:v>
                </c:pt>
                <c:pt idx="28">
                  <c:v>96092.962380965051</c:v>
                </c:pt>
                <c:pt idx="29">
                  <c:v>101185.03141427781</c:v>
                </c:pt>
              </c:numCache>
            </c:numRef>
          </c:val>
          <c:extLst>
            <c:ext xmlns:c16="http://schemas.microsoft.com/office/drawing/2014/chart" uri="{C3380CC4-5D6E-409C-BE32-E72D297353CC}">
              <c16:uniqueId val="{00000000-F02A-D94A-8406-4AB3AE5A1AFE}"/>
            </c:ext>
          </c:extLst>
        </c:ser>
        <c:dLbls>
          <c:showLegendKey val="0"/>
          <c:showVal val="1"/>
          <c:showCatName val="0"/>
          <c:showSerName val="0"/>
          <c:showPercent val="0"/>
          <c:showBubbleSize val="0"/>
        </c:dLbls>
        <c:gapWidth val="75"/>
        <c:overlap val="100"/>
        <c:axId val="205108736"/>
        <c:axId val="205110272"/>
      </c:barChart>
      <c:lineChart>
        <c:grouping val="standard"/>
        <c:varyColors val="0"/>
        <c:ser>
          <c:idx val="0"/>
          <c:order val="0"/>
          <c:tx>
            <c:strRef>
              <c:f>'Charts - Passenger'!$B$175</c:f>
              <c:strCache>
                <c:ptCount val="1"/>
                <c:pt idx="0">
                  <c:v>R$ per GTK</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[0]!paxtacgtk</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smooth val="0"/>
          <c:extLst>
            <c:ext xmlns:c16="http://schemas.microsoft.com/office/drawing/2014/chart" uri="{C3380CC4-5D6E-409C-BE32-E72D297353CC}">
              <c16:uniqueId val="{00000001-F02A-D94A-8406-4AB3AE5A1AFE}"/>
            </c:ext>
          </c:extLst>
        </c:ser>
        <c:ser>
          <c:idx val="1"/>
          <c:order val="1"/>
          <c:tx>
            <c:strRef>
              <c:f>'Charts - Passenger'!$B$176</c:f>
              <c:strCache>
                <c:ptCount val="1"/>
                <c:pt idx="0">
                  <c:v>R$ per train-km</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[0]!paxtactrainkm</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smooth val="0"/>
          <c:extLst>
            <c:ext xmlns:c16="http://schemas.microsoft.com/office/drawing/2014/chart" uri="{C3380CC4-5D6E-409C-BE32-E72D297353CC}">
              <c16:uniqueId val="{00000002-F02A-D94A-8406-4AB3AE5A1AFE}"/>
            </c:ext>
          </c:extLst>
        </c:ser>
        <c:dLbls>
          <c:showLegendKey val="0"/>
          <c:showVal val="0"/>
          <c:showCatName val="0"/>
          <c:showSerName val="0"/>
          <c:showPercent val="0"/>
          <c:showBubbleSize val="0"/>
        </c:dLbls>
        <c:marker val="1"/>
        <c:smooth val="0"/>
        <c:axId val="205118464"/>
        <c:axId val="205116544"/>
      </c:lineChart>
      <c:catAx>
        <c:axId val="205108736"/>
        <c:scaling>
          <c:orientation val="minMax"/>
        </c:scaling>
        <c:delete val="0"/>
        <c:axPos val="b"/>
        <c:numFmt formatCode="0" sourceLinked="1"/>
        <c:majorTickMark val="none"/>
        <c:minorTickMark val="none"/>
        <c:tickLblPos val="nextTo"/>
        <c:txPr>
          <a:bodyPr rot="2700000"/>
          <a:lstStyle/>
          <a:p>
            <a:pPr>
              <a:defRPr/>
            </a:pPr>
            <a:endParaRPr lang="en-US"/>
          </a:p>
        </c:txPr>
        <c:crossAx val="205110272"/>
        <c:crosses val="autoZero"/>
        <c:auto val="1"/>
        <c:lblAlgn val="ctr"/>
        <c:lblOffset val="100"/>
        <c:noMultiLvlLbl val="0"/>
      </c:catAx>
      <c:valAx>
        <c:axId val="205110272"/>
        <c:scaling>
          <c:orientation val="minMax"/>
        </c:scaling>
        <c:delete val="0"/>
        <c:axPos val="l"/>
        <c:title>
          <c:tx>
            <c:strRef>
              <c:f>'Charts - Passenger'!$F$172</c:f>
              <c:strCache>
                <c:ptCount val="1"/>
                <c:pt idx="0">
                  <c:v>R$ millions</c:v>
                </c:pt>
              </c:strCache>
            </c:strRef>
          </c:tx>
          <c:overlay val="0"/>
          <c:txPr>
            <a:bodyPr rot="-5400000" vert="horz"/>
            <a:lstStyle/>
            <a:p>
              <a:pPr>
                <a:defRPr/>
              </a:pPr>
              <a:endParaRPr lang="en-US"/>
            </a:p>
          </c:txPr>
        </c:title>
        <c:numFmt formatCode="_(* #,##0_);_(* \(#,##0\);_(* &quot;-&quot;??_);_(@_)" sourceLinked="1"/>
        <c:majorTickMark val="none"/>
        <c:minorTickMark val="none"/>
        <c:tickLblPos val="nextTo"/>
        <c:crossAx val="205108736"/>
        <c:crosses val="autoZero"/>
        <c:crossBetween val="between"/>
      </c:valAx>
      <c:valAx>
        <c:axId val="205116544"/>
        <c:scaling>
          <c:orientation val="minMax"/>
        </c:scaling>
        <c:delete val="0"/>
        <c:axPos val="r"/>
        <c:title>
          <c:tx>
            <c:strRef>
              <c:f>'Charts - Passenger'!$I$172</c:f>
              <c:strCache>
                <c:ptCount val="1"/>
                <c:pt idx="0">
                  <c:v>R$</c:v>
                </c:pt>
              </c:strCache>
            </c:strRef>
          </c:tx>
          <c:overlay val="0"/>
          <c:txPr>
            <a:bodyPr rot="-5400000" vert="horz"/>
            <a:lstStyle/>
            <a:p>
              <a:pPr>
                <a:defRPr/>
              </a:pPr>
              <a:endParaRPr lang="en-US"/>
            </a:p>
          </c:txPr>
        </c:title>
        <c:numFmt formatCode="0.00" sourceLinked="1"/>
        <c:majorTickMark val="out"/>
        <c:minorTickMark val="none"/>
        <c:tickLblPos val="nextTo"/>
        <c:crossAx val="205118464"/>
        <c:crosses val="max"/>
        <c:crossBetween val="between"/>
      </c:valAx>
      <c:catAx>
        <c:axId val="205118464"/>
        <c:scaling>
          <c:orientation val="minMax"/>
        </c:scaling>
        <c:delete val="1"/>
        <c:axPos val="b"/>
        <c:numFmt formatCode="0" sourceLinked="1"/>
        <c:majorTickMark val="out"/>
        <c:minorTickMark val="none"/>
        <c:tickLblPos val="none"/>
        <c:crossAx val="205116544"/>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'Charts - Freight'!$I$185</c:f>
          <c:strCache>
            <c:ptCount val="1"/>
            <c:pt idx="0">
              <c:v>Freight track access charge</c:v>
            </c:pt>
          </c:strCache>
        </c:strRef>
      </c:tx>
      <c:overlay val="0"/>
      <c:txPr>
        <a:bodyPr/>
        <a:lstStyle/>
        <a:p>
          <a:pPr>
            <a:defRPr/>
          </a:pPr>
          <a:endParaRPr lang="en-US"/>
        </a:p>
      </c:txPr>
    </c:title>
    <c:autoTitleDeleted val="0"/>
    <c:plotArea>
      <c:layout/>
      <c:barChart>
        <c:barDir val="col"/>
        <c:grouping val="clustered"/>
        <c:varyColors val="0"/>
        <c:ser>
          <c:idx val="2"/>
          <c:order val="2"/>
          <c:tx>
            <c:strRef>
              <c:f>'Charts - Freight'!$B$190</c:f>
              <c:strCache>
                <c:ptCount val="1"/>
                <c:pt idx="0">
                  <c:v>Total charges</c:v>
                </c:pt>
              </c:strCache>
            </c:strRef>
          </c:tx>
          <c:invertIfNegative val="0"/>
          <c:dLbls>
            <c:delete val="1"/>
          </c:dLbls>
          <c:cat>
            <c:numRef>
              <c:f>'Charts - Freight'!$E$187:$AH$187</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[0]!tacchargesfreight</c:f>
              <c:numCache>
                <c:formatCode>_(* #,##0_);_(* \(#,##0\);_(* "-"??_);_(@_)</c:formatCode>
                <c:ptCount val="30"/>
                <c:pt idx="0">
                  <c:v>25162.500000000004</c:v>
                </c:pt>
                <c:pt idx="1">
                  <c:v>25600.775609756103</c:v>
                </c:pt>
                <c:pt idx="2">
                  <c:v>26368.798878048783</c:v>
                </c:pt>
                <c:pt idx="3">
                  <c:v>27159.862844390249</c:v>
                </c:pt>
                <c:pt idx="4">
                  <c:v>27974.658729721959</c:v>
                </c:pt>
                <c:pt idx="5">
                  <c:v>28813.898491613618</c:v>
                </c:pt>
                <c:pt idx="6">
                  <c:v>33388.104877157268</c:v>
                </c:pt>
                <c:pt idx="7">
                  <c:v>34389.748023471991</c:v>
                </c:pt>
                <c:pt idx="8">
                  <c:v>35421.440464176165</c:v>
                </c:pt>
                <c:pt idx="9">
                  <c:v>36484.083678101444</c:v>
                </c:pt>
                <c:pt idx="10">
                  <c:v>37578.606188444479</c:v>
                </c:pt>
                <c:pt idx="11">
                  <c:v>38705.964374097821</c:v>
                </c:pt>
                <c:pt idx="12">
                  <c:v>39867.143305320758</c:v>
                </c:pt>
                <c:pt idx="13">
                  <c:v>41063.157604480381</c:v>
                </c:pt>
                <c:pt idx="14">
                  <c:v>42295.052332614796</c:v>
                </c:pt>
                <c:pt idx="15">
                  <c:v>43563.903902593236</c:v>
                </c:pt>
                <c:pt idx="16">
                  <c:v>44870.821019671035</c:v>
                </c:pt>
                <c:pt idx="17">
                  <c:v>46216.945650261172</c:v>
                </c:pt>
                <c:pt idx="18">
                  <c:v>47603.454019769008</c:v>
                </c:pt>
                <c:pt idx="19">
                  <c:v>49031.55764036208</c:v>
                </c:pt>
                <c:pt idx="20">
                  <c:v>50502.504369572955</c:v>
                </c:pt>
                <c:pt idx="21">
                  <c:v>52017.57950066014</c:v>
                </c:pt>
                <c:pt idx="22">
                  <c:v>53578.106885679939</c:v>
                </c:pt>
                <c:pt idx="23">
                  <c:v>55185.45009225035</c:v>
                </c:pt>
                <c:pt idx="24">
                  <c:v>56841.013595017866</c:v>
                </c:pt>
                <c:pt idx="25">
                  <c:v>58546.244002868392</c:v>
                </c:pt>
                <c:pt idx="26">
                  <c:v>60302.631322954447</c:v>
                </c:pt>
                <c:pt idx="27">
                  <c:v>62111.710262643086</c:v>
                </c:pt>
                <c:pt idx="28">
                  <c:v>63975.061570522375</c:v>
                </c:pt>
                <c:pt idx="29">
                  <c:v>65894.313417638055</c:v>
                </c:pt>
              </c:numCache>
            </c:numRef>
          </c:val>
          <c:extLst>
            <c:ext xmlns:c16="http://schemas.microsoft.com/office/drawing/2014/chart" uri="{C3380CC4-5D6E-409C-BE32-E72D297353CC}">
              <c16:uniqueId val="{00000000-1AB2-B84A-976E-046DC720A41E}"/>
            </c:ext>
          </c:extLst>
        </c:ser>
        <c:dLbls>
          <c:showLegendKey val="0"/>
          <c:showVal val="1"/>
          <c:showCatName val="0"/>
          <c:showSerName val="0"/>
          <c:showPercent val="0"/>
          <c:showBubbleSize val="0"/>
        </c:dLbls>
        <c:gapWidth val="75"/>
        <c:axId val="205170176"/>
        <c:axId val="205171712"/>
      </c:barChart>
      <c:lineChart>
        <c:grouping val="standard"/>
        <c:varyColors val="0"/>
        <c:ser>
          <c:idx val="0"/>
          <c:order val="0"/>
          <c:tx>
            <c:strRef>
              <c:f>'Charts - Freight'!$B$188:$D$188</c:f>
              <c:strCache>
                <c:ptCount val="3"/>
                <c:pt idx="0">
                  <c:v>R$ per GTK</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[0]!TACGTK</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smooth val="0"/>
          <c:extLst>
            <c:ext xmlns:c16="http://schemas.microsoft.com/office/drawing/2014/chart" uri="{C3380CC4-5D6E-409C-BE32-E72D297353CC}">
              <c16:uniqueId val="{00000001-1AB2-B84A-976E-046DC720A41E}"/>
            </c:ext>
          </c:extLst>
        </c:ser>
        <c:ser>
          <c:idx val="1"/>
          <c:order val="1"/>
          <c:tx>
            <c:strRef>
              <c:f>'Charts - Freight'!$B$189:$D$189</c:f>
              <c:strCache>
                <c:ptCount val="3"/>
                <c:pt idx="0">
                  <c:v>R$ per train-km</c:v>
                </c:pt>
              </c:strCache>
            </c:strRef>
          </c:tx>
          <c:marker>
            <c:symbol val="none"/>
          </c:marker>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[0]!TACTrainkm</c:f>
              <c:numCache>
                <c:formatCode>0.00</c:formatCode>
                <c:ptCount val="30"/>
                <c:pt idx="0">
                  <c:v>0.25</c:v>
                </c:pt>
                <c:pt idx="1">
                  <c:v>0.25750000000000001</c:v>
                </c:pt>
                <c:pt idx="2">
                  <c:v>0.26522499999999999</c:v>
                </c:pt>
                <c:pt idx="3">
                  <c:v>0.27318175</c:v>
                </c:pt>
                <c:pt idx="4">
                  <c:v>0.28137720250000003</c:v>
                </c:pt>
                <c:pt idx="5">
                  <c:v>0.28981851857500002</c:v>
                </c:pt>
                <c:pt idx="6">
                  <c:v>0.29851307413225003</c:v>
                </c:pt>
                <c:pt idx="7">
                  <c:v>0.30746846635621755</c:v>
                </c:pt>
                <c:pt idx="8">
                  <c:v>0.31669252034690409</c:v>
                </c:pt>
                <c:pt idx="9">
                  <c:v>0.32619329595731122</c:v>
                </c:pt>
                <c:pt idx="10">
                  <c:v>0.33597909483603056</c:v>
                </c:pt>
                <c:pt idx="11">
                  <c:v>0.34605846768111148</c:v>
                </c:pt>
                <c:pt idx="12">
                  <c:v>0.35644022171154482</c:v>
                </c:pt>
                <c:pt idx="13">
                  <c:v>0.3671334283628912</c:v>
                </c:pt>
                <c:pt idx="14">
                  <c:v>0.37814743121377797</c:v>
                </c:pt>
                <c:pt idx="15">
                  <c:v>0.38949185415019133</c:v>
                </c:pt>
                <c:pt idx="16">
                  <c:v>0.4011766097746971</c:v>
                </c:pt>
                <c:pt idx="17">
                  <c:v>0.41321190806793801</c:v>
                </c:pt>
                <c:pt idx="18">
                  <c:v>0.42560826530997614</c:v>
                </c:pt>
                <c:pt idx="19">
                  <c:v>0.43837651326927546</c:v>
                </c:pt>
                <c:pt idx="20">
                  <c:v>0.45152780866735376</c:v>
                </c:pt>
                <c:pt idx="21">
                  <c:v>0.46507364292737441</c:v>
                </c:pt>
                <c:pt idx="22">
                  <c:v>0.47902585221519567</c:v>
                </c:pt>
                <c:pt idx="23">
                  <c:v>0.49339662778165155</c:v>
                </c:pt>
                <c:pt idx="24">
                  <c:v>0.50819852661510112</c:v>
                </c:pt>
                <c:pt idx="25">
                  <c:v>0.52344448241355412</c:v>
                </c:pt>
                <c:pt idx="26">
                  <c:v>0.53914781688596081</c:v>
                </c:pt>
                <c:pt idx="27">
                  <c:v>0.55532225139253966</c:v>
                </c:pt>
                <c:pt idx="28">
                  <c:v>0.57198191893431582</c:v>
                </c:pt>
                <c:pt idx="29">
                  <c:v>0.58914137650234533</c:v>
                </c:pt>
              </c:numCache>
            </c:numRef>
          </c:val>
          <c:smooth val="0"/>
          <c:extLst>
            <c:ext xmlns:c16="http://schemas.microsoft.com/office/drawing/2014/chart" uri="{C3380CC4-5D6E-409C-BE32-E72D297353CC}">
              <c16:uniqueId val="{00000002-1AB2-B84A-976E-046DC720A41E}"/>
            </c:ext>
          </c:extLst>
        </c:ser>
        <c:dLbls>
          <c:showLegendKey val="0"/>
          <c:showVal val="0"/>
          <c:showCatName val="0"/>
          <c:showSerName val="0"/>
          <c:showPercent val="0"/>
          <c:showBubbleSize val="0"/>
        </c:dLbls>
        <c:marker val="1"/>
        <c:smooth val="0"/>
        <c:axId val="205196288"/>
        <c:axId val="205194368"/>
      </c:lineChart>
      <c:catAx>
        <c:axId val="205170176"/>
        <c:scaling>
          <c:orientation val="minMax"/>
        </c:scaling>
        <c:delete val="0"/>
        <c:axPos val="b"/>
        <c:numFmt formatCode="0" sourceLinked="1"/>
        <c:majorTickMark val="none"/>
        <c:minorTickMark val="none"/>
        <c:tickLblPos val="nextTo"/>
        <c:txPr>
          <a:bodyPr rot="2700000"/>
          <a:lstStyle/>
          <a:p>
            <a:pPr>
              <a:defRPr/>
            </a:pPr>
            <a:endParaRPr lang="en-US"/>
          </a:p>
        </c:txPr>
        <c:crossAx val="205171712"/>
        <c:crosses val="autoZero"/>
        <c:auto val="1"/>
        <c:lblAlgn val="ctr"/>
        <c:lblOffset val="100"/>
        <c:noMultiLvlLbl val="0"/>
      </c:catAx>
      <c:valAx>
        <c:axId val="205171712"/>
        <c:scaling>
          <c:orientation val="minMax"/>
        </c:scaling>
        <c:delete val="0"/>
        <c:axPos val="l"/>
        <c:title>
          <c:tx>
            <c:strRef>
              <c:f>'Charts - Freight'!$M$185</c:f>
              <c:strCache>
                <c:ptCount val="1"/>
                <c:pt idx="0">
                  <c:v>R$ millions</c:v>
                </c:pt>
              </c:strCache>
            </c:strRef>
          </c:tx>
          <c:overlay val="0"/>
          <c:txPr>
            <a:bodyPr rot="-5400000" vert="horz"/>
            <a:lstStyle/>
            <a:p>
              <a:pPr>
                <a:defRPr/>
              </a:pPr>
              <a:endParaRPr lang="en-US"/>
            </a:p>
          </c:txPr>
        </c:title>
        <c:numFmt formatCode="_(* #,##0_);_(* \(#,##0\);_(* &quot;-&quot;??_);_(@_)" sourceLinked="1"/>
        <c:majorTickMark val="none"/>
        <c:minorTickMark val="none"/>
        <c:tickLblPos val="nextTo"/>
        <c:crossAx val="205170176"/>
        <c:crosses val="autoZero"/>
        <c:crossBetween val="between"/>
      </c:valAx>
      <c:valAx>
        <c:axId val="205194368"/>
        <c:scaling>
          <c:orientation val="minMax"/>
        </c:scaling>
        <c:delete val="0"/>
        <c:axPos val="r"/>
        <c:title>
          <c:tx>
            <c:strRef>
              <c:f>'Charts - Freight'!$F$185</c:f>
              <c:strCache>
                <c:ptCount val="1"/>
                <c:pt idx="0">
                  <c:v>R$</c:v>
                </c:pt>
              </c:strCache>
            </c:strRef>
          </c:tx>
          <c:overlay val="0"/>
          <c:txPr>
            <a:bodyPr rot="-5400000" vert="horz"/>
            <a:lstStyle/>
            <a:p>
              <a:pPr>
                <a:defRPr/>
              </a:pPr>
              <a:endParaRPr lang="en-US"/>
            </a:p>
          </c:txPr>
        </c:title>
        <c:numFmt formatCode="0.00" sourceLinked="1"/>
        <c:majorTickMark val="out"/>
        <c:minorTickMark val="none"/>
        <c:tickLblPos val="nextTo"/>
        <c:crossAx val="205196288"/>
        <c:crosses val="max"/>
        <c:crossBetween val="between"/>
      </c:valAx>
      <c:catAx>
        <c:axId val="205196288"/>
        <c:scaling>
          <c:orientation val="minMax"/>
        </c:scaling>
        <c:delete val="1"/>
        <c:axPos val="b"/>
        <c:numFmt formatCode="0" sourceLinked="1"/>
        <c:majorTickMark val="out"/>
        <c:minorTickMark val="none"/>
        <c:tickLblPos val="none"/>
        <c:crossAx val="205194368"/>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ndard"/>
        <c:varyColors val="0"/>
        <c:ser>
          <c:idx val="0"/>
          <c:order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41A1-EB43-B3E4-04C7630234DB}"/>
            </c:ext>
          </c:extLst>
        </c:ser>
        <c:dLbls>
          <c:showLegendKey val="0"/>
          <c:showVal val="0"/>
          <c:showCatName val="0"/>
          <c:showSerName val="0"/>
          <c:showPercent val="0"/>
          <c:showBubbleSize val="0"/>
        </c:dLbls>
        <c:axId val="205473664"/>
        <c:axId val="205475200"/>
      </c:areaChart>
      <c:catAx>
        <c:axId val="205473664"/>
        <c:scaling>
          <c:orientation val="minMax"/>
        </c:scaling>
        <c:delete val="0"/>
        <c:axPos val="b"/>
        <c:numFmt formatCode="0" sourceLinked="1"/>
        <c:majorTickMark val="out"/>
        <c:minorTickMark val="none"/>
        <c:tickLblPos val="nextTo"/>
        <c:crossAx val="205475200"/>
        <c:crosses val="autoZero"/>
        <c:auto val="1"/>
        <c:lblAlgn val="ctr"/>
        <c:lblOffset val="100"/>
        <c:noMultiLvlLbl val="0"/>
      </c:catAx>
      <c:valAx>
        <c:axId val="205475200"/>
        <c:scaling>
          <c:orientation val="minMax"/>
        </c:scaling>
        <c:delete val="0"/>
        <c:axPos val="l"/>
        <c:title>
          <c:tx>
            <c:rich>
              <a:bodyPr rot="-5400000" vert="horz"/>
              <a:lstStyle/>
              <a:p>
                <a:pPr>
                  <a:defRPr/>
                </a:pPr>
                <a:r>
                  <a:rPr lang="en-US"/>
                  <a:t>R$ (Millions)</a:t>
                </a:r>
              </a:p>
            </c:rich>
          </c:tx>
          <c:overlay val="0"/>
        </c:title>
        <c:numFmt formatCode="General" sourceLinked="1"/>
        <c:majorTickMark val="out"/>
        <c:minorTickMark val="none"/>
        <c:tickLblPos val="nextTo"/>
        <c:crossAx val="20547366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Debt ratios</a:t>
            </a:r>
          </a:p>
        </c:rich>
      </c:tx>
      <c:overlay val="0"/>
    </c:title>
    <c:autoTitleDeleted val="0"/>
    <c:plotArea>
      <c:layout/>
      <c:lineChart>
        <c:grouping val="standard"/>
        <c:varyColors val="0"/>
        <c:ser>
          <c:idx val="0"/>
          <c:order val="0"/>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7F48-9945-842E-E37B5F8CA6CD}"/>
            </c:ext>
          </c:extLst>
        </c:ser>
        <c:dLbls>
          <c:showLegendKey val="0"/>
          <c:showVal val="0"/>
          <c:showCatName val="0"/>
          <c:showSerName val="0"/>
          <c:showPercent val="0"/>
          <c:showBubbleSize val="0"/>
        </c:dLbls>
        <c:marker val="1"/>
        <c:smooth val="0"/>
        <c:axId val="205514240"/>
        <c:axId val="205515776"/>
      </c:line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7F48-9945-842E-E37B5F8CA6CD}"/>
            </c:ext>
          </c:extLst>
        </c:ser>
        <c:dLbls>
          <c:showLegendKey val="0"/>
          <c:showVal val="0"/>
          <c:showCatName val="0"/>
          <c:showSerName val="0"/>
          <c:showPercent val="0"/>
          <c:showBubbleSize val="0"/>
        </c:dLbls>
        <c:marker val="1"/>
        <c:smooth val="0"/>
        <c:axId val="205531392"/>
        <c:axId val="205529856"/>
      </c:lineChart>
      <c:catAx>
        <c:axId val="205514240"/>
        <c:scaling>
          <c:orientation val="minMax"/>
        </c:scaling>
        <c:delete val="0"/>
        <c:axPos val="b"/>
        <c:numFmt formatCode="0" sourceLinked="1"/>
        <c:majorTickMark val="out"/>
        <c:minorTickMark val="none"/>
        <c:tickLblPos val="nextTo"/>
        <c:crossAx val="205515776"/>
        <c:crosses val="autoZero"/>
        <c:auto val="1"/>
        <c:lblAlgn val="ctr"/>
        <c:lblOffset val="100"/>
        <c:noMultiLvlLbl val="0"/>
      </c:catAx>
      <c:valAx>
        <c:axId val="205515776"/>
        <c:scaling>
          <c:orientation val="minMax"/>
        </c:scaling>
        <c:delete val="0"/>
        <c:axPos val="l"/>
        <c:numFmt formatCode="General" sourceLinked="1"/>
        <c:majorTickMark val="out"/>
        <c:minorTickMark val="none"/>
        <c:tickLblPos val="nextTo"/>
        <c:crossAx val="205514240"/>
        <c:crosses val="autoZero"/>
        <c:crossBetween val="between"/>
      </c:valAx>
      <c:valAx>
        <c:axId val="205529856"/>
        <c:scaling>
          <c:orientation val="minMax"/>
        </c:scaling>
        <c:delete val="0"/>
        <c:axPos val="r"/>
        <c:numFmt formatCode="General" sourceLinked="1"/>
        <c:majorTickMark val="out"/>
        <c:minorTickMark val="none"/>
        <c:tickLblPos val="nextTo"/>
        <c:crossAx val="205531392"/>
        <c:crosses val="max"/>
        <c:crossBetween val="between"/>
      </c:valAx>
      <c:catAx>
        <c:axId val="205531392"/>
        <c:scaling>
          <c:orientation val="minMax"/>
        </c:scaling>
        <c:delete val="1"/>
        <c:axPos val="b"/>
        <c:numFmt formatCode="0" sourceLinked="1"/>
        <c:majorTickMark val="out"/>
        <c:minorTickMark val="none"/>
        <c:tickLblPos val="none"/>
        <c:crossAx val="205529856"/>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E9B0-E149-B85C-6287DF587015}"/>
            </c:ext>
          </c:extLst>
        </c:ser>
        <c:ser>
          <c:idx val="1"/>
          <c:order val="1"/>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E9B0-E149-B85C-6287DF587015}"/>
            </c:ext>
          </c:extLst>
        </c:ser>
        <c:dLbls>
          <c:showLegendKey val="0"/>
          <c:showVal val="0"/>
          <c:showCatName val="0"/>
          <c:showSerName val="0"/>
          <c:showPercent val="0"/>
          <c:showBubbleSize val="0"/>
        </c:dLbls>
        <c:gapWidth val="150"/>
        <c:axId val="205558528"/>
        <c:axId val="205560064"/>
      </c:barChart>
      <c:lineChart>
        <c:grouping val="standard"/>
        <c:varyColors val="0"/>
        <c:ser>
          <c:idx val="2"/>
          <c:order val="2"/>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6="http://schemas.microsoft.com/office/drawing/2014/chart" uri="{C3380CC4-5D6E-409C-BE32-E72D297353CC}">
              <c16:uniqueId val="{00000002-E9B0-E149-B85C-6287DF587015}"/>
            </c:ext>
          </c:extLst>
        </c:ser>
        <c:dLbls>
          <c:showLegendKey val="0"/>
          <c:showVal val="0"/>
          <c:showCatName val="0"/>
          <c:showSerName val="0"/>
          <c:showPercent val="0"/>
          <c:showBubbleSize val="0"/>
        </c:dLbls>
        <c:marker val="1"/>
        <c:smooth val="0"/>
        <c:axId val="205580160"/>
        <c:axId val="205578624"/>
      </c:lineChart>
      <c:catAx>
        <c:axId val="205558528"/>
        <c:scaling>
          <c:orientation val="minMax"/>
        </c:scaling>
        <c:delete val="0"/>
        <c:axPos val="b"/>
        <c:numFmt formatCode="0" sourceLinked="1"/>
        <c:majorTickMark val="out"/>
        <c:minorTickMark val="none"/>
        <c:tickLblPos val="nextTo"/>
        <c:crossAx val="205560064"/>
        <c:crosses val="autoZero"/>
        <c:auto val="1"/>
        <c:lblAlgn val="ctr"/>
        <c:lblOffset val="100"/>
        <c:noMultiLvlLbl val="0"/>
      </c:catAx>
      <c:valAx>
        <c:axId val="205560064"/>
        <c:scaling>
          <c:orientation val="minMax"/>
        </c:scaling>
        <c:delete val="0"/>
        <c:axPos val="l"/>
        <c:numFmt formatCode="General" sourceLinked="1"/>
        <c:majorTickMark val="out"/>
        <c:minorTickMark val="none"/>
        <c:tickLblPos val="nextTo"/>
        <c:crossAx val="205558528"/>
        <c:crosses val="autoZero"/>
        <c:crossBetween val="between"/>
        <c:dispUnits>
          <c:builtInUnit val="thousands"/>
          <c:dispUnitsLbl>
            <c:layout>
              <c:manualLayout>
                <c:xMode val="edge"/>
                <c:yMode val="edge"/>
                <c:x val="3.0555555555555582E-2"/>
                <c:y val="0.29677092446777487"/>
              </c:manualLayout>
            </c:layout>
            <c:tx>
              <c:rich>
                <a:bodyPr/>
                <a:lstStyle/>
                <a:p>
                  <a:pPr>
                    <a:defRPr/>
                  </a:pPr>
                  <a:r>
                    <a:rPr lang="en-US"/>
                    <a:t>R$</a:t>
                  </a:r>
                  <a:r>
                    <a:rPr lang="en-US" baseline="0"/>
                    <a:t> (Billions)</a:t>
                  </a:r>
                  <a:endParaRPr lang="en-US"/>
                </a:p>
              </c:rich>
            </c:tx>
          </c:dispUnitsLbl>
        </c:dispUnits>
      </c:valAx>
      <c:valAx>
        <c:axId val="205578624"/>
        <c:scaling>
          <c:orientation val="minMax"/>
          <c:max val="10"/>
        </c:scaling>
        <c:delete val="0"/>
        <c:axPos val="r"/>
        <c:numFmt formatCode="General" sourceLinked="1"/>
        <c:majorTickMark val="out"/>
        <c:minorTickMark val="none"/>
        <c:tickLblPos val="nextTo"/>
        <c:crossAx val="205580160"/>
        <c:crosses val="max"/>
        <c:crossBetween val="between"/>
      </c:valAx>
      <c:catAx>
        <c:axId val="205580160"/>
        <c:scaling>
          <c:orientation val="minMax"/>
        </c:scaling>
        <c:delete val="1"/>
        <c:axPos val="b"/>
        <c:majorTickMark val="out"/>
        <c:minorTickMark val="none"/>
        <c:tickLblPos val="none"/>
        <c:crossAx val="205578624"/>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Traffic</a:t>
            </a:r>
            <a:r>
              <a:rPr lang="en-US" baseline="0"/>
              <a:t> intensity</a:t>
            </a:r>
            <a:endParaRPr lang="en-US"/>
          </a:p>
        </c:rich>
      </c:tx>
      <c:layout>
        <c:manualLayout>
          <c:xMode val="edge"/>
          <c:yMode val="edge"/>
          <c:x val="0.42911650387966377"/>
          <c:y val="3.2407407407408828E-2"/>
        </c:manualLayout>
      </c:layout>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7F87-8F45-BB73-0FD518BD3176}"/>
            </c:ext>
          </c:extLst>
        </c:ser>
        <c:dLbls>
          <c:showLegendKey val="0"/>
          <c:showVal val="0"/>
          <c:showCatName val="0"/>
          <c:showSerName val="0"/>
          <c:showPercent val="0"/>
          <c:showBubbleSize val="0"/>
        </c:dLbls>
        <c:gapWidth val="150"/>
        <c:axId val="205666944"/>
        <c:axId val="205676928"/>
      </c:bar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7F87-8F45-BB73-0FD518BD3176}"/>
            </c:ext>
          </c:extLst>
        </c:ser>
        <c:dLbls>
          <c:showLegendKey val="0"/>
          <c:showVal val="0"/>
          <c:showCatName val="0"/>
          <c:showSerName val="0"/>
          <c:showPercent val="0"/>
          <c:showBubbleSize val="0"/>
        </c:dLbls>
        <c:marker val="1"/>
        <c:smooth val="0"/>
        <c:axId val="205666944"/>
        <c:axId val="205676928"/>
      </c:lineChart>
      <c:catAx>
        <c:axId val="205666944"/>
        <c:scaling>
          <c:orientation val="minMax"/>
        </c:scaling>
        <c:delete val="0"/>
        <c:axPos val="b"/>
        <c:numFmt formatCode="0" sourceLinked="1"/>
        <c:majorTickMark val="out"/>
        <c:minorTickMark val="none"/>
        <c:tickLblPos val="nextTo"/>
        <c:crossAx val="205676928"/>
        <c:crosses val="autoZero"/>
        <c:auto val="1"/>
        <c:lblAlgn val="ctr"/>
        <c:lblOffset val="100"/>
        <c:noMultiLvlLbl val="0"/>
      </c:catAx>
      <c:valAx>
        <c:axId val="205676928"/>
        <c:scaling>
          <c:orientation val="minMax"/>
        </c:scaling>
        <c:delete val="0"/>
        <c:axPos val="l"/>
        <c:title>
          <c:tx>
            <c:rich>
              <a:bodyPr rot="-5400000" vert="horz"/>
              <a:lstStyle/>
              <a:p>
                <a:pPr>
                  <a:defRPr/>
                </a:pPr>
                <a:r>
                  <a:rPr lang="en-US"/>
                  <a:t>Million</a:t>
                </a:r>
                <a:r>
                  <a:rPr lang="en-US" baseline="0"/>
                  <a:t> traffic units per track-km</a:t>
                </a:r>
                <a:endParaRPr lang="en-US"/>
              </a:p>
            </c:rich>
          </c:tx>
          <c:overlay val="0"/>
        </c:title>
        <c:numFmt formatCode="General" sourceLinked="1"/>
        <c:majorTickMark val="out"/>
        <c:minorTickMark val="none"/>
        <c:tickLblPos val="nextTo"/>
        <c:crossAx val="205666944"/>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[0]!operatingrevenuesall</c:f>
              <c:numCache>
                <c:formatCode>_(* #,##0_);_(* \(#,##0\);_(* "-"??_);_(@_)</c:formatCode>
                <c:ptCount val="30"/>
                <c:pt idx="0">
                  <c:v>87011</c:v>
                </c:pt>
                <c:pt idx="1">
                  <c:v>90475.679971457415</c:v>
                </c:pt>
                <c:pt idx="2">
                  <c:v>93048.938718952821</c:v>
                </c:pt>
                <c:pt idx="3">
                  <c:v>97846.613706804841</c:v>
                </c:pt>
                <c:pt idx="4">
                  <c:v>105067.15870969972</c:v>
                </c:pt>
                <c:pt idx="5">
                  <c:v>110353.49303965193</c:v>
                </c:pt>
                <c:pt idx="6">
                  <c:v>123628.0122425671</c:v>
                </c:pt>
                <c:pt idx="7">
                  <c:v>129593.20025983242</c:v>
                </c:pt>
                <c:pt idx="8">
                  <c:v>135808.83873919945</c:v>
                </c:pt>
                <c:pt idx="9">
                  <c:v>142284.07113167556</c:v>
                </c:pt>
                <c:pt idx="10">
                  <c:v>149028.82862423887</c:v>
                </c:pt>
                <c:pt idx="11">
                  <c:v>156053.51473596404</c:v>
                </c:pt>
                <c:pt idx="12">
                  <c:v>163368.68792912355</c:v>
                </c:pt>
                <c:pt idx="13">
                  <c:v>170985.41229274412</c:v>
                </c:pt>
                <c:pt idx="14">
                  <c:v>178915.81704468711</c:v>
                </c:pt>
                <c:pt idx="15">
                  <c:v>187170.9863049869</c:v>
                </c:pt>
                <c:pt idx="16">
                  <c:v>195764.42992999768</c:v>
                </c:pt>
                <c:pt idx="17">
                  <c:v>204708.06103274794</c:v>
                </c:pt>
                <c:pt idx="18">
                  <c:v>214015.2204442111</c:v>
                </c:pt>
                <c:pt idx="19">
                  <c:v>223700.64751416226</c:v>
                </c:pt>
                <c:pt idx="20">
                  <c:v>233777.4886345258</c:v>
                </c:pt>
                <c:pt idx="21">
                  <c:v>244261.75740066011</c:v>
                </c:pt>
                <c:pt idx="22">
                  <c:v>255168.30597817167</c:v>
                </c:pt>
                <c:pt idx="23">
                  <c:v>266512.95388374582</c:v>
                </c:pt>
                <c:pt idx="24">
                  <c:v>278312.09244357492</c:v>
                </c:pt>
                <c:pt idx="25">
                  <c:v>290583.014671201</c:v>
                </c:pt>
                <c:pt idx="26">
                  <c:v>303343.32908722403</c:v>
                </c:pt>
                <c:pt idx="27">
                  <c:v>316611.38132019946</c:v>
                </c:pt>
                <c:pt idx="28">
                  <c:v>330405.99652098806</c:v>
                </c:pt>
                <c:pt idx="29">
                  <c:v>344742.14148318389</c:v>
                </c:pt>
              </c:numCache>
            </c:numRef>
          </c:val>
          <c:extLst>
            <c:ext xmlns:c16="http://schemas.microsoft.com/office/drawing/2014/chart" uri="{C3380CC4-5D6E-409C-BE32-E72D297353CC}">
              <c16:uniqueId val="{00000000-2BE4-AB49-9DE3-A9BFCD8F767B}"/>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[0]!operatingcostsall</c:f>
              <c:numCache>
                <c:formatCode>_(* #,##0_);_(* \(#,##0\);_(* "-"??_);_(@_)</c:formatCode>
                <c:ptCount val="30"/>
                <c:pt idx="0">
                  <c:v>10645</c:v>
                </c:pt>
                <c:pt idx="1">
                  <c:v>11115.856264241107</c:v>
                </c:pt>
                <c:pt idx="2">
                  <c:v>11557.12652420071</c:v>
                </c:pt>
                <c:pt idx="3">
                  <c:v>12356.16587911611</c:v>
                </c:pt>
                <c:pt idx="4">
                  <c:v>13336.455592091721</c:v>
                </c:pt>
                <c:pt idx="5">
                  <c:v>13904.512208530425</c:v>
                </c:pt>
                <c:pt idx="6">
                  <c:v>14849.965879866864</c:v>
                </c:pt>
                <c:pt idx="7">
                  <c:v>15455.98148162026</c:v>
                </c:pt>
                <c:pt idx="8">
                  <c:v>16098.6458797293</c:v>
                </c:pt>
                <c:pt idx="9">
                  <c:v>16766.183527318179</c:v>
                </c:pt>
                <c:pt idx="10">
                  <c:v>17457.83000835247</c:v>
                </c:pt>
                <c:pt idx="11">
                  <c:v>18175.184015207877</c:v>
                </c:pt>
                <c:pt idx="12">
                  <c:v>18914.612906349019</c:v>
                </c:pt>
                <c:pt idx="13">
                  <c:v>19675.284158743299</c:v>
                </c:pt>
                <c:pt idx="14">
                  <c:v>20472.949076957102</c:v>
                </c:pt>
                <c:pt idx="15">
                  <c:v>21286.413298367064</c:v>
                </c:pt>
                <c:pt idx="16">
                  <c:v>22144.292498232586</c:v>
                </c:pt>
                <c:pt idx="17">
                  <c:v>23024.165897460003</c:v>
                </c:pt>
                <c:pt idx="18">
                  <c:v>23927.672050654335</c:v>
                </c:pt>
                <c:pt idx="19">
                  <c:v>24879.545837372425</c:v>
                </c:pt>
                <c:pt idx="20">
                  <c:v>25853.20740548972</c:v>
                </c:pt>
                <c:pt idx="21">
                  <c:v>26876.320088470042</c:v>
                </c:pt>
                <c:pt idx="22">
                  <c:v>27939.070606768579</c:v>
                </c:pt>
                <c:pt idx="23">
                  <c:v>29040.288918682287</c:v>
                </c:pt>
                <c:pt idx="24">
                  <c:v>30179.121439056671</c:v>
                </c:pt>
                <c:pt idx="25">
                  <c:v>31361.452292320064</c:v>
                </c:pt>
                <c:pt idx="26">
                  <c:v>32586.525449933451</c:v>
                </c:pt>
                <c:pt idx="27">
                  <c:v>33855.866091982476</c:v>
                </c:pt>
                <c:pt idx="28">
                  <c:v>35166.693173549414</c:v>
                </c:pt>
                <c:pt idx="29">
                  <c:v>36470.605826529587</c:v>
                </c:pt>
              </c:numCache>
            </c:numRef>
          </c:val>
          <c:extLst>
            <c:ext xmlns:c16="http://schemas.microsoft.com/office/drawing/2014/chart" uri="{C3380CC4-5D6E-409C-BE32-E72D297353CC}">
              <c16:uniqueId val="{00000001-2BE4-AB49-9DE3-A9BFCD8F767B}"/>
            </c:ext>
          </c:extLst>
        </c:ser>
        <c:dLbls>
          <c:showLegendKey val="0"/>
          <c:showVal val="0"/>
          <c:showCatName val="0"/>
          <c:showSerName val="0"/>
          <c:showPercent val="0"/>
          <c:showBubbleSize val="0"/>
        </c:dLbls>
        <c:gapWidth val="150"/>
        <c:axId val="205611392"/>
        <c:axId val="205612928"/>
      </c:barChart>
      <c:lineChart>
        <c:grouping val="standard"/>
        <c:varyColors val="0"/>
        <c:ser>
          <c:idx val="2"/>
          <c:order val="2"/>
          <c:tx>
            <c:strRef>
              <c:f>'Charts - Freight'!$B$140</c:f>
              <c:strCache>
                <c:ptCount val="1"/>
                <c:pt idx="0">
                  <c:v>Operating profit</c:v>
                </c:pt>
              </c:strCache>
            </c:strRef>
          </c:tx>
          <c:marker>
            <c:symbol val="none"/>
          </c:marker>
          <c:val>
            <c:numRef>
              <c:f>[0]!operatingprofitall</c:f>
              <c:numCache>
                <c:formatCode>0%</c:formatCode>
                <c:ptCount val="30"/>
                <c:pt idx="0">
                  <c:v>0.87765914654468979</c:v>
                </c:pt>
                <c:pt idx="1">
                  <c:v>0.87713984279811041</c:v>
                </c:pt>
                <c:pt idx="2">
                  <c:v>0.87579518172573556</c:v>
                </c:pt>
                <c:pt idx="3">
                  <c:v>0.87371902398031809</c:v>
                </c:pt>
                <c:pt idx="4">
                  <c:v>0.87306732421554956</c:v>
                </c:pt>
                <c:pt idx="5">
                  <c:v>0.87400025295498074</c:v>
                </c:pt>
                <c:pt idx="6">
                  <c:v>0.87988186810987334</c:v>
                </c:pt>
                <c:pt idx="7">
                  <c:v>0.88073462611748732</c:v>
                </c:pt>
                <c:pt idx="8">
                  <c:v>0.88146098568264508</c:v>
                </c:pt>
                <c:pt idx="9">
                  <c:v>0.88216401601411831</c:v>
                </c:pt>
                <c:pt idx="10">
                  <c:v>0.88285602074769964</c:v>
                </c:pt>
                <c:pt idx="11">
                  <c:v>0.88353236358719944</c:v>
                </c:pt>
                <c:pt idx="12">
                  <c:v>0.88422130858665526</c:v>
                </c:pt>
                <c:pt idx="13">
                  <c:v>0.88493004230643224</c:v>
                </c:pt>
                <c:pt idx="14">
                  <c:v>0.88557216787689796</c:v>
                </c:pt>
                <c:pt idx="15">
                  <c:v>0.88627290095227806</c:v>
                </c:pt>
                <c:pt idx="16">
                  <c:v>0.8868829618018399</c:v>
                </c:pt>
                <c:pt idx="17">
                  <c:v>0.88752682341230937</c:v>
                </c:pt>
                <c:pt idx="18">
                  <c:v>0.88819640023270341</c:v>
                </c:pt>
                <c:pt idx="19">
                  <c:v>0.88878196771514784</c:v>
                </c:pt>
                <c:pt idx="20">
                  <c:v>0.88941104827288509</c:v>
                </c:pt>
                <c:pt idx="21">
                  <c:v>0.88996918562087857</c:v>
                </c:pt>
                <c:pt idx="22">
                  <c:v>0.89050728498719345</c:v>
                </c:pt>
                <c:pt idx="23">
                  <c:v>0.89103610726797999</c:v>
                </c:pt>
                <c:pt idx="24">
                  <c:v>0.89156374351511447</c:v>
                </c:pt>
                <c:pt idx="25">
                  <c:v>0.89207403492662496</c:v>
                </c:pt>
                <c:pt idx="26">
                  <c:v>0.89257543408655804</c:v>
                </c:pt>
                <c:pt idx="27">
                  <c:v>0.89306806991330823</c:v>
                </c:pt>
                <c:pt idx="28">
                  <c:v>0.89356520903422654</c:v>
                </c:pt>
                <c:pt idx="29">
                  <c:v>0.8942090291902749</c:v>
                </c:pt>
              </c:numCache>
            </c:numRef>
          </c:val>
          <c:smooth val="0"/>
          <c:extLst>
            <c:ext xmlns:c16="http://schemas.microsoft.com/office/drawing/2014/chart" uri="{C3380CC4-5D6E-409C-BE32-E72D297353CC}">
              <c16:uniqueId val="{00000002-2BE4-AB49-9DE3-A9BFCD8F767B}"/>
            </c:ext>
          </c:extLst>
        </c:ser>
        <c:dLbls>
          <c:showLegendKey val="0"/>
          <c:showVal val="0"/>
          <c:showCatName val="0"/>
          <c:showSerName val="0"/>
          <c:showPercent val="0"/>
          <c:showBubbleSize val="0"/>
        </c:dLbls>
        <c:marker val="1"/>
        <c:smooth val="0"/>
        <c:axId val="205621120"/>
        <c:axId val="205619584"/>
      </c:lineChart>
      <c:catAx>
        <c:axId val="205611392"/>
        <c:scaling>
          <c:orientation val="minMax"/>
        </c:scaling>
        <c:delete val="0"/>
        <c:axPos val="b"/>
        <c:numFmt formatCode="0" sourceLinked="1"/>
        <c:majorTickMark val="out"/>
        <c:minorTickMark val="none"/>
        <c:tickLblPos val="nextTo"/>
        <c:crossAx val="205612928"/>
        <c:crosses val="autoZero"/>
        <c:auto val="1"/>
        <c:lblAlgn val="ctr"/>
        <c:lblOffset val="100"/>
        <c:noMultiLvlLbl val="0"/>
      </c:catAx>
      <c:valAx>
        <c:axId val="205612928"/>
        <c:scaling>
          <c:orientation val="minMax"/>
        </c:scaling>
        <c:delete val="0"/>
        <c:axPos val="l"/>
        <c:title>
          <c:tx>
            <c:strRef>
              <c:f>'Charts - Consolidated'!$E$134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5611392"/>
        <c:crosses val="autoZero"/>
        <c:crossBetween val="between"/>
        <c:dispUnits>
          <c:builtInUnit val="thousands"/>
        </c:dispUnits>
      </c:valAx>
      <c:valAx>
        <c:axId val="205619584"/>
        <c:scaling>
          <c:orientation val="minMax"/>
        </c:scaling>
        <c:delete val="0"/>
        <c:axPos val="r"/>
        <c:numFmt formatCode="0%" sourceLinked="1"/>
        <c:majorTickMark val="out"/>
        <c:minorTickMark val="none"/>
        <c:tickLblPos val="nextTo"/>
        <c:crossAx val="205621120"/>
        <c:crosses val="max"/>
        <c:crossBetween val="between"/>
      </c:valAx>
      <c:catAx>
        <c:axId val="205621120"/>
        <c:scaling>
          <c:orientation val="minMax"/>
        </c:scaling>
        <c:delete val="1"/>
        <c:axPos val="b"/>
        <c:majorTickMark val="out"/>
        <c:minorTickMark val="none"/>
        <c:tickLblPos val="none"/>
        <c:crossAx val="205619584"/>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[0]!operatingcashflowall</c:f>
              <c:numCache>
                <c:formatCode>_(* #,##0_);_(* \(#,##0\);_(* "-"??_);_(@_)</c:formatCode>
                <c:ptCount val="30"/>
                <c:pt idx="0">
                  <c:v>0</c:v>
                </c:pt>
                <c:pt idx="1">
                  <c:v>50690.792519097551</c:v>
                </c:pt>
                <c:pt idx="2">
                  <c:v>52724.69910649403</c:v>
                </c:pt>
                <c:pt idx="3">
                  <c:v>55555.087292603705</c:v>
                </c:pt>
                <c:pt idx="4">
                  <c:v>59925.604475971457</c:v>
                </c:pt>
                <c:pt idx="5">
                  <c:v>64163.626703987196</c:v>
                </c:pt>
                <c:pt idx="6">
                  <c:v>72149.97263055107</c:v>
                </c:pt>
                <c:pt idx="7">
                  <c:v>77495.629768915795</c:v>
                </c:pt>
                <c:pt idx="8">
                  <c:v>82223.493875014101</c:v>
                </c:pt>
                <c:pt idx="9">
                  <c:v>87164.973491895071</c:v>
                </c:pt>
                <c:pt idx="10">
                  <c:v>91222.768841377983</c:v>
                </c:pt>
                <c:pt idx="11">
                  <c:v>96261.173051379898</c:v>
                </c:pt>
                <c:pt idx="12">
                  <c:v>101596.8188694383</c:v>
                </c:pt>
                <c:pt idx="13">
                  <c:v>107167.51642838139</c:v>
                </c:pt>
                <c:pt idx="14">
                  <c:v>112987.49117860262</c:v>
                </c:pt>
                <c:pt idx="15">
                  <c:v>119058.94847536211</c:v>
                </c:pt>
                <c:pt idx="16">
                  <c:v>125394.26549745037</c:v>
                </c:pt>
                <c:pt idx="17">
                  <c:v>131994.57828943952</c:v>
                </c:pt>
                <c:pt idx="18">
                  <c:v>138894.53135041392</c:v>
                </c:pt>
                <c:pt idx="19">
                  <c:v>146097.43811296648</c:v>
                </c:pt>
                <c:pt idx="20">
                  <c:v>153605.48887873936</c:v>
                </c:pt>
                <c:pt idx="21">
                  <c:v>161439.28338368493</c:v>
                </c:pt>
                <c:pt idx="22">
                  <c:v>169607.40726804076</c:v>
                </c:pt>
                <c:pt idx="23">
                  <c:v>178121.83813264631</c:v>
                </c:pt>
                <c:pt idx="24">
                  <c:v>186994.98892456814</c:v>
                </c:pt>
                <c:pt idx="25">
                  <c:v>196241.9497469081</c:v>
                </c:pt>
                <c:pt idx="26">
                  <c:v>205875.64425810269</c:v>
                </c:pt>
                <c:pt idx="27">
                  <c:v>215910.12989520255</c:v>
                </c:pt>
                <c:pt idx="28">
                  <c:v>226361.40002495603</c:v>
                </c:pt>
                <c:pt idx="29">
                  <c:v>237227.77046402689</c:v>
                </c:pt>
              </c:numCache>
            </c:numRef>
          </c:val>
          <c:extLst>
            <c:ext xmlns:c16="http://schemas.microsoft.com/office/drawing/2014/chart" uri="{C3380CC4-5D6E-409C-BE32-E72D297353CC}">
              <c16:uniqueId val="{00000000-416F-E14B-A6B0-E6EAD97D5F95}"/>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[0]!investingcashflowall</c:f>
              <c:numCache>
                <c:formatCode>_(* #,##0_);_(* \(#,##0\);_(* "-"??_);_(@_)</c:formatCode>
                <c:ptCount val="30"/>
                <c:pt idx="0">
                  <c:v>0</c:v>
                </c:pt>
                <c:pt idx="1">
                  <c:v>-460</c:v>
                </c:pt>
                <c:pt idx="2">
                  <c:v>-770</c:v>
                </c:pt>
                <c:pt idx="3">
                  <c:v>-770</c:v>
                </c:pt>
                <c:pt idx="4">
                  <c:v>-775</c:v>
                </c:pt>
                <c:pt idx="5">
                  <c:v>-775</c:v>
                </c:pt>
                <c:pt idx="6">
                  <c:v>-775</c:v>
                </c:pt>
                <c:pt idx="7">
                  <c:v>-775</c:v>
                </c:pt>
                <c:pt idx="8">
                  <c:v>-775</c:v>
                </c:pt>
                <c:pt idx="9">
                  <c:v>-780</c:v>
                </c:pt>
                <c:pt idx="10">
                  <c:v>-780</c:v>
                </c:pt>
                <c:pt idx="11">
                  <c:v>-785</c:v>
                </c:pt>
                <c:pt idx="12">
                  <c:v>-785</c:v>
                </c:pt>
                <c:pt idx="13">
                  <c:v>-785</c:v>
                </c:pt>
                <c:pt idx="14">
                  <c:v>-785</c:v>
                </c:pt>
                <c:pt idx="15">
                  <c:v>-785</c:v>
                </c:pt>
                <c:pt idx="16">
                  <c:v>-785</c:v>
                </c:pt>
                <c:pt idx="17">
                  <c:v>-785</c:v>
                </c:pt>
                <c:pt idx="18">
                  <c:v>-785</c:v>
                </c:pt>
                <c:pt idx="19">
                  <c:v>-785</c:v>
                </c:pt>
                <c:pt idx="20">
                  <c:v>-785</c:v>
                </c:pt>
                <c:pt idx="21">
                  <c:v>-790</c:v>
                </c:pt>
                <c:pt idx="22">
                  <c:v>-790</c:v>
                </c:pt>
                <c:pt idx="23">
                  <c:v>-790</c:v>
                </c:pt>
                <c:pt idx="24">
                  <c:v>-790</c:v>
                </c:pt>
                <c:pt idx="25">
                  <c:v>-790</c:v>
                </c:pt>
                <c:pt idx="26">
                  <c:v>-790</c:v>
                </c:pt>
                <c:pt idx="27">
                  <c:v>-790</c:v>
                </c:pt>
                <c:pt idx="28">
                  <c:v>-790</c:v>
                </c:pt>
                <c:pt idx="29">
                  <c:v>-790</c:v>
                </c:pt>
              </c:numCache>
            </c:numRef>
          </c:val>
          <c:extLst>
            <c:ext xmlns:c16="http://schemas.microsoft.com/office/drawing/2014/chart" uri="{C3380CC4-5D6E-409C-BE32-E72D297353CC}">
              <c16:uniqueId val="{00000001-416F-E14B-A6B0-E6EAD97D5F95}"/>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[0]!loansall</c:f>
              <c:numCache>
                <c:formatCode>_(* #,##0_);_(* \(#,##0\);_(* "-"??_);_(@_)</c:formatCode>
                <c:ptCount val="30"/>
                <c:pt idx="0">
                  <c:v>0</c:v>
                </c:pt>
                <c:pt idx="1">
                  <c:v>-47.5</c:v>
                </c:pt>
                <c:pt idx="2">
                  <c:v>67.5</c:v>
                </c:pt>
                <c:pt idx="3">
                  <c:v>97.5</c:v>
                </c:pt>
                <c:pt idx="4">
                  <c:v>97.5</c:v>
                </c:pt>
                <c:pt idx="5">
                  <c:v>97.5</c:v>
                </c:pt>
                <c:pt idx="6">
                  <c:v>97.5</c:v>
                </c:pt>
                <c:pt idx="7">
                  <c:v>-84.939506666915292</c:v>
                </c:pt>
                <c:pt idx="8">
                  <c:v>-85.307442498607458</c:v>
                </c:pt>
                <c:pt idx="9">
                  <c:v>-85.738398074929933</c:v>
                </c:pt>
                <c:pt idx="10">
                  <c:v>-64.094414864335292</c:v>
                </c:pt>
                <c:pt idx="11">
                  <c:v>-9.6624153580774621</c:v>
                </c:pt>
                <c:pt idx="12">
                  <c:v>-10.24214612536878</c:v>
                </c:pt>
                <c:pt idx="13">
                  <c:v>-10.857626130981783</c:v>
                </c:pt>
                <c:pt idx="14">
                  <c:v>-11.511116225829554</c:v>
                </c:pt>
                <c:pt idx="15">
                  <c:v>-12.205023440600621</c:v>
                </c:pt>
                <c:pt idx="16">
                  <c:v>-687.94191061435379</c:v>
                </c:pt>
                <c:pt idx="17">
                  <c:v>0</c:v>
                </c:pt>
                <c:pt idx="18">
                  <c:v>0</c:v>
                </c:pt>
                <c:pt idx="19">
                  <c:v>0</c:v>
                </c:pt>
                <c:pt idx="20">
                  <c:v>0</c:v>
                </c:pt>
                <c:pt idx="21">
                  <c:v>0</c:v>
                </c:pt>
                <c:pt idx="22">
                  <c:v>0</c:v>
                </c:pt>
                <c:pt idx="23">
                  <c:v>0</c:v>
                </c:pt>
                <c:pt idx="24">
                  <c:v>0</c:v>
                </c:pt>
                <c:pt idx="25">
                  <c:v>0</c:v>
                </c:pt>
                <c:pt idx="26">
                  <c:v>-50</c:v>
                </c:pt>
                <c:pt idx="27">
                  <c:v>0</c:v>
                </c:pt>
                <c:pt idx="28">
                  <c:v>0</c:v>
                </c:pt>
                <c:pt idx="29">
                  <c:v>0</c:v>
                </c:pt>
              </c:numCache>
            </c:numRef>
          </c:val>
          <c:extLst>
            <c:ext xmlns:c16="http://schemas.microsoft.com/office/drawing/2014/chart" uri="{C3380CC4-5D6E-409C-BE32-E72D297353CC}">
              <c16:uniqueId val="{00000002-416F-E14B-A6B0-E6EAD97D5F95}"/>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[0]!equityall</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416F-E14B-A6B0-E6EAD97D5F95}"/>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[0]!netinterestall</c:f>
              <c:numCache>
                <c:formatCode>_(* #,##0_);_(* \(#,##0\);_(* "-"??_);_(@_)</c:formatCode>
                <c:ptCount val="30"/>
                <c:pt idx="0">
                  <c:v>0</c:v>
                </c:pt>
                <c:pt idx="1">
                  <c:v>-34.074249999999992</c:v>
                </c:pt>
                <c:pt idx="2">
                  <c:v>-38.919499999999857</c:v>
                </c:pt>
                <c:pt idx="3">
                  <c:v>-42.692250000000058</c:v>
                </c:pt>
                <c:pt idx="4">
                  <c:v>-49.486624999999549</c:v>
                </c:pt>
                <c:pt idx="5">
                  <c:v>-56.132500000000618</c:v>
                </c:pt>
                <c:pt idx="6">
                  <c:v>-62.637749999999869</c:v>
                </c:pt>
                <c:pt idx="7">
                  <c:v>-63.971624999999221</c:v>
                </c:pt>
                <c:pt idx="8">
                  <c:v>-59.866439168310535</c:v>
                </c:pt>
                <c:pt idx="9">
                  <c:v>-55.462483591983982</c:v>
                </c:pt>
                <c:pt idx="10">
                  <c:v>-48.585341802581752</c:v>
                </c:pt>
                <c:pt idx="11">
                  <c:v>-46.312091308835079</c:v>
                </c:pt>
                <c:pt idx="12">
                  <c:v>-45.732360541545859</c:v>
                </c:pt>
                <c:pt idx="13">
                  <c:v>-45.116880535928431</c:v>
                </c:pt>
                <c:pt idx="14">
                  <c:v>-44.463390441083902</c:v>
                </c:pt>
                <c:pt idx="15">
                  <c:v>-43.76948322631506</c:v>
                </c:pt>
                <c:pt idx="16">
                  <c:v>-23.657596052558802</c:v>
                </c:pt>
                <c:pt idx="17">
                  <c:v>-3.5000000000109139</c:v>
                </c:pt>
                <c:pt idx="18">
                  <c:v>-3.500000000003638</c:v>
                </c:pt>
                <c:pt idx="19">
                  <c:v>-3.499999999992724</c:v>
                </c:pt>
                <c:pt idx="20">
                  <c:v>-3.4999999999890861</c:v>
                </c:pt>
                <c:pt idx="21">
                  <c:v>-3.5</c:v>
                </c:pt>
                <c:pt idx="22">
                  <c:v>-3.500000000007276</c:v>
                </c:pt>
                <c:pt idx="23">
                  <c:v>-3.4999999999854481</c:v>
                </c:pt>
                <c:pt idx="24">
                  <c:v>-3.500000000007276</c:v>
                </c:pt>
                <c:pt idx="25">
                  <c:v>-3.4999999999854481</c:v>
                </c:pt>
                <c:pt idx="26">
                  <c:v>-2.2499999999854481</c:v>
                </c:pt>
                <c:pt idx="27">
                  <c:v>-1</c:v>
                </c:pt>
                <c:pt idx="28">
                  <c:v>-1.000000000007276</c:v>
                </c:pt>
                <c:pt idx="29">
                  <c:v>-1.000000000007276</c:v>
                </c:pt>
              </c:numCache>
            </c:numRef>
          </c:val>
          <c:extLst>
            <c:ext xmlns:c16="http://schemas.microsoft.com/office/drawing/2014/chart" uri="{C3380CC4-5D6E-409C-BE32-E72D297353CC}">
              <c16:uniqueId val="{00000004-416F-E14B-A6B0-E6EAD97D5F95}"/>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[0]!dividendsall</c:f>
              <c:numCache>
                <c:formatCode>_(* #,##0_);_(* \(#,##0\);_(* "-"??_);_(@_)</c:formatCode>
                <c:ptCount val="30"/>
                <c:pt idx="0">
                  <c:v>0</c:v>
                </c:pt>
                <c:pt idx="1">
                  <c:v>-35111.332491345485</c:v>
                </c:pt>
                <c:pt idx="2">
                  <c:v>-36373.575895897797</c:v>
                </c:pt>
                <c:pt idx="3">
                  <c:v>-38410.307538107183</c:v>
                </c:pt>
                <c:pt idx="4">
                  <c:v>-41440.206875796313</c:v>
                </c:pt>
                <c:pt idx="5">
                  <c:v>-44358.624339988368</c:v>
                </c:pt>
                <c:pt idx="6">
                  <c:v>-50086.956185961229</c:v>
                </c:pt>
                <c:pt idx="7">
                  <c:v>-53743.342858310134</c:v>
                </c:pt>
                <c:pt idx="8">
                  <c:v>-57103.623383135331</c:v>
                </c:pt>
                <c:pt idx="9">
                  <c:v>-60619.997197637553</c:v>
                </c:pt>
                <c:pt idx="10">
                  <c:v>-63414.882193721845</c:v>
                </c:pt>
                <c:pt idx="11">
                  <c:v>-66996.838806571293</c:v>
                </c:pt>
                <c:pt idx="12">
                  <c:v>-70769.865697055488</c:v>
                </c:pt>
                <c:pt idx="13">
                  <c:v>-74714.3929470398</c:v>
                </c:pt>
                <c:pt idx="14">
                  <c:v>-78840.515344163679</c:v>
                </c:pt>
                <c:pt idx="15">
                  <c:v>-83151.183172028323</c:v>
                </c:pt>
                <c:pt idx="16">
                  <c:v>-87206.006007881486</c:v>
                </c:pt>
                <c:pt idx="17">
                  <c:v>-92387.772174757163</c:v>
                </c:pt>
                <c:pt idx="18">
                  <c:v>-97306.49180990427</c:v>
                </c:pt>
                <c:pt idx="19">
                  <c:v>-102448.77479444376</c:v>
                </c:pt>
                <c:pt idx="20">
                  <c:v>-107817.97320115482</c:v>
                </c:pt>
                <c:pt idx="21">
                  <c:v>-113424.39512110522</c:v>
                </c:pt>
                <c:pt idx="22">
                  <c:v>-119281.54195346916</c:v>
                </c:pt>
                <c:pt idx="23">
                  <c:v>-125396.39799338669</c:v>
                </c:pt>
                <c:pt idx="24">
                  <c:v>-131779.04065523282</c:v>
                </c:pt>
                <c:pt idx="25">
                  <c:v>-138440.89451048782</c:v>
                </c:pt>
                <c:pt idx="26">
                  <c:v>-145368.28740758781</c:v>
                </c:pt>
                <c:pt idx="27">
                  <c:v>-152646.89529751957</c:v>
                </c:pt>
                <c:pt idx="28">
                  <c:v>-160213.51308990608</c:v>
                </c:pt>
                <c:pt idx="29">
                  <c:v>-168096.05694573803</c:v>
                </c:pt>
              </c:numCache>
            </c:numRef>
          </c:val>
          <c:extLst>
            <c:ext xmlns:c16="http://schemas.microsoft.com/office/drawing/2014/chart" uri="{C3380CC4-5D6E-409C-BE32-E72D297353CC}">
              <c16:uniqueId val="{00000005-416F-E14B-A6B0-E6EAD97D5F95}"/>
            </c:ext>
          </c:extLst>
        </c:ser>
        <c:dLbls>
          <c:showLegendKey val="0"/>
          <c:showVal val="0"/>
          <c:showCatName val="0"/>
          <c:showSerName val="0"/>
          <c:showPercent val="0"/>
          <c:showBubbleSize val="0"/>
        </c:dLbls>
        <c:gapWidth val="150"/>
        <c:overlap val="100"/>
        <c:axId val="205739520"/>
        <c:axId val="205741056"/>
      </c:barChart>
      <c:catAx>
        <c:axId val="205739520"/>
        <c:scaling>
          <c:orientation val="minMax"/>
        </c:scaling>
        <c:delete val="0"/>
        <c:axPos val="b"/>
        <c:numFmt formatCode="0" sourceLinked="1"/>
        <c:majorTickMark val="out"/>
        <c:minorTickMark val="none"/>
        <c:tickLblPos val="nextTo"/>
        <c:crossAx val="205741056"/>
        <c:crosses val="autoZero"/>
        <c:auto val="1"/>
        <c:lblAlgn val="ctr"/>
        <c:lblOffset val="100"/>
        <c:noMultiLvlLbl val="0"/>
      </c:catAx>
      <c:valAx>
        <c:axId val="205741056"/>
        <c:scaling>
          <c:orientation val="minMax"/>
        </c:scaling>
        <c:delete val="0"/>
        <c:axPos val="l"/>
        <c:numFmt formatCode="_(* #,##0_);_(* \(#,##0\);_(* &quot;-&quot;??_);_(@_)" sourceLinked="1"/>
        <c:majorTickMark val="out"/>
        <c:minorTickMark val="none"/>
        <c:tickLblPos val="nextTo"/>
        <c:crossAx val="205739520"/>
        <c:crosses val="autoZero"/>
        <c:crossBetween val="between"/>
        <c:dispUnits>
          <c:builtInUnit val="thousands"/>
          <c:dispUnitsLbl>
            <c:layout>
              <c:manualLayout>
                <c:xMode val="edge"/>
                <c:yMode val="edge"/>
                <c:x val="1.5048908954100828E-2"/>
                <c:y val="0.41308122035205552"/>
              </c:manualLayout>
            </c:layout>
            <c:tx>
              <c:strRef>
                <c:f>'Charts - Consolidated'!$E$134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a:t>
            </a:r>
          </a:p>
        </c:rich>
      </c:tx>
      <c:overlay val="0"/>
    </c:title>
    <c:autoTitleDeleted val="0"/>
    <c:plotArea>
      <c:layout/>
      <c:barChart>
        <c:barDir val="col"/>
        <c:grouping val="stacked"/>
        <c:varyColors val="0"/>
        <c:ser>
          <c:idx val="0"/>
          <c:order val="0"/>
          <c:tx>
            <c:strRef>
              <c:f>'Charts - Infrastructure'!$B$145</c:f>
              <c:strCache>
                <c:ptCount val="1"/>
                <c:pt idx="0">
                  <c:v>Total freight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[0]!tufreight</c:f>
              <c:numCache>
                <c:formatCode>_(* #,##0_);_(* \(#,##0\);_(* "-"??_);_(@_)</c:formatCode>
                <c:ptCount val="30"/>
                <c:pt idx="0">
                  <c:v>65000</c:v>
                </c:pt>
                <c:pt idx="1">
                  <c:v>64000</c:v>
                </c:pt>
                <c:pt idx="2">
                  <c:v>64000</c:v>
                </c:pt>
                <c:pt idx="3">
                  <c:v>64000</c:v>
                </c:pt>
                <c:pt idx="4">
                  <c:v>64000</c:v>
                </c:pt>
                <c:pt idx="5">
                  <c:v>64000</c:v>
                </c:pt>
                <c:pt idx="6">
                  <c:v>72000</c:v>
                </c:pt>
                <c:pt idx="7">
                  <c:v>72000</c:v>
                </c:pt>
                <c:pt idx="8">
                  <c:v>72000</c:v>
                </c:pt>
                <c:pt idx="9">
                  <c:v>72000</c:v>
                </c:pt>
                <c:pt idx="10">
                  <c:v>72000</c:v>
                </c:pt>
                <c:pt idx="11">
                  <c:v>72000</c:v>
                </c:pt>
                <c:pt idx="12">
                  <c:v>72000</c:v>
                </c:pt>
                <c:pt idx="13">
                  <c:v>72000</c:v>
                </c:pt>
                <c:pt idx="14">
                  <c:v>72000</c:v>
                </c:pt>
                <c:pt idx="15">
                  <c:v>72000</c:v>
                </c:pt>
                <c:pt idx="16">
                  <c:v>72000</c:v>
                </c:pt>
                <c:pt idx="17">
                  <c:v>72000</c:v>
                </c:pt>
                <c:pt idx="18">
                  <c:v>72000</c:v>
                </c:pt>
                <c:pt idx="19">
                  <c:v>72000</c:v>
                </c:pt>
                <c:pt idx="20">
                  <c:v>72000</c:v>
                </c:pt>
                <c:pt idx="21">
                  <c:v>72000</c:v>
                </c:pt>
                <c:pt idx="22">
                  <c:v>72000</c:v>
                </c:pt>
                <c:pt idx="23">
                  <c:v>72000</c:v>
                </c:pt>
                <c:pt idx="24">
                  <c:v>72000</c:v>
                </c:pt>
                <c:pt idx="25">
                  <c:v>72000</c:v>
                </c:pt>
                <c:pt idx="26">
                  <c:v>72000</c:v>
                </c:pt>
                <c:pt idx="27">
                  <c:v>72000</c:v>
                </c:pt>
                <c:pt idx="28">
                  <c:v>72000</c:v>
                </c:pt>
                <c:pt idx="29">
                  <c:v>72000</c:v>
                </c:pt>
              </c:numCache>
            </c:numRef>
          </c:val>
          <c:extLst>
            <c:ext xmlns:c16="http://schemas.microsoft.com/office/drawing/2014/chart" uri="{C3380CC4-5D6E-409C-BE32-E72D297353CC}">
              <c16:uniqueId val="{00000000-AC4F-5A4D-B714-D6888C785142}"/>
            </c:ext>
          </c:extLst>
        </c:ser>
        <c:ser>
          <c:idx val="1"/>
          <c:order val="1"/>
          <c:tx>
            <c:strRef>
              <c:f>'Charts - Infrastructure'!$B$146</c:f>
              <c:strCache>
                <c:ptCount val="1"/>
                <c:pt idx="0">
                  <c:v>Total passenger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[0]!tupax</c:f>
              <c:numCache>
                <c:formatCode>_(* #,##0_);_(* \(#,##0\);_(* "-"??_);_(@_)</c:formatCode>
                <c:ptCount val="30"/>
                <c:pt idx="0">
                  <c:v>48000</c:v>
                </c:pt>
                <c:pt idx="1">
                  <c:v>51000</c:v>
                </c:pt>
                <c:pt idx="2">
                  <c:v>51000</c:v>
                </c:pt>
                <c:pt idx="3">
                  <c:v>54000</c:v>
                </c:pt>
                <c:pt idx="4">
                  <c:v>60000</c:v>
                </c:pt>
                <c:pt idx="5">
                  <c:v>63000</c:v>
                </c:pt>
                <c:pt idx="6">
                  <c:v>66000</c:v>
                </c:pt>
                <c:pt idx="7">
                  <c:v>69000</c:v>
                </c:pt>
                <c:pt idx="8">
                  <c:v>72000</c:v>
                </c:pt>
                <c:pt idx="9">
                  <c:v>75000</c:v>
                </c:pt>
                <c:pt idx="10">
                  <c:v>78000</c:v>
                </c:pt>
                <c:pt idx="11">
                  <c:v>81000</c:v>
                </c:pt>
                <c:pt idx="12">
                  <c:v>84000</c:v>
                </c:pt>
                <c:pt idx="13">
                  <c:v>87000</c:v>
                </c:pt>
                <c:pt idx="14">
                  <c:v>90000</c:v>
                </c:pt>
                <c:pt idx="15">
                  <c:v>93000</c:v>
                </c:pt>
                <c:pt idx="16">
                  <c:v>96000</c:v>
                </c:pt>
                <c:pt idx="17">
                  <c:v>99000</c:v>
                </c:pt>
                <c:pt idx="18">
                  <c:v>102000</c:v>
                </c:pt>
                <c:pt idx="19">
                  <c:v>105000</c:v>
                </c:pt>
                <c:pt idx="20">
                  <c:v>108000</c:v>
                </c:pt>
                <c:pt idx="21">
                  <c:v>111000</c:v>
                </c:pt>
                <c:pt idx="22">
                  <c:v>114000</c:v>
                </c:pt>
                <c:pt idx="23">
                  <c:v>117000</c:v>
                </c:pt>
                <c:pt idx="24">
                  <c:v>120000</c:v>
                </c:pt>
                <c:pt idx="25">
                  <c:v>123000</c:v>
                </c:pt>
                <c:pt idx="26">
                  <c:v>126000</c:v>
                </c:pt>
                <c:pt idx="27">
                  <c:v>129000</c:v>
                </c:pt>
                <c:pt idx="28">
                  <c:v>132000</c:v>
                </c:pt>
                <c:pt idx="29">
                  <c:v>135000</c:v>
                </c:pt>
              </c:numCache>
            </c:numRef>
          </c:val>
          <c:extLst>
            <c:ext xmlns:c16="http://schemas.microsoft.com/office/drawing/2014/chart" uri="{C3380CC4-5D6E-409C-BE32-E72D297353CC}">
              <c16:uniqueId val="{00000001-AC4F-5A4D-B714-D6888C785142}"/>
            </c:ext>
          </c:extLst>
        </c:ser>
        <c:dLbls>
          <c:showLegendKey val="0"/>
          <c:showVal val="0"/>
          <c:showCatName val="0"/>
          <c:showSerName val="0"/>
          <c:showPercent val="0"/>
          <c:showBubbleSize val="0"/>
        </c:dLbls>
        <c:gapWidth val="150"/>
        <c:overlap val="100"/>
        <c:axId val="205774848"/>
        <c:axId val="205776384"/>
      </c:barChart>
      <c:catAx>
        <c:axId val="205774848"/>
        <c:scaling>
          <c:orientation val="minMax"/>
        </c:scaling>
        <c:delete val="0"/>
        <c:axPos val="b"/>
        <c:numFmt formatCode="0" sourceLinked="1"/>
        <c:majorTickMark val="out"/>
        <c:minorTickMark val="none"/>
        <c:tickLblPos val="nextTo"/>
        <c:crossAx val="205776384"/>
        <c:crosses val="autoZero"/>
        <c:auto val="1"/>
        <c:lblAlgn val="ctr"/>
        <c:lblOffset val="100"/>
        <c:noMultiLvlLbl val="0"/>
      </c:catAx>
      <c:valAx>
        <c:axId val="205776384"/>
        <c:scaling>
          <c:orientation val="minMax"/>
        </c:scaling>
        <c:delete val="0"/>
        <c:axPos val="l"/>
        <c:numFmt formatCode="_(* #,##0_);_(* \(#,##0\);_(* &quot;-&quot;??_);_(@_)" sourceLinked="1"/>
        <c:majorTickMark val="out"/>
        <c:minorTickMark val="none"/>
        <c:tickLblPos val="nextTo"/>
        <c:crossAx val="205774848"/>
        <c:crosses val="autoZero"/>
        <c:crossBetween val="between"/>
        <c:dispUnits>
          <c:builtInUnit val="thousands"/>
          <c:dispUnitsLbl>
            <c:layout>
              <c:manualLayout>
                <c:xMode val="edge"/>
                <c:yMode val="edge"/>
                <c:x val="3.1215161649944412E-2"/>
                <c:y val="0.26436351706036748"/>
              </c:manualLayout>
            </c:layout>
            <c:tx>
              <c:strRef>
                <c:f>'Charts - Consolidated'!$F$149</c:f>
                <c:strCache>
                  <c:ptCount val="1"/>
                  <c:pt idx="0">
                    <c:v>Traffic units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5"/>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Freight traffic</a:t>
            </a:r>
          </a:p>
        </c:rich>
      </c:tx>
      <c:overlay val="0"/>
    </c:title>
    <c:autoTitleDeleted val="0"/>
    <c:plotArea>
      <c:layout/>
      <c:barChart>
        <c:barDir val="col"/>
        <c:grouping val="stacked"/>
        <c:varyColors val="0"/>
        <c:ser>
          <c:idx val="0"/>
          <c:order val="0"/>
          <c:tx>
            <c:strRef>
              <c:f>'Charts - Freight'!$B$144:$D$144</c:f>
              <c:strCache>
                <c:ptCount val="3"/>
                <c:pt idx="0">
                  <c:v>Commodity 1</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[0]!Freighttraffic1</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0-6A98-2B4E-9D06-BDB5A3703E41}"/>
            </c:ext>
          </c:extLst>
        </c:ser>
        <c:ser>
          <c:idx val="1"/>
          <c:order val="1"/>
          <c:tx>
            <c:strRef>
              <c:f>'Charts - Freight'!$B$145:$D$145</c:f>
              <c:strCache>
                <c:ptCount val="3"/>
                <c:pt idx="0">
                  <c:v>Commodity 2</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[0]!Freighttraffic2</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1-6A98-2B4E-9D06-BDB5A3703E41}"/>
            </c:ext>
          </c:extLst>
        </c:ser>
        <c:ser>
          <c:idx val="2"/>
          <c:order val="2"/>
          <c:tx>
            <c:strRef>
              <c:f>'Charts - Freight'!$B$146:$D$146</c:f>
              <c:strCache>
                <c:ptCount val="3"/>
                <c:pt idx="0">
                  <c:v>Commodity 3</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[0]!Freighttraffic3</c:f>
              <c:numCache>
                <c:formatCode>_(* #,##0_);_(* \(#,##0\);_(* "-"??_);_(@_)</c:formatCode>
                <c:ptCount val="30"/>
                <c:pt idx="0">
                  <c:v>6097.5609756097556</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2-6A98-2B4E-9D06-BDB5A3703E41}"/>
            </c:ext>
          </c:extLst>
        </c:ser>
        <c:ser>
          <c:idx val="3"/>
          <c:order val="3"/>
          <c:tx>
            <c:strRef>
              <c:f>'Charts - Freight'!$B$147</c:f>
              <c:strCache>
                <c:ptCount val="1"/>
                <c:pt idx="0">
                  <c:v>Commodity 4</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[0]!Freighttraffic4</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3-6A98-2B4E-9D06-BDB5A3703E41}"/>
            </c:ext>
          </c:extLst>
        </c:ser>
        <c:ser>
          <c:idx val="4"/>
          <c:order val="4"/>
          <c:tx>
            <c:strRef>
              <c:f>'Charts - Freight'!$B$148</c:f>
              <c:strCache>
                <c:ptCount val="1"/>
                <c:pt idx="0">
                  <c:v>Commodity 5</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[0]!Freighttraffic5</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4-6A98-2B4E-9D06-BDB5A3703E41}"/>
            </c:ext>
          </c:extLst>
        </c:ser>
        <c:ser>
          <c:idx val="5"/>
          <c:order val="5"/>
          <c:tx>
            <c:strRef>
              <c:f>'Charts - Freight'!$B$149</c:f>
              <c:strCache>
                <c:ptCount val="1"/>
                <c:pt idx="0">
                  <c:v>Commodity 6</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[0]!Freighttraffic6</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5-6A98-2B4E-9D06-BDB5A3703E41}"/>
            </c:ext>
          </c:extLst>
        </c:ser>
        <c:ser>
          <c:idx val="6"/>
          <c:order val="6"/>
          <c:tx>
            <c:strRef>
              <c:f>'Charts - Freight'!$B$150</c:f>
              <c:strCache>
                <c:ptCount val="1"/>
                <c:pt idx="0">
                  <c:v>Commodity 7</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[0]!Freighttraffic7</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6-6A98-2B4E-9D06-BDB5A3703E41}"/>
            </c:ext>
          </c:extLst>
        </c:ser>
        <c:ser>
          <c:idx val="7"/>
          <c:order val="7"/>
          <c:tx>
            <c:strRef>
              <c:f>'Charts - Freight'!$B$151</c:f>
              <c:strCache>
                <c:ptCount val="1"/>
                <c:pt idx="0">
                  <c:v>Commodity 8</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[0]!Freighttraffic8</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7-6A98-2B4E-9D06-BDB5A3703E41}"/>
            </c:ext>
          </c:extLst>
        </c:ser>
        <c:ser>
          <c:idx val="8"/>
          <c:order val="8"/>
          <c:tx>
            <c:strRef>
              <c:f>'Charts - Freight'!$B$152</c:f>
              <c:strCache>
                <c:ptCount val="1"/>
                <c:pt idx="0">
                  <c:v>Commodity 9</c:v>
                </c:pt>
              </c:strCache>
            </c:strRef>
          </c:tx>
          <c:invertIfNegative val="0"/>
          <c:val>
            <c:numRef>
              <c:f>[0]!Freighttraffic9</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8-6A98-2B4E-9D06-BDB5A3703E41}"/>
            </c:ext>
          </c:extLst>
        </c:ser>
        <c:ser>
          <c:idx val="9"/>
          <c:order val="9"/>
          <c:tx>
            <c:strRef>
              <c:f>'Charts - Freight'!$B$153</c:f>
              <c:strCache>
                <c:ptCount val="1"/>
                <c:pt idx="0">
                  <c:v>Commodity 10</c:v>
                </c:pt>
              </c:strCache>
            </c:strRef>
          </c:tx>
          <c:invertIfNegative val="0"/>
          <c:val>
            <c:numRef>
              <c:f>[0]!Freighttraffic10</c:f>
              <c:numCache>
                <c:formatCode>_(* #,##0_);_(* \(#,##0\);_(* "-"??_);_(@_)</c:formatCode>
                <c:ptCount val="30"/>
                <c:pt idx="0">
                  <c:v>4878.0487804878048</c:v>
                </c:pt>
                <c:pt idx="1">
                  <c:v>4878.0487804878048</c:v>
                </c:pt>
                <c:pt idx="2">
                  <c:v>4878.0487804878048</c:v>
                </c:pt>
                <c:pt idx="3">
                  <c:v>4878.0487804878048</c:v>
                </c:pt>
                <c:pt idx="4">
                  <c:v>4878.0487804878048</c:v>
                </c:pt>
                <c:pt idx="5">
                  <c:v>4878.0487804878048</c:v>
                </c:pt>
                <c:pt idx="6">
                  <c:v>5487.8048780487807</c:v>
                </c:pt>
                <c:pt idx="7">
                  <c:v>5487.8048780487807</c:v>
                </c:pt>
                <c:pt idx="8">
                  <c:v>5487.8048780487807</c:v>
                </c:pt>
                <c:pt idx="9">
                  <c:v>5487.8048780487807</c:v>
                </c:pt>
                <c:pt idx="10">
                  <c:v>5487.8048780487807</c:v>
                </c:pt>
                <c:pt idx="11">
                  <c:v>5487.8048780487807</c:v>
                </c:pt>
                <c:pt idx="12">
                  <c:v>5487.8048780487807</c:v>
                </c:pt>
                <c:pt idx="13">
                  <c:v>5487.8048780487807</c:v>
                </c:pt>
                <c:pt idx="14">
                  <c:v>5487.8048780487807</c:v>
                </c:pt>
                <c:pt idx="15">
                  <c:v>5487.8048780487807</c:v>
                </c:pt>
                <c:pt idx="16">
                  <c:v>5487.8048780487807</c:v>
                </c:pt>
                <c:pt idx="17">
                  <c:v>5487.8048780487807</c:v>
                </c:pt>
                <c:pt idx="18">
                  <c:v>5487.8048780487807</c:v>
                </c:pt>
                <c:pt idx="19">
                  <c:v>5487.8048780487807</c:v>
                </c:pt>
                <c:pt idx="20">
                  <c:v>5487.8048780487807</c:v>
                </c:pt>
                <c:pt idx="21">
                  <c:v>5487.8048780487807</c:v>
                </c:pt>
                <c:pt idx="22">
                  <c:v>5487.8048780487807</c:v>
                </c:pt>
                <c:pt idx="23">
                  <c:v>5487.8048780487807</c:v>
                </c:pt>
                <c:pt idx="24">
                  <c:v>5487.8048780487807</c:v>
                </c:pt>
                <c:pt idx="25">
                  <c:v>5487.8048780487807</c:v>
                </c:pt>
                <c:pt idx="26">
                  <c:v>5487.8048780487807</c:v>
                </c:pt>
                <c:pt idx="27">
                  <c:v>5487.8048780487807</c:v>
                </c:pt>
                <c:pt idx="28">
                  <c:v>5487.8048780487807</c:v>
                </c:pt>
                <c:pt idx="29">
                  <c:v>5487.8048780487807</c:v>
                </c:pt>
              </c:numCache>
            </c:numRef>
          </c:val>
          <c:extLst>
            <c:ext xmlns:c16="http://schemas.microsoft.com/office/drawing/2014/chart" uri="{C3380CC4-5D6E-409C-BE32-E72D297353CC}">
              <c16:uniqueId val="{00000009-6A98-2B4E-9D06-BDB5A3703E41}"/>
            </c:ext>
          </c:extLst>
        </c:ser>
        <c:dLbls>
          <c:showLegendKey val="0"/>
          <c:showVal val="0"/>
          <c:showCatName val="0"/>
          <c:showSerName val="0"/>
          <c:showPercent val="0"/>
          <c:showBubbleSize val="0"/>
        </c:dLbls>
        <c:gapWidth val="150"/>
        <c:overlap val="100"/>
        <c:axId val="205927936"/>
        <c:axId val="205929472"/>
      </c:barChart>
      <c:catAx>
        <c:axId val="205927936"/>
        <c:scaling>
          <c:orientation val="minMax"/>
        </c:scaling>
        <c:delete val="0"/>
        <c:axPos val="b"/>
        <c:numFmt formatCode="0" sourceLinked="1"/>
        <c:majorTickMark val="out"/>
        <c:minorTickMark val="none"/>
        <c:tickLblPos val="nextTo"/>
        <c:crossAx val="205929472"/>
        <c:crosses val="autoZero"/>
        <c:auto val="1"/>
        <c:lblAlgn val="ctr"/>
        <c:lblOffset val="100"/>
        <c:noMultiLvlLbl val="0"/>
      </c:catAx>
      <c:valAx>
        <c:axId val="205929472"/>
        <c:scaling>
          <c:orientation val="minMax"/>
        </c:scaling>
        <c:delete val="0"/>
        <c:axPos val="l"/>
        <c:numFmt formatCode="_(* #,##0_);_(* \(#,##0\);_(* &quot;-&quot;??_);_(@_)" sourceLinked="1"/>
        <c:majorTickMark val="out"/>
        <c:minorTickMark val="none"/>
        <c:tickLblPos val="nextTo"/>
        <c:crossAx val="205927936"/>
        <c:crosses val="autoZero"/>
        <c:crossBetween val="between"/>
        <c:dispUnits>
          <c:builtInUnit val="thousands"/>
          <c:dispUnitsLbl>
            <c:layout>
              <c:manualLayout>
                <c:xMode val="edge"/>
                <c:yMode val="edge"/>
                <c:x val="3.1215161649944412E-2"/>
                <c:y val="0.26436351706036748"/>
              </c:manualLayout>
            </c:layout>
            <c:tx>
              <c:strRef>
                <c:f>'Charts - Freight'!$F$142</c:f>
                <c:strCache>
                  <c:ptCount val="1"/>
                  <c:pt idx="0">
                    <c:v>GTK (millions)</c:v>
                  </c:pt>
                </c:strCache>
              </c:strRef>
            </c:tx>
          </c:dispUnitsLbl>
        </c:dispUnits>
      </c:valAx>
      <c:spPr>
        <a:noFill/>
        <a:ln w="25400">
          <a:noFill/>
        </a:ln>
      </c:spPr>
    </c:plotArea>
    <c:legend>
      <c:legendPos val="b"/>
      <c:overlay val="0"/>
    </c:legend>
    <c:plotVisOnly val="1"/>
    <c:dispBlanksAs val="gap"/>
    <c:showDLblsOverMax val="0"/>
  </c:chart>
  <c:spPr>
    <a:noFill/>
    <a:ln w="25400" cap="flat" cmpd="sng" algn="ctr">
      <a:solidFill>
        <a:schemeClr val="accent2"/>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ndard"/>
        <c:varyColors val="0"/>
        <c:ser>
          <c:idx val="0"/>
          <c:order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77B0-8949-BDFA-4665855B7AA0}"/>
            </c:ext>
          </c:extLst>
        </c:ser>
        <c:dLbls>
          <c:showLegendKey val="0"/>
          <c:showVal val="0"/>
          <c:showCatName val="0"/>
          <c:showSerName val="0"/>
          <c:showPercent val="0"/>
          <c:showBubbleSize val="0"/>
        </c:dLbls>
        <c:axId val="205973376"/>
        <c:axId val="205974912"/>
      </c:areaChart>
      <c:catAx>
        <c:axId val="205973376"/>
        <c:scaling>
          <c:orientation val="minMax"/>
        </c:scaling>
        <c:delete val="0"/>
        <c:axPos val="b"/>
        <c:numFmt formatCode="0" sourceLinked="1"/>
        <c:majorTickMark val="out"/>
        <c:minorTickMark val="none"/>
        <c:tickLblPos val="nextTo"/>
        <c:crossAx val="205974912"/>
        <c:crosses val="autoZero"/>
        <c:auto val="1"/>
        <c:lblAlgn val="ctr"/>
        <c:lblOffset val="100"/>
        <c:noMultiLvlLbl val="0"/>
      </c:catAx>
      <c:valAx>
        <c:axId val="205974912"/>
        <c:scaling>
          <c:orientation val="minMax"/>
        </c:scaling>
        <c:delete val="0"/>
        <c:axPos val="l"/>
        <c:title>
          <c:tx>
            <c:rich>
              <a:bodyPr rot="-5400000" vert="horz"/>
              <a:lstStyle/>
              <a:p>
                <a:pPr>
                  <a:defRPr/>
                </a:pPr>
                <a:r>
                  <a:rPr lang="en-US"/>
                  <a:t>R$ (Millions)</a:t>
                </a:r>
              </a:p>
            </c:rich>
          </c:tx>
          <c:overlay val="0"/>
        </c:title>
        <c:numFmt formatCode="General" sourceLinked="1"/>
        <c:majorTickMark val="out"/>
        <c:minorTickMark val="none"/>
        <c:tickLblPos val="nextTo"/>
        <c:crossAx val="205973376"/>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Debt ratios</a:t>
            </a:r>
          </a:p>
        </c:rich>
      </c:tx>
      <c:overlay val="0"/>
    </c:title>
    <c:autoTitleDeleted val="0"/>
    <c:plotArea>
      <c:layout/>
      <c:lineChart>
        <c:grouping val="standard"/>
        <c:varyColors val="0"/>
        <c:ser>
          <c:idx val="0"/>
          <c:order val="0"/>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508A-B846-981F-10D42E8B37FB}"/>
            </c:ext>
          </c:extLst>
        </c:ser>
        <c:dLbls>
          <c:showLegendKey val="0"/>
          <c:showVal val="0"/>
          <c:showCatName val="0"/>
          <c:showSerName val="0"/>
          <c:showPercent val="0"/>
          <c:showBubbleSize val="0"/>
        </c:dLbls>
        <c:marker val="1"/>
        <c:smooth val="0"/>
        <c:axId val="206013952"/>
        <c:axId val="206015488"/>
      </c:line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508A-B846-981F-10D42E8B37FB}"/>
            </c:ext>
          </c:extLst>
        </c:ser>
        <c:dLbls>
          <c:showLegendKey val="0"/>
          <c:showVal val="0"/>
          <c:showCatName val="0"/>
          <c:showSerName val="0"/>
          <c:showPercent val="0"/>
          <c:showBubbleSize val="0"/>
        </c:dLbls>
        <c:marker val="1"/>
        <c:smooth val="0"/>
        <c:axId val="206022912"/>
        <c:axId val="206021376"/>
      </c:lineChart>
      <c:catAx>
        <c:axId val="206013952"/>
        <c:scaling>
          <c:orientation val="minMax"/>
        </c:scaling>
        <c:delete val="0"/>
        <c:axPos val="b"/>
        <c:numFmt formatCode="0" sourceLinked="1"/>
        <c:majorTickMark val="out"/>
        <c:minorTickMark val="none"/>
        <c:tickLblPos val="nextTo"/>
        <c:crossAx val="206015488"/>
        <c:crosses val="autoZero"/>
        <c:auto val="1"/>
        <c:lblAlgn val="ctr"/>
        <c:lblOffset val="100"/>
        <c:noMultiLvlLbl val="0"/>
      </c:catAx>
      <c:valAx>
        <c:axId val="206015488"/>
        <c:scaling>
          <c:orientation val="minMax"/>
        </c:scaling>
        <c:delete val="0"/>
        <c:axPos val="l"/>
        <c:numFmt formatCode="General" sourceLinked="1"/>
        <c:majorTickMark val="out"/>
        <c:minorTickMark val="none"/>
        <c:tickLblPos val="nextTo"/>
        <c:crossAx val="206013952"/>
        <c:crosses val="autoZero"/>
        <c:crossBetween val="between"/>
      </c:valAx>
      <c:valAx>
        <c:axId val="206021376"/>
        <c:scaling>
          <c:orientation val="minMax"/>
        </c:scaling>
        <c:delete val="0"/>
        <c:axPos val="r"/>
        <c:numFmt formatCode="General" sourceLinked="1"/>
        <c:majorTickMark val="out"/>
        <c:minorTickMark val="none"/>
        <c:tickLblPos val="nextTo"/>
        <c:crossAx val="206022912"/>
        <c:crosses val="max"/>
        <c:crossBetween val="between"/>
      </c:valAx>
      <c:catAx>
        <c:axId val="206022912"/>
        <c:scaling>
          <c:orientation val="minMax"/>
        </c:scaling>
        <c:delete val="1"/>
        <c:axPos val="b"/>
        <c:numFmt formatCode="0" sourceLinked="1"/>
        <c:majorTickMark val="out"/>
        <c:minorTickMark val="none"/>
        <c:tickLblPos val="none"/>
        <c:crossAx val="206021376"/>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95B8-B749-A9C4-9BF3C0CE79B7}"/>
            </c:ext>
          </c:extLst>
        </c:ser>
        <c:ser>
          <c:idx val="1"/>
          <c:order val="1"/>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95B8-B749-A9C4-9BF3C0CE79B7}"/>
            </c:ext>
          </c:extLst>
        </c:ser>
        <c:dLbls>
          <c:showLegendKey val="0"/>
          <c:showVal val="0"/>
          <c:showCatName val="0"/>
          <c:showSerName val="0"/>
          <c:showPercent val="0"/>
          <c:showBubbleSize val="0"/>
        </c:dLbls>
        <c:gapWidth val="150"/>
        <c:axId val="206054144"/>
        <c:axId val="206055680"/>
      </c:barChart>
      <c:lineChart>
        <c:grouping val="standard"/>
        <c:varyColors val="0"/>
        <c:ser>
          <c:idx val="2"/>
          <c:order val="2"/>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6="http://schemas.microsoft.com/office/drawing/2014/chart" uri="{C3380CC4-5D6E-409C-BE32-E72D297353CC}">
              <c16:uniqueId val="{00000002-95B8-B749-A9C4-9BF3C0CE79B7}"/>
            </c:ext>
          </c:extLst>
        </c:ser>
        <c:dLbls>
          <c:showLegendKey val="0"/>
          <c:showVal val="0"/>
          <c:showCatName val="0"/>
          <c:showSerName val="0"/>
          <c:showPercent val="0"/>
          <c:showBubbleSize val="0"/>
        </c:dLbls>
        <c:marker val="1"/>
        <c:smooth val="0"/>
        <c:axId val="206067584"/>
        <c:axId val="206066048"/>
      </c:lineChart>
      <c:catAx>
        <c:axId val="206054144"/>
        <c:scaling>
          <c:orientation val="minMax"/>
        </c:scaling>
        <c:delete val="0"/>
        <c:axPos val="b"/>
        <c:numFmt formatCode="0" sourceLinked="1"/>
        <c:majorTickMark val="out"/>
        <c:minorTickMark val="none"/>
        <c:tickLblPos val="nextTo"/>
        <c:crossAx val="206055680"/>
        <c:crosses val="autoZero"/>
        <c:auto val="1"/>
        <c:lblAlgn val="ctr"/>
        <c:lblOffset val="100"/>
        <c:noMultiLvlLbl val="0"/>
      </c:catAx>
      <c:valAx>
        <c:axId val="206055680"/>
        <c:scaling>
          <c:orientation val="minMax"/>
        </c:scaling>
        <c:delete val="0"/>
        <c:axPos val="l"/>
        <c:numFmt formatCode="General" sourceLinked="1"/>
        <c:majorTickMark val="out"/>
        <c:minorTickMark val="none"/>
        <c:tickLblPos val="nextTo"/>
        <c:crossAx val="206054144"/>
        <c:crosses val="autoZero"/>
        <c:crossBetween val="between"/>
        <c:dispUnits>
          <c:builtInUnit val="thousands"/>
          <c:dispUnitsLbl>
            <c:layout>
              <c:manualLayout>
                <c:xMode val="edge"/>
                <c:yMode val="edge"/>
                <c:x val="3.0555555555555582E-2"/>
                <c:y val="0.29677092446777487"/>
              </c:manualLayout>
            </c:layout>
            <c:tx>
              <c:rich>
                <a:bodyPr/>
                <a:lstStyle/>
                <a:p>
                  <a:pPr>
                    <a:defRPr/>
                  </a:pPr>
                  <a:r>
                    <a:rPr lang="en-US"/>
                    <a:t>R$</a:t>
                  </a:r>
                  <a:r>
                    <a:rPr lang="en-US" baseline="0"/>
                    <a:t> (Billions)</a:t>
                  </a:r>
                  <a:endParaRPr lang="en-US"/>
                </a:p>
              </c:rich>
            </c:tx>
          </c:dispUnitsLbl>
        </c:dispUnits>
      </c:valAx>
      <c:valAx>
        <c:axId val="206066048"/>
        <c:scaling>
          <c:orientation val="minMax"/>
          <c:max val="10"/>
        </c:scaling>
        <c:delete val="0"/>
        <c:axPos val="r"/>
        <c:numFmt formatCode="General" sourceLinked="1"/>
        <c:majorTickMark val="out"/>
        <c:minorTickMark val="none"/>
        <c:tickLblPos val="nextTo"/>
        <c:crossAx val="206067584"/>
        <c:crosses val="max"/>
        <c:crossBetween val="between"/>
      </c:valAx>
      <c:catAx>
        <c:axId val="206067584"/>
        <c:scaling>
          <c:orientation val="minMax"/>
        </c:scaling>
        <c:delete val="1"/>
        <c:axPos val="b"/>
        <c:majorTickMark val="out"/>
        <c:minorTickMark val="none"/>
        <c:tickLblPos val="none"/>
        <c:crossAx val="206066048"/>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Traffic</a:t>
            </a:r>
            <a:r>
              <a:rPr lang="en-US" baseline="0"/>
              <a:t> intensity</a:t>
            </a:r>
            <a:endParaRPr lang="en-US"/>
          </a:p>
        </c:rich>
      </c:tx>
      <c:layout>
        <c:manualLayout>
          <c:xMode val="edge"/>
          <c:yMode val="edge"/>
          <c:x val="0.42911650387966316"/>
          <c:y val="3.24074074074088E-2"/>
        </c:manualLayout>
      </c:layout>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73A4-3042-A66A-FAFA78305015}"/>
            </c:ext>
          </c:extLst>
        </c:ser>
        <c:dLbls>
          <c:showLegendKey val="0"/>
          <c:showVal val="0"/>
          <c:showCatName val="0"/>
          <c:showSerName val="0"/>
          <c:showPercent val="0"/>
          <c:showBubbleSize val="0"/>
        </c:dLbls>
        <c:gapWidth val="150"/>
        <c:axId val="206080640"/>
        <c:axId val="206090624"/>
      </c:bar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73A4-3042-A66A-FAFA78305015}"/>
            </c:ext>
          </c:extLst>
        </c:ser>
        <c:dLbls>
          <c:showLegendKey val="0"/>
          <c:showVal val="0"/>
          <c:showCatName val="0"/>
          <c:showSerName val="0"/>
          <c:showPercent val="0"/>
          <c:showBubbleSize val="0"/>
        </c:dLbls>
        <c:marker val="1"/>
        <c:smooth val="0"/>
        <c:axId val="206080640"/>
        <c:axId val="206090624"/>
      </c:lineChart>
      <c:catAx>
        <c:axId val="206080640"/>
        <c:scaling>
          <c:orientation val="minMax"/>
        </c:scaling>
        <c:delete val="0"/>
        <c:axPos val="b"/>
        <c:numFmt formatCode="0" sourceLinked="1"/>
        <c:majorTickMark val="out"/>
        <c:minorTickMark val="none"/>
        <c:tickLblPos val="nextTo"/>
        <c:crossAx val="206090624"/>
        <c:crosses val="autoZero"/>
        <c:auto val="1"/>
        <c:lblAlgn val="ctr"/>
        <c:lblOffset val="100"/>
        <c:noMultiLvlLbl val="0"/>
      </c:catAx>
      <c:valAx>
        <c:axId val="206090624"/>
        <c:scaling>
          <c:orientation val="minMax"/>
        </c:scaling>
        <c:delete val="0"/>
        <c:axPos val="l"/>
        <c:title>
          <c:tx>
            <c:rich>
              <a:bodyPr rot="-5400000" vert="horz"/>
              <a:lstStyle/>
              <a:p>
                <a:pPr>
                  <a:defRPr/>
                </a:pPr>
                <a:r>
                  <a:rPr lang="en-US"/>
                  <a:t>Million</a:t>
                </a:r>
                <a:r>
                  <a:rPr lang="en-US" baseline="0"/>
                  <a:t> traffic units per track-km</a:t>
                </a:r>
                <a:endParaRPr lang="en-US"/>
              </a:p>
            </c:rich>
          </c:tx>
          <c:overlay val="0"/>
        </c:title>
        <c:numFmt formatCode="General" sourceLinked="1"/>
        <c:majorTickMark val="out"/>
        <c:minorTickMark val="none"/>
        <c:tickLblPos val="nextTo"/>
        <c:crossAx val="206080640"/>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c:f>
              <c:numCache>
                <c:formatCode>_(* #,##0_);_(* \(#,##0\);_(* "-"??_);_(@_)</c:formatCode>
                <c:ptCount val="30"/>
                <c:pt idx="0">
                  <c:v>41512</c:v>
                </c:pt>
                <c:pt idx="1">
                  <c:v>41614.380000000005</c:v>
                </c:pt>
                <c:pt idx="2">
                  <c:v>42748.990612583482</c:v>
                </c:pt>
                <c:pt idx="3">
                  <c:v>43915.484884147147</c:v>
                </c:pt>
                <c:pt idx="4">
                  <c:v>45115.548812769885</c:v>
                </c:pt>
                <c:pt idx="5">
                  <c:v>46350.162464585344</c:v>
                </c:pt>
                <c:pt idx="6">
                  <c:v>53508.278300793252</c:v>
                </c:pt>
                <c:pt idx="7">
                  <c:v>54977.708341283571</c:v>
                </c:pt>
                <c:pt idx="8">
                  <c:v>56490.075045971564</c:v>
                </c:pt>
                <c:pt idx="9">
                  <c:v>58046.116861572846</c:v>
                </c:pt>
                <c:pt idx="10">
                  <c:v>59647.053475840497</c:v>
                </c:pt>
                <c:pt idx="11">
                  <c:v>61294.199399680518</c:v>
                </c:pt>
                <c:pt idx="12">
                  <c:v>62988.90790760627</c:v>
                </c:pt>
                <c:pt idx="13">
                  <c:v>64732.572167349426</c:v>
                </c:pt>
                <c:pt idx="14">
                  <c:v>66526.626409754623</c:v>
                </c:pt>
                <c:pt idx="15">
                  <c:v>68372.547136841065</c:v>
                </c:pt>
                <c:pt idx="16">
                  <c:v>70271.854367560314</c:v>
                </c:pt>
                <c:pt idx="17">
                  <c:v>72225.745673004873</c:v>
                </c:pt>
                <c:pt idx="18">
                  <c:v>74235.850493002712</c:v>
                </c:pt>
                <c:pt idx="19">
                  <c:v>76304.895399639834</c:v>
                </c:pt>
                <c:pt idx="20">
                  <c:v>78433.867658081552</c:v>
                </c:pt>
                <c:pt idx="21">
                  <c:v>80624.424869626702</c:v>
                </c:pt>
                <c:pt idx="22">
                  <c:v>82878.57645757281</c:v>
                </c:pt>
                <c:pt idx="23">
                  <c:v>85198.085197489432</c:v>
                </c:pt>
                <c:pt idx="24">
                  <c:v>87584.86879308577</c:v>
                </c:pt>
                <c:pt idx="25">
                  <c:v>90040.901498936539</c:v>
                </c:pt>
                <c:pt idx="26">
                  <c:v>92568.215791394294</c:v>
                </c:pt>
                <c:pt idx="27">
                  <c:v>95168.904089073447</c:v>
                </c:pt>
                <c:pt idx="28">
                  <c:v>97845.120524345461</c:v>
                </c:pt>
                <c:pt idx="29">
                  <c:v>100599.08276733437</c:v>
                </c:pt>
              </c:numCache>
            </c:numRef>
          </c:val>
          <c:extLst>
            <c:ext xmlns:c16="http://schemas.microsoft.com/office/drawing/2014/chart" uri="{C3380CC4-5D6E-409C-BE32-E72D297353CC}">
              <c16:uniqueId val="{00000000-F9DC-7342-B0AD-56DB1D41FA11}"/>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c:f>
              <c:numCache>
                <c:formatCode>_(* #,##0_);_(* \(#,##0\);_(* "-"??_);_(@_)</c:formatCode>
                <c:ptCount val="30"/>
                <c:pt idx="0">
                  <c:v>16152.500000000002</c:v>
                </c:pt>
                <c:pt idx="1">
                  <c:v>16293.292682926831</c:v>
                </c:pt>
                <c:pt idx="2">
                  <c:v>16793.096286763328</c:v>
                </c:pt>
                <c:pt idx="3">
                  <c:v>17521.435174444574</c:v>
                </c:pt>
                <c:pt idx="4">
                  <c:v>18202.89927377622</c:v>
                </c:pt>
                <c:pt idx="5">
                  <c:v>18754.492058441123</c:v>
                </c:pt>
                <c:pt idx="6">
                  <c:v>21375.936756161896</c:v>
                </c:pt>
                <c:pt idx="7">
                  <c:v>22007.225872671646</c:v>
                </c:pt>
                <c:pt idx="8">
                  <c:v>22671.691980649022</c:v>
                </c:pt>
                <c:pt idx="9">
                  <c:v>23357.302175552366</c:v>
                </c:pt>
                <c:pt idx="10">
                  <c:v>24063.219351418014</c:v>
                </c:pt>
                <c:pt idx="11">
                  <c:v>24790.052717674847</c:v>
                </c:pt>
                <c:pt idx="12">
                  <c:v>25538.429760034585</c:v>
                </c:pt>
                <c:pt idx="13">
                  <c:v>26308.996788780321</c:v>
                </c:pt>
                <c:pt idx="14">
                  <c:v>27102.419503503643</c:v>
                </c:pt>
                <c:pt idx="15">
                  <c:v>27919.383574783868</c:v>
                </c:pt>
                <c:pt idx="16">
                  <c:v>28760.595243317708</c:v>
                </c:pt>
                <c:pt idx="17">
                  <c:v>29617.644456223999</c:v>
                </c:pt>
                <c:pt idx="18">
                  <c:v>30491.798897437598</c:v>
                </c:pt>
                <c:pt idx="19">
                  <c:v>31410.449342855347</c:v>
                </c:pt>
                <c:pt idx="20">
                  <c:v>32356.390672603382</c:v>
                </c:pt>
                <c:pt idx="21">
                  <c:v>33327.941613211588</c:v>
                </c:pt>
                <c:pt idx="22">
                  <c:v>34330.945453005785</c:v>
                </c:pt>
                <c:pt idx="23">
                  <c:v>35363.77077896156</c:v>
                </c:pt>
                <c:pt idx="24">
                  <c:v>36427.312235663747</c:v>
                </c:pt>
                <c:pt idx="25">
                  <c:v>37522.491307034717</c:v>
                </c:pt>
                <c:pt idx="26">
                  <c:v>38650.257121514587</c:v>
                </c:pt>
                <c:pt idx="27">
                  <c:v>39811.587281396576</c:v>
                </c:pt>
                <c:pt idx="28">
                  <c:v>41007.488717042776</c:v>
                </c:pt>
                <c:pt idx="29">
                  <c:v>42238.998566726113</c:v>
                </c:pt>
              </c:numCache>
            </c:numRef>
          </c:val>
          <c:extLst>
            <c:ext xmlns:c16="http://schemas.microsoft.com/office/drawing/2014/chart" uri="{C3380CC4-5D6E-409C-BE32-E72D297353CC}">
              <c16:uniqueId val="{00000001-F9DC-7342-B0AD-56DB1D41FA11}"/>
            </c:ext>
          </c:extLst>
        </c:ser>
        <c:dLbls>
          <c:showLegendKey val="0"/>
          <c:showVal val="0"/>
          <c:showCatName val="0"/>
          <c:showSerName val="0"/>
          <c:showPercent val="0"/>
          <c:showBubbleSize val="0"/>
        </c:dLbls>
        <c:gapWidth val="150"/>
        <c:axId val="206147968"/>
        <c:axId val="206149504"/>
      </c:barChart>
      <c:lineChart>
        <c:grouping val="standard"/>
        <c:varyColors val="0"/>
        <c:ser>
          <c:idx val="2"/>
          <c:order val="2"/>
          <c:tx>
            <c:strRef>
              <c:f>'Charts - Freight'!$B$140</c:f>
              <c:strCache>
                <c:ptCount val="1"/>
                <c:pt idx="0">
                  <c:v>Operating profit</c:v>
                </c:pt>
              </c:strCache>
            </c:strRef>
          </c:tx>
          <c:marker>
            <c:symbol val="none"/>
          </c:marker>
          <c:val>
            <c:numRef>
              <c:f>[0]!Operating_profit</c:f>
              <c:numCache>
                <c:formatCode>0%</c:formatCode>
                <c:ptCount val="30"/>
                <c:pt idx="0">
                  <c:v>0.61089564463287727</c:v>
                </c:pt>
                <c:pt idx="1">
                  <c:v>0.60846965200666614</c:v>
                </c:pt>
                <c:pt idx="2">
                  <c:v>0.60716975895519376</c:v>
                </c:pt>
                <c:pt idx="3">
                  <c:v>0.60101920266467201</c:v>
                </c:pt>
                <c:pt idx="4">
                  <c:v>0.5965271452350388</c:v>
                </c:pt>
                <c:pt idx="5">
                  <c:v>0.5953737579070878</c:v>
                </c:pt>
                <c:pt idx="6">
                  <c:v>0.60051159493492801</c:v>
                </c:pt>
                <c:pt idx="7">
                  <c:v>0.59970638033768142</c:v>
                </c:pt>
                <c:pt idx="8">
                  <c:v>0.59866061494521261</c:v>
                </c:pt>
                <c:pt idx="9">
                  <c:v>0.59760784289404978</c:v>
                </c:pt>
                <c:pt idx="10">
                  <c:v>0.59657320941822212</c:v>
                </c:pt>
                <c:pt idx="11">
                  <c:v>0.59555630124105896</c:v>
                </c:pt>
                <c:pt idx="12">
                  <c:v>0.59455671469181526</c:v>
                </c:pt>
                <c:pt idx="13">
                  <c:v>0.59357405541115882</c:v>
                </c:pt>
                <c:pt idx="14">
                  <c:v>0.59260793811228518</c:v>
                </c:pt>
                <c:pt idx="15">
                  <c:v>0.59165798637125644</c:v>
                </c:pt>
                <c:pt idx="16">
                  <c:v>0.59072383243390691</c:v>
                </c:pt>
                <c:pt idx="17">
                  <c:v>0.58992954409477416</c:v>
                </c:pt>
                <c:pt idx="18">
                  <c:v>0.58925776838359678</c:v>
                </c:pt>
                <c:pt idx="19">
                  <c:v>0.58835603956540372</c:v>
                </c:pt>
                <c:pt idx="20">
                  <c:v>0.58746914262018424</c:v>
                </c:pt>
                <c:pt idx="21">
                  <c:v>0.58662723278827278</c:v>
                </c:pt>
                <c:pt idx="22">
                  <c:v>0.58576815721997255</c:v>
                </c:pt>
                <c:pt idx="23">
                  <c:v>0.58492293932441997</c:v>
                </c:pt>
                <c:pt idx="24">
                  <c:v>0.58409126213660056</c:v>
                </c:pt>
                <c:pt idx="25">
                  <c:v>0.583272816215885</c:v>
                </c:pt>
                <c:pt idx="26">
                  <c:v>0.58246729948199183</c:v>
                </c:pt>
                <c:pt idx="27">
                  <c:v>0.58167441705396883</c:v>
                </c:pt>
                <c:pt idx="28">
                  <c:v>0.58089388109201168</c:v>
                </c:pt>
                <c:pt idx="29">
                  <c:v>0.58012541064199863</c:v>
                </c:pt>
              </c:numCache>
            </c:numRef>
          </c:val>
          <c:smooth val="0"/>
          <c:extLst>
            <c:ext xmlns:c16="http://schemas.microsoft.com/office/drawing/2014/chart" uri="{C3380CC4-5D6E-409C-BE32-E72D297353CC}">
              <c16:uniqueId val="{00000002-F9DC-7342-B0AD-56DB1D41FA11}"/>
            </c:ext>
          </c:extLst>
        </c:ser>
        <c:dLbls>
          <c:showLegendKey val="0"/>
          <c:showVal val="0"/>
          <c:showCatName val="0"/>
          <c:showSerName val="0"/>
          <c:showPercent val="0"/>
          <c:showBubbleSize val="0"/>
        </c:dLbls>
        <c:marker val="1"/>
        <c:smooth val="0"/>
        <c:axId val="206169984"/>
        <c:axId val="206168448"/>
      </c:lineChart>
      <c:catAx>
        <c:axId val="206147968"/>
        <c:scaling>
          <c:orientation val="minMax"/>
        </c:scaling>
        <c:delete val="0"/>
        <c:axPos val="b"/>
        <c:numFmt formatCode="0" sourceLinked="1"/>
        <c:majorTickMark val="out"/>
        <c:minorTickMark val="none"/>
        <c:tickLblPos val="nextTo"/>
        <c:crossAx val="206149504"/>
        <c:crosses val="autoZero"/>
        <c:auto val="1"/>
        <c:lblAlgn val="ctr"/>
        <c:lblOffset val="100"/>
        <c:noMultiLvlLbl val="0"/>
      </c:catAx>
      <c:valAx>
        <c:axId val="206149504"/>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6147968"/>
        <c:crosses val="autoZero"/>
        <c:crossBetween val="between"/>
        <c:dispUnits>
          <c:builtInUnit val="thousands"/>
        </c:dispUnits>
      </c:valAx>
      <c:valAx>
        <c:axId val="206168448"/>
        <c:scaling>
          <c:orientation val="minMax"/>
        </c:scaling>
        <c:delete val="0"/>
        <c:axPos val="r"/>
        <c:numFmt formatCode="0%" sourceLinked="1"/>
        <c:majorTickMark val="out"/>
        <c:minorTickMark val="none"/>
        <c:tickLblPos val="nextTo"/>
        <c:crossAx val="206169984"/>
        <c:crosses val="max"/>
        <c:crossBetween val="between"/>
      </c:valAx>
      <c:catAx>
        <c:axId val="206169984"/>
        <c:scaling>
          <c:orientation val="minMax"/>
        </c:scaling>
        <c:delete val="1"/>
        <c:axPos val="b"/>
        <c:majorTickMark val="out"/>
        <c:minorTickMark val="none"/>
        <c:tickLblPos val="none"/>
        <c:crossAx val="206168448"/>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2"/>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f>
              <c:numCache>
                <c:formatCode>_(* #,##0_);_(* \(#,##0\);_(* "-"??_);_(@_)</c:formatCode>
                <c:ptCount val="30"/>
                <c:pt idx="0">
                  <c:v>0</c:v>
                </c:pt>
                <c:pt idx="1">
                  <c:v>16477.046970629839</c:v>
                </c:pt>
                <c:pt idx="2">
                  <c:v>16944.906106330964</c:v>
                </c:pt>
                <c:pt idx="3">
                  <c:v>17454.71630941844</c:v>
                </c:pt>
                <c:pt idx="4">
                  <c:v>18023.968362515534</c:v>
                </c:pt>
                <c:pt idx="5">
                  <c:v>18710.88325055912</c:v>
                </c:pt>
                <c:pt idx="6">
                  <c:v>21458.625322478765</c:v>
                </c:pt>
                <c:pt idx="7">
                  <c:v>22761.486554495768</c:v>
                </c:pt>
                <c:pt idx="8">
                  <c:v>23652.992656286791</c:v>
                </c:pt>
                <c:pt idx="9">
                  <c:v>24571.946970394922</c:v>
                </c:pt>
                <c:pt idx="10">
                  <c:v>25187.393534388364</c:v>
                </c:pt>
                <c:pt idx="11">
                  <c:v>26058.742542487147</c:v>
                </c:pt>
                <c:pt idx="12">
                  <c:v>26978.603549357798</c:v>
                </c:pt>
                <c:pt idx="13">
                  <c:v>27926.463651523321</c:v>
                </c:pt>
                <c:pt idx="14">
                  <c:v>28903.145321344196</c:v>
                </c:pt>
                <c:pt idx="15">
                  <c:v>29909.495003098731</c:v>
                </c:pt>
                <c:pt idx="16">
                  <c:v>30942.140062597857</c:v>
                </c:pt>
                <c:pt idx="17">
                  <c:v>31998.270886166159</c:v>
                </c:pt>
                <c:pt idx="18">
                  <c:v>33093.080826531412</c:v>
                </c:pt>
                <c:pt idx="19">
                  <c:v>34227.178073291288</c:v>
                </c:pt>
                <c:pt idx="20">
                  <c:v>35395.561813758432</c:v>
                </c:pt>
                <c:pt idx="21">
                  <c:v>36598.397775231439</c:v>
                </c:pt>
                <c:pt idx="22">
                  <c:v>37838.391171029165</c:v>
                </c:pt>
                <c:pt idx="23">
                  <c:v>39115.776924376565</c:v>
                </c:pt>
                <c:pt idx="24">
                  <c:v>40431.651292758943</c:v>
                </c:pt>
                <c:pt idx="25">
                  <c:v>41787.142487594814</c:v>
                </c:pt>
                <c:pt idx="26">
                  <c:v>43183.411605941845</c:v>
                </c:pt>
                <c:pt idx="27">
                  <c:v>44621.653589363239</c:v>
                </c:pt>
                <c:pt idx="28">
                  <c:v>46103.098210758559</c:v>
                </c:pt>
                <c:pt idx="29">
                  <c:v>47629.011089983949</c:v>
                </c:pt>
              </c:numCache>
            </c:numRef>
          </c:val>
          <c:extLst>
            <c:ext xmlns:c16="http://schemas.microsoft.com/office/drawing/2014/chart" uri="{C3380CC4-5D6E-409C-BE32-E72D297353CC}">
              <c16:uniqueId val="{00000000-0692-3644-A193-BDFFA634B345}"/>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f>
              <c:numCache>
                <c:formatCode>_(* #,##0_);_(* \(#,##0\);_(* "-"??_);_(@_)</c:formatCode>
                <c:ptCount val="30"/>
                <c:pt idx="0">
                  <c:v>0</c:v>
                </c:pt>
                <c:pt idx="1">
                  <c:v>-105</c:v>
                </c:pt>
                <c:pt idx="2">
                  <c:v>-260</c:v>
                </c:pt>
                <c:pt idx="3">
                  <c:v>-260</c:v>
                </c:pt>
                <c:pt idx="4">
                  <c:v>-260</c:v>
                </c:pt>
                <c:pt idx="5">
                  <c:v>-260</c:v>
                </c:pt>
                <c:pt idx="6">
                  <c:v>-260</c:v>
                </c:pt>
                <c:pt idx="7">
                  <c:v>-260</c:v>
                </c:pt>
                <c:pt idx="8">
                  <c:v>-260</c:v>
                </c:pt>
                <c:pt idx="9">
                  <c:v>-260</c:v>
                </c:pt>
                <c:pt idx="10">
                  <c:v>-260</c:v>
                </c:pt>
                <c:pt idx="11">
                  <c:v>-260</c:v>
                </c:pt>
                <c:pt idx="12">
                  <c:v>-260</c:v>
                </c:pt>
                <c:pt idx="13">
                  <c:v>-260</c:v>
                </c:pt>
                <c:pt idx="14">
                  <c:v>-260</c:v>
                </c:pt>
                <c:pt idx="15">
                  <c:v>-260</c:v>
                </c:pt>
                <c:pt idx="16">
                  <c:v>-260</c:v>
                </c:pt>
                <c:pt idx="17">
                  <c:v>-260</c:v>
                </c:pt>
                <c:pt idx="18">
                  <c:v>-260</c:v>
                </c:pt>
                <c:pt idx="19">
                  <c:v>-260</c:v>
                </c:pt>
                <c:pt idx="20">
                  <c:v>-260</c:v>
                </c:pt>
                <c:pt idx="21">
                  <c:v>-260</c:v>
                </c:pt>
                <c:pt idx="22">
                  <c:v>-260</c:v>
                </c:pt>
                <c:pt idx="23">
                  <c:v>-260</c:v>
                </c:pt>
                <c:pt idx="24">
                  <c:v>-260</c:v>
                </c:pt>
                <c:pt idx="25">
                  <c:v>-260</c:v>
                </c:pt>
                <c:pt idx="26">
                  <c:v>-260</c:v>
                </c:pt>
                <c:pt idx="27">
                  <c:v>-260</c:v>
                </c:pt>
                <c:pt idx="28">
                  <c:v>-260</c:v>
                </c:pt>
                <c:pt idx="29">
                  <c:v>-260</c:v>
                </c:pt>
              </c:numCache>
            </c:numRef>
          </c:val>
          <c:extLst>
            <c:ext xmlns:c16="http://schemas.microsoft.com/office/drawing/2014/chart" uri="{C3380CC4-5D6E-409C-BE32-E72D297353CC}">
              <c16:uniqueId val="{00000001-0692-3644-A193-BDFFA634B345}"/>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c:f>
              <c:numCache>
                <c:formatCode>_(* #,##0_);_(* \(#,##0\);_(* "-"??_);_(@_)</c:formatCode>
                <c:ptCount val="30"/>
                <c:pt idx="0">
                  <c:v>0</c:v>
                </c:pt>
                <c:pt idx="1">
                  <c:v>-17.5</c:v>
                </c:pt>
                <c:pt idx="2">
                  <c:v>52.5</c:v>
                </c:pt>
                <c:pt idx="3">
                  <c:v>65</c:v>
                </c:pt>
                <c:pt idx="4">
                  <c:v>65</c:v>
                </c:pt>
                <c:pt idx="5">
                  <c:v>65</c:v>
                </c:pt>
                <c:pt idx="6">
                  <c:v>65</c:v>
                </c:pt>
                <c:pt idx="7">
                  <c:v>-30</c:v>
                </c:pt>
                <c:pt idx="8">
                  <c:v>-30</c:v>
                </c:pt>
                <c:pt idx="9">
                  <c:v>-30</c:v>
                </c:pt>
                <c:pt idx="10">
                  <c:v>-30</c:v>
                </c:pt>
                <c:pt idx="11">
                  <c:v>0</c:v>
                </c:pt>
                <c:pt idx="12">
                  <c:v>0</c:v>
                </c:pt>
                <c:pt idx="13">
                  <c:v>0</c:v>
                </c:pt>
                <c:pt idx="14">
                  <c:v>0</c:v>
                </c:pt>
                <c:pt idx="15">
                  <c:v>0</c:v>
                </c:pt>
                <c:pt idx="16">
                  <c:v>-425</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0692-3644-A193-BDFFA634B345}"/>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0692-3644-A193-BDFFA634B345}"/>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c:f>
              <c:numCache>
                <c:formatCode>_(* #,##0_);_(* \(#,##0\);_(* "-"??_);_(@_)</c:formatCode>
                <c:ptCount val="30"/>
                <c:pt idx="0">
                  <c:v>0</c:v>
                </c:pt>
                <c:pt idx="1">
                  <c:v>-12.849999999999998</c:v>
                </c:pt>
                <c:pt idx="2">
                  <c:v>-16.436749999999989</c:v>
                </c:pt>
                <c:pt idx="3">
                  <c:v>-19.229249999999979</c:v>
                </c:pt>
                <c:pt idx="4">
                  <c:v>-23.421875</c:v>
                </c:pt>
                <c:pt idx="5">
                  <c:v>-27.439000000000078</c:v>
                </c:pt>
                <c:pt idx="6">
                  <c:v>-31.326749999999947</c:v>
                </c:pt>
                <c:pt idx="7">
                  <c:v>-32.479374999999891</c:v>
                </c:pt>
                <c:pt idx="8">
                  <c:v>-31.020625000000109</c:v>
                </c:pt>
                <c:pt idx="9">
                  <c:v>-29.410624999999982</c:v>
                </c:pt>
                <c:pt idx="10">
                  <c:v>-26.21875</c:v>
                </c:pt>
                <c:pt idx="11">
                  <c:v>-25.25</c:v>
                </c:pt>
                <c:pt idx="12">
                  <c:v>-25.25</c:v>
                </c:pt>
                <c:pt idx="13">
                  <c:v>-25.25</c:v>
                </c:pt>
                <c:pt idx="14">
                  <c:v>-25.25</c:v>
                </c:pt>
                <c:pt idx="15">
                  <c:v>-25.25</c:v>
                </c:pt>
                <c:pt idx="16">
                  <c:v>-13.125</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extLst>
            <c:ext xmlns:c16="http://schemas.microsoft.com/office/drawing/2014/chart" uri="{C3380CC4-5D6E-409C-BE32-E72D297353CC}">
              <c16:uniqueId val="{00000004-0692-3644-A193-BDFFA634B345}"/>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c:f>
              <c:numCache>
                <c:formatCode>_(* #,##0_);_(* \(#,##0\);_(* "-"??_);_(@_)</c:formatCode>
                <c:ptCount val="30"/>
                <c:pt idx="0">
                  <c:v>0</c:v>
                </c:pt>
                <c:pt idx="1">
                  <c:v>-11446.397879440887</c:v>
                </c:pt>
                <c:pt idx="2">
                  <c:v>-11712.104849431673</c:v>
                </c:pt>
                <c:pt idx="3">
                  <c:v>-12075.990030592908</c:v>
                </c:pt>
                <c:pt idx="4">
                  <c:v>-12471.761102930872</c:v>
                </c:pt>
                <c:pt idx="5">
                  <c:v>-12950.025893911483</c:v>
                </c:pt>
                <c:pt idx="6">
                  <c:v>-14870.967366810839</c:v>
                </c:pt>
                <c:pt idx="7">
                  <c:v>-15715.914142705011</c:v>
                </c:pt>
                <c:pt idx="8">
                  <c:v>-16341.247812470465</c:v>
                </c:pt>
                <c:pt idx="9">
                  <c:v>-16985.908854063247</c:v>
                </c:pt>
                <c:pt idx="10">
                  <c:v>-17419.229763727264</c:v>
                </c:pt>
                <c:pt idx="11">
                  <c:v>-18051.134416836074</c:v>
                </c:pt>
                <c:pt idx="12">
                  <c:v>-18695.327810758379</c:v>
                </c:pt>
                <c:pt idx="13">
                  <c:v>-19359.129292060486</c:v>
                </c:pt>
                <c:pt idx="14">
                  <c:v>-20043.114853014922</c:v>
                </c:pt>
                <c:pt idx="15">
                  <c:v>-20747.877274085316</c:v>
                </c:pt>
                <c:pt idx="16">
                  <c:v>-21182.043488892188</c:v>
                </c:pt>
                <c:pt idx="17">
                  <c:v>-22227.659553742211</c:v>
                </c:pt>
                <c:pt idx="18">
                  <c:v>-22994.373610000664</c:v>
                </c:pt>
                <c:pt idx="19">
                  <c:v>-23788.59919367544</c:v>
                </c:pt>
                <c:pt idx="20">
                  <c:v>-24606.836048273588</c:v>
                </c:pt>
                <c:pt idx="21">
                  <c:v>-25449.200504663972</c:v>
                </c:pt>
                <c:pt idx="22">
                  <c:v>-26317.586543582442</c:v>
                </c:pt>
                <c:pt idx="23">
                  <c:v>-27212.158952641479</c:v>
                </c:pt>
                <c:pt idx="24">
                  <c:v>-28133.685463676484</c:v>
                </c:pt>
                <c:pt idx="25">
                  <c:v>-29082.956186823943</c:v>
                </c:pt>
                <c:pt idx="26">
                  <c:v>-30060.784263032096</c:v>
                </c:pt>
                <c:pt idx="27">
                  <c:v>-31068.006535593257</c:v>
                </c:pt>
                <c:pt idx="28">
                  <c:v>-32105.484241261151</c:v>
                </c:pt>
                <c:pt idx="29">
                  <c:v>-33174.103721530824</c:v>
                </c:pt>
              </c:numCache>
            </c:numRef>
          </c:val>
          <c:extLst>
            <c:ext xmlns:c16="http://schemas.microsoft.com/office/drawing/2014/chart" uri="{C3380CC4-5D6E-409C-BE32-E72D297353CC}">
              <c16:uniqueId val="{00000005-0692-3644-A193-BDFFA634B345}"/>
            </c:ext>
          </c:extLst>
        </c:ser>
        <c:dLbls>
          <c:showLegendKey val="0"/>
          <c:showVal val="0"/>
          <c:showCatName val="0"/>
          <c:showSerName val="0"/>
          <c:showPercent val="0"/>
          <c:showBubbleSize val="0"/>
        </c:dLbls>
        <c:gapWidth val="150"/>
        <c:overlap val="100"/>
        <c:axId val="206218752"/>
        <c:axId val="206220288"/>
      </c:barChart>
      <c:catAx>
        <c:axId val="206218752"/>
        <c:scaling>
          <c:orientation val="minMax"/>
        </c:scaling>
        <c:delete val="0"/>
        <c:axPos val="b"/>
        <c:numFmt formatCode="0" sourceLinked="1"/>
        <c:majorTickMark val="out"/>
        <c:minorTickMark val="none"/>
        <c:tickLblPos val="nextTo"/>
        <c:crossAx val="206220288"/>
        <c:crosses val="autoZero"/>
        <c:auto val="1"/>
        <c:lblAlgn val="ctr"/>
        <c:lblOffset val="100"/>
        <c:noMultiLvlLbl val="0"/>
      </c:catAx>
      <c:valAx>
        <c:axId val="206220288"/>
        <c:scaling>
          <c:orientation val="minMax"/>
        </c:scaling>
        <c:delete val="0"/>
        <c:axPos val="l"/>
        <c:numFmt formatCode="_(* #,##0_);_(* \(#,##0\);_(* &quot;-&quot;??_);_(@_)" sourceLinked="1"/>
        <c:majorTickMark val="out"/>
        <c:minorTickMark val="none"/>
        <c:tickLblPos val="nextTo"/>
        <c:crossAx val="206218752"/>
        <c:crosses val="autoZero"/>
        <c:crossBetween val="between"/>
        <c:dispUnits>
          <c:builtInUnit val="thousands"/>
          <c:dispUnitsLbl>
            <c:layout>
              <c:manualLayout>
                <c:xMode val="edge"/>
                <c:yMode val="edge"/>
                <c:x val="1.5048908954100828E-2"/>
                <c:y val="0.41308122035205563"/>
              </c:manualLayout>
            </c:layout>
            <c:tx>
              <c:strRef>
                <c:f>'Charts - Freight'!$E$134</c:f>
                <c:strCache>
                  <c:ptCount val="1"/>
                  <c:pt idx="0">
                    <c:v>R$ millions</c:v>
                  </c:pt>
                </c:strCache>
              </c:strRef>
            </c:tx>
          </c:dispUnitsLbl>
        </c:dispUnits>
      </c:valAx>
    </c:plotArea>
    <c:legend>
      <c:legendPos val="b"/>
      <c:overlay val="0"/>
    </c:legend>
    <c:plotVisOnly val="1"/>
    <c:dispBlanksAs val="gap"/>
    <c:showDLblsOverMax val="0"/>
  </c:chart>
  <c:spPr>
    <a:solidFill>
      <a:schemeClr val="lt1"/>
    </a:solidFill>
    <a:ln w="25400" cap="flat" cmpd="sng" algn="ctr">
      <a:solidFill>
        <a:schemeClr val="accent2"/>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ndard"/>
        <c:varyColors val="0"/>
        <c:ser>
          <c:idx val="0"/>
          <c:order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0A18-3540-9F14-E0CF0D4EEC47}"/>
            </c:ext>
          </c:extLst>
        </c:ser>
        <c:dLbls>
          <c:showLegendKey val="0"/>
          <c:showVal val="0"/>
          <c:showCatName val="0"/>
          <c:showSerName val="0"/>
          <c:showPercent val="0"/>
          <c:showBubbleSize val="0"/>
        </c:dLbls>
        <c:axId val="206314112"/>
        <c:axId val="206328192"/>
      </c:areaChart>
      <c:catAx>
        <c:axId val="206314112"/>
        <c:scaling>
          <c:orientation val="minMax"/>
        </c:scaling>
        <c:delete val="0"/>
        <c:axPos val="b"/>
        <c:numFmt formatCode="0" sourceLinked="1"/>
        <c:majorTickMark val="out"/>
        <c:minorTickMark val="none"/>
        <c:tickLblPos val="nextTo"/>
        <c:crossAx val="206328192"/>
        <c:crosses val="autoZero"/>
        <c:auto val="1"/>
        <c:lblAlgn val="ctr"/>
        <c:lblOffset val="100"/>
        <c:noMultiLvlLbl val="0"/>
      </c:catAx>
      <c:valAx>
        <c:axId val="206328192"/>
        <c:scaling>
          <c:orientation val="minMax"/>
        </c:scaling>
        <c:delete val="0"/>
        <c:axPos val="l"/>
        <c:title>
          <c:tx>
            <c:rich>
              <a:bodyPr rot="-5400000" vert="horz"/>
              <a:lstStyle/>
              <a:p>
                <a:pPr>
                  <a:defRPr/>
                </a:pPr>
                <a:r>
                  <a:rPr lang="en-US"/>
                  <a:t>R$ (Millions)</a:t>
                </a:r>
              </a:p>
            </c:rich>
          </c:tx>
          <c:overlay val="0"/>
        </c:title>
        <c:numFmt formatCode="General" sourceLinked="1"/>
        <c:majorTickMark val="out"/>
        <c:minorTickMark val="none"/>
        <c:tickLblPos val="nextTo"/>
        <c:crossAx val="206314112"/>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Debt ratios</a:t>
            </a:r>
          </a:p>
        </c:rich>
      </c:tx>
      <c:overlay val="0"/>
    </c:title>
    <c:autoTitleDeleted val="0"/>
    <c:plotArea>
      <c:layout/>
      <c:lineChart>
        <c:grouping val="standard"/>
        <c:varyColors val="0"/>
        <c:ser>
          <c:idx val="0"/>
          <c:order val="0"/>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4642-FD46-BB97-55DB64779ECE}"/>
            </c:ext>
          </c:extLst>
        </c:ser>
        <c:dLbls>
          <c:showLegendKey val="0"/>
          <c:showVal val="0"/>
          <c:showCatName val="0"/>
          <c:showSerName val="0"/>
          <c:showPercent val="0"/>
          <c:showBubbleSize val="0"/>
        </c:dLbls>
        <c:marker val="1"/>
        <c:smooth val="0"/>
        <c:axId val="206354688"/>
        <c:axId val="206360576"/>
      </c:line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4642-FD46-BB97-55DB64779ECE}"/>
            </c:ext>
          </c:extLst>
        </c:ser>
        <c:dLbls>
          <c:showLegendKey val="0"/>
          <c:showVal val="0"/>
          <c:showCatName val="0"/>
          <c:showSerName val="0"/>
          <c:showPercent val="0"/>
          <c:showBubbleSize val="0"/>
        </c:dLbls>
        <c:marker val="1"/>
        <c:smooth val="0"/>
        <c:axId val="206363648"/>
        <c:axId val="206362112"/>
      </c:lineChart>
      <c:catAx>
        <c:axId val="206354688"/>
        <c:scaling>
          <c:orientation val="minMax"/>
        </c:scaling>
        <c:delete val="0"/>
        <c:axPos val="b"/>
        <c:numFmt formatCode="0" sourceLinked="1"/>
        <c:majorTickMark val="out"/>
        <c:minorTickMark val="none"/>
        <c:tickLblPos val="nextTo"/>
        <c:crossAx val="206360576"/>
        <c:crosses val="autoZero"/>
        <c:auto val="1"/>
        <c:lblAlgn val="ctr"/>
        <c:lblOffset val="100"/>
        <c:noMultiLvlLbl val="0"/>
      </c:catAx>
      <c:valAx>
        <c:axId val="206360576"/>
        <c:scaling>
          <c:orientation val="minMax"/>
        </c:scaling>
        <c:delete val="0"/>
        <c:axPos val="l"/>
        <c:numFmt formatCode="General" sourceLinked="1"/>
        <c:majorTickMark val="out"/>
        <c:minorTickMark val="none"/>
        <c:tickLblPos val="nextTo"/>
        <c:crossAx val="206354688"/>
        <c:crosses val="autoZero"/>
        <c:crossBetween val="between"/>
      </c:valAx>
      <c:valAx>
        <c:axId val="206362112"/>
        <c:scaling>
          <c:orientation val="minMax"/>
        </c:scaling>
        <c:delete val="0"/>
        <c:axPos val="r"/>
        <c:numFmt formatCode="General" sourceLinked="1"/>
        <c:majorTickMark val="out"/>
        <c:minorTickMark val="none"/>
        <c:tickLblPos val="nextTo"/>
        <c:crossAx val="206363648"/>
        <c:crosses val="max"/>
        <c:crossBetween val="between"/>
      </c:valAx>
      <c:catAx>
        <c:axId val="206363648"/>
        <c:scaling>
          <c:orientation val="minMax"/>
        </c:scaling>
        <c:delete val="1"/>
        <c:axPos val="b"/>
        <c:numFmt formatCode="0" sourceLinked="1"/>
        <c:majorTickMark val="out"/>
        <c:minorTickMark val="none"/>
        <c:tickLblPos val="none"/>
        <c:crossAx val="206362112"/>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2489-2743-8F3A-83068D8714E0}"/>
            </c:ext>
          </c:extLst>
        </c:ser>
        <c:ser>
          <c:idx val="1"/>
          <c:order val="1"/>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2489-2743-8F3A-83068D8714E0}"/>
            </c:ext>
          </c:extLst>
        </c:ser>
        <c:dLbls>
          <c:showLegendKey val="0"/>
          <c:showVal val="0"/>
          <c:showCatName val="0"/>
          <c:showSerName val="0"/>
          <c:showPercent val="0"/>
          <c:showBubbleSize val="0"/>
        </c:dLbls>
        <c:gapWidth val="150"/>
        <c:axId val="206530048"/>
        <c:axId val="206531584"/>
      </c:barChart>
      <c:lineChart>
        <c:grouping val="standard"/>
        <c:varyColors val="0"/>
        <c:ser>
          <c:idx val="2"/>
          <c:order val="2"/>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6="http://schemas.microsoft.com/office/drawing/2014/chart" uri="{C3380CC4-5D6E-409C-BE32-E72D297353CC}">
              <c16:uniqueId val="{00000002-2489-2743-8F3A-83068D8714E0}"/>
            </c:ext>
          </c:extLst>
        </c:ser>
        <c:dLbls>
          <c:showLegendKey val="0"/>
          <c:showVal val="0"/>
          <c:showCatName val="0"/>
          <c:showSerName val="0"/>
          <c:showPercent val="0"/>
          <c:showBubbleSize val="0"/>
        </c:dLbls>
        <c:marker val="1"/>
        <c:smooth val="0"/>
        <c:axId val="206539392"/>
        <c:axId val="206537856"/>
      </c:lineChart>
      <c:catAx>
        <c:axId val="206530048"/>
        <c:scaling>
          <c:orientation val="minMax"/>
        </c:scaling>
        <c:delete val="0"/>
        <c:axPos val="b"/>
        <c:numFmt formatCode="0" sourceLinked="1"/>
        <c:majorTickMark val="out"/>
        <c:minorTickMark val="none"/>
        <c:tickLblPos val="nextTo"/>
        <c:crossAx val="206531584"/>
        <c:crosses val="autoZero"/>
        <c:auto val="1"/>
        <c:lblAlgn val="ctr"/>
        <c:lblOffset val="100"/>
        <c:noMultiLvlLbl val="0"/>
      </c:catAx>
      <c:valAx>
        <c:axId val="206531584"/>
        <c:scaling>
          <c:orientation val="minMax"/>
        </c:scaling>
        <c:delete val="0"/>
        <c:axPos val="l"/>
        <c:numFmt formatCode="General" sourceLinked="1"/>
        <c:majorTickMark val="out"/>
        <c:minorTickMark val="none"/>
        <c:tickLblPos val="nextTo"/>
        <c:crossAx val="206530048"/>
        <c:crosses val="autoZero"/>
        <c:crossBetween val="between"/>
        <c:dispUnits>
          <c:builtInUnit val="thousands"/>
          <c:dispUnitsLbl>
            <c:layout>
              <c:manualLayout>
                <c:xMode val="edge"/>
                <c:yMode val="edge"/>
                <c:x val="3.0555555555555582E-2"/>
                <c:y val="0.29677092446777487"/>
              </c:manualLayout>
            </c:layout>
            <c:tx>
              <c:rich>
                <a:bodyPr/>
                <a:lstStyle/>
                <a:p>
                  <a:pPr>
                    <a:defRPr/>
                  </a:pPr>
                  <a:r>
                    <a:rPr lang="en-US"/>
                    <a:t>R$</a:t>
                  </a:r>
                  <a:r>
                    <a:rPr lang="en-US" baseline="0"/>
                    <a:t> (Billions)</a:t>
                  </a:r>
                  <a:endParaRPr lang="en-US"/>
                </a:p>
              </c:rich>
            </c:tx>
          </c:dispUnitsLbl>
        </c:dispUnits>
      </c:valAx>
      <c:valAx>
        <c:axId val="206537856"/>
        <c:scaling>
          <c:orientation val="minMax"/>
          <c:max val="10"/>
        </c:scaling>
        <c:delete val="0"/>
        <c:axPos val="r"/>
        <c:numFmt formatCode="General" sourceLinked="1"/>
        <c:majorTickMark val="out"/>
        <c:minorTickMark val="none"/>
        <c:tickLblPos val="nextTo"/>
        <c:crossAx val="206539392"/>
        <c:crosses val="max"/>
        <c:crossBetween val="between"/>
      </c:valAx>
      <c:catAx>
        <c:axId val="206539392"/>
        <c:scaling>
          <c:orientation val="minMax"/>
        </c:scaling>
        <c:delete val="1"/>
        <c:axPos val="b"/>
        <c:majorTickMark val="out"/>
        <c:minorTickMark val="none"/>
        <c:tickLblPos val="none"/>
        <c:crossAx val="206537856"/>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Traffic</a:t>
            </a:r>
            <a:r>
              <a:rPr lang="en-US" baseline="0"/>
              <a:t> intensity</a:t>
            </a:r>
            <a:endParaRPr lang="en-US"/>
          </a:p>
        </c:rich>
      </c:tx>
      <c:layout>
        <c:manualLayout>
          <c:xMode val="edge"/>
          <c:yMode val="edge"/>
          <c:x val="0.42911650387966377"/>
          <c:y val="3.2407407407408828E-2"/>
        </c:manualLayout>
      </c:layout>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5326-5948-86F4-124E57CE2526}"/>
            </c:ext>
          </c:extLst>
        </c:ser>
        <c:dLbls>
          <c:showLegendKey val="0"/>
          <c:showVal val="0"/>
          <c:showCatName val="0"/>
          <c:showSerName val="0"/>
          <c:showPercent val="0"/>
          <c:showBubbleSize val="0"/>
        </c:dLbls>
        <c:gapWidth val="150"/>
        <c:axId val="206564736"/>
        <c:axId val="206644352"/>
      </c:bar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5326-5948-86F4-124E57CE2526}"/>
            </c:ext>
          </c:extLst>
        </c:ser>
        <c:dLbls>
          <c:showLegendKey val="0"/>
          <c:showVal val="0"/>
          <c:showCatName val="0"/>
          <c:showSerName val="0"/>
          <c:showPercent val="0"/>
          <c:showBubbleSize val="0"/>
        </c:dLbls>
        <c:marker val="1"/>
        <c:smooth val="0"/>
        <c:axId val="206564736"/>
        <c:axId val="206644352"/>
      </c:lineChart>
      <c:catAx>
        <c:axId val="206564736"/>
        <c:scaling>
          <c:orientation val="minMax"/>
        </c:scaling>
        <c:delete val="0"/>
        <c:axPos val="b"/>
        <c:numFmt formatCode="0" sourceLinked="1"/>
        <c:majorTickMark val="out"/>
        <c:minorTickMark val="none"/>
        <c:tickLblPos val="nextTo"/>
        <c:crossAx val="206644352"/>
        <c:crosses val="autoZero"/>
        <c:auto val="1"/>
        <c:lblAlgn val="ctr"/>
        <c:lblOffset val="100"/>
        <c:noMultiLvlLbl val="0"/>
      </c:catAx>
      <c:valAx>
        <c:axId val="206644352"/>
        <c:scaling>
          <c:orientation val="minMax"/>
        </c:scaling>
        <c:delete val="0"/>
        <c:axPos val="l"/>
        <c:title>
          <c:tx>
            <c:rich>
              <a:bodyPr rot="-5400000" vert="horz"/>
              <a:lstStyle/>
              <a:p>
                <a:pPr>
                  <a:defRPr/>
                </a:pPr>
                <a:r>
                  <a:rPr lang="en-US"/>
                  <a:t>Million</a:t>
                </a:r>
                <a:r>
                  <a:rPr lang="en-US" baseline="0"/>
                  <a:t> traffic units per track-km</a:t>
                </a:r>
                <a:endParaRPr lang="en-US"/>
              </a:p>
            </c:rich>
          </c:tx>
          <c:overlay val="0"/>
        </c:title>
        <c:numFmt formatCode="General" sourceLinked="1"/>
        <c:majorTickMark val="out"/>
        <c:minorTickMark val="none"/>
        <c:tickLblPos val="nextTo"/>
        <c:crossAx val="206564736"/>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Passenger traffic</a:t>
            </a:r>
          </a:p>
        </c:rich>
      </c:tx>
      <c:overlay val="0"/>
    </c:title>
    <c:autoTitleDeleted val="0"/>
    <c:plotArea>
      <c:layout/>
      <c:barChart>
        <c:barDir val="col"/>
        <c:grouping val="stacked"/>
        <c:varyColors val="0"/>
        <c:ser>
          <c:idx val="0"/>
          <c:order val="0"/>
          <c:tx>
            <c:strRef>
              <c:f>'Charts - Passenger'!$B$145</c:f>
              <c:strCache>
                <c:ptCount val="1"/>
                <c:pt idx="0">
                  <c:v>Domestic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[0]!domesticpkmpax</c:f>
              <c:numCache>
                <c:formatCode>_(* #,##0_);_(* \(#,##0\);_(* "-"??_);_(@_)</c:formatCode>
                <c:ptCount val="30"/>
                <c:pt idx="0">
                  <c:v>8000</c:v>
                </c:pt>
                <c:pt idx="1">
                  <c:v>8500</c:v>
                </c:pt>
                <c:pt idx="2">
                  <c:v>8500</c:v>
                </c:pt>
                <c:pt idx="3">
                  <c:v>9000</c:v>
                </c:pt>
                <c:pt idx="4">
                  <c:v>10000</c:v>
                </c:pt>
                <c:pt idx="5">
                  <c:v>10500</c:v>
                </c:pt>
                <c:pt idx="6">
                  <c:v>11000</c:v>
                </c:pt>
                <c:pt idx="7">
                  <c:v>11500</c:v>
                </c:pt>
                <c:pt idx="8">
                  <c:v>12000</c:v>
                </c:pt>
                <c:pt idx="9">
                  <c:v>12500</c:v>
                </c:pt>
                <c:pt idx="10">
                  <c:v>13000</c:v>
                </c:pt>
                <c:pt idx="11">
                  <c:v>13500</c:v>
                </c:pt>
                <c:pt idx="12">
                  <c:v>14000</c:v>
                </c:pt>
                <c:pt idx="13">
                  <c:v>14500</c:v>
                </c:pt>
                <c:pt idx="14">
                  <c:v>15000</c:v>
                </c:pt>
                <c:pt idx="15">
                  <c:v>15500</c:v>
                </c:pt>
                <c:pt idx="16">
                  <c:v>16000</c:v>
                </c:pt>
                <c:pt idx="17">
                  <c:v>16500</c:v>
                </c:pt>
                <c:pt idx="18">
                  <c:v>17000</c:v>
                </c:pt>
                <c:pt idx="19">
                  <c:v>17500</c:v>
                </c:pt>
                <c:pt idx="20">
                  <c:v>18000</c:v>
                </c:pt>
                <c:pt idx="21">
                  <c:v>18500</c:v>
                </c:pt>
                <c:pt idx="22">
                  <c:v>19000</c:v>
                </c:pt>
                <c:pt idx="23">
                  <c:v>19500</c:v>
                </c:pt>
                <c:pt idx="24">
                  <c:v>20000</c:v>
                </c:pt>
                <c:pt idx="25">
                  <c:v>20500</c:v>
                </c:pt>
                <c:pt idx="26">
                  <c:v>21000</c:v>
                </c:pt>
                <c:pt idx="27">
                  <c:v>21500</c:v>
                </c:pt>
                <c:pt idx="28">
                  <c:v>22000</c:v>
                </c:pt>
                <c:pt idx="29">
                  <c:v>22500</c:v>
                </c:pt>
              </c:numCache>
            </c:numRef>
          </c:val>
          <c:extLst>
            <c:ext xmlns:c16="http://schemas.microsoft.com/office/drawing/2014/chart" uri="{C3380CC4-5D6E-409C-BE32-E72D297353CC}">
              <c16:uniqueId val="{00000000-6084-2542-8146-73BFE75AAF58}"/>
            </c:ext>
          </c:extLst>
        </c:ser>
        <c:ser>
          <c:idx val="1"/>
          <c:order val="1"/>
          <c:tx>
            <c:strRef>
              <c:f>'Charts - Passenger'!$B$146</c:f>
              <c:strCache>
                <c:ptCount val="1"/>
                <c:pt idx="0">
                  <c:v>International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[0]!internationalpkmpax</c:f>
              <c:numCache>
                <c:formatCode>_(* #,##0_);_(* \(#,##0\);_(* "-"??_);_(@_)</c:formatCode>
                <c:ptCount val="30"/>
                <c:pt idx="0">
                  <c:v>8000</c:v>
                </c:pt>
                <c:pt idx="1">
                  <c:v>8500</c:v>
                </c:pt>
                <c:pt idx="2">
                  <c:v>8500</c:v>
                </c:pt>
                <c:pt idx="3">
                  <c:v>9000</c:v>
                </c:pt>
                <c:pt idx="4">
                  <c:v>10000</c:v>
                </c:pt>
                <c:pt idx="5">
                  <c:v>10500</c:v>
                </c:pt>
                <c:pt idx="6">
                  <c:v>11000</c:v>
                </c:pt>
                <c:pt idx="7">
                  <c:v>11500</c:v>
                </c:pt>
                <c:pt idx="8">
                  <c:v>12000</c:v>
                </c:pt>
                <c:pt idx="9">
                  <c:v>12500</c:v>
                </c:pt>
                <c:pt idx="10">
                  <c:v>13000</c:v>
                </c:pt>
                <c:pt idx="11">
                  <c:v>13500</c:v>
                </c:pt>
                <c:pt idx="12">
                  <c:v>14000</c:v>
                </c:pt>
                <c:pt idx="13">
                  <c:v>14500</c:v>
                </c:pt>
                <c:pt idx="14">
                  <c:v>15000</c:v>
                </c:pt>
                <c:pt idx="15">
                  <c:v>15500</c:v>
                </c:pt>
                <c:pt idx="16">
                  <c:v>16000</c:v>
                </c:pt>
                <c:pt idx="17">
                  <c:v>16500</c:v>
                </c:pt>
                <c:pt idx="18">
                  <c:v>17000</c:v>
                </c:pt>
                <c:pt idx="19">
                  <c:v>17500</c:v>
                </c:pt>
                <c:pt idx="20">
                  <c:v>18000</c:v>
                </c:pt>
                <c:pt idx="21">
                  <c:v>18500</c:v>
                </c:pt>
                <c:pt idx="22">
                  <c:v>19000</c:v>
                </c:pt>
                <c:pt idx="23">
                  <c:v>19500</c:v>
                </c:pt>
                <c:pt idx="24">
                  <c:v>20000</c:v>
                </c:pt>
                <c:pt idx="25">
                  <c:v>20500</c:v>
                </c:pt>
                <c:pt idx="26">
                  <c:v>21000</c:v>
                </c:pt>
                <c:pt idx="27">
                  <c:v>21500</c:v>
                </c:pt>
                <c:pt idx="28">
                  <c:v>22000</c:v>
                </c:pt>
                <c:pt idx="29">
                  <c:v>22500</c:v>
                </c:pt>
              </c:numCache>
            </c:numRef>
          </c:val>
          <c:extLst>
            <c:ext xmlns:c16="http://schemas.microsoft.com/office/drawing/2014/chart" uri="{C3380CC4-5D6E-409C-BE32-E72D297353CC}">
              <c16:uniqueId val="{00000001-6084-2542-8146-73BFE75AAF58}"/>
            </c:ext>
          </c:extLst>
        </c:ser>
        <c:ser>
          <c:idx val="2"/>
          <c:order val="2"/>
          <c:tx>
            <c:strRef>
              <c:f>'Charts - Passenger'!$B$147</c:f>
              <c:strCache>
                <c:ptCount val="1"/>
                <c:pt idx="0">
                  <c:v>Sub-urban passenger</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[0]!suburbanpkmpax</c:f>
              <c:numCache>
                <c:formatCode>_(* #,##0_);_(* \(#,##0\);_(* "-"??_);_(@_)</c:formatCode>
                <c:ptCount val="30"/>
                <c:pt idx="0">
                  <c:v>8000</c:v>
                </c:pt>
                <c:pt idx="1">
                  <c:v>8500</c:v>
                </c:pt>
                <c:pt idx="2">
                  <c:v>8500</c:v>
                </c:pt>
                <c:pt idx="3">
                  <c:v>9000</c:v>
                </c:pt>
                <c:pt idx="4">
                  <c:v>10000</c:v>
                </c:pt>
                <c:pt idx="5">
                  <c:v>10500</c:v>
                </c:pt>
                <c:pt idx="6">
                  <c:v>11000</c:v>
                </c:pt>
                <c:pt idx="7">
                  <c:v>11500</c:v>
                </c:pt>
                <c:pt idx="8">
                  <c:v>12000</c:v>
                </c:pt>
                <c:pt idx="9">
                  <c:v>12500</c:v>
                </c:pt>
                <c:pt idx="10">
                  <c:v>13000</c:v>
                </c:pt>
                <c:pt idx="11">
                  <c:v>13500</c:v>
                </c:pt>
                <c:pt idx="12">
                  <c:v>14000</c:v>
                </c:pt>
                <c:pt idx="13">
                  <c:v>14500</c:v>
                </c:pt>
                <c:pt idx="14">
                  <c:v>15000</c:v>
                </c:pt>
                <c:pt idx="15">
                  <c:v>15500</c:v>
                </c:pt>
                <c:pt idx="16">
                  <c:v>16000</c:v>
                </c:pt>
                <c:pt idx="17">
                  <c:v>16500</c:v>
                </c:pt>
                <c:pt idx="18">
                  <c:v>17000</c:v>
                </c:pt>
                <c:pt idx="19">
                  <c:v>17500</c:v>
                </c:pt>
                <c:pt idx="20">
                  <c:v>18000</c:v>
                </c:pt>
                <c:pt idx="21">
                  <c:v>18500</c:v>
                </c:pt>
                <c:pt idx="22">
                  <c:v>19000</c:v>
                </c:pt>
                <c:pt idx="23">
                  <c:v>19500</c:v>
                </c:pt>
                <c:pt idx="24">
                  <c:v>20000</c:v>
                </c:pt>
                <c:pt idx="25">
                  <c:v>20500</c:v>
                </c:pt>
                <c:pt idx="26">
                  <c:v>21000</c:v>
                </c:pt>
                <c:pt idx="27">
                  <c:v>21500</c:v>
                </c:pt>
                <c:pt idx="28">
                  <c:v>22000</c:v>
                </c:pt>
                <c:pt idx="29">
                  <c:v>22500</c:v>
                </c:pt>
              </c:numCache>
            </c:numRef>
          </c:val>
          <c:extLst>
            <c:ext xmlns:c16="http://schemas.microsoft.com/office/drawing/2014/chart" uri="{C3380CC4-5D6E-409C-BE32-E72D297353CC}">
              <c16:uniqueId val="{00000002-6084-2542-8146-73BFE75AAF58}"/>
            </c:ext>
          </c:extLst>
        </c:ser>
        <c:dLbls>
          <c:showLegendKey val="0"/>
          <c:showVal val="0"/>
          <c:showCatName val="0"/>
          <c:showSerName val="0"/>
          <c:showPercent val="0"/>
          <c:showBubbleSize val="0"/>
        </c:dLbls>
        <c:gapWidth val="150"/>
        <c:overlap val="100"/>
        <c:axId val="206692352"/>
        <c:axId val="206693888"/>
      </c:barChart>
      <c:catAx>
        <c:axId val="206692352"/>
        <c:scaling>
          <c:orientation val="minMax"/>
        </c:scaling>
        <c:delete val="0"/>
        <c:axPos val="b"/>
        <c:numFmt formatCode="0" sourceLinked="1"/>
        <c:majorTickMark val="out"/>
        <c:minorTickMark val="none"/>
        <c:tickLblPos val="nextTo"/>
        <c:crossAx val="206693888"/>
        <c:crosses val="autoZero"/>
        <c:auto val="1"/>
        <c:lblAlgn val="ctr"/>
        <c:lblOffset val="100"/>
        <c:noMultiLvlLbl val="0"/>
      </c:catAx>
      <c:valAx>
        <c:axId val="206693888"/>
        <c:scaling>
          <c:orientation val="minMax"/>
        </c:scaling>
        <c:delete val="0"/>
        <c:axPos val="l"/>
        <c:numFmt formatCode="_(* #,##0_);_(* \(#,##0\);_(* &quot;-&quot;??_);_(@_)" sourceLinked="1"/>
        <c:majorTickMark val="out"/>
        <c:minorTickMark val="none"/>
        <c:tickLblPos val="nextTo"/>
        <c:crossAx val="206692352"/>
        <c:crosses val="autoZero"/>
        <c:crossBetween val="between"/>
        <c:dispUnits>
          <c:builtInUnit val="thousands"/>
          <c:dispUnitsLbl>
            <c:layout>
              <c:manualLayout>
                <c:xMode val="edge"/>
                <c:yMode val="edge"/>
                <c:x val="3.1215161649944412E-2"/>
                <c:y val="0.26436351706036748"/>
              </c:manualLayout>
            </c:layout>
            <c:tx>
              <c:strRef>
                <c:f>'Charts - Passenger'!$F$158</c:f>
                <c:strCache>
                  <c:ptCount val="1"/>
                  <c:pt idx="0">
                    <c:v>Passenger-km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rgbClr val="7030A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[0]!operatingrevenuespax</c:f>
              <c:numCache>
                <c:formatCode>_(* #,##0_);_(* \(#,##0\);_(* "-"??_);_(@_)</c:formatCode>
                <c:ptCount val="30"/>
                <c:pt idx="0">
                  <c:v>24512</c:v>
                </c:pt>
                <c:pt idx="1">
                  <c:v>26776.924713958808</c:v>
                </c:pt>
                <c:pt idx="2">
                  <c:v>27566.26488385785</c:v>
                </c:pt>
                <c:pt idx="3">
                  <c:v>30017.618080946355</c:v>
                </c:pt>
                <c:pt idx="4">
                  <c:v>34279.949024389927</c:v>
                </c:pt>
                <c:pt idx="5">
                  <c:v>37032.53579802921</c:v>
                </c:pt>
                <c:pt idx="6">
                  <c:v>39919.86872866359</c:v>
                </c:pt>
                <c:pt idx="7">
                  <c:v>42947.555221003211</c:v>
                </c:pt>
                <c:pt idx="8">
                  <c:v>46121.417852499559</c:v>
                </c:pt>
                <c:pt idx="9">
                  <c:v>49447.511898881392</c:v>
                </c:pt>
                <c:pt idx="10">
                  <c:v>52932.085166842822</c:v>
                </c:pt>
                <c:pt idx="11">
                  <c:v>56581.692703882596</c:v>
                </c:pt>
                <c:pt idx="12">
                  <c:v>60403.079921803474</c:v>
                </c:pt>
                <c:pt idx="13">
                  <c:v>64403.26892675741</c:v>
                </c:pt>
                <c:pt idx="14">
                  <c:v>68589.548549552623</c:v>
                </c:pt>
                <c:pt idx="15">
                  <c:v>72969.484029237487</c:v>
                </c:pt>
                <c:pt idx="16">
                  <c:v>77550.9270376473</c:v>
                </c:pt>
                <c:pt idx="17">
                  <c:v>82342.026056656177</c:v>
                </c:pt>
                <c:pt idx="18">
                  <c:v>87351.237120274876</c:v>
                </c:pt>
                <c:pt idx="19">
                  <c:v>92587.19966844481</c:v>
                </c:pt>
                <c:pt idx="20">
                  <c:v>98058.577363466902</c:v>
                </c:pt>
                <c:pt idx="21">
                  <c:v>103776.10431871914</c:v>
                </c:pt>
                <c:pt idx="22">
                  <c:v>109748.87054206799</c:v>
                </c:pt>
                <c:pt idx="23">
                  <c:v>115987.04459601869</c:v>
                </c:pt>
                <c:pt idx="24">
                  <c:v>122501.07173193288</c:v>
                </c:pt>
                <c:pt idx="25">
                  <c:v>129302.09723360164</c:v>
                </c:pt>
                <c:pt idx="26">
                  <c:v>136401.37348583053</c:v>
                </c:pt>
                <c:pt idx="27">
                  <c:v>143810.6746003149</c:v>
                </c:pt>
                <c:pt idx="28">
                  <c:v>151542.21271132951</c:v>
                </c:pt>
                <c:pt idx="29">
                  <c:v>159608.6536601354</c:v>
                </c:pt>
              </c:numCache>
            </c:numRef>
          </c:val>
          <c:extLst>
            <c:ext xmlns:c16="http://schemas.microsoft.com/office/drawing/2014/chart" uri="{C3380CC4-5D6E-409C-BE32-E72D297353CC}">
              <c16:uniqueId val="{00000000-FEF0-C744-AD10-A4810D91ED0D}"/>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[0]!operatingcostspax</c:f>
              <c:numCache>
                <c:formatCode>_(* #,##0_);_(* \(#,##0\);_(* "-"??_);_(@_)</c:formatCode>
                <c:ptCount val="30"/>
                <c:pt idx="0">
                  <c:v>11420</c:v>
                </c:pt>
                <c:pt idx="1">
                  <c:v>12332.181064073227</c:v>
                </c:pt>
                <c:pt idx="2">
                  <c:v>12713.684726210007</c:v>
                </c:pt>
                <c:pt idx="3">
                  <c:v>13714.138266374508</c:v>
                </c:pt>
                <c:pt idx="4">
                  <c:v>15395.968092789008</c:v>
                </c:pt>
                <c:pt idx="5">
                  <c:v>16513.971275834763</c:v>
                </c:pt>
                <c:pt idx="6">
                  <c:v>17684.901510670763</c:v>
                </c:pt>
                <c:pt idx="7">
                  <c:v>18910.933491350843</c:v>
                </c:pt>
                <c:pt idx="8">
                  <c:v>20194.324759225416</c:v>
                </c:pt>
                <c:pt idx="9">
                  <c:v>21537.636107859071</c:v>
                </c:pt>
                <c:pt idx="10">
                  <c:v>22942.647746376093</c:v>
                </c:pt>
                <c:pt idx="11">
                  <c:v>24412.753833592946</c:v>
                </c:pt>
                <c:pt idx="12">
                  <c:v>25950.139734550718</c:v>
                </c:pt>
                <c:pt idx="13">
                  <c:v>27557.524612058682</c:v>
                </c:pt>
                <c:pt idx="14">
                  <c:v>29237.730226862317</c:v>
                </c:pt>
                <c:pt idx="15">
                  <c:v>30993.684646272926</c:v>
                </c:pt>
                <c:pt idx="16">
                  <c:v>32828.426082976919</c:v>
                </c:pt>
                <c:pt idx="17">
                  <c:v>34745.106868497758</c:v>
                </c:pt>
                <c:pt idx="18">
                  <c:v>36746.997565934747</c:v>
                </c:pt>
                <c:pt idx="19">
                  <c:v>38834.447748498344</c:v>
                </c:pt>
                <c:pt idx="20">
                  <c:v>41001.197667513698</c:v>
                </c:pt>
                <c:pt idx="21">
                  <c:v>43279.820293434881</c:v>
                </c:pt>
                <c:pt idx="22">
                  <c:v>45658.004801167233</c:v>
                </c:pt>
                <c:pt idx="23">
                  <c:v>48139.679821291968</c:v>
                </c:pt>
                <c:pt idx="24">
                  <c:v>50726.690179634141</c:v>
                </c:pt>
                <c:pt idx="25">
                  <c:v>53427.721795813428</c:v>
                </c:pt>
                <c:pt idx="26">
                  <c:v>56244.927595176974</c:v>
                </c:pt>
                <c:pt idx="27">
                  <c:v>59182.8527782971</c:v>
                </c:pt>
                <c:pt idx="28">
                  <c:v>62246.210701015756</c:v>
                </c:pt>
                <c:pt idx="29">
                  <c:v>65439.888873079959</c:v>
                </c:pt>
              </c:numCache>
            </c:numRef>
          </c:val>
          <c:extLst>
            <c:ext xmlns:c16="http://schemas.microsoft.com/office/drawing/2014/chart" uri="{C3380CC4-5D6E-409C-BE32-E72D297353CC}">
              <c16:uniqueId val="{00000001-FEF0-C744-AD10-A4810D91ED0D}"/>
            </c:ext>
          </c:extLst>
        </c:ser>
        <c:dLbls>
          <c:showLegendKey val="0"/>
          <c:showVal val="0"/>
          <c:showCatName val="0"/>
          <c:showSerName val="0"/>
          <c:showPercent val="0"/>
          <c:showBubbleSize val="0"/>
        </c:dLbls>
        <c:gapWidth val="150"/>
        <c:axId val="206623104"/>
        <c:axId val="206624640"/>
      </c:barChart>
      <c:lineChart>
        <c:grouping val="standard"/>
        <c:varyColors val="0"/>
        <c:ser>
          <c:idx val="2"/>
          <c:order val="2"/>
          <c:tx>
            <c:strRef>
              <c:f>'Charts - Freight'!$B$140</c:f>
              <c:strCache>
                <c:ptCount val="1"/>
                <c:pt idx="0">
                  <c:v>Operating profit</c:v>
                </c:pt>
              </c:strCache>
            </c:strRef>
          </c:tx>
          <c:marker>
            <c:symbol val="none"/>
          </c:marker>
          <c:val>
            <c:numRef>
              <c:f>[0]!operatingprofitpax</c:f>
              <c:numCache>
                <c:formatCode>0%</c:formatCode>
                <c:ptCount val="30"/>
                <c:pt idx="0">
                  <c:v>0.53410574412532641</c:v>
                </c:pt>
                <c:pt idx="1">
                  <c:v>0.53944744604504702</c:v>
                </c:pt>
                <c:pt idx="2">
                  <c:v>0.53879552490062443</c:v>
                </c:pt>
                <c:pt idx="3">
                  <c:v>0.54313036332887654</c:v>
                </c:pt>
                <c:pt idx="4">
                  <c:v>0.55087540877511543</c:v>
                </c:pt>
                <c:pt idx="5">
                  <c:v>0.55406857996708936</c:v>
                </c:pt>
                <c:pt idx="6">
                  <c:v>0.55698998834701818</c:v>
                </c:pt>
                <c:pt idx="7">
                  <c:v>0.55967380694809421</c:v>
                </c:pt>
                <c:pt idx="8">
                  <c:v>0.56214865675186565</c:v>
                </c:pt>
                <c:pt idx="9">
                  <c:v>0.56443438141229718</c:v>
                </c:pt>
                <c:pt idx="10">
                  <c:v>0.5665644443429636</c:v>
                </c:pt>
                <c:pt idx="11">
                  <c:v>0.56853970485902838</c:v>
                </c:pt>
                <c:pt idx="12">
                  <c:v>0.57038383194788722</c:v>
                </c:pt>
                <c:pt idx="13">
                  <c:v>0.57210984673156162</c:v>
                </c:pt>
                <c:pt idx="14">
                  <c:v>0.57372907614722857</c:v>
                </c:pt>
                <c:pt idx="15">
                  <c:v>0.57525142107549576</c:v>
                </c:pt>
                <c:pt idx="16">
                  <c:v>0.57668557505392204</c:v>
                </c:pt>
                <c:pt idx="17">
                  <c:v>0.57803920388610464</c:v>
                </c:pt>
                <c:pt idx="18">
                  <c:v>0.57931909406918414</c:v>
                </c:pt>
                <c:pt idx="19">
                  <c:v>0.58056353483457024</c:v>
                </c:pt>
                <c:pt idx="20">
                  <c:v>0.58187035984075708</c:v>
                </c:pt>
                <c:pt idx="21">
                  <c:v>0.58295003866677175</c:v>
                </c:pt>
                <c:pt idx="22">
                  <c:v>0.58397745165253434</c:v>
                </c:pt>
                <c:pt idx="23">
                  <c:v>0.58495640621793732</c:v>
                </c:pt>
                <c:pt idx="24">
                  <c:v>0.58590819278186779</c:v>
                </c:pt>
                <c:pt idx="25">
                  <c:v>0.58679926359362089</c:v>
                </c:pt>
                <c:pt idx="26">
                  <c:v>0.58765131055648989</c:v>
                </c:pt>
                <c:pt idx="27">
                  <c:v>0.58846689967361088</c:v>
                </c:pt>
                <c:pt idx="28">
                  <c:v>0.58924837121398232</c:v>
                </c:pt>
                <c:pt idx="29">
                  <c:v>0.58999786432366519</c:v>
                </c:pt>
              </c:numCache>
            </c:numRef>
          </c:val>
          <c:smooth val="0"/>
          <c:extLst>
            <c:ext xmlns:c16="http://schemas.microsoft.com/office/drawing/2014/chart" uri="{C3380CC4-5D6E-409C-BE32-E72D297353CC}">
              <c16:uniqueId val="{00000002-FEF0-C744-AD10-A4810D91ED0D}"/>
            </c:ext>
          </c:extLst>
        </c:ser>
        <c:dLbls>
          <c:showLegendKey val="0"/>
          <c:showVal val="0"/>
          <c:showCatName val="0"/>
          <c:showSerName val="0"/>
          <c:showPercent val="0"/>
          <c:showBubbleSize val="0"/>
        </c:dLbls>
        <c:marker val="1"/>
        <c:smooth val="0"/>
        <c:axId val="206628736"/>
        <c:axId val="206627200"/>
      </c:lineChart>
      <c:catAx>
        <c:axId val="206623104"/>
        <c:scaling>
          <c:orientation val="minMax"/>
        </c:scaling>
        <c:delete val="0"/>
        <c:axPos val="b"/>
        <c:numFmt formatCode="0" sourceLinked="1"/>
        <c:majorTickMark val="out"/>
        <c:minorTickMark val="none"/>
        <c:tickLblPos val="nextTo"/>
        <c:crossAx val="206624640"/>
        <c:crosses val="autoZero"/>
        <c:auto val="1"/>
        <c:lblAlgn val="ctr"/>
        <c:lblOffset val="100"/>
        <c:noMultiLvlLbl val="0"/>
      </c:catAx>
      <c:valAx>
        <c:axId val="206624640"/>
        <c:scaling>
          <c:orientation val="minMax"/>
        </c:scaling>
        <c:delete val="0"/>
        <c:axPos val="l"/>
        <c:title>
          <c:tx>
            <c:strRef>
              <c:f>'Charts - Passenger'!$E$135</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6623104"/>
        <c:crosses val="autoZero"/>
        <c:crossBetween val="between"/>
        <c:dispUnits>
          <c:builtInUnit val="thousands"/>
        </c:dispUnits>
      </c:valAx>
      <c:valAx>
        <c:axId val="206627200"/>
        <c:scaling>
          <c:orientation val="minMax"/>
        </c:scaling>
        <c:delete val="0"/>
        <c:axPos val="r"/>
        <c:numFmt formatCode="0%" sourceLinked="1"/>
        <c:majorTickMark val="out"/>
        <c:minorTickMark val="none"/>
        <c:tickLblPos val="nextTo"/>
        <c:crossAx val="206628736"/>
        <c:crosses val="max"/>
        <c:crossBetween val="between"/>
      </c:valAx>
      <c:catAx>
        <c:axId val="206628736"/>
        <c:scaling>
          <c:orientation val="minMax"/>
        </c:scaling>
        <c:delete val="1"/>
        <c:axPos val="b"/>
        <c:majorTickMark val="out"/>
        <c:minorTickMark val="none"/>
        <c:tickLblPos val="none"/>
        <c:crossAx val="206627200"/>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rgbClr val="7030A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[0]!operatingcashflowpax</c:f>
              <c:numCache>
                <c:formatCode>_(* #,##0_);_(* \(#,##0\);_(* "-"??_);_(@_)</c:formatCode>
                <c:ptCount val="30"/>
                <c:pt idx="0">
                  <c:v>0</c:v>
                </c:pt>
                <c:pt idx="1">
                  <c:v>9711.9983596389757</c:v>
                </c:pt>
                <c:pt idx="2">
                  <c:v>10383.080923793646</c:v>
                </c:pt>
                <c:pt idx="3">
                  <c:v>11332.038751553499</c:v>
                </c:pt>
                <c:pt idx="4">
                  <c:v>13105.456950143558</c:v>
                </c:pt>
                <c:pt idx="5">
                  <c:v>14824.734865934801</c:v>
                </c:pt>
                <c:pt idx="6">
                  <c:v>16376.906870982404</c:v>
                </c:pt>
                <c:pt idx="7">
                  <c:v>18025.558867202464</c:v>
                </c:pt>
                <c:pt idx="8">
                  <c:v>19797.382657557842</c:v>
                </c:pt>
                <c:pt idx="9">
                  <c:v>21677.486956082153</c:v>
                </c:pt>
                <c:pt idx="10">
                  <c:v>23227.61198253063</c:v>
                </c:pt>
                <c:pt idx="11">
                  <c:v>25179.813063298785</c:v>
                </c:pt>
                <c:pt idx="12">
                  <c:v>27273.580134959677</c:v>
                </c:pt>
                <c:pt idx="13">
                  <c:v>29486.136986414142</c:v>
                </c:pt>
                <c:pt idx="14">
                  <c:v>31823.055235942418</c:v>
                </c:pt>
                <c:pt idx="15">
                  <c:v>34290.140776367734</c:v>
                </c:pt>
                <c:pt idx="16">
                  <c:v>36893.067960858076</c:v>
                </c:pt>
                <c:pt idx="17">
                  <c:v>39637.482506988839</c:v>
                </c:pt>
                <c:pt idx="18">
                  <c:v>42532.940545235855</c:v>
                </c:pt>
                <c:pt idx="19">
                  <c:v>45583.475785839277</c:v>
                </c:pt>
                <c:pt idx="20">
                  <c:v>48793.392030694806</c:v>
                </c:pt>
                <c:pt idx="21">
                  <c:v>52178.32062702479</c:v>
                </c:pt>
                <c:pt idx="22">
                  <c:v>55741.360295724051</c:v>
                </c:pt>
                <c:pt idx="23">
                  <c:v>59490.656925452909</c:v>
                </c:pt>
                <c:pt idx="24">
                  <c:v>63433.94622038371</c:v>
                </c:pt>
                <c:pt idx="25">
                  <c:v>67581.208911534108</c:v>
                </c:pt>
                <c:pt idx="26">
                  <c:v>71940.517206861725</c:v>
                </c:pt>
                <c:pt idx="27">
                  <c:v>76520.658109752476</c:v>
                </c:pt>
                <c:pt idx="28">
                  <c:v>81333.913072660231</c:v>
                </c:pt>
                <c:pt idx="29">
                  <c:v>86389.08806641557</c:v>
                </c:pt>
              </c:numCache>
            </c:numRef>
          </c:val>
          <c:extLst>
            <c:ext xmlns:c16="http://schemas.microsoft.com/office/drawing/2014/chart" uri="{C3380CC4-5D6E-409C-BE32-E72D297353CC}">
              <c16:uniqueId val="{00000000-2381-4743-8161-E1C7F25AB972}"/>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[0]!investingcashflowpax</c:f>
              <c:numCache>
                <c:formatCode>_(* #,##0_);_(* \(#,##0\);_(* "-"??_);_(@_)</c:formatCode>
                <c:ptCount val="30"/>
                <c:pt idx="0">
                  <c:v>0</c:v>
                </c:pt>
                <c:pt idx="1">
                  <c:v>-250</c:v>
                </c:pt>
                <c:pt idx="2">
                  <c:v>-250</c:v>
                </c:pt>
                <c:pt idx="3">
                  <c:v>-250</c:v>
                </c:pt>
                <c:pt idx="4">
                  <c:v>-250</c:v>
                </c:pt>
                <c:pt idx="5">
                  <c:v>-250</c:v>
                </c:pt>
                <c:pt idx="6">
                  <c:v>-250</c:v>
                </c:pt>
                <c:pt idx="7">
                  <c:v>-250</c:v>
                </c:pt>
                <c:pt idx="8">
                  <c:v>-250</c:v>
                </c:pt>
                <c:pt idx="9">
                  <c:v>-255</c:v>
                </c:pt>
                <c:pt idx="10">
                  <c:v>-255</c:v>
                </c:pt>
                <c:pt idx="11">
                  <c:v>-255</c:v>
                </c:pt>
                <c:pt idx="12">
                  <c:v>-255</c:v>
                </c:pt>
                <c:pt idx="13">
                  <c:v>-255</c:v>
                </c:pt>
                <c:pt idx="14">
                  <c:v>-255</c:v>
                </c:pt>
                <c:pt idx="15">
                  <c:v>-255</c:v>
                </c:pt>
                <c:pt idx="16">
                  <c:v>-255</c:v>
                </c:pt>
                <c:pt idx="17">
                  <c:v>-255</c:v>
                </c:pt>
                <c:pt idx="18">
                  <c:v>-255</c:v>
                </c:pt>
                <c:pt idx="19">
                  <c:v>-255</c:v>
                </c:pt>
                <c:pt idx="20">
                  <c:v>-255</c:v>
                </c:pt>
                <c:pt idx="21">
                  <c:v>-260</c:v>
                </c:pt>
                <c:pt idx="22">
                  <c:v>-260</c:v>
                </c:pt>
                <c:pt idx="23">
                  <c:v>-260</c:v>
                </c:pt>
                <c:pt idx="24">
                  <c:v>-260</c:v>
                </c:pt>
                <c:pt idx="25">
                  <c:v>-260</c:v>
                </c:pt>
                <c:pt idx="26">
                  <c:v>-260</c:v>
                </c:pt>
                <c:pt idx="27">
                  <c:v>-260</c:v>
                </c:pt>
                <c:pt idx="28">
                  <c:v>-260</c:v>
                </c:pt>
                <c:pt idx="29">
                  <c:v>-260</c:v>
                </c:pt>
              </c:numCache>
            </c:numRef>
          </c:val>
          <c:extLst>
            <c:ext xmlns:c16="http://schemas.microsoft.com/office/drawing/2014/chart" uri="{C3380CC4-5D6E-409C-BE32-E72D297353CC}">
              <c16:uniqueId val="{00000001-2381-4743-8161-E1C7F25AB972}"/>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[0]!loanspax</c:f>
              <c:numCache>
                <c:formatCode>_(* #,##0_);_(* \(#,##0\);_(* "-"??_);_(@_)</c:formatCode>
                <c:ptCount val="30"/>
                <c:pt idx="0">
                  <c:v>0</c:v>
                </c:pt>
                <c:pt idx="1">
                  <c:v>-20</c:v>
                </c:pt>
                <c:pt idx="2">
                  <c:v>10</c:v>
                </c:pt>
                <c:pt idx="3">
                  <c:v>15</c:v>
                </c:pt>
                <c:pt idx="4">
                  <c:v>15</c:v>
                </c:pt>
                <c:pt idx="5">
                  <c:v>15</c:v>
                </c:pt>
                <c:pt idx="6">
                  <c:v>15</c:v>
                </c:pt>
                <c:pt idx="7">
                  <c:v>-32.4395066669153</c:v>
                </c:pt>
                <c:pt idx="8">
                  <c:v>-32.807442498607458</c:v>
                </c:pt>
                <c:pt idx="9">
                  <c:v>-33.238398074929925</c:v>
                </c:pt>
                <c:pt idx="10">
                  <c:v>-34.094414864335292</c:v>
                </c:pt>
                <c:pt idx="11">
                  <c:v>-9.6624153580774621</c:v>
                </c:pt>
                <c:pt idx="12">
                  <c:v>-10.24214612536878</c:v>
                </c:pt>
                <c:pt idx="13">
                  <c:v>-10.857626130981783</c:v>
                </c:pt>
                <c:pt idx="14">
                  <c:v>-11.511116225829554</c:v>
                </c:pt>
                <c:pt idx="15">
                  <c:v>-12.205023440600621</c:v>
                </c:pt>
                <c:pt idx="16">
                  <c:v>-62.941910614353816</c:v>
                </c:pt>
                <c:pt idx="17">
                  <c:v>0</c:v>
                </c:pt>
                <c:pt idx="18">
                  <c:v>0</c:v>
                </c:pt>
                <c:pt idx="19">
                  <c:v>0</c:v>
                </c:pt>
                <c:pt idx="20">
                  <c:v>0</c:v>
                </c:pt>
                <c:pt idx="21">
                  <c:v>0</c:v>
                </c:pt>
                <c:pt idx="22">
                  <c:v>0</c:v>
                </c:pt>
                <c:pt idx="23">
                  <c:v>0</c:v>
                </c:pt>
                <c:pt idx="24">
                  <c:v>0</c:v>
                </c:pt>
                <c:pt idx="25">
                  <c:v>0</c:v>
                </c:pt>
                <c:pt idx="26">
                  <c:v>-50</c:v>
                </c:pt>
                <c:pt idx="27">
                  <c:v>0</c:v>
                </c:pt>
                <c:pt idx="28">
                  <c:v>0</c:v>
                </c:pt>
                <c:pt idx="29">
                  <c:v>0</c:v>
                </c:pt>
              </c:numCache>
            </c:numRef>
          </c:val>
          <c:extLst>
            <c:ext xmlns:c16="http://schemas.microsoft.com/office/drawing/2014/chart" uri="{C3380CC4-5D6E-409C-BE32-E72D297353CC}">
              <c16:uniqueId val="{00000002-2381-4743-8161-E1C7F25AB972}"/>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[0]!equitypax</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2381-4743-8161-E1C7F25AB972}"/>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[0]!netinterestpax</c:f>
              <c:numCache>
                <c:formatCode>_(* #,##0_);_(* \(#,##0\);_(* "-"??_);_(@_)</c:formatCode>
                <c:ptCount val="30"/>
                <c:pt idx="0">
                  <c:v>0</c:v>
                </c:pt>
                <c:pt idx="1">
                  <c:v>-11.349249999999998</c:v>
                </c:pt>
                <c:pt idx="2">
                  <c:v>-12.235749999999996</c:v>
                </c:pt>
                <c:pt idx="3">
                  <c:v>-12.868499999999983</c:v>
                </c:pt>
                <c:pt idx="4">
                  <c:v>-14.062249999999949</c:v>
                </c:pt>
                <c:pt idx="5">
                  <c:v>-15.174999999999955</c:v>
                </c:pt>
                <c:pt idx="6">
                  <c:v>-16.231500000000096</c:v>
                </c:pt>
                <c:pt idx="7">
                  <c:v>-16.109750000000076</c:v>
                </c:pt>
                <c:pt idx="8">
                  <c:v>-14.388314168307716</c:v>
                </c:pt>
                <c:pt idx="9">
                  <c:v>-12.57935859198551</c:v>
                </c:pt>
                <c:pt idx="10">
                  <c:v>-10.306591802579987</c:v>
                </c:pt>
                <c:pt idx="11">
                  <c:v>-9.0620913088378074</c:v>
                </c:pt>
                <c:pt idx="12">
                  <c:v>-8.4823605415467682</c:v>
                </c:pt>
                <c:pt idx="13">
                  <c:v>-7.8668805359338876</c:v>
                </c:pt>
                <c:pt idx="14">
                  <c:v>-7.2133904410857212</c:v>
                </c:pt>
                <c:pt idx="15">
                  <c:v>-6.5194832263150602</c:v>
                </c:pt>
                <c:pt idx="16">
                  <c:v>-4.5325960525606206</c:v>
                </c:pt>
                <c:pt idx="17">
                  <c:v>-2.5</c:v>
                </c:pt>
                <c:pt idx="18">
                  <c:v>-2.5</c:v>
                </c:pt>
                <c:pt idx="19">
                  <c:v>-2.5</c:v>
                </c:pt>
                <c:pt idx="20">
                  <c:v>-2.5</c:v>
                </c:pt>
                <c:pt idx="21">
                  <c:v>-2.5</c:v>
                </c:pt>
                <c:pt idx="22">
                  <c:v>-2.5</c:v>
                </c:pt>
                <c:pt idx="23">
                  <c:v>-2.5</c:v>
                </c:pt>
                <c:pt idx="24">
                  <c:v>-2.5</c:v>
                </c:pt>
                <c:pt idx="25">
                  <c:v>-2.5</c:v>
                </c:pt>
                <c:pt idx="26">
                  <c:v>-1.25</c:v>
                </c:pt>
                <c:pt idx="27">
                  <c:v>0</c:v>
                </c:pt>
                <c:pt idx="28">
                  <c:v>0</c:v>
                </c:pt>
                <c:pt idx="29">
                  <c:v>0</c:v>
                </c:pt>
              </c:numCache>
            </c:numRef>
          </c:val>
          <c:extLst>
            <c:ext xmlns:c16="http://schemas.microsoft.com/office/drawing/2014/chart" uri="{C3380CC4-5D6E-409C-BE32-E72D297353CC}">
              <c16:uniqueId val="{00000004-2381-4743-8161-E1C7F25AB972}"/>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[0]!dividendspax</c:f>
              <c:numCache>
                <c:formatCode>_(* #,##0_);_(* \(#,##0\);_(* "-"??_);_(@_)</c:formatCode>
                <c:ptCount val="30"/>
                <c:pt idx="0">
                  <c:v>0</c:v>
                </c:pt>
                <c:pt idx="1">
                  <c:v>-4723.0495548194885</c:v>
                </c:pt>
                <c:pt idx="2">
                  <c:v>-5073.3793368968236</c:v>
                </c:pt>
                <c:pt idx="3">
                  <c:v>-5550.2805782767491</c:v>
                </c:pt>
                <c:pt idx="4">
                  <c:v>-6436.6386661467786</c:v>
                </c:pt>
                <c:pt idx="5">
                  <c:v>-7295.974488524651</c:v>
                </c:pt>
                <c:pt idx="6">
                  <c:v>-8071.7930777151696</c:v>
                </c:pt>
                <c:pt idx="7">
                  <c:v>-8872.7288592584609</c:v>
                </c:pt>
                <c:pt idx="8">
                  <c:v>-9759.5942260558713</c:v>
                </c:pt>
                <c:pt idx="9">
                  <c:v>-10698.120398586339</c:v>
                </c:pt>
                <c:pt idx="10">
                  <c:v>-11474.184860776939</c:v>
                </c:pt>
                <c:pt idx="11">
                  <c:v>-12463.426032346368</c:v>
                </c:pt>
                <c:pt idx="12">
                  <c:v>-13510.621020797726</c:v>
                </c:pt>
                <c:pt idx="13">
                  <c:v>-14617.220242724499</c:v>
                </c:pt>
                <c:pt idx="14">
                  <c:v>-15786.009787574165</c:v>
                </c:pt>
                <c:pt idx="15">
                  <c:v>-17019.892890474915</c:v>
                </c:pt>
                <c:pt idx="16">
                  <c:v>-18297.332025388823</c:v>
                </c:pt>
                <c:pt idx="17">
                  <c:v>-19702.387610736459</c:v>
                </c:pt>
                <c:pt idx="18">
                  <c:v>-21150.488520577226</c:v>
                </c:pt>
                <c:pt idx="19">
                  <c:v>-22676.139188317717</c:v>
                </c:pt>
                <c:pt idx="20">
                  <c:v>-24281.491849607424</c:v>
                </c:pt>
                <c:pt idx="21">
                  <c:v>-25971.862522800217</c:v>
                </c:pt>
                <c:pt idx="22">
                  <c:v>-27753.80092342848</c:v>
                </c:pt>
                <c:pt idx="23">
                  <c:v>-29628.880361559903</c:v>
                </c:pt>
                <c:pt idx="24">
                  <c:v>-31600.96906599031</c:v>
                </c:pt>
                <c:pt idx="25">
                  <c:v>-33675.057790239458</c:v>
                </c:pt>
                <c:pt idx="26">
                  <c:v>-35830.808037937444</c:v>
                </c:pt>
                <c:pt idx="27">
                  <c:v>-38146.988722418013</c:v>
                </c:pt>
                <c:pt idx="28">
                  <c:v>-40554.115993898144</c:v>
                </c:pt>
                <c:pt idx="29">
                  <c:v>-43082.218274502855</c:v>
                </c:pt>
              </c:numCache>
            </c:numRef>
          </c:val>
          <c:extLst>
            <c:ext xmlns:c16="http://schemas.microsoft.com/office/drawing/2014/chart" uri="{C3380CC4-5D6E-409C-BE32-E72D297353CC}">
              <c16:uniqueId val="{00000005-2381-4743-8161-E1C7F25AB972}"/>
            </c:ext>
          </c:extLst>
        </c:ser>
        <c:dLbls>
          <c:showLegendKey val="0"/>
          <c:showVal val="0"/>
          <c:showCatName val="0"/>
          <c:showSerName val="0"/>
          <c:showPercent val="0"/>
          <c:showBubbleSize val="0"/>
        </c:dLbls>
        <c:gapWidth val="150"/>
        <c:overlap val="100"/>
        <c:axId val="206743040"/>
        <c:axId val="206744576"/>
      </c:barChart>
      <c:catAx>
        <c:axId val="206743040"/>
        <c:scaling>
          <c:orientation val="minMax"/>
        </c:scaling>
        <c:delete val="0"/>
        <c:axPos val="b"/>
        <c:numFmt formatCode="0" sourceLinked="1"/>
        <c:majorTickMark val="out"/>
        <c:minorTickMark val="none"/>
        <c:tickLblPos val="nextTo"/>
        <c:crossAx val="206744576"/>
        <c:crosses val="autoZero"/>
        <c:auto val="1"/>
        <c:lblAlgn val="ctr"/>
        <c:lblOffset val="100"/>
        <c:noMultiLvlLbl val="0"/>
      </c:catAx>
      <c:valAx>
        <c:axId val="206744576"/>
        <c:scaling>
          <c:orientation val="minMax"/>
        </c:scaling>
        <c:delete val="0"/>
        <c:axPos val="l"/>
        <c:numFmt formatCode="_(* #,##0_);_(* \(#,##0\);_(* &quot;-&quot;??_);_(@_)" sourceLinked="1"/>
        <c:majorTickMark val="out"/>
        <c:minorTickMark val="none"/>
        <c:tickLblPos val="nextTo"/>
        <c:crossAx val="206743040"/>
        <c:crosses val="autoZero"/>
        <c:crossBetween val="between"/>
        <c:dispUnits>
          <c:builtInUnit val="thousands"/>
          <c:dispUnitsLbl>
            <c:layout>
              <c:manualLayout>
                <c:xMode val="edge"/>
                <c:yMode val="edge"/>
                <c:x val="1.5048908954100828E-2"/>
                <c:y val="0.41308122035205563"/>
              </c:manualLayout>
            </c:layout>
            <c:tx>
              <c:strRef>
                <c:f>'Charts - Freight'!$E$134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rgbClr val="7030A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ndard"/>
        <c:varyColors val="0"/>
        <c:ser>
          <c:idx val="0"/>
          <c:order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AF3F-304A-9481-D9650DE9D75E}"/>
            </c:ext>
          </c:extLst>
        </c:ser>
        <c:dLbls>
          <c:showLegendKey val="0"/>
          <c:showVal val="0"/>
          <c:showCatName val="0"/>
          <c:showSerName val="0"/>
          <c:showPercent val="0"/>
          <c:showBubbleSize val="0"/>
        </c:dLbls>
        <c:axId val="206817920"/>
        <c:axId val="206832000"/>
      </c:areaChart>
      <c:catAx>
        <c:axId val="206817920"/>
        <c:scaling>
          <c:orientation val="minMax"/>
        </c:scaling>
        <c:delete val="0"/>
        <c:axPos val="b"/>
        <c:numFmt formatCode="0" sourceLinked="1"/>
        <c:majorTickMark val="out"/>
        <c:minorTickMark val="none"/>
        <c:tickLblPos val="nextTo"/>
        <c:crossAx val="206832000"/>
        <c:crosses val="autoZero"/>
        <c:auto val="1"/>
        <c:lblAlgn val="ctr"/>
        <c:lblOffset val="100"/>
        <c:noMultiLvlLbl val="0"/>
      </c:catAx>
      <c:valAx>
        <c:axId val="206832000"/>
        <c:scaling>
          <c:orientation val="minMax"/>
        </c:scaling>
        <c:delete val="0"/>
        <c:axPos val="l"/>
        <c:title>
          <c:tx>
            <c:rich>
              <a:bodyPr rot="-5400000" vert="horz"/>
              <a:lstStyle/>
              <a:p>
                <a:pPr>
                  <a:defRPr/>
                </a:pPr>
                <a:r>
                  <a:rPr lang="en-US"/>
                  <a:t>R$ (Millions)</a:t>
                </a:r>
              </a:p>
            </c:rich>
          </c:tx>
          <c:overlay val="0"/>
        </c:title>
        <c:numFmt formatCode="General" sourceLinked="1"/>
        <c:majorTickMark val="out"/>
        <c:minorTickMark val="none"/>
        <c:tickLblPos val="nextTo"/>
        <c:crossAx val="20681792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Debt ratios</a:t>
            </a:r>
          </a:p>
        </c:rich>
      </c:tx>
      <c:overlay val="0"/>
    </c:title>
    <c:autoTitleDeleted val="0"/>
    <c:plotArea>
      <c:layout/>
      <c:lineChart>
        <c:grouping val="standard"/>
        <c:varyColors val="0"/>
        <c:ser>
          <c:idx val="0"/>
          <c:order val="0"/>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5704-0745-B1B0-73741C32F48A}"/>
            </c:ext>
          </c:extLst>
        </c:ser>
        <c:dLbls>
          <c:showLegendKey val="0"/>
          <c:showVal val="0"/>
          <c:showCatName val="0"/>
          <c:showSerName val="0"/>
          <c:showPercent val="0"/>
          <c:showBubbleSize val="0"/>
        </c:dLbls>
        <c:marker val="1"/>
        <c:smooth val="0"/>
        <c:axId val="206858496"/>
        <c:axId val="206864384"/>
      </c:line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5704-0745-B1B0-73741C32F48A}"/>
            </c:ext>
          </c:extLst>
        </c:ser>
        <c:dLbls>
          <c:showLegendKey val="0"/>
          <c:showVal val="0"/>
          <c:showCatName val="0"/>
          <c:showSerName val="0"/>
          <c:showPercent val="0"/>
          <c:showBubbleSize val="0"/>
        </c:dLbls>
        <c:marker val="1"/>
        <c:smooth val="0"/>
        <c:axId val="206867456"/>
        <c:axId val="206865920"/>
      </c:lineChart>
      <c:catAx>
        <c:axId val="206858496"/>
        <c:scaling>
          <c:orientation val="minMax"/>
        </c:scaling>
        <c:delete val="0"/>
        <c:axPos val="b"/>
        <c:numFmt formatCode="0" sourceLinked="1"/>
        <c:majorTickMark val="out"/>
        <c:minorTickMark val="none"/>
        <c:tickLblPos val="nextTo"/>
        <c:crossAx val="206864384"/>
        <c:crosses val="autoZero"/>
        <c:auto val="1"/>
        <c:lblAlgn val="ctr"/>
        <c:lblOffset val="100"/>
        <c:noMultiLvlLbl val="0"/>
      </c:catAx>
      <c:valAx>
        <c:axId val="206864384"/>
        <c:scaling>
          <c:orientation val="minMax"/>
        </c:scaling>
        <c:delete val="0"/>
        <c:axPos val="l"/>
        <c:numFmt formatCode="General" sourceLinked="1"/>
        <c:majorTickMark val="out"/>
        <c:minorTickMark val="none"/>
        <c:tickLblPos val="nextTo"/>
        <c:crossAx val="206858496"/>
        <c:crosses val="autoZero"/>
        <c:crossBetween val="between"/>
      </c:valAx>
      <c:valAx>
        <c:axId val="206865920"/>
        <c:scaling>
          <c:orientation val="minMax"/>
        </c:scaling>
        <c:delete val="0"/>
        <c:axPos val="r"/>
        <c:numFmt formatCode="General" sourceLinked="1"/>
        <c:majorTickMark val="out"/>
        <c:minorTickMark val="none"/>
        <c:tickLblPos val="nextTo"/>
        <c:crossAx val="206867456"/>
        <c:crosses val="max"/>
        <c:crossBetween val="between"/>
      </c:valAx>
      <c:catAx>
        <c:axId val="206867456"/>
        <c:scaling>
          <c:orientation val="minMax"/>
        </c:scaling>
        <c:delete val="1"/>
        <c:axPos val="b"/>
        <c:numFmt formatCode="0" sourceLinked="1"/>
        <c:majorTickMark val="out"/>
        <c:minorTickMark val="none"/>
        <c:tickLblPos val="none"/>
        <c:crossAx val="206865920"/>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Liquidity</a:t>
            </a:r>
          </a:p>
        </c:rich>
      </c:tx>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04FA-254C-85C8-3C85EB2593CD}"/>
            </c:ext>
          </c:extLst>
        </c:ser>
        <c:ser>
          <c:idx val="1"/>
          <c:order val="1"/>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04FA-254C-85C8-3C85EB2593CD}"/>
            </c:ext>
          </c:extLst>
        </c:ser>
        <c:dLbls>
          <c:showLegendKey val="0"/>
          <c:showVal val="0"/>
          <c:showCatName val="0"/>
          <c:showSerName val="0"/>
          <c:showPercent val="0"/>
          <c:showBubbleSize val="0"/>
        </c:dLbls>
        <c:gapWidth val="150"/>
        <c:axId val="206890496"/>
        <c:axId val="206892032"/>
      </c:barChart>
      <c:lineChart>
        <c:grouping val="standard"/>
        <c:varyColors val="0"/>
        <c:ser>
          <c:idx val="2"/>
          <c:order val="2"/>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6="http://schemas.microsoft.com/office/drawing/2014/chart" uri="{C3380CC4-5D6E-409C-BE32-E72D297353CC}">
              <c16:uniqueId val="{00000002-04FA-254C-85C8-3C85EB2593CD}"/>
            </c:ext>
          </c:extLst>
        </c:ser>
        <c:dLbls>
          <c:showLegendKey val="0"/>
          <c:showVal val="0"/>
          <c:showCatName val="0"/>
          <c:showSerName val="0"/>
          <c:showPercent val="0"/>
          <c:showBubbleSize val="0"/>
        </c:dLbls>
        <c:marker val="1"/>
        <c:smooth val="0"/>
        <c:axId val="206903936"/>
        <c:axId val="206902400"/>
      </c:lineChart>
      <c:catAx>
        <c:axId val="206890496"/>
        <c:scaling>
          <c:orientation val="minMax"/>
        </c:scaling>
        <c:delete val="0"/>
        <c:axPos val="b"/>
        <c:numFmt formatCode="0" sourceLinked="1"/>
        <c:majorTickMark val="out"/>
        <c:minorTickMark val="none"/>
        <c:tickLblPos val="nextTo"/>
        <c:crossAx val="206892032"/>
        <c:crosses val="autoZero"/>
        <c:auto val="1"/>
        <c:lblAlgn val="ctr"/>
        <c:lblOffset val="100"/>
        <c:noMultiLvlLbl val="0"/>
      </c:catAx>
      <c:valAx>
        <c:axId val="206892032"/>
        <c:scaling>
          <c:orientation val="minMax"/>
        </c:scaling>
        <c:delete val="0"/>
        <c:axPos val="l"/>
        <c:numFmt formatCode="General" sourceLinked="1"/>
        <c:majorTickMark val="out"/>
        <c:minorTickMark val="none"/>
        <c:tickLblPos val="nextTo"/>
        <c:crossAx val="206890496"/>
        <c:crosses val="autoZero"/>
        <c:crossBetween val="between"/>
        <c:dispUnits>
          <c:builtInUnit val="thousands"/>
          <c:dispUnitsLbl>
            <c:layout>
              <c:manualLayout>
                <c:xMode val="edge"/>
                <c:yMode val="edge"/>
                <c:x val="3.0555555555555582E-2"/>
                <c:y val="0.29677092446777487"/>
              </c:manualLayout>
            </c:layout>
            <c:tx>
              <c:rich>
                <a:bodyPr/>
                <a:lstStyle/>
                <a:p>
                  <a:pPr>
                    <a:defRPr/>
                  </a:pPr>
                  <a:r>
                    <a:rPr lang="en-US"/>
                    <a:t>R$</a:t>
                  </a:r>
                  <a:r>
                    <a:rPr lang="en-US" baseline="0"/>
                    <a:t> (Billions)</a:t>
                  </a:r>
                  <a:endParaRPr lang="en-US"/>
                </a:p>
              </c:rich>
            </c:tx>
          </c:dispUnitsLbl>
        </c:dispUnits>
      </c:valAx>
      <c:valAx>
        <c:axId val="206902400"/>
        <c:scaling>
          <c:orientation val="minMax"/>
          <c:max val="10"/>
        </c:scaling>
        <c:delete val="0"/>
        <c:axPos val="r"/>
        <c:numFmt formatCode="General" sourceLinked="1"/>
        <c:majorTickMark val="out"/>
        <c:minorTickMark val="none"/>
        <c:tickLblPos val="nextTo"/>
        <c:crossAx val="206903936"/>
        <c:crosses val="max"/>
        <c:crossBetween val="between"/>
      </c:valAx>
      <c:catAx>
        <c:axId val="206903936"/>
        <c:scaling>
          <c:orientation val="minMax"/>
        </c:scaling>
        <c:delete val="1"/>
        <c:axPos val="b"/>
        <c:majorTickMark val="out"/>
        <c:minorTickMark val="none"/>
        <c:tickLblPos val="none"/>
        <c:crossAx val="206902400"/>
        <c:crosses val="autoZero"/>
        <c:auto val="1"/>
        <c:lblAlgn val="ctr"/>
        <c:lblOffset val="100"/>
        <c:noMultiLvlLbl val="0"/>
      </c:cat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9"/>
    </mc:Choice>
    <mc:Fallback>
      <c:style val="19"/>
    </mc:Fallback>
  </mc:AlternateContent>
  <c:chart>
    <c:title>
      <c:tx>
        <c:rich>
          <a:bodyPr/>
          <a:lstStyle/>
          <a:p>
            <a:pPr>
              <a:defRPr/>
            </a:pPr>
            <a:r>
              <a:rPr lang="en-US"/>
              <a:t>Traffic</a:t>
            </a:r>
            <a:r>
              <a:rPr lang="en-US" baseline="0"/>
              <a:t> intensity</a:t>
            </a:r>
            <a:endParaRPr lang="en-US"/>
          </a:p>
        </c:rich>
      </c:tx>
      <c:layout>
        <c:manualLayout>
          <c:xMode val="edge"/>
          <c:yMode val="edge"/>
          <c:x val="0.4291165038796641"/>
          <c:y val="3.2407407407408842E-2"/>
        </c:manualLayout>
      </c:layout>
      <c:overlay val="0"/>
    </c:title>
    <c:autoTitleDeleted val="0"/>
    <c:plotArea>
      <c:layout/>
      <c:barChart>
        <c:barDir val="col"/>
        <c:grouping val="clustered"/>
        <c:varyColors val="0"/>
        <c:ser>
          <c:idx val="0"/>
          <c:order val="0"/>
          <c:invertIfNegative val="0"/>
          <c:val>
            <c:numRef>
              <c:f>Graphs!#REF!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0-BE4A-1349-BF73-4D0FFC2BF555}"/>
            </c:ext>
          </c:extLst>
        </c:ser>
        <c:dLbls>
          <c:showLegendKey val="0"/>
          <c:showVal val="0"/>
          <c:showCatName val="0"/>
          <c:showSerName val="0"/>
          <c:showPercent val="0"/>
          <c:showBubbleSize val="0"/>
        </c:dLbls>
        <c:gapWidth val="150"/>
        <c:axId val="206933376"/>
        <c:axId val="206947456"/>
      </c:barChart>
      <c:lineChart>
        <c:grouping val="standard"/>
        <c:varyColors val="0"/>
        <c:ser>
          <c:idx val="1"/>
          <c:order val="1"/>
          <c:marker>
            <c:symbol val="none"/>
          </c:marker>
          <c:val>
            <c:numRef>
              <c:f>Graphs!#REF!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Graphs!#REF!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Graphs!#REF!</c15:sqref>
                        </c15:formulaRef>
                      </c:ext>
                    </c:extLst>
                  </c:multiLvlStrRef>
                </c15:cat>
              </c15:filteredCategoryTitle>
            </c:ext>
            <c:ext xmlns:c16="http://schemas.microsoft.com/office/drawing/2014/chart" uri="{C3380CC4-5D6E-409C-BE32-E72D297353CC}">
              <c16:uniqueId val="{00000001-BE4A-1349-BF73-4D0FFC2BF555}"/>
            </c:ext>
          </c:extLst>
        </c:ser>
        <c:dLbls>
          <c:showLegendKey val="0"/>
          <c:showVal val="0"/>
          <c:showCatName val="0"/>
          <c:showSerName val="0"/>
          <c:showPercent val="0"/>
          <c:showBubbleSize val="0"/>
        </c:dLbls>
        <c:marker val="1"/>
        <c:smooth val="0"/>
        <c:axId val="206933376"/>
        <c:axId val="206947456"/>
      </c:lineChart>
      <c:catAx>
        <c:axId val="206933376"/>
        <c:scaling>
          <c:orientation val="minMax"/>
        </c:scaling>
        <c:delete val="0"/>
        <c:axPos val="b"/>
        <c:numFmt formatCode="0" sourceLinked="1"/>
        <c:majorTickMark val="out"/>
        <c:minorTickMark val="none"/>
        <c:tickLblPos val="nextTo"/>
        <c:crossAx val="206947456"/>
        <c:crosses val="autoZero"/>
        <c:auto val="1"/>
        <c:lblAlgn val="ctr"/>
        <c:lblOffset val="100"/>
        <c:noMultiLvlLbl val="0"/>
      </c:catAx>
      <c:valAx>
        <c:axId val="206947456"/>
        <c:scaling>
          <c:orientation val="minMax"/>
        </c:scaling>
        <c:delete val="0"/>
        <c:axPos val="l"/>
        <c:title>
          <c:tx>
            <c:rich>
              <a:bodyPr rot="-5400000" vert="horz"/>
              <a:lstStyle/>
              <a:p>
                <a:pPr>
                  <a:defRPr/>
                </a:pPr>
                <a:r>
                  <a:rPr lang="en-US"/>
                  <a:t>Million</a:t>
                </a:r>
                <a:r>
                  <a:rPr lang="en-US" baseline="0"/>
                  <a:t> traffic units per track-km</a:t>
                </a:r>
                <a:endParaRPr lang="en-US"/>
              </a:p>
            </c:rich>
          </c:tx>
          <c:overlay val="0"/>
        </c:title>
        <c:numFmt formatCode="General" sourceLinked="1"/>
        <c:majorTickMark val="out"/>
        <c:minorTickMark val="none"/>
        <c:tickLblPos val="nextTo"/>
        <c:crossAx val="206933376"/>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[0]!operatingrevenuesinfra</c:f>
              <c:numCache>
                <c:formatCode>_(* #,##0_);_(* \(#,##0\);_(* "-"??_);_(@_)</c:formatCode>
                <c:ptCount val="30"/>
                <c:pt idx="0">
                  <c:v>41464.5</c:v>
                </c:pt>
                <c:pt idx="1">
                  <c:v>43342.413367254689</c:v>
                </c:pt>
                <c:pt idx="2">
                  <c:v>44629.462475560264</c:v>
                </c:pt>
                <c:pt idx="3">
                  <c:v>46978.379153601578</c:v>
                </c:pt>
                <c:pt idx="4">
                  <c:v>50483.639846161881</c:v>
                </c:pt>
                <c:pt idx="5">
                  <c:v>53070.542842196119</c:v>
                </c:pt>
                <c:pt idx="6">
                  <c:v>59477.445059466445</c:v>
                </c:pt>
                <c:pt idx="7">
                  <c:v>62400.347313710416</c:v>
                </c:pt>
                <c:pt idx="8">
                  <c:v>65445.527251028543</c:v>
                </c:pt>
                <c:pt idx="9">
                  <c:v>68617.681653750478</c:v>
                </c:pt>
                <c:pt idx="10">
                  <c:v>71921.707245378129</c:v>
                </c:pt>
                <c:pt idx="11">
                  <c:v>75362.660041040275</c:v>
                </c:pt>
                <c:pt idx="12">
                  <c:v>78945.614046321498</c:v>
                </c:pt>
                <c:pt idx="13">
                  <c:v>82675.927741823587</c:v>
                </c:pt>
                <c:pt idx="14">
                  <c:v>86559.815758387616</c:v>
                </c:pt>
                <c:pt idx="15">
                  <c:v>90602.231248637938</c:v>
                </c:pt>
                <c:pt idx="16">
                  <c:v>94810.329061139098</c:v>
                </c:pt>
                <c:pt idx="17">
                  <c:v>99189.802583153782</c:v>
                </c:pt>
                <c:pt idx="18">
                  <c:v>103747.14700685862</c:v>
                </c:pt>
                <c:pt idx="19">
                  <c:v>108489.0930096604</c:v>
                </c:pt>
                <c:pt idx="20">
                  <c:v>113422.61503471887</c:v>
                </c:pt>
                <c:pt idx="21">
                  <c:v>118554.93985719691</c:v>
                </c:pt>
                <c:pt idx="22">
                  <c:v>123893.55544566346</c:v>
                </c:pt>
                <c:pt idx="23">
                  <c:v>129446.22012847484</c:v>
                </c:pt>
                <c:pt idx="24">
                  <c:v>135220.9720753438</c:v>
                </c:pt>
                <c:pt idx="25">
                  <c:v>141226.13910467943</c:v>
                </c:pt>
                <c:pt idx="26">
                  <c:v>147470.34882765758</c:v>
                </c:pt>
                <c:pt idx="27">
                  <c:v>153962.53914036011</c:v>
                </c:pt>
                <c:pt idx="28">
                  <c:v>160711.78798815043</c:v>
                </c:pt>
                <c:pt idx="29">
                  <c:v>167722.96358057851</c:v>
                </c:pt>
              </c:numCache>
            </c:numRef>
          </c:val>
          <c:extLst>
            <c:ext xmlns:c16="http://schemas.microsoft.com/office/drawing/2014/chart" uri="{C3380CC4-5D6E-409C-BE32-E72D297353CC}">
              <c16:uniqueId val="{00000000-6EE5-AE49-B375-F2F459943AB1}"/>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[0]!operatingcostsinfra</c:f>
              <c:numCache>
                <c:formatCode>_(* #,##0_);_(* \(#,##0\);_(* "-"??_);_(@_)</c:formatCode>
                <c:ptCount val="30"/>
                <c:pt idx="0">
                  <c:v>3550</c:v>
                </c:pt>
                <c:pt idx="1">
                  <c:v>3748.4206269971501</c:v>
                </c:pt>
                <c:pt idx="2">
                  <c:v>3946.1247642761541</c:v>
                </c:pt>
                <c:pt idx="3">
                  <c:v>4185.4608501872744</c:v>
                </c:pt>
                <c:pt idx="4">
                  <c:v>4549.5671991484451</c:v>
                </c:pt>
                <c:pt idx="5">
                  <c:v>4735.7969394132788</c:v>
                </c:pt>
                <c:pt idx="6">
                  <c:v>5066.7074593903944</c:v>
                </c:pt>
                <c:pt idx="7">
                  <c:v>5270.2327337625711</c:v>
                </c:pt>
                <c:pt idx="8">
                  <c:v>5480.8105501550281</c:v>
                </c:pt>
                <c:pt idx="9">
                  <c:v>5698.484526435881</c:v>
                </c:pt>
                <c:pt idx="10">
                  <c:v>5923.9801743809367</c:v>
                </c:pt>
                <c:pt idx="11">
                  <c:v>6157.4148725794203</c:v>
                </c:pt>
                <c:pt idx="12">
                  <c:v>6394.9573583713882</c:v>
                </c:pt>
                <c:pt idx="13">
                  <c:v>6635.1193010906163</c:v>
                </c:pt>
                <c:pt idx="14">
                  <c:v>6892.9730195988905</c:v>
                </c:pt>
                <c:pt idx="15">
                  <c:v>7146.6211870398638</c:v>
                </c:pt>
                <c:pt idx="16">
                  <c:v>7423.9517082869934</c:v>
                </c:pt>
                <c:pt idx="17">
                  <c:v>7710.9278528051327</c:v>
                </c:pt>
                <c:pt idx="18">
                  <c:v>8007.8897632070866</c:v>
                </c:pt>
                <c:pt idx="19">
                  <c:v>8315.1893096014828</c:v>
                </c:pt>
                <c:pt idx="20">
                  <c:v>8633.190487114176</c:v>
                </c:pt>
                <c:pt idx="21">
                  <c:v>8962.2698267061751</c:v>
                </c:pt>
                <c:pt idx="22">
                  <c:v>9302.8168197281411</c:v>
                </c:pt>
                <c:pt idx="23">
                  <c:v>9655.2343566659129</c:v>
                </c:pt>
                <c:pt idx="24">
                  <c:v>10019.939180546371</c:v>
                </c:pt>
                <c:pt idx="25">
                  <c:v>10397.362355488514</c:v>
                </c:pt>
                <c:pt idx="26">
                  <c:v>10787.949750900212</c:v>
                </c:pt>
                <c:pt idx="27">
                  <c:v>11192.162541837859</c:v>
                </c:pt>
                <c:pt idx="28">
                  <c:v>11606.118458328252</c:v>
                </c:pt>
                <c:pt idx="29">
                  <c:v>11980.276911587915</c:v>
                </c:pt>
              </c:numCache>
            </c:numRef>
          </c:val>
          <c:extLst>
            <c:ext xmlns:c16="http://schemas.microsoft.com/office/drawing/2014/chart" uri="{C3380CC4-5D6E-409C-BE32-E72D297353CC}">
              <c16:uniqueId val="{00000001-6EE5-AE49-B375-F2F459943AB1}"/>
            </c:ext>
          </c:extLst>
        </c:ser>
        <c:dLbls>
          <c:showLegendKey val="0"/>
          <c:showVal val="0"/>
          <c:showCatName val="0"/>
          <c:showSerName val="0"/>
          <c:showPercent val="0"/>
          <c:showBubbleSize val="0"/>
        </c:dLbls>
        <c:gapWidth val="150"/>
        <c:axId val="207004800"/>
        <c:axId val="207006336"/>
      </c:barChart>
      <c:lineChart>
        <c:grouping val="standard"/>
        <c:varyColors val="0"/>
        <c:ser>
          <c:idx val="2"/>
          <c:order val="2"/>
          <c:tx>
            <c:strRef>
              <c:f>'Charts - Freight'!$B$140</c:f>
              <c:strCache>
                <c:ptCount val="1"/>
                <c:pt idx="0">
                  <c:v>Operating profit</c:v>
                </c:pt>
              </c:strCache>
            </c:strRef>
          </c:tx>
          <c:marker>
            <c:symbol val="none"/>
          </c:marker>
          <c:val>
            <c:numRef>
              <c:f>[0]!operatingprofitinfra</c:f>
              <c:numCache>
                <c:formatCode>0%</c:formatCode>
                <c:ptCount val="30"/>
                <c:pt idx="0">
                  <c:v>0.91438459405033223</c:v>
                </c:pt>
                <c:pt idx="1">
                  <c:v>0.91351610730035882</c:v>
                </c:pt>
                <c:pt idx="2">
                  <c:v>0.91158027577775314</c:v>
                </c:pt>
                <c:pt idx="3">
                  <c:v>0.91090665694313566</c:v>
                </c:pt>
                <c:pt idx="4">
                  <c:v>0.90988036494570768</c:v>
                </c:pt>
                <c:pt idx="5">
                  <c:v>0.91076411346507136</c:v>
                </c:pt>
                <c:pt idx="6">
                  <c:v>0.91481296053782024</c:v>
                </c:pt>
                <c:pt idx="7">
                  <c:v>0.91554161217617758</c:v>
                </c:pt>
                <c:pt idx="8">
                  <c:v>0.9162538559872494</c:v>
                </c:pt>
                <c:pt idx="9">
                  <c:v>0.91695311778105792</c:v>
                </c:pt>
                <c:pt idx="10">
                  <c:v>0.91763293167986326</c:v>
                </c:pt>
                <c:pt idx="11">
                  <c:v>0.91829621102511139</c:v>
                </c:pt>
                <c:pt idx="12">
                  <c:v>0.91899540670341562</c:v>
                </c:pt>
                <c:pt idx="13">
                  <c:v>0.91974545091516302</c:v>
                </c:pt>
                <c:pt idx="14">
                  <c:v>0.92036751743050038</c:v>
                </c:pt>
                <c:pt idx="15">
                  <c:v>0.92112091403767382</c:v>
                </c:pt>
                <c:pt idx="16">
                  <c:v>0.92169680474898885</c:v>
                </c:pt>
                <c:pt idx="17">
                  <c:v>0.92226088113905824</c:v>
                </c:pt>
                <c:pt idx="18">
                  <c:v>0.92281339782116911</c:v>
                </c:pt>
                <c:pt idx="19">
                  <c:v>0.92335460571265848</c:v>
                </c:pt>
                <c:pt idx="20">
                  <c:v>0.92388475186829766</c:v>
                </c:pt>
                <c:pt idx="21">
                  <c:v>0.92440407934497282</c:v>
                </c:pt>
                <c:pt idx="22">
                  <c:v>0.92491282709367295</c:v>
                </c:pt>
                <c:pt idx="23">
                  <c:v>0.92541122987536339</c:v>
                </c:pt>
                <c:pt idx="24">
                  <c:v>0.92589951819778848</c:v>
                </c:pt>
                <c:pt idx="25">
                  <c:v>0.92637791827062699</c:v>
                </c:pt>
                <c:pt idx="26">
                  <c:v>0.92684665197674665</c:v>
                </c:pt>
                <c:pt idx="27">
                  <c:v>0.92730593685757212</c:v>
                </c:pt>
                <c:pt idx="28">
                  <c:v>0.92778302946151037</c:v>
                </c:pt>
                <c:pt idx="29">
                  <c:v>0.92857103967261889</c:v>
                </c:pt>
              </c:numCache>
            </c:numRef>
          </c:val>
          <c:smooth val="0"/>
          <c:extLst>
            <c:ext xmlns:c16="http://schemas.microsoft.com/office/drawing/2014/chart" uri="{C3380CC4-5D6E-409C-BE32-E72D297353CC}">
              <c16:uniqueId val="{00000002-6EE5-AE49-B375-F2F459943AB1}"/>
            </c:ext>
          </c:extLst>
        </c:ser>
        <c:dLbls>
          <c:showLegendKey val="0"/>
          <c:showVal val="0"/>
          <c:showCatName val="0"/>
          <c:showSerName val="0"/>
          <c:showPercent val="0"/>
          <c:showBubbleSize val="0"/>
        </c:dLbls>
        <c:marker val="1"/>
        <c:smooth val="0"/>
        <c:axId val="207014528"/>
        <c:axId val="207012992"/>
      </c:lineChart>
      <c:catAx>
        <c:axId val="207004800"/>
        <c:scaling>
          <c:orientation val="minMax"/>
        </c:scaling>
        <c:delete val="0"/>
        <c:axPos val="b"/>
        <c:numFmt formatCode="0" sourceLinked="1"/>
        <c:majorTickMark val="out"/>
        <c:minorTickMark val="none"/>
        <c:tickLblPos val="nextTo"/>
        <c:crossAx val="207006336"/>
        <c:crosses val="autoZero"/>
        <c:auto val="1"/>
        <c:lblAlgn val="ctr"/>
        <c:lblOffset val="100"/>
        <c:noMultiLvlLbl val="0"/>
      </c:catAx>
      <c:valAx>
        <c:axId val="207006336"/>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7004800"/>
        <c:crosses val="autoZero"/>
        <c:crossBetween val="between"/>
        <c:dispUnits>
          <c:builtInUnit val="thousands"/>
        </c:dispUnits>
      </c:valAx>
      <c:valAx>
        <c:axId val="207012992"/>
        <c:scaling>
          <c:orientation val="minMax"/>
        </c:scaling>
        <c:delete val="0"/>
        <c:axPos val="r"/>
        <c:numFmt formatCode="0%" sourceLinked="1"/>
        <c:majorTickMark val="out"/>
        <c:minorTickMark val="none"/>
        <c:tickLblPos val="nextTo"/>
        <c:crossAx val="207014528"/>
        <c:crosses val="max"/>
        <c:crossBetween val="between"/>
      </c:valAx>
      <c:catAx>
        <c:axId val="207014528"/>
        <c:scaling>
          <c:orientation val="minMax"/>
        </c:scaling>
        <c:delete val="1"/>
        <c:axPos val="b"/>
        <c:majorTickMark val="out"/>
        <c:minorTickMark val="none"/>
        <c:tickLblPos val="none"/>
        <c:crossAx val="207012992"/>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rgbClr val="92D05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[0]!operatingcashflowinfra</c:f>
              <c:numCache>
                <c:formatCode>_(* #,##0_);_(* \(#,##0\);_(* "-"??_);_(@_)</c:formatCode>
                <c:ptCount val="30"/>
                <c:pt idx="0">
                  <c:v>0</c:v>
                </c:pt>
                <c:pt idx="1">
                  <c:v>27169.260795835875</c:v>
                </c:pt>
                <c:pt idx="2">
                  <c:v>28232.321656527576</c:v>
                </c:pt>
                <c:pt idx="3">
                  <c:v>29928.184922482185</c:v>
                </c:pt>
                <c:pt idx="4">
                  <c:v>32430.915734590944</c:v>
                </c:pt>
                <c:pt idx="5">
                  <c:v>34690.235042531553</c:v>
                </c:pt>
                <c:pt idx="6">
                  <c:v>39022.091203316661</c:v>
                </c:pt>
                <c:pt idx="7">
                  <c:v>41934.00561537101</c:v>
                </c:pt>
                <c:pt idx="8">
                  <c:v>44572.643583934892</c:v>
                </c:pt>
                <c:pt idx="9">
                  <c:v>47332.783680796812</c:v>
                </c:pt>
                <c:pt idx="10">
                  <c:v>49573.283496049335</c:v>
                </c:pt>
                <c:pt idx="11">
                  <c:v>52378.777002494629</c:v>
                </c:pt>
                <c:pt idx="12">
                  <c:v>55351.923394553574</c:v>
                </c:pt>
                <c:pt idx="13">
                  <c:v>58457.176868947972</c:v>
                </c:pt>
                <c:pt idx="14">
                  <c:v>61704.155016376593</c:v>
                </c:pt>
                <c:pt idx="15">
                  <c:v>65092.077642276832</c:v>
                </c:pt>
                <c:pt idx="16">
                  <c:v>68632.830108557057</c:v>
                </c:pt>
                <c:pt idx="17">
                  <c:v>72327.671585913762</c:v>
                </c:pt>
                <c:pt idx="18">
                  <c:v>76189.648760261945</c:v>
                </c:pt>
                <c:pt idx="19">
                  <c:v>80220.892284133282</c:v>
                </c:pt>
                <c:pt idx="20">
                  <c:v>84428.115907585394</c:v>
                </c:pt>
                <c:pt idx="21">
                  <c:v>88818.284286625858</c:v>
                </c:pt>
                <c:pt idx="22">
                  <c:v>93398.622000950287</c:v>
                </c:pt>
                <c:pt idx="23">
                  <c:v>98176.622886883561</c:v>
                </c:pt>
                <c:pt idx="24">
                  <c:v>103160.05969635457</c:v>
                </c:pt>
                <c:pt idx="25">
                  <c:v>108356.99409309009</c:v>
                </c:pt>
                <c:pt idx="26">
                  <c:v>113775.78699758439</c:v>
                </c:pt>
                <c:pt idx="27">
                  <c:v>119425.10929278545</c:v>
                </c:pt>
                <c:pt idx="28">
                  <c:v>125312.69944878791</c:v>
                </c:pt>
                <c:pt idx="29">
                  <c:v>131434.27287413037</c:v>
                </c:pt>
              </c:numCache>
            </c:numRef>
          </c:val>
          <c:extLst>
            <c:ext xmlns:c16="http://schemas.microsoft.com/office/drawing/2014/chart" uri="{C3380CC4-5D6E-409C-BE32-E72D297353CC}">
              <c16:uniqueId val="{00000000-83A3-AC44-9A3C-8E52A420DD62}"/>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[0]!investingcashflowinfra</c:f>
              <c:numCache>
                <c:formatCode>_(* #,##0_);_(* \(#,##0\);_(* "-"??_);_(@_)</c:formatCode>
                <c:ptCount val="30"/>
                <c:pt idx="0">
                  <c:v>0</c:v>
                </c:pt>
                <c:pt idx="1">
                  <c:v>-105</c:v>
                </c:pt>
                <c:pt idx="2">
                  <c:v>-260</c:v>
                </c:pt>
                <c:pt idx="3">
                  <c:v>-260</c:v>
                </c:pt>
                <c:pt idx="4">
                  <c:v>-265</c:v>
                </c:pt>
                <c:pt idx="5">
                  <c:v>-265</c:v>
                </c:pt>
                <c:pt idx="6">
                  <c:v>-265</c:v>
                </c:pt>
                <c:pt idx="7">
                  <c:v>-265</c:v>
                </c:pt>
                <c:pt idx="8">
                  <c:v>-265</c:v>
                </c:pt>
                <c:pt idx="9">
                  <c:v>-265</c:v>
                </c:pt>
                <c:pt idx="10">
                  <c:v>-265</c:v>
                </c:pt>
                <c:pt idx="11">
                  <c:v>-270</c:v>
                </c:pt>
                <c:pt idx="12">
                  <c:v>-270</c:v>
                </c:pt>
                <c:pt idx="13">
                  <c:v>-270</c:v>
                </c:pt>
                <c:pt idx="14">
                  <c:v>-270</c:v>
                </c:pt>
                <c:pt idx="15">
                  <c:v>-270</c:v>
                </c:pt>
                <c:pt idx="16">
                  <c:v>-270</c:v>
                </c:pt>
                <c:pt idx="17">
                  <c:v>-270</c:v>
                </c:pt>
                <c:pt idx="18">
                  <c:v>-270</c:v>
                </c:pt>
                <c:pt idx="19">
                  <c:v>-270</c:v>
                </c:pt>
                <c:pt idx="20">
                  <c:v>-270</c:v>
                </c:pt>
                <c:pt idx="21">
                  <c:v>-270</c:v>
                </c:pt>
                <c:pt idx="22">
                  <c:v>-270</c:v>
                </c:pt>
                <c:pt idx="23">
                  <c:v>-270</c:v>
                </c:pt>
                <c:pt idx="24">
                  <c:v>-270</c:v>
                </c:pt>
                <c:pt idx="25">
                  <c:v>-270</c:v>
                </c:pt>
                <c:pt idx="26">
                  <c:v>-270</c:v>
                </c:pt>
                <c:pt idx="27">
                  <c:v>-270</c:v>
                </c:pt>
                <c:pt idx="28">
                  <c:v>-270</c:v>
                </c:pt>
                <c:pt idx="29">
                  <c:v>-270</c:v>
                </c:pt>
              </c:numCache>
            </c:numRef>
          </c:val>
          <c:extLst>
            <c:ext xmlns:c16="http://schemas.microsoft.com/office/drawing/2014/chart" uri="{C3380CC4-5D6E-409C-BE32-E72D297353CC}">
              <c16:uniqueId val="{00000001-83A3-AC44-9A3C-8E52A420DD62}"/>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[0]!loansinfra</c:f>
              <c:numCache>
                <c:formatCode>_(* #,##0_);_(* \(#,##0\);_(* "-"??_);_(@_)</c:formatCode>
                <c:ptCount val="30"/>
                <c:pt idx="0">
                  <c:v>0</c:v>
                </c:pt>
                <c:pt idx="1">
                  <c:v>-10</c:v>
                </c:pt>
                <c:pt idx="2">
                  <c:v>5</c:v>
                </c:pt>
                <c:pt idx="3">
                  <c:v>17.5</c:v>
                </c:pt>
                <c:pt idx="4">
                  <c:v>17.5</c:v>
                </c:pt>
                <c:pt idx="5">
                  <c:v>17.5</c:v>
                </c:pt>
                <c:pt idx="6">
                  <c:v>17.5</c:v>
                </c:pt>
                <c:pt idx="7">
                  <c:v>-22.5</c:v>
                </c:pt>
                <c:pt idx="8">
                  <c:v>-22.5</c:v>
                </c:pt>
                <c:pt idx="9">
                  <c:v>-22.5</c:v>
                </c:pt>
                <c:pt idx="10">
                  <c:v>0</c:v>
                </c:pt>
                <c:pt idx="11">
                  <c:v>0</c:v>
                </c:pt>
                <c:pt idx="12">
                  <c:v>0</c:v>
                </c:pt>
                <c:pt idx="13">
                  <c:v>0</c:v>
                </c:pt>
                <c:pt idx="14">
                  <c:v>0</c:v>
                </c:pt>
                <c:pt idx="15">
                  <c:v>0</c:v>
                </c:pt>
                <c:pt idx="16">
                  <c:v>-200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83A3-AC44-9A3C-8E52A420DD62}"/>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[0]!equityinfra</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83A3-AC44-9A3C-8E52A420DD62}"/>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[0]!netinterestinfra</c:f>
              <c:numCache>
                <c:formatCode>_(* #,##0_);_(* \(#,##0\);_(* "-"??_);_(@_)</c:formatCode>
                <c:ptCount val="30"/>
                <c:pt idx="0">
                  <c:v>0</c:v>
                </c:pt>
                <c:pt idx="1">
                  <c:v>-9.875</c:v>
                </c:pt>
                <c:pt idx="2">
                  <c:v>-10.247000000000014</c:v>
                </c:pt>
                <c:pt idx="3">
                  <c:v>-10.594500000000039</c:v>
                </c:pt>
                <c:pt idx="4">
                  <c:v>-12.002500000000055</c:v>
                </c:pt>
                <c:pt idx="5">
                  <c:v>-13.518500000000131</c:v>
                </c:pt>
                <c:pt idx="6">
                  <c:v>-15.079499999999825</c:v>
                </c:pt>
                <c:pt idx="7">
                  <c:v>-15.382500000000164</c:v>
                </c:pt>
                <c:pt idx="8">
                  <c:v>-14.457500000000437</c:v>
                </c:pt>
                <c:pt idx="9">
                  <c:v>-13.472499999999854</c:v>
                </c:pt>
                <c:pt idx="10">
                  <c:v>-12.0600000000004</c:v>
                </c:pt>
                <c:pt idx="11">
                  <c:v>-12</c:v>
                </c:pt>
                <c:pt idx="12">
                  <c:v>-12</c:v>
                </c:pt>
                <c:pt idx="13">
                  <c:v>-12</c:v>
                </c:pt>
                <c:pt idx="14">
                  <c:v>-12</c:v>
                </c:pt>
                <c:pt idx="15">
                  <c:v>-12</c:v>
                </c:pt>
                <c:pt idx="16">
                  <c:v>-6</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4-83A3-AC44-9A3C-8E52A420DD62}"/>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[0]!dividendsinfra</c:f>
              <c:numCache>
                <c:formatCode>_(* #,##0_);_(* \(#,##0\);_(* "-"??_);_(@_)</c:formatCode>
                <c:ptCount val="30"/>
                <c:pt idx="0">
                  <c:v>0</c:v>
                </c:pt>
                <c:pt idx="1">
                  <c:v>-18941.88505708511</c:v>
                </c:pt>
                <c:pt idx="2">
                  <c:v>-19588.0917095693</c:v>
                </c:pt>
                <c:pt idx="3">
                  <c:v>-20784.036929237529</c:v>
                </c:pt>
                <c:pt idx="4">
                  <c:v>-22531.807106718661</c:v>
                </c:pt>
                <c:pt idx="5">
                  <c:v>-24112.623957552234</c:v>
                </c:pt>
                <c:pt idx="6">
                  <c:v>-27144.195741435218</c:v>
                </c:pt>
                <c:pt idx="7">
                  <c:v>-29154.699856346666</c:v>
                </c:pt>
                <c:pt idx="8">
                  <c:v>-31002.781344608993</c:v>
                </c:pt>
                <c:pt idx="9">
                  <c:v>-32935.96794498797</c:v>
                </c:pt>
                <c:pt idx="10">
                  <c:v>-34521.467569217646</c:v>
                </c:pt>
                <c:pt idx="11">
                  <c:v>-36482.278357388845</c:v>
                </c:pt>
                <c:pt idx="12">
                  <c:v>-38563.916865499385</c:v>
                </c:pt>
                <c:pt idx="13">
                  <c:v>-40738.043412254818</c:v>
                </c:pt>
                <c:pt idx="14">
                  <c:v>-43011.390703574594</c:v>
                </c:pt>
                <c:pt idx="15">
                  <c:v>-45383.413007468087</c:v>
                </c:pt>
                <c:pt idx="16">
                  <c:v>-47726.630493600467</c:v>
                </c:pt>
                <c:pt idx="17">
                  <c:v>-50457.725010278489</c:v>
                </c:pt>
                <c:pt idx="18">
                  <c:v>-53161.629679326375</c:v>
                </c:pt>
                <c:pt idx="19">
                  <c:v>-55984.036412450601</c:v>
                </c:pt>
                <c:pt idx="20">
                  <c:v>-58929.645303273799</c:v>
                </c:pt>
                <c:pt idx="21">
                  <c:v>-62003.332093641038</c:v>
                </c:pt>
                <c:pt idx="22">
                  <c:v>-65210.154486458239</c:v>
                </c:pt>
                <c:pt idx="23">
                  <c:v>-68555.358679185316</c:v>
                </c:pt>
                <c:pt idx="24">
                  <c:v>-72044.38612556603</c:v>
                </c:pt>
                <c:pt idx="25">
                  <c:v>-75682.880533424424</c:v>
                </c:pt>
                <c:pt idx="26">
                  <c:v>-79476.695106618281</c:v>
                </c:pt>
                <c:pt idx="27">
                  <c:v>-83431.900039508299</c:v>
                </c:pt>
                <c:pt idx="28">
                  <c:v>-87553.91285474677</c:v>
                </c:pt>
                <c:pt idx="29">
                  <c:v>-91839.734949704347</c:v>
                </c:pt>
              </c:numCache>
            </c:numRef>
          </c:val>
          <c:extLst>
            <c:ext xmlns:c16="http://schemas.microsoft.com/office/drawing/2014/chart" uri="{C3380CC4-5D6E-409C-BE32-E72D297353CC}">
              <c16:uniqueId val="{00000005-83A3-AC44-9A3C-8E52A420DD62}"/>
            </c:ext>
          </c:extLst>
        </c:ser>
        <c:dLbls>
          <c:showLegendKey val="0"/>
          <c:showVal val="0"/>
          <c:showCatName val="0"/>
          <c:showSerName val="0"/>
          <c:showPercent val="0"/>
          <c:showBubbleSize val="0"/>
        </c:dLbls>
        <c:gapWidth val="150"/>
        <c:overlap val="100"/>
        <c:axId val="207083392"/>
        <c:axId val="207084928"/>
      </c:barChart>
      <c:catAx>
        <c:axId val="207083392"/>
        <c:scaling>
          <c:orientation val="minMax"/>
        </c:scaling>
        <c:delete val="0"/>
        <c:axPos val="b"/>
        <c:numFmt formatCode="0" sourceLinked="1"/>
        <c:majorTickMark val="out"/>
        <c:minorTickMark val="none"/>
        <c:tickLblPos val="nextTo"/>
        <c:crossAx val="207084928"/>
        <c:crosses val="autoZero"/>
        <c:auto val="1"/>
        <c:lblAlgn val="ctr"/>
        <c:lblOffset val="100"/>
        <c:noMultiLvlLbl val="0"/>
      </c:catAx>
      <c:valAx>
        <c:axId val="207084928"/>
        <c:scaling>
          <c:orientation val="minMax"/>
        </c:scaling>
        <c:delete val="0"/>
        <c:axPos val="l"/>
        <c:numFmt formatCode="_(* #,##0_);_(* \(#,##0\);_(* &quot;-&quot;??_);_(@_)" sourceLinked="1"/>
        <c:majorTickMark val="out"/>
        <c:minorTickMark val="none"/>
        <c:tickLblPos val="nextTo"/>
        <c:crossAx val="207083392"/>
        <c:crosses val="autoZero"/>
        <c:crossBetween val="between"/>
        <c:dispUnits>
          <c:builtInUnit val="thousands"/>
          <c:dispUnitsLbl>
            <c:layout>
              <c:manualLayout>
                <c:xMode val="edge"/>
                <c:yMode val="edge"/>
                <c:x val="1.5048908954100828E-2"/>
                <c:y val="0.41308122035205597"/>
              </c:manualLayout>
            </c:layout>
            <c:tx>
              <c:strRef>
                <c:f>'Charts - Freight'!$E$134</c:f>
                <c:strCache>
                  <c:ptCount val="1"/>
                  <c:pt idx="0">
                    <c:v>R$ millions</c:v>
                  </c:pt>
                </c:strCache>
              </c:strRef>
            </c:tx>
            <c:txPr>
              <a:bodyPr/>
              <a:lstStyle/>
              <a:p>
                <a:pPr>
                  <a:defRPr/>
                </a:pPr>
                <a:endParaRPr lang="en-US"/>
              </a:p>
            </c:txPr>
          </c:dispUnitsLbl>
        </c:dispUnits>
      </c:valAx>
    </c:plotArea>
    <c:legend>
      <c:legendPos val="b"/>
      <c:overlay val="0"/>
    </c:legend>
    <c:plotVisOnly val="1"/>
    <c:dispBlanksAs val="gap"/>
    <c:showDLblsOverMax val="0"/>
  </c:chart>
  <c:spPr>
    <a:solidFill>
      <a:schemeClr val="lt1"/>
    </a:solidFill>
    <a:ln w="25400" cap="flat" cmpd="sng" algn="ctr">
      <a:solidFill>
        <a:srgbClr val="92D05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Traffic</a:t>
            </a:r>
          </a:p>
        </c:rich>
      </c:tx>
      <c:overlay val="0"/>
    </c:title>
    <c:autoTitleDeleted val="0"/>
    <c:plotArea>
      <c:layout/>
      <c:barChart>
        <c:barDir val="col"/>
        <c:grouping val="stacked"/>
        <c:varyColors val="0"/>
        <c:ser>
          <c:idx val="0"/>
          <c:order val="0"/>
          <c:tx>
            <c:strRef>
              <c:f>'Charts - Infrastructure'!$B$145</c:f>
              <c:strCache>
                <c:ptCount val="1"/>
                <c:pt idx="0">
                  <c:v>Total freight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[0]!freighttrafficgtk</c:f>
              <c:numCache>
                <c:formatCode>_(* #,##0_);_(* \(#,##0\);_(* "-"??_);_(@_)</c:formatCode>
                <c:ptCount val="30"/>
                <c:pt idx="0">
                  <c:v>100000.00000000001</c:v>
                </c:pt>
                <c:pt idx="1">
                  <c:v>98780.487804878067</c:v>
                </c:pt>
                <c:pt idx="2">
                  <c:v>98780.487804878067</c:v>
                </c:pt>
                <c:pt idx="3">
                  <c:v>98780.487804878067</c:v>
                </c:pt>
                <c:pt idx="4">
                  <c:v>98780.487804878067</c:v>
                </c:pt>
                <c:pt idx="5">
                  <c:v>98780.487804878067</c:v>
                </c:pt>
                <c:pt idx="6">
                  <c:v>111128.04878048781</c:v>
                </c:pt>
                <c:pt idx="7">
                  <c:v>111128.04878048781</c:v>
                </c:pt>
                <c:pt idx="8">
                  <c:v>111128.04878048781</c:v>
                </c:pt>
                <c:pt idx="9">
                  <c:v>111128.04878048781</c:v>
                </c:pt>
                <c:pt idx="10">
                  <c:v>111128.04878048781</c:v>
                </c:pt>
                <c:pt idx="11">
                  <c:v>111128.04878048781</c:v>
                </c:pt>
                <c:pt idx="12">
                  <c:v>111128.04878048781</c:v>
                </c:pt>
                <c:pt idx="13">
                  <c:v>111128.04878048781</c:v>
                </c:pt>
                <c:pt idx="14">
                  <c:v>111128.04878048781</c:v>
                </c:pt>
                <c:pt idx="15">
                  <c:v>111128.04878048781</c:v>
                </c:pt>
                <c:pt idx="16">
                  <c:v>111128.04878048781</c:v>
                </c:pt>
                <c:pt idx="17">
                  <c:v>111128.04878048781</c:v>
                </c:pt>
                <c:pt idx="18">
                  <c:v>111128.04878048781</c:v>
                </c:pt>
                <c:pt idx="19">
                  <c:v>111128.04878048781</c:v>
                </c:pt>
                <c:pt idx="20">
                  <c:v>111128.04878048781</c:v>
                </c:pt>
                <c:pt idx="21">
                  <c:v>111128.04878048781</c:v>
                </c:pt>
                <c:pt idx="22">
                  <c:v>111128.04878048781</c:v>
                </c:pt>
                <c:pt idx="23">
                  <c:v>111128.04878048781</c:v>
                </c:pt>
                <c:pt idx="24">
                  <c:v>111128.04878048781</c:v>
                </c:pt>
                <c:pt idx="25">
                  <c:v>111128.04878048781</c:v>
                </c:pt>
                <c:pt idx="26">
                  <c:v>111128.04878048781</c:v>
                </c:pt>
                <c:pt idx="27">
                  <c:v>111128.04878048781</c:v>
                </c:pt>
                <c:pt idx="28">
                  <c:v>111128.04878048781</c:v>
                </c:pt>
                <c:pt idx="29">
                  <c:v>111128.04878048781</c:v>
                </c:pt>
              </c:numCache>
            </c:numRef>
          </c:val>
          <c:extLst>
            <c:ext xmlns:c16="http://schemas.microsoft.com/office/drawing/2014/chart" uri="{C3380CC4-5D6E-409C-BE32-E72D297353CC}">
              <c16:uniqueId val="{00000000-B3B1-3241-877D-FD316C810604}"/>
            </c:ext>
          </c:extLst>
        </c:ser>
        <c:ser>
          <c:idx val="1"/>
          <c:order val="1"/>
          <c:tx>
            <c:strRef>
              <c:f>'Charts - Infrastructure'!$B$146</c:f>
              <c:strCache>
                <c:ptCount val="1"/>
                <c:pt idx="0">
                  <c:v>Total passenger traffic</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[0]!paxtrafficgtk</c:f>
              <c:numCache>
                <c:formatCode>_(* #,##0_);_(* \(#,##0\);_(* "-"??_);_(@_)</c:formatCode>
                <c:ptCount val="30"/>
                <c:pt idx="0">
                  <c:v>60000</c:v>
                </c:pt>
                <c:pt idx="1">
                  <c:v>63750</c:v>
                </c:pt>
                <c:pt idx="2">
                  <c:v>63750</c:v>
                </c:pt>
                <c:pt idx="3">
                  <c:v>67500</c:v>
                </c:pt>
                <c:pt idx="4">
                  <c:v>75000</c:v>
                </c:pt>
                <c:pt idx="5">
                  <c:v>78750</c:v>
                </c:pt>
                <c:pt idx="6">
                  <c:v>82500</c:v>
                </c:pt>
                <c:pt idx="7">
                  <c:v>86250</c:v>
                </c:pt>
                <c:pt idx="8">
                  <c:v>90000</c:v>
                </c:pt>
                <c:pt idx="9">
                  <c:v>93750</c:v>
                </c:pt>
                <c:pt idx="10">
                  <c:v>97500</c:v>
                </c:pt>
                <c:pt idx="11">
                  <c:v>101250</c:v>
                </c:pt>
                <c:pt idx="12">
                  <c:v>105000</c:v>
                </c:pt>
                <c:pt idx="13">
                  <c:v>108750</c:v>
                </c:pt>
                <c:pt idx="14">
                  <c:v>112500</c:v>
                </c:pt>
                <c:pt idx="15">
                  <c:v>116250</c:v>
                </c:pt>
                <c:pt idx="16">
                  <c:v>120000</c:v>
                </c:pt>
                <c:pt idx="17">
                  <c:v>123750</c:v>
                </c:pt>
                <c:pt idx="18">
                  <c:v>127500</c:v>
                </c:pt>
                <c:pt idx="19">
                  <c:v>131250</c:v>
                </c:pt>
                <c:pt idx="20">
                  <c:v>135000</c:v>
                </c:pt>
                <c:pt idx="21">
                  <c:v>138750</c:v>
                </c:pt>
                <c:pt idx="22">
                  <c:v>142500</c:v>
                </c:pt>
                <c:pt idx="23">
                  <c:v>146250</c:v>
                </c:pt>
                <c:pt idx="24">
                  <c:v>150000</c:v>
                </c:pt>
                <c:pt idx="25">
                  <c:v>153750</c:v>
                </c:pt>
                <c:pt idx="26">
                  <c:v>157500</c:v>
                </c:pt>
                <c:pt idx="27">
                  <c:v>161250</c:v>
                </c:pt>
                <c:pt idx="28">
                  <c:v>165000</c:v>
                </c:pt>
                <c:pt idx="29">
                  <c:v>168750</c:v>
                </c:pt>
              </c:numCache>
            </c:numRef>
          </c:val>
          <c:extLst>
            <c:ext xmlns:c16="http://schemas.microsoft.com/office/drawing/2014/chart" uri="{C3380CC4-5D6E-409C-BE32-E72D297353CC}">
              <c16:uniqueId val="{00000001-B3B1-3241-877D-FD316C810604}"/>
            </c:ext>
          </c:extLst>
        </c:ser>
        <c:dLbls>
          <c:showLegendKey val="0"/>
          <c:showVal val="0"/>
          <c:showCatName val="0"/>
          <c:showSerName val="0"/>
          <c:showPercent val="0"/>
          <c:showBubbleSize val="0"/>
        </c:dLbls>
        <c:gapWidth val="150"/>
        <c:overlap val="100"/>
        <c:axId val="207122816"/>
        <c:axId val="207124352"/>
      </c:barChart>
      <c:catAx>
        <c:axId val="207122816"/>
        <c:scaling>
          <c:orientation val="minMax"/>
        </c:scaling>
        <c:delete val="0"/>
        <c:axPos val="b"/>
        <c:numFmt formatCode="0" sourceLinked="1"/>
        <c:majorTickMark val="out"/>
        <c:minorTickMark val="none"/>
        <c:tickLblPos val="nextTo"/>
        <c:crossAx val="207124352"/>
        <c:crosses val="autoZero"/>
        <c:auto val="1"/>
        <c:lblAlgn val="ctr"/>
        <c:lblOffset val="100"/>
        <c:noMultiLvlLbl val="0"/>
      </c:catAx>
      <c:valAx>
        <c:axId val="207124352"/>
        <c:scaling>
          <c:orientation val="minMax"/>
        </c:scaling>
        <c:delete val="0"/>
        <c:axPos val="l"/>
        <c:numFmt formatCode="_(* #,##0_);_(* \(#,##0\);_(* &quot;-&quot;??_);_(@_)" sourceLinked="1"/>
        <c:majorTickMark val="out"/>
        <c:minorTickMark val="none"/>
        <c:tickLblPos val="nextTo"/>
        <c:crossAx val="207122816"/>
        <c:crosses val="autoZero"/>
        <c:crossBetween val="between"/>
        <c:dispUnits>
          <c:builtInUnit val="thousands"/>
          <c:dispUnitsLbl>
            <c:layout>
              <c:manualLayout>
                <c:xMode val="edge"/>
                <c:yMode val="edge"/>
                <c:x val="3.1215161649944412E-2"/>
                <c:y val="0.26436351706036748"/>
              </c:manualLayout>
            </c:layout>
            <c:tx>
              <c:strRef>
                <c:f>'Charts - Freight'!$F$142</c:f>
                <c:strCache>
                  <c:ptCount val="1"/>
                  <c:pt idx="0">
                    <c:v>GTK (millions)</c:v>
                  </c:pt>
                </c:strCache>
              </c:strRef>
            </c:tx>
            <c:txPr>
              <a:bodyPr/>
              <a:lstStyle/>
              <a:p>
                <a:pPr>
                  <a:defRPr/>
                </a:pPr>
                <a:endParaRPr lang="en-US"/>
              </a:p>
            </c:txPr>
          </c:dispUnitsLbl>
        </c:dispUnits>
      </c:valAx>
      <c:spPr>
        <a:noFill/>
        <a:ln w="25400">
          <a:noFill/>
        </a:ln>
      </c:spPr>
    </c:plotArea>
    <c:legend>
      <c:legendPos val="b"/>
      <c:overlay val="0"/>
    </c:legend>
    <c:plotVisOnly val="1"/>
    <c:dispBlanksAs val="gap"/>
    <c:showDLblsOverMax val="0"/>
  </c:chart>
  <c:spPr>
    <a:noFill/>
    <a:ln w="25400" cap="flat" cmpd="sng" algn="ctr">
      <a:solidFill>
        <a:srgbClr val="92D05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[0]!operatingrevenuesall</c:f>
              <c:numCache>
                <c:formatCode>_(* #,##0_);_(* \(#,##0\);_(* "-"??_);_(@_)</c:formatCode>
                <c:ptCount val="30"/>
                <c:pt idx="0">
                  <c:v>87011</c:v>
                </c:pt>
                <c:pt idx="1">
                  <c:v>90475.679971457415</c:v>
                </c:pt>
                <c:pt idx="2">
                  <c:v>93048.938718952821</c:v>
                </c:pt>
                <c:pt idx="3">
                  <c:v>97846.613706804841</c:v>
                </c:pt>
                <c:pt idx="4">
                  <c:v>105067.15870969972</c:v>
                </c:pt>
                <c:pt idx="5">
                  <c:v>110353.49303965193</c:v>
                </c:pt>
                <c:pt idx="6">
                  <c:v>123628.0122425671</c:v>
                </c:pt>
                <c:pt idx="7">
                  <c:v>129593.20025983242</c:v>
                </c:pt>
                <c:pt idx="8">
                  <c:v>135808.83873919945</c:v>
                </c:pt>
                <c:pt idx="9">
                  <c:v>142284.07113167556</c:v>
                </c:pt>
                <c:pt idx="10">
                  <c:v>149028.82862423887</c:v>
                </c:pt>
                <c:pt idx="11">
                  <c:v>156053.51473596404</c:v>
                </c:pt>
                <c:pt idx="12">
                  <c:v>163368.68792912355</c:v>
                </c:pt>
                <c:pt idx="13">
                  <c:v>170985.41229274412</c:v>
                </c:pt>
                <c:pt idx="14">
                  <c:v>178915.81704468711</c:v>
                </c:pt>
                <c:pt idx="15">
                  <c:v>187170.9863049869</c:v>
                </c:pt>
                <c:pt idx="16">
                  <c:v>195764.42992999768</c:v>
                </c:pt>
                <c:pt idx="17">
                  <c:v>204708.06103274794</c:v>
                </c:pt>
                <c:pt idx="18">
                  <c:v>214015.2204442111</c:v>
                </c:pt>
                <c:pt idx="19">
                  <c:v>223700.64751416226</c:v>
                </c:pt>
                <c:pt idx="20">
                  <c:v>233777.4886345258</c:v>
                </c:pt>
                <c:pt idx="21">
                  <c:v>244261.75740066011</c:v>
                </c:pt>
                <c:pt idx="22">
                  <c:v>255168.30597817167</c:v>
                </c:pt>
                <c:pt idx="23">
                  <c:v>266512.95388374582</c:v>
                </c:pt>
                <c:pt idx="24">
                  <c:v>278312.09244357492</c:v>
                </c:pt>
                <c:pt idx="25">
                  <c:v>290583.014671201</c:v>
                </c:pt>
                <c:pt idx="26">
                  <c:v>303343.32908722403</c:v>
                </c:pt>
                <c:pt idx="27">
                  <c:v>316611.38132019946</c:v>
                </c:pt>
                <c:pt idx="28">
                  <c:v>330405.99652098806</c:v>
                </c:pt>
                <c:pt idx="29">
                  <c:v>344742.14148318389</c:v>
                </c:pt>
              </c:numCache>
            </c:numRef>
          </c:val>
          <c:extLst>
            <c:ext xmlns:c16="http://schemas.microsoft.com/office/drawing/2014/chart" uri="{C3380CC4-5D6E-409C-BE32-E72D297353CC}">
              <c16:uniqueId val="{00000000-9FDF-4341-83A8-E3C4D58CAC6D}"/>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[0]!operatingcostsall</c:f>
              <c:numCache>
                <c:formatCode>_(* #,##0_);_(* \(#,##0\);_(* "-"??_);_(@_)</c:formatCode>
                <c:ptCount val="30"/>
                <c:pt idx="0">
                  <c:v>10645</c:v>
                </c:pt>
                <c:pt idx="1">
                  <c:v>11115.856264241107</c:v>
                </c:pt>
                <c:pt idx="2">
                  <c:v>11557.12652420071</c:v>
                </c:pt>
                <c:pt idx="3">
                  <c:v>12356.16587911611</c:v>
                </c:pt>
                <c:pt idx="4">
                  <c:v>13336.455592091721</c:v>
                </c:pt>
                <c:pt idx="5">
                  <c:v>13904.512208530425</c:v>
                </c:pt>
                <c:pt idx="6">
                  <c:v>14849.965879866864</c:v>
                </c:pt>
                <c:pt idx="7">
                  <c:v>15455.98148162026</c:v>
                </c:pt>
                <c:pt idx="8">
                  <c:v>16098.6458797293</c:v>
                </c:pt>
                <c:pt idx="9">
                  <c:v>16766.183527318179</c:v>
                </c:pt>
                <c:pt idx="10">
                  <c:v>17457.83000835247</c:v>
                </c:pt>
                <c:pt idx="11">
                  <c:v>18175.184015207877</c:v>
                </c:pt>
                <c:pt idx="12">
                  <c:v>18914.612906349019</c:v>
                </c:pt>
                <c:pt idx="13">
                  <c:v>19675.284158743299</c:v>
                </c:pt>
                <c:pt idx="14">
                  <c:v>20472.949076957102</c:v>
                </c:pt>
                <c:pt idx="15">
                  <c:v>21286.413298367064</c:v>
                </c:pt>
                <c:pt idx="16">
                  <c:v>22144.292498232586</c:v>
                </c:pt>
                <c:pt idx="17">
                  <c:v>23024.165897460003</c:v>
                </c:pt>
                <c:pt idx="18">
                  <c:v>23927.672050654335</c:v>
                </c:pt>
                <c:pt idx="19">
                  <c:v>24879.545837372425</c:v>
                </c:pt>
                <c:pt idx="20">
                  <c:v>25853.20740548972</c:v>
                </c:pt>
                <c:pt idx="21">
                  <c:v>26876.320088470042</c:v>
                </c:pt>
                <c:pt idx="22">
                  <c:v>27939.070606768579</c:v>
                </c:pt>
                <c:pt idx="23">
                  <c:v>29040.288918682287</c:v>
                </c:pt>
                <c:pt idx="24">
                  <c:v>30179.121439056671</c:v>
                </c:pt>
                <c:pt idx="25">
                  <c:v>31361.452292320064</c:v>
                </c:pt>
                <c:pt idx="26">
                  <c:v>32586.525449933451</c:v>
                </c:pt>
                <c:pt idx="27">
                  <c:v>33855.866091982476</c:v>
                </c:pt>
                <c:pt idx="28">
                  <c:v>35166.693173549414</c:v>
                </c:pt>
                <c:pt idx="29">
                  <c:v>36470.605826529587</c:v>
                </c:pt>
              </c:numCache>
            </c:numRef>
          </c:val>
          <c:extLst>
            <c:ext xmlns:c16="http://schemas.microsoft.com/office/drawing/2014/chart" uri="{C3380CC4-5D6E-409C-BE32-E72D297353CC}">
              <c16:uniqueId val="{00000001-9FDF-4341-83A8-E3C4D58CAC6D}"/>
            </c:ext>
          </c:extLst>
        </c:ser>
        <c:dLbls>
          <c:showLegendKey val="0"/>
          <c:showVal val="0"/>
          <c:showCatName val="0"/>
          <c:showSerName val="0"/>
          <c:showPercent val="0"/>
          <c:showBubbleSize val="0"/>
        </c:dLbls>
        <c:gapWidth val="150"/>
        <c:axId val="207205504"/>
        <c:axId val="207207040"/>
      </c:barChart>
      <c:lineChart>
        <c:grouping val="standard"/>
        <c:varyColors val="0"/>
        <c:ser>
          <c:idx val="2"/>
          <c:order val="2"/>
          <c:tx>
            <c:strRef>
              <c:f>'Charts - Freight'!$B$140</c:f>
              <c:strCache>
                <c:ptCount val="1"/>
                <c:pt idx="0">
                  <c:v>Operating profit</c:v>
                </c:pt>
              </c:strCache>
            </c:strRef>
          </c:tx>
          <c:marker>
            <c:symbol val="none"/>
          </c:marker>
          <c:val>
            <c:numRef>
              <c:f>[0]!operatingprofitall</c:f>
              <c:numCache>
                <c:formatCode>0%</c:formatCode>
                <c:ptCount val="30"/>
                <c:pt idx="0">
                  <c:v>0.87765914654468979</c:v>
                </c:pt>
                <c:pt idx="1">
                  <c:v>0.87713984279811041</c:v>
                </c:pt>
                <c:pt idx="2">
                  <c:v>0.87579518172573556</c:v>
                </c:pt>
                <c:pt idx="3">
                  <c:v>0.87371902398031809</c:v>
                </c:pt>
                <c:pt idx="4">
                  <c:v>0.87306732421554956</c:v>
                </c:pt>
                <c:pt idx="5">
                  <c:v>0.87400025295498074</c:v>
                </c:pt>
                <c:pt idx="6">
                  <c:v>0.87988186810987334</c:v>
                </c:pt>
                <c:pt idx="7">
                  <c:v>0.88073462611748732</c:v>
                </c:pt>
                <c:pt idx="8">
                  <c:v>0.88146098568264508</c:v>
                </c:pt>
                <c:pt idx="9">
                  <c:v>0.88216401601411831</c:v>
                </c:pt>
                <c:pt idx="10">
                  <c:v>0.88285602074769964</c:v>
                </c:pt>
                <c:pt idx="11">
                  <c:v>0.88353236358719944</c:v>
                </c:pt>
                <c:pt idx="12">
                  <c:v>0.88422130858665526</c:v>
                </c:pt>
                <c:pt idx="13">
                  <c:v>0.88493004230643224</c:v>
                </c:pt>
                <c:pt idx="14">
                  <c:v>0.88557216787689796</c:v>
                </c:pt>
                <c:pt idx="15">
                  <c:v>0.88627290095227806</c:v>
                </c:pt>
                <c:pt idx="16">
                  <c:v>0.8868829618018399</c:v>
                </c:pt>
                <c:pt idx="17">
                  <c:v>0.88752682341230937</c:v>
                </c:pt>
                <c:pt idx="18">
                  <c:v>0.88819640023270341</c:v>
                </c:pt>
                <c:pt idx="19">
                  <c:v>0.88878196771514784</c:v>
                </c:pt>
                <c:pt idx="20">
                  <c:v>0.88941104827288509</c:v>
                </c:pt>
                <c:pt idx="21">
                  <c:v>0.88996918562087857</c:v>
                </c:pt>
                <c:pt idx="22">
                  <c:v>0.89050728498719345</c:v>
                </c:pt>
                <c:pt idx="23">
                  <c:v>0.89103610726797999</c:v>
                </c:pt>
                <c:pt idx="24">
                  <c:v>0.89156374351511447</c:v>
                </c:pt>
                <c:pt idx="25">
                  <c:v>0.89207403492662496</c:v>
                </c:pt>
                <c:pt idx="26">
                  <c:v>0.89257543408655804</c:v>
                </c:pt>
                <c:pt idx="27">
                  <c:v>0.89306806991330823</c:v>
                </c:pt>
                <c:pt idx="28">
                  <c:v>0.89356520903422654</c:v>
                </c:pt>
                <c:pt idx="29">
                  <c:v>0.8942090291902749</c:v>
                </c:pt>
              </c:numCache>
            </c:numRef>
          </c:val>
          <c:smooth val="0"/>
          <c:extLst>
            <c:ext xmlns:c16="http://schemas.microsoft.com/office/drawing/2014/chart" uri="{C3380CC4-5D6E-409C-BE32-E72D297353CC}">
              <c16:uniqueId val="{00000002-9FDF-4341-83A8-E3C4D58CAC6D}"/>
            </c:ext>
          </c:extLst>
        </c:ser>
        <c:dLbls>
          <c:showLegendKey val="0"/>
          <c:showVal val="0"/>
          <c:showCatName val="0"/>
          <c:showSerName val="0"/>
          <c:showPercent val="0"/>
          <c:showBubbleSize val="0"/>
        </c:dLbls>
        <c:marker val="1"/>
        <c:smooth val="0"/>
        <c:axId val="207211136"/>
        <c:axId val="207209600"/>
      </c:lineChart>
      <c:catAx>
        <c:axId val="207205504"/>
        <c:scaling>
          <c:orientation val="minMax"/>
        </c:scaling>
        <c:delete val="0"/>
        <c:axPos val="b"/>
        <c:numFmt formatCode="0" sourceLinked="1"/>
        <c:majorTickMark val="out"/>
        <c:minorTickMark val="none"/>
        <c:tickLblPos val="nextTo"/>
        <c:crossAx val="207207040"/>
        <c:crosses val="autoZero"/>
        <c:auto val="1"/>
        <c:lblAlgn val="ctr"/>
        <c:lblOffset val="100"/>
        <c:noMultiLvlLbl val="0"/>
      </c:catAx>
      <c:valAx>
        <c:axId val="207207040"/>
        <c:scaling>
          <c:orientation val="minMax"/>
        </c:scaling>
        <c:delete val="0"/>
        <c:axPos val="l"/>
        <c:title>
          <c:tx>
            <c:strRef>
              <c:f>'Charts - Consolidated'!$E$134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7205504"/>
        <c:crosses val="autoZero"/>
        <c:crossBetween val="between"/>
        <c:dispUnits>
          <c:builtInUnit val="thousands"/>
        </c:dispUnits>
      </c:valAx>
      <c:valAx>
        <c:axId val="207209600"/>
        <c:scaling>
          <c:orientation val="minMax"/>
        </c:scaling>
        <c:delete val="0"/>
        <c:axPos val="r"/>
        <c:numFmt formatCode="0%" sourceLinked="1"/>
        <c:majorTickMark val="out"/>
        <c:minorTickMark val="none"/>
        <c:tickLblPos val="nextTo"/>
        <c:crossAx val="207211136"/>
        <c:crosses val="max"/>
        <c:crossBetween val="between"/>
      </c:valAx>
      <c:catAx>
        <c:axId val="207211136"/>
        <c:scaling>
          <c:orientation val="minMax"/>
        </c:scaling>
        <c:delete val="1"/>
        <c:axPos val="b"/>
        <c:majorTickMark val="out"/>
        <c:minorTickMark val="none"/>
        <c:tickLblPos val="none"/>
        <c:crossAx val="207209600"/>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[0]!operatingcashflowall</c:f>
              <c:numCache>
                <c:formatCode>_(* #,##0_);_(* \(#,##0\);_(* "-"??_);_(@_)</c:formatCode>
                <c:ptCount val="30"/>
                <c:pt idx="0">
                  <c:v>0</c:v>
                </c:pt>
                <c:pt idx="1">
                  <c:v>50690.792519097551</c:v>
                </c:pt>
                <c:pt idx="2">
                  <c:v>52724.69910649403</c:v>
                </c:pt>
                <c:pt idx="3">
                  <c:v>55555.087292603705</c:v>
                </c:pt>
                <c:pt idx="4">
                  <c:v>59925.604475971457</c:v>
                </c:pt>
                <c:pt idx="5">
                  <c:v>64163.626703987196</c:v>
                </c:pt>
                <c:pt idx="6">
                  <c:v>72149.97263055107</c:v>
                </c:pt>
                <c:pt idx="7">
                  <c:v>77495.629768915795</c:v>
                </c:pt>
                <c:pt idx="8">
                  <c:v>82223.493875014101</c:v>
                </c:pt>
                <c:pt idx="9">
                  <c:v>87164.973491895071</c:v>
                </c:pt>
                <c:pt idx="10">
                  <c:v>91222.768841377983</c:v>
                </c:pt>
                <c:pt idx="11">
                  <c:v>96261.173051379898</c:v>
                </c:pt>
                <c:pt idx="12">
                  <c:v>101596.8188694383</c:v>
                </c:pt>
                <c:pt idx="13">
                  <c:v>107167.51642838139</c:v>
                </c:pt>
                <c:pt idx="14">
                  <c:v>112987.49117860262</c:v>
                </c:pt>
                <c:pt idx="15">
                  <c:v>119058.94847536211</c:v>
                </c:pt>
                <c:pt idx="16">
                  <c:v>125394.26549745037</c:v>
                </c:pt>
                <c:pt idx="17">
                  <c:v>131994.57828943952</c:v>
                </c:pt>
                <c:pt idx="18">
                  <c:v>138894.53135041392</c:v>
                </c:pt>
                <c:pt idx="19">
                  <c:v>146097.43811296648</c:v>
                </c:pt>
                <c:pt idx="20">
                  <c:v>153605.48887873936</c:v>
                </c:pt>
                <c:pt idx="21">
                  <c:v>161439.28338368493</c:v>
                </c:pt>
                <c:pt idx="22">
                  <c:v>169607.40726804076</c:v>
                </c:pt>
                <c:pt idx="23">
                  <c:v>178121.83813264631</c:v>
                </c:pt>
                <c:pt idx="24">
                  <c:v>186994.98892456814</c:v>
                </c:pt>
                <c:pt idx="25">
                  <c:v>196241.9497469081</c:v>
                </c:pt>
                <c:pt idx="26">
                  <c:v>205875.64425810269</c:v>
                </c:pt>
                <c:pt idx="27">
                  <c:v>215910.12989520255</c:v>
                </c:pt>
                <c:pt idx="28">
                  <c:v>226361.40002495603</c:v>
                </c:pt>
                <c:pt idx="29">
                  <c:v>237227.77046402689</c:v>
                </c:pt>
              </c:numCache>
            </c:numRef>
          </c:val>
          <c:extLst>
            <c:ext xmlns:c16="http://schemas.microsoft.com/office/drawing/2014/chart" uri="{C3380CC4-5D6E-409C-BE32-E72D297353CC}">
              <c16:uniqueId val="{00000000-543E-D54B-A865-770A527E19AC}"/>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[0]!investingcashflowall</c:f>
              <c:numCache>
                <c:formatCode>_(* #,##0_);_(* \(#,##0\);_(* "-"??_);_(@_)</c:formatCode>
                <c:ptCount val="30"/>
                <c:pt idx="0">
                  <c:v>0</c:v>
                </c:pt>
                <c:pt idx="1">
                  <c:v>-460</c:v>
                </c:pt>
                <c:pt idx="2">
                  <c:v>-770</c:v>
                </c:pt>
                <c:pt idx="3">
                  <c:v>-770</c:v>
                </c:pt>
                <c:pt idx="4">
                  <c:v>-775</c:v>
                </c:pt>
                <c:pt idx="5">
                  <c:v>-775</c:v>
                </c:pt>
                <c:pt idx="6">
                  <c:v>-775</c:v>
                </c:pt>
                <c:pt idx="7">
                  <c:v>-775</c:v>
                </c:pt>
                <c:pt idx="8">
                  <c:v>-775</c:v>
                </c:pt>
                <c:pt idx="9">
                  <c:v>-780</c:v>
                </c:pt>
                <c:pt idx="10">
                  <c:v>-780</c:v>
                </c:pt>
                <c:pt idx="11">
                  <c:v>-785</c:v>
                </c:pt>
                <c:pt idx="12">
                  <c:v>-785</c:v>
                </c:pt>
                <c:pt idx="13">
                  <c:v>-785</c:v>
                </c:pt>
                <c:pt idx="14">
                  <c:v>-785</c:v>
                </c:pt>
                <c:pt idx="15">
                  <c:v>-785</c:v>
                </c:pt>
                <c:pt idx="16">
                  <c:v>-785</c:v>
                </c:pt>
                <c:pt idx="17">
                  <c:v>-785</c:v>
                </c:pt>
                <c:pt idx="18">
                  <c:v>-785</c:v>
                </c:pt>
                <c:pt idx="19">
                  <c:v>-785</c:v>
                </c:pt>
                <c:pt idx="20">
                  <c:v>-785</c:v>
                </c:pt>
                <c:pt idx="21">
                  <c:v>-790</c:v>
                </c:pt>
                <c:pt idx="22">
                  <c:v>-790</c:v>
                </c:pt>
                <c:pt idx="23">
                  <c:v>-790</c:v>
                </c:pt>
                <c:pt idx="24">
                  <c:v>-790</c:v>
                </c:pt>
                <c:pt idx="25">
                  <c:v>-790</c:v>
                </c:pt>
                <c:pt idx="26">
                  <c:v>-790</c:v>
                </c:pt>
                <c:pt idx="27">
                  <c:v>-790</c:v>
                </c:pt>
                <c:pt idx="28">
                  <c:v>-790</c:v>
                </c:pt>
                <c:pt idx="29">
                  <c:v>-790</c:v>
                </c:pt>
              </c:numCache>
            </c:numRef>
          </c:val>
          <c:extLst>
            <c:ext xmlns:c16="http://schemas.microsoft.com/office/drawing/2014/chart" uri="{C3380CC4-5D6E-409C-BE32-E72D297353CC}">
              <c16:uniqueId val="{00000001-543E-D54B-A865-770A527E19AC}"/>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[0]!loansall</c:f>
              <c:numCache>
                <c:formatCode>_(* #,##0_);_(* \(#,##0\);_(* "-"??_);_(@_)</c:formatCode>
                <c:ptCount val="30"/>
                <c:pt idx="0">
                  <c:v>0</c:v>
                </c:pt>
                <c:pt idx="1">
                  <c:v>-47.5</c:v>
                </c:pt>
                <c:pt idx="2">
                  <c:v>67.5</c:v>
                </c:pt>
                <c:pt idx="3">
                  <c:v>97.5</c:v>
                </c:pt>
                <c:pt idx="4">
                  <c:v>97.5</c:v>
                </c:pt>
                <c:pt idx="5">
                  <c:v>97.5</c:v>
                </c:pt>
                <c:pt idx="6">
                  <c:v>97.5</c:v>
                </c:pt>
                <c:pt idx="7">
                  <c:v>-84.939506666915292</c:v>
                </c:pt>
                <c:pt idx="8">
                  <c:v>-85.307442498607458</c:v>
                </c:pt>
                <c:pt idx="9">
                  <c:v>-85.738398074929933</c:v>
                </c:pt>
                <c:pt idx="10">
                  <c:v>-64.094414864335292</c:v>
                </c:pt>
                <c:pt idx="11">
                  <c:v>-9.6624153580774621</c:v>
                </c:pt>
                <c:pt idx="12">
                  <c:v>-10.24214612536878</c:v>
                </c:pt>
                <c:pt idx="13">
                  <c:v>-10.857626130981783</c:v>
                </c:pt>
                <c:pt idx="14">
                  <c:v>-11.511116225829554</c:v>
                </c:pt>
                <c:pt idx="15">
                  <c:v>-12.205023440600621</c:v>
                </c:pt>
                <c:pt idx="16">
                  <c:v>-687.94191061435379</c:v>
                </c:pt>
                <c:pt idx="17">
                  <c:v>0</c:v>
                </c:pt>
                <c:pt idx="18">
                  <c:v>0</c:v>
                </c:pt>
                <c:pt idx="19">
                  <c:v>0</c:v>
                </c:pt>
                <c:pt idx="20">
                  <c:v>0</c:v>
                </c:pt>
                <c:pt idx="21">
                  <c:v>0</c:v>
                </c:pt>
                <c:pt idx="22">
                  <c:v>0</c:v>
                </c:pt>
                <c:pt idx="23">
                  <c:v>0</c:v>
                </c:pt>
                <c:pt idx="24">
                  <c:v>0</c:v>
                </c:pt>
                <c:pt idx="25">
                  <c:v>0</c:v>
                </c:pt>
                <c:pt idx="26">
                  <c:v>-50</c:v>
                </c:pt>
                <c:pt idx="27">
                  <c:v>0</c:v>
                </c:pt>
                <c:pt idx="28">
                  <c:v>0</c:v>
                </c:pt>
                <c:pt idx="29">
                  <c:v>0</c:v>
                </c:pt>
              </c:numCache>
            </c:numRef>
          </c:val>
          <c:extLst>
            <c:ext xmlns:c16="http://schemas.microsoft.com/office/drawing/2014/chart" uri="{C3380CC4-5D6E-409C-BE32-E72D297353CC}">
              <c16:uniqueId val="{00000002-543E-D54B-A865-770A527E19AC}"/>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[0]!equityall</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543E-D54B-A865-770A527E19AC}"/>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[0]!netinterestall</c:f>
              <c:numCache>
                <c:formatCode>_(* #,##0_);_(* \(#,##0\);_(* "-"??_);_(@_)</c:formatCode>
                <c:ptCount val="30"/>
                <c:pt idx="0">
                  <c:v>0</c:v>
                </c:pt>
                <c:pt idx="1">
                  <c:v>-34.074249999999992</c:v>
                </c:pt>
                <c:pt idx="2">
                  <c:v>-38.919499999999857</c:v>
                </c:pt>
                <c:pt idx="3">
                  <c:v>-42.692250000000058</c:v>
                </c:pt>
                <c:pt idx="4">
                  <c:v>-49.486624999999549</c:v>
                </c:pt>
                <c:pt idx="5">
                  <c:v>-56.132500000000618</c:v>
                </c:pt>
                <c:pt idx="6">
                  <c:v>-62.637749999999869</c:v>
                </c:pt>
                <c:pt idx="7">
                  <c:v>-63.971624999999221</c:v>
                </c:pt>
                <c:pt idx="8">
                  <c:v>-59.866439168310535</c:v>
                </c:pt>
                <c:pt idx="9">
                  <c:v>-55.462483591983982</c:v>
                </c:pt>
                <c:pt idx="10">
                  <c:v>-48.585341802581752</c:v>
                </c:pt>
                <c:pt idx="11">
                  <c:v>-46.312091308835079</c:v>
                </c:pt>
                <c:pt idx="12">
                  <c:v>-45.732360541545859</c:v>
                </c:pt>
                <c:pt idx="13">
                  <c:v>-45.116880535928431</c:v>
                </c:pt>
                <c:pt idx="14">
                  <c:v>-44.463390441083902</c:v>
                </c:pt>
                <c:pt idx="15">
                  <c:v>-43.76948322631506</c:v>
                </c:pt>
                <c:pt idx="16">
                  <c:v>-23.657596052558802</c:v>
                </c:pt>
                <c:pt idx="17">
                  <c:v>-3.5000000000109139</c:v>
                </c:pt>
                <c:pt idx="18">
                  <c:v>-3.500000000003638</c:v>
                </c:pt>
                <c:pt idx="19">
                  <c:v>-3.499999999992724</c:v>
                </c:pt>
                <c:pt idx="20">
                  <c:v>-3.4999999999890861</c:v>
                </c:pt>
                <c:pt idx="21">
                  <c:v>-3.5</c:v>
                </c:pt>
                <c:pt idx="22">
                  <c:v>-3.500000000007276</c:v>
                </c:pt>
                <c:pt idx="23">
                  <c:v>-3.4999999999854481</c:v>
                </c:pt>
                <c:pt idx="24">
                  <c:v>-3.500000000007276</c:v>
                </c:pt>
                <c:pt idx="25">
                  <c:v>-3.4999999999854481</c:v>
                </c:pt>
                <c:pt idx="26">
                  <c:v>-2.2499999999854481</c:v>
                </c:pt>
                <c:pt idx="27">
                  <c:v>-1</c:v>
                </c:pt>
                <c:pt idx="28">
                  <c:v>-1.000000000007276</c:v>
                </c:pt>
                <c:pt idx="29">
                  <c:v>-1.000000000007276</c:v>
                </c:pt>
              </c:numCache>
            </c:numRef>
          </c:val>
          <c:extLst>
            <c:ext xmlns:c16="http://schemas.microsoft.com/office/drawing/2014/chart" uri="{C3380CC4-5D6E-409C-BE32-E72D297353CC}">
              <c16:uniqueId val="{00000004-543E-D54B-A865-770A527E19AC}"/>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[0]!dividendsall</c:f>
              <c:numCache>
                <c:formatCode>_(* #,##0_);_(* \(#,##0\);_(* "-"??_);_(@_)</c:formatCode>
                <c:ptCount val="30"/>
                <c:pt idx="0">
                  <c:v>0</c:v>
                </c:pt>
                <c:pt idx="1">
                  <c:v>-35111.332491345485</c:v>
                </c:pt>
                <c:pt idx="2">
                  <c:v>-36373.575895897797</c:v>
                </c:pt>
                <c:pt idx="3">
                  <c:v>-38410.307538107183</c:v>
                </c:pt>
                <c:pt idx="4">
                  <c:v>-41440.206875796313</c:v>
                </c:pt>
                <c:pt idx="5">
                  <c:v>-44358.624339988368</c:v>
                </c:pt>
                <c:pt idx="6">
                  <c:v>-50086.956185961229</c:v>
                </c:pt>
                <c:pt idx="7">
                  <c:v>-53743.342858310134</c:v>
                </c:pt>
                <c:pt idx="8">
                  <c:v>-57103.623383135331</c:v>
                </c:pt>
                <c:pt idx="9">
                  <c:v>-60619.997197637553</c:v>
                </c:pt>
                <c:pt idx="10">
                  <c:v>-63414.882193721845</c:v>
                </c:pt>
                <c:pt idx="11">
                  <c:v>-66996.838806571293</c:v>
                </c:pt>
                <c:pt idx="12">
                  <c:v>-70769.865697055488</c:v>
                </c:pt>
                <c:pt idx="13">
                  <c:v>-74714.3929470398</c:v>
                </c:pt>
                <c:pt idx="14">
                  <c:v>-78840.515344163679</c:v>
                </c:pt>
                <c:pt idx="15">
                  <c:v>-83151.183172028323</c:v>
                </c:pt>
                <c:pt idx="16">
                  <c:v>-87206.006007881486</c:v>
                </c:pt>
                <c:pt idx="17">
                  <c:v>-92387.772174757163</c:v>
                </c:pt>
                <c:pt idx="18">
                  <c:v>-97306.49180990427</c:v>
                </c:pt>
                <c:pt idx="19">
                  <c:v>-102448.77479444376</c:v>
                </c:pt>
                <c:pt idx="20">
                  <c:v>-107817.97320115482</c:v>
                </c:pt>
                <c:pt idx="21">
                  <c:v>-113424.39512110522</c:v>
                </c:pt>
                <c:pt idx="22">
                  <c:v>-119281.54195346916</c:v>
                </c:pt>
                <c:pt idx="23">
                  <c:v>-125396.39799338669</c:v>
                </c:pt>
                <c:pt idx="24">
                  <c:v>-131779.04065523282</c:v>
                </c:pt>
                <c:pt idx="25">
                  <c:v>-138440.89451048782</c:v>
                </c:pt>
                <c:pt idx="26">
                  <c:v>-145368.28740758781</c:v>
                </c:pt>
                <c:pt idx="27">
                  <c:v>-152646.89529751957</c:v>
                </c:pt>
                <c:pt idx="28">
                  <c:v>-160213.51308990608</c:v>
                </c:pt>
                <c:pt idx="29">
                  <c:v>-168096.05694573803</c:v>
                </c:pt>
              </c:numCache>
            </c:numRef>
          </c:val>
          <c:extLst>
            <c:ext xmlns:c16="http://schemas.microsoft.com/office/drawing/2014/chart" uri="{C3380CC4-5D6E-409C-BE32-E72D297353CC}">
              <c16:uniqueId val="{00000005-543E-D54B-A865-770A527E19AC}"/>
            </c:ext>
          </c:extLst>
        </c:ser>
        <c:dLbls>
          <c:showLegendKey val="0"/>
          <c:showVal val="0"/>
          <c:showCatName val="0"/>
          <c:showSerName val="0"/>
          <c:showPercent val="0"/>
          <c:showBubbleSize val="0"/>
        </c:dLbls>
        <c:gapWidth val="150"/>
        <c:overlap val="100"/>
        <c:axId val="207411456"/>
        <c:axId val="207228928"/>
      </c:barChart>
      <c:catAx>
        <c:axId val="207411456"/>
        <c:scaling>
          <c:orientation val="minMax"/>
        </c:scaling>
        <c:delete val="0"/>
        <c:axPos val="b"/>
        <c:numFmt formatCode="0" sourceLinked="1"/>
        <c:majorTickMark val="out"/>
        <c:minorTickMark val="none"/>
        <c:tickLblPos val="nextTo"/>
        <c:crossAx val="207228928"/>
        <c:crosses val="autoZero"/>
        <c:auto val="1"/>
        <c:lblAlgn val="ctr"/>
        <c:lblOffset val="100"/>
        <c:noMultiLvlLbl val="0"/>
      </c:catAx>
      <c:valAx>
        <c:axId val="207228928"/>
        <c:scaling>
          <c:orientation val="minMax"/>
        </c:scaling>
        <c:delete val="0"/>
        <c:axPos val="l"/>
        <c:numFmt formatCode="_(* #,##0_);_(* \(#,##0\);_(* &quot;-&quot;??_);_(@_)" sourceLinked="1"/>
        <c:majorTickMark val="out"/>
        <c:minorTickMark val="none"/>
        <c:tickLblPos val="nextTo"/>
        <c:crossAx val="207411456"/>
        <c:crosses val="autoZero"/>
        <c:crossBetween val="between"/>
        <c:dispUnits>
          <c:builtInUnit val="thousands"/>
          <c:dispUnitsLbl>
            <c:layout>
              <c:manualLayout>
                <c:xMode val="edge"/>
                <c:yMode val="edge"/>
                <c:x val="1.5048908954100828E-2"/>
                <c:y val="0.41308122035205552"/>
              </c:manualLayout>
            </c:layout>
            <c:tx>
              <c:strRef>
                <c:f>'Charts - Consolidated'!$E$134</c:f>
                <c:strCache>
                  <c:ptCount val="1"/>
                  <c:pt idx="0">
                    <c:v>R$ millions</c:v>
                  </c:pt>
                </c:strCache>
              </c:strRef>
            </c:tx>
          </c:dispUnitsLbl>
        </c:dispUnits>
      </c:valAx>
    </c:plotArea>
    <c:legend>
      <c:legendPos val="b"/>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c:f>
              <c:numCache>
                <c:formatCode>_(* #,##0_);_(* \(#,##0\);_(* "-"??_);_(@_)</c:formatCode>
                <c:ptCount val="30"/>
                <c:pt idx="0">
                  <c:v>41512</c:v>
                </c:pt>
                <c:pt idx="1">
                  <c:v>41614.380000000005</c:v>
                </c:pt>
                <c:pt idx="2">
                  <c:v>42748.990612583482</c:v>
                </c:pt>
                <c:pt idx="3">
                  <c:v>43915.484884147147</c:v>
                </c:pt>
                <c:pt idx="4">
                  <c:v>45115.548812769885</c:v>
                </c:pt>
                <c:pt idx="5">
                  <c:v>46350.162464585344</c:v>
                </c:pt>
                <c:pt idx="6">
                  <c:v>53508.278300793252</c:v>
                </c:pt>
                <c:pt idx="7">
                  <c:v>54977.708341283571</c:v>
                </c:pt>
                <c:pt idx="8">
                  <c:v>56490.075045971564</c:v>
                </c:pt>
                <c:pt idx="9">
                  <c:v>58046.116861572846</c:v>
                </c:pt>
                <c:pt idx="10">
                  <c:v>59647.053475840497</c:v>
                </c:pt>
                <c:pt idx="11">
                  <c:v>61294.199399680518</c:v>
                </c:pt>
                <c:pt idx="12">
                  <c:v>62988.90790760627</c:v>
                </c:pt>
                <c:pt idx="13">
                  <c:v>64732.572167349426</c:v>
                </c:pt>
                <c:pt idx="14">
                  <c:v>66526.626409754623</c:v>
                </c:pt>
                <c:pt idx="15">
                  <c:v>68372.547136841065</c:v>
                </c:pt>
                <c:pt idx="16">
                  <c:v>70271.854367560314</c:v>
                </c:pt>
                <c:pt idx="17">
                  <c:v>72225.745673004873</c:v>
                </c:pt>
                <c:pt idx="18">
                  <c:v>74235.850493002712</c:v>
                </c:pt>
                <c:pt idx="19">
                  <c:v>76304.895399639834</c:v>
                </c:pt>
                <c:pt idx="20">
                  <c:v>78433.867658081552</c:v>
                </c:pt>
                <c:pt idx="21">
                  <c:v>80624.424869626702</c:v>
                </c:pt>
                <c:pt idx="22">
                  <c:v>82878.57645757281</c:v>
                </c:pt>
                <c:pt idx="23">
                  <c:v>85198.085197489432</c:v>
                </c:pt>
                <c:pt idx="24">
                  <c:v>87584.86879308577</c:v>
                </c:pt>
                <c:pt idx="25">
                  <c:v>90040.901498936539</c:v>
                </c:pt>
                <c:pt idx="26">
                  <c:v>92568.215791394294</c:v>
                </c:pt>
                <c:pt idx="27">
                  <c:v>95168.904089073447</c:v>
                </c:pt>
                <c:pt idx="28">
                  <c:v>97845.120524345461</c:v>
                </c:pt>
                <c:pt idx="29">
                  <c:v>100599.08276733437</c:v>
                </c:pt>
              </c:numCache>
            </c:numRef>
          </c:val>
          <c:extLst>
            <c:ext xmlns:c16="http://schemas.microsoft.com/office/drawing/2014/chart" uri="{C3380CC4-5D6E-409C-BE32-E72D297353CC}">
              <c16:uniqueId val="{00000000-52D2-5B4B-83A9-06AE94998C7D}"/>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c:f>
              <c:numCache>
                <c:formatCode>_(* #,##0_);_(* \(#,##0\);_(* "-"??_);_(@_)</c:formatCode>
                <c:ptCount val="30"/>
                <c:pt idx="0">
                  <c:v>16152.500000000002</c:v>
                </c:pt>
                <c:pt idx="1">
                  <c:v>16293.292682926831</c:v>
                </c:pt>
                <c:pt idx="2">
                  <c:v>16793.096286763328</c:v>
                </c:pt>
                <c:pt idx="3">
                  <c:v>17521.435174444574</c:v>
                </c:pt>
                <c:pt idx="4">
                  <c:v>18202.89927377622</c:v>
                </c:pt>
                <c:pt idx="5">
                  <c:v>18754.492058441123</c:v>
                </c:pt>
                <c:pt idx="6">
                  <c:v>21375.936756161896</c:v>
                </c:pt>
                <c:pt idx="7">
                  <c:v>22007.225872671646</c:v>
                </c:pt>
                <c:pt idx="8">
                  <c:v>22671.691980649022</c:v>
                </c:pt>
                <c:pt idx="9">
                  <c:v>23357.302175552366</c:v>
                </c:pt>
                <c:pt idx="10">
                  <c:v>24063.219351418014</c:v>
                </c:pt>
                <c:pt idx="11">
                  <c:v>24790.052717674847</c:v>
                </c:pt>
                <c:pt idx="12">
                  <c:v>25538.429760034585</c:v>
                </c:pt>
                <c:pt idx="13">
                  <c:v>26308.996788780321</c:v>
                </c:pt>
                <c:pt idx="14">
                  <c:v>27102.419503503643</c:v>
                </c:pt>
                <c:pt idx="15">
                  <c:v>27919.383574783868</c:v>
                </c:pt>
                <c:pt idx="16">
                  <c:v>28760.595243317708</c:v>
                </c:pt>
                <c:pt idx="17">
                  <c:v>29617.644456223999</c:v>
                </c:pt>
                <c:pt idx="18">
                  <c:v>30491.798897437598</c:v>
                </c:pt>
                <c:pt idx="19">
                  <c:v>31410.449342855347</c:v>
                </c:pt>
                <c:pt idx="20">
                  <c:v>32356.390672603382</c:v>
                </c:pt>
                <c:pt idx="21">
                  <c:v>33327.941613211588</c:v>
                </c:pt>
                <c:pt idx="22">
                  <c:v>34330.945453005785</c:v>
                </c:pt>
                <c:pt idx="23">
                  <c:v>35363.77077896156</c:v>
                </c:pt>
                <c:pt idx="24">
                  <c:v>36427.312235663747</c:v>
                </c:pt>
                <c:pt idx="25">
                  <c:v>37522.491307034717</c:v>
                </c:pt>
                <c:pt idx="26">
                  <c:v>38650.257121514587</c:v>
                </c:pt>
                <c:pt idx="27">
                  <c:v>39811.587281396576</c:v>
                </c:pt>
                <c:pt idx="28">
                  <c:v>41007.488717042776</c:v>
                </c:pt>
                <c:pt idx="29">
                  <c:v>42238.998566726113</c:v>
                </c:pt>
              </c:numCache>
            </c:numRef>
          </c:val>
          <c:extLst>
            <c:ext xmlns:c16="http://schemas.microsoft.com/office/drawing/2014/chart" uri="{C3380CC4-5D6E-409C-BE32-E72D297353CC}">
              <c16:uniqueId val="{00000001-52D2-5B4B-83A9-06AE94998C7D}"/>
            </c:ext>
          </c:extLst>
        </c:ser>
        <c:dLbls>
          <c:showLegendKey val="0"/>
          <c:showVal val="0"/>
          <c:showCatName val="0"/>
          <c:showSerName val="0"/>
          <c:showPercent val="0"/>
          <c:showBubbleSize val="0"/>
        </c:dLbls>
        <c:gapWidth val="150"/>
        <c:axId val="207281152"/>
        <c:axId val="207299328"/>
      </c:barChart>
      <c:lineChart>
        <c:grouping val="standard"/>
        <c:varyColors val="0"/>
        <c:ser>
          <c:idx val="2"/>
          <c:order val="2"/>
          <c:tx>
            <c:strRef>
              <c:f>'Charts - Freight'!$B$140</c:f>
              <c:strCache>
                <c:ptCount val="1"/>
                <c:pt idx="0">
                  <c:v>Operating profit</c:v>
                </c:pt>
              </c:strCache>
            </c:strRef>
          </c:tx>
          <c:marker>
            <c:symbol val="none"/>
          </c:marker>
          <c:val>
            <c:numRef>
              <c:f>[0]!Operating_profit</c:f>
              <c:numCache>
                <c:formatCode>0%</c:formatCode>
                <c:ptCount val="30"/>
                <c:pt idx="0">
                  <c:v>0.61089564463287727</c:v>
                </c:pt>
                <c:pt idx="1">
                  <c:v>0.60846965200666614</c:v>
                </c:pt>
                <c:pt idx="2">
                  <c:v>0.60716975895519376</c:v>
                </c:pt>
                <c:pt idx="3">
                  <c:v>0.60101920266467201</c:v>
                </c:pt>
                <c:pt idx="4">
                  <c:v>0.5965271452350388</c:v>
                </c:pt>
                <c:pt idx="5">
                  <c:v>0.5953737579070878</c:v>
                </c:pt>
                <c:pt idx="6">
                  <c:v>0.60051159493492801</c:v>
                </c:pt>
                <c:pt idx="7">
                  <c:v>0.59970638033768142</c:v>
                </c:pt>
                <c:pt idx="8">
                  <c:v>0.59866061494521261</c:v>
                </c:pt>
                <c:pt idx="9">
                  <c:v>0.59760784289404978</c:v>
                </c:pt>
                <c:pt idx="10">
                  <c:v>0.59657320941822212</c:v>
                </c:pt>
                <c:pt idx="11">
                  <c:v>0.59555630124105896</c:v>
                </c:pt>
                <c:pt idx="12">
                  <c:v>0.59455671469181526</c:v>
                </c:pt>
                <c:pt idx="13">
                  <c:v>0.59357405541115882</c:v>
                </c:pt>
                <c:pt idx="14">
                  <c:v>0.59260793811228518</c:v>
                </c:pt>
                <c:pt idx="15">
                  <c:v>0.59165798637125644</c:v>
                </c:pt>
                <c:pt idx="16">
                  <c:v>0.59072383243390691</c:v>
                </c:pt>
                <c:pt idx="17">
                  <c:v>0.58992954409477416</c:v>
                </c:pt>
                <c:pt idx="18">
                  <c:v>0.58925776838359678</c:v>
                </c:pt>
                <c:pt idx="19">
                  <c:v>0.58835603956540372</c:v>
                </c:pt>
                <c:pt idx="20">
                  <c:v>0.58746914262018424</c:v>
                </c:pt>
                <c:pt idx="21">
                  <c:v>0.58662723278827278</c:v>
                </c:pt>
                <c:pt idx="22">
                  <c:v>0.58576815721997255</c:v>
                </c:pt>
                <c:pt idx="23">
                  <c:v>0.58492293932441997</c:v>
                </c:pt>
                <c:pt idx="24">
                  <c:v>0.58409126213660056</c:v>
                </c:pt>
                <c:pt idx="25">
                  <c:v>0.583272816215885</c:v>
                </c:pt>
                <c:pt idx="26">
                  <c:v>0.58246729948199183</c:v>
                </c:pt>
                <c:pt idx="27">
                  <c:v>0.58167441705396883</c:v>
                </c:pt>
                <c:pt idx="28">
                  <c:v>0.58089388109201168</c:v>
                </c:pt>
                <c:pt idx="29">
                  <c:v>0.58012541064199863</c:v>
                </c:pt>
              </c:numCache>
            </c:numRef>
          </c:val>
          <c:smooth val="0"/>
          <c:extLst>
            <c:ext xmlns:c16="http://schemas.microsoft.com/office/drawing/2014/chart" uri="{C3380CC4-5D6E-409C-BE32-E72D297353CC}">
              <c16:uniqueId val="{00000002-52D2-5B4B-83A9-06AE94998C7D}"/>
            </c:ext>
          </c:extLst>
        </c:ser>
        <c:dLbls>
          <c:showLegendKey val="0"/>
          <c:showVal val="0"/>
          <c:showCatName val="0"/>
          <c:showSerName val="0"/>
          <c:showPercent val="0"/>
          <c:showBubbleSize val="0"/>
        </c:dLbls>
        <c:marker val="1"/>
        <c:smooth val="0"/>
        <c:axId val="207311616"/>
        <c:axId val="207301632"/>
      </c:lineChart>
      <c:catAx>
        <c:axId val="207281152"/>
        <c:scaling>
          <c:orientation val="minMax"/>
        </c:scaling>
        <c:delete val="0"/>
        <c:axPos val="b"/>
        <c:numFmt formatCode="0" sourceLinked="1"/>
        <c:majorTickMark val="out"/>
        <c:minorTickMark val="none"/>
        <c:tickLblPos val="nextTo"/>
        <c:crossAx val="207299328"/>
        <c:crosses val="autoZero"/>
        <c:auto val="1"/>
        <c:lblAlgn val="ctr"/>
        <c:lblOffset val="100"/>
        <c:noMultiLvlLbl val="0"/>
      </c:catAx>
      <c:valAx>
        <c:axId val="207299328"/>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7281152"/>
        <c:crosses val="autoZero"/>
        <c:crossBetween val="between"/>
        <c:dispUnits>
          <c:builtInUnit val="thousands"/>
        </c:dispUnits>
      </c:valAx>
      <c:valAx>
        <c:axId val="207301632"/>
        <c:scaling>
          <c:orientation val="minMax"/>
        </c:scaling>
        <c:delete val="0"/>
        <c:axPos val="r"/>
        <c:numFmt formatCode="0%" sourceLinked="1"/>
        <c:majorTickMark val="out"/>
        <c:minorTickMark val="none"/>
        <c:tickLblPos val="nextTo"/>
        <c:crossAx val="207311616"/>
        <c:crosses val="max"/>
        <c:crossBetween val="between"/>
      </c:valAx>
      <c:catAx>
        <c:axId val="207311616"/>
        <c:scaling>
          <c:orientation val="minMax"/>
        </c:scaling>
        <c:delete val="1"/>
        <c:axPos val="b"/>
        <c:majorTickMark val="out"/>
        <c:minorTickMark val="none"/>
        <c:tickLblPos val="none"/>
        <c:crossAx val="207301632"/>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rgbClr val="FF000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f>
              <c:numCache>
                <c:formatCode>_(* #,##0_);_(* \(#,##0\);_(* "-"??_);_(@_)</c:formatCode>
                <c:ptCount val="30"/>
                <c:pt idx="0">
                  <c:v>0</c:v>
                </c:pt>
                <c:pt idx="1">
                  <c:v>16477.046970629839</c:v>
                </c:pt>
                <c:pt idx="2">
                  <c:v>16944.906106330964</c:v>
                </c:pt>
                <c:pt idx="3">
                  <c:v>17454.71630941844</c:v>
                </c:pt>
                <c:pt idx="4">
                  <c:v>18023.968362515534</c:v>
                </c:pt>
                <c:pt idx="5">
                  <c:v>18710.88325055912</c:v>
                </c:pt>
                <c:pt idx="6">
                  <c:v>21458.625322478765</c:v>
                </c:pt>
                <c:pt idx="7">
                  <c:v>22761.486554495768</c:v>
                </c:pt>
                <c:pt idx="8">
                  <c:v>23652.992656286791</c:v>
                </c:pt>
                <c:pt idx="9">
                  <c:v>24571.946970394922</c:v>
                </c:pt>
                <c:pt idx="10">
                  <c:v>25187.393534388364</c:v>
                </c:pt>
                <c:pt idx="11">
                  <c:v>26058.742542487147</c:v>
                </c:pt>
                <c:pt idx="12">
                  <c:v>26978.603549357798</c:v>
                </c:pt>
                <c:pt idx="13">
                  <c:v>27926.463651523321</c:v>
                </c:pt>
                <c:pt idx="14">
                  <c:v>28903.145321344196</c:v>
                </c:pt>
                <c:pt idx="15">
                  <c:v>29909.495003098731</c:v>
                </c:pt>
                <c:pt idx="16">
                  <c:v>30942.140062597857</c:v>
                </c:pt>
                <c:pt idx="17">
                  <c:v>31998.270886166159</c:v>
                </c:pt>
                <c:pt idx="18">
                  <c:v>33093.080826531412</c:v>
                </c:pt>
                <c:pt idx="19">
                  <c:v>34227.178073291288</c:v>
                </c:pt>
                <c:pt idx="20">
                  <c:v>35395.561813758432</c:v>
                </c:pt>
                <c:pt idx="21">
                  <c:v>36598.397775231439</c:v>
                </c:pt>
                <c:pt idx="22">
                  <c:v>37838.391171029165</c:v>
                </c:pt>
                <c:pt idx="23">
                  <c:v>39115.776924376565</c:v>
                </c:pt>
                <c:pt idx="24">
                  <c:v>40431.651292758943</c:v>
                </c:pt>
                <c:pt idx="25">
                  <c:v>41787.142487594814</c:v>
                </c:pt>
                <c:pt idx="26">
                  <c:v>43183.411605941845</c:v>
                </c:pt>
                <c:pt idx="27">
                  <c:v>44621.653589363239</c:v>
                </c:pt>
                <c:pt idx="28">
                  <c:v>46103.098210758559</c:v>
                </c:pt>
                <c:pt idx="29">
                  <c:v>47629.011089983949</c:v>
                </c:pt>
              </c:numCache>
            </c:numRef>
          </c:val>
          <c:extLst>
            <c:ext xmlns:c16="http://schemas.microsoft.com/office/drawing/2014/chart" uri="{C3380CC4-5D6E-409C-BE32-E72D297353CC}">
              <c16:uniqueId val="{00000000-EA78-9648-9A5E-C53BE528F162}"/>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f>
              <c:numCache>
                <c:formatCode>_(* #,##0_);_(* \(#,##0\);_(* "-"??_);_(@_)</c:formatCode>
                <c:ptCount val="30"/>
                <c:pt idx="0">
                  <c:v>0</c:v>
                </c:pt>
                <c:pt idx="1">
                  <c:v>-105</c:v>
                </c:pt>
                <c:pt idx="2">
                  <c:v>-260</c:v>
                </c:pt>
                <c:pt idx="3">
                  <c:v>-260</c:v>
                </c:pt>
                <c:pt idx="4">
                  <c:v>-260</c:v>
                </c:pt>
                <c:pt idx="5">
                  <c:v>-260</c:v>
                </c:pt>
                <c:pt idx="6">
                  <c:v>-260</c:v>
                </c:pt>
                <c:pt idx="7">
                  <c:v>-260</c:v>
                </c:pt>
                <c:pt idx="8">
                  <c:v>-260</c:v>
                </c:pt>
                <c:pt idx="9">
                  <c:v>-260</c:v>
                </c:pt>
                <c:pt idx="10">
                  <c:v>-260</c:v>
                </c:pt>
                <c:pt idx="11">
                  <c:v>-260</c:v>
                </c:pt>
                <c:pt idx="12">
                  <c:v>-260</c:v>
                </c:pt>
                <c:pt idx="13">
                  <c:v>-260</c:v>
                </c:pt>
                <c:pt idx="14">
                  <c:v>-260</c:v>
                </c:pt>
                <c:pt idx="15">
                  <c:v>-260</c:v>
                </c:pt>
                <c:pt idx="16">
                  <c:v>-260</c:v>
                </c:pt>
                <c:pt idx="17">
                  <c:v>-260</c:v>
                </c:pt>
                <c:pt idx="18">
                  <c:v>-260</c:v>
                </c:pt>
                <c:pt idx="19">
                  <c:v>-260</c:v>
                </c:pt>
                <c:pt idx="20">
                  <c:v>-260</c:v>
                </c:pt>
                <c:pt idx="21">
                  <c:v>-260</c:v>
                </c:pt>
                <c:pt idx="22">
                  <c:v>-260</c:v>
                </c:pt>
                <c:pt idx="23">
                  <c:v>-260</c:v>
                </c:pt>
                <c:pt idx="24">
                  <c:v>-260</c:v>
                </c:pt>
                <c:pt idx="25">
                  <c:v>-260</c:v>
                </c:pt>
                <c:pt idx="26">
                  <c:v>-260</c:v>
                </c:pt>
                <c:pt idx="27">
                  <c:v>-260</c:v>
                </c:pt>
                <c:pt idx="28">
                  <c:v>-260</c:v>
                </c:pt>
                <c:pt idx="29">
                  <c:v>-260</c:v>
                </c:pt>
              </c:numCache>
            </c:numRef>
          </c:val>
          <c:extLst>
            <c:ext xmlns:c16="http://schemas.microsoft.com/office/drawing/2014/chart" uri="{C3380CC4-5D6E-409C-BE32-E72D297353CC}">
              <c16:uniqueId val="{00000001-EA78-9648-9A5E-C53BE528F162}"/>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c:f>
              <c:numCache>
                <c:formatCode>_(* #,##0_);_(* \(#,##0\);_(* "-"??_);_(@_)</c:formatCode>
                <c:ptCount val="30"/>
                <c:pt idx="0">
                  <c:v>0</c:v>
                </c:pt>
                <c:pt idx="1">
                  <c:v>-17.5</c:v>
                </c:pt>
                <c:pt idx="2">
                  <c:v>52.5</c:v>
                </c:pt>
                <c:pt idx="3">
                  <c:v>65</c:v>
                </c:pt>
                <c:pt idx="4">
                  <c:v>65</c:v>
                </c:pt>
                <c:pt idx="5">
                  <c:v>65</c:v>
                </c:pt>
                <c:pt idx="6">
                  <c:v>65</c:v>
                </c:pt>
                <c:pt idx="7">
                  <c:v>-30</c:v>
                </c:pt>
                <c:pt idx="8">
                  <c:v>-30</c:v>
                </c:pt>
                <c:pt idx="9">
                  <c:v>-30</c:v>
                </c:pt>
                <c:pt idx="10">
                  <c:v>-30</c:v>
                </c:pt>
                <c:pt idx="11">
                  <c:v>0</c:v>
                </c:pt>
                <c:pt idx="12">
                  <c:v>0</c:v>
                </c:pt>
                <c:pt idx="13">
                  <c:v>0</c:v>
                </c:pt>
                <c:pt idx="14">
                  <c:v>0</c:v>
                </c:pt>
                <c:pt idx="15">
                  <c:v>0</c:v>
                </c:pt>
                <c:pt idx="16">
                  <c:v>-425</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EA78-9648-9A5E-C53BE528F162}"/>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EA78-9648-9A5E-C53BE528F162}"/>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c:f>
              <c:numCache>
                <c:formatCode>_(* #,##0_);_(* \(#,##0\);_(* "-"??_);_(@_)</c:formatCode>
                <c:ptCount val="30"/>
                <c:pt idx="0">
                  <c:v>0</c:v>
                </c:pt>
                <c:pt idx="1">
                  <c:v>-12.849999999999998</c:v>
                </c:pt>
                <c:pt idx="2">
                  <c:v>-16.436749999999989</c:v>
                </c:pt>
                <c:pt idx="3">
                  <c:v>-19.229249999999979</c:v>
                </c:pt>
                <c:pt idx="4">
                  <c:v>-23.421875</c:v>
                </c:pt>
                <c:pt idx="5">
                  <c:v>-27.439000000000078</c:v>
                </c:pt>
                <c:pt idx="6">
                  <c:v>-31.326749999999947</c:v>
                </c:pt>
                <c:pt idx="7">
                  <c:v>-32.479374999999891</c:v>
                </c:pt>
                <c:pt idx="8">
                  <c:v>-31.020625000000109</c:v>
                </c:pt>
                <c:pt idx="9">
                  <c:v>-29.410624999999982</c:v>
                </c:pt>
                <c:pt idx="10">
                  <c:v>-26.21875</c:v>
                </c:pt>
                <c:pt idx="11">
                  <c:v>-25.25</c:v>
                </c:pt>
                <c:pt idx="12">
                  <c:v>-25.25</c:v>
                </c:pt>
                <c:pt idx="13">
                  <c:v>-25.25</c:v>
                </c:pt>
                <c:pt idx="14">
                  <c:v>-25.25</c:v>
                </c:pt>
                <c:pt idx="15">
                  <c:v>-25.25</c:v>
                </c:pt>
                <c:pt idx="16">
                  <c:v>-13.125</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extLst>
            <c:ext xmlns:c16="http://schemas.microsoft.com/office/drawing/2014/chart" uri="{C3380CC4-5D6E-409C-BE32-E72D297353CC}">
              <c16:uniqueId val="{00000004-EA78-9648-9A5E-C53BE528F162}"/>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c:f>
              <c:numCache>
                <c:formatCode>_(* #,##0_);_(* \(#,##0\);_(* "-"??_);_(@_)</c:formatCode>
                <c:ptCount val="30"/>
                <c:pt idx="0">
                  <c:v>0</c:v>
                </c:pt>
                <c:pt idx="1">
                  <c:v>-11446.397879440887</c:v>
                </c:pt>
                <c:pt idx="2">
                  <c:v>-11712.104849431673</c:v>
                </c:pt>
                <c:pt idx="3">
                  <c:v>-12075.990030592908</c:v>
                </c:pt>
                <c:pt idx="4">
                  <c:v>-12471.761102930872</c:v>
                </c:pt>
                <c:pt idx="5">
                  <c:v>-12950.025893911483</c:v>
                </c:pt>
                <c:pt idx="6">
                  <c:v>-14870.967366810839</c:v>
                </c:pt>
                <c:pt idx="7">
                  <c:v>-15715.914142705011</c:v>
                </c:pt>
                <c:pt idx="8">
                  <c:v>-16341.247812470465</c:v>
                </c:pt>
                <c:pt idx="9">
                  <c:v>-16985.908854063247</c:v>
                </c:pt>
                <c:pt idx="10">
                  <c:v>-17419.229763727264</c:v>
                </c:pt>
                <c:pt idx="11">
                  <c:v>-18051.134416836074</c:v>
                </c:pt>
                <c:pt idx="12">
                  <c:v>-18695.327810758379</c:v>
                </c:pt>
                <c:pt idx="13">
                  <c:v>-19359.129292060486</c:v>
                </c:pt>
                <c:pt idx="14">
                  <c:v>-20043.114853014922</c:v>
                </c:pt>
                <c:pt idx="15">
                  <c:v>-20747.877274085316</c:v>
                </c:pt>
                <c:pt idx="16">
                  <c:v>-21182.043488892188</c:v>
                </c:pt>
                <c:pt idx="17">
                  <c:v>-22227.659553742211</c:v>
                </c:pt>
                <c:pt idx="18">
                  <c:v>-22994.373610000664</c:v>
                </c:pt>
                <c:pt idx="19">
                  <c:v>-23788.59919367544</c:v>
                </c:pt>
                <c:pt idx="20">
                  <c:v>-24606.836048273588</c:v>
                </c:pt>
                <c:pt idx="21">
                  <c:v>-25449.200504663972</c:v>
                </c:pt>
                <c:pt idx="22">
                  <c:v>-26317.586543582442</c:v>
                </c:pt>
                <c:pt idx="23">
                  <c:v>-27212.158952641479</c:v>
                </c:pt>
                <c:pt idx="24">
                  <c:v>-28133.685463676484</c:v>
                </c:pt>
                <c:pt idx="25">
                  <c:v>-29082.956186823943</c:v>
                </c:pt>
                <c:pt idx="26">
                  <c:v>-30060.784263032096</c:v>
                </c:pt>
                <c:pt idx="27">
                  <c:v>-31068.006535593257</c:v>
                </c:pt>
                <c:pt idx="28">
                  <c:v>-32105.484241261151</c:v>
                </c:pt>
                <c:pt idx="29">
                  <c:v>-33174.103721530824</c:v>
                </c:pt>
              </c:numCache>
            </c:numRef>
          </c:val>
          <c:extLst>
            <c:ext xmlns:c16="http://schemas.microsoft.com/office/drawing/2014/chart" uri="{C3380CC4-5D6E-409C-BE32-E72D297353CC}">
              <c16:uniqueId val="{00000005-EA78-9648-9A5E-C53BE528F162}"/>
            </c:ext>
          </c:extLst>
        </c:ser>
        <c:dLbls>
          <c:showLegendKey val="0"/>
          <c:showVal val="0"/>
          <c:showCatName val="0"/>
          <c:showSerName val="0"/>
          <c:showPercent val="0"/>
          <c:showBubbleSize val="0"/>
        </c:dLbls>
        <c:gapWidth val="150"/>
        <c:overlap val="100"/>
        <c:axId val="207425920"/>
        <c:axId val="207427456"/>
      </c:barChart>
      <c:catAx>
        <c:axId val="207425920"/>
        <c:scaling>
          <c:orientation val="minMax"/>
        </c:scaling>
        <c:delete val="0"/>
        <c:axPos val="b"/>
        <c:numFmt formatCode="0" sourceLinked="1"/>
        <c:majorTickMark val="out"/>
        <c:minorTickMark val="none"/>
        <c:tickLblPos val="nextTo"/>
        <c:crossAx val="207427456"/>
        <c:crosses val="autoZero"/>
        <c:auto val="1"/>
        <c:lblAlgn val="ctr"/>
        <c:lblOffset val="100"/>
        <c:noMultiLvlLbl val="0"/>
      </c:catAx>
      <c:valAx>
        <c:axId val="207427456"/>
        <c:scaling>
          <c:orientation val="minMax"/>
        </c:scaling>
        <c:delete val="0"/>
        <c:axPos val="l"/>
        <c:numFmt formatCode="_(* #,##0_);_(* \(#,##0\);_(* &quot;-&quot;??_);_(@_)" sourceLinked="1"/>
        <c:majorTickMark val="out"/>
        <c:minorTickMark val="none"/>
        <c:tickLblPos val="nextTo"/>
        <c:crossAx val="207425920"/>
        <c:crosses val="autoZero"/>
        <c:crossBetween val="between"/>
        <c:dispUnits>
          <c:builtInUnit val="thousands"/>
          <c:dispUnitsLbl>
            <c:layout>
              <c:manualLayout>
                <c:xMode val="edge"/>
                <c:yMode val="edge"/>
                <c:x val="1.5048908954100828E-2"/>
                <c:y val="0.41308122035205552"/>
              </c:manualLayout>
            </c:layout>
            <c:tx>
              <c:strRef>
                <c:f>'Charts - Freight'!$E$134</c:f>
                <c:strCache>
                  <c:ptCount val="1"/>
                  <c:pt idx="0">
                    <c:v>R$ millions</c:v>
                  </c:pt>
                </c:strCache>
              </c:strRef>
            </c:tx>
          </c:dispUnitsLbl>
        </c:dispUnits>
      </c:valAx>
    </c:plotArea>
    <c:legend>
      <c:legendPos val="b"/>
      <c:overlay val="0"/>
    </c:legend>
    <c:plotVisOnly val="1"/>
    <c:dispBlanksAs val="gap"/>
    <c:showDLblsOverMax val="0"/>
  </c:chart>
  <c:spPr>
    <a:solidFill>
      <a:schemeClr val="lt1"/>
    </a:solidFill>
    <a:ln w="25400" cap="flat" cmpd="sng" algn="ctr">
      <a:solidFill>
        <a:srgbClr val="FF000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[0]!operatingrevenuespax</c:f>
              <c:numCache>
                <c:formatCode>_(* #,##0_);_(* \(#,##0\);_(* "-"??_);_(@_)</c:formatCode>
                <c:ptCount val="30"/>
                <c:pt idx="0">
                  <c:v>24512</c:v>
                </c:pt>
                <c:pt idx="1">
                  <c:v>26776.924713958808</c:v>
                </c:pt>
                <c:pt idx="2">
                  <c:v>27566.26488385785</c:v>
                </c:pt>
                <c:pt idx="3">
                  <c:v>30017.618080946355</c:v>
                </c:pt>
                <c:pt idx="4">
                  <c:v>34279.949024389927</c:v>
                </c:pt>
                <c:pt idx="5">
                  <c:v>37032.53579802921</c:v>
                </c:pt>
                <c:pt idx="6">
                  <c:v>39919.86872866359</c:v>
                </c:pt>
                <c:pt idx="7">
                  <c:v>42947.555221003211</c:v>
                </c:pt>
                <c:pt idx="8">
                  <c:v>46121.417852499559</c:v>
                </c:pt>
                <c:pt idx="9">
                  <c:v>49447.511898881392</c:v>
                </c:pt>
                <c:pt idx="10">
                  <c:v>52932.085166842822</c:v>
                </c:pt>
                <c:pt idx="11">
                  <c:v>56581.692703882596</c:v>
                </c:pt>
                <c:pt idx="12">
                  <c:v>60403.079921803474</c:v>
                </c:pt>
                <c:pt idx="13">
                  <c:v>64403.26892675741</c:v>
                </c:pt>
                <c:pt idx="14">
                  <c:v>68589.548549552623</c:v>
                </c:pt>
                <c:pt idx="15">
                  <c:v>72969.484029237487</c:v>
                </c:pt>
                <c:pt idx="16">
                  <c:v>77550.9270376473</c:v>
                </c:pt>
                <c:pt idx="17">
                  <c:v>82342.026056656177</c:v>
                </c:pt>
                <c:pt idx="18">
                  <c:v>87351.237120274876</c:v>
                </c:pt>
                <c:pt idx="19">
                  <c:v>92587.19966844481</c:v>
                </c:pt>
                <c:pt idx="20">
                  <c:v>98058.577363466902</c:v>
                </c:pt>
                <c:pt idx="21">
                  <c:v>103776.10431871914</c:v>
                </c:pt>
                <c:pt idx="22">
                  <c:v>109748.87054206799</c:v>
                </c:pt>
                <c:pt idx="23">
                  <c:v>115987.04459601869</c:v>
                </c:pt>
                <c:pt idx="24">
                  <c:v>122501.07173193288</c:v>
                </c:pt>
                <c:pt idx="25">
                  <c:v>129302.09723360164</c:v>
                </c:pt>
                <c:pt idx="26">
                  <c:v>136401.37348583053</c:v>
                </c:pt>
                <c:pt idx="27">
                  <c:v>143810.6746003149</c:v>
                </c:pt>
                <c:pt idx="28">
                  <c:v>151542.21271132951</c:v>
                </c:pt>
                <c:pt idx="29">
                  <c:v>159608.6536601354</c:v>
                </c:pt>
              </c:numCache>
            </c:numRef>
          </c:val>
          <c:extLst>
            <c:ext xmlns:c16="http://schemas.microsoft.com/office/drawing/2014/chart" uri="{C3380CC4-5D6E-409C-BE32-E72D297353CC}">
              <c16:uniqueId val="{00000000-79DA-AB4C-BB3A-15CF2EFBE965}"/>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[0]!operatingcostspax</c:f>
              <c:numCache>
                <c:formatCode>_(* #,##0_);_(* \(#,##0\);_(* "-"??_);_(@_)</c:formatCode>
                <c:ptCount val="30"/>
                <c:pt idx="0">
                  <c:v>11420</c:v>
                </c:pt>
                <c:pt idx="1">
                  <c:v>12332.181064073227</c:v>
                </c:pt>
                <c:pt idx="2">
                  <c:v>12713.684726210007</c:v>
                </c:pt>
                <c:pt idx="3">
                  <c:v>13714.138266374508</c:v>
                </c:pt>
                <c:pt idx="4">
                  <c:v>15395.968092789008</c:v>
                </c:pt>
                <c:pt idx="5">
                  <c:v>16513.971275834763</c:v>
                </c:pt>
                <c:pt idx="6">
                  <c:v>17684.901510670763</c:v>
                </c:pt>
                <c:pt idx="7">
                  <c:v>18910.933491350843</c:v>
                </c:pt>
                <c:pt idx="8">
                  <c:v>20194.324759225416</c:v>
                </c:pt>
                <c:pt idx="9">
                  <c:v>21537.636107859071</c:v>
                </c:pt>
                <c:pt idx="10">
                  <c:v>22942.647746376093</c:v>
                </c:pt>
                <c:pt idx="11">
                  <c:v>24412.753833592946</c:v>
                </c:pt>
                <c:pt idx="12">
                  <c:v>25950.139734550718</c:v>
                </c:pt>
                <c:pt idx="13">
                  <c:v>27557.524612058682</c:v>
                </c:pt>
                <c:pt idx="14">
                  <c:v>29237.730226862317</c:v>
                </c:pt>
                <c:pt idx="15">
                  <c:v>30993.684646272926</c:v>
                </c:pt>
                <c:pt idx="16">
                  <c:v>32828.426082976919</c:v>
                </c:pt>
                <c:pt idx="17">
                  <c:v>34745.106868497758</c:v>
                </c:pt>
                <c:pt idx="18">
                  <c:v>36746.997565934747</c:v>
                </c:pt>
                <c:pt idx="19">
                  <c:v>38834.447748498344</c:v>
                </c:pt>
                <c:pt idx="20">
                  <c:v>41001.197667513698</c:v>
                </c:pt>
                <c:pt idx="21">
                  <c:v>43279.820293434881</c:v>
                </c:pt>
                <c:pt idx="22">
                  <c:v>45658.004801167233</c:v>
                </c:pt>
                <c:pt idx="23">
                  <c:v>48139.679821291968</c:v>
                </c:pt>
                <c:pt idx="24">
                  <c:v>50726.690179634141</c:v>
                </c:pt>
                <c:pt idx="25">
                  <c:v>53427.721795813428</c:v>
                </c:pt>
                <c:pt idx="26">
                  <c:v>56244.927595176974</c:v>
                </c:pt>
                <c:pt idx="27">
                  <c:v>59182.8527782971</c:v>
                </c:pt>
                <c:pt idx="28">
                  <c:v>62246.210701015756</c:v>
                </c:pt>
                <c:pt idx="29">
                  <c:v>65439.888873079959</c:v>
                </c:pt>
              </c:numCache>
            </c:numRef>
          </c:val>
          <c:extLst>
            <c:ext xmlns:c16="http://schemas.microsoft.com/office/drawing/2014/chart" uri="{C3380CC4-5D6E-409C-BE32-E72D297353CC}">
              <c16:uniqueId val="{00000001-79DA-AB4C-BB3A-15CF2EFBE965}"/>
            </c:ext>
          </c:extLst>
        </c:ser>
        <c:dLbls>
          <c:showLegendKey val="0"/>
          <c:showVal val="0"/>
          <c:showCatName val="0"/>
          <c:showSerName val="0"/>
          <c:showPercent val="0"/>
          <c:showBubbleSize val="0"/>
        </c:dLbls>
        <c:gapWidth val="150"/>
        <c:axId val="207795328"/>
        <c:axId val="207796864"/>
      </c:barChart>
      <c:lineChart>
        <c:grouping val="standard"/>
        <c:varyColors val="0"/>
        <c:ser>
          <c:idx val="2"/>
          <c:order val="2"/>
          <c:tx>
            <c:strRef>
              <c:f>'Charts - Freight'!$B$140</c:f>
              <c:strCache>
                <c:ptCount val="1"/>
                <c:pt idx="0">
                  <c:v>Operating profit</c:v>
                </c:pt>
              </c:strCache>
            </c:strRef>
          </c:tx>
          <c:marker>
            <c:symbol val="none"/>
          </c:marker>
          <c:val>
            <c:numRef>
              <c:f>[0]!operatingprofitpax</c:f>
              <c:numCache>
                <c:formatCode>0%</c:formatCode>
                <c:ptCount val="30"/>
                <c:pt idx="0">
                  <c:v>0.53410574412532641</c:v>
                </c:pt>
                <c:pt idx="1">
                  <c:v>0.53944744604504702</c:v>
                </c:pt>
                <c:pt idx="2">
                  <c:v>0.53879552490062443</c:v>
                </c:pt>
                <c:pt idx="3">
                  <c:v>0.54313036332887654</c:v>
                </c:pt>
                <c:pt idx="4">
                  <c:v>0.55087540877511543</c:v>
                </c:pt>
                <c:pt idx="5">
                  <c:v>0.55406857996708936</c:v>
                </c:pt>
                <c:pt idx="6">
                  <c:v>0.55698998834701818</c:v>
                </c:pt>
                <c:pt idx="7">
                  <c:v>0.55967380694809421</c:v>
                </c:pt>
                <c:pt idx="8">
                  <c:v>0.56214865675186565</c:v>
                </c:pt>
                <c:pt idx="9">
                  <c:v>0.56443438141229718</c:v>
                </c:pt>
                <c:pt idx="10">
                  <c:v>0.5665644443429636</c:v>
                </c:pt>
                <c:pt idx="11">
                  <c:v>0.56853970485902838</c:v>
                </c:pt>
                <c:pt idx="12">
                  <c:v>0.57038383194788722</c:v>
                </c:pt>
                <c:pt idx="13">
                  <c:v>0.57210984673156162</c:v>
                </c:pt>
                <c:pt idx="14">
                  <c:v>0.57372907614722857</c:v>
                </c:pt>
                <c:pt idx="15">
                  <c:v>0.57525142107549576</c:v>
                </c:pt>
                <c:pt idx="16">
                  <c:v>0.57668557505392204</c:v>
                </c:pt>
                <c:pt idx="17">
                  <c:v>0.57803920388610464</c:v>
                </c:pt>
                <c:pt idx="18">
                  <c:v>0.57931909406918414</c:v>
                </c:pt>
                <c:pt idx="19">
                  <c:v>0.58056353483457024</c:v>
                </c:pt>
                <c:pt idx="20">
                  <c:v>0.58187035984075708</c:v>
                </c:pt>
                <c:pt idx="21">
                  <c:v>0.58295003866677175</c:v>
                </c:pt>
                <c:pt idx="22">
                  <c:v>0.58397745165253434</c:v>
                </c:pt>
                <c:pt idx="23">
                  <c:v>0.58495640621793732</c:v>
                </c:pt>
                <c:pt idx="24">
                  <c:v>0.58590819278186779</c:v>
                </c:pt>
                <c:pt idx="25">
                  <c:v>0.58679926359362089</c:v>
                </c:pt>
                <c:pt idx="26">
                  <c:v>0.58765131055648989</c:v>
                </c:pt>
                <c:pt idx="27">
                  <c:v>0.58846689967361088</c:v>
                </c:pt>
                <c:pt idx="28">
                  <c:v>0.58924837121398232</c:v>
                </c:pt>
                <c:pt idx="29">
                  <c:v>0.58999786432366519</c:v>
                </c:pt>
              </c:numCache>
            </c:numRef>
          </c:val>
          <c:smooth val="0"/>
          <c:extLst>
            <c:ext xmlns:c16="http://schemas.microsoft.com/office/drawing/2014/chart" uri="{C3380CC4-5D6E-409C-BE32-E72D297353CC}">
              <c16:uniqueId val="{00000002-79DA-AB4C-BB3A-15CF2EFBE965}"/>
            </c:ext>
          </c:extLst>
        </c:ser>
        <c:dLbls>
          <c:showLegendKey val="0"/>
          <c:showVal val="0"/>
          <c:showCatName val="0"/>
          <c:showSerName val="0"/>
          <c:showPercent val="0"/>
          <c:showBubbleSize val="0"/>
        </c:dLbls>
        <c:marker val="1"/>
        <c:smooth val="0"/>
        <c:axId val="207809152"/>
        <c:axId val="207807616"/>
      </c:lineChart>
      <c:catAx>
        <c:axId val="207795328"/>
        <c:scaling>
          <c:orientation val="minMax"/>
        </c:scaling>
        <c:delete val="0"/>
        <c:axPos val="b"/>
        <c:numFmt formatCode="0" sourceLinked="1"/>
        <c:majorTickMark val="out"/>
        <c:minorTickMark val="none"/>
        <c:tickLblPos val="nextTo"/>
        <c:crossAx val="207796864"/>
        <c:crosses val="autoZero"/>
        <c:auto val="1"/>
        <c:lblAlgn val="ctr"/>
        <c:lblOffset val="100"/>
        <c:noMultiLvlLbl val="0"/>
      </c:catAx>
      <c:valAx>
        <c:axId val="207796864"/>
        <c:scaling>
          <c:orientation val="minMax"/>
        </c:scaling>
        <c:delete val="0"/>
        <c:axPos val="l"/>
        <c:title>
          <c:tx>
            <c:strRef>
              <c:f>'Charts - Passenger'!$E$135</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207795328"/>
        <c:crosses val="autoZero"/>
        <c:crossBetween val="between"/>
        <c:dispUnits>
          <c:builtInUnit val="thousands"/>
        </c:dispUnits>
      </c:valAx>
      <c:valAx>
        <c:axId val="207807616"/>
        <c:scaling>
          <c:orientation val="minMax"/>
        </c:scaling>
        <c:delete val="0"/>
        <c:axPos val="r"/>
        <c:numFmt formatCode="0%" sourceLinked="1"/>
        <c:majorTickMark val="out"/>
        <c:minorTickMark val="none"/>
        <c:tickLblPos val="nextTo"/>
        <c:crossAx val="207809152"/>
        <c:crosses val="max"/>
        <c:crossBetween val="between"/>
      </c:valAx>
      <c:catAx>
        <c:axId val="207809152"/>
        <c:scaling>
          <c:orientation val="minMax"/>
        </c:scaling>
        <c:delete val="1"/>
        <c:axPos val="b"/>
        <c:majorTickMark val="out"/>
        <c:minorTickMark val="none"/>
        <c:tickLblPos val="none"/>
        <c:crossAx val="207807616"/>
        <c:crosses val="autoZero"/>
        <c:auto val="1"/>
        <c:lblAlgn val="ctr"/>
        <c:lblOffset val="100"/>
        <c:noMultiLvlLbl val="0"/>
      </c:catAx>
    </c:plotArea>
    <c:legend>
      <c:legendPos val="b"/>
      <c:overlay val="0"/>
    </c:legend>
    <c:plotVisOnly val="0"/>
    <c:dispBlanksAs val="gap"/>
    <c:showDLblsOverMax val="0"/>
  </c:chart>
  <c:spPr>
    <a:solidFill>
      <a:schemeClr val="lt1"/>
    </a:solidFill>
    <a:ln w="25400" cap="flat" cmpd="sng" algn="ctr">
      <a:solidFill>
        <a:srgbClr val="7030A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[0]!operatingcashflowpax</c:f>
              <c:numCache>
                <c:formatCode>_(* #,##0_);_(* \(#,##0\);_(* "-"??_);_(@_)</c:formatCode>
                <c:ptCount val="30"/>
                <c:pt idx="0">
                  <c:v>0</c:v>
                </c:pt>
                <c:pt idx="1">
                  <c:v>9711.9983596389757</c:v>
                </c:pt>
                <c:pt idx="2">
                  <c:v>10383.080923793646</c:v>
                </c:pt>
                <c:pt idx="3">
                  <c:v>11332.038751553499</c:v>
                </c:pt>
                <c:pt idx="4">
                  <c:v>13105.456950143558</c:v>
                </c:pt>
                <c:pt idx="5">
                  <c:v>14824.734865934801</c:v>
                </c:pt>
                <c:pt idx="6">
                  <c:v>16376.906870982404</c:v>
                </c:pt>
                <c:pt idx="7">
                  <c:v>18025.558867202464</c:v>
                </c:pt>
                <c:pt idx="8">
                  <c:v>19797.382657557842</c:v>
                </c:pt>
                <c:pt idx="9">
                  <c:v>21677.486956082153</c:v>
                </c:pt>
                <c:pt idx="10">
                  <c:v>23227.61198253063</c:v>
                </c:pt>
                <c:pt idx="11">
                  <c:v>25179.813063298785</c:v>
                </c:pt>
                <c:pt idx="12">
                  <c:v>27273.580134959677</c:v>
                </c:pt>
                <c:pt idx="13">
                  <c:v>29486.136986414142</c:v>
                </c:pt>
                <c:pt idx="14">
                  <c:v>31823.055235942418</c:v>
                </c:pt>
                <c:pt idx="15">
                  <c:v>34290.140776367734</c:v>
                </c:pt>
                <c:pt idx="16">
                  <c:v>36893.067960858076</c:v>
                </c:pt>
                <c:pt idx="17">
                  <c:v>39637.482506988839</c:v>
                </c:pt>
                <c:pt idx="18">
                  <c:v>42532.940545235855</c:v>
                </c:pt>
                <c:pt idx="19">
                  <c:v>45583.475785839277</c:v>
                </c:pt>
                <c:pt idx="20">
                  <c:v>48793.392030694806</c:v>
                </c:pt>
                <c:pt idx="21">
                  <c:v>52178.32062702479</c:v>
                </c:pt>
                <c:pt idx="22">
                  <c:v>55741.360295724051</c:v>
                </c:pt>
                <c:pt idx="23">
                  <c:v>59490.656925452909</c:v>
                </c:pt>
                <c:pt idx="24">
                  <c:v>63433.94622038371</c:v>
                </c:pt>
                <c:pt idx="25">
                  <c:v>67581.208911534108</c:v>
                </c:pt>
                <c:pt idx="26">
                  <c:v>71940.517206861725</c:v>
                </c:pt>
                <c:pt idx="27">
                  <c:v>76520.658109752476</c:v>
                </c:pt>
                <c:pt idx="28">
                  <c:v>81333.913072660231</c:v>
                </c:pt>
                <c:pt idx="29">
                  <c:v>86389.08806641557</c:v>
                </c:pt>
              </c:numCache>
            </c:numRef>
          </c:val>
          <c:extLst>
            <c:ext xmlns:c16="http://schemas.microsoft.com/office/drawing/2014/chart" uri="{C3380CC4-5D6E-409C-BE32-E72D297353CC}">
              <c16:uniqueId val="{00000000-870D-A14C-BC24-80E0F1937DD0}"/>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[0]!investingcashflowpax</c:f>
              <c:numCache>
                <c:formatCode>_(* #,##0_);_(* \(#,##0\);_(* "-"??_);_(@_)</c:formatCode>
                <c:ptCount val="30"/>
                <c:pt idx="0">
                  <c:v>0</c:v>
                </c:pt>
                <c:pt idx="1">
                  <c:v>-250</c:v>
                </c:pt>
                <c:pt idx="2">
                  <c:v>-250</c:v>
                </c:pt>
                <c:pt idx="3">
                  <c:v>-250</c:v>
                </c:pt>
                <c:pt idx="4">
                  <c:v>-250</c:v>
                </c:pt>
                <c:pt idx="5">
                  <c:v>-250</c:v>
                </c:pt>
                <c:pt idx="6">
                  <c:v>-250</c:v>
                </c:pt>
                <c:pt idx="7">
                  <c:v>-250</c:v>
                </c:pt>
                <c:pt idx="8">
                  <c:v>-250</c:v>
                </c:pt>
                <c:pt idx="9">
                  <c:v>-255</c:v>
                </c:pt>
                <c:pt idx="10">
                  <c:v>-255</c:v>
                </c:pt>
                <c:pt idx="11">
                  <c:v>-255</c:v>
                </c:pt>
                <c:pt idx="12">
                  <c:v>-255</c:v>
                </c:pt>
                <c:pt idx="13">
                  <c:v>-255</c:v>
                </c:pt>
                <c:pt idx="14">
                  <c:v>-255</c:v>
                </c:pt>
                <c:pt idx="15">
                  <c:v>-255</c:v>
                </c:pt>
                <c:pt idx="16">
                  <c:v>-255</c:v>
                </c:pt>
                <c:pt idx="17">
                  <c:v>-255</c:v>
                </c:pt>
                <c:pt idx="18">
                  <c:v>-255</c:v>
                </c:pt>
                <c:pt idx="19">
                  <c:v>-255</c:v>
                </c:pt>
                <c:pt idx="20">
                  <c:v>-255</c:v>
                </c:pt>
                <c:pt idx="21">
                  <c:v>-260</c:v>
                </c:pt>
                <c:pt idx="22">
                  <c:v>-260</c:v>
                </c:pt>
                <c:pt idx="23">
                  <c:v>-260</c:v>
                </c:pt>
                <c:pt idx="24">
                  <c:v>-260</c:v>
                </c:pt>
                <c:pt idx="25">
                  <c:v>-260</c:v>
                </c:pt>
                <c:pt idx="26">
                  <c:v>-260</c:v>
                </c:pt>
                <c:pt idx="27">
                  <c:v>-260</c:v>
                </c:pt>
                <c:pt idx="28">
                  <c:v>-260</c:v>
                </c:pt>
                <c:pt idx="29">
                  <c:v>-260</c:v>
                </c:pt>
              </c:numCache>
            </c:numRef>
          </c:val>
          <c:extLst>
            <c:ext xmlns:c16="http://schemas.microsoft.com/office/drawing/2014/chart" uri="{C3380CC4-5D6E-409C-BE32-E72D297353CC}">
              <c16:uniqueId val="{00000001-870D-A14C-BC24-80E0F1937DD0}"/>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[0]!loanspax</c:f>
              <c:numCache>
                <c:formatCode>_(* #,##0_);_(* \(#,##0\);_(* "-"??_);_(@_)</c:formatCode>
                <c:ptCount val="30"/>
                <c:pt idx="0">
                  <c:v>0</c:v>
                </c:pt>
                <c:pt idx="1">
                  <c:v>-20</c:v>
                </c:pt>
                <c:pt idx="2">
                  <c:v>10</c:v>
                </c:pt>
                <c:pt idx="3">
                  <c:v>15</c:v>
                </c:pt>
                <c:pt idx="4">
                  <c:v>15</c:v>
                </c:pt>
                <c:pt idx="5">
                  <c:v>15</c:v>
                </c:pt>
                <c:pt idx="6">
                  <c:v>15</c:v>
                </c:pt>
                <c:pt idx="7">
                  <c:v>-32.4395066669153</c:v>
                </c:pt>
                <c:pt idx="8">
                  <c:v>-32.807442498607458</c:v>
                </c:pt>
                <c:pt idx="9">
                  <c:v>-33.238398074929925</c:v>
                </c:pt>
                <c:pt idx="10">
                  <c:v>-34.094414864335292</c:v>
                </c:pt>
                <c:pt idx="11">
                  <c:v>-9.6624153580774621</c:v>
                </c:pt>
                <c:pt idx="12">
                  <c:v>-10.24214612536878</c:v>
                </c:pt>
                <c:pt idx="13">
                  <c:v>-10.857626130981783</c:v>
                </c:pt>
                <c:pt idx="14">
                  <c:v>-11.511116225829554</c:v>
                </c:pt>
                <c:pt idx="15">
                  <c:v>-12.205023440600621</c:v>
                </c:pt>
                <c:pt idx="16">
                  <c:v>-62.941910614353816</c:v>
                </c:pt>
                <c:pt idx="17">
                  <c:v>0</c:v>
                </c:pt>
                <c:pt idx="18">
                  <c:v>0</c:v>
                </c:pt>
                <c:pt idx="19">
                  <c:v>0</c:v>
                </c:pt>
                <c:pt idx="20">
                  <c:v>0</c:v>
                </c:pt>
                <c:pt idx="21">
                  <c:v>0</c:v>
                </c:pt>
                <c:pt idx="22">
                  <c:v>0</c:v>
                </c:pt>
                <c:pt idx="23">
                  <c:v>0</c:v>
                </c:pt>
                <c:pt idx="24">
                  <c:v>0</c:v>
                </c:pt>
                <c:pt idx="25">
                  <c:v>0</c:v>
                </c:pt>
                <c:pt idx="26">
                  <c:v>-50</c:v>
                </c:pt>
                <c:pt idx="27">
                  <c:v>0</c:v>
                </c:pt>
                <c:pt idx="28">
                  <c:v>0</c:v>
                </c:pt>
                <c:pt idx="29">
                  <c:v>0</c:v>
                </c:pt>
              </c:numCache>
            </c:numRef>
          </c:val>
          <c:extLst>
            <c:ext xmlns:c16="http://schemas.microsoft.com/office/drawing/2014/chart" uri="{C3380CC4-5D6E-409C-BE32-E72D297353CC}">
              <c16:uniqueId val="{00000002-870D-A14C-BC24-80E0F1937DD0}"/>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[0]!equitypax</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870D-A14C-BC24-80E0F1937DD0}"/>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[0]!netinterestpax</c:f>
              <c:numCache>
                <c:formatCode>_(* #,##0_);_(* \(#,##0\);_(* "-"??_);_(@_)</c:formatCode>
                <c:ptCount val="30"/>
                <c:pt idx="0">
                  <c:v>0</c:v>
                </c:pt>
                <c:pt idx="1">
                  <c:v>-11.349249999999998</c:v>
                </c:pt>
                <c:pt idx="2">
                  <c:v>-12.235749999999996</c:v>
                </c:pt>
                <c:pt idx="3">
                  <c:v>-12.868499999999983</c:v>
                </c:pt>
                <c:pt idx="4">
                  <c:v>-14.062249999999949</c:v>
                </c:pt>
                <c:pt idx="5">
                  <c:v>-15.174999999999955</c:v>
                </c:pt>
                <c:pt idx="6">
                  <c:v>-16.231500000000096</c:v>
                </c:pt>
                <c:pt idx="7">
                  <c:v>-16.109750000000076</c:v>
                </c:pt>
                <c:pt idx="8">
                  <c:v>-14.388314168307716</c:v>
                </c:pt>
                <c:pt idx="9">
                  <c:v>-12.57935859198551</c:v>
                </c:pt>
                <c:pt idx="10">
                  <c:v>-10.306591802579987</c:v>
                </c:pt>
                <c:pt idx="11">
                  <c:v>-9.0620913088378074</c:v>
                </c:pt>
                <c:pt idx="12">
                  <c:v>-8.4823605415467682</c:v>
                </c:pt>
                <c:pt idx="13">
                  <c:v>-7.8668805359338876</c:v>
                </c:pt>
                <c:pt idx="14">
                  <c:v>-7.2133904410857212</c:v>
                </c:pt>
                <c:pt idx="15">
                  <c:v>-6.5194832263150602</c:v>
                </c:pt>
                <c:pt idx="16">
                  <c:v>-4.5325960525606206</c:v>
                </c:pt>
                <c:pt idx="17">
                  <c:v>-2.5</c:v>
                </c:pt>
                <c:pt idx="18">
                  <c:v>-2.5</c:v>
                </c:pt>
                <c:pt idx="19">
                  <c:v>-2.5</c:v>
                </c:pt>
                <c:pt idx="20">
                  <c:v>-2.5</c:v>
                </c:pt>
                <c:pt idx="21">
                  <c:v>-2.5</c:v>
                </c:pt>
                <c:pt idx="22">
                  <c:v>-2.5</c:v>
                </c:pt>
                <c:pt idx="23">
                  <c:v>-2.5</c:v>
                </c:pt>
                <c:pt idx="24">
                  <c:v>-2.5</c:v>
                </c:pt>
                <c:pt idx="25">
                  <c:v>-2.5</c:v>
                </c:pt>
                <c:pt idx="26">
                  <c:v>-1.25</c:v>
                </c:pt>
                <c:pt idx="27">
                  <c:v>0</c:v>
                </c:pt>
                <c:pt idx="28">
                  <c:v>0</c:v>
                </c:pt>
                <c:pt idx="29">
                  <c:v>0</c:v>
                </c:pt>
              </c:numCache>
            </c:numRef>
          </c:val>
          <c:extLst>
            <c:ext xmlns:c16="http://schemas.microsoft.com/office/drawing/2014/chart" uri="{C3380CC4-5D6E-409C-BE32-E72D297353CC}">
              <c16:uniqueId val="{00000004-870D-A14C-BC24-80E0F1937DD0}"/>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[0]!dividendspax</c:f>
              <c:numCache>
                <c:formatCode>_(* #,##0_);_(* \(#,##0\);_(* "-"??_);_(@_)</c:formatCode>
                <c:ptCount val="30"/>
                <c:pt idx="0">
                  <c:v>0</c:v>
                </c:pt>
                <c:pt idx="1">
                  <c:v>-4723.0495548194885</c:v>
                </c:pt>
                <c:pt idx="2">
                  <c:v>-5073.3793368968236</c:v>
                </c:pt>
                <c:pt idx="3">
                  <c:v>-5550.2805782767491</c:v>
                </c:pt>
                <c:pt idx="4">
                  <c:v>-6436.6386661467786</c:v>
                </c:pt>
                <c:pt idx="5">
                  <c:v>-7295.974488524651</c:v>
                </c:pt>
                <c:pt idx="6">
                  <c:v>-8071.7930777151696</c:v>
                </c:pt>
                <c:pt idx="7">
                  <c:v>-8872.7288592584609</c:v>
                </c:pt>
                <c:pt idx="8">
                  <c:v>-9759.5942260558713</c:v>
                </c:pt>
                <c:pt idx="9">
                  <c:v>-10698.120398586339</c:v>
                </c:pt>
                <c:pt idx="10">
                  <c:v>-11474.184860776939</c:v>
                </c:pt>
                <c:pt idx="11">
                  <c:v>-12463.426032346368</c:v>
                </c:pt>
                <c:pt idx="12">
                  <c:v>-13510.621020797726</c:v>
                </c:pt>
                <c:pt idx="13">
                  <c:v>-14617.220242724499</c:v>
                </c:pt>
                <c:pt idx="14">
                  <c:v>-15786.009787574165</c:v>
                </c:pt>
                <c:pt idx="15">
                  <c:v>-17019.892890474915</c:v>
                </c:pt>
                <c:pt idx="16">
                  <c:v>-18297.332025388823</c:v>
                </c:pt>
                <c:pt idx="17">
                  <c:v>-19702.387610736459</c:v>
                </c:pt>
                <c:pt idx="18">
                  <c:v>-21150.488520577226</c:v>
                </c:pt>
                <c:pt idx="19">
                  <c:v>-22676.139188317717</c:v>
                </c:pt>
                <c:pt idx="20">
                  <c:v>-24281.491849607424</c:v>
                </c:pt>
                <c:pt idx="21">
                  <c:v>-25971.862522800217</c:v>
                </c:pt>
                <c:pt idx="22">
                  <c:v>-27753.80092342848</c:v>
                </c:pt>
                <c:pt idx="23">
                  <c:v>-29628.880361559903</c:v>
                </c:pt>
                <c:pt idx="24">
                  <c:v>-31600.96906599031</c:v>
                </c:pt>
                <c:pt idx="25">
                  <c:v>-33675.057790239458</c:v>
                </c:pt>
                <c:pt idx="26">
                  <c:v>-35830.808037937444</c:v>
                </c:pt>
                <c:pt idx="27">
                  <c:v>-38146.988722418013</c:v>
                </c:pt>
                <c:pt idx="28">
                  <c:v>-40554.115993898144</c:v>
                </c:pt>
                <c:pt idx="29">
                  <c:v>-43082.218274502855</c:v>
                </c:pt>
              </c:numCache>
            </c:numRef>
          </c:val>
          <c:extLst>
            <c:ext xmlns:c16="http://schemas.microsoft.com/office/drawing/2014/chart" uri="{C3380CC4-5D6E-409C-BE32-E72D297353CC}">
              <c16:uniqueId val="{00000005-870D-A14C-BC24-80E0F1937DD0}"/>
            </c:ext>
          </c:extLst>
        </c:ser>
        <c:dLbls>
          <c:showLegendKey val="0"/>
          <c:showVal val="0"/>
          <c:showCatName val="0"/>
          <c:showSerName val="0"/>
          <c:showPercent val="0"/>
          <c:showBubbleSize val="0"/>
        </c:dLbls>
        <c:gapWidth val="150"/>
        <c:overlap val="100"/>
        <c:axId val="207526144"/>
        <c:axId val="207695872"/>
      </c:barChart>
      <c:catAx>
        <c:axId val="207526144"/>
        <c:scaling>
          <c:orientation val="minMax"/>
        </c:scaling>
        <c:delete val="0"/>
        <c:axPos val="b"/>
        <c:numFmt formatCode="0" sourceLinked="1"/>
        <c:majorTickMark val="out"/>
        <c:minorTickMark val="none"/>
        <c:tickLblPos val="nextTo"/>
        <c:crossAx val="207695872"/>
        <c:crosses val="autoZero"/>
        <c:auto val="1"/>
        <c:lblAlgn val="ctr"/>
        <c:lblOffset val="100"/>
        <c:noMultiLvlLbl val="0"/>
      </c:catAx>
      <c:valAx>
        <c:axId val="207695872"/>
        <c:scaling>
          <c:orientation val="minMax"/>
        </c:scaling>
        <c:delete val="0"/>
        <c:axPos val="l"/>
        <c:numFmt formatCode="_(* #,##0_);_(* \(#,##0\);_(* &quot;-&quot;??_);_(@_)" sourceLinked="1"/>
        <c:majorTickMark val="out"/>
        <c:minorTickMark val="none"/>
        <c:tickLblPos val="nextTo"/>
        <c:crossAx val="207526144"/>
        <c:crosses val="autoZero"/>
        <c:crossBetween val="between"/>
        <c:dispUnits>
          <c:builtInUnit val="thousands"/>
          <c:dispUnitsLbl>
            <c:layout>
              <c:manualLayout>
                <c:xMode val="edge"/>
                <c:yMode val="edge"/>
                <c:x val="1.5048908954100828E-2"/>
                <c:y val="0.41308122035205586"/>
              </c:manualLayout>
            </c:layout>
            <c:tx>
              <c:strRef>
                <c:f>'Charts - Freight'!$E$134</c:f>
                <c:strCache>
                  <c:ptCount val="1"/>
                  <c:pt idx="0">
                    <c:v>R$ millions</c:v>
                  </c:pt>
                </c:strCache>
              </c:strRef>
            </c:tx>
          </c:dispUnitsLbl>
        </c:dispUnits>
      </c:valAx>
    </c:plotArea>
    <c:legend>
      <c:legendPos val="b"/>
      <c:overlay val="0"/>
    </c:legend>
    <c:plotVisOnly val="0"/>
    <c:dispBlanksAs val="gap"/>
    <c:showDLblsOverMax val="0"/>
  </c:chart>
  <c:spPr>
    <a:solidFill>
      <a:schemeClr val="lt1"/>
    </a:solidFill>
    <a:ln w="25400" cap="flat" cmpd="sng" algn="ctr">
      <a:solidFill>
        <a:srgbClr val="7030A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Operating profit</a:t>
            </a:r>
          </a:p>
        </c:rich>
      </c:tx>
      <c:overlay val="0"/>
    </c:title>
    <c:autoTitleDeleted val="0"/>
    <c:plotArea>
      <c:layout/>
      <c:barChart>
        <c:barDir val="col"/>
        <c:grouping val="clustered"/>
        <c:varyColors val="0"/>
        <c:ser>
          <c:idx val="0"/>
          <c:order val="0"/>
          <c:tx>
            <c:strRef>
              <c:f>'Charts - Freight'!$B$138:$D$138</c:f>
              <c:strCache>
                <c:ptCount val="3"/>
                <c:pt idx="0">
                  <c:v>Operating revenues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[0]!operatingrevenuesinfra</c:f>
              <c:numCache>
                <c:formatCode>_(* #,##0_);_(* \(#,##0\);_(* "-"??_);_(@_)</c:formatCode>
                <c:ptCount val="30"/>
                <c:pt idx="0">
                  <c:v>41464.5</c:v>
                </c:pt>
                <c:pt idx="1">
                  <c:v>43342.413367254689</c:v>
                </c:pt>
                <c:pt idx="2">
                  <c:v>44629.462475560264</c:v>
                </c:pt>
                <c:pt idx="3">
                  <c:v>46978.379153601578</c:v>
                </c:pt>
                <c:pt idx="4">
                  <c:v>50483.639846161881</c:v>
                </c:pt>
                <c:pt idx="5">
                  <c:v>53070.542842196119</c:v>
                </c:pt>
                <c:pt idx="6">
                  <c:v>59477.445059466445</c:v>
                </c:pt>
                <c:pt idx="7">
                  <c:v>62400.347313710416</c:v>
                </c:pt>
                <c:pt idx="8">
                  <c:v>65445.527251028543</c:v>
                </c:pt>
                <c:pt idx="9">
                  <c:v>68617.681653750478</c:v>
                </c:pt>
                <c:pt idx="10">
                  <c:v>71921.707245378129</c:v>
                </c:pt>
                <c:pt idx="11">
                  <c:v>75362.660041040275</c:v>
                </c:pt>
                <c:pt idx="12">
                  <c:v>78945.614046321498</c:v>
                </c:pt>
                <c:pt idx="13">
                  <c:v>82675.927741823587</c:v>
                </c:pt>
                <c:pt idx="14">
                  <c:v>86559.815758387616</c:v>
                </c:pt>
                <c:pt idx="15">
                  <c:v>90602.231248637938</c:v>
                </c:pt>
                <c:pt idx="16">
                  <c:v>94810.329061139098</c:v>
                </c:pt>
                <c:pt idx="17">
                  <c:v>99189.802583153782</c:v>
                </c:pt>
                <c:pt idx="18">
                  <c:v>103747.14700685862</c:v>
                </c:pt>
                <c:pt idx="19">
                  <c:v>108489.0930096604</c:v>
                </c:pt>
                <c:pt idx="20">
                  <c:v>113422.61503471887</c:v>
                </c:pt>
                <c:pt idx="21">
                  <c:v>118554.93985719691</c:v>
                </c:pt>
                <c:pt idx="22">
                  <c:v>123893.55544566346</c:v>
                </c:pt>
                <c:pt idx="23">
                  <c:v>129446.22012847484</c:v>
                </c:pt>
                <c:pt idx="24">
                  <c:v>135220.9720753438</c:v>
                </c:pt>
                <c:pt idx="25">
                  <c:v>141226.13910467943</c:v>
                </c:pt>
                <c:pt idx="26">
                  <c:v>147470.34882765758</c:v>
                </c:pt>
                <c:pt idx="27">
                  <c:v>153962.53914036011</c:v>
                </c:pt>
                <c:pt idx="28">
                  <c:v>160711.78798815043</c:v>
                </c:pt>
                <c:pt idx="29">
                  <c:v>167722.96358057851</c:v>
                </c:pt>
              </c:numCache>
            </c:numRef>
          </c:val>
          <c:extLst>
            <c:ext xmlns:c16="http://schemas.microsoft.com/office/drawing/2014/chart" uri="{C3380CC4-5D6E-409C-BE32-E72D297353CC}">
              <c16:uniqueId val="{00000000-3A45-9342-AAB1-26231D7B0780}"/>
            </c:ext>
          </c:extLst>
        </c:ser>
        <c:ser>
          <c:idx val="1"/>
          <c:order val="1"/>
          <c:tx>
            <c:strRef>
              <c:f>'Charts - Freight'!$B$139:$D$139</c:f>
              <c:strCache>
                <c:ptCount val="3"/>
                <c:pt idx="0">
                  <c:v>Operating costs (incl. depreciation)</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[0]!operatingcostsinfra</c:f>
              <c:numCache>
                <c:formatCode>_(* #,##0_);_(* \(#,##0\);_(* "-"??_);_(@_)</c:formatCode>
                <c:ptCount val="30"/>
                <c:pt idx="0">
                  <c:v>3550</c:v>
                </c:pt>
                <c:pt idx="1">
                  <c:v>3748.4206269971501</c:v>
                </c:pt>
                <c:pt idx="2">
                  <c:v>3946.1247642761541</c:v>
                </c:pt>
                <c:pt idx="3">
                  <c:v>4185.4608501872744</c:v>
                </c:pt>
                <c:pt idx="4">
                  <c:v>4549.5671991484451</c:v>
                </c:pt>
                <c:pt idx="5">
                  <c:v>4735.7969394132788</c:v>
                </c:pt>
                <c:pt idx="6">
                  <c:v>5066.7074593903944</c:v>
                </c:pt>
                <c:pt idx="7">
                  <c:v>5270.2327337625711</c:v>
                </c:pt>
                <c:pt idx="8">
                  <c:v>5480.8105501550281</c:v>
                </c:pt>
                <c:pt idx="9">
                  <c:v>5698.484526435881</c:v>
                </c:pt>
                <c:pt idx="10">
                  <c:v>5923.9801743809367</c:v>
                </c:pt>
                <c:pt idx="11">
                  <c:v>6157.4148725794203</c:v>
                </c:pt>
                <c:pt idx="12">
                  <c:v>6394.9573583713882</c:v>
                </c:pt>
                <c:pt idx="13">
                  <c:v>6635.1193010906163</c:v>
                </c:pt>
                <c:pt idx="14">
                  <c:v>6892.9730195988905</c:v>
                </c:pt>
                <c:pt idx="15">
                  <c:v>7146.6211870398638</c:v>
                </c:pt>
                <c:pt idx="16">
                  <c:v>7423.9517082869934</c:v>
                </c:pt>
                <c:pt idx="17">
                  <c:v>7710.9278528051327</c:v>
                </c:pt>
                <c:pt idx="18">
                  <c:v>8007.8897632070866</c:v>
                </c:pt>
                <c:pt idx="19">
                  <c:v>8315.1893096014828</c:v>
                </c:pt>
                <c:pt idx="20">
                  <c:v>8633.190487114176</c:v>
                </c:pt>
                <c:pt idx="21">
                  <c:v>8962.2698267061751</c:v>
                </c:pt>
                <c:pt idx="22">
                  <c:v>9302.8168197281411</c:v>
                </c:pt>
                <c:pt idx="23">
                  <c:v>9655.2343566659129</c:v>
                </c:pt>
                <c:pt idx="24">
                  <c:v>10019.939180546371</c:v>
                </c:pt>
                <c:pt idx="25">
                  <c:v>10397.362355488514</c:v>
                </c:pt>
                <c:pt idx="26">
                  <c:v>10787.949750900212</c:v>
                </c:pt>
                <c:pt idx="27">
                  <c:v>11192.162541837859</c:v>
                </c:pt>
                <c:pt idx="28">
                  <c:v>11606.118458328252</c:v>
                </c:pt>
                <c:pt idx="29">
                  <c:v>11980.276911587915</c:v>
                </c:pt>
              </c:numCache>
            </c:numRef>
          </c:val>
          <c:extLst>
            <c:ext xmlns:c16="http://schemas.microsoft.com/office/drawing/2014/chart" uri="{C3380CC4-5D6E-409C-BE32-E72D297353CC}">
              <c16:uniqueId val="{00000001-3A45-9342-AAB1-26231D7B0780}"/>
            </c:ext>
          </c:extLst>
        </c:ser>
        <c:dLbls>
          <c:showLegendKey val="0"/>
          <c:showVal val="0"/>
          <c:showCatName val="0"/>
          <c:showSerName val="0"/>
          <c:showPercent val="0"/>
          <c:showBubbleSize val="0"/>
        </c:dLbls>
        <c:gapWidth val="150"/>
        <c:axId val="197012480"/>
        <c:axId val="197014272"/>
      </c:barChart>
      <c:lineChart>
        <c:grouping val="standard"/>
        <c:varyColors val="0"/>
        <c:ser>
          <c:idx val="2"/>
          <c:order val="2"/>
          <c:tx>
            <c:strRef>
              <c:f>'Charts - Freight'!$B$140</c:f>
              <c:strCache>
                <c:ptCount val="1"/>
                <c:pt idx="0">
                  <c:v>Operating profit</c:v>
                </c:pt>
              </c:strCache>
            </c:strRef>
          </c:tx>
          <c:marker>
            <c:symbol val="none"/>
          </c:marker>
          <c:val>
            <c:numRef>
              <c:f>[0]!operatingprofitinfra</c:f>
              <c:numCache>
                <c:formatCode>0%</c:formatCode>
                <c:ptCount val="30"/>
                <c:pt idx="0">
                  <c:v>0.91438459405033223</c:v>
                </c:pt>
                <c:pt idx="1">
                  <c:v>0.91351610730035882</c:v>
                </c:pt>
                <c:pt idx="2">
                  <c:v>0.91158027577775314</c:v>
                </c:pt>
                <c:pt idx="3">
                  <c:v>0.91090665694313566</c:v>
                </c:pt>
                <c:pt idx="4">
                  <c:v>0.90988036494570768</c:v>
                </c:pt>
                <c:pt idx="5">
                  <c:v>0.91076411346507136</c:v>
                </c:pt>
                <c:pt idx="6">
                  <c:v>0.91481296053782024</c:v>
                </c:pt>
                <c:pt idx="7">
                  <c:v>0.91554161217617758</c:v>
                </c:pt>
                <c:pt idx="8">
                  <c:v>0.9162538559872494</c:v>
                </c:pt>
                <c:pt idx="9">
                  <c:v>0.91695311778105792</c:v>
                </c:pt>
                <c:pt idx="10">
                  <c:v>0.91763293167986326</c:v>
                </c:pt>
                <c:pt idx="11">
                  <c:v>0.91829621102511139</c:v>
                </c:pt>
                <c:pt idx="12">
                  <c:v>0.91899540670341562</c:v>
                </c:pt>
                <c:pt idx="13">
                  <c:v>0.91974545091516302</c:v>
                </c:pt>
                <c:pt idx="14">
                  <c:v>0.92036751743050038</c:v>
                </c:pt>
                <c:pt idx="15">
                  <c:v>0.92112091403767382</c:v>
                </c:pt>
                <c:pt idx="16">
                  <c:v>0.92169680474898885</c:v>
                </c:pt>
                <c:pt idx="17">
                  <c:v>0.92226088113905824</c:v>
                </c:pt>
                <c:pt idx="18">
                  <c:v>0.92281339782116911</c:v>
                </c:pt>
                <c:pt idx="19">
                  <c:v>0.92335460571265848</c:v>
                </c:pt>
                <c:pt idx="20">
                  <c:v>0.92388475186829766</c:v>
                </c:pt>
                <c:pt idx="21">
                  <c:v>0.92440407934497282</c:v>
                </c:pt>
                <c:pt idx="22">
                  <c:v>0.92491282709367295</c:v>
                </c:pt>
                <c:pt idx="23">
                  <c:v>0.92541122987536339</c:v>
                </c:pt>
                <c:pt idx="24">
                  <c:v>0.92589951819778848</c:v>
                </c:pt>
                <c:pt idx="25">
                  <c:v>0.92637791827062699</c:v>
                </c:pt>
                <c:pt idx="26">
                  <c:v>0.92684665197674665</c:v>
                </c:pt>
                <c:pt idx="27">
                  <c:v>0.92730593685757212</c:v>
                </c:pt>
                <c:pt idx="28">
                  <c:v>0.92778302946151037</c:v>
                </c:pt>
                <c:pt idx="29">
                  <c:v>0.92857103967261889</c:v>
                </c:pt>
              </c:numCache>
            </c:numRef>
          </c:val>
          <c:smooth val="0"/>
          <c:extLst>
            <c:ext xmlns:c16="http://schemas.microsoft.com/office/drawing/2014/chart" uri="{C3380CC4-5D6E-409C-BE32-E72D297353CC}">
              <c16:uniqueId val="{00000002-3A45-9342-AAB1-26231D7B0780}"/>
            </c:ext>
          </c:extLst>
        </c:ser>
        <c:dLbls>
          <c:showLegendKey val="0"/>
          <c:showVal val="0"/>
          <c:showCatName val="0"/>
          <c:showSerName val="0"/>
          <c:showPercent val="0"/>
          <c:showBubbleSize val="0"/>
        </c:dLbls>
        <c:marker val="1"/>
        <c:smooth val="0"/>
        <c:axId val="197026560"/>
        <c:axId val="197016576"/>
      </c:lineChart>
      <c:catAx>
        <c:axId val="197012480"/>
        <c:scaling>
          <c:orientation val="minMax"/>
        </c:scaling>
        <c:delete val="0"/>
        <c:axPos val="b"/>
        <c:numFmt formatCode="0" sourceLinked="1"/>
        <c:majorTickMark val="out"/>
        <c:minorTickMark val="none"/>
        <c:tickLblPos val="nextTo"/>
        <c:crossAx val="197014272"/>
        <c:crosses val="autoZero"/>
        <c:auto val="1"/>
        <c:lblAlgn val="ctr"/>
        <c:lblOffset val="100"/>
        <c:noMultiLvlLbl val="0"/>
      </c:catAx>
      <c:valAx>
        <c:axId val="197014272"/>
        <c:scaling>
          <c:orientation val="minMax"/>
        </c:scaling>
        <c:delete val="0"/>
        <c:axPos val="l"/>
        <c:title>
          <c:tx>
            <c:strRef>
              <c:f>'Charts - Freight'!$E$134</c:f>
              <c:strCache>
                <c:ptCount val="1"/>
                <c:pt idx="0">
                  <c:v>R$ millions</c:v>
                </c:pt>
              </c:strCache>
            </c:strRef>
          </c:tx>
          <c:overlay val="0"/>
          <c:txPr>
            <a:bodyPr rot="-5400000" vert="horz"/>
            <a:lstStyle/>
            <a:p>
              <a:pPr>
                <a:defRPr/>
              </a:pPr>
              <a:endParaRPr lang="en-US"/>
            </a:p>
          </c:txPr>
        </c:title>
        <c:numFmt formatCode="_(* #,##0_);_(* \(#,##0\);_(* &quot;-&quot;??_);_(@_)" sourceLinked="1"/>
        <c:majorTickMark val="out"/>
        <c:minorTickMark val="none"/>
        <c:tickLblPos val="nextTo"/>
        <c:crossAx val="197012480"/>
        <c:crosses val="autoZero"/>
        <c:crossBetween val="between"/>
        <c:dispUnits>
          <c:builtInUnit val="thousands"/>
        </c:dispUnits>
      </c:valAx>
      <c:valAx>
        <c:axId val="197016576"/>
        <c:scaling>
          <c:orientation val="minMax"/>
        </c:scaling>
        <c:delete val="0"/>
        <c:axPos val="r"/>
        <c:numFmt formatCode="0%" sourceLinked="1"/>
        <c:majorTickMark val="out"/>
        <c:minorTickMark val="none"/>
        <c:tickLblPos val="nextTo"/>
        <c:crossAx val="197026560"/>
        <c:crosses val="max"/>
        <c:crossBetween val="between"/>
      </c:valAx>
      <c:catAx>
        <c:axId val="197026560"/>
        <c:scaling>
          <c:orientation val="minMax"/>
        </c:scaling>
        <c:delete val="1"/>
        <c:axPos val="b"/>
        <c:majorTickMark val="out"/>
        <c:minorTickMark val="none"/>
        <c:tickLblPos val="none"/>
        <c:crossAx val="197016576"/>
        <c:crosses val="autoZero"/>
        <c:auto val="1"/>
        <c:lblAlgn val="ctr"/>
        <c:lblOffset val="100"/>
        <c:noMultiLvlLbl val="0"/>
      </c:catAx>
    </c:plotArea>
    <c:legend>
      <c:legendPos val="b"/>
      <c:overlay val="0"/>
    </c:legend>
    <c:plotVisOnly val="1"/>
    <c:dispBlanksAs val="gap"/>
    <c:showDLblsOverMax val="0"/>
  </c:chart>
  <c:spPr>
    <a:solidFill>
      <a:schemeClr val="lt1"/>
    </a:solidFill>
    <a:ln w="25400" cap="flat" cmpd="sng" algn="ctr">
      <a:solidFill>
        <a:srgbClr val="92D05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breakdown</a:t>
            </a:r>
          </a:p>
        </c:rich>
      </c:tx>
      <c:overlay val="0"/>
    </c:title>
    <c:autoTitleDeleted val="0"/>
    <c:plotArea>
      <c:layout>
        <c:manualLayout>
          <c:layoutTarget val="inner"/>
          <c:xMode val="edge"/>
          <c:yMode val="edge"/>
          <c:x val="8.3568679877691746E-2"/>
          <c:y val="0.17995732516843418"/>
          <c:w val="0.90109528082516455"/>
          <c:h val="0.65307165093616126"/>
        </c:manualLayout>
      </c:layout>
      <c:barChart>
        <c:barDir val="col"/>
        <c:grouping val="stacked"/>
        <c:varyColors val="0"/>
        <c:ser>
          <c:idx val="0"/>
          <c:order val="0"/>
          <c:tx>
            <c:strRef>
              <c:f>'Charts - Freight'!$B$206:$D$206</c:f>
              <c:strCache>
                <c:ptCount val="3"/>
                <c:pt idx="0">
                  <c:v>Operating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[0]!operatingcashflowinfra</c:f>
              <c:numCache>
                <c:formatCode>_(* #,##0_);_(* \(#,##0\);_(* "-"??_);_(@_)</c:formatCode>
                <c:ptCount val="30"/>
                <c:pt idx="0">
                  <c:v>0</c:v>
                </c:pt>
                <c:pt idx="1">
                  <c:v>27169.260795835875</c:v>
                </c:pt>
                <c:pt idx="2">
                  <c:v>28232.321656527576</c:v>
                </c:pt>
                <c:pt idx="3">
                  <c:v>29928.184922482185</c:v>
                </c:pt>
                <c:pt idx="4">
                  <c:v>32430.915734590944</c:v>
                </c:pt>
                <c:pt idx="5">
                  <c:v>34690.235042531553</c:v>
                </c:pt>
                <c:pt idx="6">
                  <c:v>39022.091203316661</c:v>
                </c:pt>
                <c:pt idx="7">
                  <c:v>41934.00561537101</c:v>
                </c:pt>
                <c:pt idx="8">
                  <c:v>44572.643583934892</c:v>
                </c:pt>
                <c:pt idx="9">
                  <c:v>47332.783680796812</c:v>
                </c:pt>
                <c:pt idx="10">
                  <c:v>49573.283496049335</c:v>
                </c:pt>
                <c:pt idx="11">
                  <c:v>52378.777002494629</c:v>
                </c:pt>
                <c:pt idx="12">
                  <c:v>55351.923394553574</c:v>
                </c:pt>
                <c:pt idx="13">
                  <c:v>58457.176868947972</c:v>
                </c:pt>
                <c:pt idx="14">
                  <c:v>61704.155016376593</c:v>
                </c:pt>
                <c:pt idx="15">
                  <c:v>65092.077642276832</c:v>
                </c:pt>
                <c:pt idx="16">
                  <c:v>68632.830108557057</c:v>
                </c:pt>
                <c:pt idx="17">
                  <c:v>72327.671585913762</c:v>
                </c:pt>
                <c:pt idx="18">
                  <c:v>76189.648760261945</c:v>
                </c:pt>
                <c:pt idx="19">
                  <c:v>80220.892284133282</c:v>
                </c:pt>
                <c:pt idx="20">
                  <c:v>84428.115907585394</c:v>
                </c:pt>
                <c:pt idx="21">
                  <c:v>88818.284286625858</c:v>
                </c:pt>
                <c:pt idx="22">
                  <c:v>93398.622000950287</c:v>
                </c:pt>
                <c:pt idx="23">
                  <c:v>98176.622886883561</c:v>
                </c:pt>
                <c:pt idx="24">
                  <c:v>103160.05969635457</c:v>
                </c:pt>
                <c:pt idx="25">
                  <c:v>108356.99409309009</c:v>
                </c:pt>
                <c:pt idx="26">
                  <c:v>113775.78699758439</c:v>
                </c:pt>
                <c:pt idx="27">
                  <c:v>119425.10929278545</c:v>
                </c:pt>
                <c:pt idx="28">
                  <c:v>125312.69944878791</c:v>
                </c:pt>
                <c:pt idx="29">
                  <c:v>131434.27287413037</c:v>
                </c:pt>
              </c:numCache>
            </c:numRef>
          </c:val>
          <c:extLst>
            <c:ext xmlns:c16="http://schemas.microsoft.com/office/drawing/2014/chart" uri="{C3380CC4-5D6E-409C-BE32-E72D297353CC}">
              <c16:uniqueId val="{00000000-AD9A-5C43-A4E1-8371B652BC3F}"/>
            </c:ext>
          </c:extLst>
        </c:ser>
        <c:ser>
          <c:idx val="1"/>
          <c:order val="1"/>
          <c:tx>
            <c:strRef>
              <c:f>'Charts - Freight'!$B$207:$D$207</c:f>
              <c:strCache>
                <c:ptCount val="3"/>
                <c:pt idx="0">
                  <c:v>Investing cash flow</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[0]!investingcashflowinfra</c:f>
              <c:numCache>
                <c:formatCode>_(* #,##0_);_(* \(#,##0\);_(* "-"??_);_(@_)</c:formatCode>
                <c:ptCount val="30"/>
                <c:pt idx="0">
                  <c:v>0</c:v>
                </c:pt>
                <c:pt idx="1">
                  <c:v>-105</c:v>
                </c:pt>
                <c:pt idx="2">
                  <c:v>-260</c:v>
                </c:pt>
                <c:pt idx="3">
                  <c:v>-260</c:v>
                </c:pt>
                <c:pt idx="4">
                  <c:v>-265</c:v>
                </c:pt>
                <c:pt idx="5">
                  <c:v>-265</c:v>
                </c:pt>
                <c:pt idx="6">
                  <c:v>-265</c:v>
                </c:pt>
                <c:pt idx="7">
                  <c:v>-265</c:v>
                </c:pt>
                <c:pt idx="8">
                  <c:v>-265</c:v>
                </c:pt>
                <c:pt idx="9">
                  <c:v>-265</c:v>
                </c:pt>
                <c:pt idx="10">
                  <c:v>-265</c:v>
                </c:pt>
                <c:pt idx="11">
                  <c:v>-270</c:v>
                </c:pt>
                <c:pt idx="12">
                  <c:v>-270</c:v>
                </c:pt>
                <c:pt idx="13">
                  <c:v>-270</c:v>
                </c:pt>
                <c:pt idx="14">
                  <c:v>-270</c:v>
                </c:pt>
                <c:pt idx="15">
                  <c:v>-270</c:v>
                </c:pt>
                <c:pt idx="16">
                  <c:v>-270</c:v>
                </c:pt>
                <c:pt idx="17">
                  <c:v>-270</c:v>
                </c:pt>
                <c:pt idx="18">
                  <c:v>-270</c:v>
                </c:pt>
                <c:pt idx="19">
                  <c:v>-270</c:v>
                </c:pt>
                <c:pt idx="20">
                  <c:v>-270</c:v>
                </c:pt>
                <c:pt idx="21">
                  <c:v>-270</c:v>
                </c:pt>
                <c:pt idx="22">
                  <c:v>-270</c:v>
                </c:pt>
                <c:pt idx="23">
                  <c:v>-270</c:v>
                </c:pt>
                <c:pt idx="24">
                  <c:v>-270</c:v>
                </c:pt>
                <c:pt idx="25">
                  <c:v>-270</c:v>
                </c:pt>
                <c:pt idx="26">
                  <c:v>-270</c:v>
                </c:pt>
                <c:pt idx="27">
                  <c:v>-270</c:v>
                </c:pt>
                <c:pt idx="28">
                  <c:v>-270</c:v>
                </c:pt>
                <c:pt idx="29">
                  <c:v>-270</c:v>
                </c:pt>
              </c:numCache>
            </c:numRef>
          </c:val>
          <c:extLst>
            <c:ext xmlns:c16="http://schemas.microsoft.com/office/drawing/2014/chart" uri="{C3380CC4-5D6E-409C-BE32-E72D297353CC}">
              <c16:uniqueId val="{00000001-AD9A-5C43-A4E1-8371B652BC3F}"/>
            </c:ext>
          </c:extLst>
        </c:ser>
        <c:ser>
          <c:idx val="2"/>
          <c:order val="2"/>
          <c:tx>
            <c:strRef>
              <c:f>'Charts - Freight'!$B$208:$D$208</c:f>
              <c:strCache>
                <c:ptCount val="3"/>
                <c:pt idx="0">
                  <c:v>Loans and long-term liabilities</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[0]!loansinfra</c:f>
              <c:numCache>
                <c:formatCode>_(* #,##0_);_(* \(#,##0\);_(* "-"??_);_(@_)</c:formatCode>
                <c:ptCount val="30"/>
                <c:pt idx="0">
                  <c:v>0</c:v>
                </c:pt>
                <c:pt idx="1">
                  <c:v>-10</c:v>
                </c:pt>
                <c:pt idx="2">
                  <c:v>5</c:v>
                </c:pt>
                <c:pt idx="3">
                  <c:v>17.5</c:v>
                </c:pt>
                <c:pt idx="4">
                  <c:v>17.5</c:v>
                </c:pt>
                <c:pt idx="5">
                  <c:v>17.5</c:v>
                </c:pt>
                <c:pt idx="6">
                  <c:v>17.5</c:v>
                </c:pt>
                <c:pt idx="7">
                  <c:v>-22.5</c:v>
                </c:pt>
                <c:pt idx="8">
                  <c:v>-22.5</c:v>
                </c:pt>
                <c:pt idx="9">
                  <c:v>-22.5</c:v>
                </c:pt>
                <c:pt idx="10">
                  <c:v>0</c:v>
                </c:pt>
                <c:pt idx="11">
                  <c:v>0</c:v>
                </c:pt>
                <c:pt idx="12">
                  <c:v>0</c:v>
                </c:pt>
                <c:pt idx="13">
                  <c:v>0</c:v>
                </c:pt>
                <c:pt idx="14">
                  <c:v>0</c:v>
                </c:pt>
                <c:pt idx="15">
                  <c:v>0</c:v>
                </c:pt>
                <c:pt idx="16">
                  <c:v>-200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AD9A-5C43-A4E1-8371B652BC3F}"/>
            </c:ext>
          </c:extLst>
        </c:ser>
        <c:ser>
          <c:idx val="3"/>
          <c:order val="3"/>
          <c:tx>
            <c:strRef>
              <c:f>'Charts - Freight'!$B$210:$D$210</c:f>
              <c:strCache>
                <c:ptCount val="3"/>
                <c:pt idx="0">
                  <c:v>Equity</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[0]!equityinfra</c:f>
              <c:numCache>
                <c:formatCode>_(* #,##0_);_(* \(#,##0\);_(*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AD9A-5C43-A4E1-8371B652BC3F}"/>
            </c:ext>
          </c:extLst>
        </c:ser>
        <c:ser>
          <c:idx val="4"/>
          <c:order val="4"/>
          <c:tx>
            <c:strRef>
              <c:f>'Charts - Freight'!$B$211:$D$211</c:f>
              <c:strCache>
                <c:ptCount val="3"/>
                <c:pt idx="0">
                  <c:v>Net interest</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[0]!netinterestinfra</c:f>
              <c:numCache>
                <c:formatCode>_(* #,##0_);_(* \(#,##0\);_(* "-"??_);_(@_)</c:formatCode>
                <c:ptCount val="30"/>
                <c:pt idx="0">
                  <c:v>0</c:v>
                </c:pt>
                <c:pt idx="1">
                  <c:v>-9.875</c:v>
                </c:pt>
                <c:pt idx="2">
                  <c:v>-10.247000000000014</c:v>
                </c:pt>
                <c:pt idx="3">
                  <c:v>-10.594500000000039</c:v>
                </c:pt>
                <c:pt idx="4">
                  <c:v>-12.002500000000055</c:v>
                </c:pt>
                <c:pt idx="5">
                  <c:v>-13.518500000000131</c:v>
                </c:pt>
                <c:pt idx="6">
                  <c:v>-15.079499999999825</c:v>
                </c:pt>
                <c:pt idx="7">
                  <c:v>-15.382500000000164</c:v>
                </c:pt>
                <c:pt idx="8">
                  <c:v>-14.457500000000437</c:v>
                </c:pt>
                <c:pt idx="9">
                  <c:v>-13.472499999999854</c:v>
                </c:pt>
                <c:pt idx="10">
                  <c:v>-12.0600000000004</c:v>
                </c:pt>
                <c:pt idx="11">
                  <c:v>-12</c:v>
                </c:pt>
                <c:pt idx="12">
                  <c:v>-12</c:v>
                </c:pt>
                <c:pt idx="13">
                  <c:v>-12</c:v>
                </c:pt>
                <c:pt idx="14">
                  <c:v>-12</c:v>
                </c:pt>
                <c:pt idx="15">
                  <c:v>-12</c:v>
                </c:pt>
                <c:pt idx="16">
                  <c:v>-6</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4-AD9A-5C43-A4E1-8371B652BC3F}"/>
            </c:ext>
          </c:extLst>
        </c:ser>
        <c:ser>
          <c:idx val="5"/>
          <c:order val="5"/>
          <c:tx>
            <c:strRef>
              <c:f>'Charts - Freight'!$B$212:$D$212</c:f>
              <c:strCache>
                <c:ptCount val="3"/>
                <c:pt idx="0">
                  <c:v>Dividends paid</c:v>
                </c:pt>
              </c:strCache>
            </c:strRef>
          </c:tx>
          <c:invertIfNegative val="0"/>
          <c:cat>
            <c:numRef>
              <c:f>[0]!Year</c:f>
              <c:numCache>
                <c:formatCode>0</c:formatCode>
                <c:ptCount val="30"/>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numCache>
            </c:numRef>
          </c:cat>
          <c:val>
            <c:numRef>
              <c:f>[0]!dividendsinfra</c:f>
              <c:numCache>
                <c:formatCode>_(* #,##0_);_(* \(#,##0\);_(* "-"??_);_(@_)</c:formatCode>
                <c:ptCount val="30"/>
                <c:pt idx="0">
                  <c:v>0</c:v>
                </c:pt>
                <c:pt idx="1">
                  <c:v>-18941.88505708511</c:v>
                </c:pt>
                <c:pt idx="2">
                  <c:v>-19588.0917095693</c:v>
                </c:pt>
                <c:pt idx="3">
                  <c:v>-20784.036929237529</c:v>
                </c:pt>
                <c:pt idx="4">
                  <c:v>-22531.807106718661</c:v>
                </c:pt>
                <c:pt idx="5">
                  <c:v>-24112.623957552234</c:v>
                </c:pt>
                <c:pt idx="6">
                  <c:v>-27144.195741435218</c:v>
                </c:pt>
                <c:pt idx="7">
                  <c:v>-29154.699856346666</c:v>
                </c:pt>
                <c:pt idx="8">
                  <c:v>-31002.781344608993</c:v>
                </c:pt>
                <c:pt idx="9">
                  <c:v>-32935.96794498797</c:v>
                </c:pt>
                <c:pt idx="10">
                  <c:v>-34521.467569217646</c:v>
                </c:pt>
                <c:pt idx="11">
                  <c:v>-36482.278357388845</c:v>
                </c:pt>
                <c:pt idx="12">
                  <c:v>-38563.916865499385</c:v>
                </c:pt>
                <c:pt idx="13">
                  <c:v>-40738.043412254818</c:v>
                </c:pt>
                <c:pt idx="14">
                  <c:v>-43011.390703574594</c:v>
                </c:pt>
                <c:pt idx="15">
                  <c:v>-45383.413007468087</c:v>
                </c:pt>
                <c:pt idx="16">
                  <c:v>-47726.630493600467</c:v>
                </c:pt>
                <c:pt idx="17">
                  <c:v>-50457.725010278489</c:v>
                </c:pt>
                <c:pt idx="18">
                  <c:v>-53161.629679326375</c:v>
                </c:pt>
                <c:pt idx="19">
                  <c:v>-55984.036412450601</c:v>
                </c:pt>
                <c:pt idx="20">
                  <c:v>-58929.645303273799</c:v>
                </c:pt>
                <c:pt idx="21">
                  <c:v>-62003.332093641038</c:v>
                </c:pt>
                <c:pt idx="22">
                  <c:v>-65210.154486458239</c:v>
                </c:pt>
                <c:pt idx="23">
                  <c:v>-68555.358679185316</c:v>
                </c:pt>
                <c:pt idx="24">
                  <c:v>-72044.38612556603</c:v>
                </c:pt>
                <c:pt idx="25">
                  <c:v>-75682.880533424424</c:v>
                </c:pt>
                <c:pt idx="26">
                  <c:v>-79476.695106618281</c:v>
                </c:pt>
                <c:pt idx="27">
                  <c:v>-83431.900039508299</c:v>
                </c:pt>
                <c:pt idx="28">
                  <c:v>-87553.91285474677</c:v>
                </c:pt>
                <c:pt idx="29">
                  <c:v>-91839.734949704347</c:v>
                </c:pt>
              </c:numCache>
            </c:numRef>
          </c:val>
          <c:extLst>
            <c:ext xmlns:c16="http://schemas.microsoft.com/office/drawing/2014/chart" uri="{C3380CC4-5D6E-409C-BE32-E72D297353CC}">
              <c16:uniqueId val="{00000005-AD9A-5C43-A4E1-8371B652BC3F}"/>
            </c:ext>
          </c:extLst>
        </c:ser>
        <c:dLbls>
          <c:showLegendKey val="0"/>
          <c:showVal val="0"/>
          <c:showCatName val="0"/>
          <c:showSerName val="0"/>
          <c:showPercent val="0"/>
          <c:showBubbleSize val="0"/>
        </c:dLbls>
        <c:gapWidth val="150"/>
        <c:overlap val="100"/>
        <c:axId val="206438784"/>
        <c:axId val="206440320"/>
      </c:barChart>
      <c:catAx>
        <c:axId val="206438784"/>
        <c:scaling>
          <c:orientation val="minMax"/>
        </c:scaling>
        <c:delete val="0"/>
        <c:axPos val="b"/>
        <c:numFmt formatCode="0" sourceLinked="1"/>
        <c:majorTickMark val="out"/>
        <c:minorTickMark val="none"/>
        <c:tickLblPos val="nextTo"/>
        <c:crossAx val="206440320"/>
        <c:crosses val="autoZero"/>
        <c:auto val="1"/>
        <c:lblAlgn val="ctr"/>
        <c:lblOffset val="100"/>
        <c:noMultiLvlLbl val="0"/>
      </c:catAx>
      <c:valAx>
        <c:axId val="206440320"/>
        <c:scaling>
          <c:orientation val="minMax"/>
        </c:scaling>
        <c:delete val="0"/>
        <c:axPos val="l"/>
        <c:numFmt formatCode="_(* #,##0_);_(* \(#,##0\);_(* &quot;-&quot;??_);_(@_)" sourceLinked="1"/>
        <c:majorTickMark val="out"/>
        <c:minorTickMark val="none"/>
        <c:tickLblPos val="nextTo"/>
        <c:crossAx val="206438784"/>
        <c:crosses val="autoZero"/>
        <c:crossBetween val="between"/>
        <c:dispUnits>
          <c:builtInUnit val="thousands"/>
          <c:dispUnitsLbl>
            <c:layout>
              <c:manualLayout>
                <c:xMode val="edge"/>
                <c:yMode val="edge"/>
                <c:x val="1.5048908954100828E-2"/>
                <c:y val="0.41308122035205586"/>
              </c:manualLayout>
            </c:layout>
            <c:tx>
              <c:strRef>
                <c:f>'Charts - Freight'!$E$134</c:f>
                <c:strCache>
                  <c:ptCount val="1"/>
                  <c:pt idx="0">
                    <c:v>R$ millions</c:v>
                  </c:pt>
                </c:strCache>
              </c:strRef>
            </c:tx>
          </c:dispUnitsLbl>
        </c:dispUnits>
      </c:valAx>
    </c:plotArea>
    <c:legend>
      <c:legendPos val="b"/>
      <c:overlay val="0"/>
    </c:legend>
    <c:plotVisOnly val="1"/>
    <c:dispBlanksAs val="gap"/>
    <c:showDLblsOverMax val="0"/>
  </c:chart>
  <c:spPr>
    <a:solidFill>
      <a:schemeClr val="lt1"/>
    </a:solidFill>
    <a:ln w="25400" cap="flat" cmpd="sng" algn="ctr">
      <a:solidFill>
        <a:srgbClr val="92D050"/>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Drop" dropStyle="combo" dx="15" fmlaLink="$E$10" fmlaRange="$G$10:$G$11" sel="2" val="0"/>
</file>

<file path=xl/ctrlProps/ctrlProp2.xml><?xml version="1.0" encoding="utf-8"?>
<formControlPr xmlns="http://schemas.microsoft.com/office/spreadsheetml/2009/9/main" objectType="CheckBox" checked="Checked" fmlaLink="$H$10" lockText="1"/>
</file>

<file path=xl/ctrlProps/ctrlProp3.xml><?xml version="1.0" encoding="utf-8"?>
<formControlPr xmlns="http://schemas.microsoft.com/office/spreadsheetml/2009/9/main" objectType="CheckBox" checked="Checked" fmlaLink="$H$11" lockText="1"/>
</file>

<file path=xl/ctrlProps/ctrlProp4.xml><?xml version="1.0" encoding="utf-8"?>
<formControlPr xmlns="http://schemas.microsoft.com/office/spreadsheetml/2009/9/main" objectType="CheckBox" checked="Checked" fmlaLink="$H$13" lockText="1"/>
</file>

<file path=xl/ctrlProps/ctrlProp5.xml><?xml version="1.0" encoding="utf-8"?>
<formControlPr xmlns="http://schemas.microsoft.com/office/spreadsheetml/2009/9/main" objectType="Scroll" dx="16" fmlaLink="$F$37" horiz="1" max="100" page="10" val="100"/>
</file>

<file path=xl/ctrlProps/ctrlProp6.xml><?xml version="1.0" encoding="utf-8"?>
<formControlPr xmlns="http://schemas.microsoft.com/office/spreadsheetml/2009/9/main" objectType="Scroll" dx="16" fmlaLink="$F$34" horiz="1" max="100" page="10" val="100"/>
</file>

<file path=xl/ctrlProps/ctrlProp7.xml><?xml version="1.0" encoding="utf-8"?>
<formControlPr xmlns="http://schemas.microsoft.com/office/spreadsheetml/2009/9/main" objectType="Scroll" dx="16" fmlaLink="$F$45" horiz="1" max="100" page="10" val="100"/>
</file>

<file path=xl/ctrlProps/ctrlProp8.xml><?xml version="1.0" encoding="utf-8"?>
<formControlPr xmlns="http://schemas.microsoft.com/office/spreadsheetml/2009/9/main" objectType="Scroll" dx="16" fmlaLink="$F$47" horiz="1" max="100" page="10" val="100"/>
</file>

<file path=xl/ctrlProps/ctrlProp9.xml><?xml version="1.0" encoding="utf-8"?>
<formControlPr xmlns="http://schemas.microsoft.com/office/spreadsheetml/2009/9/main" objectType="Drop" dropStyle="combo" dx="15" fmlaLink="$E$25" fmlaRange="$F$25:$F$26" sel="1" val="0"/>
</file>

<file path=xl/ctrlProps/ctrlProp10.xml><?xml version="1.0" encoding="utf-8"?>
<formControlPr xmlns="http://schemas.microsoft.com/office/spreadsheetml/2009/9/main" objectType="Scroll" dx="16" fmlaLink="$F$64" horiz="1" max="100" page="10" val="100"/>
</file>

<file path=xl/ctrlProps/ctrlProp11.xml><?xml version="1.0" encoding="utf-8"?>
<formControlPr xmlns="http://schemas.microsoft.com/office/spreadsheetml/2009/9/main" objectType="Scroll" dx="16" fmlaLink="$F$73" horiz="1" max="100" page="10" val="100"/>
</file>

<file path=xl/ctrlProps/ctrlProp12.xml><?xml version="1.0" encoding="utf-8"?>
<formControlPr xmlns="http://schemas.microsoft.com/office/spreadsheetml/2009/9/main" objectType="Scroll" dx="16" fmlaLink="$F$82" horiz="1" max="100" page="10" val="100"/>
</file>

<file path=xl/ctrlProps/ctrlProp13.xml><?xml version="1.0" encoding="utf-8"?>
<formControlPr xmlns="http://schemas.microsoft.com/office/spreadsheetml/2009/9/main" objectType="Drop" dropStyle="combo" dx="15" fmlaLink="$E$57" fmlaRange="$F$57:$F$58" sel="1" val="0"/>
</file>

<file path=xl/ctrlProps/ctrlProp14.xml><?xml version="1.0" encoding="utf-8"?>
<formControlPr xmlns="http://schemas.microsoft.com/office/spreadsheetml/2009/9/main" objectType="Scroll" dx="16" fmlaLink="$F$93" horiz="1" max="1000" page="10" val="130"/>
</file>

<file path=xl/ctrlProps/ctrlProp15.xml><?xml version="1.0" encoding="utf-8"?>
<formControlPr xmlns="http://schemas.microsoft.com/office/spreadsheetml/2009/9/main" objectType="Scroll" dx="16" fmlaLink="$F$94" horiz="1" max="100" page="10" val="70"/>
</file>

<file path=xl/ctrlProps/ctrlProp16.xml><?xml version="1.0" encoding="utf-8"?>
<formControlPr xmlns="http://schemas.microsoft.com/office/spreadsheetml/2009/9/main" objectType="Drop" dropStyle="combo" dx="15" fmlaLink="$E$107" fmlaRange="$F$106:$F$107" sel="1" val="0"/>
</file>

<file path=xl/ctrlProps/ctrlProp17.xml><?xml version="1.0" encoding="utf-8"?>
<formControlPr xmlns="http://schemas.microsoft.com/office/spreadsheetml/2009/9/main" objectType="Spin" dx="16" fmlaLink="#REF!" max="1000" page="10" val="10"/>
</file>

<file path=xl/ctrlProps/ctrlProp18.xml><?xml version="1.0" encoding="utf-8"?>
<formControlPr xmlns="http://schemas.microsoft.com/office/spreadsheetml/2009/9/main" objectType="Spin" dx="16" fmlaLink="#REF!" max="1000" page="10" val="422"/>
</file>

<file path=xl/ctrlProps/ctrlProp19.xml><?xml version="1.0" encoding="utf-8"?>
<formControlPr xmlns="http://schemas.microsoft.com/office/spreadsheetml/2009/9/main" objectType="Spin" dx="16" fmlaLink="#REF!" inc="100" max="30000" page="10" val="1000"/>
</file>

<file path=xl/ctrlProps/ctrlProp20.xml><?xml version="1.0" encoding="utf-8"?>
<formControlPr xmlns="http://schemas.microsoft.com/office/spreadsheetml/2009/9/main" objectType="Spin" dx="16" fmlaLink="#REF!" inc="5" max="1000" page="10" val="6"/>
</file>

<file path=xl/ctrlProps/ctrlProp21.xml><?xml version="1.0" encoding="utf-8"?>
<formControlPr xmlns="http://schemas.microsoft.com/office/spreadsheetml/2009/9/main" objectType="Spin" dx="16" fmlaLink="#REF!" max="1000" page="10" val="12"/>
</file>

<file path=xl/ctrlProps/ctrlProp22.xml><?xml version="1.0" encoding="utf-8"?>
<formControlPr xmlns="http://schemas.microsoft.com/office/spreadsheetml/2009/9/main" objectType="Spin" dx="16" fmlaLink="#REF!" max="1000" page="10" val="26"/>
</file>

<file path=xl/ctrlProps/ctrlProp23.xml><?xml version="1.0" encoding="utf-8"?>
<formControlPr xmlns="http://schemas.microsoft.com/office/spreadsheetml/2009/9/main" objectType="Spin" dx="16" fmlaLink="#REF!" max="1000" page="10" val="41"/>
</file>

<file path=xl/ctrlProps/ctrlProp24.xml><?xml version="1.0" encoding="utf-8"?>
<formControlPr xmlns="http://schemas.microsoft.com/office/spreadsheetml/2009/9/main" objectType="Spin" dx="16" fmlaLink="#REF!" max="1000" page="10" val="20"/>
</file>

<file path=xl/ctrlProps/ctrlProp25.xml><?xml version="1.0" encoding="utf-8"?>
<formControlPr xmlns="http://schemas.microsoft.com/office/spreadsheetml/2009/9/main" objectType="Spin" dx="16" fmlaLink="#REF!" max="1000" page="10" val="30"/>
</file>

<file path=xl/ctrlProps/ctrlProp26.xml><?xml version="1.0" encoding="utf-8"?>
<formControlPr xmlns="http://schemas.microsoft.com/office/spreadsheetml/2009/9/main" objectType="Spin" dx="16" fmlaLink="#REF!" inc="100" max="30000" page="10" val="1000"/>
</file>

<file path=xl/ctrlProps/ctrlProp27.xml><?xml version="1.0" encoding="utf-8"?>
<formControlPr xmlns="http://schemas.microsoft.com/office/spreadsheetml/2009/9/main" objectType="Spin" dx="16" fmlaLink="#REF!" max="1000" page="10" val="10"/>
</file>

<file path=xl/ctrlProps/ctrlProp28.xml><?xml version="1.0" encoding="utf-8"?>
<formControlPr xmlns="http://schemas.microsoft.com/office/spreadsheetml/2009/9/main" objectType="Spin" dx="16" fmlaLink="#REF!" max="1000" page="10" val="422"/>
</file>

<file path=xl/ctrlProps/ctrlProp29.xml><?xml version="1.0" encoding="utf-8"?>
<formControlPr xmlns="http://schemas.microsoft.com/office/spreadsheetml/2009/9/main" objectType="Spin" dx="16" fmlaLink="#REF!" inc="100" max="30000" page="10" val="1000"/>
</file>

<file path=xl/ctrlProps/ctrlProp30.xml><?xml version="1.0" encoding="utf-8"?>
<formControlPr xmlns="http://schemas.microsoft.com/office/spreadsheetml/2009/9/main" objectType="Spin" dx="16" fmlaLink="#REF!" inc="5" max="1000" page="10" val="6"/>
</file>

<file path=xl/ctrlProps/ctrlProp31.xml><?xml version="1.0" encoding="utf-8"?>
<formControlPr xmlns="http://schemas.microsoft.com/office/spreadsheetml/2009/9/main" objectType="Spin" dx="16" fmlaLink="#REF!" max="1000" page="10" val="12"/>
</file>

<file path=xl/ctrlProps/ctrlProp32.xml><?xml version="1.0" encoding="utf-8"?>
<formControlPr xmlns="http://schemas.microsoft.com/office/spreadsheetml/2009/9/main" objectType="Spin" dx="16" fmlaLink="#REF!" max="1000" page="10" val="26"/>
</file>

<file path=xl/ctrlProps/ctrlProp33.xml><?xml version="1.0" encoding="utf-8"?>
<formControlPr xmlns="http://schemas.microsoft.com/office/spreadsheetml/2009/9/main" objectType="Spin" dx="16" fmlaLink="#REF!" max="1000" page="10" val="41"/>
</file>

<file path=xl/ctrlProps/ctrlProp34.xml><?xml version="1.0" encoding="utf-8"?>
<formControlPr xmlns="http://schemas.microsoft.com/office/spreadsheetml/2009/9/main" objectType="Spin" dx="16" fmlaLink="#REF!" max="1000" page="10" val="20"/>
</file>

<file path=xl/ctrlProps/ctrlProp35.xml><?xml version="1.0" encoding="utf-8"?>
<formControlPr xmlns="http://schemas.microsoft.com/office/spreadsheetml/2009/9/main" objectType="Spin" dx="16" fmlaLink="#REF!" max="1000" page="10" val="30"/>
</file>

<file path=xl/ctrlProps/ctrlProp36.xml><?xml version="1.0" encoding="utf-8"?>
<formControlPr xmlns="http://schemas.microsoft.com/office/spreadsheetml/2009/9/main" objectType="Spin" dx="16" fmlaLink="#REF!" inc="100" max="30000" page="10" val="1000"/>
</file>

<file path=xl/ctrlProps/ctrlProp37.xml><?xml version="1.0" encoding="utf-8"?>
<formControlPr xmlns="http://schemas.microsoft.com/office/spreadsheetml/2009/9/main" objectType="Spin" dx="16" fmlaLink="#REF!" max="1000" page="10" val="10"/>
</file>

<file path=xl/ctrlProps/ctrlProp38.xml><?xml version="1.0" encoding="utf-8"?>
<formControlPr xmlns="http://schemas.microsoft.com/office/spreadsheetml/2009/9/main" objectType="Spin" dx="16" fmlaLink="#REF!" max="1000" page="10" val="422"/>
</file>

<file path=xl/ctrlProps/ctrlProp39.xml><?xml version="1.0" encoding="utf-8"?>
<formControlPr xmlns="http://schemas.microsoft.com/office/spreadsheetml/2009/9/main" objectType="Spin" dx="16" fmlaLink="#REF!" inc="100" max="30000" page="10" val="1000"/>
</file>

<file path=xl/ctrlProps/ctrlProp40.xml><?xml version="1.0" encoding="utf-8"?>
<formControlPr xmlns="http://schemas.microsoft.com/office/spreadsheetml/2009/9/main" objectType="Spin" dx="16" fmlaLink="#REF!" inc="5" max="1000" page="10" val="6"/>
</file>

<file path=xl/ctrlProps/ctrlProp41.xml><?xml version="1.0" encoding="utf-8"?>
<formControlPr xmlns="http://schemas.microsoft.com/office/spreadsheetml/2009/9/main" objectType="Spin" dx="16" fmlaLink="#REF!" max="1000" page="10" val="12"/>
</file>

<file path=xl/ctrlProps/ctrlProp42.xml><?xml version="1.0" encoding="utf-8"?>
<formControlPr xmlns="http://schemas.microsoft.com/office/spreadsheetml/2009/9/main" objectType="Spin" dx="16" fmlaLink="#REF!" max="1000" page="10" val="26"/>
</file>

<file path=xl/ctrlProps/ctrlProp43.xml><?xml version="1.0" encoding="utf-8"?>
<formControlPr xmlns="http://schemas.microsoft.com/office/spreadsheetml/2009/9/main" objectType="Spin" dx="16" fmlaLink="#REF!" max="1000" page="10" val="41"/>
</file>

<file path=xl/ctrlProps/ctrlProp44.xml><?xml version="1.0" encoding="utf-8"?>
<formControlPr xmlns="http://schemas.microsoft.com/office/spreadsheetml/2009/9/main" objectType="Spin" dx="16" fmlaLink="#REF!" max="1000" page="10" val="20"/>
</file>

<file path=xl/ctrlProps/ctrlProp45.xml><?xml version="1.0" encoding="utf-8"?>
<formControlPr xmlns="http://schemas.microsoft.com/office/spreadsheetml/2009/9/main" objectType="Spin" dx="16" fmlaLink="#REF!" max="1000" page="10" val="30"/>
</file>

<file path=xl/ctrlProps/ctrlProp46.xml><?xml version="1.0" encoding="utf-8"?>
<formControlPr xmlns="http://schemas.microsoft.com/office/spreadsheetml/2009/9/main" objectType="Spin" dx="16" fmlaLink="#REF!" inc="100" max="30000" page="10" val="1000"/>
</file>

<file path=xl/ctrlProps/ctrlProp47.xml><?xml version="1.0" encoding="utf-8"?>
<formControlPr xmlns="http://schemas.microsoft.com/office/spreadsheetml/2009/9/main" objectType="Drop" dropStyle="combo" dx="15" fmlaLink="$F$3" fmlaRange="$A$4:$A$5" sel="2" val="0"/>
</file>

<file path=xl/ctrlProps/ctrlProp48.xml><?xml version="1.0" encoding="utf-8"?>
<formControlPr xmlns="http://schemas.microsoft.com/office/spreadsheetml/2009/9/main" objectType="Spin" dx="16" fmlaLink="$H$30" inc="10" max="1000" page="10" val="100"/>
</file>

<file path=xl/ctrlProps/ctrlProp49.xml><?xml version="1.0" encoding="utf-8"?>
<formControlPr xmlns="http://schemas.microsoft.com/office/spreadsheetml/2009/9/main" objectType="Spin" dx="16" fmlaLink="$I$30" inc="10" max="1000" page="10" val="100"/>
</file>

<file path=xl/ctrlProps/ctrlProp50.xml><?xml version="1.0" encoding="utf-8"?>
<formControlPr xmlns="http://schemas.microsoft.com/office/spreadsheetml/2009/9/main" objectType="Spin" dx="16" fmlaLink="$F$30" max="100" page="10" val="13"/>
</file>

<file path=xl/ctrlProps/ctrlProp51.xml><?xml version="1.0" encoding="utf-8"?>
<formControlPr xmlns="http://schemas.microsoft.com/office/spreadsheetml/2009/9/main" objectType="Spin" dx="16" fmlaLink="$D$30" max="100" page="10" val="12"/>
</file>

<file path=xl/ctrlProps/ctrlProp52.xml><?xml version="1.0" encoding="utf-8"?>
<formControlPr xmlns="http://schemas.microsoft.com/office/spreadsheetml/2009/9/main" objectType="Spin" dx="16" fmlaLink="$E$30" max="1000" page="10" val="25"/>
</file>

<file path=xl/ctrlProps/ctrlProp53.xml><?xml version="1.0" encoding="utf-8"?>
<formControlPr xmlns="http://schemas.microsoft.com/office/spreadsheetml/2009/9/main" objectType="Spin" dx="16" fmlaLink="$G$30" max="1000" page="10" val="10"/>
</file>

<file path=xl/ctrlProps/ctrlProp54.xml><?xml version="1.0" encoding="utf-8"?>
<formControlPr xmlns="http://schemas.microsoft.com/office/spreadsheetml/2009/9/main" objectType="Drop" dropStyle="combo" dx="15" fmlaLink="$D$20" fmlaRange="$A$4:$A$5" sel="2" val="0"/>
</file>

<file path=xl/ctrlProps/ctrlProp55.xml><?xml version="1.0" encoding="utf-8"?>
<formControlPr xmlns="http://schemas.microsoft.com/office/spreadsheetml/2009/9/main" objectType="Drop" dropStyle="combo" dx="15" fmlaLink="$E$20" fmlaRange="$A$4:$A$5" sel="2" val="0"/>
</file>

<file path=xl/ctrlProps/ctrlProp56.xml><?xml version="1.0" encoding="utf-8"?>
<formControlPr xmlns="http://schemas.microsoft.com/office/spreadsheetml/2009/9/main" objectType="Drop" dropStyle="combo" dx="15" fmlaLink="$F$20" fmlaRange="$A$4:$A$5" sel="2" val="0"/>
</file>

<file path=xl/ctrlProps/ctrlProp57.xml><?xml version="1.0" encoding="utf-8"?>
<formControlPr xmlns="http://schemas.microsoft.com/office/spreadsheetml/2009/9/main" objectType="Drop" dropStyle="combo" dx="15" fmlaLink="$G$20" fmlaRange="$A$4:$A$5" sel="2" val="0"/>
</file>

<file path=xl/ctrlProps/ctrlProp58.xml><?xml version="1.0" encoding="utf-8"?>
<formControlPr xmlns="http://schemas.microsoft.com/office/spreadsheetml/2009/9/main" objectType="Drop" dropStyle="combo" dx="15" fmlaLink="$H$20" fmlaRange="$A$4:$A$5" sel="2" val="0"/>
</file>

<file path=xl/ctrlProps/ctrlProp59.xml><?xml version="1.0" encoding="utf-8"?>
<formControlPr xmlns="http://schemas.microsoft.com/office/spreadsheetml/2009/9/main" objectType="Drop" dropStyle="combo" dx="15" fmlaLink="$I$20" fmlaRange="$A$4:$A$5" sel="2" val="0"/>
</file>

<file path=xl/ctrlProps/ctrlProp60.xml><?xml version="1.0" encoding="utf-8"?>
<formControlPr xmlns="http://schemas.microsoft.com/office/spreadsheetml/2009/9/main" objectType="Spin" dx="16" fmlaLink="#REF!" max="1000" page="10" val="10"/>
</file>

<file path=xl/ctrlProps/ctrlProp61.xml><?xml version="1.0" encoding="utf-8"?>
<formControlPr xmlns="http://schemas.microsoft.com/office/spreadsheetml/2009/9/main" objectType="Spin" dx="16" fmlaLink="#REF!" max="1000" page="10" val="422"/>
</file>

<file path=xl/ctrlProps/ctrlProp62.xml><?xml version="1.0" encoding="utf-8"?>
<formControlPr xmlns="http://schemas.microsoft.com/office/spreadsheetml/2009/9/main" objectType="Spin" dx="16" fmlaLink="#REF!" inc="100" max="30000" page="10" val="1000"/>
</file>

<file path=xl/ctrlProps/ctrlProp63.xml><?xml version="1.0" encoding="utf-8"?>
<formControlPr xmlns="http://schemas.microsoft.com/office/spreadsheetml/2009/9/main" objectType="Spin" dx="16" fmlaLink="#REF!" inc="5" max="1000" page="10" val="6"/>
</file>

<file path=xl/ctrlProps/ctrlProp64.xml><?xml version="1.0" encoding="utf-8"?>
<formControlPr xmlns="http://schemas.microsoft.com/office/spreadsheetml/2009/9/main" objectType="Spin" dx="16" fmlaLink="#REF!" max="1000" page="10" val="12"/>
</file>

<file path=xl/ctrlProps/ctrlProp65.xml><?xml version="1.0" encoding="utf-8"?>
<formControlPr xmlns="http://schemas.microsoft.com/office/spreadsheetml/2009/9/main" objectType="Spin" dx="16" fmlaLink="#REF!" max="1000" page="10" val="26"/>
</file>

<file path=xl/ctrlProps/ctrlProp66.xml><?xml version="1.0" encoding="utf-8"?>
<formControlPr xmlns="http://schemas.microsoft.com/office/spreadsheetml/2009/9/main" objectType="Spin" dx="16" fmlaLink="#REF!" max="1000" page="10" val="41"/>
</file>

<file path=xl/ctrlProps/ctrlProp67.xml><?xml version="1.0" encoding="utf-8"?>
<formControlPr xmlns="http://schemas.microsoft.com/office/spreadsheetml/2009/9/main" objectType="Spin" dx="16" fmlaLink="#REF!" max="1000" page="10" val="20"/>
</file>

<file path=xl/ctrlProps/ctrlProp68.xml><?xml version="1.0" encoding="utf-8"?>
<formControlPr xmlns="http://schemas.microsoft.com/office/spreadsheetml/2009/9/main" objectType="Spin" dx="16" fmlaLink="#REF!" max="1000" page="10" val="30"/>
</file>

<file path=xl/ctrlProps/ctrlProp69.xml><?xml version="1.0" encoding="utf-8"?>
<formControlPr xmlns="http://schemas.microsoft.com/office/spreadsheetml/2009/9/main" objectType="Spin" dx="16" fmlaLink="#REF!" inc="100" max="30000" page="10" val="1000"/>
</file>

<file path=xl/ctrlProps/ctrlProp70.xml><?xml version="1.0" encoding="utf-8"?>
<formControlPr xmlns="http://schemas.microsoft.com/office/spreadsheetml/2009/9/main" objectType="Spin" dx="16" fmlaLink="#REF!" inc="10" max="1000" page="10" val="560"/>
</file>

<file path=xl/ctrlProps/ctrlProp71.xml><?xml version="1.0" encoding="utf-8"?>
<formControlPr xmlns="http://schemas.microsoft.com/office/spreadsheetml/2009/9/main" objectType="Spin" dx="16" fmlaLink="#REF!" inc="10" max="1000" page="10" val="260"/>
</file>

<file path=xl/ctrlProps/ctrlProp72.xml><?xml version="1.0" encoding="utf-8"?>
<formControlPr xmlns="http://schemas.microsoft.com/office/spreadsheetml/2009/9/main" objectType="Spin" dx="16" fmlaLink="#REF!" max="100" page="10" val="21"/>
</file>

<file path=xl/ctrlProps/ctrlProp73.xml><?xml version="1.0" encoding="utf-8"?>
<formControlPr xmlns="http://schemas.microsoft.com/office/spreadsheetml/2009/9/main" objectType="Spin" dx="16" fmlaLink="#REF!" max="100" page="10" val="27"/>
</file>

<file path=xl/ctrlProps/ctrlProp74.xml><?xml version="1.0" encoding="utf-8"?>
<formControlPr xmlns="http://schemas.microsoft.com/office/spreadsheetml/2009/9/main" objectType="Spin" dx="16" fmlaLink="#REF!" max="1000" page="10" val="82"/>
</file>

<file path=xl/ctrlProps/ctrlProp75.xml><?xml version="1.0" encoding="utf-8"?>
<formControlPr xmlns="http://schemas.microsoft.com/office/spreadsheetml/2009/9/main" objectType="Spin" dx="16" fmlaLink="#REF!" max="1000" page="10" val="109"/>
</file>

<file path=xl/ctrlProps/ctrlProp76.xml><?xml version="1.0" encoding="utf-8"?>
<formControlPr xmlns="http://schemas.microsoft.com/office/spreadsheetml/2009/9/main" objectType="Spin" dx="16" fmlaLink="#REF!" inc="10" max="1000" page="10" val="230"/>
</file>

<file path=xl/ctrlProps/ctrlProp77.xml><?xml version="1.0" encoding="utf-8"?>
<formControlPr xmlns="http://schemas.microsoft.com/office/spreadsheetml/2009/9/main" objectType="Spin" dx="16" fmlaLink="#REF!" inc="10" max="1000" page="10" val="210"/>
</file>

<file path=xl/ctrlProps/ctrlProp78.xml><?xml version="1.0" encoding="utf-8"?>
<formControlPr xmlns="http://schemas.microsoft.com/office/spreadsheetml/2009/9/main" objectType="Spin" dx="16" fmlaLink="#REF!" max="100" page="10" val="16"/>
</file>

<file path=xl/ctrlProps/ctrlProp79.xml><?xml version="1.0" encoding="utf-8"?>
<formControlPr xmlns="http://schemas.microsoft.com/office/spreadsheetml/2009/9/main" objectType="Spin" dx="16" fmlaLink="#REF!" max="100" page="10" val="22"/>
</file>

<file path=xl/ctrlProps/ctrlProp80.xml><?xml version="1.0" encoding="utf-8"?>
<formControlPr xmlns="http://schemas.microsoft.com/office/spreadsheetml/2009/9/main" objectType="Spin" dx="16" fmlaLink="#REF!" max="1000" page="10" val="76"/>
</file>

<file path=xl/ctrlProps/ctrlProp81.xml><?xml version="1.0" encoding="utf-8"?>
<formControlPr xmlns="http://schemas.microsoft.com/office/spreadsheetml/2009/9/main" objectType="Spin" dx="16" fmlaLink="#REF!" max="1000" page="10" val="42"/>
</file>

<file path=xl/ctrlProps/ctrlProp82.xml><?xml version="1.0" encoding="utf-8"?>
<formControlPr xmlns="http://schemas.microsoft.com/office/spreadsheetml/2009/9/main" objectType="Spin" dx="16" fmlaLink="#REF!" inc="10" max="1000" page="10" val="100"/>
</file>

<file path=xl/ctrlProps/ctrlProp83.xml><?xml version="1.0" encoding="utf-8"?>
<formControlPr xmlns="http://schemas.microsoft.com/office/spreadsheetml/2009/9/main" objectType="Spin" dx="16" fmlaLink="#REF!" inc="10" max="1000" page="10" val="1000"/>
</file>

<file path=xl/ctrlProps/ctrlProp84.xml><?xml version="1.0" encoding="utf-8"?>
<formControlPr xmlns="http://schemas.microsoft.com/office/spreadsheetml/2009/9/main" objectType="Spin" dx="16" fmlaLink="#REF!" max="100" page="10" val="4"/>
</file>

<file path=xl/ctrlProps/ctrlProp85.xml><?xml version="1.0" encoding="utf-8"?>
<formControlPr xmlns="http://schemas.microsoft.com/office/spreadsheetml/2009/9/main" objectType="Spin" dx="16" fmlaLink="#REF!" max="100" page="10" val="14"/>
</file>

<file path=xl/ctrlProps/ctrlProp86.xml><?xml version="1.0" encoding="utf-8"?>
<formControlPr xmlns="http://schemas.microsoft.com/office/spreadsheetml/2009/9/main" objectType="Spin" dx="16" fmlaLink="#REF!" max="1000" page="10" val="21"/>
</file>

<file path=xl/ctrlProps/ctrlProp87.xml><?xml version="1.0" encoding="utf-8"?>
<formControlPr xmlns="http://schemas.microsoft.com/office/spreadsheetml/2009/9/main" objectType="Spin" dx="16" fmlaLink="#REF!" max="1000" page="10" val="41"/>
</file>

<file path=xl/ctrlProps/ctrlProp88.xml><?xml version="1.0" encoding="utf-8"?>
<formControlPr xmlns="http://schemas.microsoft.com/office/spreadsheetml/2009/9/main" objectType="Drop" dropStyle="combo" dx="15" fmlaLink="$F$3" fmlaRange="$A$4:$A$5" sel="2" val="0"/>
</file>

<file path=xl/ctrlProps/ctrlProp89.xml><?xml version="1.0" encoding="utf-8"?>
<formControlPr xmlns="http://schemas.microsoft.com/office/spreadsheetml/2009/9/main" objectType="Spin" dx="16" fmlaLink="$H$30" inc="10" max="1000" page="10" val="100"/>
</file>

<file path=xl/ctrlProps/ctrlProp90.xml><?xml version="1.0" encoding="utf-8"?>
<formControlPr xmlns="http://schemas.microsoft.com/office/spreadsheetml/2009/9/main" objectType="Spin" dx="16" fmlaLink="$I$30" inc="10" max="1000" page="10" val="100"/>
</file>

<file path=xl/ctrlProps/ctrlProp91.xml><?xml version="1.0" encoding="utf-8"?>
<formControlPr xmlns="http://schemas.microsoft.com/office/spreadsheetml/2009/9/main" objectType="Spin" dx="16" fmlaLink="$F$30" max="100" page="10" val="10"/>
</file>

<file path=xl/ctrlProps/ctrlProp92.xml><?xml version="1.0" encoding="utf-8"?>
<formControlPr xmlns="http://schemas.microsoft.com/office/spreadsheetml/2009/9/main" objectType="Spin" dx="16" fmlaLink="$D$30" max="100" page="10" val="10"/>
</file>

<file path=xl/ctrlProps/ctrlProp93.xml><?xml version="1.0" encoding="utf-8"?>
<formControlPr xmlns="http://schemas.microsoft.com/office/spreadsheetml/2009/9/main" objectType="Spin" dx="16" fmlaLink="$E$30" max="1000" page="10" val="10"/>
</file>

<file path=xl/ctrlProps/ctrlProp94.xml><?xml version="1.0" encoding="utf-8"?>
<formControlPr xmlns="http://schemas.microsoft.com/office/spreadsheetml/2009/9/main" objectType="Spin" dx="16" fmlaLink="$G$30" max="1000" page="10" val="10"/>
</file>

<file path=xl/ctrlProps/ctrlProp95.xml><?xml version="1.0" encoding="utf-8"?>
<formControlPr xmlns="http://schemas.microsoft.com/office/spreadsheetml/2009/9/main" objectType="Drop" dropStyle="combo" dx="15" fmlaLink="$D$20" fmlaRange="$A$4:$A$5" sel="2" val="0"/>
</file>

<file path=xl/ctrlProps/ctrlProp96.xml><?xml version="1.0" encoding="utf-8"?>
<formControlPr xmlns="http://schemas.microsoft.com/office/spreadsheetml/2009/9/main" objectType="Drop" dropStyle="combo" dx="15" fmlaLink="$E$20" fmlaRange="$A$4:$A$5" sel="2" val="0"/>
</file>

<file path=xl/ctrlProps/ctrlProp97.xml><?xml version="1.0" encoding="utf-8"?>
<formControlPr xmlns="http://schemas.microsoft.com/office/spreadsheetml/2009/9/main" objectType="Drop" dropStyle="combo" dx="15" fmlaLink="$F$20" fmlaRange="$A$4:$A$5" sel="2" val="0"/>
</file>

<file path=xl/ctrlProps/ctrlProp98.xml><?xml version="1.0" encoding="utf-8"?>
<formControlPr xmlns="http://schemas.microsoft.com/office/spreadsheetml/2009/9/main" objectType="Drop" dropStyle="combo" dx="15" fmlaLink="$G$20" fmlaRange="$A$4:$A$5" sel="2" val="0"/>
</file>

<file path=xl/ctrlProps/ctrlProp99.xml><?xml version="1.0" encoding="utf-8"?>
<formControlPr xmlns="http://schemas.microsoft.com/office/spreadsheetml/2009/9/main" objectType="Drop" dropStyle="combo" dx="15" fmlaLink="$H$20" fmlaRange="$A$4:$A$5" sel="2" val="0"/>
</file>

<file path=xl/ctrlProps/ctrlProp100.xml><?xml version="1.0" encoding="utf-8"?>
<formControlPr xmlns="http://schemas.microsoft.com/office/spreadsheetml/2009/9/main" objectType="Drop" dropStyle="combo" dx="15" fmlaLink="$I$20" fmlaRange="$A$4:$A$5" sel="2" val="0"/>
</file>

<file path=xl/ctrlProps/ctrlProp101.xml><?xml version="1.0" encoding="utf-8"?>
<formControlPr xmlns="http://schemas.microsoft.com/office/spreadsheetml/2009/9/main" objectType="Spin" dx="16" fmlaLink="#REF!" max="1000" page="10" val="10"/>
</file>

<file path=xl/ctrlProps/ctrlProp102.xml><?xml version="1.0" encoding="utf-8"?>
<formControlPr xmlns="http://schemas.microsoft.com/office/spreadsheetml/2009/9/main" objectType="Spin" dx="16" fmlaLink="#REF!" max="1000" page="10" val="422"/>
</file>

<file path=xl/ctrlProps/ctrlProp103.xml><?xml version="1.0" encoding="utf-8"?>
<formControlPr xmlns="http://schemas.microsoft.com/office/spreadsheetml/2009/9/main" objectType="Spin" dx="16" fmlaLink="#REF!" inc="100" max="30000" page="10" val="1000"/>
</file>

<file path=xl/ctrlProps/ctrlProp104.xml><?xml version="1.0" encoding="utf-8"?>
<formControlPr xmlns="http://schemas.microsoft.com/office/spreadsheetml/2009/9/main" objectType="Spin" dx="16" fmlaLink="#REF!" inc="5" max="1000" page="10" val="6"/>
</file>

<file path=xl/ctrlProps/ctrlProp105.xml><?xml version="1.0" encoding="utf-8"?>
<formControlPr xmlns="http://schemas.microsoft.com/office/spreadsheetml/2009/9/main" objectType="Spin" dx="16" fmlaLink="#REF!" max="1000" page="10" val="12"/>
</file>

<file path=xl/ctrlProps/ctrlProp106.xml><?xml version="1.0" encoding="utf-8"?>
<formControlPr xmlns="http://schemas.microsoft.com/office/spreadsheetml/2009/9/main" objectType="Spin" dx="16" fmlaLink="#REF!" max="1000" page="10" val="26"/>
</file>

<file path=xl/ctrlProps/ctrlProp107.xml><?xml version="1.0" encoding="utf-8"?>
<formControlPr xmlns="http://schemas.microsoft.com/office/spreadsheetml/2009/9/main" objectType="Spin" dx="16" fmlaLink="#REF!" max="1000" page="10" val="41"/>
</file>

<file path=xl/ctrlProps/ctrlProp108.xml><?xml version="1.0" encoding="utf-8"?>
<formControlPr xmlns="http://schemas.microsoft.com/office/spreadsheetml/2009/9/main" objectType="Spin" dx="16" fmlaLink="#REF!" max="1000" page="10" val="20"/>
</file>

<file path=xl/ctrlProps/ctrlProp109.xml><?xml version="1.0" encoding="utf-8"?>
<formControlPr xmlns="http://schemas.microsoft.com/office/spreadsheetml/2009/9/main" objectType="Spin" dx="16" fmlaLink="#REF!" max="1000" page="10" val="30"/>
</file>

<file path=xl/ctrlProps/ctrlProp110.xml><?xml version="1.0" encoding="utf-8"?>
<formControlPr xmlns="http://schemas.microsoft.com/office/spreadsheetml/2009/9/main" objectType="Spin" dx="16" fmlaLink="#REF!" inc="100" max="30000" page="10" val="1000"/>
</file>

<file path=xl/ctrlProps/ctrlProp111.xml><?xml version="1.0" encoding="utf-8"?>
<formControlPr xmlns="http://schemas.microsoft.com/office/spreadsheetml/2009/9/main" objectType="Spin" dx="16" fmlaLink="#REF!" inc="10" max="1000" page="10" val="560"/>
</file>

<file path=xl/ctrlProps/ctrlProp112.xml><?xml version="1.0" encoding="utf-8"?>
<formControlPr xmlns="http://schemas.microsoft.com/office/spreadsheetml/2009/9/main" objectType="Spin" dx="16" fmlaLink="#REF!" inc="10" max="1000" page="10" val="260"/>
</file>

<file path=xl/ctrlProps/ctrlProp113.xml><?xml version="1.0" encoding="utf-8"?>
<formControlPr xmlns="http://schemas.microsoft.com/office/spreadsheetml/2009/9/main" objectType="Spin" dx="16" fmlaLink="#REF!" max="100" page="10" val="21"/>
</file>

<file path=xl/ctrlProps/ctrlProp114.xml><?xml version="1.0" encoding="utf-8"?>
<formControlPr xmlns="http://schemas.microsoft.com/office/spreadsheetml/2009/9/main" objectType="Spin" dx="16" fmlaLink="#REF!" max="100" page="10" val="27"/>
</file>

<file path=xl/ctrlProps/ctrlProp115.xml><?xml version="1.0" encoding="utf-8"?>
<formControlPr xmlns="http://schemas.microsoft.com/office/spreadsheetml/2009/9/main" objectType="Spin" dx="16" fmlaLink="#REF!" max="1000" page="10" val="82"/>
</file>

<file path=xl/ctrlProps/ctrlProp116.xml><?xml version="1.0" encoding="utf-8"?>
<formControlPr xmlns="http://schemas.microsoft.com/office/spreadsheetml/2009/9/main" objectType="Spin" dx="16" fmlaLink="#REF!" max="1000" page="10" val="109"/>
</file>

<file path=xl/ctrlProps/ctrlProp117.xml><?xml version="1.0" encoding="utf-8"?>
<formControlPr xmlns="http://schemas.microsoft.com/office/spreadsheetml/2009/9/main" objectType="Spin" dx="16" fmlaLink="#REF!" inc="10" max="1000" page="10" val="170"/>
</file>

<file path=xl/ctrlProps/ctrlProp118.xml><?xml version="1.0" encoding="utf-8"?>
<formControlPr xmlns="http://schemas.microsoft.com/office/spreadsheetml/2009/9/main" objectType="Spin" dx="16" fmlaLink="#REF!" inc="10" max="1000" page="10" val="200"/>
</file>

<file path=xl/ctrlProps/ctrlProp119.xml><?xml version="1.0" encoding="utf-8"?>
<formControlPr xmlns="http://schemas.microsoft.com/office/spreadsheetml/2009/9/main" objectType="Spin" dx="16" fmlaLink="#REF!" max="100" page="10" val="33"/>
</file>

<file path=xl/ctrlProps/ctrlProp120.xml><?xml version="1.0" encoding="utf-8"?>
<formControlPr xmlns="http://schemas.microsoft.com/office/spreadsheetml/2009/9/main" objectType="Spin" dx="16" fmlaLink="#REF!" max="100" page="10" val="33"/>
</file>

<file path=xl/ctrlProps/ctrlProp121.xml><?xml version="1.0" encoding="utf-8"?>
<formControlPr xmlns="http://schemas.microsoft.com/office/spreadsheetml/2009/9/main" objectType="Spin" dx="16" fmlaLink="#REF!" max="1000" page="10" val="71"/>
</file>

<file path=xl/ctrlProps/ctrlProp122.xml><?xml version="1.0" encoding="utf-8"?>
<formControlPr xmlns="http://schemas.microsoft.com/office/spreadsheetml/2009/9/main" objectType="Spin" dx="16" fmlaLink="#REF!" max="1000" page="10" val="75"/>
</file>

<file path=xl/ctrlProps/ctrlProp123.xml><?xml version="1.0" encoding="utf-8"?>
<formControlPr xmlns="http://schemas.microsoft.com/office/spreadsheetml/2009/9/main" objectType="Spin" dx="16" fmlaLink="#REF!" inc="10" max="1000" page="10" val="230"/>
</file>

<file path=xl/ctrlProps/ctrlProp124.xml><?xml version="1.0" encoding="utf-8"?>
<formControlPr xmlns="http://schemas.microsoft.com/office/spreadsheetml/2009/9/main" objectType="Spin" dx="16" fmlaLink="#REF!" inc="10" max="1000" page="10" val="210"/>
</file>

<file path=xl/ctrlProps/ctrlProp125.xml><?xml version="1.0" encoding="utf-8"?>
<formControlPr xmlns="http://schemas.microsoft.com/office/spreadsheetml/2009/9/main" objectType="Spin" dx="16" fmlaLink="#REF!" max="100" page="10" val="16"/>
</file>

<file path=xl/ctrlProps/ctrlProp126.xml><?xml version="1.0" encoding="utf-8"?>
<formControlPr xmlns="http://schemas.microsoft.com/office/spreadsheetml/2009/9/main" objectType="Spin" dx="16" fmlaLink="#REF!" max="100" page="10" val="22"/>
</file>

<file path=xl/ctrlProps/ctrlProp127.xml><?xml version="1.0" encoding="utf-8"?>
<formControlPr xmlns="http://schemas.microsoft.com/office/spreadsheetml/2009/9/main" objectType="Spin" dx="16" fmlaLink="#REF!" max="1000" page="10" val="76"/>
</file>

<file path=xl/ctrlProps/ctrlProp128.xml><?xml version="1.0" encoding="utf-8"?>
<formControlPr xmlns="http://schemas.microsoft.com/office/spreadsheetml/2009/9/main" objectType="Spin" dx="16" fmlaLink="#REF!" max="1000" page="10" val="42"/>
</file>

<file path=xl/ctrlProps/ctrlProp129.xml><?xml version="1.0" encoding="utf-8"?>
<formControlPr xmlns="http://schemas.microsoft.com/office/spreadsheetml/2009/9/main" objectType="Spin" dx="16" fmlaLink="#REF!" inc="10" max="1000" page="10" val="100"/>
</file>

<file path=xl/ctrlProps/ctrlProp130.xml><?xml version="1.0" encoding="utf-8"?>
<formControlPr xmlns="http://schemas.microsoft.com/office/spreadsheetml/2009/9/main" objectType="Spin" dx="16" fmlaLink="#REF!" inc="10" max="1000" page="10" val="1000"/>
</file>

<file path=xl/ctrlProps/ctrlProp131.xml><?xml version="1.0" encoding="utf-8"?>
<formControlPr xmlns="http://schemas.microsoft.com/office/spreadsheetml/2009/9/main" objectType="Spin" dx="16" fmlaLink="#REF!" max="100" page="10" val="4"/>
</file>

<file path=xl/ctrlProps/ctrlProp132.xml><?xml version="1.0" encoding="utf-8"?>
<formControlPr xmlns="http://schemas.microsoft.com/office/spreadsheetml/2009/9/main" objectType="Spin" dx="16" fmlaLink="#REF!" max="100" page="10" val="14"/>
</file>

<file path=xl/ctrlProps/ctrlProp133.xml><?xml version="1.0" encoding="utf-8"?>
<formControlPr xmlns="http://schemas.microsoft.com/office/spreadsheetml/2009/9/main" objectType="Spin" dx="16" fmlaLink="#REF!" max="1000" page="10" val="21"/>
</file>

<file path=xl/ctrlProps/ctrlProp134.xml><?xml version="1.0" encoding="utf-8"?>
<formControlPr xmlns="http://schemas.microsoft.com/office/spreadsheetml/2009/9/main" objectType="Spin" dx="16" fmlaLink="#REF!" max="1000" page="10" val="41"/>
</file>

<file path=xl/ctrlProps/ctrlProp135.xml><?xml version="1.0" encoding="utf-8"?>
<formControlPr xmlns="http://schemas.microsoft.com/office/spreadsheetml/2009/9/main" objectType="Drop" dropStyle="combo" dx="15" fmlaLink="$F$3" fmlaRange="$A$4:$A$5" sel="2" val="0"/>
</file>

<file path=xl/ctrlProps/ctrlProp136.xml><?xml version="1.0" encoding="utf-8"?>
<formControlPr xmlns="http://schemas.microsoft.com/office/spreadsheetml/2009/9/main" objectType="Spin" dx="16" fmlaLink="$H$30" inc="10" max="1000" page="10" val="100"/>
</file>

<file path=xl/ctrlProps/ctrlProp137.xml><?xml version="1.0" encoding="utf-8"?>
<formControlPr xmlns="http://schemas.microsoft.com/office/spreadsheetml/2009/9/main" objectType="Spin" dx="16" fmlaLink="$I$30" inc="10" max="1000" page="10" val="100"/>
</file>

<file path=xl/ctrlProps/ctrlProp138.xml><?xml version="1.0" encoding="utf-8"?>
<formControlPr xmlns="http://schemas.microsoft.com/office/spreadsheetml/2009/9/main" objectType="Spin" dx="16" fmlaLink="$F$30" max="100" page="10" val="10"/>
</file>

<file path=xl/ctrlProps/ctrlProp139.xml><?xml version="1.0" encoding="utf-8"?>
<formControlPr xmlns="http://schemas.microsoft.com/office/spreadsheetml/2009/9/main" objectType="Spin" dx="16" fmlaLink="$D$30" max="100" page="10" val="10"/>
</file>

<file path=xl/ctrlProps/ctrlProp140.xml><?xml version="1.0" encoding="utf-8"?>
<formControlPr xmlns="http://schemas.microsoft.com/office/spreadsheetml/2009/9/main" objectType="Spin" dx="16" fmlaLink="$E$30" max="1000" page="10" val="10"/>
</file>

<file path=xl/ctrlProps/ctrlProp141.xml><?xml version="1.0" encoding="utf-8"?>
<formControlPr xmlns="http://schemas.microsoft.com/office/spreadsheetml/2009/9/main" objectType="Spin" dx="16" fmlaLink="$G$30" max="1000" page="10" val="10"/>
</file>

<file path=xl/ctrlProps/ctrlProp142.xml><?xml version="1.0" encoding="utf-8"?>
<formControlPr xmlns="http://schemas.microsoft.com/office/spreadsheetml/2009/9/main" objectType="Drop" dropStyle="combo" dx="15" fmlaLink="$D$20" fmlaRange="$A$4:$A$5" sel="2" val="0"/>
</file>

<file path=xl/ctrlProps/ctrlProp143.xml><?xml version="1.0" encoding="utf-8"?>
<formControlPr xmlns="http://schemas.microsoft.com/office/spreadsheetml/2009/9/main" objectType="Drop" dropStyle="combo" dx="15" fmlaLink="$E$20" fmlaRange="$A$4:$A$5" sel="2" val="0"/>
</file>

<file path=xl/ctrlProps/ctrlProp144.xml><?xml version="1.0" encoding="utf-8"?>
<formControlPr xmlns="http://schemas.microsoft.com/office/spreadsheetml/2009/9/main" objectType="Drop" dropStyle="combo" dx="15" fmlaLink="$F$20" fmlaRange="$A$4:$A$5" sel="2" val="0"/>
</file>

<file path=xl/ctrlProps/ctrlProp145.xml><?xml version="1.0" encoding="utf-8"?>
<formControlPr xmlns="http://schemas.microsoft.com/office/spreadsheetml/2009/9/main" objectType="Drop" dropStyle="combo" dx="15" fmlaLink="$G$20" fmlaRange="$A$4:$A$5" sel="2" val="0"/>
</file>

<file path=xl/ctrlProps/ctrlProp146.xml><?xml version="1.0" encoding="utf-8"?>
<formControlPr xmlns="http://schemas.microsoft.com/office/spreadsheetml/2009/9/main" objectType="Drop" dropStyle="combo" dx="15" fmlaLink="$H$20" fmlaRange="$A$4:$A$5" sel="2" val="0"/>
</file>

<file path=xl/ctrlProps/ctrlProp147.xml><?xml version="1.0" encoding="utf-8"?>
<formControlPr xmlns="http://schemas.microsoft.com/office/spreadsheetml/2009/9/main" objectType="Drop" dropStyle="combo" dx="15" fmlaLink="$I$20" fmlaRange="$A$4:$A$5" sel="1" val="0"/>
</file>

<file path=xl/ctrlProps/ctrlProp148.xml><?xml version="1.0" encoding="utf-8"?>
<formControlPr xmlns="http://schemas.microsoft.com/office/spreadsheetml/2009/9/main" objectType="Spin" dx="16" fmlaLink="#REF!" max="1000" page="10" val="10"/>
</file>

<file path=xl/ctrlProps/ctrlProp149.xml><?xml version="1.0" encoding="utf-8"?>
<formControlPr xmlns="http://schemas.microsoft.com/office/spreadsheetml/2009/9/main" objectType="Spin" dx="16" fmlaLink="#REF!" max="1000" page="10" val="422"/>
</file>

<file path=xl/ctrlProps/ctrlProp150.xml><?xml version="1.0" encoding="utf-8"?>
<formControlPr xmlns="http://schemas.microsoft.com/office/spreadsheetml/2009/9/main" objectType="Spin" dx="16" fmlaLink="#REF!" inc="100" max="30000" page="10" val="1000"/>
</file>

<file path=xl/ctrlProps/ctrlProp151.xml><?xml version="1.0" encoding="utf-8"?>
<formControlPr xmlns="http://schemas.microsoft.com/office/spreadsheetml/2009/9/main" objectType="Spin" dx="16" fmlaLink="#REF!" inc="5" max="1000" page="10" val="6"/>
</file>

<file path=xl/ctrlProps/ctrlProp152.xml><?xml version="1.0" encoding="utf-8"?>
<formControlPr xmlns="http://schemas.microsoft.com/office/spreadsheetml/2009/9/main" objectType="Spin" dx="16" fmlaLink="#REF!" max="1000" page="10" val="12"/>
</file>

<file path=xl/ctrlProps/ctrlProp153.xml><?xml version="1.0" encoding="utf-8"?>
<formControlPr xmlns="http://schemas.microsoft.com/office/spreadsheetml/2009/9/main" objectType="Spin" dx="16" fmlaLink="#REF!" max="1000" page="10" val="26"/>
</file>

<file path=xl/ctrlProps/ctrlProp154.xml><?xml version="1.0" encoding="utf-8"?>
<formControlPr xmlns="http://schemas.microsoft.com/office/spreadsheetml/2009/9/main" objectType="Spin" dx="16" fmlaLink="#REF!" max="1000" page="10" val="41"/>
</file>

<file path=xl/ctrlProps/ctrlProp155.xml><?xml version="1.0" encoding="utf-8"?>
<formControlPr xmlns="http://schemas.microsoft.com/office/spreadsheetml/2009/9/main" objectType="Spin" dx="16" fmlaLink="#REF!" max="1000" page="10" val="20"/>
</file>

<file path=xl/ctrlProps/ctrlProp156.xml><?xml version="1.0" encoding="utf-8"?>
<formControlPr xmlns="http://schemas.microsoft.com/office/spreadsheetml/2009/9/main" objectType="Spin" dx="16" fmlaLink="#REF!" max="1000" page="10" val="30"/>
</file>

<file path=xl/ctrlProps/ctrlProp157.xml><?xml version="1.0" encoding="utf-8"?>
<formControlPr xmlns="http://schemas.microsoft.com/office/spreadsheetml/2009/9/main" objectType="Spin" dx="16" fmlaLink="#REF!" inc="100" max="30000" page="10" val="1000"/>
</file>

<file path=xl/ctrlProps/ctrlProp158.xml><?xml version="1.0" encoding="utf-8"?>
<formControlPr xmlns="http://schemas.microsoft.com/office/spreadsheetml/2009/9/main" objectType="Spin" dx="16" fmlaLink="#REF!" inc="10" max="1000" page="10" val="230"/>
</file>

<file path=xl/ctrlProps/ctrlProp159.xml><?xml version="1.0" encoding="utf-8"?>
<formControlPr xmlns="http://schemas.microsoft.com/office/spreadsheetml/2009/9/main" objectType="Spin" dx="16" fmlaLink="#REF!" inc="10" max="1000" page="10" val="210"/>
</file>

<file path=xl/ctrlProps/ctrlProp160.xml><?xml version="1.0" encoding="utf-8"?>
<formControlPr xmlns="http://schemas.microsoft.com/office/spreadsheetml/2009/9/main" objectType="Spin" dx="16" fmlaLink="#REF!" max="100" page="10" val="16"/>
</file>

<file path=xl/ctrlProps/ctrlProp161.xml><?xml version="1.0" encoding="utf-8"?>
<formControlPr xmlns="http://schemas.microsoft.com/office/spreadsheetml/2009/9/main" objectType="Spin" dx="16" fmlaLink="#REF!" max="100" page="10" val="22"/>
</file>

<file path=xl/ctrlProps/ctrlProp162.xml><?xml version="1.0" encoding="utf-8"?>
<formControlPr xmlns="http://schemas.microsoft.com/office/spreadsheetml/2009/9/main" objectType="Spin" dx="16" fmlaLink="#REF!" max="1000" page="10" val="76"/>
</file>

<file path=xl/ctrlProps/ctrlProp163.xml><?xml version="1.0" encoding="utf-8"?>
<formControlPr xmlns="http://schemas.microsoft.com/office/spreadsheetml/2009/9/main" objectType="Spin" dx="16" fmlaLink="#REF!" max="1000" page="10" val="42"/>
</file>

<file path=xl/ctrlProps/ctrlProp164.xml><?xml version="1.0" encoding="utf-8"?>
<formControlPr xmlns="http://schemas.microsoft.com/office/spreadsheetml/2009/9/main" objectType="Spin" dx="16" fmlaLink="#REF!" inc="10" max="1000" page="10" val="100"/>
</file>

<file path=xl/ctrlProps/ctrlProp165.xml><?xml version="1.0" encoding="utf-8"?>
<formControlPr xmlns="http://schemas.microsoft.com/office/spreadsheetml/2009/9/main" objectType="Spin" dx="16" fmlaLink="#REF!" inc="10" max="1000" page="10" val="1000"/>
</file>

<file path=xl/ctrlProps/ctrlProp166.xml><?xml version="1.0" encoding="utf-8"?>
<formControlPr xmlns="http://schemas.microsoft.com/office/spreadsheetml/2009/9/main" objectType="Spin" dx="16" fmlaLink="#REF!" max="100" page="10" val="4"/>
</file>

<file path=xl/ctrlProps/ctrlProp167.xml><?xml version="1.0" encoding="utf-8"?>
<formControlPr xmlns="http://schemas.microsoft.com/office/spreadsheetml/2009/9/main" objectType="Spin" dx="16" fmlaLink="#REF!" max="100" page="10" val="14"/>
</file>

<file path=xl/ctrlProps/ctrlProp168.xml><?xml version="1.0" encoding="utf-8"?>
<formControlPr xmlns="http://schemas.microsoft.com/office/spreadsheetml/2009/9/main" objectType="Spin" dx="16" fmlaLink="#REF!" max="1000" page="10" val="21"/>
</file>

<file path=xl/ctrlProps/ctrlProp169.xml><?xml version="1.0" encoding="utf-8"?>
<formControlPr xmlns="http://schemas.microsoft.com/office/spreadsheetml/2009/9/main" objectType="Spin" dx="16" fmlaLink="#REF!" max="1000" page="10" val="41"/>
</file>

<file path=xl/ctrlProps/ctrlProp170.xml><?xml version="1.0" encoding="utf-8"?>
<formControlPr xmlns="http://schemas.microsoft.com/office/spreadsheetml/2009/9/main" objectType="Drop" dropStyle="combo" dx="15" fmlaLink="$F$3" fmlaRange="$A$4:$A$5" sel="2" val="0"/>
</file>

<file path=xl/ctrlProps/ctrlProp171.xml><?xml version="1.0" encoding="utf-8"?>
<formControlPr xmlns="http://schemas.microsoft.com/office/spreadsheetml/2009/9/main" objectType="Spin" dx="16" fmlaLink="$H$30" inc="10" max="1000" page="10" val="100"/>
</file>

<file path=xl/ctrlProps/ctrlProp172.xml><?xml version="1.0" encoding="utf-8"?>
<formControlPr xmlns="http://schemas.microsoft.com/office/spreadsheetml/2009/9/main" objectType="Spin" dx="16" fmlaLink="$I$30" inc="10" max="1000" page="10" val="100"/>
</file>

<file path=xl/ctrlProps/ctrlProp173.xml><?xml version="1.0" encoding="utf-8"?>
<formControlPr xmlns="http://schemas.microsoft.com/office/spreadsheetml/2009/9/main" objectType="Spin" dx="16" fmlaLink="$F$30" max="100" page="10" val="10"/>
</file>

<file path=xl/ctrlProps/ctrlProp174.xml><?xml version="1.0" encoding="utf-8"?>
<formControlPr xmlns="http://schemas.microsoft.com/office/spreadsheetml/2009/9/main" objectType="Spin" dx="16" fmlaLink="$D$30" max="100" page="10" val="10"/>
</file>

<file path=xl/ctrlProps/ctrlProp175.xml><?xml version="1.0" encoding="utf-8"?>
<formControlPr xmlns="http://schemas.microsoft.com/office/spreadsheetml/2009/9/main" objectType="Spin" dx="16" fmlaLink="$E$30" max="1000" page="10" val="11"/>
</file>

<file path=xl/ctrlProps/ctrlProp176.xml><?xml version="1.0" encoding="utf-8"?>
<formControlPr xmlns="http://schemas.microsoft.com/office/spreadsheetml/2009/9/main" objectType="Spin" dx="16" fmlaLink="$G$30" max="1000" page="10" val="10"/>
</file>

<file path=xl/ctrlProps/ctrlProp177.xml><?xml version="1.0" encoding="utf-8"?>
<formControlPr xmlns="http://schemas.microsoft.com/office/spreadsheetml/2009/9/main" objectType="Drop" dropStyle="combo" dx="15" fmlaLink="$D$20" fmlaRange="$A$4:$A$5" sel="2" val="0"/>
</file>

<file path=xl/ctrlProps/ctrlProp178.xml><?xml version="1.0" encoding="utf-8"?>
<formControlPr xmlns="http://schemas.microsoft.com/office/spreadsheetml/2009/9/main" objectType="Drop" dropStyle="combo" dx="15" fmlaLink="$E$20" fmlaRange="$A$4:$A$5" sel="2" val="0"/>
</file>

<file path=xl/ctrlProps/ctrlProp179.xml><?xml version="1.0" encoding="utf-8"?>
<formControlPr xmlns="http://schemas.microsoft.com/office/spreadsheetml/2009/9/main" objectType="Drop" dropStyle="combo" dx="15" fmlaLink="$F$20" fmlaRange="$A$4:$A$5" sel="2" val="0"/>
</file>

<file path=xl/ctrlProps/ctrlProp180.xml><?xml version="1.0" encoding="utf-8"?>
<formControlPr xmlns="http://schemas.microsoft.com/office/spreadsheetml/2009/9/main" objectType="Drop" dropStyle="combo" dx="15" fmlaLink="$G$20" fmlaRange="$A$4:$A$5" sel="2" val="0"/>
</file>

<file path=xl/ctrlProps/ctrlProp181.xml><?xml version="1.0" encoding="utf-8"?>
<formControlPr xmlns="http://schemas.microsoft.com/office/spreadsheetml/2009/9/main" objectType="Drop" dropStyle="combo" dx="15" fmlaLink="$H$20" fmlaRange="$A$4:$A$5" sel="2" val="0"/>
</file>

<file path=xl/ctrlProps/ctrlProp182.xml><?xml version="1.0" encoding="utf-8"?>
<formControlPr xmlns="http://schemas.microsoft.com/office/spreadsheetml/2009/9/main" objectType="Drop" dropStyle="combo" dx="15" fmlaLink="$I$20" fmlaRange="$A$4:$A$5"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25.emf"/><Relationship Id="rId26" Type="http://schemas.openxmlformats.org/officeDocument/2006/relationships/image" Target="../media/image33.emf"/><Relationship Id="rId39" Type="http://schemas.openxmlformats.org/officeDocument/2006/relationships/image" Target="../media/image46.emf"/><Relationship Id="rId21" Type="http://schemas.openxmlformats.org/officeDocument/2006/relationships/image" Target="../media/image28.emf"/><Relationship Id="rId34" Type="http://schemas.openxmlformats.org/officeDocument/2006/relationships/image" Target="../media/image41.emf"/><Relationship Id="rId42" Type="http://schemas.openxmlformats.org/officeDocument/2006/relationships/image" Target="../media/image49.emf"/><Relationship Id="rId7" Type="http://schemas.openxmlformats.org/officeDocument/2006/relationships/image" Target="../media/image14.emf"/><Relationship Id="rId2" Type="http://schemas.openxmlformats.org/officeDocument/2006/relationships/image" Target="../media/image9.emf"/><Relationship Id="rId16" Type="http://schemas.openxmlformats.org/officeDocument/2006/relationships/image" Target="../media/image23.emf"/><Relationship Id="rId29" Type="http://schemas.openxmlformats.org/officeDocument/2006/relationships/image" Target="../media/image36.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18.emf"/><Relationship Id="rId24" Type="http://schemas.openxmlformats.org/officeDocument/2006/relationships/image" Target="../media/image31.emf"/><Relationship Id="rId32" Type="http://schemas.openxmlformats.org/officeDocument/2006/relationships/image" Target="../media/image39.emf"/><Relationship Id="rId37" Type="http://schemas.openxmlformats.org/officeDocument/2006/relationships/image" Target="../media/image44.emf"/><Relationship Id="rId40" Type="http://schemas.openxmlformats.org/officeDocument/2006/relationships/image" Target="../media/image47.emf"/><Relationship Id="rId45" Type="http://schemas.openxmlformats.org/officeDocument/2006/relationships/image" Target="../media/image52.emf"/><Relationship Id="rId5" Type="http://schemas.openxmlformats.org/officeDocument/2006/relationships/image" Target="../media/image12.emf"/><Relationship Id="rId15" Type="http://schemas.openxmlformats.org/officeDocument/2006/relationships/image" Target="../media/image22.emf"/><Relationship Id="rId23" Type="http://schemas.openxmlformats.org/officeDocument/2006/relationships/image" Target="../media/image30.emf"/><Relationship Id="rId28" Type="http://schemas.openxmlformats.org/officeDocument/2006/relationships/image" Target="../media/image35.emf"/><Relationship Id="rId36" Type="http://schemas.openxmlformats.org/officeDocument/2006/relationships/image" Target="../media/image43.emf"/><Relationship Id="rId10" Type="http://schemas.openxmlformats.org/officeDocument/2006/relationships/image" Target="../media/image17.emf"/><Relationship Id="rId19" Type="http://schemas.openxmlformats.org/officeDocument/2006/relationships/image" Target="../media/image26.emf"/><Relationship Id="rId31" Type="http://schemas.openxmlformats.org/officeDocument/2006/relationships/image" Target="../media/image38.emf"/><Relationship Id="rId44" Type="http://schemas.openxmlformats.org/officeDocument/2006/relationships/image" Target="../media/image51.emf"/><Relationship Id="rId4" Type="http://schemas.openxmlformats.org/officeDocument/2006/relationships/image" Target="../media/image11.emf"/><Relationship Id="rId9" Type="http://schemas.openxmlformats.org/officeDocument/2006/relationships/image" Target="../media/image16.emf"/><Relationship Id="rId14" Type="http://schemas.openxmlformats.org/officeDocument/2006/relationships/image" Target="../media/image21.emf"/><Relationship Id="rId22" Type="http://schemas.openxmlformats.org/officeDocument/2006/relationships/image" Target="../media/image29.emf"/><Relationship Id="rId27" Type="http://schemas.openxmlformats.org/officeDocument/2006/relationships/image" Target="../media/image34.emf"/><Relationship Id="rId30" Type="http://schemas.openxmlformats.org/officeDocument/2006/relationships/image" Target="../media/image37.emf"/><Relationship Id="rId35" Type="http://schemas.openxmlformats.org/officeDocument/2006/relationships/image" Target="../media/image42.emf"/><Relationship Id="rId43" Type="http://schemas.openxmlformats.org/officeDocument/2006/relationships/image" Target="../media/image50.emf"/><Relationship Id="rId8" Type="http://schemas.openxmlformats.org/officeDocument/2006/relationships/image" Target="../media/image15.emf"/><Relationship Id="rId3" Type="http://schemas.openxmlformats.org/officeDocument/2006/relationships/image" Target="../media/image10.emf"/><Relationship Id="rId12" Type="http://schemas.openxmlformats.org/officeDocument/2006/relationships/image" Target="../media/image19.emf"/><Relationship Id="rId17" Type="http://schemas.openxmlformats.org/officeDocument/2006/relationships/image" Target="../media/image24.emf"/><Relationship Id="rId25" Type="http://schemas.openxmlformats.org/officeDocument/2006/relationships/image" Target="../media/image32.emf"/><Relationship Id="rId33" Type="http://schemas.openxmlformats.org/officeDocument/2006/relationships/image" Target="../media/image40.emf"/><Relationship Id="rId38" Type="http://schemas.openxmlformats.org/officeDocument/2006/relationships/image" Target="../media/image45.emf"/><Relationship Id="rId20" Type="http://schemas.openxmlformats.org/officeDocument/2006/relationships/image" Target="../media/image27.emf"/><Relationship Id="rId41" Type="http://schemas.openxmlformats.org/officeDocument/2006/relationships/image" Target="../media/image48.emf"/></Relationships>
</file>

<file path=xl/drawings/_rels/drawing4.xml.rels><?xml version="1.0" encoding="UTF-8" standalone="yes"?>
<Relationships xmlns="http://schemas.openxmlformats.org/package/2006/relationships"><Relationship Id="rId13" Type="http://schemas.openxmlformats.org/officeDocument/2006/relationships/image" Target="../media/image61.emf"/><Relationship Id="rId18" Type="http://schemas.openxmlformats.org/officeDocument/2006/relationships/image" Target="../media/image66.emf"/><Relationship Id="rId26" Type="http://schemas.openxmlformats.org/officeDocument/2006/relationships/image" Target="../media/image74.emf"/><Relationship Id="rId39" Type="http://schemas.openxmlformats.org/officeDocument/2006/relationships/image" Target="../media/image87.emf"/><Relationship Id="rId21" Type="http://schemas.openxmlformats.org/officeDocument/2006/relationships/image" Target="../media/image69.emf"/><Relationship Id="rId34" Type="http://schemas.openxmlformats.org/officeDocument/2006/relationships/image" Target="../media/image82.emf"/><Relationship Id="rId42" Type="http://schemas.openxmlformats.org/officeDocument/2006/relationships/image" Target="../media/image90.emf"/><Relationship Id="rId7" Type="http://schemas.openxmlformats.org/officeDocument/2006/relationships/image" Target="../media/image16.emf"/><Relationship Id="rId2" Type="http://schemas.openxmlformats.org/officeDocument/2006/relationships/image" Target="../media/image53.emf"/><Relationship Id="rId16" Type="http://schemas.openxmlformats.org/officeDocument/2006/relationships/image" Target="../media/image64.emf"/><Relationship Id="rId29" Type="http://schemas.openxmlformats.org/officeDocument/2006/relationships/image" Target="../media/image77.emf"/><Relationship Id="rId1" Type="http://schemas.openxmlformats.org/officeDocument/2006/relationships/image" Target="../media/image20.emf"/><Relationship Id="rId6" Type="http://schemas.openxmlformats.org/officeDocument/2006/relationships/image" Target="../media/image56.emf"/><Relationship Id="rId11" Type="http://schemas.openxmlformats.org/officeDocument/2006/relationships/image" Target="../media/image59.emf"/><Relationship Id="rId24" Type="http://schemas.openxmlformats.org/officeDocument/2006/relationships/image" Target="../media/image72.emf"/><Relationship Id="rId32" Type="http://schemas.openxmlformats.org/officeDocument/2006/relationships/image" Target="../media/image80.emf"/><Relationship Id="rId37" Type="http://schemas.openxmlformats.org/officeDocument/2006/relationships/image" Target="../media/image85.emf"/><Relationship Id="rId40" Type="http://schemas.openxmlformats.org/officeDocument/2006/relationships/image" Target="../media/image88.emf"/><Relationship Id="rId45" Type="http://schemas.openxmlformats.org/officeDocument/2006/relationships/image" Target="../media/image93.emf"/><Relationship Id="rId5" Type="http://schemas.openxmlformats.org/officeDocument/2006/relationships/image" Target="../media/image55.emf"/><Relationship Id="rId15" Type="http://schemas.openxmlformats.org/officeDocument/2006/relationships/image" Target="../media/image63.emf"/><Relationship Id="rId23" Type="http://schemas.openxmlformats.org/officeDocument/2006/relationships/image" Target="../media/image71.emf"/><Relationship Id="rId28" Type="http://schemas.openxmlformats.org/officeDocument/2006/relationships/image" Target="../media/image76.emf"/><Relationship Id="rId36" Type="http://schemas.openxmlformats.org/officeDocument/2006/relationships/image" Target="../media/image84.emf"/><Relationship Id="rId10" Type="http://schemas.openxmlformats.org/officeDocument/2006/relationships/image" Target="../media/image58.emf"/><Relationship Id="rId19" Type="http://schemas.openxmlformats.org/officeDocument/2006/relationships/image" Target="../media/image67.emf"/><Relationship Id="rId31" Type="http://schemas.openxmlformats.org/officeDocument/2006/relationships/image" Target="../media/image79.emf"/><Relationship Id="rId44" Type="http://schemas.openxmlformats.org/officeDocument/2006/relationships/image" Target="../media/image92.emf"/><Relationship Id="rId4" Type="http://schemas.openxmlformats.org/officeDocument/2006/relationships/image" Target="../media/image54.emf"/><Relationship Id="rId9" Type="http://schemas.openxmlformats.org/officeDocument/2006/relationships/image" Target="../media/image57.emf"/><Relationship Id="rId14" Type="http://schemas.openxmlformats.org/officeDocument/2006/relationships/image" Target="../media/image62.emf"/><Relationship Id="rId22" Type="http://schemas.openxmlformats.org/officeDocument/2006/relationships/image" Target="../media/image70.emf"/><Relationship Id="rId27" Type="http://schemas.openxmlformats.org/officeDocument/2006/relationships/image" Target="../media/image75.emf"/><Relationship Id="rId30" Type="http://schemas.openxmlformats.org/officeDocument/2006/relationships/image" Target="../media/image78.emf"/><Relationship Id="rId35" Type="http://schemas.openxmlformats.org/officeDocument/2006/relationships/image" Target="../media/image83.emf"/><Relationship Id="rId43" Type="http://schemas.openxmlformats.org/officeDocument/2006/relationships/image" Target="../media/image91.emf"/><Relationship Id="rId8" Type="http://schemas.openxmlformats.org/officeDocument/2006/relationships/image" Target="../media/image32.emf"/><Relationship Id="rId3" Type="http://schemas.openxmlformats.org/officeDocument/2006/relationships/image" Target="../media/image15.emf"/><Relationship Id="rId12" Type="http://schemas.openxmlformats.org/officeDocument/2006/relationships/image" Target="../media/image60.emf"/><Relationship Id="rId17" Type="http://schemas.openxmlformats.org/officeDocument/2006/relationships/image" Target="../media/image65.emf"/><Relationship Id="rId25" Type="http://schemas.openxmlformats.org/officeDocument/2006/relationships/image" Target="../media/image73.emf"/><Relationship Id="rId33" Type="http://schemas.openxmlformats.org/officeDocument/2006/relationships/image" Target="../media/image81.emf"/><Relationship Id="rId38" Type="http://schemas.openxmlformats.org/officeDocument/2006/relationships/image" Target="../media/image86.emf"/><Relationship Id="rId46" Type="http://schemas.openxmlformats.org/officeDocument/2006/relationships/image" Target="../media/image94.emf"/><Relationship Id="rId20" Type="http://schemas.openxmlformats.org/officeDocument/2006/relationships/image" Target="../media/image68.emf"/><Relationship Id="rId41" Type="http://schemas.openxmlformats.org/officeDocument/2006/relationships/image" Target="../media/image89.emf"/></Relationships>
</file>

<file path=xl/drawings/_rels/drawing5.xml.rels><?xml version="1.0" encoding="UTF-8" standalone="yes"?>
<Relationships xmlns="http://schemas.openxmlformats.org/package/2006/relationships"><Relationship Id="rId13" Type="http://schemas.openxmlformats.org/officeDocument/2006/relationships/image" Target="../media/image100.emf"/><Relationship Id="rId18" Type="http://schemas.openxmlformats.org/officeDocument/2006/relationships/image" Target="../media/image105.emf"/><Relationship Id="rId26" Type="http://schemas.openxmlformats.org/officeDocument/2006/relationships/image" Target="../media/image113.emf"/><Relationship Id="rId39" Type="http://schemas.openxmlformats.org/officeDocument/2006/relationships/image" Target="../media/image126.emf"/><Relationship Id="rId21" Type="http://schemas.openxmlformats.org/officeDocument/2006/relationships/image" Target="../media/image108.emf"/><Relationship Id="rId34" Type="http://schemas.openxmlformats.org/officeDocument/2006/relationships/image" Target="../media/image121.emf"/><Relationship Id="rId42" Type="http://schemas.openxmlformats.org/officeDocument/2006/relationships/image" Target="../media/image129.emf"/><Relationship Id="rId7" Type="http://schemas.openxmlformats.org/officeDocument/2006/relationships/image" Target="../media/image33.emf"/><Relationship Id="rId2" Type="http://schemas.openxmlformats.org/officeDocument/2006/relationships/image" Target="../media/image32.emf"/><Relationship Id="rId16" Type="http://schemas.openxmlformats.org/officeDocument/2006/relationships/image" Target="../media/image103.emf"/><Relationship Id="rId20" Type="http://schemas.openxmlformats.org/officeDocument/2006/relationships/image" Target="../media/image107.emf"/><Relationship Id="rId29" Type="http://schemas.openxmlformats.org/officeDocument/2006/relationships/image" Target="../media/image116.emf"/><Relationship Id="rId41" Type="http://schemas.openxmlformats.org/officeDocument/2006/relationships/image" Target="../media/image128.emf"/><Relationship Id="rId1" Type="http://schemas.openxmlformats.org/officeDocument/2006/relationships/image" Target="../media/image20.emf"/><Relationship Id="rId6" Type="http://schemas.openxmlformats.org/officeDocument/2006/relationships/image" Target="../media/image16.emf"/><Relationship Id="rId11" Type="http://schemas.openxmlformats.org/officeDocument/2006/relationships/image" Target="../media/image98.emf"/><Relationship Id="rId24" Type="http://schemas.openxmlformats.org/officeDocument/2006/relationships/image" Target="../media/image111.emf"/><Relationship Id="rId32" Type="http://schemas.openxmlformats.org/officeDocument/2006/relationships/image" Target="../media/image119.emf"/><Relationship Id="rId37" Type="http://schemas.openxmlformats.org/officeDocument/2006/relationships/image" Target="../media/image124.emf"/><Relationship Id="rId40" Type="http://schemas.openxmlformats.org/officeDocument/2006/relationships/image" Target="../media/image127.emf"/><Relationship Id="rId5" Type="http://schemas.openxmlformats.org/officeDocument/2006/relationships/image" Target="../media/image15.emf"/><Relationship Id="rId15" Type="http://schemas.openxmlformats.org/officeDocument/2006/relationships/image" Target="../media/image102.emf"/><Relationship Id="rId23" Type="http://schemas.openxmlformats.org/officeDocument/2006/relationships/image" Target="../media/image110.emf"/><Relationship Id="rId28" Type="http://schemas.openxmlformats.org/officeDocument/2006/relationships/image" Target="../media/image115.emf"/><Relationship Id="rId36" Type="http://schemas.openxmlformats.org/officeDocument/2006/relationships/image" Target="../media/image123.emf"/><Relationship Id="rId10" Type="http://schemas.openxmlformats.org/officeDocument/2006/relationships/image" Target="../media/image97.emf"/><Relationship Id="rId19" Type="http://schemas.openxmlformats.org/officeDocument/2006/relationships/image" Target="../media/image106.emf"/><Relationship Id="rId31" Type="http://schemas.openxmlformats.org/officeDocument/2006/relationships/image" Target="../media/image118.emf"/><Relationship Id="rId4" Type="http://schemas.openxmlformats.org/officeDocument/2006/relationships/image" Target="../media/image53.emf"/><Relationship Id="rId9" Type="http://schemas.openxmlformats.org/officeDocument/2006/relationships/image" Target="../media/image96.emf"/><Relationship Id="rId14" Type="http://schemas.openxmlformats.org/officeDocument/2006/relationships/image" Target="../media/image101.emf"/><Relationship Id="rId22" Type="http://schemas.openxmlformats.org/officeDocument/2006/relationships/image" Target="../media/image109.emf"/><Relationship Id="rId27" Type="http://schemas.openxmlformats.org/officeDocument/2006/relationships/image" Target="../media/image114.emf"/><Relationship Id="rId30" Type="http://schemas.openxmlformats.org/officeDocument/2006/relationships/image" Target="../media/image117.emf"/><Relationship Id="rId35" Type="http://schemas.openxmlformats.org/officeDocument/2006/relationships/image" Target="../media/image122.emf"/><Relationship Id="rId43" Type="http://schemas.openxmlformats.org/officeDocument/2006/relationships/image" Target="../media/image130.emf"/><Relationship Id="rId8" Type="http://schemas.openxmlformats.org/officeDocument/2006/relationships/image" Target="../media/image95.emf"/><Relationship Id="rId3" Type="http://schemas.openxmlformats.org/officeDocument/2006/relationships/image" Target="../media/image55.emf"/><Relationship Id="rId12" Type="http://schemas.openxmlformats.org/officeDocument/2006/relationships/image" Target="../media/image99.emf"/><Relationship Id="rId17" Type="http://schemas.openxmlformats.org/officeDocument/2006/relationships/image" Target="../media/image104.emf"/><Relationship Id="rId25" Type="http://schemas.openxmlformats.org/officeDocument/2006/relationships/image" Target="../media/image112.emf"/><Relationship Id="rId33" Type="http://schemas.openxmlformats.org/officeDocument/2006/relationships/image" Target="../media/image120.emf"/><Relationship Id="rId38" Type="http://schemas.openxmlformats.org/officeDocument/2006/relationships/image" Target="../media/image125.emf"/></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29.xml"/><Relationship Id="rId13" Type="http://schemas.openxmlformats.org/officeDocument/2006/relationships/chart" Target="../charts/chart34.xml"/><Relationship Id="rId18" Type="http://schemas.openxmlformats.org/officeDocument/2006/relationships/chart" Target="../charts/chart39.xml"/><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chart" Target="../charts/chart33.xml"/><Relationship Id="rId17" Type="http://schemas.openxmlformats.org/officeDocument/2006/relationships/chart" Target="../charts/chart38.xml"/><Relationship Id="rId2" Type="http://schemas.openxmlformats.org/officeDocument/2006/relationships/chart" Target="../charts/chart23.xml"/><Relationship Id="rId16" Type="http://schemas.openxmlformats.org/officeDocument/2006/relationships/chart" Target="../charts/chart37.xml"/><Relationship Id="rId20" Type="http://schemas.openxmlformats.org/officeDocument/2006/relationships/chart" Target="../charts/chart41.xml"/><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chart" Target="../charts/chart32.xml"/><Relationship Id="rId5" Type="http://schemas.openxmlformats.org/officeDocument/2006/relationships/chart" Target="../charts/chart26.xml"/><Relationship Id="rId15" Type="http://schemas.openxmlformats.org/officeDocument/2006/relationships/chart" Target="../charts/chart36.xml"/><Relationship Id="rId10" Type="http://schemas.openxmlformats.org/officeDocument/2006/relationships/chart" Target="../charts/chart31.xml"/><Relationship Id="rId19" Type="http://schemas.openxmlformats.org/officeDocument/2006/relationships/chart" Target="../charts/chart40.xml"/><Relationship Id="rId4" Type="http://schemas.openxmlformats.org/officeDocument/2006/relationships/chart" Target="../charts/chart25.xml"/><Relationship Id="rId9" Type="http://schemas.openxmlformats.org/officeDocument/2006/relationships/chart" Target="../charts/chart30.xml"/><Relationship Id="rId14" Type="http://schemas.openxmlformats.org/officeDocument/2006/relationships/chart" Target="../charts/chart35.xml"/></Relationships>
</file>

<file path=xl/drawings/_rels/drawing9.xml.rels><?xml version="1.0" encoding="UTF-8" standalone="yes"?>
<Relationships xmlns="http://schemas.openxmlformats.org/package/2006/relationships"><Relationship Id="rId8" Type="http://schemas.openxmlformats.org/officeDocument/2006/relationships/chart" Target="../charts/chart49.xml"/><Relationship Id="rId13" Type="http://schemas.openxmlformats.org/officeDocument/2006/relationships/chart" Target="../charts/chart54.xml"/><Relationship Id="rId18" Type="http://schemas.openxmlformats.org/officeDocument/2006/relationships/chart" Target="../charts/chart59.xml"/><Relationship Id="rId3" Type="http://schemas.openxmlformats.org/officeDocument/2006/relationships/chart" Target="../charts/chart44.xml"/><Relationship Id="rId21" Type="http://schemas.openxmlformats.org/officeDocument/2006/relationships/chart" Target="../charts/chart62.xml"/><Relationship Id="rId7" Type="http://schemas.openxmlformats.org/officeDocument/2006/relationships/chart" Target="../charts/chart48.xml"/><Relationship Id="rId12" Type="http://schemas.openxmlformats.org/officeDocument/2006/relationships/chart" Target="../charts/chart53.xml"/><Relationship Id="rId17" Type="http://schemas.openxmlformats.org/officeDocument/2006/relationships/chart" Target="../charts/chart58.xml"/><Relationship Id="rId2" Type="http://schemas.openxmlformats.org/officeDocument/2006/relationships/chart" Target="../charts/chart43.xml"/><Relationship Id="rId16" Type="http://schemas.openxmlformats.org/officeDocument/2006/relationships/chart" Target="../charts/chart57.xml"/><Relationship Id="rId20" Type="http://schemas.openxmlformats.org/officeDocument/2006/relationships/chart" Target="../charts/chart61.xml"/><Relationship Id="rId1" Type="http://schemas.openxmlformats.org/officeDocument/2006/relationships/chart" Target="../charts/chart42.xml"/><Relationship Id="rId6" Type="http://schemas.openxmlformats.org/officeDocument/2006/relationships/chart" Target="../charts/chart47.xml"/><Relationship Id="rId11" Type="http://schemas.openxmlformats.org/officeDocument/2006/relationships/chart" Target="../charts/chart52.xml"/><Relationship Id="rId5" Type="http://schemas.openxmlformats.org/officeDocument/2006/relationships/chart" Target="../charts/chart46.xml"/><Relationship Id="rId15" Type="http://schemas.openxmlformats.org/officeDocument/2006/relationships/chart" Target="../charts/chart56.xml"/><Relationship Id="rId10" Type="http://schemas.openxmlformats.org/officeDocument/2006/relationships/chart" Target="../charts/chart51.xml"/><Relationship Id="rId19" Type="http://schemas.openxmlformats.org/officeDocument/2006/relationships/chart" Target="../charts/chart60.xml"/><Relationship Id="rId4" Type="http://schemas.openxmlformats.org/officeDocument/2006/relationships/chart" Target="../charts/chart45.xml"/><Relationship Id="rId9" Type="http://schemas.openxmlformats.org/officeDocument/2006/relationships/chart" Target="../charts/chart50.xml"/><Relationship Id="rId14" Type="http://schemas.openxmlformats.org/officeDocument/2006/relationships/chart" Target="../charts/chart55.xml"/><Relationship Id="rId22" Type="http://schemas.openxmlformats.org/officeDocument/2006/relationships/chart" Target="../charts/chart63.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71.xml"/><Relationship Id="rId13" Type="http://schemas.openxmlformats.org/officeDocument/2006/relationships/chart" Target="../charts/chart76.xml"/><Relationship Id="rId18" Type="http://schemas.openxmlformats.org/officeDocument/2006/relationships/chart" Target="../charts/chart81.xml"/><Relationship Id="rId3" Type="http://schemas.openxmlformats.org/officeDocument/2006/relationships/chart" Target="../charts/chart66.xml"/><Relationship Id="rId21" Type="http://schemas.openxmlformats.org/officeDocument/2006/relationships/chart" Target="../charts/chart84.xml"/><Relationship Id="rId7" Type="http://schemas.openxmlformats.org/officeDocument/2006/relationships/chart" Target="../charts/chart70.xml"/><Relationship Id="rId12" Type="http://schemas.openxmlformats.org/officeDocument/2006/relationships/chart" Target="../charts/chart75.xml"/><Relationship Id="rId17" Type="http://schemas.openxmlformats.org/officeDocument/2006/relationships/chart" Target="../charts/chart80.xml"/><Relationship Id="rId2" Type="http://schemas.openxmlformats.org/officeDocument/2006/relationships/chart" Target="../charts/chart65.xml"/><Relationship Id="rId16" Type="http://schemas.openxmlformats.org/officeDocument/2006/relationships/chart" Target="../charts/chart79.xml"/><Relationship Id="rId20" Type="http://schemas.openxmlformats.org/officeDocument/2006/relationships/chart" Target="../charts/chart83.xml"/><Relationship Id="rId1" Type="http://schemas.openxmlformats.org/officeDocument/2006/relationships/chart" Target="../charts/chart64.xml"/><Relationship Id="rId6" Type="http://schemas.openxmlformats.org/officeDocument/2006/relationships/chart" Target="../charts/chart69.xml"/><Relationship Id="rId11" Type="http://schemas.openxmlformats.org/officeDocument/2006/relationships/chart" Target="../charts/chart74.xml"/><Relationship Id="rId5" Type="http://schemas.openxmlformats.org/officeDocument/2006/relationships/chart" Target="../charts/chart68.xml"/><Relationship Id="rId15" Type="http://schemas.openxmlformats.org/officeDocument/2006/relationships/chart" Target="../charts/chart78.xml"/><Relationship Id="rId23" Type="http://schemas.openxmlformats.org/officeDocument/2006/relationships/chart" Target="../charts/chart86.xml"/><Relationship Id="rId10" Type="http://schemas.openxmlformats.org/officeDocument/2006/relationships/chart" Target="../charts/chart73.xml"/><Relationship Id="rId19" Type="http://schemas.openxmlformats.org/officeDocument/2006/relationships/chart" Target="../charts/chart82.xml"/><Relationship Id="rId4" Type="http://schemas.openxmlformats.org/officeDocument/2006/relationships/chart" Target="../charts/chart67.xml"/><Relationship Id="rId9" Type="http://schemas.openxmlformats.org/officeDocument/2006/relationships/chart" Target="../charts/chart72.xml"/><Relationship Id="rId14" Type="http://schemas.openxmlformats.org/officeDocument/2006/relationships/chart" Target="../charts/chart77.xml"/><Relationship Id="rId22" Type="http://schemas.openxmlformats.org/officeDocument/2006/relationships/chart" Target="../charts/chart8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89.xml"/><Relationship Id="rId7" Type="http://schemas.openxmlformats.org/officeDocument/2006/relationships/chart" Target="../charts/chart93.xml"/><Relationship Id="rId2" Type="http://schemas.openxmlformats.org/officeDocument/2006/relationships/chart" Target="../charts/chart88.xml"/><Relationship Id="rId1" Type="http://schemas.openxmlformats.org/officeDocument/2006/relationships/chart" Target="../charts/chart87.xml"/><Relationship Id="rId6" Type="http://schemas.openxmlformats.org/officeDocument/2006/relationships/chart" Target="../charts/chart92.xml"/><Relationship Id="rId5" Type="http://schemas.openxmlformats.org/officeDocument/2006/relationships/chart" Target="../charts/chart91.xml"/><Relationship Id="rId4" Type="http://schemas.openxmlformats.org/officeDocument/2006/relationships/chart" Target="../charts/chart90.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96.xml"/><Relationship Id="rId7" Type="http://schemas.openxmlformats.org/officeDocument/2006/relationships/chart" Target="../charts/chart100.xml"/><Relationship Id="rId2" Type="http://schemas.openxmlformats.org/officeDocument/2006/relationships/chart" Target="../charts/chart95.xml"/><Relationship Id="rId1" Type="http://schemas.openxmlformats.org/officeDocument/2006/relationships/chart" Target="../charts/chart94.xml"/><Relationship Id="rId6" Type="http://schemas.openxmlformats.org/officeDocument/2006/relationships/chart" Target="../charts/chart99.xml"/><Relationship Id="rId5" Type="http://schemas.openxmlformats.org/officeDocument/2006/relationships/chart" Target="../charts/chart98.xml"/><Relationship Id="rId4" Type="http://schemas.openxmlformats.org/officeDocument/2006/relationships/chart" Target="../charts/chart97.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03.xml"/><Relationship Id="rId7" Type="http://schemas.openxmlformats.org/officeDocument/2006/relationships/chart" Target="../charts/chart107.xml"/><Relationship Id="rId2" Type="http://schemas.openxmlformats.org/officeDocument/2006/relationships/chart" Target="../charts/chart102.xml"/><Relationship Id="rId1" Type="http://schemas.openxmlformats.org/officeDocument/2006/relationships/chart" Target="../charts/chart101.xml"/><Relationship Id="rId6" Type="http://schemas.openxmlformats.org/officeDocument/2006/relationships/chart" Target="../charts/chart106.xml"/><Relationship Id="rId5" Type="http://schemas.openxmlformats.org/officeDocument/2006/relationships/chart" Target="../charts/chart105.xml"/><Relationship Id="rId4" Type="http://schemas.openxmlformats.org/officeDocument/2006/relationships/chart" Target="../charts/chart10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10.xml"/><Relationship Id="rId7" Type="http://schemas.openxmlformats.org/officeDocument/2006/relationships/chart" Target="../charts/chart114.xml"/><Relationship Id="rId2" Type="http://schemas.openxmlformats.org/officeDocument/2006/relationships/chart" Target="../charts/chart109.xml"/><Relationship Id="rId1" Type="http://schemas.openxmlformats.org/officeDocument/2006/relationships/chart" Target="../charts/chart108.xml"/><Relationship Id="rId6" Type="http://schemas.openxmlformats.org/officeDocument/2006/relationships/chart" Target="../charts/chart113.xml"/><Relationship Id="rId5" Type="http://schemas.openxmlformats.org/officeDocument/2006/relationships/chart" Target="../charts/chart112.xml"/><Relationship Id="rId4" Type="http://schemas.openxmlformats.org/officeDocument/2006/relationships/chart" Target="../charts/chart11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116.xml"/><Relationship Id="rId1" Type="http://schemas.openxmlformats.org/officeDocument/2006/relationships/chart" Target="../charts/chart115.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18.xml"/><Relationship Id="rId1" Type="http://schemas.openxmlformats.org/officeDocument/2006/relationships/chart" Target="../charts/chart11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120.xml"/><Relationship Id="rId1" Type="http://schemas.openxmlformats.org/officeDocument/2006/relationships/chart" Target="../charts/chart119.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122.xml"/><Relationship Id="rId1" Type="http://schemas.openxmlformats.org/officeDocument/2006/relationships/chart" Target="../charts/chart121.xml"/></Relationships>
</file>

<file path=xl/drawings/drawing1.xml><?xml version="1.0" encoding="utf-8"?>
<xdr:wsDr xmlns:xdr="http://schemas.openxmlformats.org/drawingml/2006/spreadsheetDrawing" xmlns:a="http://schemas.openxmlformats.org/drawingml/2006/main">
  <xdr:twoCellAnchor>
    <xdr:from>
      <xdr:col>1</xdr:col>
      <xdr:colOff>982133</xdr:colOff>
      <xdr:row>25</xdr:row>
      <xdr:rowOff>135466</xdr:rowOff>
    </xdr:from>
    <xdr:to>
      <xdr:col>9</xdr:col>
      <xdr:colOff>0</xdr:colOff>
      <xdr:row>33</xdr:row>
      <xdr:rowOff>160866</xdr:rowOff>
    </xdr:to>
    <xdr:sp macro="" textlink="">
      <xdr:nvSpPr>
        <xdr:cNvPr id="20" name="Rectangle 19">
          <a:extLst>
            <a:ext uri="{FF2B5EF4-FFF2-40B4-BE49-F238E27FC236}">
              <a16:creationId xmlns:a16="http://schemas.microsoft.com/office/drawing/2014/main" id="{00000000-0008-0000-0000-000014000000}"/>
            </a:ext>
          </a:extLst>
        </xdr:cNvPr>
        <xdr:cNvSpPr>
          <a:spLocks noChangeArrowheads="1"/>
        </xdr:cNvSpPr>
      </xdr:nvSpPr>
      <xdr:spPr bwMode="auto">
        <a:xfrm>
          <a:off x="1286933" y="4917016"/>
          <a:ext cx="3999442" cy="1549400"/>
        </a:xfrm>
        <a:prstGeom prst="rect">
          <a:avLst/>
        </a:prstGeom>
        <a:solidFill>
          <a:srgbClr val="50697B">
            <a:alpha val="85000"/>
          </a:srgbClr>
        </a:solidFill>
        <a:ln w="15875">
          <a:noFill/>
          <a:miter lim="800000"/>
          <a:headEnd/>
          <a:tailEnd/>
        </a:ln>
        <a:effectLst/>
      </xdr:spPr>
      <xdr:txBody>
        <a:bodyPr wrap="square" lIns="0" tIns="0"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endParaRPr lang="en-US" sz="1200" b="0" i="1" strike="noStrike">
            <a:solidFill>
              <a:srgbClr val="FFFFFF"/>
            </a:solidFill>
            <a:latin typeface="Georgia"/>
            <a:ea typeface="Georgia"/>
            <a:cs typeface="Georgia"/>
          </a:endParaRPr>
        </a:p>
        <a:p>
          <a:pPr algn="l" rtl="0">
            <a:defRPr sz="1000"/>
          </a:pPr>
          <a:endParaRPr lang="en-US" sz="1200" b="0" i="1" strike="noStrike">
            <a:solidFill>
              <a:srgbClr val="FFFFFF"/>
            </a:solidFill>
            <a:latin typeface="Georgia"/>
            <a:ea typeface="Georgia"/>
            <a:cs typeface="Georgia"/>
          </a:endParaRPr>
        </a:p>
      </xdr:txBody>
    </xdr:sp>
    <xdr:clientData/>
  </xdr:twoCellAnchor>
  <xdr:twoCellAnchor editAs="oneCell">
    <xdr:from>
      <xdr:col>5</xdr:col>
      <xdr:colOff>203200</xdr:colOff>
      <xdr:row>14</xdr:row>
      <xdr:rowOff>43491</xdr:rowOff>
    </xdr:from>
    <xdr:to>
      <xdr:col>9</xdr:col>
      <xdr:colOff>0</xdr:colOff>
      <xdr:row>25</xdr:row>
      <xdr:rowOff>140718</xdr:rowOff>
    </xdr:to>
    <xdr:pic>
      <xdr:nvPicPr>
        <xdr:cNvPr id="21" name="Picture 20" descr="istockphoto_15389309-two-trains-on-a-railroad-tracks.jpg">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 cstate="print"/>
        <a:stretch>
          <a:fillRect/>
        </a:stretch>
      </xdr:blipFill>
      <xdr:spPr>
        <a:xfrm>
          <a:off x="3203575" y="2729541"/>
          <a:ext cx="2082800" cy="2192727"/>
        </a:xfrm>
        <a:prstGeom prst="rect">
          <a:avLst/>
        </a:prstGeom>
      </xdr:spPr>
    </xdr:pic>
    <xdr:clientData/>
  </xdr:twoCellAnchor>
  <xdr:twoCellAnchor editAs="oneCell">
    <xdr:from>
      <xdr:col>5</xdr:col>
      <xdr:colOff>793750</xdr:colOff>
      <xdr:row>6</xdr:row>
      <xdr:rowOff>147057</xdr:rowOff>
    </xdr:from>
    <xdr:to>
      <xdr:col>9</xdr:col>
      <xdr:colOff>0</xdr:colOff>
      <xdr:row>16</xdr:row>
      <xdr:rowOff>50801</xdr:rowOff>
    </xdr:to>
    <xdr:pic>
      <xdr:nvPicPr>
        <xdr:cNvPr id="22" name="Picture 21" descr="istockphoto_2294764-train-series.jpg">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 cstate="print"/>
        <a:stretch>
          <a:fillRect/>
        </a:stretch>
      </xdr:blipFill>
      <xdr:spPr>
        <a:xfrm>
          <a:off x="3575050" y="1309107"/>
          <a:ext cx="1711325" cy="1808744"/>
        </a:xfrm>
        <a:prstGeom prst="rect">
          <a:avLst/>
        </a:prstGeom>
      </xdr:spPr>
    </xdr:pic>
    <xdr:clientData/>
  </xdr:twoCellAnchor>
  <xdr:twoCellAnchor>
    <xdr:from>
      <xdr:col>0</xdr:col>
      <xdr:colOff>0</xdr:colOff>
      <xdr:row>25</xdr:row>
      <xdr:rowOff>135466</xdr:rowOff>
    </xdr:from>
    <xdr:to>
      <xdr:col>1</xdr:col>
      <xdr:colOff>990600</xdr:colOff>
      <xdr:row>33</xdr:row>
      <xdr:rowOff>160866</xdr:rowOff>
    </xdr:to>
    <xdr:sp macro="" textlink="">
      <xdr:nvSpPr>
        <xdr:cNvPr id="23" name="Rectangle 22">
          <a:extLst>
            <a:ext uri="{FF2B5EF4-FFF2-40B4-BE49-F238E27FC236}">
              <a16:creationId xmlns:a16="http://schemas.microsoft.com/office/drawing/2014/main" id="{00000000-0008-0000-0000-000017000000}"/>
            </a:ext>
          </a:extLst>
        </xdr:cNvPr>
        <xdr:cNvSpPr>
          <a:spLocks noChangeArrowheads="1"/>
        </xdr:cNvSpPr>
      </xdr:nvSpPr>
      <xdr:spPr bwMode="auto">
        <a:xfrm>
          <a:off x="0" y="4917016"/>
          <a:ext cx="1285875" cy="1549400"/>
        </a:xfrm>
        <a:prstGeom prst="rect">
          <a:avLst/>
        </a:prstGeom>
        <a:solidFill>
          <a:srgbClr val="50697B"/>
        </a:solidFill>
        <a:ln w="15875">
          <a:noFill/>
          <a:miter lim="800000"/>
          <a:headEnd/>
          <a:tailEnd/>
        </a:ln>
        <a:effectLst/>
      </xdr:spPr>
      <xdr:txBody>
        <a:bodyPr wrap="square" lIns="0" tIns="0"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endParaRPr lang="en-US" sz="1200" b="0" i="1" strike="noStrike">
            <a:solidFill>
              <a:srgbClr val="FFFFFF"/>
            </a:solidFill>
            <a:latin typeface="Georgia"/>
            <a:ea typeface="Georgia"/>
            <a:cs typeface="Georgia"/>
          </a:endParaRPr>
        </a:p>
        <a:p>
          <a:pPr algn="l" rtl="0">
            <a:defRPr sz="1000"/>
          </a:pPr>
          <a:endParaRPr lang="en-US" sz="1200" b="0" i="1" strike="noStrike">
            <a:solidFill>
              <a:srgbClr val="FFFFFF"/>
            </a:solidFill>
            <a:latin typeface="Georgia"/>
            <a:ea typeface="Georgia"/>
            <a:cs typeface="Georgia"/>
          </a:endParaRPr>
        </a:p>
      </xdr:txBody>
    </xdr:sp>
    <xdr:clientData/>
  </xdr:twoCellAnchor>
  <xdr:twoCellAnchor>
    <xdr:from>
      <xdr:col>0</xdr:col>
      <xdr:colOff>0</xdr:colOff>
      <xdr:row>0</xdr:row>
      <xdr:rowOff>0</xdr:rowOff>
    </xdr:from>
    <xdr:to>
      <xdr:col>9</xdr:col>
      <xdr:colOff>0</xdr:colOff>
      <xdr:row>7</xdr:row>
      <xdr:rowOff>177799</xdr:rowOff>
    </xdr:to>
    <xdr:sp macro="" textlink="">
      <xdr:nvSpPr>
        <xdr:cNvPr id="24" name="Rectangle 1">
          <a:extLst>
            <a:ext uri="{FF2B5EF4-FFF2-40B4-BE49-F238E27FC236}">
              <a16:creationId xmlns:a16="http://schemas.microsoft.com/office/drawing/2014/main" id="{00000000-0008-0000-0000-000018000000}"/>
            </a:ext>
          </a:extLst>
        </xdr:cNvPr>
        <xdr:cNvSpPr>
          <a:spLocks noChangeArrowheads="1"/>
        </xdr:cNvSpPr>
      </xdr:nvSpPr>
      <xdr:spPr bwMode="auto">
        <a:xfrm>
          <a:off x="0" y="0"/>
          <a:ext cx="5286375" cy="1530349"/>
        </a:xfrm>
        <a:prstGeom prst="rect">
          <a:avLst/>
        </a:prstGeom>
        <a:solidFill>
          <a:srgbClr val="50697B"/>
        </a:solidFill>
        <a:ln w="15875">
          <a:noFill/>
          <a:miter lim="800000"/>
          <a:headEnd/>
          <a:tailEnd/>
        </a:ln>
        <a:effectLst/>
      </xdr:spPr>
      <xdr:txBody>
        <a:bodyPr vertOverflow="clip" wrap="square" lIns="0" tIns="0" rIns="0" bIns="0" anchor="t" upright="1"/>
        <a:lstStyle/>
        <a:p>
          <a:pPr algn="l" rtl="0">
            <a:defRPr sz="1000"/>
          </a:pPr>
          <a:endParaRPr lang="en-US" sz="1200" b="0" i="1" strike="noStrike">
            <a:solidFill>
              <a:srgbClr val="FFFFFF"/>
            </a:solidFill>
            <a:latin typeface="Georgia"/>
            <a:ea typeface="Georgia"/>
            <a:cs typeface="Georgia"/>
          </a:endParaRPr>
        </a:p>
        <a:p>
          <a:pPr algn="l" rtl="0">
            <a:defRPr sz="1000"/>
          </a:pPr>
          <a:endParaRPr lang="en-US" sz="1200" b="0" i="1" strike="noStrike">
            <a:solidFill>
              <a:srgbClr val="FFFFFF"/>
            </a:solidFill>
            <a:latin typeface="Georgia"/>
            <a:ea typeface="Georgia"/>
            <a:cs typeface="Georgia"/>
          </a:endParaRPr>
        </a:p>
      </xdr:txBody>
    </xdr:sp>
    <xdr:clientData/>
  </xdr:twoCellAnchor>
  <xdr:twoCellAnchor>
    <xdr:from>
      <xdr:col>2</xdr:col>
      <xdr:colOff>59266</xdr:colOff>
      <xdr:row>1</xdr:row>
      <xdr:rowOff>16932</xdr:rowOff>
    </xdr:from>
    <xdr:to>
      <xdr:col>8</xdr:col>
      <xdr:colOff>812800</xdr:colOff>
      <xdr:row>6</xdr:row>
      <xdr:rowOff>143933</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345141" y="188382"/>
          <a:ext cx="3944409" cy="1117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2000" cap="none">
              <a:solidFill>
                <a:schemeClr val="bg1"/>
              </a:solidFill>
              <a:latin typeface="Trebuchet MS"/>
              <a:cs typeface="Trebuchet MS"/>
            </a:rPr>
            <a:t>Railway Reform:</a:t>
          </a:r>
          <a:br>
            <a:rPr lang="en-US" sz="2000" cap="none">
              <a:solidFill>
                <a:schemeClr val="bg1"/>
              </a:solidFill>
              <a:latin typeface="Trebuchet MS"/>
              <a:cs typeface="Trebuchet MS"/>
            </a:rPr>
          </a:br>
          <a:r>
            <a:rPr lang="en-US" sz="2000" cap="none">
              <a:solidFill>
                <a:schemeClr val="bg1"/>
              </a:solidFill>
              <a:latin typeface="Trebuchet MS"/>
              <a:cs typeface="Trebuchet MS"/>
            </a:rPr>
            <a:t>Toolkit For Improving Rail Sector Performance</a:t>
          </a:r>
          <a:br>
            <a:rPr lang="en-US" sz="2000">
              <a:solidFill>
                <a:schemeClr val="bg1"/>
              </a:solidFill>
              <a:latin typeface="Trebuchet MS"/>
              <a:cs typeface="Trebuchet MS"/>
            </a:rPr>
          </a:br>
          <a:r>
            <a:rPr lang="en-US" sz="3000" b="1">
              <a:solidFill>
                <a:schemeClr val="bg1"/>
              </a:solidFill>
              <a:latin typeface="Trebuchet MS"/>
              <a:cs typeface="Trebuchet MS"/>
            </a:rPr>
            <a:t>FINANCIAL MODEL</a:t>
          </a:r>
        </a:p>
      </xdr:txBody>
    </xdr:sp>
    <xdr:clientData/>
  </xdr:twoCellAnchor>
  <xdr:twoCellAnchor>
    <xdr:from>
      <xdr:col>2</xdr:col>
      <xdr:colOff>110066</xdr:colOff>
      <xdr:row>27</xdr:row>
      <xdr:rowOff>21168</xdr:rowOff>
    </xdr:from>
    <xdr:to>
      <xdr:col>8</xdr:col>
      <xdr:colOff>660400</xdr:colOff>
      <xdr:row>33</xdr:row>
      <xdr:rowOff>0</xdr:rowOff>
    </xdr:to>
    <xdr:sp macro="" textlink="">
      <xdr:nvSpPr>
        <xdr:cNvPr id="26" name="TextBox 6">
          <a:extLst>
            <a:ext uri="{FF2B5EF4-FFF2-40B4-BE49-F238E27FC236}">
              <a16:creationId xmlns:a16="http://schemas.microsoft.com/office/drawing/2014/main" id="{00000000-0008-0000-0000-00001A000000}"/>
            </a:ext>
          </a:extLst>
        </xdr:cNvPr>
        <xdr:cNvSpPr txBox="1"/>
      </xdr:nvSpPr>
      <xdr:spPr>
        <a:xfrm>
          <a:off x="1395941" y="5183718"/>
          <a:ext cx="3893609" cy="1121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just"/>
          <a:r>
            <a:rPr lang="en-US" sz="800" b="1">
              <a:solidFill>
                <a:schemeClr val="bg1"/>
              </a:solidFill>
              <a:latin typeface="Trebuchet MS"/>
              <a:cs typeface="Trebuchet MS"/>
            </a:rPr>
            <a:t>DISCLAIMER</a:t>
          </a:r>
        </a:p>
        <a:p>
          <a:pPr algn="just"/>
          <a:endParaRPr lang="en-US" sz="800">
            <a:solidFill>
              <a:schemeClr val="bg1"/>
            </a:solidFill>
            <a:latin typeface="Trebuchet MS"/>
            <a:cs typeface="Trebuchet MS"/>
          </a:endParaRPr>
        </a:p>
        <a:p>
          <a:pPr algn="just"/>
          <a:r>
            <a:rPr lang="en-US" sz="800">
              <a:solidFill>
                <a:schemeClr val="bg1"/>
              </a:solidFill>
              <a:latin typeface="Trebuchet MS"/>
              <a:cs typeface="Trebuchet MS"/>
            </a:rPr>
            <a:t>This model has been prepared by the World Bank for educational purposes only.</a:t>
          </a:r>
          <a:r>
            <a:rPr lang="en-US" sz="800" baseline="0">
              <a:solidFill>
                <a:schemeClr val="bg1"/>
              </a:solidFill>
              <a:latin typeface="Trebuchet MS"/>
              <a:cs typeface="Trebuchet MS"/>
            </a:rPr>
            <a:t> A professinal financial model auditor conducted a high-level review of the model (version 1.0) and suggested improvements which have been incorporated.</a:t>
          </a:r>
          <a:r>
            <a:rPr lang="en-US" sz="800">
              <a:solidFill>
                <a:schemeClr val="bg1"/>
              </a:solidFill>
              <a:latin typeface="Trebuchet MS"/>
              <a:cs typeface="Trebuchet MS"/>
            </a:rPr>
            <a:t> Although</a:t>
          </a:r>
          <a:r>
            <a:rPr lang="en-US" sz="800" baseline="0">
              <a:solidFill>
                <a:schemeClr val="bg1"/>
              </a:solidFill>
              <a:latin typeface="Trebuchet MS"/>
              <a:cs typeface="Trebuchet MS"/>
            </a:rPr>
            <a:t> the model was prepared with utmost care and diligence</a:t>
          </a:r>
          <a:r>
            <a:rPr lang="en-US" sz="800">
              <a:solidFill>
                <a:schemeClr val="bg1"/>
              </a:solidFill>
              <a:latin typeface="Trebuchet MS"/>
              <a:cs typeface="Trebuchet MS"/>
            </a:rPr>
            <a:t>, the Bank cannot be held liable directly or indirectly for the adequacy, completeness or accuracy of the model structure,  assumptions used or results obtained from the model. Anyone using this model does so at their own risk. Model users should carry out their own due diligence and verify all assumptions, calculations and results presented in this model.</a:t>
          </a:r>
        </a:p>
      </xdr:txBody>
    </xdr:sp>
    <xdr:clientData/>
  </xdr:twoCellAnchor>
  <xdr:twoCellAnchor editAs="oneCell">
    <xdr:from>
      <xdr:col>0</xdr:col>
      <xdr:colOff>245535</xdr:colOff>
      <xdr:row>28</xdr:row>
      <xdr:rowOff>70075</xdr:rowOff>
    </xdr:from>
    <xdr:to>
      <xdr:col>1</xdr:col>
      <xdr:colOff>1753</xdr:colOff>
      <xdr:row>30</xdr:row>
      <xdr:rowOff>42333</xdr:rowOff>
    </xdr:to>
    <xdr:pic>
      <xdr:nvPicPr>
        <xdr:cNvPr id="27" name="Picture 1" descr="wbcube-m">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5535" y="5423125"/>
          <a:ext cx="327718" cy="353258"/>
        </a:xfrm>
        <a:prstGeom prst="rect">
          <a:avLst/>
        </a:prstGeom>
        <a:noFill/>
      </xdr:spPr>
    </xdr:pic>
    <xdr:clientData/>
  </xdr:twoCellAnchor>
  <xdr:twoCellAnchor editAs="oneCell">
    <xdr:from>
      <xdr:col>1</xdr:col>
      <xdr:colOff>988484</xdr:colOff>
      <xdr:row>7</xdr:row>
      <xdr:rowOff>171897</xdr:rowOff>
    </xdr:from>
    <xdr:to>
      <xdr:col>5</xdr:col>
      <xdr:colOff>569584</xdr:colOff>
      <xdr:row>20</xdr:row>
      <xdr:rowOff>32999</xdr:rowOff>
    </xdr:to>
    <xdr:pic>
      <xdr:nvPicPr>
        <xdr:cNvPr id="28" name="Picture 27" descr="istockphoto_12343058-railway-track-points.jpg">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stretch>
          <a:fillRect/>
        </a:stretch>
      </xdr:blipFill>
      <xdr:spPr>
        <a:xfrm>
          <a:off x="1283759" y="1524447"/>
          <a:ext cx="2286200" cy="2337602"/>
        </a:xfrm>
        <a:prstGeom prst="rect">
          <a:avLst/>
        </a:prstGeom>
      </xdr:spPr>
    </xdr:pic>
    <xdr:clientData/>
  </xdr:twoCellAnchor>
  <xdr:twoCellAnchor>
    <xdr:from>
      <xdr:col>0</xdr:col>
      <xdr:colOff>0</xdr:colOff>
      <xdr:row>0</xdr:row>
      <xdr:rowOff>0</xdr:rowOff>
    </xdr:from>
    <xdr:to>
      <xdr:col>1</xdr:col>
      <xdr:colOff>990600</xdr:colOff>
      <xdr:row>25</xdr:row>
      <xdr:rowOff>152400</xdr:rowOff>
    </xdr:to>
    <xdr:sp macro="" textlink="">
      <xdr:nvSpPr>
        <xdr:cNvPr id="29" name="Rectangle 28">
          <a:extLst>
            <a:ext uri="{FF2B5EF4-FFF2-40B4-BE49-F238E27FC236}">
              <a16:creationId xmlns:a16="http://schemas.microsoft.com/office/drawing/2014/main" id="{00000000-0008-0000-0000-00001D000000}"/>
            </a:ext>
          </a:extLst>
        </xdr:cNvPr>
        <xdr:cNvSpPr>
          <a:spLocks noChangeArrowheads="1"/>
        </xdr:cNvSpPr>
      </xdr:nvSpPr>
      <xdr:spPr bwMode="auto">
        <a:xfrm>
          <a:off x="0" y="0"/>
          <a:ext cx="1285875" cy="4933950"/>
        </a:xfrm>
        <a:prstGeom prst="rect">
          <a:avLst/>
        </a:prstGeom>
        <a:solidFill>
          <a:srgbClr val="C10020"/>
        </a:solidFill>
        <a:ln w="15875">
          <a:noFill/>
          <a:miter lim="800000"/>
          <a:headEnd/>
          <a:tailEnd/>
        </a:ln>
        <a:effectLst/>
      </xdr:spPr>
      <xdr:txBody>
        <a:bodyPr wrap="square" lIns="0" tIns="0"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endParaRPr lang="en-US" sz="1200" b="0" i="1" strike="noStrike">
            <a:solidFill>
              <a:srgbClr val="FFFFFF"/>
            </a:solidFill>
            <a:latin typeface="Georgia"/>
            <a:ea typeface="Georgia"/>
            <a:cs typeface="Georgia"/>
          </a:endParaRPr>
        </a:p>
        <a:p>
          <a:pPr algn="l" rtl="0">
            <a:defRPr sz="1000"/>
          </a:pPr>
          <a:endParaRPr lang="en-US" sz="1200" b="0" i="1" strike="noStrike">
            <a:solidFill>
              <a:srgbClr val="FFFFFF"/>
            </a:solidFill>
            <a:latin typeface="Georgia"/>
            <a:ea typeface="Georgia"/>
            <a:cs typeface="Georgia"/>
          </a:endParaRPr>
        </a:p>
      </xdr:txBody>
    </xdr:sp>
    <xdr:clientData/>
  </xdr:twoCellAnchor>
  <xdr:twoCellAnchor editAs="oneCell">
    <xdr:from>
      <xdr:col>1</xdr:col>
      <xdr:colOff>988483</xdr:colOff>
      <xdr:row>19</xdr:row>
      <xdr:rowOff>2511</xdr:rowOff>
    </xdr:from>
    <xdr:to>
      <xdr:col>5</xdr:col>
      <xdr:colOff>570441</xdr:colOff>
      <xdr:row>25</xdr:row>
      <xdr:rowOff>158909</xdr:rowOff>
    </xdr:to>
    <xdr:pic>
      <xdr:nvPicPr>
        <xdr:cNvPr id="30" name="Picture 29" descr="istockphoto_10054638-coal-train-ascending-hill-in-colorado.jpg">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5" cstate="print"/>
        <a:stretch>
          <a:fillRect/>
        </a:stretch>
      </xdr:blipFill>
      <xdr:spPr>
        <a:xfrm>
          <a:off x="1283758" y="3641061"/>
          <a:ext cx="2287058" cy="1299398"/>
        </a:xfrm>
        <a:prstGeom prst="rect">
          <a:avLst/>
        </a:prstGeom>
      </xdr:spPr>
    </xdr:pic>
    <xdr:clientData/>
  </xdr:twoCellAnchor>
  <xdr:twoCellAnchor>
    <xdr:from>
      <xdr:col>0</xdr:col>
      <xdr:colOff>135466</xdr:colOff>
      <xdr:row>24</xdr:row>
      <xdr:rowOff>30692</xdr:rowOff>
    </xdr:from>
    <xdr:to>
      <xdr:col>1</xdr:col>
      <xdr:colOff>675217</xdr:colOff>
      <xdr:row>27</xdr:row>
      <xdr:rowOff>149225</xdr:rowOff>
    </xdr:to>
    <xdr:sp macro="" textlink="">
      <xdr:nvSpPr>
        <xdr:cNvPr id="31" name="TextBox 6">
          <a:extLst>
            <a:ext uri="{FF2B5EF4-FFF2-40B4-BE49-F238E27FC236}">
              <a16:creationId xmlns:a16="http://schemas.microsoft.com/office/drawing/2014/main" id="{00000000-0008-0000-0000-00001F000000}"/>
            </a:ext>
          </a:extLst>
        </xdr:cNvPr>
        <xdr:cNvSpPr txBox="1"/>
      </xdr:nvSpPr>
      <xdr:spPr>
        <a:xfrm>
          <a:off x="135466" y="4621742"/>
          <a:ext cx="1111251" cy="69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just"/>
          <a:r>
            <a:rPr lang="en-US" sz="1200" b="1">
              <a:solidFill>
                <a:schemeClr val="bg1">
                  <a:alpha val="54000"/>
                </a:schemeClr>
              </a:solidFill>
              <a:latin typeface="Trebuchet MS"/>
              <a:cs typeface="Trebuchet MS"/>
            </a:rPr>
            <a:t>Version 1.1</a:t>
          </a:r>
          <a:endParaRPr lang="en-US" sz="1200">
            <a:solidFill>
              <a:schemeClr val="bg1">
                <a:alpha val="54000"/>
              </a:schemeClr>
            </a:solidFill>
            <a:latin typeface="Trebuchet MS"/>
            <a:cs typeface="Trebuchet MS"/>
          </a:endParaRPr>
        </a:p>
      </xdr:txBody>
    </xdr:sp>
    <xdr:clientData/>
  </xdr:twoCellAnchor>
  <xdr:twoCellAnchor editAs="oneCell">
    <xdr:from>
      <xdr:col>0</xdr:col>
      <xdr:colOff>214021</xdr:colOff>
      <xdr:row>30</xdr:row>
      <xdr:rowOff>106068</xdr:rowOff>
    </xdr:from>
    <xdr:to>
      <xdr:col>0</xdr:col>
      <xdr:colOff>567225</xdr:colOff>
      <xdr:row>32</xdr:row>
      <xdr:rowOff>84665</xdr:rowOff>
    </xdr:to>
    <xdr:pic>
      <xdr:nvPicPr>
        <xdr:cNvPr id="32" name="Picture 31" descr="New-TRS-logo_cmyk.png">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6" cstate="print"/>
        <a:stretch>
          <a:fillRect/>
        </a:stretch>
      </xdr:blipFill>
      <xdr:spPr>
        <a:xfrm>
          <a:off x="214021" y="5840118"/>
          <a:ext cx="353204" cy="359597"/>
        </a:xfrm>
        <a:prstGeom prst="rect">
          <a:avLst/>
        </a:prstGeom>
      </xdr:spPr>
    </xdr:pic>
    <xdr:clientData/>
  </xdr:twoCellAnchor>
  <xdr:twoCellAnchor editAs="oneCell">
    <xdr:from>
      <xdr:col>0</xdr:col>
      <xdr:colOff>228600</xdr:colOff>
      <xdr:row>26</xdr:row>
      <xdr:rowOff>134679</xdr:rowOff>
    </xdr:from>
    <xdr:to>
      <xdr:col>1</xdr:col>
      <xdr:colOff>474134</xdr:colOff>
      <xdr:row>27</xdr:row>
      <xdr:rowOff>156634</xdr:rowOff>
    </xdr:to>
    <xdr:pic>
      <xdr:nvPicPr>
        <xdr:cNvPr id="33" name="Picture 32" descr="ppiaf_logo.png">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7" cstate="print"/>
        <a:stretch>
          <a:fillRect/>
        </a:stretch>
      </xdr:blipFill>
      <xdr:spPr>
        <a:xfrm>
          <a:off x="228600" y="5106729"/>
          <a:ext cx="817034" cy="2124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63500</xdr:colOff>
          <xdr:row>9</xdr:row>
          <xdr:rowOff>0</xdr:rowOff>
        </xdr:from>
        <xdr:to>
          <xdr:col>4</xdr:col>
          <xdr:colOff>1282700</xdr:colOff>
          <xdr:row>9</xdr:row>
          <xdr:rowOff>266700</xdr:rowOff>
        </xdr:to>
        <xdr:sp macro="" textlink="">
          <xdr:nvSpPr>
            <xdr:cNvPr id="17572" name="Drop Down 164" hidden="1">
              <a:extLst>
                <a:ext uri="{63B3BB69-23CF-44E3-9099-C40C66FF867C}">
                  <a14:compatExt spid="_x0000_s17572"/>
                </a:ext>
                <a:ext uri="{FF2B5EF4-FFF2-40B4-BE49-F238E27FC236}">
                  <a16:creationId xmlns:a16="http://schemas.microsoft.com/office/drawing/2014/main" id="{00000000-0008-0000-0100-0000A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10</xdr:row>
          <xdr:rowOff>114300</xdr:rowOff>
        </xdr:from>
        <xdr:to>
          <xdr:col>4</xdr:col>
          <xdr:colOff>1206500</xdr:colOff>
          <xdr:row>11</xdr:row>
          <xdr:rowOff>114300</xdr:rowOff>
        </xdr:to>
        <xdr:sp macro="" textlink="">
          <xdr:nvSpPr>
            <xdr:cNvPr id="17598" name="Check Box 190" hidden="1">
              <a:extLst>
                <a:ext uri="{63B3BB69-23CF-44E3-9099-C40C66FF867C}">
                  <a14:compatExt spid="_x0000_s17598"/>
                </a:ext>
                <a:ext uri="{FF2B5EF4-FFF2-40B4-BE49-F238E27FC236}">
                  <a16:creationId xmlns:a16="http://schemas.microsoft.com/office/drawing/2014/main" id="{00000000-0008-0000-0100-0000BE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1308100</xdr:colOff>
          <xdr:row>10</xdr:row>
          <xdr:rowOff>127000</xdr:rowOff>
        </xdr:from>
        <xdr:to>
          <xdr:col>4</xdr:col>
          <xdr:colOff>2501900</xdr:colOff>
          <xdr:row>11</xdr:row>
          <xdr:rowOff>127000</xdr:rowOff>
        </xdr:to>
        <xdr:sp macro="" textlink="">
          <xdr:nvSpPr>
            <xdr:cNvPr id="17599" name="Check Box 191" hidden="1">
              <a:extLst>
                <a:ext uri="{63B3BB69-23CF-44E3-9099-C40C66FF867C}">
                  <a14:compatExt spid="_x0000_s17599"/>
                </a:ext>
                <a:ext uri="{FF2B5EF4-FFF2-40B4-BE49-F238E27FC236}">
                  <a16:creationId xmlns:a16="http://schemas.microsoft.com/office/drawing/2014/main" id="{00000000-0008-0000-0100-0000B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Passenger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2794000</xdr:colOff>
          <xdr:row>10</xdr:row>
          <xdr:rowOff>127000</xdr:rowOff>
        </xdr:from>
        <xdr:to>
          <xdr:col>5</xdr:col>
          <xdr:colOff>812800</xdr:colOff>
          <xdr:row>11</xdr:row>
          <xdr:rowOff>127000</xdr:rowOff>
        </xdr:to>
        <xdr:sp macro="" textlink="">
          <xdr:nvSpPr>
            <xdr:cNvPr id="17600" name="Check Box 192" hidden="1">
              <a:extLst>
                <a:ext uri="{63B3BB69-23CF-44E3-9099-C40C66FF867C}">
                  <a14:compatExt spid="_x0000_s17600"/>
                </a:ext>
                <a:ext uri="{FF2B5EF4-FFF2-40B4-BE49-F238E27FC236}">
                  <a16:creationId xmlns:a16="http://schemas.microsoft.com/office/drawing/2014/main" id="{00000000-0008-0000-0100-0000C0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Infrastructure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952500</xdr:colOff>
      <xdr:row>59</xdr:row>
      <xdr:rowOff>0</xdr:rowOff>
    </xdr:from>
    <xdr:to>
      <xdr:col>4</xdr:col>
      <xdr:colOff>2349500</xdr:colOff>
      <xdr:row>60</xdr:row>
      <xdr:rowOff>76200</xdr:rowOff>
    </xdr:to>
    <xdr:pic>
      <xdr:nvPicPr>
        <xdr:cNvPr id="1350" name="ComboBox1">
          <a:extLst>
            <a:ext uri="{FF2B5EF4-FFF2-40B4-BE49-F238E27FC236}">
              <a16:creationId xmlns:a16="http://schemas.microsoft.com/office/drawing/2014/main" id="{00000000-0008-0000-02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51800" y="106172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1778000</xdr:colOff>
      <xdr:row>66</xdr:row>
      <xdr:rowOff>12700</xdr:rowOff>
    </xdr:from>
    <xdr:to>
      <xdr:col>4</xdr:col>
      <xdr:colOff>2565400</xdr:colOff>
      <xdr:row>67</xdr:row>
      <xdr:rowOff>0</xdr:rowOff>
    </xdr:to>
    <xdr:pic>
      <xdr:nvPicPr>
        <xdr:cNvPr id="1356" name="ScrollBar1">
          <a:extLst>
            <a:ext uri="{FF2B5EF4-FFF2-40B4-BE49-F238E27FC236}">
              <a16:creationId xmlns:a16="http://schemas.microsoft.com/office/drawing/2014/main" id="{00000000-0008-0000-0200-00004C05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77300" y="118745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952500</xdr:colOff>
      <xdr:row>64</xdr:row>
      <xdr:rowOff>0</xdr:rowOff>
    </xdr:from>
    <xdr:to>
      <xdr:col>4</xdr:col>
      <xdr:colOff>2349500</xdr:colOff>
      <xdr:row>65</xdr:row>
      <xdr:rowOff>76200</xdr:rowOff>
    </xdr:to>
    <xdr:pic>
      <xdr:nvPicPr>
        <xdr:cNvPr id="1367" name="ComboBox2">
          <a:extLst>
            <a:ext uri="{FF2B5EF4-FFF2-40B4-BE49-F238E27FC236}">
              <a16:creationId xmlns:a16="http://schemas.microsoft.com/office/drawing/2014/main" id="{00000000-0008-0000-0200-00005705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51800" y="115062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952500</xdr:colOff>
      <xdr:row>72</xdr:row>
      <xdr:rowOff>0</xdr:rowOff>
    </xdr:from>
    <xdr:to>
      <xdr:col>4</xdr:col>
      <xdr:colOff>2349500</xdr:colOff>
      <xdr:row>73</xdr:row>
      <xdr:rowOff>76200</xdr:rowOff>
    </xdr:to>
    <xdr:pic>
      <xdr:nvPicPr>
        <xdr:cNvPr id="1368" name="ComboBox3">
          <a:extLst>
            <a:ext uri="{FF2B5EF4-FFF2-40B4-BE49-F238E27FC236}">
              <a16:creationId xmlns:a16="http://schemas.microsoft.com/office/drawing/2014/main" id="{00000000-0008-0000-0200-00005805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51800" y="129286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952500</xdr:colOff>
      <xdr:row>80</xdr:row>
      <xdr:rowOff>0</xdr:rowOff>
    </xdr:from>
    <xdr:to>
      <xdr:col>4</xdr:col>
      <xdr:colOff>2349500</xdr:colOff>
      <xdr:row>81</xdr:row>
      <xdr:rowOff>76200</xdr:rowOff>
    </xdr:to>
    <xdr:pic>
      <xdr:nvPicPr>
        <xdr:cNvPr id="1369" name="ComboBox4">
          <a:extLst>
            <a:ext uri="{FF2B5EF4-FFF2-40B4-BE49-F238E27FC236}">
              <a16:creationId xmlns:a16="http://schemas.microsoft.com/office/drawing/2014/main" id="{00000000-0008-0000-0200-00005905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051800" y="143510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952500</xdr:colOff>
      <xdr:row>88</xdr:row>
      <xdr:rowOff>12700</xdr:rowOff>
    </xdr:from>
    <xdr:to>
      <xdr:col>4</xdr:col>
      <xdr:colOff>2349500</xdr:colOff>
      <xdr:row>89</xdr:row>
      <xdr:rowOff>88900</xdr:rowOff>
    </xdr:to>
    <xdr:pic>
      <xdr:nvPicPr>
        <xdr:cNvPr id="1370" name="ComboBox5">
          <a:extLst>
            <a:ext uri="{FF2B5EF4-FFF2-40B4-BE49-F238E27FC236}">
              <a16:creationId xmlns:a16="http://schemas.microsoft.com/office/drawing/2014/main" id="{00000000-0008-0000-0200-00005A05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051800" y="157861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927100</xdr:colOff>
      <xdr:row>96</xdr:row>
      <xdr:rowOff>12700</xdr:rowOff>
    </xdr:from>
    <xdr:to>
      <xdr:col>4</xdr:col>
      <xdr:colOff>2324100</xdr:colOff>
      <xdr:row>97</xdr:row>
      <xdr:rowOff>88900</xdr:rowOff>
    </xdr:to>
    <xdr:pic>
      <xdr:nvPicPr>
        <xdr:cNvPr id="1371" name="ComboBox6">
          <a:extLst>
            <a:ext uri="{FF2B5EF4-FFF2-40B4-BE49-F238E27FC236}">
              <a16:creationId xmlns:a16="http://schemas.microsoft.com/office/drawing/2014/main" id="{00000000-0008-0000-0200-00005B05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026400" y="172085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1778000</xdr:colOff>
      <xdr:row>67</xdr:row>
      <xdr:rowOff>190500</xdr:rowOff>
    </xdr:from>
    <xdr:to>
      <xdr:col>4</xdr:col>
      <xdr:colOff>2565400</xdr:colOff>
      <xdr:row>68</xdr:row>
      <xdr:rowOff>177800</xdr:rowOff>
    </xdr:to>
    <xdr:pic>
      <xdr:nvPicPr>
        <xdr:cNvPr id="1372" name="ScrollBar2">
          <a:extLst>
            <a:ext uri="{FF2B5EF4-FFF2-40B4-BE49-F238E27FC236}">
              <a16:creationId xmlns:a16="http://schemas.microsoft.com/office/drawing/2014/main" id="{00000000-0008-0000-0200-00005C05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877300" y="122174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74</xdr:row>
      <xdr:rowOff>12700</xdr:rowOff>
    </xdr:from>
    <xdr:to>
      <xdr:col>4</xdr:col>
      <xdr:colOff>2603500</xdr:colOff>
      <xdr:row>75</xdr:row>
      <xdr:rowOff>0</xdr:rowOff>
    </xdr:to>
    <xdr:pic>
      <xdr:nvPicPr>
        <xdr:cNvPr id="1373" name="ScrollBar3">
          <a:extLst>
            <a:ext uri="{FF2B5EF4-FFF2-40B4-BE49-F238E27FC236}">
              <a16:creationId xmlns:a16="http://schemas.microsoft.com/office/drawing/2014/main" id="{00000000-0008-0000-0200-00005D05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15400" y="132969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75</xdr:row>
      <xdr:rowOff>203200</xdr:rowOff>
    </xdr:from>
    <xdr:to>
      <xdr:col>4</xdr:col>
      <xdr:colOff>2603500</xdr:colOff>
      <xdr:row>76</xdr:row>
      <xdr:rowOff>190500</xdr:rowOff>
    </xdr:to>
    <xdr:pic>
      <xdr:nvPicPr>
        <xdr:cNvPr id="1374" name="ScrollBar4">
          <a:extLst>
            <a:ext uri="{FF2B5EF4-FFF2-40B4-BE49-F238E27FC236}">
              <a16:creationId xmlns:a16="http://schemas.microsoft.com/office/drawing/2014/main" id="{00000000-0008-0000-0200-00005E05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15400" y="136398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81</xdr:row>
      <xdr:rowOff>203200</xdr:rowOff>
    </xdr:from>
    <xdr:to>
      <xdr:col>4</xdr:col>
      <xdr:colOff>2616200</xdr:colOff>
      <xdr:row>82</xdr:row>
      <xdr:rowOff>190500</xdr:rowOff>
    </xdr:to>
    <xdr:pic>
      <xdr:nvPicPr>
        <xdr:cNvPr id="1375" name="ScrollBar5">
          <a:extLst>
            <a:ext uri="{FF2B5EF4-FFF2-40B4-BE49-F238E27FC236}">
              <a16:creationId xmlns:a16="http://schemas.microsoft.com/office/drawing/2014/main" id="{00000000-0008-0000-0200-00005F05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28100" y="147066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84</xdr:row>
      <xdr:rowOff>0</xdr:rowOff>
    </xdr:from>
    <xdr:to>
      <xdr:col>4</xdr:col>
      <xdr:colOff>2616200</xdr:colOff>
      <xdr:row>84</xdr:row>
      <xdr:rowOff>203200</xdr:rowOff>
    </xdr:to>
    <xdr:pic>
      <xdr:nvPicPr>
        <xdr:cNvPr id="1376" name="ScrollBar6">
          <a:extLst>
            <a:ext uri="{FF2B5EF4-FFF2-40B4-BE49-F238E27FC236}">
              <a16:creationId xmlns:a16="http://schemas.microsoft.com/office/drawing/2014/main" id="{00000000-0008-0000-0200-00006005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28100" y="150622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90</xdr:row>
      <xdr:rowOff>0</xdr:rowOff>
    </xdr:from>
    <xdr:to>
      <xdr:col>4</xdr:col>
      <xdr:colOff>2616200</xdr:colOff>
      <xdr:row>90</xdr:row>
      <xdr:rowOff>203200</xdr:rowOff>
    </xdr:to>
    <xdr:pic>
      <xdr:nvPicPr>
        <xdr:cNvPr id="1377" name="ScrollBar7">
          <a:extLst>
            <a:ext uri="{FF2B5EF4-FFF2-40B4-BE49-F238E27FC236}">
              <a16:creationId xmlns:a16="http://schemas.microsoft.com/office/drawing/2014/main" id="{00000000-0008-0000-0200-00006105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28100" y="161290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91</xdr:row>
      <xdr:rowOff>203200</xdr:rowOff>
    </xdr:from>
    <xdr:to>
      <xdr:col>4</xdr:col>
      <xdr:colOff>2616200</xdr:colOff>
      <xdr:row>92</xdr:row>
      <xdr:rowOff>190500</xdr:rowOff>
    </xdr:to>
    <xdr:pic>
      <xdr:nvPicPr>
        <xdr:cNvPr id="1378" name="ScrollBar8">
          <a:extLst>
            <a:ext uri="{FF2B5EF4-FFF2-40B4-BE49-F238E27FC236}">
              <a16:creationId xmlns:a16="http://schemas.microsoft.com/office/drawing/2014/main" id="{00000000-0008-0000-0200-00006205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28100" y="164846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98</xdr:row>
      <xdr:rowOff>12700</xdr:rowOff>
    </xdr:from>
    <xdr:to>
      <xdr:col>4</xdr:col>
      <xdr:colOff>2654300</xdr:colOff>
      <xdr:row>99</xdr:row>
      <xdr:rowOff>0</xdr:rowOff>
    </xdr:to>
    <xdr:pic>
      <xdr:nvPicPr>
        <xdr:cNvPr id="1379" name="ScrollBar9">
          <a:extLst>
            <a:ext uri="{FF2B5EF4-FFF2-40B4-BE49-F238E27FC236}">
              <a16:creationId xmlns:a16="http://schemas.microsoft.com/office/drawing/2014/main" id="{00000000-0008-0000-0200-00006305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66200" y="17564100"/>
          <a:ext cx="7747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99</xdr:row>
      <xdr:rowOff>203200</xdr:rowOff>
    </xdr:from>
    <xdr:to>
      <xdr:col>4</xdr:col>
      <xdr:colOff>2654300</xdr:colOff>
      <xdr:row>100</xdr:row>
      <xdr:rowOff>190500</xdr:rowOff>
    </xdr:to>
    <xdr:pic>
      <xdr:nvPicPr>
        <xdr:cNvPr id="1380" name="ScrollBar10">
          <a:extLst>
            <a:ext uri="{FF2B5EF4-FFF2-40B4-BE49-F238E27FC236}">
              <a16:creationId xmlns:a16="http://schemas.microsoft.com/office/drawing/2014/main" id="{00000000-0008-0000-0200-00006405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66200" y="179070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1739900</xdr:colOff>
      <xdr:row>61</xdr:row>
      <xdr:rowOff>0</xdr:rowOff>
    </xdr:from>
    <xdr:to>
      <xdr:col>4</xdr:col>
      <xdr:colOff>2527300</xdr:colOff>
      <xdr:row>61</xdr:row>
      <xdr:rowOff>203200</xdr:rowOff>
    </xdr:to>
    <xdr:pic>
      <xdr:nvPicPr>
        <xdr:cNvPr id="1381" name="ScrollBar11">
          <a:extLst>
            <a:ext uri="{FF2B5EF4-FFF2-40B4-BE49-F238E27FC236}">
              <a16:creationId xmlns:a16="http://schemas.microsoft.com/office/drawing/2014/main" id="{00000000-0008-0000-0200-00006505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839200" y="109728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952500</xdr:colOff>
      <xdr:row>109</xdr:row>
      <xdr:rowOff>190500</xdr:rowOff>
    </xdr:from>
    <xdr:to>
      <xdr:col>4</xdr:col>
      <xdr:colOff>2171700</xdr:colOff>
      <xdr:row>111</xdr:row>
      <xdr:rowOff>0</xdr:rowOff>
    </xdr:to>
    <xdr:pic>
      <xdr:nvPicPr>
        <xdr:cNvPr id="1383" name="ComboBox7">
          <a:extLst>
            <a:ext uri="{FF2B5EF4-FFF2-40B4-BE49-F238E27FC236}">
              <a16:creationId xmlns:a16="http://schemas.microsoft.com/office/drawing/2014/main" id="{00000000-0008-0000-0200-00006705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051800" y="19748500"/>
          <a:ext cx="12192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141</xdr:row>
      <xdr:rowOff>203200</xdr:rowOff>
    </xdr:from>
    <xdr:to>
      <xdr:col>4</xdr:col>
      <xdr:colOff>2006600</xdr:colOff>
      <xdr:row>143</xdr:row>
      <xdr:rowOff>25400</xdr:rowOff>
    </xdr:to>
    <xdr:pic>
      <xdr:nvPicPr>
        <xdr:cNvPr id="1384" name="ComboBox8">
          <a:extLst>
            <a:ext uri="{FF2B5EF4-FFF2-40B4-BE49-F238E27FC236}">
              <a16:creationId xmlns:a16="http://schemas.microsoft.com/office/drawing/2014/main" id="{00000000-0008-0000-0200-00006805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229600" y="25463500"/>
          <a:ext cx="8763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1930400</xdr:colOff>
      <xdr:row>146</xdr:row>
      <xdr:rowOff>12700</xdr:rowOff>
    </xdr:from>
    <xdr:to>
      <xdr:col>4</xdr:col>
      <xdr:colOff>2717800</xdr:colOff>
      <xdr:row>147</xdr:row>
      <xdr:rowOff>0</xdr:rowOff>
    </xdr:to>
    <xdr:pic>
      <xdr:nvPicPr>
        <xdr:cNvPr id="1385" name="ScrollBar12">
          <a:extLst>
            <a:ext uri="{FF2B5EF4-FFF2-40B4-BE49-F238E27FC236}">
              <a16:creationId xmlns:a16="http://schemas.microsoft.com/office/drawing/2014/main" id="{00000000-0008-0000-0200-00006905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029700" y="26200100"/>
          <a:ext cx="7112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151</xdr:row>
      <xdr:rowOff>0</xdr:rowOff>
    </xdr:from>
    <xdr:to>
      <xdr:col>4</xdr:col>
      <xdr:colOff>2768600</xdr:colOff>
      <xdr:row>151</xdr:row>
      <xdr:rowOff>203200</xdr:rowOff>
    </xdr:to>
    <xdr:pic>
      <xdr:nvPicPr>
        <xdr:cNvPr id="1386" name="ScrollBar13">
          <a:extLst>
            <a:ext uri="{FF2B5EF4-FFF2-40B4-BE49-F238E27FC236}">
              <a16:creationId xmlns:a16="http://schemas.microsoft.com/office/drawing/2014/main" id="{00000000-0008-0000-0200-00006A05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080500" y="270764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156</xdr:row>
      <xdr:rowOff>0</xdr:rowOff>
    </xdr:from>
    <xdr:to>
      <xdr:col>4</xdr:col>
      <xdr:colOff>2768600</xdr:colOff>
      <xdr:row>156</xdr:row>
      <xdr:rowOff>203200</xdr:rowOff>
    </xdr:to>
    <xdr:pic>
      <xdr:nvPicPr>
        <xdr:cNvPr id="1387" name="ScrollBar14">
          <a:extLst>
            <a:ext uri="{FF2B5EF4-FFF2-40B4-BE49-F238E27FC236}">
              <a16:creationId xmlns:a16="http://schemas.microsoft.com/office/drawing/2014/main" id="{00000000-0008-0000-0200-00006B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80500" y="279654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161</xdr:row>
      <xdr:rowOff>0</xdr:rowOff>
    </xdr:from>
    <xdr:to>
      <xdr:col>4</xdr:col>
      <xdr:colOff>2768600</xdr:colOff>
      <xdr:row>161</xdr:row>
      <xdr:rowOff>203200</xdr:rowOff>
    </xdr:to>
    <xdr:pic>
      <xdr:nvPicPr>
        <xdr:cNvPr id="1388" name="ScrollBar15">
          <a:extLst>
            <a:ext uri="{FF2B5EF4-FFF2-40B4-BE49-F238E27FC236}">
              <a16:creationId xmlns:a16="http://schemas.microsoft.com/office/drawing/2014/main" id="{00000000-0008-0000-0200-00006C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80500" y="288544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166</xdr:row>
      <xdr:rowOff>0</xdr:rowOff>
    </xdr:from>
    <xdr:to>
      <xdr:col>4</xdr:col>
      <xdr:colOff>2768600</xdr:colOff>
      <xdr:row>166</xdr:row>
      <xdr:rowOff>203200</xdr:rowOff>
    </xdr:to>
    <xdr:pic>
      <xdr:nvPicPr>
        <xdr:cNvPr id="1389" name="ScrollBar16">
          <a:extLst>
            <a:ext uri="{FF2B5EF4-FFF2-40B4-BE49-F238E27FC236}">
              <a16:creationId xmlns:a16="http://schemas.microsoft.com/office/drawing/2014/main" id="{00000000-0008-0000-0200-00006D05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9080500" y="297434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171</xdr:row>
      <xdr:rowOff>0</xdr:rowOff>
    </xdr:from>
    <xdr:to>
      <xdr:col>4</xdr:col>
      <xdr:colOff>2768600</xdr:colOff>
      <xdr:row>171</xdr:row>
      <xdr:rowOff>203200</xdr:rowOff>
    </xdr:to>
    <xdr:pic>
      <xdr:nvPicPr>
        <xdr:cNvPr id="1390" name="ScrollBar17">
          <a:extLst>
            <a:ext uri="{FF2B5EF4-FFF2-40B4-BE49-F238E27FC236}">
              <a16:creationId xmlns:a16="http://schemas.microsoft.com/office/drawing/2014/main" id="{00000000-0008-0000-0200-00006E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80500" y="306324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176</xdr:row>
      <xdr:rowOff>0</xdr:rowOff>
    </xdr:from>
    <xdr:to>
      <xdr:col>4</xdr:col>
      <xdr:colOff>2768600</xdr:colOff>
      <xdr:row>176</xdr:row>
      <xdr:rowOff>203200</xdr:rowOff>
    </xdr:to>
    <xdr:pic>
      <xdr:nvPicPr>
        <xdr:cNvPr id="1391" name="ScrollBar18">
          <a:extLst>
            <a:ext uri="{FF2B5EF4-FFF2-40B4-BE49-F238E27FC236}">
              <a16:creationId xmlns:a16="http://schemas.microsoft.com/office/drawing/2014/main" id="{00000000-0008-0000-0200-00006F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80500" y="315214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2032000</xdr:colOff>
      <xdr:row>181</xdr:row>
      <xdr:rowOff>0</xdr:rowOff>
    </xdr:from>
    <xdr:to>
      <xdr:col>4</xdr:col>
      <xdr:colOff>2819400</xdr:colOff>
      <xdr:row>181</xdr:row>
      <xdr:rowOff>203200</xdr:rowOff>
    </xdr:to>
    <xdr:pic>
      <xdr:nvPicPr>
        <xdr:cNvPr id="1392" name="ScrollBar19">
          <a:extLst>
            <a:ext uri="{FF2B5EF4-FFF2-40B4-BE49-F238E27FC236}">
              <a16:creationId xmlns:a16="http://schemas.microsoft.com/office/drawing/2014/main" id="{00000000-0008-0000-0200-000070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131300" y="32410400"/>
          <a:ext cx="6096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1993900</xdr:colOff>
      <xdr:row>186</xdr:row>
      <xdr:rowOff>0</xdr:rowOff>
    </xdr:from>
    <xdr:to>
      <xdr:col>4</xdr:col>
      <xdr:colOff>2781300</xdr:colOff>
      <xdr:row>186</xdr:row>
      <xdr:rowOff>203200</xdr:rowOff>
    </xdr:to>
    <xdr:pic>
      <xdr:nvPicPr>
        <xdr:cNvPr id="1393" name="ScrollBar20">
          <a:extLst>
            <a:ext uri="{FF2B5EF4-FFF2-40B4-BE49-F238E27FC236}">
              <a16:creationId xmlns:a16="http://schemas.microsoft.com/office/drawing/2014/main" id="{00000000-0008-0000-0200-00007105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9093200" y="33299400"/>
          <a:ext cx="647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191</xdr:row>
      <xdr:rowOff>12700</xdr:rowOff>
    </xdr:from>
    <xdr:to>
      <xdr:col>4</xdr:col>
      <xdr:colOff>2755900</xdr:colOff>
      <xdr:row>192</xdr:row>
      <xdr:rowOff>0</xdr:rowOff>
    </xdr:to>
    <xdr:pic>
      <xdr:nvPicPr>
        <xdr:cNvPr id="1394" name="ScrollBar21">
          <a:extLst>
            <a:ext uri="{FF2B5EF4-FFF2-40B4-BE49-F238E27FC236}">
              <a16:creationId xmlns:a16="http://schemas.microsoft.com/office/drawing/2014/main" id="{00000000-0008-0000-0200-00007205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9067800" y="34201100"/>
          <a:ext cx="6731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212</xdr:row>
      <xdr:rowOff>203200</xdr:rowOff>
    </xdr:from>
    <xdr:to>
      <xdr:col>4</xdr:col>
      <xdr:colOff>2006600</xdr:colOff>
      <xdr:row>214</xdr:row>
      <xdr:rowOff>12700</xdr:rowOff>
    </xdr:to>
    <xdr:pic>
      <xdr:nvPicPr>
        <xdr:cNvPr id="1395" name="ComboBox9">
          <a:extLst>
            <a:ext uri="{FF2B5EF4-FFF2-40B4-BE49-F238E27FC236}">
              <a16:creationId xmlns:a16="http://schemas.microsoft.com/office/drawing/2014/main" id="{00000000-0008-0000-0200-00007305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229600" y="38150800"/>
          <a:ext cx="8763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220</xdr:row>
      <xdr:rowOff>0</xdr:rowOff>
    </xdr:from>
    <xdr:to>
      <xdr:col>4</xdr:col>
      <xdr:colOff>2768600</xdr:colOff>
      <xdr:row>220</xdr:row>
      <xdr:rowOff>203200</xdr:rowOff>
    </xdr:to>
    <xdr:pic>
      <xdr:nvPicPr>
        <xdr:cNvPr id="1397" name="ScrollBar22">
          <a:extLst>
            <a:ext uri="{FF2B5EF4-FFF2-40B4-BE49-F238E27FC236}">
              <a16:creationId xmlns:a16="http://schemas.microsoft.com/office/drawing/2014/main" id="{00000000-0008-0000-0200-000075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80500" y="393954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1993900</xdr:colOff>
      <xdr:row>229</xdr:row>
      <xdr:rowOff>0</xdr:rowOff>
    </xdr:from>
    <xdr:to>
      <xdr:col>4</xdr:col>
      <xdr:colOff>2781300</xdr:colOff>
      <xdr:row>229</xdr:row>
      <xdr:rowOff>203200</xdr:rowOff>
    </xdr:to>
    <xdr:pic>
      <xdr:nvPicPr>
        <xdr:cNvPr id="1398" name="ScrollBar23">
          <a:extLst>
            <a:ext uri="{FF2B5EF4-FFF2-40B4-BE49-F238E27FC236}">
              <a16:creationId xmlns:a16="http://schemas.microsoft.com/office/drawing/2014/main" id="{00000000-0008-0000-0200-000076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93200" y="41021000"/>
          <a:ext cx="647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1993900</xdr:colOff>
      <xdr:row>238</xdr:row>
      <xdr:rowOff>0</xdr:rowOff>
    </xdr:from>
    <xdr:to>
      <xdr:col>4</xdr:col>
      <xdr:colOff>2781300</xdr:colOff>
      <xdr:row>238</xdr:row>
      <xdr:rowOff>203200</xdr:rowOff>
    </xdr:to>
    <xdr:pic>
      <xdr:nvPicPr>
        <xdr:cNvPr id="1399" name="ScrollBar24">
          <a:extLst>
            <a:ext uri="{FF2B5EF4-FFF2-40B4-BE49-F238E27FC236}">
              <a16:creationId xmlns:a16="http://schemas.microsoft.com/office/drawing/2014/main" id="{00000000-0008-0000-0200-000077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93200" y="42646600"/>
          <a:ext cx="647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250</xdr:row>
      <xdr:rowOff>12700</xdr:rowOff>
    </xdr:from>
    <xdr:to>
      <xdr:col>4</xdr:col>
      <xdr:colOff>1993900</xdr:colOff>
      <xdr:row>251</xdr:row>
      <xdr:rowOff>76200</xdr:rowOff>
    </xdr:to>
    <xdr:pic>
      <xdr:nvPicPr>
        <xdr:cNvPr id="1402" name="ComboBox10">
          <a:extLst>
            <a:ext uri="{FF2B5EF4-FFF2-40B4-BE49-F238E27FC236}">
              <a16:creationId xmlns:a16="http://schemas.microsoft.com/office/drawing/2014/main" id="{00000000-0008-0000-0200-00007A05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255000" y="449072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1117600</xdr:colOff>
      <xdr:row>254</xdr:row>
      <xdr:rowOff>152400</xdr:rowOff>
    </xdr:from>
    <xdr:to>
      <xdr:col>4</xdr:col>
      <xdr:colOff>1955800</xdr:colOff>
      <xdr:row>256</xdr:row>
      <xdr:rowOff>0</xdr:rowOff>
    </xdr:to>
    <xdr:pic>
      <xdr:nvPicPr>
        <xdr:cNvPr id="1403" name="ComboBox11">
          <a:extLst>
            <a:ext uri="{FF2B5EF4-FFF2-40B4-BE49-F238E27FC236}">
              <a16:creationId xmlns:a16="http://schemas.microsoft.com/office/drawing/2014/main" id="{00000000-0008-0000-0200-00007B05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216900" y="45758100"/>
          <a:ext cx="838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1104900</xdr:colOff>
      <xdr:row>261</xdr:row>
      <xdr:rowOff>0</xdr:rowOff>
    </xdr:from>
    <xdr:to>
      <xdr:col>4</xdr:col>
      <xdr:colOff>1943100</xdr:colOff>
      <xdr:row>262</xdr:row>
      <xdr:rowOff>63500</xdr:rowOff>
    </xdr:to>
    <xdr:pic>
      <xdr:nvPicPr>
        <xdr:cNvPr id="1404" name="ComboBox12">
          <a:extLst>
            <a:ext uri="{FF2B5EF4-FFF2-40B4-BE49-F238E27FC236}">
              <a16:creationId xmlns:a16="http://schemas.microsoft.com/office/drawing/2014/main" id="{00000000-0008-0000-0200-00007C050000}"/>
            </a:ext>
          </a:extLst>
        </xdr:cNvPr>
        <xdr:cNvPicPr preferRelativeResize="0">
          <a:picLocks noChangeArrowheads="1" noChangeShapeType="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204200" y="468630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266</xdr:row>
      <xdr:rowOff>165100</xdr:rowOff>
    </xdr:from>
    <xdr:to>
      <xdr:col>4</xdr:col>
      <xdr:colOff>1968500</xdr:colOff>
      <xdr:row>268</xdr:row>
      <xdr:rowOff>12700</xdr:rowOff>
    </xdr:to>
    <xdr:pic>
      <xdr:nvPicPr>
        <xdr:cNvPr id="1405" name="ComboBox13">
          <a:extLst>
            <a:ext uri="{FF2B5EF4-FFF2-40B4-BE49-F238E27FC236}">
              <a16:creationId xmlns:a16="http://schemas.microsoft.com/office/drawing/2014/main" id="{00000000-0008-0000-0200-00007D050000}"/>
            </a:ext>
          </a:extLst>
        </xdr:cNvPr>
        <xdr:cNvPicPr preferRelativeResize="0">
          <a:picLocks noChangeArrowheads="1" noChangeShapeType="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229600" y="47917100"/>
          <a:ext cx="838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901700</xdr:colOff>
      <xdr:row>253</xdr:row>
      <xdr:rowOff>38100</xdr:rowOff>
    </xdr:from>
    <xdr:to>
      <xdr:col>4</xdr:col>
      <xdr:colOff>2336800</xdr:colOff>
      <xdr:row>254</xdr:row>
      <xdr:rowOff>114300</xdr:rowOff>
    </xdr:to>
    <xdr:pic>
      <xdr:nvPicPr>
        <xdr:cNvPr id="1406" name="ComboBox14">
          <a:extLst>
            <a:ext uri="{FF2B5EF4-FFF2-40B4-BE49-F238E27FC236}">
              <a16:creationId xmlns:a16="http://schemas.microsoft.com/office/drawing/2014/main" id="{00000000-0008-0000-0200-00007E050000}"/>
            </a:ext>
          </a:extLst>
        </xdr:cNvPr>
        <xdr:cNvPicPr preferRelativeResize="0">
          <a:picLocks noChangeArrowheads="1" noChangeShapeType="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001000" y="45466000"/>
          <a:ext cx="14351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876300</xdr:colOff>
      <xdr:row>265</xdr:row>
      <xdr:rowOff>12700</xdr:rowOff>
    </xdr:from>
    <xdr:to>
      <xdr:col>4</xdr:col>
      <xdr:colOff>2311400</xdr:colOff>
      <xdr:row>266</xdr:row>
      <xdr:rowOff>88900</xdr:rowOff>
    </xdr:to>
    <xdr:pic>
      <xdr:nvPicPr>
        <xdr:cNvPr id="1408" name="ComboBox15">
          <a:extLst>
            <a:ext uri="{FF2B5EF4-FFF2-40B4-BE49-F238E27FC236}">
              <a16:creationId xmlns:a16="http://schemas.microsoft.com/office/drawing/2014/main" id="{00000000-0008-0000-0200-000080050000}"/>
            </a:ext>
          </a:extLst>
        </xdr:cNvPr>
        <xdr:cNvPicPr preferRelativeResize="0">
          <a:picLocks noChangeArrowheads="1" noChangeShapeType="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975600" y="47586900"/>
          <a:ext cx="14351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1892300</xdr:colOff>
      <xdr:row>257</xdr:row>
      <xdr:rowOff>0</xdr:rowOff>
    </xdr:from>
    <xdr:to>
      <xdr:col>4</xdr:col>
      <xdr:colOff>2679700</xdr:colOff>
      <xdr:row>257</xdr:row>
      <xdr:rowOff>203200</xdr:rowOff>
    </xdr:to>
    <xdr:pic>
      <xdr:nvPicPr>
        <xdr:cNvPr id="1409" name="ScrollBar25">
          <a:extLst>
            <a:ext uri="{FF2B5EF4-FFF2-40B4-BE49-F238E27FC236}">
              <a16:creationId xmlns:a16="http://schemas.microsoft.com/office/drawing/2014/main" id="{00000000-0008-0000-0200-000081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8991600" y="46139100"/>
          <a:ext cx="7493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1917700</xdr:colOff>
      <xdr:row>268</xdr:row>
      <xdr:rowOff>203200</xdr:rowOff>
    </xdr:from>
    <xdr:to>
      <xdr:col>4</xdr:col>
      <xdr:colOff>2705100</xdr:colOff>
      <xdr:row>269</xdr:row>
      <xdr:rowOff>190500</xdr:rowOff>
    </xdr:to>
    <xdr:pic>
      <xdr:nvPicPr>
        <xdr:cNvPr id="1410" name="ScrollBar26">
          <a:extLst>
            <a:ext uri="{FF2B5EF4-FFF2-40B4-BE49-F238E27FC236}">
              <a16:creationId xmlns:a16="http://schemas.microsoft.com/office/drawing/2014/main" id="{00000000-0008-0000-0200-000082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17000" y="48285400"/>
          <a:ext cx="7239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1917700</xdr:colOff>
      <xdr:row>285</xdr:row>
      <xdr:rowOff>0</xdr:rowOff>
    </xdr:from>
    <xdr:to>
      <xdr:col>4</xdr:col>
      <xdr:colOff>2705100</xdr:colOff>
      <xdr:row>285</xdr:row>
      <xdr:rowOff>203200</xdr:rowOff>
    </xdr:to>
    <xdr:pic>
      <xdr:nvPicPr>
        <xdr:cNvPr id="1411" name="ScrollBar27">
          <a:extLst>
            <a:ext uri="{FF2B5EF4-FFF2-40B4-BE49-F238E27FC236}">
              <a16:creationId xmlns:a16="http://schemas.microsoft.com/office/drawing/2014/main" id="{00000000-0008-0000-0200-000083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17000" y="51181000"/>
          <a:ext cx="7239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283</xdr:row>
      <xdr:rowOff>12700</xdr:rowOff>
    </xdr:from>
    <xdr:to>
      <xdr:col>4</xdr:col>
      <xdr:colOff>1993900</xdr:colOff>
      <xdr:row>284</xdr:row>
      <xdr:rowOff>76200</xdr:rowOff>
    </xdr:to>
    <xdr:pic>
      <xdr:nvPicPr>
        <xdr:cNvPr id="1412" name="ComboBox16">
          <a:extLst>
            <a:ext uri="{FF2B5EF4-FFF2-40B4-BE49-F238E27FC236}">
              <a16:creationId xmlns:a16="http://schemas.microsoft.com/office/drawing/2014/main" id="{00000000-0008-0000-0200-00008405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255000" y="508381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293</xdr:row>
      <xdr:rowOff>215900</xdr:rowOff>
    </xdr:from>
    <xdr:to>
      <xdr:col>4</xdr:col>
      <xdr:colOff>1993900</xdr:colOff>
      <xdr:row>295</xdr:row>
      <xdr:rowOff>25400</xdr:rowOff>
    </xdr:to>
    <xdr:pic>
      <xdr:nvPicPr>
        <xdr:cNvPr id="1413" name="ComboBox17">
          <a:extLst>
            <a:ext uri="{FF2B5EF4-FFF2-40B4-BE49-F238E27FC236}">
              <a16:creationId xmlns:a16="http://schemas.microsoft.com/office/drawing/2014/main" id="{00000000-0008-0000-0200-000085050000}"/>
            </a:ext>
          </a:extLst>
        </xdr:cNvPr>
        <xdr:cNvPicPr preferRelativeResize="0">
          <a:picLocks noChangeArrowheads="1" noChangeShapeType="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255000" y="52806600"/>
          <a:ext cx="838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1930400</xdr:colOff>
      <xdr:row>303</xdr:row>
      <xdr:rowOff>0</xdr:rowOff>
    </xdr:from>
    <xdr:to>
      <xdr:col>4</xdr:col>
      <xdr:colOff>2717800</xdr:colOff>
      <xdr:row>303</xdr:row>
      <xdr:rowOff>203200</xdr:rowOff>
    </xdr:to>
    <xdr:pic>
      <xdr:nvPicPr>
        <xdr:cNvPr id="1414" name="ScrollBar28">
          <a:extLst>
            <a:ext uri="{FF2B5EF4-FFF2-40B4-BE49-F238E27FC236}">
              <a16:creationId xmlns:a16="http://schemas.microsoft.com/office/drawing/2014/main" id="{00000000-0008-0000-0200-000086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29700" y="54457600"/>
          <a:ext cx="7112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306</xdr:row>
      <xdr:rowOff>0</xdr:rowOff>
    </xdr:from>
    <xdr:to>
      <xdr:col>4</xdr:col>
      <xdr:colOff>2755900</xdr:colOff>
      <xdr:row>306</xdr:row>
      <xdr:rowOff>203200</xdr:rowOff>
    </xdr:to>
    <xdr:pic>
      <xdr:nvPicPr>
        <xdr:cNvPr id="1415" name="ScrollBar29">
          <a:extLst>
            <a:ext uri="{FF2B5EF4-FFF2-40B4-BE49-F238E27FC236}">
              <a16:creationId xmlns:a16="http://schemas.microsoft.com/office/drawing/2014/main" id="{00000000-0008-0000-0200-000087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67800" y="549910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1930400</xdr:colOff>
      <xdr:row>313</xdr:row>
      <xdr:rowOff>0</xdr:rowOff>
    </xdr:from>
    <xdr:to>
      <xdr:col>4</xdr:col>
      <xdr:colOff>2717800</xdr:colOff>
      <xdr:row>313</xdr:row>
      <xdr:rowOff>203200</xdr:rowOff>
    </xdr:to>
    <xdr:pic>
      <xdr:nvPicPr>
        <xdr:cNvPr id="1416" name="ScrollBar30">
          <a:extLst>
            <a:ext uri="{FF2B5EF4-FFF2-40B4-BE49-F238E27FC236}">
              <a16:creationId xmlns:a16="http://schemas.microsoft.com/office/drawing/2014/main" id="{00000000-0008-0000-0200-000088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29700" y="56261000"/>
          <a:ext cx="7112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1943100</xdr:colOff>
      <xdr:row>315</xdr:row>
      <xdr:rowOff>0</xdr:rowOff>
    </xdr:from>
    <xdr:to>
      <xdr:col>4</xdr:col>
      <xdr:colOff>2730500</xdr:colOff>
      <xdr:row>315</xdr:row>
      <xdr:rowOff>203200</xdr:rowOff>
    </xdr:to>
    <xdr:pic>
      <xdr:nvPicPr>
        <xdr:cNvPr id="1417" name="ScrollBar31">
          <a:extLst>
            <a:ext uri="{FF2B5EF4-FFF2-40B4-BE49-F238E27FC236}">
              <a16:creationId xmlns:a16="http://schemas.microsoft.com/office/drawing/2014/main" id="{00000000-0008-0000-0200-000089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42400" y="56616600"/>
          <a:ext cx="6985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1943100</xdr:colOff>
      <xdr:row>322</xdr:row>
      <xdr:rowOff>0</xdr:rowOff>
    </xdr:from>
    <xdr:to>
      <xdr:col>4</xdr:col>
      <xdr:colOff>2730500</xdr:colOff>
      <xdr:row>322</xdr:row>
      <xdr:rowOff>203200</xdr:rowOff>
    </xdr:to>
    <xdr:pic>
      <xdr:nvPicPr>
        <xdr:cNvPr id="1418" name="ScrollBar32">
          <a:extLst>
            <a:ext uri="{FF2B5EF4-FFF2-40B4-BE49-F238E27FC236}">
              <a16:creationId xmlns:a16="http://schemas.microsoft.com/office/drawing/2014/main" id="{00000000-0008-0000-0200-00008A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42400" y="57886600"/>
          <a:ext cx="6985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1930400</xdr:colOff>
      <xdr:row>324</xdr:row>
      <xdr:rowOff>0</xdr:rowOff>
    </xdr:from>
    <xdr:to>
      <xdr:col>4</xdr:col>
      <xdr:colOff>2717800</xdr:colOff>
      <xdr:row>324</xdr:row>
      <xdr:rowOff>203200</xdr:rowOff>
    </xdr:to>
    <xdr:pic>
      <xdr:nvPicPr>
        <xdr:cNvPr id="1419" name="ScrollBar33">
          <a:extLst>
            <a:ext uri="{FF2B5EF4-FFF2-40B4-BE49-F238E27FC236}">
              <a16:creationId xmlns:a16="http://schemas.microsoft.com/office/drawing/2014/main" id="{00000000-0008-0000-0200-00008B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29700" y="58242200"/>
          <a:ext cx="7112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1917700</xdr:colOff>
      <xdr:row>331</xdr:row>
      <xdr:rowOff>0</xdr:rowOff>
    </xdr:from>
    <xdr:to>
      <xdr:col>4</xdr:col>
      <xdr:colOff>2705100</xdr:colOff>
      <xdr:row>331</xdr:row>
      <xdr:rowOff>203200</xdr:rowOff>
    </xdr:to>
    <xdr:pic>
      <xdr:nvPicPr>
        <xdr:cNvPr id="1420" name="ScrollBar34">
          <a:extLst>
            <a:ext uri="{FF2B5EF4-FFF2-40B4-BE49-F238E27FC236}">
              <a16:creationId xmlns:a16="http://schemas.microsoft.com/office/drawing/2014/main" id="{00000000-0008-0000-0200-00008C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17000" y="59512200"/>
          <a:ext cx="7239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1917700</xdr:colOff>
      <xdr:row>333</xdr:row>
      <xdr:rowOff>0</xdr:rowOff>
    </xdr:from>
    <xdr:to>
      <xdr:col>4</xdr:col>
      <xdr:colOff>2705100</xdr:colOff>
      <xdr:row>333</xdr:row>
      <xdr:rowOff>203200</xdr:rowOff>
    </xdr:to>
    <xdr:pic>
      <xdr:nvPicPr>
        <xdr:cNvPr id="1422" name="ScrollBar35">
          <a:extLst>
            <a:ext uri="{FF2B5EF4-FFF2-40B4-BE49-F238E27FC236}">
              <a16:creationId xmlns:a16="http://schemas.microsoft.com/office/drawing/2014/main" id="{00000000-0008-0000-0200-00008E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17000" y="59867800"/>
          <a:ext cx="7239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1930400</xdr:colOff>
      <xdr:row>341</xdr:row>
      <xdr:rowOff>0</xdr:rowOff>
    </xdr:from>
    <xdr:to>
      <xdr:col>4</xdr:col>
      <xdr:colOff>2717800</xdr:colOff>
      <xdr:row>341</xdr:row>
      <xdr:rowOff>203200</xdr:rowOff>
    </xdr:to>
    <xdr:pic>
      <xdr:nvPicPr>
        <xdr:cNvPr id="1423" name="ScrollBar36">
          <a:extLst>
            <a:ext uri="{FF2B5EF4-FFF2-40B4-BE49-F238E27FC236}">
              <a16:creationId xmlns:a16="http://schemas.microsoft.com/office/drawing/2014/main" id="{00000000-0008-0000-0200-00008F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29700" y="61315600"/>
          <a:ext cx="7112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1917700</xdr:colOff>
      <xdr:row>343</xdr:row>
      <xdr:rowOff>0</xdr:rowOff>
    </xdr:from>
    <xdr:to>
      <xdr:col>4</xdr:col>
      <xdr:colOff>2705100</xdr:colOff>
      <xdr:row>343</xdr:row>
      <xdr:rowOff>203200</xdr:rowOff>
    </xdr:to>
    <xdr:pic>
      <xdr:nvPicPr>
        <xdr:cNvPr id="1424" name="ScrollBar37">
          <a:extLst>
            <a:ext uri="{FF2B5EF4-FFF2-40B4-BE49-F238E27FC236}">
              <a16:creationId xmlns:a16="http://schemas.microsoft.com/office/drawing/2014/main" id="{00000000-0008-0000-0200-000090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17000" y="61671200"/>
          <a:ext cx="7239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1917700</xdr:colOff>
      <xdr:row>351</xdr:row>
      <xdr:rowOff>0</xdr:rowOff>
    </xdr:from>
    <xdr:to>
      <xdr:col>4</xdr:col>
      <xdr:colOff>2705100</xdr:colOff>
      <xdr:row>351</xdr:row>
      <xdr:rowOff>203200</xdr:rowOff>
    </xdr:to>
    <xdr:pic>
      <xdr:nvPicPr>
        <xdr:cNvPr id="1425" name="ScrollBar38">
          <a:extLst>
            <a:ext uri="{FF2B5EF4-FFF2-40B4-BE49-F238E27FC236}">
              <a16:creationId xmlns:a16="http://schemas.microsoft.com/office/drawing/2014/main" id="{00000000-0008-0000-0200-000091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17000" y="63119000"/>
          <a:ext cx="7239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1917700</xdr:colOff>
      <xdr:row>353</xdr:row>
      <xdr:rowOff>0</xdr:rowOff>
    </xdr:from>
    <xdr:to>
      <xdr:col>4</xdr:col>
      <xdr:colOff>2705100</xdr:colOff>
      <xdr:row>353</xdr:row>
      <xdr:rowOff>203200</xdr:rowOff>
    </xdr:to>
    <xdr:pic>
      <xdr:nvPicPr>
        <xdr:cNvPr id="1426" name="ScrollBar39">
          <a:extLst>
            <a:ext uri="{FF2B5EF4-FFF2-40B4-BE49-F238E27FC236}">
              <a16:creationId xmlns:a16="http://schemas.microsoft.com/office/drawing/2014/main" id="{00000000-0008-0000-0200-000092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17000" y="63474600"/>
          <a:ext cx="7239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1206500</xdr:colOff>
      <xdr:row>366</xdr:row>
      <xdr:rowOff>203200</xdr:rowOff>
    </xdr:from>
    <xdr:to>
      <xdr:col>4</xdr:col>
      <xdr:colOff>2044700</xdr:colOff>
      <xdr:row>368</xdr:row>
      <xdr:rowOff>12700</xdr:rowOff>
    </xdr:to>
    <xdr:pic>
      <xdr:nvPicPr>
        <xdr:cNvPr id="1427" name="ComboBox18">
          <a:extLst>
            <a:ext uri="{FF2B5EF4-FFF2-40B4-BE49-F238E27FC236}">
              <a16:creationId xmlns:a16="http://schemas.microsoft.com/office/drawing/2014/main" id="{00000000-0008-0000-0200-000093050000}"/>
            </a:ext>
          </a:extLst>
        </xdr:cNvPr>
        <xdr:cNvPicPr preferRelativeResize="0">
          <a:picLocks noChangeArrowheads="1" noChangeShapeType="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305800" y="66001900"/>
          <a:ext cx="838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374</xdr:row>
      <xdr:rowOff>0</xdr:rowOff>
    </xdr:from>
    <xdr:to>
      <xdr:col>4</xdr:col>
      <xdr:colOff>2755900</xdr:colOff>
      <xdr:row>374</xdr:row>
      <xdr:rowOff>203200</xdr:rowOff>
    </xdr:to>
    <xdr:pic>
      <xdr:nvPicPr>
        <xdr:cNvPr id="1428" name="ScrollBar40">
          <a:extLst>
            <a:ext uri="{FF2B5EF4-FFF2-40B4-BE49-F238E27FC236}">
              <a16:creationId xmlns:a16="http://schemas.microsoft.com/office/drawing/2014/main" id="{00000000-0008-0000-0200-000094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67800" y="672465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383</xdr:row>
      <xdr:rowOff>0</xdr:rowOff>
    </xdr:from>
    <xdr:to>
      <xdr:col>4</xdr:col>
      <xdr:colOff>2755900</xdr:colOff>
      <xdr:row>383</xdr:row>
      <xdr:rowOff>203200</xdr:rowOff>
    </xdr:to>
    <xdr:pic>
      <xdr:nvPicPr>
        <xdr:cNvPr id="1429" name="ScrollBar41">
          <a:extLst>
            <a:ext uri="{FF2B5EF4-FFF2-40B4-BE49-F238E27FC236}">
              <a16:creationId xmlns:a16="http://schemas.microsoft.com/office/drawing/2014/main" id="{00000000-0008-0000-0200-000095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67800" y="688721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392</xdr:row>
      <xdr:rowOff>0</xdr:rowOff>
    </xdr:from>
    <xdr:to>
      <xdr:col>4</xdr:col>
      <xdr:colOff>2755900</xdr:colOff>
      <xdr:row>392</xdr:row>
      <xdr:rowOff>203200</xdr:rowOff>
    </xdr:to>
    <xdr:pic>
      <xdr:nvPicPr>
        <xdr:cNvPr id="1430" name="ScrollBar42">
          <a:extLst>
            <a:ext uri="{FF2B5EF4-FFF2-40B4-BE49-F238E27FC236}">
              <a16:creationId xmlns:a16="http://schemas.microsoft.com/office/drawing/2014/main" id="{00000000-0008-0000-0200-0000960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067800" y="704977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403</xdr:row>
      <xdr:rowOff>0</xdr:rowOff>
    </xdr:from>
    <xdr:to>
      <xdr:col>4</xdr:col>
      <xdr:colOff>2603500</xdr:colOff>
      <xdr:row>403</xdr:row>
      <xdr:rowOff>203200</xdr:rowOff>
    </xdr:to>
    <xdr:pic>
      <xdr:nvPicPr>
        <xdr:cNvPr id="1431" name="ScrollBar43">
          <a:extLst>
            <a:ext uri="{FF2B5EF4-FFF2-40B4-BE49-F238E27FC236}">
              <a16:creationId xmlns:a16="http://schemas.microsoft.com/office/drawing/2014/main" id="{00000000-0008-0000-0200-00009705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15400" y="725678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405</xdr:row>
      <xdr:rowOff>12700</xdr:rowOff>
    </xdr:from>
    <xdr:to>
      <xdr:col>4</xdr:col>
      <xdr:colOff>2603500</xdr:colOff>
      <xdr:row>406</xdr:row>
      <xdr:rowOff>0</xdr:rowOff>
    </xdr:to>
    <xdr:pic>
      <xdr:nvPicPr>
        <xdr:cNvPr id="1432" name="ScrollBar44">
          <a:extLst>
            <a:ext uri="{FF2B5EF4-FFF2-40B4-BE49-F238E27FC236}">
              <a16:creationId xmlns:a16="http://schemas.microsoft.com/office/drawing/2014/main" id="{00000000-0008-0000-0200-000098050000}"/>
            </a:ext>
          </a:extLst>
        </xdr:cNvPr>
        <xdr:cNvPicPr preferRelativeResize="0">
          <a:picLocks noChangeArrowheads="1" noChangeShapeType="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915400" y="729361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406</xdr:row>
      <xdr:rowOff>203200</xdr:rowOff>
    </xdr:from>
    <xdr:to>
      <xdr:col>4</xdr:col>
      <xdr:colOff>2616200</xdr:colOff>
      <xdr:row>407</xdr:row>
      <xdr:rowOff>190500</xdr:rowOff>
    </xdr:to>
    <xdr:pic>
      <xdr:nvPicPr>
        <xdr:cNvPr id="1433" name="ScrollBar45">
          <a:extLst>
            <a:ext uri="{FF2B5EF4-FFF2-40B4-BE49-F238E27FC236}">
              <a16:creationId xmlns:a16="http://schemas.microsoft.com/office/drawing/2014/main" id="{00000000-0008-0000-0200-000099050000}"/>
            </a:ext>
          </a:extLst>
        </xdr:cNvPr>
        <xdr:cNvPicPr preferRelativeResize="0">
          <a:picLocks noChangeArrowheads="1" noChangeShapeType="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928100" y="732790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1181100</xdr:colOff>
      <xdr:row>432</xdr:row>
      <xdr:rowOff>12700</xdr:rowOff>
    </xdr:from>
    <xdr:to>
      <xdr:col>4</xdr:col>
      <xdr:colOff>2019300</xdr:colOff>
      <xdr:row>433</xdr:row>
      <xdr:rowOff>76200</xdr:rowOff>
    </xdr:to>
    <xdr:pic>
      <xdr:nvPicPr>
        <xdr:cNvPr id="1434" name="ComboBox19">
          <a:extLst>
            <a:ext uri="{FF2B5EF4-FFF2-40B4-BE49-F238E27FC236}">
              <a16:creationId xmlns:a16="http://schemas.microsoft.com/office/drawing/2014/main" id="{00000000-0008-0000-0200-00009A050000}"/>
            </a:ext>
          </a:extLst>
        </xdr:cNvPr>
        <xdr:cNvPicPr preferRelativeResize="0">
          <a:picLocks noChangeArrowheads="1" noChangeShapeType="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8280400" y="778129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448</xdr:row>
      <xdr:rowOff>12700</xdr:rowOff>
    </xdr:from>
    <xdr:to>
      <xdr:col>4</xdr:col>
      <xdr:colOff>1993900</xdr:colOff>
      <xdr:row>449</xdr:row>
      <xdr:rowOff>76200</xdr:rowOff>
    </xdr:to>
    <xdr:pic>
      <xdr:nvPicPr>
        <xdr:cNvPr id="1435" name="ComboBox20">
          <a:extLst>
            <a:ext uri="{FF2B5EF4-FFF2-40B4-BE49-F238E27FC236}">
              <a16:creationId xmlns:a16="http://schemas.microsoft.com/office/drawing/2014/main" id="{00000000-0008-0000-0200-00009B050000}"/>
            </a:ext>
          </a:extLst>
        </xdr:cNvPr>
        <xdr:cNvPicPr preferRelativeResize="0">
          <a:picLocks noChangeArrowheads="1" noChangeShapeType="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255000" y="807974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1079500</xdr:colOff>
      <xdr:row>453</xdr:row>
      <xdr:rowOff>12700</xdr:rowOff>
    </xdr:from>
    <xdr:to>
      <xdr:col>4</xdr:col>
      <xdr:colOff>2146300</xdr:colOff>
      <xdr:row>454</xdr:row>
      <xdr:rowOff>88900</xdr:rowOff>
    </xdr:to>
    <xdr:pic>
      <xdr:nvPicPr>
        <xdr:cNvPr id="1436" name="ComboBox21">
          <a:extLst>
            <a:ext uri="{FF2B5EF4-FFF2-40B4-BE49-F238E27FC236}">
              <a16:creationId xmlns:a16="http://schemas.microsoft.com/office/drawing/2014/main" id="{00000000-0008-0000-0200-00009C050000}"/>
            </a:ext>
          </a:extLst>
        </xdr:cNvPr>
        <xdr:cNvPicPr preferRelativeResize="0">
          <a:picLocks noChangeArrowheads="1" noChangeShapeType="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178800" y="81686400"/>
          <a:ext cx="10668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460</xdr:row>
      <xdr:rowOff>12700</xdr:rowOff>
    </xdr:from>
    <xdr:to>
      <xdr:col>4</xdr:col>
      <xdr:colOff>1968500</xdr:colOff>
      <xdr:row>461</xdr:row>
      <xdr:rowOff>76200</xdr:rowOff>
    </xdr:to>
    <xdr:pic>
      <xdr:nvPicPr>
        <xdr:cNvPr id="1437" name="ComboBox22">
          <a:extLst>
            <a:ext uri="{FF2B5EF4-FFF2-40B4-BE49-F238E27FC236}">
              <a16:creationId xmlns:a16="http://schemas.microsoft.com/office/drawing/2014/main" id="{00000000-0008-0000-0200-00009D050000}"/>
            </a:ext>
          </a:extLst>
        </xdr:cNvPr>
        <xdr:cNvPicPr preferRelativeResize="0">
          <a:picLocks noChangeArrowheads="1" noChangeShapeType="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8229600" y="829310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1054100</xdr:colOff>
      <xdr:row>465</xdr:row>
      <xdr:rowOff>12700</xdr:rowOff>
    </xdr:from>
    <xdr:to>
      <xdr:col>4</xdr:col>
      <xdr:colOff>2120900</xdr:colOff>
      <xdr:row>466</xdr:row>
      <xdr:rowOff>101600</xdr:rowOff>
    </xdr:to>
    <xdr:pic>
      <xdr:nvPicPr>
        <xdr:cNvPr id="1443" name="ComboBox23">
          <a:extLst>
            <a:ext uri="{FF2B5EF4-FFF2-40B4-BE49-F238E27FC236}">
              <a16:creationId xmlns:a16="http://schemas.microsoft.com/office/drawing/2014/main" id="{00000000-0008-0000-0200-0000A3050000}"/>
            </a:ext>
          </a:extLst>
        </xdr:cNvPr>
        <xdr:cNvPicPr preferRelativeResize="0">
          <a:picLocks noChangeArrowheads="1" noChangeShapeType="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8153400" y="83820000"/>
          <a:ext cx="1066800" cy="26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1168400</xdr:colOff>
      <xdr:row>472</xdr:row>
      <xdr:rowOff>0</xdr:rowOff>
    </xdr:from>
    <xdr:to>
      <xdr:col>4</xdr:col>
      <xdr:colOff>2006600</xdr:colOff>
      <xdr:row>473</xdr:row>
      <xdr:rowOff>63500</xdr:rowOff>
    </xdr:to>
    <xdr:pic>
      <xdr:nvPicPr>
        <xdr:cNvPr id="1444" name="ComboBox24">
          <a:extLst>
            <a:ext uri="{FF2B5EF4-FFF2-40B4-BE49-F238E27FC236}">
              <a16:creationId xmlns:a16="http://schemas.microsoft.com/office/drawing/2014/main" id="{00000000-0008-0000-0200-0000A4050000}"/>
            </a:ext>
          </a:extLst>
        </xdr:cNvPr>
        <xdr:cNvPicPr preferRelativeResize="0">
          <a:picLocks noChangeArrowheads="1" noChangeShapeType="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8267700" y="850519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485</xdr:row>
      <xdr:rowOff>12700</xdr:rowOff>
    </xdr:from>
    <xdr:to>
      <xdr:col>4</xdr:col>
      <xdr:colOff>1993900</xdr:colOff>
      <xdr:row>486</xdr:row>
      <xdr:rowOff>76200</xdr:rowOff>
    </xdr:to>
    <xdr:pic>
      <xdr:nvPicPr>
        <xdr:cNvPr id="1445" name="ComboBox25">
          <a:extLst>
            <a:ext uri="{FF2B5EF4-FFF2-40B4-BE49-F238E27FC236}">
              <a16:creationId xmlns:a16="http://schemas.microsoft.com/office/drawing/2014/main" id="{00000000-0008-0000-0200-0000A5050000}"/>
            </a:ext>
          </a:extLst>
        </xdr:cNvPr>
        <xdr:cNvPicPr preferRelativeResize="0">
          <a:picLocks noChangeArrowheads="1" noChangeShapeType="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8255000" y="873760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1181100</xdr:colOff>
      <xdr:row>503</xdr:row>
      <xdr:rowOff>38100</xdr:rowOff>
    </xdr:from>
    <xdr:to>
      <xdr:col>4</xdr:col>
      <xdr:colOff>2019300</xdr:colOff>
      <xdr:row>504</xdr:row>
      <xdr:rowOff>101600</xdr:rowOff>
    </xdr:to>
    <xdr:pic>
      <xdr:nvPicPr>
        <xdr:cNvPr id="1446" name="ComboBox26">
          <a:extLst>
            <a:ext uri="{FF2B5EF4-FFF2-40B4-BE49-F238E27FC236}">
              <a16:creationId xmlns:a16="http://schemas.microsoft.com/office/drawing/2014/main" id="{00000000-0008-0000-0200-0000A6050000}"/>
            </a:ext>
          </a:extLst>
        </xdr:cNvPr>
        <xdr:cNvPicPr preferRelativeResize="0">
          <a:picLocks noChangeArrowheads="1" noChangeShapeType="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8280400" y="906018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1117600</xdr:colOff>
      <xdr:row>521</xdr:row>
      <xdr:rowOff>0</xdr:rowOff>
    </xdr:from>
    <xdr:to>
      <xdr:col>4</xdr:col>
      <xdr:colOff>1955800</xdr:colOff>
      <xdr:row>522</xdr:row>
      <xdr:rowOff>63500</xdr:rowOff>
    </xdr:to>
    <xdr:pic>
      <xdr:nvPicPr>
        <xdr:cNvPr id="1447" name="ComboBox27">
          <a:extLst>
            <a:ext uri="{FF2B5EF4-FFF2-40B4-BE49-F238E27FC236}">
              <a16:creationId xmlns:a16="http://schemas.microsoft.com/office/drawing/2014/main" id="{00000000-0008-0000-0200-0000A7050000}"/>
            </a:ext>
          </a:extLst>
        </xdr:cNvPr>
        <xdr:cNvPicPr preferRelativeResize="0">
          <a:picLocks noChangeArrowheads="1" noChangeShapeType="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8216900" y="937641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1168400</xdr:colOff>
      <xdr:row>539</xdr:row>
      <xdr:rowOff>38100</xdr:rowOff>
    </xdr:from>
    <xdr:to>
      <xdr:col>4</xdr:col>
      <xdr:colOff>2006600</xdr:colOff>
      <xdr:row>540</xdr:row>
      <xdr:rowOff>101600</xdr:rowOff>
    </xdr:to>
    <xdr:pic>
      <xdr:nvPicPr>
        <xdr:cNvPr id="1448" name="ComboBox28">
          <a:extLst>
            <a:ext uri="{FF2B5EF4-FFF2-40B4-BE49-F238E27FC236}">
              <a16:creationId xmlns:a16="http://schemas.microsoft.com/office/drawing/2014/main" id="{00000000-0008-0000-0200-0000A8050000}"/>
            </a:ext>
          </a:extLst>
        </xdr:cNvPr>
        <xdr:cNvPicPr preferRelativeResize="0">
          <a:picLocks noChangeArrowheads="1" noChangeShapeType="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8267700" y="970026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1003300</xdr:colOff>
      <xdr:row>477</xdr:row>
      <xdr:rowOff>0</xdr:rowOff>
    </xdr:from>
    <xdr:to>
      <xdr:col>4</xdr:col>
      <xdr:colOff>2070100</xdr:colOff>
      <xdr:row>478</xdr:row>
      <xdr:rowOff>88900</xdr:rowOff>
    </xdr:to>
    <xdr:pic>
      <xdr:nvPicPr>
        <xdr:cNvPr id="1449" name="ComboBox29">
          <a:extLst>
            <a:ext uri="{FF2B5EF4-FFF2-40B4-BE49-F238E27FC236}">
              <a16:creationId xmlns:a16="http://schemas.microsoft.com/office/drawing/2014/main" id="{00000000-0008-0000-0200-0000A9050000}"/>
            </a:ext>
          </a:extLst>
        </xdr:cNvPr>
        <xdr:cNvPicPr preferRelativeResize="0">
          <a:picLocks noChangeArrowheads="1" noChangeShapeType="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8102600" y="85940900"/>
          <a:ext cx="1066800" cy="26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1028700</xdr:colOff>
      <xdr:row>488</xdr:row>
      <xdr:rowOff>190500</xdr:rowOff>
    </xdr:from>
    <xdr:to>
      <xdr:col>4</xdr:col>
      <xdr:colOff>2095500</xdr:colOff>
      <xdr:row>490</xdr:row>
      <xdr:rowOff>63500</xdr:rowOff>
    </xdr:to>
    <xdr:pic>
      <xdr:nvPicPr>
        <xdr:cNvPr id="1450" name="ComboBox30">
          <a:extLst>
            <a:ext uri="{FF2B5EF4-FFF2-40B4-BE49-F238E27FC236}">
              <a16:creationId xmlns:a16="http://schemas.microsoft.com/office/drawing/2014/main" id="{00000000-0008-0000-0200-0000AA050000}"/>
            </a:ext>
          </a:extLst>
        </xdr:cNvPr>
        <xdr:cNvPicPr preferRelativeResize="0">
          <a:picLocks noChangeArrowheads="1" noChangeShapeType="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128000" y="88074500"/>
          <a:ext cx="10668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1054100</xdr:colOff>
      <xdr:row>506</xdr:row>
      <xdr:rowOff>190500</xdr:rowOff>
    </xdr:from>
    <xdr:to>
      <xdr:col>4</xdr:col>
      <xdr:colOff>2120900</xdr:colOff>
      <xdr:row>508</xdr:row>
      <xdr:rowOff>63500</xdr:rowOff>
    </xdr:to>
    <xdr:pic>
      <xdr:nvPicPr>
        <xdr:cNvPr id="1451" name="ComboBox31">
          <a:extLst>
            <a:ext uri="{FF2B5EF4-FFF2-40B4-BE49-F238E27FC236}">
              <a16:creationId xmlns:a16="http://schemas.microsoft.com/office/drawing/2014/main" id="{00000000-0008-0000-0200-0000AB050000}"/>
            </a:ext>
          </a:extLst>
        </xdr:cNvPr>
        <xdr:cNvPicPr preferRelativeResize="0">
          <a:picLocks noChangeArrowheads="1" noChangeShapeType="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8153400" y="91274900"/>
          <a:ext cx="10668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1016000</xdr:colOff>
      <xdr:row>524</xdr:row>
      <xdr:rowOff>190500</xdr:rowOff>
    </xdr:from>
    <xdr:to>
      <xdr:col>4</xdr:col>
      <xdr:colOff>2082800</xdr:colOff>
      <xdr:row>526</xdr:row>
      <xdr:rowOff>63500</xdr:rowOff>
    </xdr:to>
    <xdr:pic>
      <xdr:nvPicPr>
        <xdr:cNvPr id="1452" name="ComboBox32">
          <a:extLst>
            <a:ext uri="{FF2B5EF4-FFF2-40B4-BE49-F238E27FC236}">
              <a16:creationId xmlns:a16="http://schemas.microsoft.com/office/drawing/2014/main" id="{00000000-0008-0000-0200-0000AC050000}"/>
            </a:ext>
          </a:extLst>
        </xdr:cNvPr>
        <xdr:cNvPicPr preferRelativeResize="0">
          <a:picLocks noChangeArrowheads="1" noChangeShapeType="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8115300" y="94475300"/>
          <a:ext cx="10668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1054100</xdr:colOff>
      <xdr:row>542</xdr:row>
      <xdr:rowOff>165100</xdr:rowOff>
    </xdr:from>
    <xdr:to>
      <xdr:col>4</xdr:col>
      <xdr:colOff>2120900</xdr:colOff>
      <xdr:row>544</xdr:row>
      <xdr:rowOff>38100</xdr:rowOff>
    </xdr:to>
    <xdr:pic>
      <xdr:nvPicPr>
        <xdr:cNvPr id="1453" name="ComboBox33">
          <a:extLst>
            <a:ext uri="{FF2B5EF4-FFF2-40B4-BE49-F238E27FC236}">
              <a16:creationId xmlns:a16="http://schemas.microsoft.com/office/drawing/2014/main" id="{00000000-0008-0000-0200-0000AD050000}"/>
            </a:ext>
          </a:extLst>
        </xdr:cNvPr>
        <xdr:cNvPicPr preferRelativeResize="0">
          <a:picLocks noChangeArrowheads="1" noChangeShapeType="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8153400" y="97663000"/>
          <a:ext cx="10668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812800</xdr:colOff>
      <xdr:row>495</xdr:row>
      <xdr:rowOff>0</xdr:rowOff>
    </xdr:from>
    <xdr:to>
      <xdr:col>4</xdr:col>
      <xdr:colOff>2438400</xdr:colOff>
      <xdr:row>496</xdr:row>
      <xdr:rowOff>50800</xdr:rowOff>
    </xdr:to>
    <xdr:pic>
      <xdr:nvPicPr>
        <xdr:cNvPr id="1454" name="ComboBox34">
          <a:extLst>
            <a:ext uri="{FF2B5EF4-FFF2-40B4-BE49-F238E27FC236}">
              <a16:creationId xmlns:a16="http://schemas.microsoft.com/office/drawing/2014/main" id="{00000000-0008-0000-0200-0000AE050000}"/>
            </a:ext>
          </a:extLst>
        </xdr:cNvPr>
        <xdr:cNvPicPr preferRelativeResize="0">
          <a:picLocks noChangeArrowheads="1" noChangeShapeType="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7912100" y="891413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749300</xdr:colOff>
      <xdr:row>513</xdr:row>
      <xdr:rowOff>12700</xdr:rowOff>
    </xdr:from>
    <xdr:to>
      <xdr:col>4</xdr:col>
      <xdr:colOff>2374900</xdr:colOff>
      <xdr:row>514</xdr:row>
      <xdr:rowOff>63500</xdr:rowOff>
    </xdr:to>
    <xdr:pic>
      <xdr:nvPicPr>
        <xdr:cNvPr id="1455" name="ComboBox35">
          <a:extLst>
            <a:ext uri="{FF2B5EF4-FFF2-40B4-BE49-F238E27FC236}">
              <a16:creationId xmlns:a16="http://schemas.microsoft.com/office/drawing/2014/main" id="{00000000-0008-0000-0200-0000AF050000}"/>
            </a:ext>
          </a:extLst>
        </xdr:cNvPr>
        <xdr:cNvPicPr preferRelativeResize="0">
          <a:picLocks noChangeArrowheads="1" noChangeShapeType="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7848600" y="923544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812800</xdr:colOff>
      <xdr:row>531</xdr:row>
      <xdr:rowOff>38100</xdr:rowOff>
    </xdr:from>
    <xdr:to>
      <xdr:col>4</xdr:col>
      <xdr:colOff>2438400</xdr:colOff>
      <xdr:row>532</xdr:row>
      <xdr:rowOff>88900</xdr:rowOff>
    </xdr:to>
    <xdr:pic>
      <xdr:nvPicPr>
        <xdr:cNvPr id="1456" name="ComboBox36">
          <a:extLst>
            <a:ext uri="{FF2B5EF4-FFF2-40B4-BE49-F238E27FC236}">
              <a16:creationId xmlns:a16="http://schemas.microsoft.com/office/drawing/2014/main" id="{00000000-0008-0000-0200-0000B0050000}"/>
            </a:ext>
          </a:extLst>
        </xdr:cNvPr>
        <xdr:cNvPicPr preferRelativeResize="0">
          <a:picLocks noChangeArrowheads="1" noChangeShapeType="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7912100" y="955802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749300</xdr:colOff>
      <xdr:row>549</xdr:row>
      <xdr:rowOff>12700</xdr:rowOff>
    </xdr:from>
    <xdr:to>
      <xdr:col>4</xdr:col>
      <xdr:colOff>2374900</xdr:colOff>
      <xdr:row>550</xdr:row>
      <xdr:rowOff>63500</xdr:rowOff>
    </xdr:to>
    <xdr:pic>
      <xdr:nvPicPr>
        <xdr:cNvPr id="1457" name="ComboBox37">
          <a:extLst>
            <a:ext uri="{FF2B5EF4-FFF2-40B4-BE49-F238E27FC236}">
              <a16:creationId xmlns:a16="http://schemas.microsoft.com/office/drawing/2014/main" id="{00000000-0008-0000-0200-0000B1050000}"/>
            </a:ext>
          </a:extLst>
        </xdr:cNvPr>
        <xdr:cNvPicPr preferRelativeResize="0">
          <a:picLocks noChangeArrowheads="1" noChangeShapeType="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7848600" y="987552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1968500</xdr:colOff>
      <xdr:row>61</xdr:row>
      <xdr:rowOff>0</xdr:rowOff>
    </xdr:from>
    <xdr:to>
      <xdr:col>4</xdr:col>
      <xdr:colOff>2755900</xdr:colOff>
      <xdr:row>61</xdr:row>
      <xdr:rowOff>203200</xdr:rowOff>
    </xdr:to>
    <xdr:pic>
      <xdr:nvPicPr>
        <xdr:cNvPr id="13622" name="ScrollBar1">
          <a:extLst>
            <a:ext uri="{FF2B5EF4-FFF2-40B4-BE49-F238E27FC236}">
              <a16:creationId xmlns:a16="http://schemas.microsoft.com/office/drawing/2014/main" id="{00000000-0008-0000-0300-000036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67800" y="109601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66</xdr:row>
      <xdr:rowOff>38100</xdr:rowOff>
    </xdr:from>
    <xdr:to>
      <xdr:col>4</xdr:col>
      <xdr:colOff>2755900</xdr:colOff>
      <xdr:row>67</xdr:row>
      <xdr:rowOff>25400</xdr:rowOff>
    </xdr:to>
    <xdr:pic>
      <xdr:nvPicPr>
        <xdr:cNvPr id="13623" name="ScrollBar2">
          <a:extLst>
            <a:ext uri="{FF2B5EF4-FFF2-40B4-BE49-F238E27FC236}">
              <a16:creationId xmlns:a16="http://schemas.microsoft.com/office/drawing/2014/main" id="{00000000-0008-0000-0300-00003735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7800" y="11887200"/>
          <a:ext cx="6731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67</xdr:row>
      <xdr:rowOff>203200</xdr:rowOff>
    </xdr:from>
    <xdr:to>
      <xdr:col>4</xdr:col>
      <xdr:colOff>2755900</xdr:colOff>
      <xdr:row>68</xdr:row>
      <xdr:rowOff>190500</xdr:rowOff>
    </xdr:to>
    <xdr:pic>
      <xdr:nvPicPr>
        <xdr:cNvPr id="13624" name="ScrollBar3">
          <a:extLst>
            <a:ext uri="{FF2B5EF4-FFF2-40B4-BE49-F238E27FC236}">
              <a16:creationId xmlns:a16="http://schemas.microsoft.com/office/drawing/2014/main" id="{00000000-0008-0000-0300-00003835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7800" y="122047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74</xdr:row>
      <xdr:rowOff>12700</xdr:rowOff>
    </xdr:from>
    <xdr:to>
      <xdr:col>4</xdr:col>
      <xdr:colOff>2755900</xdr:colOff>
      <xdr:row>75</xdr:row>
      <xdr:rowOff>0</xdr:rowOff>
    </xdr:to>
    <xdr:pic>
      <xdr:nvPicPr>
        <xdr:cNvPr id="13625" name="ScrollBar4">
          <a:extLst>
            <a:ext uri="{FF2B5EF4-FFF2-40B4-BE49-F238E27FC236}">
              <a16:creationId xmlns:a16="http://schemas.microsoft.com/office/drawing/2014/main" id="{00000000-0008-0000-0300-00003935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7800" y="13284200"/>
          <a:ext cx="6731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75</xdr:row>
      <xdr:rowOff>203200</xdr:rowOff>
    </xdr:from>
    <xdr:to>
      <xdr:col>4</xdr:col>
      <xdr:colOff>2755900</xdr:colOff>
      <xdr:row>76</xdr:row>
      <xdr:rowOff>190500</xdr:rowOff>
    </xdr:to>
    <xdr:pic>
      <xdr:nvPicPr>
        <xdr:cNvPr id="13626" name="ScrollBar5">
          <a:extLst>
            <a:ext uri="{FF2B5EF4-FFF2-40B4-BE49-F238E27FC236}">
              <a16:creationId xmlns:a16="http://schemas.microsoft.com/office/drawing/2014/main" id="{00000000-0008-0000-0300-00003A35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7800" y="136271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82</xdr:row>
      <xdr:rowOff>38100</xdr:rowOff>
    </xdr:from>
    <xdr:to>
      <xdr:col>4</xdr:col>
      <xdr:colOff>2755900</xdr:colOff>
      <xdr:row>83</xdr:row>
      <xdr:rowOff>25400</xdr:rowOff>
    </xdr:to>
    <xdr:pic>
      <xdr:nvPicPr>
        <xdr:cNvPr id="13627" name="ScrollBar6">
          <a:extLst>
            <a:ext uri="{FF2B5EF4-FFF2-40B4-BE49-F238E27FC236}">
              <a16:creationId xmlns:a16="http://schemas.microsoft.com/office/drawing/2014/main" id="{00000000-0008-0000-0300-00003B35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067800" y="14732000"/>
          <a:ext cx="6731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83</xdr:row>
      <xdr:rowOff>190500</xdr:rowOff>
    </xdr:from>
    <xdr:to>
      <xdr:col>4</xdr:col>
      <xdr:colOff>2755900</xdr:colOff>
      <xdr:row>84</xdr:row>
      <xdr:rowOff>177800</xdr:rowOff>
    </xdr:to>
    <xdr:pic>
      <xdr:nvPicPr>
        <xdr:cNvPr id="13628" name="ScrollBar7">
          <a:extLst>
            <a:ext uri="{FF2B5EF4-FFF2-40B4-BE49-F238E27FC236}">
              <a16:creationId xmlns:a16="http://schemas.microsoft.com/office/drawing/2014/main" id="{00000000-0008-0000-0300-00003C35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67800" y="150495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90</xdr:row>
      <xdr:rowOff>0</xdr:rowOff>
    </xdr:from>
    <xdr:to>
      <xdr:col>4</xdr:col>
      <xdr:colOff>2768600</xdr:colOff>
      <xdr:row>90</xdr:row>
      <xdr:rowOff>203200</xdr:rowOff>
    </xdr:to>
    <xdr:pic>
      <xdr:nvPicPr>
        <xdr:cNvPr id="13629" name="ScrollBar8">
          <a:extLst>
            <a:ext uri="{FF2B5EF4-FFF2-40B4-BE49-F238E27FC236}">
              <a16:creationId xmlns:a16="http://schemas.microsoft.com/office/drawing/2014/main" id="{00000000-0008-0000-0300-00003D35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080500" y="161163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1981200</xdr:colOff>
      <xdr:row>91</xdr:row>
      <xdr:rowOff>190500</xdr:rowOff>
    </xdr:from>
    <xdr:to>
      <xdr:col>4</xdr:col>
      <xdr:colOff>2768600</xdr:colOff>
      <xdr:row>92</xdr:row>
      <xdr:rowOff>177800</xdr:rowOff>
    </xdr:to>
    <xdr:pic>
      <xdr:nvPicPr>
        <xdr:cNvPr id="13630" name="ScrollBar9">
          <a:extLst>
            <a:ext uri="{FF2B5EF4-FFF2-40B4-BE49-F238E27FC236}">
              <a16:creationId xmlns:a16="http://schemas.microsoft.com/office/drawing/2014/main" id="{00000000-0008-0000-0300-00003E35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080500" y="16471900"/>
          <a:ext cx="660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98</xdr:row>
      <xdr:rowOff>50800</xdr:rowOff>
    </xdr:from>
    <xdr:to>
      <xdr:col>4</xdr:col>
      <xdr:colOff>2755900</xdr:colOff>
      <xdr:row>99</xdr:row>
      <xdr:rowOff>38100</xdr:rowOff>
    </xdr:to>
    <xdr:pic>
      <xdr:nvPicPr>
        <xdr:cNvPr id="13631" name="ScrollBar10">
          <a:extLst>
            <a:ext uri="{FF2B5EF4-FFF2-40B4-BE49-F238E27FC236}">
              <a16:creationId xmlns:a16="http://schemas.microsoft.com/office/drawing/2014/main" id="{00000000-0008-0000-0300-00003F35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067800" y="17589500"/>
          <a:ext cx="6731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1968500</xdr:colOff>
      <xdr:row>99</xdr:row>
      <xdr:rowOff>203200</xdr:rowOff>
    </xdr:from>
    <xdr:to>
      <xdr:col>4</xdr:col>
      <xdr:colOff>2755900</xdr:colOff>
      <xdr:row>100</xdr:row>
      <xdr:rowOff>190500</xdr:rowOff>
    </xdr:to>
    <xdr:pic>
      <xdr:nvPicPr>
        <xdr:cNvPr id="13632" name="ScrollBar11">
          <a:extLst>
            <a:ext uri="{FF2B5EF4-FFF2-40B4-BE49-F238E27FC236}">
              <a16:creationId xmlns:a16="http://schemas.microsoft.com/office/drawing/2014/main" id="{00000000-0008-0000-0300-00004035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067800" y="17894300"/>
          <a:ext cx="6731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1879600</xdr:colOff>
      <xdr:row>137</xdr:row>
      <xdr:rowOff>0</xdr:rowOff>
    </xdr:from>
    <xdr:to>
      <xdr:col>4</xdr:col>
      <xdr:colOff>2667000</xdr:colOff>
      <xdr:row>137</xdr:row>
      <xdr:rowOff>203200</xdr:rowOff>
    </xdr:to>
    <xdr:pic>
      <xdr:nvPicPr>
        <xdr:cNvPr id="13633" name="ScrollBar12">
          <a:extLst>
            <a:ext uri="{FF2B5EF4-FFF2-40B4-BE49-F238E27FC236}">
              <a16:creationId xmlns:a16="http://schemas.microsoft.com/office/drawing/2014/main" id="{00000000-0008-0000-0300-000041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8900" y="24765000"/>
          <a:ext cx="7620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1879600</xdr:colOff>
      <xdr:row>142</xdr:row>
      <xdr:rowOff>0</xdr:rowOff>
    </xdr:from>
    <xdr:to>
      <xdr:col>4</xdr:col>
      <xdr:colOff>2667000</xdr:colOff>
      <xdr:row>142</xdr:row>
      <xdr:rowOff>203200</xdr:rowOff>
    </xdr:to>
    <xdr:pic>
      <xdr:nvPicPr>
        <xdr:cNvPr id="13634" name="ScrollBar13">
          <a:extLst>
            <a:ext uri="{FF2B5EF4-FFF2-40B4-BE49-F238E27FC236}">
              <a16:creationId xmlns:a16="http://schemas.microsoft.com/office/drawing/2014/main" id="{00000000-0008-0000-0300-000042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8900" y="25654000"/>
          <a:ext cx="7620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1879600</xdr:colOff>
      <xdr:row>147</xdr:row>
      <xdr:rowOff>0</xdr:rowOff>
    </xdr:from>
    <xdr:to>
      <xdr:col>4</xdr:col>
      <xdr:colOff>2667000</xdr:colOff>
      <xdr:row>147</xdr:row>
      <xdr:rowOff>203200</xdr:rowOff>
    </xdr:to>
    <xdr:pic>
      <xdr:nvPicPr>
        <xdr:cNvPr id="13635" name="ScrollBar14">
          <a:extLst>
            <a:ext uri="{FF2B5EF4-FFF2-40B4-BE49-F238E27FC236}">
              <a16:creationId xmlns:a16="http://schemas.microsoft.com/office/drawing/2014/main" id="{00000000-0008-0000-0300-000043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8900" y="26543000"/>
          <a:ext cx="7620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169</xdr:row>
      <xdr:rowOff>0</xdr:rowOff>
    </xdr:from>
    <xdr:to>
      <xdr:col>4</xdr:col>
      <xdr:colOff>2654300</xdr:colOff>
      <xdr:row>169</xdr:row>
      <xdr:rowOff>203200</xdr:rowOff>
    </xdr:to>
    <xdr:pic>
      <xdr:nvPicPr>
        <xdr:cNvPr id="13636" name="ScrollBar15">
          <a:extLst>
            <a:ext uri="{FF2B5EF4-FFF2-40B4-BE49-F238E27FC236}">
              <a16:creationId xmlns:a16="http://schemas.microsoft.com/office/drawing/2014/main" id="{00000000-0008-0000-0300-00004435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966200" y="304927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1879600</xdr:colOff>
      <xdr:row>178</xdr:row>
      <xdr:rowOff>0</xdr:rowOff>
    </xdr:from>
    <xdr:to>
      <xdr:col>4</xdr:col>
      <xdr:colOff>2667000</xdr:colOff>
      <xdr:row>178</xdr:row>
      <xdr:rowOff>203200</xdr:rowOff>
    </xdr:to>
    <xdr:pic>
      <xdr:nvPicPr>
        <xdr:cNvPr id="13637" name="ScrollBar16">
          <a:extLst>
            <a:ext uri="{FF2B5EF4-FFF2-40B4-BE49-F238E27FC236}">
              <a16:creationId xmlns:a16="http://schemas.microsoft.com/office/drawing/2014/main" id="{00000000-0008-0000-0300-000045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8900" y="32118300"/>
          <a:ext cx="7620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1879600</xdr:colOff>
      <xdr:row>187</xdr:row>
      <xdr:rowOff>0</xdr:rowOff>
    </xdr:from>
    <xdr:to>
      <xdr:col>4</xdr:col>
      <xdr:colOff>2667000</xdr:colOff>
      <xdr:row>187</xdr:row>
      <xdr:rowOff>203200</xdr:rowOff>
    </xdr:to>
    <xdr:pic>
      <xdr:nvPicPr>
        <xdr:cNvPr id="13638" name="ScrollBar17">
          <a:extLst>
            <a:ext uri="{FF2B5EF4-FFF2-40B4-BE49-F238E27FC236}">
              <a16:creationId xmlns:a16="http://schemas.microsoft.com/office/drawing/2014/main" id="{00000000-0008-0000-0300-000046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8900" y="33743900"/>
          <a:ext cx="7620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206</xdr:row>
      <xdr:rowOff>0</xdr:rowOff>
    </xdr:from>
    <xdr:to>
      <xdr:col>4</xdr:col>
      <xdr:colOff>2654300</xdr:colOff>
      <xdr:row>206</xdr:row>
      <xdr:rowOff>203200</xdr:rowOff>
    </xdr:to>
    <xdr:pic>
      <xdr:nvPicPr>
        <xdr:cNvPr id="13639" name="ScrollBar18">
          <a:extLst>
            <a:ext uri="{FF2B5EF4-FFF2-40B4-BE49-F238E27FC236}">
              <a16:creationId xmlns:a16="http://schemas.microsoft.com/office/drawing/2014/main" id="{00000000-0008-0000-0300-000047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372237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218</xdr:row>
      <xdr:rowOff>0</xdr:rowOff>
    </xdr:from>
    <xdr:to>
      <xdr:col>4</xdr:col>
      <xdr:colOff>2654300</xdr:colOff>
      <xdr:row>218</xdr:row>
      <xdr:rowOff>203200</xdr:rowOff>
    </xdr:to>
    <xdr:pic>
      <xdr:nvPicPr>
        <xdr:cNvPr id="13640" name="ScrollBar19">
          <a:extLst>
            <a:ext uri="{FF2B5EF4-FFF2-40B4-BE49-F238E27FC236}">
              <a16:creationId xmlns:a16="http://schemas.microsoft.com/office/drawing/2014/main" id="{00000000-0008-0000-0300-000048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393700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234</xdr:row>
      <xdr:rowOff>0</xdr:rowOff>
    </xdr:from>
    <xdr:to>
      <xdr:col>4</xdr:col>
      <xdr:colOff>2628900</xdr:colOff>
      <xdr:row>234</xdr:row>
      <xdr:rowOff>203200</xdr:rowOff>
    </xdr:to>
    <xdr:pic>
      <xdr:nvPicPr>
        <xdr:cNvPr id="13641" name="ScrollBar20">
          <a:extLst>
            <a:ext uri="{FF2B5EF4-FFF2-40B4-BE49-F238E27FC236}">
              <a16:creationId xmlns:a16="http://schemas.microsoft.com/office/drawing/2014/main" id="{00000000-0008-0000-0300-000049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422529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252</xdr:row>
      <xdr:rowOff>12700</xdr:rowOff>
    </xdr:from>
    <xdr:to>
      <xdr:col>4</xdr:col>
      <xdr:colOff>2654300</xdr:colOff>
      <xdr:row>253</xdr:row>
      <xdr:rowOff>0</xdr:rowOff>
    </xdr:to>
    <xdr:pic>
      <xdr:nvPicPr>
        <xdr:cNvPr id="13642" name="ScrollBar21">
          <a:extLst>
            <a:ext uri="{FF2B5EF4-FFF2-40B4-BE49-F238E27FC236}">
              <a16:creationId xmlns:a16="http://schemas.microsoft.com/office/drawing/2014/main" id="{00000000-0008-0000-0300-00004A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45580300"/>
          <a:ext cx="7747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255</xdr:row>
      <xdr:rowOff>0</xdr:rowOff>
    </xdr:from>
    <xdr:to>
      <xdr:col>4</xdr:col>
      <xdr:colOff>2654300</xdr:colOff>
      <xdr:row>255</xdr:row>
      <xdr:rowOff>203200</xdr:rowOff>
    </xdr:to>
    <xdr:pic>
      <xdr:nvPicPr>
        <xdr:cNvPr id="13643" name="ScrollBar22">
          <a:extLst>
            <a:ext uri="{FF2B5EF4-FFF2-40B4-BE49-F238E27FC236}">
              <a16:creationId xmlns:a16="http://schemas.microsoft.com/office/drawing/2014/main" id="{00000000-0008-0000-0300-00004B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461010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262</xdr:row>
      <xdr:rowOff>0</xdr:rowOff>
    </xdr:from>
    <xdr:to>
      <xdr:col>4</xdr:col>
      <xdr:colOff>2628900</xdr:colOff>
      <xdr:row>262</xdr:row>
      <xdr:rowOff>203200</xdr:rowOff>
    </xdr:to>
    <xdr:pic>
      <xdr:nvPicPr>
        <xdr:cNvPr id="13644" name="ScrollBar23">
          <a:extLst>
            <a:ext uri="{FF2B5EF4-FFF2-40B4-BE49-F238E27FC236}">
              <a16:creationId xmlns:a16="http://schemas.microsoft.com/office/drawing/2014/main" id="{00000000-0008-0000-0300-00004C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473710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264</xdr:row>
      <xdr:rowOff>12700</xdr:rowOff>
    </xdr:from>
    <xdr:to>
      <xdr:col>4</xdr:col>
      <xdr:colOff>2616200</xdr:colOff>
      <xdr:row>265</xdr:row>
      <xdr:rowOff>0</xdr:rowOff>
    </xdr:to>
    <xdr:pic>
      <xdr:nvPicPr>
        <xdr:cNvPr id="13645" name="ScrollBar24">
          <a:extLst>
            <a:ext uri="{FF2B5EF4-FFF2-40B4-BE49-F238E27FC236}">
              <a16:creationId xmlns:a16="http://schemas.microsoft.com/office/drawing/2014/main" id="{00000000-0008-0000-0300-00004D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477393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271</xdr:row>
      <xdr:rowOff>0</xdr:rowOff>
    </xdr:from>
    <xdr:to>
      <xdr:col>4</xdr:col>
      <xdr:colOff>2654300</xdr:colOff>
      <xdr:row>271</xdr:row>
      <xdr:rowOff>203200</xdr:rowOff>
    </xdr:to>
    <xdr:pic>
      <xdr:nvPicPr>
        <xdr:cNvPr id="13646" name="ScrollBar25">
          <a:extLst>
            <a:ext uri="{FF2B5EF4-FFF2-40B4-BE49-F238E27FC236}">
              <a16:creationId xmlns:a16="http://schemas.microsoft.com/office/drawing/2014/main" id="{00000000-0008-0000-0300-00004E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489966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273</xdr:row>
      <xdr:rowOff>12700</xdr:rowOff>
    </xdr:from>
    <xdr:to>
      <xdr:col>4</xdr:col>
      <xdr:colOff>2654300</xdr:colOff>
      <xdr:row>274</xdr:row>
      <xdr:rowOff>0</xdr:rowOff>
    </xdr:to>
    <xdr:pic>
      <xdr:nvPicPr>
        <xdr:cNvPr id="13647" name="ScrollBar26">
          <a:extLst>
            <a:ext uri="{FF2B5EF4-FFF2-40B4-BE49-F238E27FC236}">
              <a16:creationId xmlns:a16="http://schemas.microsoft.com/office/drawing/2014/main" id="{00000000-0008-0000-0300-00004F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49364900"/>
          <a:ext cx="7747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280</xdr:row>
      <xdr:rowOff>0</xdr:rowOff>
    </xdr:from>
    <xdr:to>
      <xdr:col>4</xdr:col>
      <xdr:colOff>2654300</xdr:colOff>
      <xdr:row>280</xdr:row>
      <xdr:rowOff>203200</xdr:rowOff>
    </xdr:to>
    <xdr:pic>
      <xdr:nvPicPr>
        <xdr:cNvPr id="13648" name="ScrollBar27">
          <a:extLst>
            <a:ext uri="{FF2B5EF4-FFF2-40B4-BE49-F238E27FC236}">
              <a16:creationId xmlns:a16="http://schemas.microsoft.com/office/drawing/2014/main" id="{00000000-0008-0000-0300-000050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506222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282</xdr:row>
      <xdr:rowOff>12700</xdr:rowOff>
    </xdr:from>
    <xdr:to>
      <xdr:col>4</xdr:col>
      <xdr:colOff>2654300</xdr:colOff>
      <xdr:row>283</xdr:row>
      <xdr:rowOff>0</xdr:rowOff>
    </xdr:to>
    <xdr:pic>
      <xdr:nvPicPr>
        <xdr:cNvPr id="13649" name="ScrollBar28">
          <a:extLst>
            <a:ext uri="{FF2B5EF4-FFF2-40B4-BE49-F238E27FC236}">
              <a16:creationId xmlns:a16="http://schemas.microsoft.com/office/drawing/2014/main" id="{00000000-0008-0000-0300-000051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50990500"/>
          <a:ext cx="7747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290</xdr:row>
      <xdr:rowOff>0</xdr:rowOff>
    </xdr:from>
    <xdr:to>
      <xdr:col>4</xdr:col>
      <xdr:colOff>2654300</xdr:colOff>
      <xdr:row>290</xdr:row>
      <xdr:rowOff>203200</xdr:rowOff>
    </xdr:to>
    <xdr:pic>
      <xdr:nvPicPr>
        <xdr:cNvPr id="13650" name="ScrollBar29">
          <a:extLst>
            <a:ext uri="{FF2B5EF4-FFF2-40B4-BE49-F238E27FC236}">
              <a16:creationId xmlns:a16="http://schemas.microsoft.com/office/drawing/2014/main" id="{00000000-0008-0000-0300-000052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524256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292</xdr:row>
      <xdr:rowOff>0</xdr:rowOff>
    </xdr:from>
    <xdr:to>
      <xdr:col>4</xdr:col>
      <xdr:colOff>2654300</xdr:colOff>
      <xdr:row>292</xdr:row>
      <xdr:rowOff>203200</xdr:rowOff>
    </xdr:to>
    <xdr:pic>
      <xdr:nvPicPr>
        <xdr:cNvPr id="13651" name="ScrollBar30">
          <a:extLst>
            <a:ext uri="{FF2B5EF4-FFF2-40B4-BE49-F238E27FC236}">
              <a16:creationId xmlns:a16="http://schemas.microsoft.com/office/drawing/2014/main" id="{00000000-0008-0000-0300-000053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527812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300</xdr:row>
      <xdr:rowOff>0</xdr:rowOff>
    </xdr:from>
    <xdr:to>
      <xdr:col>4</xdr:col>
      <xdr:colOff>2616200</xdr:colOff>
      <xdr:row>300</xdr:row>
      <xdr:rowOff>203200</xdr:rowOff>
    </xdr:to>
    <xdr:pic>
      <xdr:nvPicPr>
        <xdr:cNvPr id="13652" name="ScrollBar31">
          <a:extLst>
            <a:ext uri="{FF2B5EF4-FFF2-40B4-BE49-F238E27FC236}">
              <a16:creationId xmlns:a16="http://schemas.microsoft.com/office/drawing/2014/main" id="{00000000-0008-0000-0300-000054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542290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302</xdr:row>
      <xdr:rowOff>0</xdr:rowOff>
    </xdr:from>
    <xdr:to>
      <xdr:col>4</xdr:col>
      <xdr:colOff>2628900</xdr:colOff>
      <xdr:row>302</xdr:row>
      <xdr:rowOff>203200</xdr:rowOff>
    </xdr:to>
    <xdr:pic>
      <xdr:nvPicPr>
        <xdr:cNvPr id="13653" name="ScrollBar32">
          <a:extLst>
            <a:ext uri="{FF2B5EF4-FFF2-40B4-BE49-F238E27FC236}">
              <a16:creationId xmlns:a16="http://schemas.microsoft.com/office/drawing/2014/main" id="{00000000-0008-0000-0300-000055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545846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323</xdr:row>
      <xdr:rowOff>0</xdr:rowOff>
    </xdr:from>
    <xdr:to>
      <xdr:col>4</xdr:col>
      <xdr:colOff>2654300</xdr:colOff>
      <xdr:row>323</xdr:row>
      <xdr:rowOff>203200</xdr:rowOff>
    </xdr:to>
    <xdr:pic>
      <xdr:nvPicPr>
        <xdr:cNvPr id="13654" name="ScrollBar33">
          <a:extLst>
            <a:ext uri="{FF2B5EF4-FFF2-40B4-BE49-F238E27FC236}">
              <a16:creationId xmlns:a16="http://schemas.microsoft.com/office/drawing/2014/main" id="{00000000-0008-0000-0300-000056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583438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332</xdr:row>
      <xdr:rowOff>0</xdr:rowOff>
    </xdr:from>
    <xdr:to>
      <xdr:col>4</xdr:col>
      <xdr:colOff>2654300</xdr:colOff>
      <xdr:row>332</xdr:row>
      <xdr:rowOff>203200</xdr:rowOff>
    </xdr:to>
    <xdr:pic>
      <xdr:nvPicPr>
        <xdr:cNvPr id="13655" name="ScrollBar34">
          <a:extLst>
            <a:ext uri="{FF2B5EF4-FFF2-40B4-BE49-F238E27FC236}">
              <a16:creationId xmlns:a16="http://schemas.microsoft.com/office/drawing/2014/main" id="{00000000-0008-0000-0300-000057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6200" y="599694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341</xdr:row>
      <xdr:rowOff>0</xdr:rowOff>
    </xdr:from>
    <xdr:to>
      <xdr:col>4</xdr:col>
      <xdr:colOff>2628900</xdr:colOff>
      <xdr:row>341</xdr:row>
      <xdr:rowOff>203200</xdr:rowOff>
    </xdr:to>
    <xdr:pic>
      <xdr:nvPicPr>
        <xdr:cNvPr id="13656" name="ScrollBar35">
          <a:extLst>
            <a:ext uri="{FF2B5EF4-FFF2-40B4-BE49-F238E27FC236}">
              <a16:creationId xmlns:a16="http://schemas.microsoft.com/office/drawing/2014/main" id="{00000000-0008-0000-0300-0000583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615950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352</xdr:row>
      <xdr:rowOff>0</xdr:rowOff>
    </xdr:from>
    <xdr:to>
      <xdr:col>4</xdr:col>
      <xdr:colOff>2616200</xdr:colOff>
      <xdr:row>352</xdr:row>
      <xdr:rowOff>203200</xdr:rowOff>
    </xdr:to>
    <xdr:pic>
      <xdr:nvPicPr>
        <xdr:cNvPr id="13657" name="ScrollBar36">
          <a:extLst>
            <a:ext uri="{FF2B5EF4-FFF2-40B4-BE49-F238E27FC236}">
              <a16:creationId xmlns:a16="http://schemas.microsoft.com/office/drawing/2014/main" id="{00000000-0008-0000-0300-00005935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928100" y="636651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354</xdr:row>
      <xdr:rowOff>12700</xdr:rowOff>
    </xdr:from>
    <xdr:to>
      <xdr:col>4</xdr:col>
      <xdr:colOff>2628900</xdr:colOff>
      <xdr:row>355</xdr:row>
      <xdr:rowOff>0</xdr:rowOff>
    </xdr:to>
    <xdr:pic>
      <xdr:nvPicPr>
        <xdr:cNvPr id="13658" name="ScrollBar37">
          <a:extLst>
            <a:ext uri="{FF2B5EF4-FFF2-40B4-BE49-F238E27FC236}">
              <a16:creationId xmlns:a16="http://schemas.microsoft.com/office/drawing/2014/main" id="{00000000-0008-0000-0300-00005A35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40800" y="640334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356</xdr:row>
      <xdr:rowOff>0</xdr:rowOff>
    </xdr:from>
    <xdr:to>
      <xdr:col>4</xdr:col>
      <xdr:colOff>2616200</xdr:colOff>
      <xdr:row>356</xdr:row>
      <xdr:rowOff>203200</xdr:rowOff>
    </xdr:to>
    <xdr:pic>
      <xdr:nvPicPr>
        <xdr:cNvPr id="13659" name="ScrollBar38">
          <a:extLst>
            <a:ext uri="{FF2B5EF4-FFF2-40B4-BE49-F238E27FC236}">
              <a16:creationId xmlns:a16="http://schemas.microsoft.com/office/drawing/2014/main" id="{00000000-0008-0000-0300-00005B35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28100" y="643763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850900</xdr:colOff>
      <xdr:row>110</xdr:row>
      <xdr:rowOff>12700</xdr:rowOff>
    </xdr:from>
    <xdr:to>
      <xdr:col>4</xdr:col>
      <xdr:colOff>2374900</xdr:colOff>
      <xdr:row>110</xdr:row>
      <xdr:rowOff>292100</xdr:rowOff>
    </xdr:to>
    <xdr:pic>
      <xdr:nvPicPr>
        <xdr:cNvPr id="13666" name="ComboBox7">
          <a:extLst>
            <a:ext uri="{FF2B5EF4-FFF2-40B4-BE49-F238E27FC236}">
              <a16:creationId xmlns:a16="http://schemas.microsoft.com/office/drawing/2014/main" id="{00000000-0008-0000-0300-00006235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950200" y="19735800"/>
          <a:ext cx="152400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901700</xdr:colOff>
      <xdr:row>59</xdr:row>
      <xdr:rowOff>0</xdr:rowOff>
    </xdr:from>
    <xdr:to>
      <xdr:col>4</xdr:col>
      <xdr:colOff>2298700</xdr:colOff>
      <xdr:row>60</xdr:row>
      <xdr:rowOff>76200</xdr:rowOff>
    </xdr:to>
    <xdr:pic>
      <xdr:nvPicPr>
        <xdr:cNvPr id="13668" name="ComboBox9">
          <a:extLst>
            <a:ext uri="{FF2B5EF4-FFF2-40B4-BE49-F238E27FC236}">
              <a16:creationId xmlns:a16="http://schemas.microsoft.com/office/drawing/2014/main" id="{00000000-0008-0000-0300-00006435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01000" y="106045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901700</xdr:colOff>
      <xdr:row>64</xdr:row>
      <xdr:rowOff>0</xdr:rowOff>
    </xdr:from>
    <xdr:to>
      <xdr:col>4</xdr:col>
      <xdr:colOff>2298700</xdr:colOff>
      <xdr:row>65</xdr:row>
      <xdr:rowOff>76200</xdr:rowOff>
    </xdr:to>
    <xdr:pic>
      <xdr:nvPicPr>
        <xdr:cNvPr id="13669" name="ComboBox10">
          <a:extLst>
            <a:ext uri="{FF2B5EF4-FFF2-40B4-BE49-F238E27FC236}">
              <a16:creationId xmlns:a16="http://schemas.microsoft.com/office/drawing/2014/main" id="{00000000-0008-0000-0300-00006535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001000" y="114935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901700</xdr:colOff>
      <xdr:row>72</xdr:row>
      <xdr:rowOff>12700</xdr:rowOff>
    </xdr:from>
    <xdr:to>
      <xdr:col>4</xdr:col>
      <xdr:colOff>2298700</xdr:colOff>
      <xdr:row>73</xdr:row>
      <xdr:rowOff>88900</xdr:rowOff>
    </xdr:to>
    <xdr:pic>
      <xdr:nvPicPr>
        <xdr:cNvPr id="13670" name="ComboBox11">
          <a:extLst>
            <a:ext uri="{FF2B5EF4-FFF2-40B4-BE49-F238E27FC236}">
              <a16:creationId xmlns:a16="http://schemas.microsoft.com/office/drawing/2014/main" id="{00000000-0008-0000-0300-00006635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8001000" y="129286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901700</xdr:colOff>
      <xdr:row>80</xdr:row>
      <xdr:rowOff>12700</xdr:rowOff>
    </xdr:from>
    <xdr:to>
      <xdr:col>4</xdr:col>
      <xdr:colOff>2298700</xdr:colOff>
      <xdr:row>81</xdr:row>
      <xdr:rowOff>88900</xdr:rowOff>
    </xdr:to>
    <xdr:pic>
      <xdr:nvPicPr>
        <xdr:cNvPr id="13671" name="ComboBox12">
          <a:extLst>
            <a:ext uri="{FF2B5EF4-FFF2-40B4-BE49-F238E27FC236}">
              <a16:creationId xmlns:a16="http://schemas.microsoft.com/office/drawing/2014/main" id="{00000000-0008-0000-0300-00006735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001000" y="143510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901700</xdr:colOff>
      <xdr:row>88</xdr:row>
      <xdr:rowOff>0</xdr:rowOff>
    </xdr:from>
    <xdr:to>
      <xdr:col>4</xdr:col>
      <xdr:colOff>2298700</xdr:colOff>
      <xdr:row>89</xdr:row>
      <xdr:rowOff>76200</xdr:rowOff>
    </xdr:to>
    <xdr:pic>
      <xdr:nvPicPr>
        <xdr:cNvPr id="13672" name="ComboBox13">
          <a:extLst>
            <a:ext uri="{FF2B5EF4-FFF2-40B4-BE49-F238E27FC236}">
              <a16:creationId xmlns:a16="http://schemas.microsoft.com/office/drawing/2014/main" id="{00000000-0008-0000-0300-00006835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001000" y="157607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901700</xdr:colOff>
      <xdr:row>96</xdr:row>
      <xdr:rowOff>12700</xdr:rowOff>
    </xdr:from>
    <xdr:to>
      <xdr:col>4</xdr:col>
      <xdr:colOff>2298700</xdr:colOff>
      <xdr:row>97</xdr:row>
      <xdr:rowOff>88900</xdr:rowOff>
    </xdr:to>
    <xdr:pic>
      <xdr:nvPicPr>
        <xdr:cNvPr id="13673" name="ComboBox14">
          <a:extLst>
            <a:ext uri="{FF2B5EF4-FFF2-40B4-BE49-F238E27FC236}">
              <a16:creationId xmlns:a16="http://schemas.microsoft.com/office/drawing/2014/main" id="{00000000-0008-0000-0300-00006935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001000" y="171958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1117600</xdr:colOff>
      <xdr:row>161</xdr:row>
      <xdr:rowOff>139700</xdr:rowOff>
    </xdr:from>
    <xdr:to>
      <xdr:col>4</xdr:col>
      <xdr:colOff>2006600</xdr:colOff>
      <xdr:row>163</xdr:row>
      <xdr:rowOff>0</xdr:rowOff>
    </xdr:to>
    <xdr:pic>
      <xdr:nvPicPr>
        <xdr:cNvPr id="13674" name="ComboBox1">
          <a:extLst>
            <a:ext uri="{FF2B5EF4-FFF2-40B4-BE49-F238E27FC236}">
              <a16:creationId xmlns:a16="http://schemas.microsoft.com/office/drawing/2014/main" id="{00000000-0008-0000-0300-00006A35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216900" y="29210000"/>
          <a:ext cx="8890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1117600</xdr:colOff>
      <xdr:row>199</xdr:row>
      <xdr:rowOff>0</xdr:rowOff>
    </xdr:from>
    <xdr:to>
      <xdr:col>4</xdr:col>
      <xdr:colOff>2006600</xdr:colOff>
      <xdr:row>200</xdr:row>
      <xdr:rowOff>76200</xdr:rowOff>
    </xdr:to>
    <xdr:pic>
      <xdr:nvPicPr>
        <xdr:cNvPr id="13675" name="ComboBox2">
          <a:extLst>
            <a:ext uri="{FF2B5EF4-FFF2-40B4-BE49-F238E27FC236}">
              <a16:creationId xmlns:a16="http://schemas.microsoft.com/office/drawing/2014/main" id="{00000000-0008-0000-0300-00006B350000}"/>
            </a:ext>
          </a:extLst>
        </xdr:cNvPr>
        <xdr:cNvPicPr preferRelativeResize="0">
          <a:picLocks noChangeArrowheads="1" noChangeShapeType="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216900" y="35979100"/>
          <a:ext cx="889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210</xdr:row>
      <xdr:rowOff>0</xdr:rowOff>
    </xdr:from>
    <xdr:to>
      <xdr:col>4</xdr:col>
      <xdr:colOff>2019300</xdr:colOff>
      <xdr:row>211</xdr:row>
      <xdr:rowOff>76200</xdr:rowOff>
    </xdr:to>
    <xdr:pic>
      <xdr:nvPicPr>
        <xdr:cNvPr id="13676" name="ComboBox3">
          <a:extLst>
            <a:ext uri="{FF2B5EF4-FFF2-40B4-BE49-F238E27FC236}">
              <a16:creationId xmlns:a16="http://schemas.microsoft.com/office/drawing/2014/main" id="{00000000-0008-0000-0300-00006C350000}"/>
            </a:ext>
          </a:extLst>
        </xdr:cNvPr>
        <xdr:cNvPicPr preferRelativeResize="0">
          <a:picLocks noChangeArrowheads="1" noChangeShapeType="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229600" y="37947600"/>
          <a:ext cx="889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1117600</xdr:colOff>
      <xdr:row>232</xdr:row>
      <xdr:rowOff>12700</xdr:rowOff>
    </xdr:from>
    <xdr:to>
      <xdr:col>4</xdr:col>
      <xdr:colOff>2006600</xdr:colOff>
      <xdr:row>233</xdr:row>
      <xdr:rowOff>88900</xdr:rowOff>
    </xdr:to>
    <xdr:pic>
      <xdr:nvPicPr>
        <xdr:cNvPr id="13677" name="ComboBox4">
          <a:extLst>
            <a:ext uri="{FF2B5EF4-FFF2-40B4-BE49-F238E27FC236}">
              <a16:creationId xmlns:a16="http://schemas.microsoft.com/office/drawing/2014/main" id="{00000000-0008-0000-0300-00006D350000}"/>
            </a:ext>
          </a:extLst>
        </xdr:cNvPr>
        <xdr:cNvPicPr preferRelativeResize="0">
          <a:picLocks noChangeArrowheads="1" noChangeShapeType="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216900" y="41910000"/>
          <a:ext cx="889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242</xdr:row>
      <xdr:rowOff>152400</xdr:rowOff>
    </xdr:from>
    <xdr:to>
      <xdr:col>4</xdr:col>
      <xdr:colOff>2044700</xdr:colOff>
      <xdr:row>244</xdr:row>
      <xdr:rowOff>12700</xdr:rowOff>
    </xdr:to>
    <xdr:pic>
      <xdr:nvPicPr>
        <xdr:cNvPr id="13678" name="ComboBox5">
          <a:extLst>
            <a:ext uri="{FF2B5EF4-FFF2-40B4-BE49-F238E27FC236}">
              <a16:creationId xmlns:a16="http://schemas.microsoft.com/office/drawing/2014/main" id="{00000000-0008-0000-0300-00006E350000}"/>
            </a:ext>
          </a:extLst>
        </xdr:cNvPr>
        <xdr:cNvPicPr preferRelativeResize="0">
          <a:picLocks noChangeArrowheads="1" noChangeShapeType="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255000" y="43891200"/>
          <a:ext cx="8890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315</xdr:row>
      <xdr:rowOff>139700</xdr:rowOff>
    </xdr:from>
    <xdr:to>
      <xdr:col>4</xdr:col>
      <xdr:colOff>2019300</xdr:colOff>
      <xdr:row>317</xdr:row>
      <xdr:rowOff>0</xdr:rowOff>
    </xdr:to>
    <xdr:pic>
      <xdr:nvPicPr>
        <xdr:cNvPr id="13679" name="ComboBox6">
          <a:extLst>
            <a:ext uri="{FF2B5EF4-FFF2-40B4-BE49-F238E27FC236}">
              <a16:creationId xmlns:a16="http://schemas.microsoft.com/office/drawing/2014/main" id="{00000000-0008-0000-0300-00006F35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229600" y="57061100"/>
          <a:ext cx="8890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381</xdr:row>
      <xdr:rowOff>12700</xdr:rowOff>
    </xdr:from>
    <xdr:to>
      <xdr:col>4</xdr:col>
      <xdr:colOff>2044700</xdr:colOff>
      <xdr:row>382</xdr:row>
      <xdr:rowOff>88900</xdr:rowOff>
    </xdr:to>
    <xdr:pic>
      <xdr:nvPicPr>
        <xdr:cNvPr id="13680" name="ComboBox15">
          <a:extLst>
            <a:ext uri="{FF2B5EF4-FFF2-40B4-BE49-F238E27FC236}">
              <a16:creationId xmlns:a16="http://schemas.microsoft.com/office/drawing/2014/main" id="{00000000-0008-0000-0300-000070350000}"/>
            </a:ext>
          </a:extLst>
        </xdr:cNvPr>
        <xdr:cNvPicPr preferRelativeResize="0">
          <a:picLocks noChangeArrowheads="1" noChangeShapeType="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255000" y="68910200"/>
          <a:ext cx="889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850900</xdr:colOff>
      <xdr:row>214</xdr:row>
      <xdr:rowOff>0</xdr:rowOff>
    </xdr:from>
    <xdr:to>
      <xdr:col>4</xdr:col>
      <xdr:colOff>2286000</xdr:colOff>
      <xdr:row>215</xdr:row>
      <xdr:rowOff>76200</xdr:rowOff>
    </xdr:to>
    <xdr:pic>
      <xdr:nvPicPr>
        <xdr:cNvPr id="13681" name="ComboBox16">
          <a:extLst>
            <a:ext uri="{FF2B5EF4-FFF2-40B4-BE49-F238E27FC236}">
              <a16:creationId xmlns:a16="http://schemas.microsoft.com/office/drawing/2014/main" id="{00000000-0008-0000-0300-000071350000}"/>
            </a:ext>
          </a:extLst>
        </xdr:cNvPr>
        <xdr:cNvPicPr preferRelativeResize="0">
          <a:picLocks noChangeArrowheads="1" noChangeShapeType="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950200" y="38658800"/>
          <a:ext cx="14351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711200</xdr:colOff>
      <xdr:row>203</xdr:row>
      <xdr:rowOff>190500</xdr:rowOff>
    </xdr:from>
    <xdr:to>
      <xdr:col>4</xdr:col>
      <xdr:colOff>2438400</xdr:colOff>
      <xdr:row>205</xdr:row>
      <xdr:rowOff>50800</xdr:rowOff>
    </xdr:to>
    <xdr:pic>
      <xdr:nvPicPr>
        <xdr:cNvPr id="13682" name="ComboBox17">
          <a:extLst>
            <a:ext uri="{FF2B5EF4-FFF2-40B4-BE49-F238E27FC236}">
              <a16:creationId xmlns:a16="http://schemas.microsoft.com/office/drawing/2014/main" id="{00000000-0008-0000-0300-000072350000}"/>
            </a:ext>
          </a:extLst>
        </xdr:cNvPr>
        <xdr:cNvPicPr preferRelativeResize="0">
          <a:picLocks noChangeArrowheads="1" noChangeShapeType="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7810500" y="36868100"/>
          <a:ext cx="17272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850900</xdr:colOff>
      <xdr:row>202</xdr:row>
      <xdr:rowOff>12700</xdr:rowOff>
    </xdr:from>
    <xdr:to>
      <xdr:col>4</xdr:col>
      <xdr:colOff>2286000</xdr:colOff>
      <xdr:row>203</xdr:row>
      <xdr:rowOff>88900</xdr:rowOff>
    </xdr:to>
    <xdr:pic>
      <xdr:nvPicPr>
        <xdr:cNvPr id="13683" name="ComboBox18">
          <a:extLst>
            <a:ext uri="{FF2B5EF4-FFF2-40B4-BE49-F238E27FC236}">
              <a16:creationId xmlns:a16="http://schemas.microsoft.com/office/drawing/2014/main" id="{00000000-0008-0000-0300-000073350000}"/>
            </a:ext>
          </a:extLst>
        </xdr:cNvPr>
        <xdr:cNvPicPr preferRelativeResize="0">
          <a:picLocks noChangeArrowheads="1" noChangeShapeType="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7950200" y="36525200"/>
          <a:ext cx="14351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1117600</xdr:colOff>
      <xdr:row>216</xdr:row>
      <xdr:rowOff>0</xdr:rowOff>
    </xdr:from>
    <xdr:to>
      <xdr:col>4</xdr:col>
      <xdr:colOff>2006600</xdr:colOff>
      <xdr:row>217</xdr:row>
      <xdr:rowOff>76200</xdr:rowOff>
    </xdr:to>
    <xdr:pic>
      <xdr:nvPicPr>
        <xdr:cNvPr id="13684" name="ComboBox19">
          <a:extLst>
            <a:ext uri="{FF2B5EF4-FFF2-40B4-BE49-F238E27FC236}">
              <a16:creationId xmlns:a16="http://schemas.microsoft.com/office/drawing/2014/main" id="{00000000-0008-0000-0300-000074350000}"/>
            </a:ext>
          </a:extLst>
        </xdr:cNvPr>
        <xdr:cNvPicPr preferRelativeResize="0">
          <a:picLocks noChangeArrowheads="1" noChangeShapeType="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8216900" y="39014400"/>
          <a:ext cx="889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1168400</xdr:colOff>
      <xdr:row>397</xdr:row>
      <xdr:rowOff>38100</xdr:rowOff>
    </xdr:from>
    <xdr:to>
      <xdr:col>4</xdr:col>
      <xdr:colOff>2006600</xdr:colOff>
      <xdr:row>398</xdr:row>
      <xdr:rowOff>101600</xdr:rowOff>
    </xdr:to>
    <xdr:pic>
      <xdr:nvPicPr>
        <xdr:cNvPr id="13685" name="ComboBox20">
          <a:extLst>
            <a:ext uri="{FF2B5EF4-FFF2-40B4-BE49-F238E27FC236}">
              <a16:creationId xmlns:a16="http://schemas.microsoft.com/office/drawing/2014/main" id="{00000000-0008-0000-0300-000075350000}"/>
            </a:ext>
          </a:extLst>
        </xdr:cNvPr>
        <xdr:cNvPicPr preferRelativeResize="0">
          <a:picLocks noChangeArrowheads="1" noChangeShapeType="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267700" y="719074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1016000</xdr:colOff>
      <xdr:row>401</xdr:row>
      <xdr:rowOff>203200</xdr:rowOff>
    </xdr:from>
    <xdr:to>
      <xdr:col>4</xdr:col>
      <xdr:colOff>2082800</xdr:colOff>
      <xdr:row>403</xdr:row>
      <xdr:rowOff>63500</xdr:rowOff>
    </xdr:to>
    <xdr:pic>
      <xdr:nvPicPr>
        <xdr:cNvPr id="13686" name="ComboBox21">
          <a:extLst>
            <a:ext uri="{FF2B5EF4-FFF2-40B4-BE49-F238E27FC236}">
              <a16:creationId xmlns:a16="http://schemas.microsoft.com/office/drawing/2014/main" id="{00000000-0008-0000-0300-000076350000}"/>
            </a:ext>
          </a:extLst>
        </xdr:cNvPr>
        <xdr:cNvPicPr preferRelativeResize="0">
          <a:picLocks noChangeArrowheads="1" noChangeShapeType="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115300" y="72758300"/>
          <a:ext cx="10668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762000</xdr:colOff>
      <xdr:row>444</xdr:row>
      <xdr:rowOff>12700</xdr:rowOff>
    </xdr:from>
    <xdr:to>
      <xdr:col>4</xdr:col>
      <xdr:colOff>2387600</xdr:colOff>
      <xdr:row>445</xdr:row>
      <xdr:rowOff>101600</xdr:rowOff>
    </xdr:to>
    <xdr:pic>
      <xdr:nvPicPr>
        <xdr:cNvPr id="13687" name="ComboBox22">
          <a:extLst>
            <a:ext uri="{FF2B5EF4-FFF2-40B4-BE49-F238E27FC236}">
              <a16:creationId xmlns:a16="http://schemas.microsoft.com/office/drawing/2014/main" id="{00000000-0008-0000-0300-000077350000}"/>
            </a:ext>
          </a:extLst>
        </xdr:cNvPr>
        <xdr:cNvPicPr preferRelativeResize="0">
          <a:picLocks noChangeArrowheads="1" noChangeShapeType="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7861300" y="80238600"/>
          <a:ext cx="1625600" cy="26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1054100</xdr:colOff>
      <xdr:row>413</xdr:row>
      <xdr:rowOff>203200</xdr:rowOff>
    </xdr:from>
    <xdr:to>
      <xdr:col>4</xdr:col>
      <xdr:colOff>2120900</xdr:colOff>
      <xdr:row>415</xdr:row>
      <xdr:rowOff>63500</xdr:rowOff>
    </xdr:to>
    <xdr:pic>
      <xdr:nvPicPr>
        <xdr:cNvPr id="13690" name="ComboBox25">
          <a:extLst>
            <a:ext uri="{FF2B5EF4-FFF2-40B4-BE49-F238E27FC236}">
              <a16:creationId xmlns:a16="http://schemas.microsoft.com/office/drawing/2014/main" id="{00000000-0008-0000-0300-00007A350000}"/>
            </a:ext>
          </a:extLst>
        </xdr:cNvPr>
        <xdr:cNvPicPr preferRelativeResize="0">
          <a:picLocks noChangeArrowheads="1" noChangeShapeType="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8153400" y="74891900"/>
          <a:ext cx="10668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1028700</xdr:colOff>
      <xdr:row>425</xdr:row>
      <xdr:rowOff>165100</xdr:rowOff>
    </xdr:from>
    <xdr:to>
      <xdr:col>4</xdr:col>
      <xdr:colOff>2095500</xdr:colOff>
      <xdr:row>427</xdr:row>
      <xdr:rowOff>25400</xdr:rowOff>
    </xdr:to>
    <xdr:pic>
      <xdr:nvPicPr>
        <xdr:cNvPr id="13691" name="ComboBox26">
          <a:extLst>
            <a:ext uri="{FF2B5EF4-FFF2-40B4-BE49-F238E27FC236}">
              <a16:creationId xmlns:a16="http://schemas.microsoft.com/office/drawing/2014/main" id="{00000000-0008-0000-0300-00007B350000}"/>
            </a:ext>
          </a:extLst>
        </xdr:cNvPr>
        <xdr:cNvPicPr preferRelativeResize="0">
          <a:picLocks noChangeArrowheads="1" noChangeShapeType="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8128000" y="77012800"/>
          <a:ext cx="1066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409</xdr:row>
      <xdr:rowOff>12700</xdr:rowOff>
    </xdr:from>
    <xdr:to>
      <xdr:col>4</xdr:col>
      <xdr:colOff>1968500</xdr:colOff>
      <xdr:row>410</xdr:row>
      <xdr:rowOff>76200</xdr:rowOff>
    </xdr:to>
    <xdr:pic>
      <xdr:nvPicPr>
        <xdr:cNvPr id="13692" name="ComboBox27">
          <a:extLst>
            <a:ext uri="{FF2B5EF4-FFF2-40B4-BE49-F238E27FC236}">
              <a16:creationId xmlns:a16="http://schemas.microsoft.com/office/drawing/2014/main" id="{00000000-0008-0000-0300-00007C350000}"/>
            </a:ext>
          </a:extLst>
        </xdr:cNvPr>
        <xdr:cNvPicPr preferRelativeResize="0">
          <a:picLocks noChangeArrowheads="1" noChangeShapeType="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8229600" y="740156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1168400</xdr:colOff>
      <xdr:row>421</xdr:row>
      <xdr:rowOff>0</xdr:rowOff>
    </xdr:from>
    <xdr:to>
      <xdr:col>4</xdr:col>
      <xdr:colOff>2006600</xdr:colOff>
      <xdr:row>422</xdr:row>
      <xdr:rowOff>63500</xdr:rowOff>
    </xdr:to>
    <xdr:pic>
      <xdr:nvPicPr>
        <xdr:cNvPr id="13693" name="ComboBox28">
          <a:extLst>
            <a:ext uri="{FF2B5EF4-FFF2-40B4-BE49-F238E27FC236}">
              <a16:creationId xmlns:a16="http://schemas.microsoft.com/office/drawing/2014/main" id="{00000000-0008-0000-0300-00007D350000}"/>
            </a:ext>
          </a:extLst>
        </xdr:cNvPr>
        <xdr:cNvPicPr preferRelativeResize="0">
          <a:picLocks noChangeArrowheads="1" noChangeShapeType="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8267700" y="761365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434</xdr:row>
      <xdr:rowOff>38100</xdr:rowOff>
    </xdr:from>
    <xdr:to>
      <xdr:col>4</xdr:col>
      <xdr:colOff>1968500</xdr:colOff>
      <xdr:row>435</xdr:row>
      <xdr:rowOff>101600</xdr:rowOff>
    </xdr:to>
    <xdr:pic>
      <xdr:nvPicPr>
        <xdr:cNvPr id="13696" name="ComboBox23">
          <a:extLst>
            <a:ext uri="{FF2B5EF4-FFF2-40B4-BE49-F238E27FC236}">
              <a16:creationId xmlns:a16="http://schemas.microsoft.com/office/drawing/2014/main" id="{00000000-0008-0000-0300-000080350000}"/>
            </a:ext>
          </a:extLst>
        </xdr:cNvPr>
        <xdr:cNvPicPr preferRelativeResize="0">
          <a:picLocks noChangeArrowheads="1" noChangeShapeType="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8229600" y="784860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452</xdr:row>
      <xdr:rowOff>0</xdr:rowOff>
    </xdr:from>
    <xdr:to>
      <xdr:col>4</xdr:col>
      <xdr:colOff>1993900</xdr:colOff>
      <xdr:row>453</xdr:row>
      <xdr:rowOff>63500</xdr:rowOff>
    </xdr:to>
    <xdr:pic>
      <xdr:nvPicPr>
        <xdr:cNvPr id="13697" name="ComboBox24">
          <a:extLst>
            <a:ext uri="{FF2B5EF4-FFF2-40B4-BE49-F238E27FC236}">
              <a16:creationId xmlns:a16="http://schemas.microsoft.com/office/drawing/2014/main" id="{00000000-0008-0000-0300-000081350000}"/>
            </a:ext>
          </a:extLst>
        </xdr:cNvPr>
        <xdr:cNvPicPr preferRelativeResize="0">
          <a:picLocks noChangeArrowheads="1" noChangeShapeType="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8255000" y="816483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470</xdr:row>
      <xdr:rowOff>38100</xdr:rowOff>
    </xdr:from>
    <xdr:to>
      <xdr:col>4</xdr:col>
      <xdr:colOff>1968500</xdr:colOff>
      <xdr:row>471</xdr:row>
      <xdr:rowOff>101600</xdr:rowOff>
    </xdr:to>
    <xdr:pic>
      <xdr:nvPicPr>
        <xdr:cNvPr id="13698" name="ComboBox29">
          <a:extLst>
            <a:ext uri="{FF2B5EF4-FFF2-40B4-BE49-F238E27FC236}">
              <a16:creationId xmlns:a16="http://schemas.microsoft.com/office/drawing/2014/main" id="{00000000-0008-0000-0300-000082350000}"/>
            </a:ext>
          </a:extLst>
        </xdr:cNvPr>
        <xdr:cNvPicPr preferRelativeResize="0">
          <a:picLocks noChangeArrowheads="1" noChangeShapeType="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8229600" y="848868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488</xdr:row>
      <xdr:rowOff>12700</xdr:rowOff>
    </xdr:from>
    <xdr:to>
      <xdr:col>4</xdr:col>
      <xdr:colOff>1968500</xdr:colOff>
      <xdr:row>489</xdr:row>
      <xdr:rowOff>76200</xdr:rowOff>
    </xdr:to>
    <xdr:pic>
      <xdr:nvPicPr>
        <xdr:cNvPr id="13699" name="ComboBox30">
          <a:extLst>
            <a:ext uri="{FF2B5EF4-FFF2-40B4-BE49-F238E27FC236}">
              <a16:creationId xmlns:a16="http://schemas.microsoft.com/office/drawing/2014/main" id="{00000000-0008-0000-0300-000083350000}"/>
            </a:ext>
          </a:extLst>
        </xdr:cNvPr>
        <xdr:cNvPicPr preferRelativeResize="0">
          <a:picLocks noChangeArrowheads="1" noChangeShapeType="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229600" y="880618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1016000</xdr:colOff>
      <xdr:row>437</xdr:row>
      <xdr:rowOff>152400</xdr:rowOff>
    </xdr:from>
    <xdr:to>
      <xdr:col>4</xdr:col>
      <xdr:colOff>2082800</xdr:colOff>
      <xdr:row>439</xdr:row>
      <xdr:rowOff>12700</xdr:rowOff>
    </xdr:to>
    <xdr:pic>
      <xdr:nvPicPr>
        <xdr:cNvPr id="13700" name="ComboBox31">
          <a:extLst>
            <a:ext uri="{FF2B5EF4-FFF2-40B4-BE49-F238E27FC236}">
              <a16:creationId xmlns:a16="http://schemas.microsoft.com/office/drawing/2014/main" id="{00000000-0008-0000-0300-000084350000}"/>
            </a:ext>
          </a:extLst>
        </xdr:cNvPr>
        <xdr:cNvPicPr preferRelativeResize="0">
          <a:picLocks noChangeArrowheads="1" noChangeShapeType="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8115300" y="79133700"/>
          <a:ext cx="1066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1054100</xdr:colOff>
      <xdr:row>455</xdr:row>
      <xdr:rowOff>203200</xdr:rowOff>
    </xdr:from>
    <xdr:to>
      <xdr:col>4</xdr:col>
      <xdr:colOff>2120900</xdr:colOff>
      <xdr:row>457</xdr:row>
      <xdr:rowOff>63500</xdr:rowOff>
    </xdr:to>
    <xdr:pic>
      <xdr:nvPicPr>
        <xdr:cNvPr id="13701" name="ComboBox32">
          <a:extLst>
            <a:ext uri="{FF2B5EF4-FFF2-40B4-BE49-F238E27FC236}">
              <a16:creationId xmlns:a16="http://schemas.microsoft.com/office/drawing/2014/main" id="{00000000-0008-0000-0300-000085350000}"/>
            </a:ext>
          </a:extLst>
        </xdr:cNvPr>
        <xdr:cNvPicPr preferRelativeResize="0">
          <a:picLocks noChangeArrowheads="1" noChangeShapeType="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8153400" y="82359500"/>
          <a:ext cx="10668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1016000</xdr:colOff>
      <xdr:row>473</xdr:row>
      <xdr:rowOff>190500</xdr:rowOff>
    </xdr:from>
    <xdr:to>
      <xdr:col>4</xdr:col>
      <xdr:colOff>2082800</xdr:colOff>
      <xdr:row>475</xdr:row>
      <xdr:rowOff>50800</xdr:rowOff>
    </xdr:to>
    <xdr:pic>
      <xdr:nvPicPr>
        <xdr:cNvPr id="13702" name="ComboBox33">
          <a:extLst>
            <a:ext uri="{FF2B5EF4-FFF2-40B4-BE49-F238E27FC236}">
              <a16:creationId xmlns:a16="http://schemas.microsoft.com/office/drawing/2014/main" id="{00000000-0008-0000-0300-000086350000}"/>
            </a:ext>
          </a:extLst>
        </xdr:cNvPr>
        <xdr:cNvPicPr preferRelativeResize="0">
          <a:picLocks noChangeArrowheads="1" noChangeShapeType="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8115300" y="85559900"/>
          <a:ext cx="10668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1054100</xdr:colOff>
      <xdr:row>491</xdr:row>
      <xdr:rowOff>190500</xdr:rowOff>
    </xdr:from>
    <xdr:to>
      <xdr:col>4</xdr:col>
      <xdr:colOff>2120900</xdr:colOff>
      <xdr:row>493</xdr:row>
      <xdr:rowOff>50800</xdr:rowOff>
    </xdr:to>
    <xdr:pic>
      <xdr:nvPicPr>
        <xdr:cNvPr id="13703" name="ComboBox34">
          <a:extLst>
            <a:ext uri="{FF2B5EF4-FFF2-40B4-BE49-F238E27FC236}">
              <a16:creationId xmlns:a16="http://schemas.microsoft.com/office/drawing/2014/main" id="{00000000-0008-0000-0300-000087350000}"/>
            </a:ext>
          </a:extLst>
        </xdr:cNvPr>
        <xdr:cNvPicPr preferRelativeResize="0">
          <a:picLocks noChangeArrowheads="1" noChangeShapeType="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8153400" y="88760300"/>
          <a:ext cx="10668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774700</xdr:colOff>
      <xdr:row>462</xdr:row>
      <xdr:rowOff>0</xdr:rowOff>
    </xdr:from>
    <xdr:to>
      <xdr:col>4</xdr:col>
      <xdr:colOff>2400300</xdr:colOff>
      <xdr:row>463</xdr:row>
      <xdr:rowOff>50800</xdr:rowOff>
    </xdr:to>
    <xdr:pic>
      <xdr:nvPicPr>
        <xdr:cNvPr id="13708" name="ComboBox35">
          <a:extLst>
            <a:ext uri="{FF2B5EF4-FFF2-40B4-BE49-F238E27FC236}">
              <a16:creationId xmlns:a16="http://schemas.microsoft.com/office/drawing/2014/main" id="{00000000-0008-0000-0300-00008C350000}"/>
            </a:ext>
          </a:extLst>
        </xdr:cNvPr>
        <xdr:cNvPicPr preferRelativeResize="0">
          <a:picLocks noChangeArrowheads="1" noChangeShapeType="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7874000" y="834263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800100</xdr:colOff>
      <xdr:row>480</xdr:row>
      <xdr:rowOff>12700</xdr:rowOff>
    </xdr:from>
    <xdr:to>
      <xdr:col>4</xdr:col>
      <xdr:colOff>2425700</xdr:colOff>
      <xdr:row>481</xdr:row>
      <xdr:rowOff>63500</xdr:rowOff>
    </xdr:to>
    <xdr:pic>
      <xdr:nvPicPr>
        <xdr:cNvPr id="13709" name="ComboBox39">
          <a:extLst>
            <a:ext uri="{FF2B5EF4-FFF2-40B4-BE49-F238E27FC236}">
              <a16:creationId xmlns:a16="http://schemas.microsoft.com/office/drawing/2014/main" id="{00000000-0008-0000-0300-00008D350000}"/>
            </a:ext>
          </a:extLst>
        </xdr:cNvPr>
        <xdr:cNvPicPr preferRelativeResize="0">
          <a:picLocks noChangeArrowheads="1" noChangeShapeType="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7899400" y="866394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800100</xdr:colOff>
      <xdr:row>498</xdr:row>
      <xdr:rowOff>12700</xdr:rowOff>
    </xdr:from>
    <xdr:to>
      <xdr:col>4</xdr:col>
      <xdr:colOff>2425700</xdr:colOff>
      <xdr:row>499</xdr:row>
      <xdr:rowOff>63500</xdr:rowOff>
    </xdr:to>
    <xdr:pic>
      <xdr:nvPicPr>
        <xdr:cNvPr id="13710" name="ComboBox40">
          <a:extLst>
            <a:ext uri="{FF2B5EF4-FFF2-40B4-BE49-F238E27FC236}">
              <a16:creationId xmlns:a16="http://schemas.microsoft.com/office/drawing/2014/main" id="{00000000-0008-0000-0300-00008E350000}"/>
            </a:ext>
          </a:extLst>
        </xdr:cNvPr>
        <xdr:cNvPicPr preferRelativeResize="0">
          <a:picLocks noChangeArrowheads="1" noChangeShapeType="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7899400" y="898398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132</xdr:row>
      <xdr:rowOff>190500</xdr:rowOff>
    </xdr:from>
    <xdr:to>
      <xdr:col>4</xdr:col>
      <xdr:colOff>2044700</xdr:colOff>
      <xdr:row>134</xdr:row>
      <xdr:rowOff>12700</xdr:rowOff>
    </xdr:to>
    <xdr:pic>
      <xdr:nvPicPr>
        <xdr:cNvPr id="13711" name="ComboBox8">
          <a:extLst>
            <a:ext uri="{FF2B5EF4-FFF2-40B4-BE49-F238E27FC236}">
              <a16:creationId xmlns:a16="http://schemas.microsoft.com/office/drawing/2014/main" id="{00000000-0008-0000-0300-00008F350000}"/>
            </a:ext>
          </a:extLst>
        </xdr:cNvPr>
        <xdr:cNvPicPr preferRelativeResize="0">
          <a:picLocks noChangeArrowheads="1" noChangeShapeType="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8255000" y="24041100"/>
          <a:ext cx="8890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1816100</xdr:colOff>
      <xdr:row>65</xdr:row>
      <xdr:rowOff>0</xdr:rowOff>
    </xdr:from>
    <xdr:to>
      <xdr:col>4</xdr:col>
      <xdr:colOff>2603500</xdr:colOff>
      <xdr:row>65</xdr:row>
      <xdr:rowOff>203200</xdr:rowOff>
    </xdr:to>
    <xdr:pic>
      <xdr:nvPicPr>
        <xdr:cNvPr id="14640" name="ScrollBar1">
          <a:extLst>
            <a:ext uri="{FF2B5EF4-FFF2-40B4-BE49-F238E27FC236}">
              <a16:creationId xmlns:a16="http://schemas.microsoft.com/office/drawing/2014/main" id="{00000000-0008-0000-0400-000030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16713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70</xdr:row>
      <xdr:rowOff>12700</xdr:rowOff>
    </xdr:from>
    <xdr:to>
      <xdr:col>4</xdr:col>
      <xdr:colOff>2603500</xdr:colOff>
      <xdr:row>71</xdr:row>
      <xdr:rowOff>0</xdr:rowOff>
    </xdr:to>
    <xdr:pic>
      <xdr:nvPicPr>
        <xdr:cNvPr id="14641" name="ScrollBar2">
          <a:extLst>
            <a:ext uri="{FF2B5EF4-FFF2-40B4-BE49-F238E27FC236}">
              <a16:creationId xmlns:a16="http://schemas.microsoft.com/office/drawing/2014/main" id="{00000000-0008-0000-0400-00003139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25730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72</xdr:row>
      <xdr:rowOff>0</xdr:rowOff>
    </xdr:from>
    <xdr:to>
      <xdr:col>4</xdr:col>
      <xdr:colOff>2603500</xdr:colOff>
      <xdr:row>72</xdr:row>
      <xdr:rowOff>203200</xdr:rowOff>
    </xdr:to>
    <xdr:pic>
      <xdr:nvPicPr>
        <xdr:cNvPr id="14642" name="ScrollBar3">
          <a:extLst>
            <a:ext uri="{FF2B5EF4-FFF2-40B4-BE49-F238E27FC236}">
              <a16:creationId xmlns:a16="http://schemas.microsoft.com/office/drawing/2014/main" id="{00000000-0008-0000-0400-00003239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915400" y="129159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78</xdr:row>
      <xdr:rowOff>38100</xdr:rowOff>
    </xdr:from>
    <xdr:to>
      <xdr:col>4</xdr:col>
      <xdr:colOff>2616200</xdr:colOff>
      <xdr:row>79</xdr:row>
      <xdr:rowOff>25400</xdr:rowOff>
    </xdr:to>
    <xdr:pic>
      <xdr:nvPicPr>
        <xdr:cNvPr id="14643" name="ScrollBar4">
          <a:extLst>
            <a:ext uri="{FF2B5EF4-FFF2-40B4-BE49-F238E27FC236}">
              <a16:creationId xmlns:a16="http://schemas.microsoft.com/office/drawing/2014/main" id="{00000000-0008-0000-0400-00003339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8100" y="140208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80</xdr:row>
      <xdr:rowOff>0</xdr:rowOff>
    </xdr:from>
    <xdr:to>
      <xdr:col>4</xdr:col>
      <xdr:colOff>2616200</xdr:colOff>
      <xdr:row>80</xdr:row>
      <xdr:rowOff>203200</xdr:rowOff>
    </xdr:to>
    <xdr:pic>
      <xdr:nvPicPr>
        <xdr:cNvPr id="14644" name="ScrollBar5">
          <a:extLst>
            <a:ext uri="{FF2B5EF4-FFF2-40B4-BE49-F238E27FC236}">
              <a16:creationId xmlns:a16="http://schemas.microsoft.com/office/drawing/2014/main" id="{00000000-0008-0000-0400-00003439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8100" y="143383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86</xdr:row>
      <xdr:rowOff>12700</xdr:rowOff>
    </xdr:from>
    <xdr:to>
      <xdr:col>4</xdr:col>
      <xdr:colOff>2603500</xdr:colOff>
      <xdr:row>87</xdr:row>
      <xdr:rowOff>0</xdr:rowOff>
    </xdr:to>
    <xdr:pic>
      <xdr:nvPicPr>
        <xdr:cNvPr id="14645" name="ScrollBar6">
          <a:extLst>
            <a:ext uri="{FF2B5EF4-FFF2-40B4-BE49-F238E27FC236}">
              <a16:creationId xmlns:a16="http://schemas.microsoft.com/office/drawing/2014/main" id="{00000000-0008-0000-0400-00003539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15400" y="154178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88</xdr:row>
      <xdr:rowOff>0</xdr:rowOff>
    </xdr:from>
    <xdr:to>
      <xdr:col>4</xdr:col>
      <xdr:colOff>2603500</xdr:colOff>
      <xdr:row>88</xdr:row>
      <xdr:rowOff>203200</xdr:rowOff>
    </xdr:to>
    <xdr:pic>
      <xdr:nvPicPr>
        <xdr:cNvPr id="14646" name="ScrollBar7">
          <a:extLst>
            <a:ext uri="{FF2B5EF4-FFF2-40B4-BE49-F238E27FC236}">
              <a16:creationId xmlns:a16="http://schemas.microsoft.com/office/drawing/2014/main" id="{00000000-0008-0000-0400-00003639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915400" y="157607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94</xdr:row>
      <xdr:rowOff>12700</xdr:rowOff>
    </xdr:from>
    <xdr:to>
      <xdr:col>4</xdr:col>
      <xdr:colOff>2628900</xdr:colOff>
      <xdr:row>95</xdr:row>
      <xdr:rowOff>0</xdr:rowOff>
    </xdr:to>
    <xdr:pic>
      <xdr:nvPicPr>
        <xdr:cNvPr id="14647" name="ScrollBar8">
          <a:extLst>
            <a:ext uri="{FF2B5EF4-FFF2-40B4-BE49-F238E27FC236}">
              <a16:creationId xmlns:a16="http://schemas.microsoft.com/office/drawing/2014/main" id="{00000000-0008-0000-0400-00003739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40800" y="168402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95</xdr:row>
      <xdr:rowOff>203200</xdr:rowOff>
    </xdr:from>
    <xdr:to>
      <xdr:col>4</xdr:col>
      <xdr:colOff>2628900</xdr:colOff>
      <xdr:row>96</xdr:row>
      <xdr:rowOff>190500</xdr:rowOff>
    </xdr:to>
    <xdr:pic>
      <xdr:nvPicPr>
        <xdr:cNvPr id="14648" name="ScrollBar9">
          <a:extLst>
            <a:ext uri="{FF2B5EF4-FFF2-40B4-BE49-F238E27FC236}">
              <a16:creationId xmlns:a16="http://schemas.microsoft.com/office/drawing/2014/main" id="{00000000-0008-0000-0400-00003839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940800" y="171831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102</xdr:row>
      <xdr:rowOff>38100</xdr:rowOff>
    </xdr:from>
    <xdr:to>
      <xdr:col>4</xdr:col>
      <xdr:colOff>2654300</xdr:colOff>
      <xdr:row>103</xdr:row>
      <xdr:rowOff>25400</xdr:rowOff>
    </xdr:to>
    <xdr:pic>
      <xdr:nvPicPr>
        <xdr:cNvPr id="14649" name="ScrollBar10">
          <a:extLst>
            <a:ext uri="{FF2B5EF4-FFF2-40B4-BE49-F238E27FC236}">
              <a16:creationId xmlns:a16="http://schemas.microsoft.com/office/drawing/2014/main" id="{00000000-0008-0000-0400-00003939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966200" y="18288000"/>
          <a:ext cx="7747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1866900</xdr:colOff>
      <xdr:row>104</xdr:row>
      <xdr:rowOff>0</xdr:rowOff>
    </xdr:from>
    <xdr:to>
      <xdr:col>4</xdr:col>
      <xdr:colOff>2654300</xdr:colOff>
      <xdr:row>104</xdr:row>
      <xdr:rowOff>203200</xdr:rowOff>
    </xdr:to>
    <xdr:pic>
      <xdr:nvPicPr>
        <xdr:cNvPr id="14650" name="ScrollBar11">
          <a:extLst>
            <a:ext uri="{FF2B5EF4-FFF2-40B4-BE49-F238E27FC236}">
              <a16:creationId xmlns:a16="http://schemas.microsoft.com/office/drawing/2014/main" id="{00000000-0008-0000-0400-00003A39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966200" y="18605500"/>
          <a:ext cx="7747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169</xdr:row>
      <xdr:rowOff>0</xdr:rowOff>
    </xdr:from>
    <xdr:to>
      <xdr:col>4</xdr:col>
      <xdr:colOff>2628900</xdr:colOff>
      <xdr:row>169</xdr:row>
      <xdr:rowOff>203200</xdr:rowOff>
    </xdr:to>
    <xdr:pic>
      <xdr:nvPicPr>
        <xdr:cNvPr id="14651" name="ScrollBar12">
          <a:extLst>
            <a:ext uri="{FF2B5EF4-FFF2-40B4-BE49-F238E27FC236}">
              <a16:creationId xmlns:a16="http://schemas.microsoft.com/office/drawing/2014/main" id="{00000000-0008-0000-0400-00003B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304546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1879600</xdr:colOff>
      <xdr:row>178</xdr:row>
      <xdr:rowOff>0</xdr:rowOff>
    </xdr:from>
    <xdr:to>
      <xdr:col>4</xdr:col>
      <xdr:colOff>2667000</xdr:colOff>
      <xdr:row>178</xdr:row>
      <xdr:rowOff>203200</xdr:rowOff>
    </xdr:to>
    <xdr:pic>
      <xdr:nvPicPr>
        <xdr:cNvPr id="14652" name="ScrollBar13">
          <a:extLst>
            <a:ext uri="{FF2B5EF4-FFF2-40B4-BE49-F238E27FC236}">
              <a16:creationId xmlns:a16="http://schemas.microsoft.com/office/drawing/2014/main" id="{00000000-0008-0000-0400-00003C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8900" y="32080200"/>
          <a:ext cx="7620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1879600</xdr:colOff>
      <xdr:row>187</xdr:row>
      <xdr:rowOff>0</xdr:rowOff>
    </xdr:from>
    <xdr:to>
      <xdr:col>4</xdr:col>
      <xdr:colOff>2667000</xdr:colOff>
      <xdr:row>187</xdr:row>
      <xdr:rowOff>203200</xdr:rowOff>
    </xdr:to>
    <xdr:pic>
      <xdr:nvPicPr>
        <xdr:cNvPr id="14653" name="ScrollBar14">
          <a:extLst>
            <a:ext uri="{FF2B5EF4-FFF2-40B4-BE49-F238E27FC236}">
              <a16:creationId xmlns:a16="http://schemas.microsoft.com/office/drawing/2014/main" id="{00000000-0008-0000-0400-00003D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8900" y="33705800"/>
          <a:ext cx="7620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206</xdr:row>
      <xdr:rowOff>0</xdr:rowOff>
    </xdr:from>
    <xdr:to>
      <xdr:col>4</xdr:col>
      <xdr:colOff>2616200</xdr:colOff>
      <xdr:row>206</xdr:row>
      <xdr:rowOff>203200</xdr:rowOff>
    </xdr:to>
    <xdr:pic>
      <xdr:nvPicPr>
        <xdr:cNvPr id="14654" name="ScrollBar15">
          <a:extLst>
            <a:ext uri="{FF2B5EF4-FFF2-40B4-BE49-F238E27FC236}">
              <a16:creationId xmlns:a16="http://schemas.microsoft.com/office/drawing/2014/main" id="{00000000-0008-0000-0400-00003E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371856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217</xdr:row>
      <xdr:rowOff>203200</xdr:rowOff>
    </xdr:from>
    <xdr:to>
      <xdr:col>4</xdr:col>
      <xdr:colOff>2616200</xdr:colOff>
      <xdr:row>218</xdr:row>
      <xdr:rowOff>190500</xdr:rowOff>
    </xdr:to>
    <xdr:pic>
      <xdr:nvPicPr>
        <xdr:cNvPr id="14655" name="ScrollBar16">
          <a:extLst>
            <a:ext uri="{FF2B5EF4-FFF2-40B4-BE49-F238E27FC236}">
              <a16:creationId xmlns:a16="http://schemas.microsoft.com/office/drawing/2014/main" id="{00000000-0008-0000-0400-00003F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393192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238</xdr:row>
      <xdr:rowOff>0</xdr:rowOff>
    </xdr:from>
    <xdr:to>
      <xdr:col>4</xdr:col>
      <xdr:colOff>2628900</xdr:colOff>
      <xdr:row>238</xdr:row>
      <xdr:rowOff>203200</xdr:rowOff>
    </xdr:to>
    <xdr:pic>
      <xdr:nvPicPr>
        <xdr:cNvPr id="14656" name="ScrollBar17">
          <a:extLst>
            <a:ext uri="{FF2B5EF4-FFF2-40B4-BE49-F238E27FC236}">
              <a16:creationId xmlns:a16="http://schemas.microsoft.com/office/drawing/2014/main" id="{00000000-0008-0000-0400-000040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429641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241</xdr:row>
      <xdr:rowOff>0</xdr:rowOff>
    </xdr:from>
    <xdr:to>
      <xdr:col>4</xdr:col>
      <xdr:colOff>2628900</xdr:colOff>
      <xdr:row>241</xdr:row>
      <xdr:rowOff>203200</xdr:rowOff>
    </xdr:to>
    <xdr:pic>
      <xdr:nvPicPr>
        <xdr:cNvPr id="14657" name="ScrollBar18">
          <a:extLst>
            <a:ext uri="{FF2B5EF4-FFF2-40B4-BE49-F238E27FC236}">
              <a16:creationId xmlns:a16="http://schemas.microsoft.com/office/drawing/2014/main" id="{00000000-0008-0000-0400-000041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434975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248</xdr:row>
      <xdr:rowOff>12700</xdr:rowOff>
    </xdr:from>
    <xdr:to>
      <xdr:col>4</xdr:col>
      <xdr:colOff>2628900</xdr:colOff>
      <xdr:row>249</xdr:row>
      <xdr:rowOff>0</xdr:rowOff>
    </xdr:to>
    <xdr:pic>
      <xdr:nvPicPr>
        <xdr:cNvPr id="14658" name="ScrollBar19">
          <a:extLst>
            <a:ext uri="{FF2B5EF4-FFF2-40B4-BE49-F238E27FC236}">
              <a16:creationId xmlns:a16="http://schemas.microsoft.com/office/drawing/2014/main" id="{00000000-0008-0000-0400-000042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447802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250</xdr:row>
      <xdr:rowOff>12700</xdr:rowOff>
    </xdr:from>
    <xdr:to>
      <xdr:col>4</xdr:col>
      <xdr:colOff>2628900</xdr:colOff>
      <xdr:row>251</xdr:row>
      <xdr:rowOff>0</xdr:rowOff>
    </xdr:to>
    <xdr:pic>
      <xdr:nvPicPr>
        <xdr:cNvPr id="14659" name="ScrollBar20">
          <a:extLst>
            <a:ext uri="{FF2B5EF4-FFF2-40B4-BE49-F238E27FC236}">
              <a16:creationId xmlns:a16="http://schemas.microsoft.com/office/drawing/2014/main" id="{00000000-0008-0000-0400-000043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451358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257</xdr:row>
      <xdr:rowOff>12700</xdr:rowOff>
    </xdr:from>
    <xdr:to>
      <xdr:col>4</xdr:col>
      <xdr:colOff>2628900</xdr:colOff>
      <xdr:row>258</xdr:row>
      <xdr:rowOff>0</xdr:rowOff>
    </xdr:to>
    <xdr:pic>
      <xdr:nvPicPr>
        <xdr:cNvPr id="14660" name="ScrollBar21">
          <a:extLst>
            <a:ext uri="{FF2B5EF4-FFF2-40B4-BE49-F238E27FC236}">
              <a16:creationId xmlns:a16="http://schemas.microsoft.com/office/drawing/2014/main" id="{00000000-0008-0000-0400-000044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464058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259</xdr:row>
      <xdr:rowOff>0</xdr:rowOff>
    </xdr:from>
    <xdr:to>
      <xdr:col>4</xdr:col>
      <xdr:colOff>2616200</xdr:colOff>
      <xdr:row>259</xdr:row>
      <xdr:rowOff>203200</xdr:rowOff>
    </xdr:to>
    <xdr:pic>
      <xdr:nvPicPr>
        <xdr:cNvPr id="14661" name="ScrollBar22">
          <a:extLst>
            <a:ext uri="{FF2B5EF4-FFF2-40B4-BE49-F238E27FC236}">
              <a16:creationId xmlns:a16="http://schemas.microsoft.com/office/drawing/2014/main" id="{00000000-0008-0000-0400-000045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467487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266</xdr:row>
      <xdr:rowOff>0</xdr:rowOff>
    </xdr:from>
    <xdr:to>
      <xdr:col>4</xdr:col>
      <xdr:colOff>2603500</xdr:colOff>
      <xdr:row>266</xdr:row>
      <xdr:rowOff>203200</xdr:rowOff>
    </xdr:to>
    <xdr:pic>
      <xdr:nvPicPr>
        <xdr:cNvPr id="14662" name="ScrollBar23">
          <a:extLst>
            <a:ext uri="{FF2B5EF4-FFF2-40B4-BE49-F238E27FC236}">
              <a16:creationId xmlns:a16="http://schemas.microsoft.com/office/drawing/2014/main" id="{00000000-0008-0000-0400-000046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480187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268</xdr:row>
      <xdr:rowOff>12700</xdr:rowOff>
    </xdr:from>
    <xdr:to>
      <xdr:col>4</xdr:col>
      <xdr:colOff>2603500</xdr:colOff>
      <xdr:row>269</xdr:row>
      <xdr:rowOff>0</xdr:rowOff>
    </xdr:to>
    <xdr:pic>
      <xdr:nvPicPr>
        <xdr:cNvPr id="14663" name="ScrollBar24">
          <a:extLst>
            <a:ext uri="{FF2B5EF4-FFF2-40B4-BE49-F238E27FC236}">
              <a16:creationId xmlns:a16="http://schemas.microsoft.com/office/drawing/2014/main" id="{00000000-0008-0000-0400-000047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483870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276</xdr:row>
      <xdr:rowOff>0</xdr:rowOff>
    </xdr:from>
    <xdr:to>
      <xdr:col>4</xdr:col>
      <xdr:colOff>2628900</xdr:colOff>
      <xdr:row>276</xdr:row>
      <xdr:rowOff>203200</xdr:rowOff>
    </xdr:to>
    <xdr:pic>
      <xdr:nvPicPr>
        <xdr:cNvPr id="14664" name="ScrollBar25">
          <a:extLst>
            <a:ext uri="{FF2B5EF4-FFF2-40B4-BE49-F238E27FC236}">
              <a16:creationId xmlns:a16="http://schemas.microsoft.com/office/drawing/2014/main" id="{00000000-0008-0000-0400-000048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40800" y="498221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278</xdr:row>
      <xdr:rowOff>0</xdr:rowOff>
    </xdr:from>
    <xdr:to>
      <xdr:col>4</xdr:col>
      <xdr:colOff>2616200</xdr:colOff>
      <xdr:row>278</xdr:row>
      <xdr:rowOff>203200</xdr:rowOff>
    </xdr:to>
    <xdr:pic>
      <xdr:nvPicPr>
        <xdr:cNvPr id="14665" name="ScrollBar26">
          <a:extLst>
            <a:ext uri="{FF2B5EF4-FFF2-40B4-BE49-F238E27FC236}">
              <a16:creationId xmlns:a16="http://schemas.microsoft.com/office/drawing/2014/main" id="{00000000-0008-0000-0400-000049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501777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286</xdr:row>
      <xdr:rowOff>0</xdr:rowOff>
    </xdr:from>
    <xdr:to>
      <xdr:col>4</xdr:col>
      <xdr:colOff>2616200</xdr:colOff>
      <xdr:row>286</xdr:row>
      <xdr:rowOff>203200</xdr:rowOff>
    </xdr:to>
    <xdr:pic>
      <xdr:nvPicPr>
        <xdr:cNvPr id="14666" name="ScrollBar27">
          <a:extLst>
            <a:ext uri="{FF2B5EF4-FFF2-40B4-BE49-F238E27FC236}">
              <a16:creationId xmlns:a16="http://schemas.microsoft.com/office/drawing/2014/main" id="{00000000-0008-0000-0400-00004A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516255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288</xdr:row>
      <xdr:rowOff>0</xdr:rowOff>
    </xdr:from>
    <xdr:to>
      <xdr:col>4</xdr:col>
      <xdr:colOff>2616200</xdr:colOff>
      <xdr:row>288</xdr:row>
      <xdr:rowOff>203200</xdr:rowOff>
    </xdr:to>
    <xdr:pic>
      <xdr:nvPicPr>
        <xdr:cNvPr id="14667" name="ScrollBar28">
          <a:extLst>
            <a:ext uri="{FF2B5EF4-FFF2-40B4-BE49-F238E27FC236}">
              <a16:creationId xmlns:a16="http://schemas.microsoft.com/office/drawing/2014/main" id="{00000000-0008-0000-0400-00004B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519811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309</xdr:row>
      <xdr:rowOff>0</xdr:rowOff>
    </xdr:from>
    <xdr:to>
      <xdr:col>4</xdr:col>
      <xdr:colOff>2616200</xdr:colOff>
      <xdr:row>309</xdr:row>
      <xdr:rowOff>203200</xdr:rowOff>
    </xdr:to>
    <xdr:pic>
      <xdr:nvPicPr>
        <xdr:cNvPr id="14668" name="ScrollBar29">
          <a:extLst>
            <a:ext uri="{FF2B5EF4-FFF2-40B4-BE49-F238E27FC236}">
              <a16:creationId xmlns:a16="http://schemas.microsoft.com/office/drawing/2014/main" id="{00000000-0008-0000-0400-00004C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557403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318</xdr:row>
      <xdr:rowOff>0</xdr:rowOff>
    </xdr:from>
    <xdr:to>
      <xdr:col>4</xdr:col>
      <xdr:colOff>2616200</xdr:colOff>
      <xdr:row>318</xdr:row>
      <xdr:rowOff>203200</xdr:rowOff>
    </xdr:to>
    <xdr:pic>
      <xdr:nvPicPr>
        <xdr:cNvPr id="14669" name="ScrollBar30">
          <a:extLst>
            <a:ext uri="{FF2B5EF4-FFF2-40B4-BE49-F238E27FC236}">
              <a16:creationId xmlns:a16="http://schemas.microsoft.com/office/drawing/2014/main" id="{00000000-0008-0000-0400-00004D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28100" y="573659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1816100</xdr:colOff>
      <xdr:row>327</xdr:row>
      <xdr:rowOff>0</xdr:rowOff>
    </xdr:from>
    <xdr:to>
      <xdr:col>4</xdr:col>
      <xdr:colOff>2603500</xdr:colOff>
      <xdr:row>327</xdr:row>
      <xdr:rowOff>203200</xdr:rowOff>
    </xdr:to>
    <xdr:pic>
      <xdr:nvPicPr>
        <xdr:cNvPr id="14670" name="ScrollBar31">
          <a:extLst>
            <a:ext uri="{FF2B5EF4-FFF2-40B4-BE49-F238E27FC236}">
              <a16:creationId xmlns:a16="http://schemas.microsoft.com/office/drawing/2014/main" id="{00000000-0008-0000-0400-00004E3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589915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340</xdr:row>
      <xdr:rowOff>12700</xdr:rowOff>
    </xdr:from>
    <xdr:to>
      <xdr:col>4</xdr:col>
      <xdr:colOff>2616200</xdr:colOff>
      <xdr:row>341</xdr:row>
      <xdr:rowOff>0</xdr:rowOff>
    </xdr:to>
    <xdr:pic>
      <xdr:nvPicPr>
        <xdr:cNvPr id="14671" name="ScrollBar32">
          <a:extLst>
            <a:ext uri="{FF2B5EF4-FFF2-40B4-BE49-F238E27FC236}">
              <a16:creationId xmlns:a16="http://schemas.microsoft.com/office/drawing/2014/main" id="{00000000-0008-0000-0400-00004F39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8100" y="61429900"/>
          <a:ext cx="7874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1841500</xdr:colOff>
      <xdr:row>342</xdr:row>
      <xdr:rowOff>0</xdr:rowOff>
    </xdr:from>
    <xdr:to>
      <xdr:col>4</xdr:col>
      <xdr:colOff>2628900</xdr:colOff>
      <xdr:row>342</xdr:row>
      <xdr:rowOff>203200</xdr:rowOff>
    </xdr:to>
    <xdr:pic>
      <xdr:nvPicPr>
        <xdr:cNvPr id="14672" name="ScrollBar33">
          <a:extLst>
            <a:ext uri="{FF2B5EF4-FFF2-40B4-BE49-F238E27FC236}">
              <a16:creationId xmlns:a16="http://schemas.microsoft.com/office/drawing/2014/main" id="{00000000-0008-0000-0400-00005039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940800" y="617728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1828800</xdr:colOff>
      <xdr:row>338</xdr:row>
      <xdr:rowOff>0</xdr:rowOff>
    </xdr:from>
    <xdr:to>
      <xdr:col>4</xdr:col>
      <xdr:colOff>2616200</xdr:colOff>
      <xdr:row>338</xdr:row>
      <xdr:rowOff>203200</xdr:rowOff>
    </xdr:to>
    <xdr:pic>
      <xdr:nvPicPr>
        <xdr:cNvPr id="14673" name="ScrollBar34">
          <a:extLst>
            <a:ext uri="{FF2B5EF4-FFF2-40B4-BE49-F238E27FC236}">
              <a16:creationId xmlns:a16="http://schemas.microsoft.com/office/drawing/2014/main" id="{00000000-0008-0000-0400-00005139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928100" y="61061600"/>
          <a:ext cx="7874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800100</xdr:colOff>
      <xdr:row>138</xdr:row>
      <xdr:rowOff>12700</xdr:rowOff>
    </xdr:from>
    <xdr:to>
      <xdr:col>4</xdr:col>
      <xdr:colOff>2324100</xdr:colOff>
      <xdr:row>138</xdr:row>
      <xdr:rowOff>292100</xdr:rowOff>
    </xdr:to>
    <xdr:pic>
      <xdr:nvPicPr>
        <xdr:cNvPr id="14680" name="ComboBox7">
          <a:extLst>
            <a:ext uri="{FF2B5EF4-FFF2-40B4-BE49-F238E27FC236}">
              <a16:creationId xmlns:a16="http://schemas.microsoft.com/office/drawing/2014/main" id="{00000000-0008-0000-0400-00005839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899400" y="24726900"/>
          <a:ext cx="152400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1003300</xdr:colOff>
      <xdr:row>115</xdr:row>
      <xdr:rowOff>12700</xdr:rowOff>
    </xdr:from>
    <xdr:to>
      <xdr:col>4</xdr:col>
      <xdr:colOff>2222500</xdr:colOff>
      <xdr:row>116</xdr:row>
      <xdr:rowOff>76200</xdr:rowOff>
    </xdr:to>
    <xdr:pic>
      <xdr:nvPicPr>
        <xdr:cNvPr id="14681" name="ComboBox8">
          <a:extLst>
            <a:ext uri="{FF2B5EF4-FFF2-40B4-BE49-F238E27FC236}">
              <a16:creationId xmlns:a16="http://schemas.microsoft.com/office/drawing/2014/main" id="{00000000-0008-0000-0400-00005939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102600" y="20637500"/>
          <a:ext cx="1219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800100</xdr:colOff>
      <xdr:row>63</xdr:row>
      <xdr:rowOff>12700</xdr:rowOff>
    </xdr:from>
    <xdr:to>
      <xdr:col>4</xdr:col>
      <xdr:colOff>2197100</xdr:colOff>
      <xdr:row>64</xdr:row>
      <xdr:rowOff>88900</xdr:rowOff>
    </xdr:to>
    <xdr:pic>
      <xdr:nvPicPr>
        <xdr:cNvPr id="14683" name="ComboBox9">
          <a:extLst>
            <a:ext uri="{FF2B5EF4-FFF2-40B4-BE49-F238E27FC236}">
              <a16:creationId xmlns:a16="http://schemas.microsoft.com/office/drawing/2014/main" id="{00000000-0008-0000-0400-00005B39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899400" y="113284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800100</xdr:colOff>
      <xdr:row>68</xdr:row>
      <xdr:rowOff>0</xdr:rowOff>
    </xdr:from>
    <xdr:to>
      <xdr:col>4</xdr:col>
      <xdr:colOff>2197100</xdr:colOff>
      <xdr:row>69</xdr:row>
      <xdr:rowOff>76200</xdr:rowOff>
    </xdr:to>
    <xdr:pic>
      <xdr:nvPicPr>
        <xdr:cNvPr id="14685" name="ComboBox10">
          <a:extLst>
            <a:ext uri="{FF2B5EF4-FFF2-40B4-BE49-F238E27FC236}">
              <a16:creationId xmlns:a16="http://schemas.microsoft.com/office/drawing/2014/main" id="{00000000-0008-0000-0400-00005D39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899400" y="122047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812800</xdr:colOff>
      <xdr:row>76</xdr:row>
      <xdr:rowOff>12700</xdr:rowOff>
    </xdr:from>
    <xdr:to>
      <xdr:col>4</xdr:col>
      <xdr:colOff>2209800</xdr:colOff>
      <xdr:row>77</xdr:row>
      <xdr:rowOff>88900</xdr:rowOff>
    </xdr:to>
    <xdr:pic>
      <xdr:nvPicPr>
        <xdr:cNvPr id="14687" name="ComboBox11">
          <a:extLst>
            <a:ext uri="{FF2B5EF4-FFF2-40B4-BE49-F238E27FC236}">
              <a16:creationId xmlns:a16="http://schemas.microsoft.com/office/drawing/2014/main" id="{00000000-0008-0000-0400-00005F39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912100" y="136398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876300</xdr:colOff>
      <xdr:row>84</xdr:row>
      <xdr:rowOff>12700</xdr:rowOff>
    </xdr:from>
    <xdr:to>
      <xdr:col>4</xdr:col>
      <xdr:colOff>2273300</xdr:colOff>
      <xdr:row>85</xdr:row>
      <xdr:rowOff>88900</xdr:rowOff>
    </xdr:to>
    <xdr:pic>
      <xdr:nvPicPr>
        <xdr:cNvPr id="14689" name="ComboBox12">
          <a:extLst>
            <a:ext uri="{FF2B5EF4-FFF2-40B4-BE49-F238E27FC236}">
              <a16:creationId xmlns:a16="http://schemas.microsoft.com/office/drawing/2014/main" id="{00000000-0008-0000-0400-00006139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975600" y="150622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812800</xdr:colOff>
      <xdr:row>92</xdr:row>
      <xdr:rowOff>12700</xdr:rowOff>
    </xdr:from>
    <xdr:to>
      <xdr:col>4</xdr:col>
      <xdr:colOff>2209800</xdr:colOff>
      <xdr:row>93</xdr:row>
      <xdr:rowOff>88900</xdr:rowOff>
    </xdr:to>
    <xdr:pic>
      <xdr:nvPicPr>
        <xdr:cNvPr id="14691" name="ComboBox13">
          <a:extLst>
            <a:ext uri="{FF2B5EF4-FFF2-40B4-BE49-F238E27FC236}">
              <a16:creationId xmlns:a16="http://schemas.microsoft.com/office/drawing/2014/main" id="{00000000-0008-0000-0400-00006339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912100" y="164846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825500</xdr:colOff>
      <xdr:row>100</xdr:row>
      <xdr:rowOff>12700</xdr:rowOff>
    </xdr:from>
    <xdr:to>
      <xdr:col>4</xdr:col>
      <xdr:colOff>2222500</xdr:colOff>
      <xdr:row>101</xdr:row>
      <xdr:rowOff>88900</xdr:rowOff>
    </xdr:to>
    <xdr:pic>
      <xdr:nvPicPr>
        <xdr:cNvPr id="14693" name="ComboBox14">
          <a:extLst>
            <a:ext uri="{FF2B5EF4-FFF2-40B4-BE49-F238E27FC236}">
              <a16:creationId xmlns:a16="http://schemas.microsoft.com/office/drawing/2014/main" id="{00000000-0008-0000-0400-00006539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924800" y="17907000"/>
          <a:ext cx="1397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161</xdr:row>
      <xdr:rowOff>139700</xdr:rowOff>
    </xdr:from>
    <xdr:to>
      <xdr:col>4</xdr:col>
      <xdr:colOff>2044700</xdr:colOff>
      <xdr:row>163</xdr:row>
      <xdr:rowOff>0</xdr:rowOff>
    </xdr:to>
    <xdr:pic>
      <xdr:nvPicPr>
        <xdr:cNvPr id="14695" name="ComboBox1">
          <a:extLst>
            <a:ext uri="{FF2B5EF4-FFF2-40B4-BE49-F238E27FC236}">
              <a16:creationId xmlns:a16="http://schemas.microsoft.com/office/drawing/2014/main" id="{00000000-0008-0000-0400-00006739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255000" y="29171900"/>
          <a:ext cx="8890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199</xdr:row>
      <xdr:rowOff>12700</xdr:rowOff>
    </xdr:from>
    <xdr:to>
      <xdr:col>4</xdr:col>
      <xdr:colOff>2019300</xdr:colOff>
      <xdr:row>200</xdr:row>
      <xdr:rowOff>88900</xdr:rowOff>
    </xdr:to>
    <xdr:pic>
      <xdr:nvPicPr>
        <xdr:cNvPr id="14696" name="ComboBox2">
          <a:extLst>
            <a:ext uri="{FF2B5EF4-FFF2-40B4-BE49-F238E27FC236}">
              <a16:creationId xmlns:a16="http://schemas.microsoft.com/office/drawing/2014/main" id="{00000000-0008-0000-0400-00006839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229600" y="35953700"/>
          <a:ext cx="889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1168400</xdr:colOff>
      <xdr:row>203</xdr:row>
      <xdr:rowOff>190500</xdr:rowOff>
    </xdr:from>
    <xdr:to>
      <xdr:col>4</xdr:col>
      <xdr:colOff>2057400</xdr:colOff>
      <xdr:row>205</xdr:row>
      <xdr:rowOff>50800</xdr:rowOff>
    </xdr:to>
    <xdr:pic>
      <xdr:nvPicPr>
        <xdr:cNvPr id="14697" name="ComboBox3">
          <a:extLst>
            <a:ext uri="{FF2B5EF4-FFF2-40B4-BE49-F238E27FC236}">
              <a16:creationId xmlns:a16="http://schemas.microsoft.com/office/drawing/2014/main" id="{00000000-0008-0000-0400-000069390000}"/>
            </a:ext>
          </a:extLst>
        </xdr:cNvPr>
        <xdr:cNvPicPr preferRelativeResize="0">
          <a:picLocks noChangeArrowheads="1" noChangeShapeType="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267700" y="36830000"/>
          <a:ext cx="8890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210</xdr:row>
      <xdr:rowOff>0</xdr:rowOff>
    </xdr:from>
    <xdr:to>
      <xdr:col>4</xdr:col>
      <xdr:colOff>2019300</xdr:colOff>
      <xdr:row>211</xdr:row>
      <xdr:rowOff>76200</xdr:rowOff>
    </xdr:to>
    <xdr:pic>
      <xdr:nvPicPr>
        <xdr:cNvPr id="14698" name="ComboBox4">
          <a:extLst>
            <a:ext uri="{FF2B5EF4-FFF2-40B4-BE49-F238E27FC236}">
              <a16:creationId xmlns:a16="http://schemas.microsoft.com/office/drawing/2014/main" id="{00000000-0008-0000-0400-00006A390000}"/>
            </a:ext>
          </a:extLst>
        </xdr:cNvPr>
        <xdr:cNvPicPr preferRelativeResize="0">
          <a:picLocks noChangeArrowheads="1" noChangeShapeType="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229600" y="37896800"/>
          <a:ext cx="889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215</xdr:row>
      <xdr:rowOff>190500</xdr:rowOff>
    </xdr:from>
    <xdr:to>
      <xdr:col>4</xdr:col>
      <xdr:colOff>2044700</xdr:colOff>
      <xdr:row>217</xdr:row>
      <xdr:rowOff>50800</xdr:rowOff>
    </xdr:to>
    <xdr:pic>
      <xdr:nvPicPr>
        <xdr:cNvPr id="14699" name="ComboBox5">
          <a:extLst>
            <a:ext uri="{FF2B5EF4-FFF2-40B4-BE49-F238E27FC236}">
              <a16:creationId xmlns:a16="http://schemas.microsoft.com/office/drawing/2014/main" id="{00000000-0008-0000-0400-00006B390000}"/>
            </a:ext>
          </a:extLst>
        </xdr:cNvPr>
        <xdr:cNvPicPr preferRelativeResize="0">
          <a:picLocks noChangeArrowheads="1" noChangeShapeType="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255000" y="38963600"/>
          <a:ext cx="8890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228</xdr:row>
      <xdr:rowOff>152400</xdr:rowOff>
    </xdr:from>
    <xdr:to>
      <xdr:col>4</xdr:col>
      <xdr:colOff>2044700</xdr:colOff>
      <xdr:row>230</xdr:row>
      <xdr:rowOff>12700</xdr:rowOff>
    </xdr:to>
    <xdr:pic>
      <xdr:nvPicPr>
        <xdr:cNvPr id="14700" name="ComboBox6">
          <a:extLst>
            <a:ext uri="{FF2B5EF4-FFF2-40B4-BE49-F238E27FC236}">
              <a16:creationId xmlns:a16="http://schemas.microsoft.com/office/drawing/2014/main" id="{00000000-0008-0000-0400-00006C390000}"/>
            </a:ext>
          </a:extLst>
        </xdr:cNvPr>
        <xdr:cNvPicPr preferRelativeResize="0">
          <a:picLocks noChangeArrowheads="1" noChangeShapeType="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255000" y="41287700"/>
          <a:ext cx="8890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1168400</xdr:colOff>
      <xdr:row>301</xdr:row>
      <xdr:rowOff>139700</xdr:rowOff>
    </xdr:from>
    <xdr:to>
      <xdr:col>4</xdr:col>
      <xdr:colOff>2057400</xdr:colOff>
      <xdr:row>303</xdr:row>
      <xdr:rowOff>0</xdr:rowOff>
    </xdr:to>
    <xdr:pic>
      <xdr:nvPicPr>
        <xdr:cNvPr id="14701" name="ComboBox15">
          <a:extLst>
            <a:ext uri="{FF2B5EF4-FFF2-40B4-BE49-F238E27FC236}">
              <a16:creationId xmlns:a16="http://schemas.microsoft.com/office/drawing/2014/main" id="{00000000-0008-0000-0400-00006D39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267700" y="54457600"/>
          <a:ext cx="8890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367</xdr:row>
      <xdr:rowOff>38100</xdr:rowOff>
    </xdr:from>
    <xdr:to>
      <xdr:col>4</xdr:col>
      <xdr:colOff>2044700</xdr:colOff>
      <xdr:row>368</xdr:row>
      <xdr:rowOff>114300</xdr:rowOff>
    </xdr:to>
    <xdr:pic>
      <xdr:nvPicPr>
        <xdr:cNvPr id="14702" name="ComboBox16">
          <a:extLst>
            <a:ext uri="{FF2B5EF4-FFF2-40B4-BE49-F238E27FC236}">
              <a16:creationId xmlns:a16="http://schemas.microsoft.com/office/drawing/2014/main" id="{00000000-0008-0000-0400-00006E390000}"/>
            </a:ext>
          </a:extLst>
        </xdr:cNvPr>
        <xdr:cNvPicPr preferRelativeResize="0">
          <a:picLocks noChangeArrowheads="1" noChangeShapeType="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255000" y="66332100"/>
          <a:ext cx="8890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876300</xdr:colOff>
      <xdr:row>202</xdr:row>
      <xdr:rowOff>12700</xdr:rowOff>
    </xdr:from>
    <xdr:to>
      <xdr:col>4</xdr:col>
      <xdr:colOff>2311400</xdr:colOff>
      <xdr:row>203</xdr:row>
      <xdr:rowOff>88900</xdr:rowOff>
    </xdr:to>
    <xdr:pic>
      <xdr:nvPicPr>
        <xdr:cNvPr id="14703" name="ComboBox17">
          <a:extLst>
            <a:ext uri="{FF2B5EF4-FFF2-40B4-BE49-F238E27FC236}">
              <a16:creationId xmlns:a16="http://schemas.microsoft.com/office/drawing/2014/main" id="{00000000-0008-0000-0400-00006F390000}"/>
            </a:ext>
          </a:extLst>
        </xdr:cNvPr>
        <xdr:cNvPicPr preferRelativeResize="0">
          <a:picLocks noChangeArrowheads="1" noChangeShapeType="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975600" y="36487100"/>
          <a:ext cx="14351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901700</xdr:colOff>
      <xdr:row>214</xdr:row>
      <xdr:rowOff>12700</xdr:rowOff>
    </xdr:from>
    <xdr:to>
      <xdr:col>4</xdr:col>
      <xdr:colOff>2336800</xdr:colOff>
      <xdr:row>215</xdr:row>
      <xdr:rowOff>88900</xdr:rowOff>
    </xdr:to>
    <xdr:pic>
      <xdr:nvPicPr>
        <xdr:cNvPr id="14704" name="ComboBox18">
          <a:extLst>
            <a:ext uri="{FF2B5EF4-FFF2-40B4-BE49-F238E27FC236}">
              <a16:creationId xmlns:a16="http://schemas.microsoft.com/office/drawing/2014/main" id="{00000000-0008-0000-0400-000070390000}"/>
            </a:ext>
          </a:extLst>
        </xdr:cNvPr>
        <xdr:cNvPicPr preferRelativeResize="0">
          <a:picLocks noChangeArrowheads="1" noChangeShapeType="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001000" y="38620700"/>
          <a:ext cx="14351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420</xdr:row>
      <xdr:rowOff>0</xdr:rowOff>
    </xdr:from>
    <xdr:to>
      <xdr:col>4</xdr:col>
      <xdr:colOff>1993900</xdr:colOff>
      <xdr:row>421</xdr:row>
      <xdr:rowOff>63500</xdr:rowOff>
    </xdr:to>
    <xdr:pic>
      <xdr:nvPicPr>
        <xdr:cNvPr id="14707" name="ComboBox21">
          <a:extLst>
            <a:ext uri="{FF2B5EF4-FFF2-40B4-BE49-F238E27FC236}">
              <a16:creationId xmlns:a16="http://schemas.microsoft.com/office/drawing/2014/main" id="{00000000-0008-0000-0400-000073390000}"/>
            </a:ext>
          </a:extLst>
        </xdr:cNvPr>
        <xdr:cNvPicPr preferRelativeResize="0">
          <a:picLocks noChangeArrowheads="1" noChangeShapeType="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255000" y="758444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438</xdr:row>
      <xdr:rowOff>12700</xdr:rowOff>
    </xdr:from>
    <xdr:to>
      <xdr:col>4</xdr:col>
      <xdr:colOff>1968500</xdr:colOff>
      <xdr:row>439</xdr:row>
      <xdr:rowOff>76200</xdr:rowOff>
    </xdr:to>
    <xdr:pic>
      <xdr:nvPicPr>
        <xdr:cNvPr id="14708" name="ComboBox22">
          <a:extLst>
            <a:ext uri="{FF2B5EF4-FFF2-40B4-BE49-F238E27FC236}">
              <a16:creationId xmlns:a16="http://schemas.microsoft.com/office/drawing/2014/main" id="{00000000-0008-0000-0400-000074390000}"/>
            </a:ext>
          </a:extLst>
        </xdr:cNvPr>
        <xdr:cNvPicPr preferRelativeResize="0">
          <a:picLocks noChangeArrowheads="1" noChangeShapeType="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8229600" y="790575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456</xdr:row>
      <xdr:rowOff>0</xdr:rowOff>
    </xdr:from>
    <xdr:to>
      <xdr:col>4</xdr:col>
      <xdr:colOff>1968500</xdr:colOff>
      <xdr:row>457</xdr:row>
      <xdr:rowOff>63500</xdr:rowOff>
    </xdr:to>
    <xdr:pic>
      <xdr:nvPicPr>
        <xdr:cNvPr id="14709" name="ComboBox23">
          <a:extLst>
            <a:ext uri="{FF2B5EF4-FFF2-40B4-BE49-F238E27FC236}">
              <a16:creationId xmlns:a16="http://schemas.microsoft.com/office/drawing/2014/main" id="{00000000-0008-0000-0400-000075390000}"/>
            </a:ext>
          </a:extLst>
        </xdr:cNvPr>
        <xdr:cNvPicPr preferRelativeResize="0">
          <a:picLocks noChangeArrowheads="1" noChangeShapeType="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229600" y="822452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474</xdr:row>
      <xdr:rowOff>12700</xdr:rowOff>
    </xdr:from>
    <xdr:to>
      <xdr:col>4</xdr:col>
      <xdr:colOff>1993900</xdr:colOff>
      <xdr:row>475</xdr:row>
      <xdr:rowOff>76200</xdr:rowOff>
    </xdr:to>
    <xdr:pic>
      <xdr:nvPicPr>
        <xdr:cNvPr id="14710" name="ComboBox24">
          <a:extLst>
            <a:ext uri="{FF2B5EF4-FFF2-40B4-BE49-F238E27FC236}">
              <a16:creationId xmlns:a16="http://schemas.microsoft.com/office/drawing/2014/main" id="{00000000-0008-0000-0400-000076390000}"/>
            </a:ext>
          </a:extLst>
        </xdr:cNvPr>
        <xdr:cNvPicPr preferRelativeResize="0">
          <a:picLocks noChangeArrowheads="1" noChangeShapeType="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255000" y="854583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749300</xdr:colOff>
      <xdr:row>430</xdr:row>
      <xdr:rowOff>0</xdr:rowOff>
    </xdr:from>
    <xdr:to>
      <xdr:col>4</xdr:col>
      <xdr:colOff>2374900</xdr:colOff>
      <xdr:row>431</xdr:row>
      <xdr:rowOff>50800</xdr:rowOff>
    </xdr:to>
    <xdr:pic>
      <xdr:nvPicPr>
        <xdr:cNvPr id="14712" name="ComboBox26">
          <a:extLst>
            <a:ext uri="{FF2B5EF4-FFF2-40B4-BE49-F238E27FC236}">
              <a16:creationId xmlns:a16="http://schemas.microsoft.com/office/drawing/2014/main" id="{00000000-0008-0000-0400-000078390000}"/>
            </a:ext>
          </a:extLst>
        </xdr:cNvPr>
        <xdr:cNvPicPr preferRelativeResize="0">
          <a:picLocks noChangeArrowheads="1" noChangeShapeType="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7848600" y="776224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383</xdr:row>
      <xdr:rowOff>25400</xdr:rowOff>
    </xdr:from>
    <xdr:to>
      <xdr:col>4</xdr:col>
      <xdr:colOff>1968500</xdr:colOff>
      <xdr:row>384</xdr:row>
      <xdr:rowOff>88900</xdr:rowOff>
    </xdr:to>
    <xdr:pic>
      <xdr:nvPicPr>
        <xdr:cNvPr id="14713" name="ComboBox27">
          <a:extLst>
            <a:ext uri="{FF2B5EF4-FFF2-40B4-BE49-F238E27FC236}">
              <a16:creationId xmlns:a16="http://schemas.microsoft.com/office/drawing/2014/main" id="{00000000-0008-0000-0400-000079390000}"/>
            </a:ext>
          </a:extLst>
        </xdr:cNvPr>
        <xdr:cNvPicPr preferRelativeResize="0">
          <a:picLocks noChangeArrowheads="1" noChangeShapeType="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8229600" y="692912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1155700</xdr:colOff>
      <xdr:row>395</xdr:row>
      <xdr:rowOff>12700</xdr:rowOff>
    </xdr:from>
    <xdr:to>
      <xdr:col>4</xdr:col>
      <xdr:colOff>1993900</xdr:colOff>
      <xdr:row>396</xdr:row>
      <xdr:rowOff>76200</xdr:rowOff>
    </xdr:to>
    <xdr:pic>
      <xdr:nvPicPr>
        <xdr:cNvPr id="14714" name="ComboBox28">
          <a:extLst>
            <a:ext uri="{FF2B5EF4-FFF2-40B4-BE49-F238E27FC236}">
              <a16:creationId xmlns:a16="http://schemas.microsoft.com/office/drawing/2014/main" id="{00000000-0008-0000-0400-00007A390000}"/>
            </a:ext>
          </a:extLst>
        </xdr:cNvPr>
        <xdr:cNvPicPr preferRelativeResize="0">
          <a:picLocks noChangeArrowheads="1" noChangeShapeType="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8255000" y="714121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1130300</xdr:colOff>
      <xdr:row>407</xdr:row>
      <xdr:rowOff>25400</xdr:rowOff>
    </xdr:from>
    <xdr:to>
      <xdr:col>4</xdr:col>
      <xdr:colOff>1968500</xdr:colOff>
      <xdr:row>408</xdr:row>
      <xdr:rowOff>88900</xdr:rowOff>
    </xdr:to>
    <xdr:pic>
      <xdr:nvPicPr>
        <xdr:cNvPr id="14715" name="ComboBox29">
          <a:extLst>
            <a:ext uri="{FF2B5EF4-FFF2-40B4-BE49-F238E27FC236}">
              <a16:creationId xmlns:a16="http://schemas.microsoft.com/office/drawing/2014/main" id="{00000000-0008-0000-0400-00007B390000}"/>
            </a:ext>
          </a:extLst>
        </xdr:cNvPr>
        <xdr:cNvPicPr preferRelativeResize="0">
          <a:picLocks noChangeArrowheads="1" noChangeShapeType="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8229600" y="73558400"/>
          <a:ext cx="838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1054100</xdr:colOff>
      <xdr:row>388</xdr:row>
      <xdr:rowOff>12700</xdr:rowOff>
    </xdr:from>
    <xdr:to>
      <xdr:col>4</xdr:col>
      <xdr:colOff>2120900</xdr:colOff>
      <xdr:row>389</xdr:row>
      <xdr:rowOff>88900</xdr:rowOff>
    </xdr:to>
    <xdr:pic>
      <xdr:nvPicPr>
        <xdr:cNvPr id="14716" name="ComboBox30">
          <a:extLst>
            <a:ext uri="{FF2B5EF4-FFF2-40B4-BE49-F238E27FC236}">
              <a16:creationId xmlns:a16="http://schemas.microsoft.com/office/drawing/2014/main" id="{00000000-0008-0000-0400-00007C390000}"/>
            </a:ext>
          </a:extLst>
        </xdr:cNvPr>
        <xdr:cNvPicPr preferRelativeResize="0">
          <a:picLocks noChangeArrowheads="1" noChangeShapeType="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8153400" y="70167500"/>
          <a:ext cx="10668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1041400</xdr:colOff>
      <xdr:row>400</xdr:row>
      <xdr:rowOff>12700</xdr:rowOff>
    </xdr:from>
    <xdr:to>
      <xdr:col>4</xdr:col>
      <xdr:colOff>2108200</xdr:colOff>
      <xdr:row>401</xdr:row>
      <xdr:rowOff>88900</xdr:rowOff>
    </xdr:to>
    <xdr:pic>
      <xdr:nvPicPr>
        <xdr:cNvPr id="14717" name="ComboBox31">
          <a:extLst>
            <a:ext uri="{FF2B5EF4-FFF2-40B4-BE49-F238E27FC236}">
              <a16:creationId xmlns:a16="http://schemas.microsoft.com/office/drawing/2014/main" id="{00000000-0008-0000-0400-00007D390000}"/>
            </a:ext>
          </a:extLst>
        </xdr:cNvPr>
        <xdr:cNvPicPr preferRelativeResize="0">
          <a:picLocks noChangeArrowheads="1" noChangeShapeType="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8140700" y="72301100"/>
          <a:ext cx="10668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1028700</xdr:colOff>
      <xdr:row>412</xdr:row>
      <xdr:rowOff>50800</xdr:rowOff>
    </xdr:from>
    <xdr:to>
      <xdr:col>4</xdr:col>
      <xdr:colOff>2095500</xdr:colOff>
      <xdr:row>413</xdr:row>
      <xdr:rowOff>127000</xdr:rowOff>
    </xdr:to>
    <xdr:pic>
      <xdr:nvPicPr>
        <xdr:cNvPr id="14718" name="ComboBox32">
          <a:extLst>
            <a:ext uri="{FF2B5EF4-FFF2-40B4-BE49-F238E27FC236}">
              <a16:creationId xmlns:a16="http://schemas.microsoft.com/office/drawing/2014/main" id="{00000000-0008-0000-0400-00007E390000}"/>
            </a:ext>
          </a:extLst>
        </xdr:cNvPr>
        <xdr:cNvPicPr preferRelativeResize="0">
          <a:picLocks noChangeArrowheads="1" noChangeShapeType="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8128000" y="74472800"/>
          <a:ext cx="10668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1041400</xdr:colOff>
      <xdr:row>423</xdr:row>
      <xdr:rowOff>165100</xdr:rowOff>
    </xdr:from>
    <xdr:to>
      <xdr:col>4</xdr:col>
      <xdr:colOff>2108200</xdr:colOff>
      <xdr:row>425</xdr:row>
      <xdr:rowOff>25400</xdr:rowOff>
    </xdr:to>
    <xdr:pic>
      <xdr:nvPicPr>
        <xdr:cNvPr id="14724" name="ComboBox38">
          <a:extLst>
            <a:ext uri="{FF2B5EF4-FFF2-40B4-BE49-F238E27FC236}">
              <a16:creationId xmlns:a16="http://schemas.microsoft.com/office/drawing/2014/main" id="{00000000-0008-0000-0400-000084390000}"/>
            </a:ext>
          </a:extLst>
        </xdr:cNvPr>
        <xdr:cNvPicPr preferRelativeResize="0">
          <a:picLocks noChangeArrowheads="1" noChangeShapeType="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8140700" y="76542900"/>
          <a:ext cx="1066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1028700</xdr:colOff>
      <xdr:row>441</xdr:row>
      <xdr:rowOff>165100</xdr:rowOff>
    </xdr:from>
    <xdr:to>
      <xdr:col>4</xdr:col>
      <xdr:colOff>2095500</xdr:colOff>
      <xdr:row>443</xdr:row>
      <xdr:rowOff>25400</xdr:rowOff>
    </xdr:to>
    <xdr:pic>
      <xdr:nvPicPr>
        <xdr:cNvPr id="14725" name="ComboBox39">
          <a:extLst>
            <a:ext uri="{FF2B5EF4-FFF2-40B4-BE49-F238E27FC236}">
              <a16:creationId xmlns:a16="http://schemas.microsoft.com/office/drawing/2014/main" id="{00000000-0008-0000-0400-000085390000}"/>
            </a:ext>
          </a:extLst>
        </xdr:cNvPr>
        <xdr:cNvPicPr preferRelativeResize="0">
          <a:picLocks noChangeArrowheads="1" noChangeShapeType="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128000" y="79743300"/>
          <a:ext cx="1066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1041400</xdr:colOff>
      <xdr:row>459</xdr:row>
      <xdr:rowOff>190500</xdr:rowOff>
    </xdr:from>
    <xdr:to>
      <xdr:col>4</xdr:col>
      <xdr:colOff>2108200</xdr:colOff>
      <xdr:row>461</xdr:row>
      <xdr:rowOff>50800</xdr:rowOff>
    </xdr:to>
    <xdr:pic>
      <xdr:nvPicPr>
        <xdr:cNvPr id="14726" name="ComboBox40">
          <a:extLst>
            <a:ext uri="{FF2B5EF4-FFF2-40B4-BE49-F238E27FC236}">
              <a16:creationId xmlns:a16="http://schemas.microsoft.com/office/drawing/2014/main" id="{00000000-0008-0000-0400-000086390000}"/>
            </a:ext>
          </a:extLst>
        </xdr:cNvPr>
        <xdr:cNvPicPr preferRelativeResize="0">
          <a:picLocks noChangeArrowheads="1" noChangeShapeType="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8140700" y="82956400"/>
          <a:ext cx="10668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1041400</xdr:colOff>
      <xdr:row>477</xdr:row>
      <xdr:rowOff>177800</xdr:rowOff>
    </xdr:from>
    <xdr:to>
      <xdr:col>4</xdr:col>
      <xdr:colOff>2108200</xdr:colOff>
      <xdr:row>479</xdr:row>
      <xdr:rowOff>38100</xdr:rowOff>
    </xdr:to>
    <xdr:pic>
      <xdr:nvPicPr>
        <xdr:cNvPr id="14727" name="ComboBox41">
          <a:extLst>
            <a:ext uri="{FF2B5EF4-FFF2-40B4-BE49-F238E27FC236}">
              <a16:creationId xmlns:a16="http://schemas.microsoft.com/office/drawing/2014/main" id="{00000000-0008-0000-0400-000087390000}"/>
            </a:ext>
          </a:extLst>
        </xdr:cNvPr>
        <xdr:cNvPicPr preferRelativeResize="0">
          <a:picLocks noChangeArrowheads="1" noChangeShapeType="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8140700" y="86156800"/>
          <a:ext cx="1066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749300</xdr:colOff>
      <xdr:row>448</xdr:row>
      <xdr:rowOff>0</xdr:rowOff>
    </xdr:from>
    <xdr:to>
      <xdr:col>4</xdr:col>
      <xdr:colOff>2374900</xdr:colOff>
      <xdr:row>449</xdr:row>
      <xdr:rowOff>50800</xdr:rowOff>
    </xdr:to>
    <xdr:pic>
      <xdr:nvPicPr>
        <xdr:cNvPr id="14729" name="ComboBox43">
          <a:extLst>
            <a:ext uri="{FF2B5EF4-FFF2-40B4-BE49-F238E27FC236}">
              <a16:creationId xmlns:a16="http://schemas.microsoft.com/office/drawing/2014/main" id="{00000000-0008-0000-0400-000089390000}"/>
            </a:ext>
          </a:extLst>
        </xdr:cNvPr>
        <xdr:cNvPicPr preferRelativeResize="0">
          <a:picLocks noChangeArrowheads="1" noChangeShapeType="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7848600" y="808228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749300</xdr:colOff>
      <xdr:row>466</xdr:row>
      <xdr:rowOff>0</xdr:rowOff>
    </xdr:from>
    <xdr:to>
      <xdr:col>4</xdr:col>
      <xdr:colOff>2374900</xdr:colOff>
      <xdr:row>467</xdr:row>
      <xdr:rowOff>50800</xdr:rowOff>
    </xdr:to>
    <xdr:pic>
      <xdr:nvPicPr>
        <xdr:cNvPr id="14730" name="ComboBox44">
          <a:extLst>
            <a:ext uri="{FF2B5EF4-FFF2-40B4-BE49-F238E27FC236}">
              <a16:creationId xmlns:a16="http://schemas.microsoft.com/office/drawing/2014/main" id="{00000000-0008-0000-0400-00008A390000}"/>
            </a:ext>
          </a:extLst>
        </xdr:cNvPr>
        <xdr:cNvPicPr preferRelativeResize="0">
          <a:picLocks noChangeArrowheads="1" noChangeShapeType="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7848600" y="840232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774700</xdr:colOff>
      <xdr:row>484</xdr:row>
      <xdr:rowOff>12700</xdr:rowOff>
    </xdr:from>
    <xdr:to>
      <xdr:col>4</xdr:col>
      <xdr:colOff>2400300</xdr:colOff>
      <xdr:row>485</xdr:row>
      <xdr:rowOff>63500</xdr:rowOff>
    </xdr:to>
    <xdr:pic>
      <xdr:nvPicPr>
        <xdr:cNvPr id="14731" name="ComboBox45">
          <a:extLst>
            <a:ext uri="{FF2B5EF4-FFF2-40B4-BE49-F238E27FC236}">
              <a16:creationId xmlns:a16="http://schemas.microsoft.com/office/drawing/2014/main" id="{00000000-0008-0000-0400-00008B390000}"/>
            </a:ext>
          </a:extLst>
        </xdr:cNvPr>
        <xdr:cNvPicPr preferRelativeResize="0">
          <a:picLocks noChangeArrowheads="1" noChangeShapeType="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7874000" y="87236300"/>
          <a:ext cx="1625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1866900</xdr:colOff>
          <xdr:row>36</xdr:row>
          <xdr:rowOff>38100</xdr:rowOff>
        </xdr:from>
        <xdr:to>
          <xdr:col>4</xdr:col>
          <xdr:colOff>2514600</xdr:colOff>
          <xdr:row>36</xdr:row>
          <xdr:rowOff>254000</xdr:rowOff>
        </xdr:to>
        <xdr:sp macro="" textlink="">
          <xdr:nvSpPr>
            <xdr:cNvPr id="15593" name="Scroll Bar 233" hidden="1">
              <a:extLst>
                <a:ext uri="{63B3BB69-23CF-44E3-9099-C40C66FF867C}">
                  <a14:compatExt spid="_x0000_s15593"/>
                </a:ext>
                <a:ext uri="{FF2B5EF4-FFF2-40B4-BE49-F238E27FC236}">
                  <a16:creationId xmlns:a16="http://schemas.microsoft.com/office/drawing/2014/main" id="{00000000-0008-0000-0500-0000E9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1816100</xdr:colOff>
          <xdr:row>33</xdr:row>
          <xdr:rowOff>38100</xdr:rowOff>
        </xdr:from>
        <xdr:to>
          <xdr:col>4</xdr:col>
          <xdr:colOff>2501900</xdr:colOff>
          <xdr:row>33</xdr:row>
          <xdr:rowOff>266700</xdr:rowOff>
        </xdr:to>
        <xdr:sp macro="" textlink="">
          <xdr:nvSpPr>
            <xdr:cNvPr id="15594" name="Scroll Bar 234" hidden="1">
              <a:extLst>
                <a:ext uri="{63B3BB69-23CF-44E3-9099-C40C66FF867C}">
                  <a14:compatExt spid="_x0000_s15594"/>
                </a:ext>
                <a:ext uri="{FF2B5EF4-FFF2-40B4-BE49-F238E27FC236}">
                  <a16:creationId xmlns:a16="http://schemas.microsoft.com/office/drawing/2014/main" id="{00000000-0008-0000-0500-0000EA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1879600</xdr:colOff>
          <xdr:row>44</xdr:row>
          <xdr:rowOff>25400</xdr:rowOff>
        </xdr:from>
        <xdr:to>
          <xdr:col>4</xdr:col>
          <xdr:colOff>2527300</xdr:colOff>
          <xdr:row>44</xdr:row>
          <xdr:rowOff>241300</xdr:rowOff>
        </xdr:to>
        <xdr:sp macro="" textlink="">
          <xdr:nvSpPr>
            <xdr:cNvPr id="15595" name="Scroll Bar 235" hidden="1">
              <a:extLst>
                <a:ext uri="{63B3BB69-23CF-44E3-9099-C40C66FF867C}">
                  <a14:compatExt spid="_x0000_s15595"/>
                </a:ext>
                <a:ext uri="{FF2B5EF4-FFF2-40B4-BE49-F238E27FC236}">
                  <a16:creationId xmlns:a16="http://schemas.microsoft.com/office/drawing/2014/main" id="{00000000-0008-0000-0500-0000EB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1879600</xdr:colOff>
          <xdr:row>46</xdr:row>
          <xdr:rowOff>25400</xdr:rowOff>
        </xdr:from>
        <xdr:to>
          <xdr:col>4</xdr:col>
          <xdr:colOff>2527300</xdr:colOff>
          <xdr:row>46</xdr:row>
          <xdr:rowOff>266700</xdr:rowOff>
        </xdr:to>
        <xdr:sp macro="" textlink="">
          <xdr:nvSpPr>
            <xdr:cNvPr id="15596" name="Scroll Bar 236" hidden="1">
              <a:extLst>
                <a:ext uri="{63B3BB69-23CF-44E3-9099-C40C66FF867C}">
                  <a14:compatExt spid="_x0000_s15596"/>
                </a:ext>
                <a:ext uri="{FF2B5EF4-FFF2-40B4-BE49-F238E27FC236}">
                  <a16:creationId xmlns:a16="http://schemas.microsoft.com/office/drawing/2014/main" id="{00000000-0008-0000-0500-0000EC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1193800</xdr:colOff>
          <xdr:row>24</xdr:row>
          <xdr:rowOff>0</xdr:rowOff>
        </xdr:from>
        <xdr:to>
          <xdr:col>4</xdr:col>
          <xdr:colOff>1866900</xdr:colOff>
          <xdr:row>24</xdr:row>
          <xdr:rowOff>266700</xdr:rowOff>
        </xdr:to>
        <xdr:sp macro="" textlink="">
          <xdr:nvSpPr>
            <xdr:cNvPr id="15597" name="Drop Down 237" hidden="1">
              <a:extLst>
                <a:ext uri="{63B3BB69-23CF-44E3-9099-C40C66FF867C}">
                  <a14:compatExt spid="_x0000_s15597"/>
                </a:ext>
                <a:ext uri="{FF2B5EF4-FFF2-40B4-BE49-F238E27FC236}">
                  <a16:creationId xmlns:a16="http://schemas.microsoft.com/office/drawing/2014/main" id="{00000000-0008-0000-0500-0000E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1854200</xdr:colOff>
          <xdr:row>63</xdr:row>
          <xdr:rowOff>38100</xdr:rowOff>
        </xdr:from>
        <xdr:to>
          <xdr:col>4</xdr:col>
          <xdr:colOff>2501900</xdr:colOff>
          <xdr:row>63</xdr:row>
          <xdr:rowOff>254000</xdr:rowOff>
        </xdr:to>
        <xdr:sp macro="" textlink="">
          <xdr:nvSpPr>
            <xdr:cNvPr id="15598" name="Scroll Bar 238" hidden="1">
              <a:extLst>
                <a:ext uri="{63B3BB69-23CF-44E3-9099-C40C66FF867C}">
                  <a14:compatExt spid="_x0000_s15598"/>
                </a:ext>
                <a:ext uri="{FF2B5EF4-FFF2-40B4-BE49-F238E27FC236}">
                  <a16:creationId xmlns:a16="http://schemas.microsoft.com/office/drawing/2014/main" id="{00000000-0008-0000-0500-0000EE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1854200</xdr:colOff>
          <xdr:row>72</xdr:row>
          <xdr:rowOff>38100</xdr:rowOff>
        </xdr:from>
        <xdr:to>
          <xdr:col>4</xdr:col>
          <xdr:colOff>2501900</xdr:colOff>
          <xdr:row>72</xdr:row>
          <xdr:rowOff>254000</xdr:rowOff>
        </xdr:to>
        <xdr:sp macro="" textlink="">
          <xdr:nvSpPr>
            <xdr:cNvPr id="15599" name="Scroll Bar 239" hidden="1">
              <a:extLst>
                <a:ext uri="{63B3BB69-23CF-44E3-9099-C40C66FF867C}">
                  <a14:compatExt spid="_x0000_s15599"/>
                </a:ext>
                <a:ext uri="{FF2B5EF4-FFF2-40B4-BE49-F238E27FC236}">
                  <a16:creationId xmlns:a16="http://schemas.microsoft.com/office/drawing/2014/main" id="{00000000-0008-0000-0500-0000EF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1854200</xdr:colOff>
          <xdr:row>81</xdr:row>
          <xdr:rowOff>38100</xdr:rowOff>
        </xdr:from>
        <xdr:to>
          <xdr:col>4</xdr:col>
          <xdr:colOff>2501900</xdr:colOff>
          <xdr:row>81</xdr:row>
          <xdr:rowOff>254000</xdr:rowOff>
        </xdr:to>
        <xdr:sp macro="" textlink="">
          <xdr:nvSpPr>
            <xdr:cNvPr id="15600" name="Scroll Bar 240" hidden="1">
              <a:extLst>
                <a:ext uri="{63B3BB69-23CF-44E3-9099-C40C66FF867C}">
                  <a14:compatExt spid="_x0000_s15600"/>
                </a:ext>
                <a:ext uri="{FF2B5EF4-FFF2-40B4-BE49-F238E27FC236}">
                  <a16:creationId xmlns:a16="http://schemas.microsoft.com/office/drawing/2014/main" id="{00000000-0008-0000-0500-0000F0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56</xdr:row>
          <xdr:rowOff>0</xdr:rowOff>
        </xdr:from>
        <xdr:to>
          <xdr:col>4</xdr:col>
          <xdr:colOff>1854200</xdr:colOff>
          <xdr:row>56</xdr:row>
          <xdr:rowOff>279400</xdr:rowOff>
        </xdr:to>
        <xdr:sp macro="" textlink="">
          <xdr:nvSpPr>
            <xdr:cNvPr id="15601" name="Drop Down 241" hidden="1">
              <a:extLst>
                <a:ext uri="{63B3BB69-23CF-44E3-9099-C40C66FF867C}">
                  <a14:compatExt spid="_x0000_s15601"/>
                </a:ext>
                <a:ext uri="{FF2B5EF4-FFF2-40B4-BE49-F238E27FC236}">
                  <a16:creationId xmlns:a16="http://schemas.microsoft.com/office/drawing/2014/main" id="{00000000-0008-0000-0500-0000F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1854200</xdr:colOff>
          <xdr:row>92</xdr:row>
          <xdr:rowOff>38100</xdr:rowOff>
        </xdr:from>
        <xdr:to>
          <xdr:col>4</xdr:col>
          <xdr:colOff>2501900</xdr:colOff>
          <xdr:row>92</xdr:row>
          <xdr:rowOff>254000</xdr:rowOff>
        </xdr:to>
        <xdr:sp macro="" textlink="">
          <xdr:nvSpPr>
            <xdr:cNvPr id="15603" name="Scroll Bar 243" hidden="1">
              <a:extLst>
                <a:ext uri="{63B3BB69-23CF-44E3-9099-C40C66FF867C}">
                  <a14:compatExt spid="_x0000_s15603"/>
                </a:ext>
                <a:ext uri="{FF2B5EF4-FFF2-40B4-BE49-F238E27FC236}">
                  <a16:creationId xmlns:a16="http://schemas.microsoft.com/office/drawing/2014/main" id="{00000000-0008-0000-0500-0000F3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1854200</xdr:colOff>
          <xdr:row>93</xdr:row>
          <xdr:rowOff>12700</xdr:rowOff>
        </xdr:from>
        <xdr:to>
          <xdr:col>4</xdr:col>
          <xdr:colOff>2501900</xdr:colOff>
          <xdr:row>93</xdr:row>
          <xdr:rowOff>228600</xdr:rowOff>
        </xdr:to>
        <xdr:sp macro="" textlink="">
          <xdr:nvSpPr>
            <xdr:cNvPr id="15604" name="Scroll Bar 244" hidden="1">
              <a:extLst>
                <a:ext uri="{63B3BB69-23CF-44E3-9099-C40C66FF867C}">
                  <a14:compatExt spid="_x0000_s15604"/>
                </a:ext>
                <a:ext uri="{FF2B5EF4-FFF2-40B4-BE49-F238E27FC236}">
                  <a16:creationId xmlns:a16="http://schemas.microsoft.com/office/drawing/2014/main" id="{00000000-0008-0000-0500-0000F4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1231900</xdr:colOff>
          <xdr:row>106</xdr:row>
          <xdr:rowOff>38100</xdr:rowOff>
        </xdr:from>
        <xdr:to>
          <xdr:col>4</xdr:col>
          <xdr:colOff>1917700</xdr:colOff>
          <xdr:row>107</xdr:row>
          <xdr:rowOff>88900</xdr:rowOff>
        </xdr:to>
        <xdr:sp macro="" textlink="">
          <xdr:nvSpPr>
            <xdr:cNvPr id="15605" name="Drop Down 245" hidden="1">
              <a:extLst>
                <a:ext uri="{63B3BB69-23CF-44E3-9099-C40C66FF867C}">
                  <a14:compatExt spid="_x0000_s15605"/>
                </a:ext>
                <a:ext uri="{FF2B5EF4-FFF2-40B4-BE49-F238E27FC236}">
                  <a16:creationId xmlns:a16="http://schemas.microsoft.com/office/drawing/2014/main" id="{00000000-0008-0000-0500-0000F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590549</xdr:colOff>
      <xdr:row>4</xdr:row>
      <xdr:rowOff>0</xdr:rowOff>
    </xdr:from>
    <xdr:to>
      <xdr:col>11</xdr:col>
      <xdr:colOff>400050</xdr:colOff>
      <xdr:row>4</xdr:row>
      <xdr:rowOff>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600074</xdr:colOff>
      <xdr:row>4</xdr:row>
      <xdr:rowOff>0</xdr:rowOff>
    </xdr:from>
    <xdr:to>
      <xdr:col>11</xdr:col>
      <xdr:colOff>333375</xdr:colOff>
      <xdr:row>4</xdr:row>
      <xdr:rowOff>0</xdr:rowOff>
    </xdr:to>
    <xdr:graphicFrame macro="">
      <xdr:nvGraphicFramePr>
        <xdr:cNvPr id="38" name="Chart 37">
          <a:extLst>
            <a:ext uri="{FF2B5EF4-FFF2-40B4-BE49-F238E27FC236}">
              <a16:creationId xmlns:a16="http://schemas.microsoft.com/office/drawing/2014/main" id="{00000000-0008-0000-0A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581024</xdr:colOff>
      <xdr:row>4</xdr:row>
      <xdr:rowOff>0</xdr:rowOff>
    </xdr:from>
    <xdr:to>
      <xdr:col>9</xdr:col>
      <xdr:colOff>647699</xdr:colOff>
      <xdr:row>4</xdr:row>
      <xdr:rowOff>0</xdr:rowOff>
    </xdr:to>
    <xdr:graphicFrame macro="">
      <xdr:nvGraphicFramePr>
        <xdr:cNvPr id="39" name="Chart 38">
          <a:extLst>
            <a:ext uri="{FF2B5EF4-FFF2-40B4-BE49-F238E27FC236}">
              <a16:creationId xmlns:a16="http://schemas.microsoft.com/office/drawing/2014/main" id="{00000000-0008-0000-0A00-00002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600075</xdr:colOff>
      <xdr:row>4</xdr:row>
      <xdr:rowOff>0</xdr:rowOff>
    </xdr:from>
    <xdr:to>
      <xdr:col>10</xdr:col>
      <xdr:colOff>447675</xdr:colOff>
      <xdr:row>4</xdr:row>
      <xdr:rowOff>0</xdr:rowOff>
    </xdr:to>
    <xdr:graphicFrame macro="">
      <xdr:nvGraphicFramePr>
        <xdr:cNvPr id="40" name="Chart 39">
          <a:extLst>
            <a:ext uri="{FF2B5EF4-FFF2-40B4-BE49-F238E27FC236}">
              <a16:creationId xmlns:a16="http://schemas.microsoft.com/office/drawing/2014/main" id="{00000000-0008-0000-0A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xdr:colOff>
      <xdr:row>35</xdr:row>
      <xdr:rowOff>0</xdr:rowOff>
    </xdr:from>
    <xdr:to>
      <xdr:col>10</xdr:col>
      <xdr:colOff>76201</xdr:colOff>
      <xdr:row>49</xdr:row>
      <xdr:rowOff>76200</xdr:rowOff>
    </xdr:to>
    <xdr:graphicFrame macro="">
      <xdr:nvGraphicFramePr>
        <xdr:cNvPr id="41" name="Chart 40">
          <a:extLst>
            <a:ext uri="{FF2B5EF4-FFF2-40B4-BE49-F238E27FC236}">
              <a16:creationId xmlns:a16="http://schemas.microsoft.com/office/drawing/2014/main" id="{00000000-0008-0000-0A00-00002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50</xdr:row>
      <xdr:rowOff>0</xdr:rowOff>
    </xdr:from>
    <xdr:to>
      <xdr:col>10</xdr:col>
      <xdr:colOff>85725</xdr:colOff>
      <xdr:row>64</xdr:row>
      <xdr:rowOff>76200</xdr:rowOff>
    </xdr:to>
    <xdr:graphicFrame macro="">
      <xdr:nvGraphicFramePr>
        <xdr:cNvPr id="42" name="Chart 41">
          <a:extLst>
            <a:ext uri="{FF2B5EF4-FFF2-40B4-BE49-F238E27FC236}">
              <a16:creationId xmlns:a16="http://schemas.microsoft.com/office/drawing/2014/main" id="{00000000-0008-0000-0A00-00002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371475</xdr:colOff>
      <xdr:row>49</xdr:row>
      <xdr:rowOff>171450</xdr:rowOff>
    </xdr:from>
    <xdr:to>
      <xdr:col>21</xdr:col>
      <xdr:colOff>201706</xdr:colOff>
      <xdr:row>64</xdr:row>
      <xdr:rowOff>57150</xdr:rowOff>
    </xdr:to>
    <xdr:graphicFrame macro="">
      <xdr:nvGraphicFramePr>
        <xdr:cNvPr id="43" name="Chart 42">
          <a:extLst>
            <a:ext uri="{FF2B5EF4-FFF2-40B4-BE49-F238E27FC236}">
              <a16:creationId xmlns:a16="http://schemas.microsoft.com/office/drawing/2014/main" id="{00000000-0008-0000-0A00-00002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571500</xdr:colOff>
      <xdr:row>80</xdr:row>
      <xdr:rowOff>11205</xdr:rowOff>
    </xdr:from>
    <xdr:to>
      <xdr:col>10</xdr:col>
      <xdr:colOff>52107</xdr:colOff>
      <xdr:row>94</xdr:row>
      <xdr:rowOff>87405</xdr:rowOff>
    </xdr:to>
    <xdr:graphicFrame macro="">
      <xdr:nvGraphicFramePr>
        <xdr:cNvPr id="44" name="Chart 43">
          <a:extLst>
            <a:ext uri="{FF2B5EF4-FFF2-40B4-BE49-F238E27FC236}">
              <a16:creationId xmlns:a16="http://schemas.microsoft.com/office/drawing/2014/main" id="{00000000-0008-0000-0A00-00002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361950</xdr:colOff>
      <xdr:row>65</xdr:row>
      <xdr:rowOff>0</xdr:rowOff>
    </xdr:from>
    <xdr:to>
      <xdr:col>21</xdr:col>
      <xdr:colOff>235323</xdr:colOff>
      <xdr:row>79</xdr:row>
      <xdr:rowOff>76200</xdr:rowOff>
    </xdr:to>
    <xdr:graphicFrame macro="">
      <xdr:nvGraphicFramePr>
        <xdr:cNvPr id="45" name="Chart 44">
          <a:extLst>
            <a:ext uri="{FF2B5EF4-FFF2-40B4-BE49-F238E27FC236}">
              <a16:creationId xmlns:a16="http://schemas.microsoft.com/office/drawing/2014/main" id="{00000000-0008-0000-0A00-00002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564775</xdr:colOff>
      <xdr:row>95</xdr:row>
      <xdr:rowOff>0</xdr:rowOff>
    </xdr:from>
    <xdr:to>
      <xdr:col>10</xdr:col>
      <xdr:colOff>40900</xdr:colOff>
      <xdr:row>109</xdr:row>
      <xdr:rowOff>76200</xdr:rowOff>
    </xdr:to>
    <xdr:graphicFrame macro="">
      <xdr:nvGraphicFramePr>
        <xdr:cNvPr id="46" name="Chart 45">
          <a:extLst>
            <a:ext uri="{FF2B5EF4-FFF2-40B4-BE49-F238E27FC236}">
              <a16:creationId xmlns:a16="http://schemas.microsoft.com/office/drawing/2014/main" id="{00000000-0008-0000-0A00-00002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336177</xdr:colOff>
      <xdr:row>110</xdr:row>
      <xdr:rowOff>20730</xdr:rowOff>
    </xdr:from>
    <xdr:to>
      <xdr:col>21</xdr:col>
      <xdr:colOff>268941</xdr:colOff>
      <xdr:row>124</xdr:row>
      <xdr:rowOff>96930</xdr:rowOff>
    </xdr:to>
    <xdr:graphicFrame macro="">
      <xdr:nvGraphicFramePr>
        <xdr:cNvPr id="47" name="Chart 46">
          <a:extLst>
            <a:ext uri="{FF2B5EF4-FFF2-40B4-BE49-F238E27FC236}">
              <a16:creationId xmlns:a16="http://schemas.microsoft.com/office/drawing/2014/main" id="{00000000-0008-0000-0A00-00002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549088</xdr:colOff>
      <xdr:row>110</xdr:row>
      <xdr:rowOff>11205</xdr:rowOff>
    </xdr:from>
    <xdr:to>
      <xdr:col>10</xdr:col>
      <xdr:colOff>39220</xdr:colOff>
      <xdr:row>124</xdr:row>
      <xdr:rowOff>87405</xdr:rowOff>
    </xdr:to>
    <xdr:graphicFrame macro="">
      <xdr:nvGraphicFramePr>
        <xdr:cNvPr id="48" name="Chart 47">
          <a:extLst>
            <a:ext uri="{FF2B5EF4-FFF2-40B4-BE49-F238E27FC236}">
              <a16:creationId xmlns:a16="http://schemas.microsoft.com/office/drawing/2014/main" id="{00000000-0008-0000-0A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352425</xdr:colOff>
      <xdr:row>80</xdr:row>
      <xdr:rowOff>9525</xdr:rowOff>
    </xdr:from>
    <xdr:to>
      <xdr:col>21</xdr:col>
      <xdr:colOff>238126</xdr:colOff>
      <xdr:row>94</xdr:row>
      <xdr:rowOff>85725</xdr:rowOff>
    </xdr:to>
    <xdr:graphicFrame macro="">
      <xdr:nvGraphicFramePr>
        <xdr:cNvPr id="49" name="Chart 48">
          <a:extLst>
            <a:ext uri="{FF2B5EF4-FFF2-40B4-BE49-F238E27FC236}">
              <a16:creationId xmlns:a16="http://schemas.microsoft.com/office/drawing/2014/main" id="{00000000-0008-0000-0A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381001</xdr:colOff>
      <xdr:row>35</xdr:row>
      <xdr:rowOff>0</xdr:rowOff>
    </xdr:from>
    <xdr:to>
      <xdr:col>21</xdr:col>
      <xdr:colOff>212912</xdr:colOff>
      <xdr:row>49</xdr:row>
      <xdr:rowOff>85725</xdr:rowOff>
    </xdr:to>
    <xdr:graphicFrame macro="">
      <xdr:nvGraphicFramePr>
        <xdr:cNvPr id="50" name="Chart 49">
          <a:extLst>
            <a:ext uri="{FF2B5EF4-FFF2-40B4-BE49-F238E27FC236}">
              <a16:creationId xmlns:a16="http://schemas.microsoft.com/office/drawing/2014/main" id="{00000000-0008-0000-0A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369795</xdr:colOff>
      <xdr:row>18</xdr:row>
      <xdr:rowOff>168090</xdr:rowOff>
    </xdr:from>
    <xdr:to>
      <xdr:col>21</xdr:col>
      <xdr:colOff>224117</xdr:colOff>
      <xdr:row>33</xdr:row>
      <xdr:rowOff>168088</xdr:rowOff>
    </xdr:to>
    <xdr:graphicFrame macro="">
      <xdr:nvGraphicFramePr>
        <xdr:cNvPr id="51" name="Chart 50">
          <a:extLst>
            <a:ext uri="{FF2B5EF4-FFF2-40B4-BE49-F238E27FC236}">
              <a16:creationId xmlns:a16="http://schemas.microsoft.com/office/drawing/2014/main" id="{00000000-0008-0000-0A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593912</xdr:colOff>
      <xdr:row>64</xdr:row>
      <xdr:rowOff>179295</xdr:rowOff>
    </xdr:from>
    <xdr:to>
      <xdr:col>10</xdr:col>
      <xdr:colOff>78441</xdr:colOff>
      <xdr:row>79</xdr:row>
      <xdr:rowOff>67236</xdr:rowOff>
    </xdr:to>
    <xdr:graphicFrame macro="">
      <xdr:nvGraphicFramePr>
        <xdr:cNvPr id="52" name="Chart 51">
          <a:extLst>
            <a:ext uri="{FF2B5EF4-FFF2-40B4-BE49-F238E27FC236}">
              <a16:creationId xmlns:a16="http://schemas.microsoft.com/office/drawing/2014/main" id="{00000000-0008-0000-0A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593911</xdr:colOff>
      <xdr:row>4</xdr:row>
      <xdr:rowOff>11206</xdr:rowOff>
    </xdr:from>
    <xdr:to>
      <xdr:col>10</xdr:col>
      <xdr:colOff>78440</xdr:colOff>
      <xdr:row>18</xdr:row>
      <xdr:rowOff>112057</xdr:rowOff>
    </xdr:to>
    <xdr:graphicFrame macro="">
      <xdr:nvGraphicFramePr>
        <xdr:cNvPr id="53" name="Chart 52">
          <a:extLst>
            <a:ext uri="{FF2B5EF4-FFF2-40B4-BE49-F238E27FC236}">
              <a16:creationId xmlns:a16="http://schemas.microsoft.com/office/drawing/2014/main" id="{00000000-0008-0000-0A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380999</xdr:colOff>
      <xdr:row>3</xdr:row>
      <xdr:rowOff>179294</xdr:rowOff>
    </xdr:from>
    <xdr:to>
      <xdr:col>21</xdr:col>
      <xdr:colOff>212911</xdr:colOff>
      <xdr:row>18</xdr:row>
      <xdr:rowOff>100852</xdr:rowOff>
    </xdr:to>
    <xdr:graphicFrame macro="">
      <xdr:nvGraphicFramePr>
        <xdr:cNvPr id="54" name="Chart 53">
          <a:extLst>
            <a:ext uri="{FF2B5EF4-FFF2-40B4-BE49-F238E27FC236}">
              <a16:creationId xmlns:a16="http://schemas.microsoft.com/office/drawing/2014/main" id="{00000000-0008-0000-0A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324970</xdr:colOff>
      <xdr:row>95</xdr:row>
      <xdr:rowOff>0</xdr:rowOff>
    </xdr:from>
    <xdr:to>
      <xdr:col>21</xdr:col>
      <xdr:colOff>257734</xdr:colOff>
      <xdr:row>109</xdr:row>
      <xdr:rowOff>78442</xdr:rowOff>
    </xdr:to>
    <xdr:graphicFrame macro="">
      <xdr:nvGraphicFramePr>
        <xdr:cNvPr id="55" name="Chart 54">
          <a:extLst>
            <a:ext uri="{FF2B5EF4-FFF2-40B4-BE49-F238E27FC236}">
              <a16:creationId xmlns:a16="http://schemas.microsoft.com/office/drawing/2014/main" id="{00000000-0008-0000-0A00-00003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19</xdr:row>
      <xdr:rowOff>0</xdr:rowOff>
    </xdr:from>
    <xdr:to>
      <xdr:col>10</xdr:col>
      <xdr:colOff>80682</xdr:colOff>
      <xdr:row>34</xdr:row>
      <xdr:rowOff>6163</xdr:rowOff>
    </xdr:to>
    <xdr:graphicFrame macro="">
      <xdr:nvGraphicFramePr>
        <xdr:cNvPr id="101" name="Chart 100">
          <a:extLst>
            <a:ext uri="{FF2B5EF4-FFF2-40B4-BE49-F238E27FC236}">
              <a16:creationId xmlns:a16="http://schemas.microsoft.com/office/drawing/2014/main" id="{00000000-0008-0000-0A00-00006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21</xdr:col>
      <xdr:colOff>400050</xdr:colOff>
      <xdr:row>18</xdr:row>
      <xdr:rowOff>171450</xdr:rowOff>
    </xdr:from>
    <xdr:to>
      <xdr:col>30</xdr:col>
      <xdr:colOff>414057</xdr:colOff>
      <xdr:row>33</xdr:row>
      <xdr:rowOff>177613</xdr:rowOff>
    </xdr:to>
    <xdr:graphicFrame macro="">
      <xdr:nvGraphicFramePr>
        <xdr:cNvPr id="102" name="Chart 101">
          <a:extLst>
            <a:ext uri="{FF2B5EF4-FFF2-40B4-BE49-F238E27FC236}">
              <a16:creationId xmlns:a16="http://schemas.microsoft.com/office/drawing/2014/main" id="{00000000-0008-0000-0A00-00006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605117</xdr:colOff>
      <xdr:row>18</xdr:row>
      <xdr:rowOff>182096</xdr:rowOff>
    </xdr:from>
    <xdr:to>
      <xdr:col>10</xdr:col>
      <xdr:colOff>76199</xdr:colOff>
      <xdr:row>33</xdr:row>
      <xdr:rowOff>188259</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590549</xdr:colOff>
      <xdr:row>4</xdr:row>
      <xdr:rowOff>0</xdr:rowOff>
    </xdr:from>
    <xdr:to>
      <xdr:col>11</xdr:col>
      <xdr:colOff>400050</xdr:colOff>
      <xdr:row>4</xdr:row>
      <xdr:rowOff>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600074</xdr:colOff>
      <xdr:row>4</xdr:row>
      <xdr:rowOff>0</xdr:rowOff>
    </xdr:from>
    <xdr:to>
      <xdr:col>11</xdr:col>
      <xdr:colOff>333375</xdr:colOff>
      <xdr:row>4</xdr:row>
      <xdr:rowOff>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581024</xdr:colOff>
      <xdr:row>4</xdr:row>
      <xdr:rowOff>0</xdr:rowOff>
    </xdr:from>
    <xdr:to>
      <xdr:col>9</xdr:col>
      <xdr:colOff>647699</xdr:colOff>
      <xdr:row>4</xdr:row>
      <xdr:rowOff>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600075</xdr:colOff>
      <xdr:row>4</xdr:row>
      <xdr:rowOff>0</xdr:rowOff>
    </xdr:from>
    <xdr:to>
      <xdr:col>10</xdr:col>
      <xdr:colOff>447675</xdr:colOff>
      <xdr:row>4</xdr:row>
      <xdr:rowOff>0</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xdr:colOff>
      <xdr:row>35</xdr:row>
      <xdr:rowOff>0</xdr:rowOff>
    </xdr:from>
    <xdr:to>
      <xdr:col>10</xdr:col>
      <xdr:colOff>76201</xdr:colOff>
      <xdr:row>49</xdr:row>
      <xdr:rowOff>76200</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50</xdr:row>
      <xdr:rowOff>0</xdr:rowOff>
    </xdr:from>
    <xdr:to>
      <xdr:col>10</xdr:col>
      <xdr:colOff>85725</xdr:colOff>
      <xdr:row>64</xdr:row>
      <xdr:rowOff>76200</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371475</xdr:colOff>
      <xdr:row>49</xdr:row>
      <xdr:rowOff>171450</xdr:rowOff>
    </xdr:from>
    <xdr:to>
      <xdr:col>21</xdr:col>
      <xdr:colOff>201706</xdr:colOff>
      <xdr:row>64</xdr:row>
      <xdr:rowOff>57150</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571500</xdr:colOff>
      <xdr:row>80</xdr:row>
      <xdr:rowOff>11205</xdr:rowOff>
    </xdr:from>
    <xdr:to>
      <xdr:col>10</xdr:col>
      <xdr:colOff>52107</xdr:colOff>
      <xdr:row>94</xdr:row>
      <xdr:rowOff>87405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361950</xdr:colOff>
      <xdr:row>65</xdr:row>
      <xdr:rowOff>0</xdr:rowOff>
    </xdr:from>
    <xdr:to>
      <xdr:col>21</xdr:col>
      <xdr:colOff>235323</xdr:colOff>
      <xdr:row>79</xdr:row>
      <xdr:rowOff>76200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564775</xdr:colOff>
      <xdr:row>95</xdr:row>
      <xdr:rowOff>0</xdr:rowOff>
    </xdr:from>
    <xdr:to>
      <xdr:col>10</xdr:col>
      <xdr:colOff>40900</xdr:colOff>
      <xdr:row>109</xdr:row>
      <xdr:rowOff>76200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336177</xdr:colOff>
      <xdr:row>110</xdr:row>
      <xdr:rowOff>20730</xdr:rowOff>
    </xdr:from>
    <xdr:to>
      <xdr:col>21</xdr:col>
      <xdr:colOff>268941</xdr:colOff>
      <xdr:row>124</xdr:row>
      <xdr:rowOff>96930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549088</xdr:colOff>
      <xdr:row>110</xdr:row>
      <xdr:rowOff>11205</xdr:rowOff>
    </xdr:from>
    <xdr:to>
      <xdr:col>10</xdr:col>
      <xdr:colOff>39220</xdr:colOff>
      <xdr:row>124</xdr:row>
      <xdr:rowOff>87405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352425</xdr:colOff>
      <xdr:row>80</xdr:row>
      <xdr:rowOff>9525</xdr:rowOff>
    </xdr:from>
    <xdr:to>
      <xdr:col>21</xdr:col>
      <xdr:colOff>238126</xdr:colOff>
      <xdr:row>94</xdr:row>
      <xdr:rowOff>85725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381001</xdr:colOff>
      <xdr:row>35</xdr:row>
      <xdr:rowOff>0</xdr:rowOff>
    </xdr:from>
    <xdr:to>
      <xdr:col>21</xdr:col>
      <xdr:colOff>212912</xdr:colOff>
      <xdr:row>49</xdr:row>
      <xdr:rowOff>85725</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369795</xdr:colOff>
      <xdr:row>18</xdr:row>
      <xdr:rowOff>168090</xdr:rowOff>
    </xdr:from>
    <xdr:to>
      <xdr:col>21</xdr:col>
      <xdr:colOff>224117</xdr:colOff>
      <xdr:row>33</xdr:row>
      <xdr:rowOff>168088</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593912</xdr:colOff>
      <xdr:row>64</xdr:row>
      <xdr:rowOff>179295</xdr:rowOff>
    </xdr:from>
    <xdr:to>
      <xdr:col>10</xdr:col>
      <xdr:colOff>78441</xdr:colOff>
      <xdr:row>79</xdr:row>
      <xdr:rowOff>67236</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380999</xdr:colOff>
      <xdr:row>3</xdr:row>
      <xdr:rowOff>179294</xdr:rowOff>
    </xdr:from>
    <xdr:to>
      <xdr:col>21</xdr:col>
      <xdr:colOff>212911</xdr:colOff>
      <xdr:row>18</xdr:row>
      <xdr:rowOff>100852</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324970</xdr:colOff>
      <xdr:row>95</xdr:row>
      <xdr:rowOff>0</xdr:rowOff>
    </xdr:from>
    <xdr:to>
      <xdr:col>21</xdr:col>
      <xdr:colOff>257734</xdr:colOff>
      <xdr:row>109</xdr:row>
      <xdr:rowOff>78442</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4</xdr:row>
      <xdr:rowOff>0</xdr:rowOff>
    </xdr:from>
    <xdr:to>
      <xdr:col>10</xdr:col>
      <xdr:colOff>94129</xdr:colOff>
      <xdr:row>18</xdr:row>
      <xdr:rowOff>100851</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605117</xdr:colOff>
      <xdr:row>18</xdr:row>
      <xdr:rowOff>182096</xdr:rowOff>
    </xdr:from>
    <xdr:to>
      <xdr:col>10</xdr:col>
      <xdr:colOff>76199</xdr:colOff>
      <xdr:row>33</xdr:row>
      <xdr:rowOff>188259</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590549</xdr:colOff>
      <xdr:row>4</xdr:row>
      <xdr:rowOff>0</xdr:rowOff>
    </xdr:from>
    <xdr:to>
      <xdr:col>11</xdr:col>
      <xdr:colOff>400050</xdr:colOff>
      <xdr:row>4</xdr:row>
      <xdr:rowOff>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600074</xdr:colOff>
      <xdr:row>4</xdr:row>
      <xdr:rowOff>0</xdr:rowOff>
    </xdr:from>
    <xdr:to>
      <xdr:col>11</xdr:col>
      <xdr:colOff>333375</xdr:colOff>
      <xdr:row>4</xdr:row>
      <xdr:rowOff>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581024</xdr:colOff>
      <xdr:row>4</xdr:row>
      <xdr:rowOff>0</xdr:rowOff>
    </xdr:from>
    <xdr:to>
      <xdr:col>9</xdr:col>
      <xdr:colOff>647699</xdr:colOff>
      <xdr:row>4</xdr:row>
      <xdr:rowOff>0</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600075</xdr:colOff>
      <xdr:row>4</xdr:row>
      <xdr:rowOff>0</xdr:rowOff>
    </xdr:from>
    <xdr:to>
      <xdr:col>10</xdr:col>
      <xdr:colOff>447675</xdr:colOff>
      <xdr:row>4</xdr:row>
      <xdr:rowOff>0</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xdr:colOff>
      <xdr:row>35</xdr:row>
      <xdr:rowOff>0</xdr:rowOff>
    </xdr:from>
    <xdr:to>
      <xdr:col>10</xdr:col>
      <xdr:colOff>76201</xdr:colOff>
      <xdr:row>49</xdr:row>
      <xdr:rowOff>76200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50</xdr:row>
      <xdr:rowOff>0</xdr:rowOff>
    </xdr:from>
    <xdr:to>
      <xdr:col>10</xdr:col>
      <xdr:colOff>85725</xdr:colOff>
      <xdr:row>64</xdr:row>
      <xdr:rowOff>76200</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371475</xdr:colOff>
      <xdr:row>49</xdr:row>
      <xdr:rowOff>171450</xdr:rowOff>
    </xdr:from>
    <xdr:to>
      <xdr:col>21</xdr:col>
      <xdr:colOff>201706</xdr:colOff>
      <xdr:row>64</xdr:row>
      <xdr:rowOff>57150</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571500</xdr:colOff>
      <xdr:row>80</xdr:row>
      <xdr:rowOff>11205</xdr:rowOff>
    </xdr:from>
    <xdr:to>
      <xdr:col>10</xdr:col>
      <xdr:colOff>52107</xdr:colOff>
      <xdr:row>94</xdr:row>
      <xdr:rowOff>87405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361950</xdr:colOff>
      <xdr:row>65</xdr:row>
      <xdr:rowOff>0</xdr:rowOff>
    </xdr:from>
    <xdr:to>
      <xdr:col>21</xdr:col>
      <xdr:colOff>235323</xdr:colOff>
      <xdr:row>79</xdr:row>
      <xdr:rowOff>76200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564775</xdr:colOff>
      <xdr:row>95</xdr:row>
      <xdr:rowOff>0</xdr:rowOff>
    </xdr:from>
    <xdr:to>
      <xdr:col>10</xdr:col>
      <xdr:colOff>40900</xdr:colOff>
      <xdr:row>109</xdr:row>
      <xdr:rowOff>76200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336177</xdr:colOff>
      <xdr:row>110</xdr:row>
      <xdr:rowOff>20730</xdr:rowOff>
    </xdr:from>
    <xdr:to>
      <xdr:col>21</xdr:col>
      <xdr:colOff>268941</xdr:colOff>
      <xdr:row>124</xdr:row>
      <xdr:rowOff>96930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549088</xdr:colOff>
      <xdr:row>110</xdr:row>
      <xdr:rowOff>11205</xdr:rowOff>
    </xdr:from>
    <xdr:to>
      <xdr:col>10</xdr:col>
      <xdr:colOff>39220</xdr:colOff>
      <xdr:row>124</xdr:row>
      <xdr:rowOff>87405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365125</xdr:colOff>
      <xdr:row>79</xdr:row>
      <xdr:rowOff>187325</xdr:rowOff>
    </xdr:from>
    <xdr:to>
      <xdr:col>21</xdr:col>
      <xdr:colOff>250826</xdr:colOff>
      <xdr:row>94</xdr:row>
      <xdr:rowOff>73025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381001</xdr:colOff>
      <xdr:row>35</xdr:row>
      <xdr:rowOff>0</xdr:rowOff>
    </xdr:from>
    <xdr:to>
      <xdr:col>21</xdr:col>
      <xdr:colOff>212912</xdr:colOff>
      <xdr:row>49</xdr:row>
      <xdr:rowOff>85725</xdr:rowOff>
    </xdr:to>
    <xdr:graphicFrame macro="">
      <xdr:nvGraphicFramePr>
        <xdr:cNvPr id="16" name="Chart 15">
          <a:extLst>
            <a:ext uri="{FF2B5EF4-FFF2-40B4-BE49-F238E27FC236}">
              <a16:creationId xmlns:a16="http://schemas.microsoft.com/office/drawing/2014/main" id="{00000000-0008-0000-0C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369795</xdr:colOff>
      <xdr:row>18</xdr:row>
      <xdr:rowOff>168090</xdr:rowOff>
    </xdr:from>
    <xdr:to>
      <xdr:col>21</xdr:col>
      <xdr:colOff>224117</xdr:colOff>
      <xdr:row>33</xdr:row>
      <xdr:rowOff>168088</xdr:rowOff>
    </xdr:to>
    <xdr:graphicFrame macro="">
      <xdr:nvGraphicFramePr>
        <xdr:cNvPr id="17" name="Chart 16">
          <a:extLst>
            <a:ext uri="{FF2B5EF4-FFF2-40B4-BE49-F238E27FC236}">
              <a16:creationId xmlns:a16="http://schemas.microsoft.com/office/drawing/2014/main" id="{00000000-0008-0000-0C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593912</xdr:colOff>
      <xdr:row>64</xdr:row>
      <xdr:rowOff>179295</xdr:rowOff>
    </xdr:from>
    <xdr:to>
      <xdr:col>10</xdr:col>
      <xdr:colOff>78441</xdr:colOff>
      <xdr:row>79</xdr:row>
      <xdr:rowOff>67236</xdr:rowOff>
    </xdr:to>
    <xdr:graphicFrame macro="">
      <xdr:nvGraphicFramePr>
        <xdr:cNvPr id="18" name="Chart 17">
          <a:extLst>
            <a:ext uri="{FF2B5EF4-FFF2-40B4-BE49-F238E27FC236}">
              <a16:creationId xmlns:a16="http://schemas.microsoft.com/office/drawing/2014/main" id="{00000000-0008-0000-0C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380999</xdr:colOff>
      <xdr:row>3</xdr:row>
      <xdr:rowOff>179294</xdr:rowOff>
    </xdr:from>
    <xdr:to>
      <xdr:col>21</xdr:col>
      <xdr:colOff>212911</xdr:colOff>
      <xdr:row>18</xdr:row>
      <xdr:rowOff>100852</xdr:rowOff>
    </xdr:to>
    <xdr:graphicFrame macro="">
      <xdr:nvGraphicFramePr>
        <xdr:cNvPr id="19" name="Chart 18">
          <a:extLst>
            <a:ext uri="{FF2B5EF4-FFF2-40B4-BE49-F238E27FC236}">
              <a16:creationId xmlns:a16="http://schemas.microsoft.com/office/drawing/2014/main" id="{00000000-0008-0000-0C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324970</xdr:colOff>
      <xdr:row>95</xdr:row>
      <xdr:rowOff>0</xdr:rowOff>
    </xdr:from>
    <xdr:to>
      <xdr:col>21</xdr:col>
      <xdr:colOff>257734</xdr:colOff>
      <xdr:row>109</xdr:row>
      <xdr:rowOff>78442</xdr:rowOff>
    </xdr:to>
    <xdr:graphicFrame macro="">
      <xdr:nvGraphicFramePr>
        <xdr:cNvPr id="20" name="Chart 19">
          <a:extLst>
            <a:ext uri="{FF2B5EF4-FFF2-40B4-BE49-F238E27FC236}">
              <a16:creationId xmlns:a16="http://schemas.microsoft.com/office/drawing/2014/main" id="{00000000-0008-0000-0C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600075</xdr:colOff>
      <xdr:row>4</xdr:row>
      <xdr:rowOff>9525</xdr:rowOff>
    </xdr:from>
    <xdr:to>
      <xdr:col>10</xdr:col>
      <xdr:colOff>84604</xdr:colOff>
      <xdr:row>18</xdr:row>
      <xdr:rowOff>110376</xdr:rowOff>
    </xdr:to>
    <xdr:graphicFrame macro="">
      <xdr:nvGraphicFramePr>
        <xdr:cNvPr id="21" name="Chart 20">
          <a:extLst>
            <a:ext uri="{FF2B5EF4-FFF2-40B4-BE49-F238E27FC236}">
              <a16:creationId xmlns:a16="http://schemas.microsoft.com/office/drawing/2014/main" id="{00000000-0008-0000-0C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21</xdr:col>
      <xdr:colOff>386042</xdr:colOff>
      <xdr:row>18</xdr:row>
      <xdr:rowOff>182096</xdr:rowOff>
    </xdr:from>
    <xdr:to>
      <xdr:col>30</xdr:col>
      <xdr:colOff>400049</xdr:colOff>
      <xdr:row>34</xdr:row>
      <xdr:rowOff>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21</xdr:col>
      <xdr:colOff>386042</xdr:colOff>
      <xdr:row>4</xdr:row>
      <xdr:rowOff>9525</xdr:rowOff>
    </xdr:from>
    <xdr:to>
      <xdr:col>30</xdr:col>
      <xdr:colOff>400049</xdr:colOff>
      <xdr:row>18</xdr:row>
      <xdr:rowOff>112059</xdr:rowOff>
    </xdr:to>
    <xdr:graphicFrame macro="">
      <xdr:nvGraphicFramePr>
        <xdr:cNvPr id="23" name="Chart 22">
          <a:extLst>
            <a:ext uri="{FF2B5EF4-FFF2-40B4-BE49-F238E27FC236}">
              <a16:creationId xmlns:a16="http://schemas.microsoft.com/office/drawing/2014/main" id="{00000000-0008-0000-0C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605117</xdr:colOff>
      <xdr:row>18</xdr:row>
      <xdr:rowOff>182096</xdr:rowOff>
    </xdr:from>
    <xdr:to>
      <xdr:col>10</xdr:col>
      <xdr:colOff>76199</xdr:colOff>
      <xdr:row>33</xdr:row>
      <xdr:rowOff>188259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590549</xdr:colOff>
      <xdr:row>4</xdr:row>
      <xdr:rowOff>0</xdr:rowOff>
    </xdr:from>
    <xdr:to>
      <xdr:col>11</xdr:col>
      <xdr:colOff>400050</xdr:colOff>
      <xdr:row>4</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600074</xdr:colOff>
      <xdr:row>4</xdr:row>
      <xdr:rowOff>0</xdr:rowOff>
    </xdr:from>
    <xdr:to>
      <xdr:col>11</xdr:col>
      <xdr:colOff>333375</xdr:colOff>
      <xdr:row>4</xdr:row>
      <xdr:rowOff>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581024</xdr:colOff>
      <xdr:row>4</xdr:row>
      <xdr:rowOff>0</xdr:rowOff>
    </xdr:from>
    <xdr:to>
      <xdr:col>9</xdr:col>
      <xdr:colOff>647699</xdr:colOff>
      <xdr:row>4</xdr:row>
      <xdr:rowOff>0</xdr:rowOff>
    </xdr:to>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600075</xdr:colOff>
      <xdr:row>4</xdr:row>
      <xdr:rowOff>0</xdr:rowOff>
    </xdr:from>
    <xdr:to>
      <xdr:col>10</xdr:col>
      <xdr:colOff>447675</xdr:colOff>
      <xdr:row>4</xdr:row>
      <xdr:rowOff>0</xdr:rowOff>
    </xdr:to>
    <xdr:graphicFrame macro="">
      <xdr:nvGraphicFramePr>
        <xdr:cNvPr id="6" name="Chart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xdr:colOff>
      <xdr:row>35</xdr:row>
      <xdr:rowOff>0</xdr:rowOff>
    </xdr:from>
    <xdr:to>
      <xdr:col>10</xdr:col>
      <xdr:colOff>76201</xdr:colOff>
      <xdr:row>49</xdr:row>
      <xdr:rowOff>76200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50</xdr:row>
      <xdr:rowOff>0</xdr:rowOff>
    </xdr:from>
    <xdr:to>
      <xdr:col>10</xdr:col>
      <xdr:colOff>85725</xdr:colOff>
      <xdr:row>64</xdr:row>
      <xdr:rowOff>76200</xdr:rowOff>
    </xdr:to>
    <xdr:graphicFrame macro="">
      <xdr:nvGraphicFramePr>
        <xdr:cNvPr id="8" name="Chart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371475</xdr:colOff>
      <xdr:row>49</xdr:row>
      <xdr:rowOff>171450</xdr:rowOff>
    </xdr:from>
    <xdr:to>
      <xdr:col>21</xdr:col>
      <xdr:colOff>201706</xdr:colOff>
      <xdr:row>64</xdr:row>
      <xdr:rowOff>57150</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571500</xdr:colOff>
      <xdr:row>80</xdr:row>
      <xdr:rowOff>11205</xdr:rowOff>
    </xdr:from>
    <xdr:to>
      <xdr:col>10</xdr:col>
      <xdr:colOff>52107</xdr:colOff>
      <xdr:row>94</xdr:row>
      <xdr:rowOff>87405</xdr:rowOff>
    </xdr:to>
    <xdr:graphicFrame macro="">
      <xdr:nvGraphicFramePr>
        <xdr:cNvPr id="10" name="Chart 9">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361950</xdr:colOff>
      <xdr:row>65</xdr:row>
      <xdr:rowOff>0</xdr:rowOff>
    </xdr:from>
    <xdr:to>
      <xdr:col>21</xdr:col>
      <xdr:colOff>235323</xdr:colOff>
      <xdr:row>79</xdr:row>
      <xdr:rowOff>76200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564775</xdr:colOff>
      <xdr:row>95</xdr:row>
      <xdr:rowOff>0</xdr:rowOff>
    </xdr:from>
    <xdr:to>
      <xdr:col>10</xdr:col>
      <xdr:colOff>40900</xdr:colOff>
      <xdr:row>109</xdr:row>
      <xdr:rowOff>76200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336177</xdr:colOff>
      <xdr:row>110</xdr:row>
      <xdr:rowOff>20730</xdr:rowOff>
    </xdr:from>
    <xdr:to>
      <xdr:col>21</xdr:col>
      <xdr:colOff>268941</xdr:colOff>
      <xdr:row>124</xdr:row>
      <xdr:rowOff>96930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549088</xdr:colOff>
      <xdr:row>110</xdr:row>
      <xdr:rowOff>11205</xdr:rowOff>
    </xdr:from>
    <xdr:to>
      <xdr:col>10</xdr:col>
      <xdr:colOff>39220</xdr:colOff>
      <xdr:row>124</xdr:row>
      <xdr:rowOff>87405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352425</xdr:colOff>
      <xdr:row>80</xdr:row>
      <xdr:rowOff>9525</xdr:rowOff>
    </xdr:from>
    <xdr:to>
      <xdr:col>21</xdr:col>
      <xdr:colOff>238126</xdr:colOff>
      <xdr:row>94</xdr:row>
      <xdr:rowOff>85725</xdr:rowOff>
    </xdr:to>
    <xdr:graphicFrame macro="">
      <xdr:nvGraphicFramePr>
        <xdr:cNvPr id="15" name="Chart 14">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381001</xdr:colOff>
      <xdr:row>35</xdr:row>
      <xdr:rowOff>0</xdr:rowOff>
    </xdr:from>
    <xdr:to>
      <xdr:col>21</xdr:col>
      <xdr:colOff>212912</xdr:colOff>
      <xdr:row>49</xdr:row>
      <xdr:rowOff>85725</xdr:rowOff>
    </xdr:to>
    <xdr:graphicFrame macro="">
      <xdr:nvGraphicFramePr>
        <xdr:cNvPr id="16" name="Chart 15">
          <a:extLst>
            <a:ext uri="{FF2B5EF4-FFF2-40B4-BE49-F238E27FC236}">
              <a16:creationId xmlns:a16="http://schemas.microsoft.com/office/drawing/2014/main" id="{00000000-0008-0000-0D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369795</xdr:colOff>
      <xdr:row>18</xdr:row>
      <xdr:rowOff>168090</xdr:rowOff>
    </xdr:from>
    <xdr:to>
      <xdr:col>21</xdr:col>
      <xdr:colOff>224117</xdr:colOff>
      <xdr:row>33</xdr:row>
      <xdr:rowOff>168088</xdr:rowOff>
    </xdr:to>
    <xdr:graphicFrame macro="">
      <xdr:nvGraphicFramePr>
        <xdr:cNvPr id="17" name="Chart 16">
          <a:extLst>
            <a:ext uri="{FF2B5EF4-FFF2-40B4-BE49-F238E27FC236}">
              <a16:creationId xmlns:a16="http://schemas.microsoft.com/office/drawing/2014/main" id="{00000000-0008-0000-0D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593912</xdr:colOff>
      <xdr:row>64</xdr:row>
      <xdr:rowOff>179295</xdr:rowOff>
    </xdr:from>
    <xdr:to>
      <xdr:col>10</xdr:col>
      <xdr:colOff>78441</xdr:colOff>
      <xdr:row>79</xdr:row>
      <xdr:rowOff>67236</xdr:rowOff>
    </xdr:to>
    <xdr:graphicFrame macro="">
      <xdr:nvGraphicFramePr>
        <xdr:cNvPr id="18" name="Chart 17">
          <a:extLst>
            <a:ext uri="{FF2B5EF4-FFF2-40B4-BE49-F238E27FC236}">
              <a16:creationId xmlns:a16="http://schemas.microsoft.com/office/drawing/2014/main" id="{00000000-0008-0000-0D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593911</xdr:colOff>
      <xdr:row>4</xdr:row>
      <xdr:rowOff>11206</xdr:rowOff>
    </xdr:from>
    <xdr:to>
      <xdr:col>10</xdr:col>
      <xdr:colOff>78440</xdr:colOff>
      <xdr:row>18</xdr:row>
      <xdr:rowOff>112057</xdr:rowOff>
    </xdr:to>
    <xdr:graphicFrame macro="">
      <xdr:nvGraphicFramePr>
        <xdr:cNvPr id="19" name="Chart 18">
          <a:extLst>
            <a:ext uri="{FF2B5EF4-FFF2-40B4-BE49-F238E27FC236}">
              <a16:creationId xmlns:a16="http://schemas.microsoft.com/office/drawing/2014/main" id="{00000000-0008-0000-0D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380999</xdr:colOff>
      <xdr:row>3</xdr:row>
      <xdr:rowOff>179294</xdr:rowOff>
    </xdr:from>
    <xdr:to>
      <xdr:col>21</xdr:col>
      <xdr:colOff>212911</xdr:colOff>
      <xdr:row>18</xdr:row>
      <xdr:rowOff>100852</xdr:rowOff>
    </xdr:to>
    <xdr:graphicFrame macro="">
      <xdr:nvGraphicFramePr>
        <xdr:cNvPr id="20" name="Chart 19">
          <a:extLst>
            <a:ext uri="{FF2B5EF4-FFF2-40B4-BE49-F238E27FC236}">
              <a16:creationId xmlns:a16="http://schemas.microsoft.com/office/drawing/2014/main" id="{00000000-0008-0000-0D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xdr:col>
      <xdr:colOff>324970</xdr:colOff>
      <xdr:row>95</xdr:row>
      <xdr:rowOff>0</xdr:rowOff>
    </xdr:from>
    <xdr:to>
      <xdr:col>21</xdr:col>
      <xdr:colOff>257734</xdr:colOff>
      <xdr:row>109</xdr:row>
      <xdr:rowOff>78442</xdr:rowOff>
    </xdr:to>
    <xdr:graphicFrame macro="">
      <xdr:nvGraphicFramePr>
        <xdr:cNvPr id="21" name="Chart 20">
          <a:extLst>
            <a:ext uri="{FF2B5EF4-FFF2-40B4-BE49-F238E27FC236}">
              <a16:creationId xmlns:a16="http://schemas.microsoft.com/office/drawing/2014/main" id="{00000000-0008-0000-0D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21</xdr:col>
      <xdr:colOff>300317</xdr:colOff>
      <xdr:row>35</xdr:row>
      <xdr:rowOff>1121</xdr:rowOff>
    </xdr:from>
    <xdr:to>
      <xdr:col>30</xdr:col>
      <xdr:colOff>314324</xdr:colOff>
      <xdr:row>49</xdr:row>
      <xdr:rowOff>95250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21</xdr:col>
      <xdr:colOff>322171</xdr:colOff>
      <xdr:row>3</xdr:row>
      <xdr:rowOff>171450</xdr:rowOff>
    </xdr:from>
    <xdr:to>
      <xdr:col>30</xdr:col>
      <xdr:colOff>333376</xdr:colOff>
      <xdr:row>18</xdr:row>
      <xdr:rowOff>85725</xdr:rowOff>
    </xdr:to>
    <xdr:graphicFrame macro="">
      <xdr:nvGraphicFramePr>
        <xdr:cNvPr id="23" name="Chart 22">
          <a:extLst>
            <a:ext uri="{FF2B5EF4-FFF2-40B4-BE49-F238E27FC236}">
              <a16:creationId xmlns:a16="http://schemas.microsoft.com/office/drawing/2014/main" id="{00000000-0008-0000-0D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323850</xdr:colOff>
      <xdr:row>18</xdr:row>
      <xdr:rowOff>171450</xdr:rowOff>
    </xdr:from>
    <xdr:to>
      <xdr:col>30</xdr:col>
      <xdr:colOff>342900</xdr:colOff>
      <xdr:row>33</xdr:row>
      <xdr:rowOff>171448</xdr:rowOff>
    </xdr:to>
    <xdr:graphicFrame macro="">
      <xdr:nvGraphicFramePr>
        <xdr:cNvPr id="24" name="Chart 23">
          <a:extLst>
            <a:ext uri="{FF2B5EF4-FFF2-40B4-BE49-F238E27FC236}">
              <a16:creationId xmlns:a16="http://schemas.microsoft.com/office/drawing/2014/main" id="{00000000-0008-0000-0D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590549</xdr:colOff>
      <xdr:row>41</xdr:row>
      <xdr:rowOff>0</xdr:rowOff>
    </xdr:from>
    <xdr:to>
      <xdr:col>11</xdr:col>
      <xdr:colOff>400050</xdr:colOff>
      <xdr:row>41</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600074</xdr:colOff>
      <xdr:row>41</xdr:row>
      <xdr:rowOff>0</xdr:rowOff>
    </xdr:from>
    <xdr:to>
      <xdr:col>11</xdr:col>
      <xdr:colOff>333375</xdr:colOff>
      <xdr:row>41</xdr:row>
      <xdr:rowOff>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581024</xdr:colOff>
      <xdr:row>41</xdr:row>
      <xdr:rowOff>0</xdr:rowOff>
    </xdr:from>
    <xdr:to>
      <xdr:col>9</xdr:col>
      <xdr:colOff>647699</xdr:colOff>
      <xdr:row>41</xdr:row>
      <xdr:rowOff>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600075</xdr:colOff>
      <xdr:row>41</xdr:row>
      <xdr:rowOff>0</xdr:rowOff>
    </xdr:from>
    <xdr:to>
      <xdr:col>10</xdr:col>
      <xdr:colOff>447675</xdr:colOff>
      <xdr:row>41</xdr:row>
      <xdr:rowOff>0</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504825</xdr:colOff>
      <xdr:row>40</xdr:row>
      <xdr:rowOff>104775</xdr:rowOff>
    </xdr:from>
    <xdr:to>
      <xdr:col>8</xdr:col>
      <xdr:colOff>0</xdr:colOff>
      <xdr:row>55</xdr:row>
      <xdr:rowOff>5601</xdr:rowOff>
    </xdr:to>
    <xdr:graphicFrame macro="">
      <xdr:nvGraphicFramePr>
        <xdr:cNvPr id="9" name="Chart 8">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61</xdr:row>
      <xdr:rowOff>114300</xdr:rowOff>
    </xdr:from>
    <xdr:to>
      <xdr:col>18</xdr:col>
      <xdr:colOff>9525</xdr:colOff>
      <xdr:row>76</xdr:row>
      <xdr:rowOff>190500</xdr:rowOff>
    </xdr:to>
    <xdr:graphicFrame macro="">
      <xdr:nvGraphicFramePr>
        <xdr:cNvPr id="10" name="Chart 9">
          <a:extLst>
            <a:ext uri="{FF2B5EF4-FFF2-40B4-BE49-F238E27FC236}">
              <a16:creationId xmlns:a16="http://schemas.microsoft.com/office/drawing/2014/main" id="{00000000-0008-0000-0E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xdr:colOff>
      <xdr:row>40</xdr:row>
      <xdr:rowOff>95250</xdr:rowOff>
    </xdr:from>
    <xdr:to>
      <xdr:col>17</xdr:col>
      <xdr:colOff>581026</xdr:colOff>
      <xdr:row>53</xdr:row>
      <xdr:rowOff>47625</xdr:rowOff>
    </xdr:to>
    <xdr:graphicFrame macro="">
      <xdr:nvGraphicFramePr>
        <xdr:cNvPr id="11" name="Chart 10">
          <a:extLst>
            <a:ext uri="{FF2B5EF4-FFF2-40B4-BE49-F238E27FC236}">
              <a16:creationId xmlns:a16="http://schemas.microsoft.com/office/drawing/2014/main" id="{00000000-0008-0000-0E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560</xdr:colOff>
      <xdr:row>45</xdr:row>
      <xdr:rowOff>179295</xdr:rowOff>
    </xdr:from>
    <xdr:to>
      <xdr:col>18</xdr:col>
      <xdr:colOff>8962</xdr:colOff>
      <xdr:row>58</xdr:row>
      <xdr:rowOff>133350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590549</xdr:colOff>
      <xdr:row>46</xdr:row>
      <xdr:rowOff>0</xdr:rowOff>
    </xdr:from>
    <xdr:to>
      <xdr:col>11</xdr:col>
      <xdr:colOff>400050</xdr:colOff>
      <xdr:row>46</xdr:row>
      <xdr:rowOff>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600074</xdr:colOff>
      <xdr:row>46</xdr:row>
      <xdr:rowOff>0</xdr:rowOff>
    </xdr:from>
    <xdr:to>
      <xdr:col>11</xdr:col>
      <xdr:colOff>333375</xdr:colOff>
      <xdr:row>46</xdr:row>
      <xdr:rowOff>0</xdr:rowOff>
    </xdr:to>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581024</xdr:colOff>
      <xdr:row>46</xdr:row>
      <xdr:rowOff>0</xdr:rowOff>
    </xdr:from>
    <xdr:to>
      <xdr:col>9</xdr:col>
      <xdr:colOff>647699</xdr:colOff>
      <xdr:row>46</xdr:row>
      <xdr:rowOff>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600075</xdr:colOff>
      <xdr:row>46</xdr:row>
      <xdr:rowOff>0</xdr:rowOff>
    </xdr:from>
    <xdr:to>
      <xdr:col>10</xdr:col>
      <xdr:colOff>447675</xdr:colOff>
      <xdr:row>46</xdr:row>
      <xdr:rowOff>0</xdr:rowOff>
    </xdr:to>
    <xdr:graphicFrame macro="">
      <xdr:nvGraphicFramePr>
        <xdr:cNvPr id="6" name="Chart 5">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46</xdr:row>
      <xdr:rowOff>0</xdr:rowOff>
    </xdr:from>
    <xdr:to>
      <xdr:col>8</xdr:col>
      <xdr:colOff>11206</xdr:colOff>
      <xdr:row>60</xdr:row>
      <xdr:rowOff>89645</xdr:rowOff>
    </xdr:to>
    <xdr:graphicFrame macro="">
      <xdr:nvGraphicFramePr>
        <xdr:cNvPr id="7" name="Chart 6">
          <a:extLst>
            <a:ext uri="{FF2B5EF4-FFF2-40B4-BE49-F238E27FC236}">
              <a16:creationId xmlns:a16="http://schemas.microsoft.com/office/drawing/2014/main" id="{00000000-0008-0000-0F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xdr:colOff>
      <xdr:row>66</xdr:row>
      <xdr:rowOff>123266</xdr:rowOff>
    </xdr:from>
    <xdr:to>
      <xdr:col>18</xdr:col>
      <xdr:colOff>1</xdr:colOff>
      <xdr:row>81</xdr:row>
      <xdr:rowOff>190499</xdr:rowOff>
    </xdr:to>
    <xdr:graphicFrame macro="">
      <xdr:nvGraphicFramePr>
        <xdr:cNvPr id="8" name="Chart 7">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590549</xdr:colOff>
      <xdr:row>46</xdr:row>
      <xdr:rowOff>0</xdr:rowOff>
    </xdr:from>
    <xdr:to>
      <xdr:col>11</xdr:col>
      <xdr:colOff>400050</xdr:colOff>
      <xdr:row>46</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600074</xdr:colOff>
      <xdr:row>46</xdr:row>
      <xdr:rowOff>0</xdr:rowOff>
    </xdr:from>
    <xdr:to>
      <xdr:col>11</xdr:col>
      <xdr:colOff>333375</xdr:colOff>
      <xdr:row>46</xdr:row>
      <xdr:rowOff>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581024</xdr:colOff>
      <xdr:row>46</xdr:row>
      <xdr:rowOff>0</xdr:rowOff>
    </xdr:from>
    <xdr:to>
      <xdr:col>9</xdr:col>
      <xdr:colOff>647699</xdr:colOff>
      <xdr:row>46</xdr:row>
      <xdr:rowOff>0</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600075</xdr:colOff>
      <xdr:row>46</xdr:row>
      <xdr:rowOff>0</xdr:rowOff>
    </xdr:from>
    <xdr:to>
      <xdr:col>10</xdr:col>
      <xdr:colOff>447675</xdr:colOff>
      <xdr:row>46</xdr:row>
      <xdr:rowOff>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45</xdr:row>
      <xdr:rowOff>180975</xdr:rowOff>
    </xdr:from>
    <xdr:to>
      <xdr:col>17</xdr:col>
      <xdr:colOff>695325</xdr:colOff>
      <xdr:row>58</xdr:row>
      <xdr:rowOff>114300</xdr:rowOff>
    </xdr:to>
    <xdr:graphicFrame macro="">
      <xdr:nvGraphicFramePr>
        <xdr:cNvPr id="8" name="Chart 7">
          <a:extLst>
            <a:ext uri="{FF2B5EF4-FFF2-40B4-BE49-F238E27FC236}">
              <a16:creationId xmlns:a16="http://schemas.microsoft.com/office/drawing/2014/main" id="{00000000-0008-0000-1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46</xdr:row>
      <xdr:rowOff>0</xdr:rowOff>
    </xdr:from>
    <xdr:to>
      <xdr:col>8</xdr:col>
      <xdr:colOff>9525</xdr:colOff>
      <xdr:row>60</xdr:row>
      <xdr:rowOff>116726</xdr:rowOff>
    </xdr:to>
    <xdr:graphicFrame macro="">
      <xdr:nvGraphicFramePr>
        <xdr:cNvPr id="9" name="Chart 8">
          <a:extLst>
            <a:ext uri="{FF2B5EF4-FFF2-40B4-BE49-F238E27FC236}">
              <a16:creationId xmlns:a16="http://schemas.microsoft.com/office/drawing/2014/main" id="{00000000-0008-0000-1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67</xdr:row>
      <xdr:rowOff>0</xdr:rowOff>
    </xdr:from>
    <xdr:to>
      <xdr:col>18</xdr:col>
      <xdr:colOff>0</xdr:colOff>
      <xdr:row>81</xdr:row>
      <xdr:rowOff>171450</xdr:rowOff>
    </xdr:to>
    <xdr:graphicFrame macro="">
      <xdr:nvGraphicFramePr>
        <xdr:cNvPr id="10" name="Chart 9">
          <a:extLst>
            <a:ext uri="{FF2B5EF4-FFF2-40B4-BE49-F238E27FC236}">
              <a16:creationId xmlns:a16="http://schemas.microsoft.com/office/drawing/2014/main" id="{00000000-0008-0000-1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590549</xdr:colOff>
      <xdr:row>49</xdr:row>
      <xdr:rowOff>0</xdr:rowOff>
    </xdr:from>
    <xdr:to>
      <xdr:col>11</xdr:col>
      <xdr:colOff>400050</xdr:colOff>
      <xdr:row>49</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600074</xdr:colOff>
      <xdr:row>49</xdr:row>
      <xdr:rowOff>0</xdr:rowOff>
    </xdr:from>
    <xdr:to>
      <xdr:col>11</xdr:col>
      <xdr:colOff>333375</xdr:colOff>
      <xdr:row>49</xdr:row>
      <xdr:rowOff>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581024</xdr:colOff>
      <xdr:row>49</xdr:row>
      <xdr:rowOff>0</xdr:rowOff>
    </xdr:from>
    <xdr:to>
      <xdr:col>9</xdr:col>
      <xdr:colOff>647699</xdr:colOff>
      <xdr:row>49</xdr:row>
      <xdr:rowOff>0</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600075</xdr:colOff>
      <xdr:row>49</xdr:row>
      <xdr:rowOff>0</xdr:rowOff>
    </xdr:from>
    <xdr:to>
      <xdr:col>10</xdr:col>
      <xdr:colOff>447675</xdr:colOff>
      <xdr:row>49</xdr:row>
      <xdr:rowOff>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48</xdr:row>
      <xdr:rowOff>168089</xdr:rowOff>
    </xdr:from>
    <xdr:to>
      <xdr:col>7</xdr:col>
      <xdr:colOff>694764</xdr:colOff>
      <xdr:row>63</xdr:row>
      <xdr:rowOff>67236</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xdr:colOff>
      <xdr:row>69</xdr:row>
      <xdr:rowOff>123265</xdr:rowOff>
    </xdr:from>
    <xdr:to>
      <xdr:col>18</xdr:col>
      <xdr:colOff>11206</xdr:colOff>
      <xdr:row>84</xdr:row>
      <xdr:rowOff>179294</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713254</xdr:colOff>
      <xdr:row>48</xdr:row>
      <xdr:rowOff>156883</xdr:rowOff>
    </xdr:from>
    <xdr:to>
      <xdr:col>18</xdr:col>
      <xdr:colOff>19050</xdr:colOff>
      <xdr:row>61</xdr:row>
      <xdr:rowOff>133350</xdr:rowOff>
    </xdr:to>
    <xdr:graphicFrame macro="">
      <xdr:nvGraphicFramePr>
        <xdr:cNvPr id="8" name="Chart 7">
          <a:extLst>
            <a:ext uri="{FF2B5EF4-FFF2-40B4-BE49-F238E27FC236}">
              <a16:creationId xmlns:a16="http://schemas.microsoft.com/office/drawing/2014/main" id="{00000000-0008-0000-1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219075</xdr:colOff>
      <xdr:row>3</xdr:row>
      <xdr:rowOff>152400</xdr:rowOff>
    </xdr:from>
    <xdr:to>
      <xdr:col>12</xdr:col>
      <xdr:colOff>971550</xdr:colOff>
      <xdr:row>18</xdr:row>
      <xdr:rowOff>85725</xdr:rowOff>
    </xdr:to>
    <xdr:graphicFrame macro="">
      <xdr:nvGraphicFramePr>
        <xdr:cNvPr id="25" name="Chart 24">
          <a:extLst>
            <a:ext uri="{FF2B5EF4-FFF2-40B4-BE49-F238E27FC236}">
              <a16:creationId xmlns:a16="http://schemas.microsoft.com/office/drawing/2014/main" id="{00000000-0008-0000-12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219075</xdr:colOff>
      <xdr:row>29</xdr:row>
      <xdr:rowOff>123825</xdr:rowOff>
    </xdr:from>
    <xdr:to>
      <xdr:col>12</xdr:col>
      <xdr:colOff>952500</xdr:colOff>
      <xdr:row>44</xdr:row>
      <xdr:rowOff>76200</xdr:rowOff>
    </xdr:to>
    <xdr:graphicFrame macro="">
      <xdr:nvGraphicFramePr>
        <xdr:cNvPr id="27" name="Chart 26">
          <a:extLst>
            <a:ext uri="{FF2B5EF4-FFF2-40B4-BE49-F238E27FC236}">
              <a16:creationId xmlns:a16="http://schemas.microsoft.com/office/drawing/2014/main" id="{00000000-0008-0000-12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533400</xdr:colOff>
          <xdr:row>0</xdr:row>
          <xdr:rowOff>0</xdr:rowOff>
        </xdr:from>
        <xdr:to>
          <xdr:col>5</xdr:col>
          <xdr:colOff>736600</xdr:colOff>
          <xdr:row>0</xdr:row>
          <xdr:rowOff>0</xdr:rowOff>
        </xdr:to>
        <xdr:sp macro="" textlink="">
          <xdr:nvSpPr>
            <xdr:cNvPr id="10248" name="Spinner 8" hidden="1">
              <a:extLst>
                <a:ext uri="{63B3BB69-23CF-44E3-9099-C40C66FF867C}">
                  <a14:compatExt spid="_x0000_s10248"/>
                </a:ext>
                <a:ext uri="{FF2B5EF4-FFF2-40B4-BE49-F238E27FC236}">
                  <a16:creationId xmlns:a16="http://schemas.microsoft.com/office/drawing/2014/main" id="{00000000-0008-0000-1200-000008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482600</xdr:colOff>
          <xdr:row>0</xdr:row>
          <xdr:rowOff>0</xdr:rowOff>
        </xdr:from>
        <xdr:to>
          <xdr:col>11</xdr:col>
          <xdr:colOff>685800</xdr:colOff>
          <xdr:row>0</xdr:row>
          <xdr:rowOff>0</xdr:rowOff>
        </xdr:to>
        <xdr:sp macro="" textlink="">
          <xdr:nvSpPr>
            <xdr:cNvPr id="10250" name="Spinner 10" hidden="1">
              <a:extLst>
                <a:ext uri="{63B3BB69-23CF-44E3-9099-C40C66FF867C}">
                  <a14:compatExt spid="_x0000_s10250"/>
                </a:ext>
                <a:ext uri="{FF2B5EF4-FFF2-40B4-BE49-F238E27FC236}">
                  <a16:creationId xmlns:a16="http://schemas.microsoft.com/office/drawing/2014/main" id="{00000000-0008-0000-1200-00000A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0</xdr:row>
          <xdr:rowOff>0</xdr:rowOff>
        </xdr:from>
        <xdr:to>
          <xdr:col>12</xdr:col>
          <xdr:colOff>774700</xdr:colOff>
          <xdr:row>0</xdr:row>
          <xdr:rowOff>0</xdr:rowOff>
        </xdr:to>
        <xdr:sp macro="" textlink="">
          <xdr:nvSpPr>
            <xdr:cNvPr id="10251" name="Spinner 11" hidden="1">
              <a:extLst>
                <a:ext uri="{63B3BB69-23CF-44E3-9099-C40C66FF867C}">
                  <a14:compatExt spid="_x0000_s10251"/>
                </a:ext>
                <a:ext uri="{FF2B5EF4-FFF2-40B4-BE49-F238E27FC236}">
                  <a16:creationId xmlns:a16="http://schemas.microsoft.com/office/drawing/2014/main" id="{00000000-0008-0000-1200-00000B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0</xdr:row>
          <xdr:rowOff>0</xdr:rowOff>
        </xdr:from>
        <xdr:to>
          <xdr:col>7</xdr:col>
          <xdr:colOff>660400</xdr:colOff>
          <xdr:row>0</xdr:row>
          <xdr:rowOff>0</xdr:rowOff>
        </xdr:to>
        <xdr:sp macro="" textlink="">
          <xdr:nvSpPr>
            <xdr:cNvPr id="10252" name="Spinner 12" hidden="1">
              <a:extLst>
                <a:ext uri="{63B3BB69-23CF-44E3-9099-C40C66FF867C}">
                  <a14:compatExt spid="_x0000_s10252"/>
                </a:ext>
                <a:ext uri="{FF2B5EF4-FFF2-40B4-BE49-F238E27FC236}">
                  <a16:creationId xmlns:a16="http://schemas.microsoft.com/office/drawing/2014/main" id="{00000000-0008-0000-1200-00000C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0</xdr:row>
          <xdr:rowOff>0</xdr:rowOff>
        </xdr:from>
        <xdr:to>
          <xdr:col>3</xdr:col>
          <xdr:colOff>812800</xdr:colOff>
          <xdr:row>0</xdr:row>
          <xdr:rowOff>0</xdr:rowOff>
        </xdr:to>
        <xdr:sp macro="" textlink="">
          <xdr:nvSpPr>
            <xdr:cNvPr id="10253" name="Spinner 13" hidden="1">
              <a:extLst>
                <a:ext uri="{63B3BB69-23CF-44E3-9099-C40C66FF867C}">
                  <a14:compatExt spid="_x0000_s10253"/>
                </a:ext>
                <a:ext uri="{FF2B5EF4-FFF2-40B4-BE49-F238E27FC236}">
                  <a16:creationId xmlns:a16="http://schemas.microsoft.com/office/drawing/2014/main" id="{00000000-0008-0000-1200-00000D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0270" name="Spinner 30" hidden="1">
              <a:extLst>
                <a:ext uri="{63B3BB69-23CF-44E3-9099-C40C66FF867C}">
                  <a14:compatExt spid="_x0000_s10270"/>
                </a:ext>
                <a:ext uri="{FF2B5EF4-FFF2-40B4-BE49-F238E27FC236}">
                  <a16:creationId xmlns:a16="http://schemas.microsoft.com/office/drawing/2014/main" id="{00000000-0008-0000-1200-00001E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520700</xdr:colOff>
          <xdr:row>0</xdr:row>
          <xdr:rowOff>0</xdr:rowOff>
        </xdr:from>
        <xdr:to>
          <xdr:col>6</xdr:col>
          <xdr:colOff>723900</xdr:colOff>
          <xdr:row>0</xdr:row>
          <xdr:rowOff>0</xdr:rowOff>
        </xdr:to>
        <xdr:sp macro="" textlink="">
          <xdr:nvSpPr>
            <xdr:cNvPr id="10271" name="Spinner 31" hidden="1">
              <a:extLst>
                <a:ext uri="{63B3BB69-23CF-44E3-9099-C40C66FF867C}">
                  <a14:compatExt spid="_x0000_s10271"/>
                </a:ext>
                <a:ext uri="{FF2B5EF4-FFF2-40B4-BE49-F238E27FC236}">
                  <a16:creationId xmlns:a16="http://schemas.microsoft.com/office/drawing/2014/main" id="{00000000-0008-0000-1200-00001F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457200</xdr:colOff>
          <xdr:row>0</xdr:row>
          <xdr:rowOff>0</xdr:rowOff>
        </xdr:from>
        <xdr:to>
          <xdr:col>10</xdr:col>
          <xdr:colOff>660400</xdr:colOff>
          <xdr:row>0</xdr:row>
          <xdr:rowOff>0</xdr:rowOff>
        </xdr:to>
        <xdr:sp macro="" textlink="">
          <xdr:nvSpPr>
            <xdr:cNvPr id="10273" name="Spinner 33" hidden="1">
              <a:extLst>
                <a:ext uri="{63B3BB69-23CF-44E3-9099-C40C66FF867C}">
                  <a14:compatExt spid="_x0000_s10273"/>
                </a:ext>
                <a:ext uri="{FF2B5EF4-FFF2-40B4-BE49-F238E27FC236}">
                  <a16:creationId xmlns:a16="http://schemas.microsoft.com/office/drawing/2014/main" id="{00000000-0008-0000-1200-00002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0</xdr:row>
          <xdr:rowOff>0</xdr:rowOff>
        </xdr:from>
        <xdr:to>
          <xdr:col>8</xdr:col>
          <xdr:colOff>736600</xdr:colOff>
          <xdr:row>0</xdr:row>
          <xdr:rowOff>0</xdr:rowOff>
        </xdr:to>
        <xdr:sp macro="" textlink="">
          <xdr:nvSpPr>
            <xdr:cNvPr id="10274" name="Spinner 34" hidden="1">
              <a:extLst>
                <a:ext uri="{63B3BB69-23CF-44E3-9099-C40C66FF867C}">
                  <a14:compatExt spid="_x0000_s10274"/>
                </a:ext>
                <a:ext uri="{FF2B5EF4-FFF2-40B4-BE49-F238E27FC236}">
                  <a16:creationId xmlns:a16="http://schemas.microsoft.com/office/drawing/2014/main" id="{00000000-0008-0000-1200-000022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0</xdr:row>
          <xdr:rowOff>0</xdr:rowOff>
        </xdr:from>
        <xdr:to>
          <xdr:col>9</xdr:col>
          <xdr:colOff>698500</xdr:colOff>
          <xdr:row>0</xdr:row>
          <xdr:rowOff>0</xdr:rowOff>
        </xdr:to>
        <xdr:sp macro="" textlink="">
          <xdr:nvSpPr>
            <xdr:cNvPr id="10275" name="Spinner 35" hidden="1">
              <a:extLst>
                <a:ext uri="{63B3BB69-23CF-44E3-9099-C40C66FF867C}">
                  <a14:compatExt spid="_x0000_s10275"/>
                </a:ext>
                <a:ext uri="{FF2B5EF4-FFF2-40B4-BE49-F238E27FC236}">
                  <a16:creationId xmlns:a16="http://schemas.microsoft.com/office/drawing/2014/main" id="{00000000-0008-0000-1200-000023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46</xdr:row>
          <xdr:rowOff>0</xdr:rowOff>
        </xdr:from>
        <xdr:to>
          <xdr:col>5</xdr:col>
          <xdr:colOff>736600</xdr:colOff>
          <xdr:row>46</xdr:row>
          <xdr:rowOff>0</xdr:rowOff>
        </xdr:to>
        <xdr:sp macro="" textlink="">
          <xdr:nvSpPr>
            <xdr:cNvPr id="10288" name="Spinner 48" hidden="1">
              <a:extLst>
                <a:ext uri="{63B3BB69-23CF-44E3-9099-C40C66FF867C}">
                  <a14:compatExt spid="_x0000_s10288"/>
                </a:ext>
                <a:ext uri="{FF2B5EF4-FFF2-40B4-BE49-F238E27FC236}">
                  <a16:creationId xmlns:a16="http://schemas.microsoft.com/office/drawing/2014/main" id="{00000000-0008-0000-1200-000030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482600</xdr:colOff>
          <xdr:row>46</xdr:row>
          <xdr:rowOff>0</xdr:rowOff>
        </xdr:from>
        <xdr:to>
          <xdr:col>11</xdr:col>
          <xdr:colOff>685800</xdr:colOff>
          <xdr:row>46</xdr:row>
          <xdr:rowOff>0</xdr:rowOff>
        </xdr:to>
        <xdr:sp macro="" textlink="">
          <xdr:nvSpPr>
            <xdr:cNvPr id="10289" name="Spinner 49" hidden="1">
              <a:extLst>
                <a:ext uri="{63B3BB69-23CF-44E3-9099-C40C66FF867C}">
                  <a14:compatExt spid="_x0000_s10289"/>
                </a:ext>
                <a:ext uri="{FF2B5EF4-FFF2-40B4-BE49-F238E27FC236}">
                  <a16:creationId xmlns:a16="http://schemas.microsoft.com/office/drawing/2014/main" id="{00000000-0008-0000-1200-00003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46</xdr:row>
          <xdr:rowOff>0</xdr:rowOff>
        </xdr:from>
        <xdr:to>
          <xdr:col>12</xdr:col>
          <xdr:colOff>774700</xdr:colOff>
          <xdr:row>46</xdr:row>
          <xdr:rowOff>0</xdr:rowOff>
        </xdr:to>
        <xdr:sp macro="" textlink="">
          <xdr:nvSpPr>
            <xdr:cNvPr id="10290" name="Spinner 50" hidden="1">
              <a:extLst>
                <a:ext uri="{63B3BB69-23CF-44E3-9099-C40C66FF867C}">
                  <a14:compatExt spid="_x0000_s10290"/>
                </a:ext>
                <a:ext uri="{FF2B5EF4-FFF2-40B4-BE49-F238E27FC236}">
                  <a16:creationId xmlns:a16="http://schemas.microsoft.com/office/drawing/2014/main" id="{00000000-0008-0000-1200-000032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46</xdr:row>
          <xdr:rowOff>0</xdr:rowOff>
        </xdr:from>
        <xdr:to>
          <xdr:col>7</xdr:col>
          <xdr:colOff>660400</xdr:colOff>
          <xdr:row>46</xdr:row>
          <xdr:rowOff>0</xdr:rowOff>
        </xdr:to>
        <xdr:sp macro="" textlink="">
          <xdr:nvSpPr>
            <xdr:cNvPr id="10291" name="Spinner 51" hidden="1">
              <a:extLst>
                <a:ext uri="{63B3BB69-23CF-44E3-9099-C40C66FF867C}">
                  <a14:compatExt spid="_x0000_s10291"/>
                </a:ext>
                <a:ext uri="{FF2B5EF4-FFF2-40B4-BE49-F238E27FC236}">
                  <a16:creationId xmlns:a16="http://schemas.microsoft.com/office/drawing/2014/main" id="{00000000-0008-0000-1200-000033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46</xdr:row>
          <xdr:rowOff>0</xdr:rowOff>
        </xdr:from>
        <xdr:to>
          <xdr:col>3</xdr:col>
          <xdr:colOff>812800</xdr:colOff>
          <xdr:row>46</xdr:row>
          <xdr:rowOff>0</xdr:rowOff>
        </xdr:to>
        <xdr:sp macro="" textlink="">
          <xdr:nvSpPr>
            <xdr:cNvPr id="10292" name="Spinner 52" hidden="1">
              <a:extLst>
                <a:ext uri="{63B3BB69-23CF-44E3-9099-C40C66FF867C}">
                  <a14:compatExt spid="_x0000_s10292"/>
                </a:ext>
                <a:ext uri="{FF2B5EF4-FFF2-40B4-BE49-F238E27FC236}">
                  <a16:creationId xmlns:a16="http://schemas.microsoft.com/office/drawing/2014/main" id="{00000000-0008-0000-1200-000034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46</xdr:row>
          <xdr:rowOff>0</xdr:rowOff>
        </xdr:from>
        <xdr:to>
          <xdr:col>4</xdr:col>
          <xdr:colOff>711200</xdr:colOff>
          <xdr:row>46</xdr:row>
          <xdr:rowOff>0</xdr:rowOff>
        </xdr:to>
        <xdr:sp macro="" textlink="">
          <xdr:nvSpPr>
            <xdr:cNvPr id="10293" name="Spinner 53" hidden="1">
              <a:extLst>
                <a:ext uri="{63B3BB69-23CF-44E3-9099-C40C66FF867C}">
                  <a14:compatExt spid="_x0000_s10293"/>
                </a:ext>
                <a:ext uri="{FF2B5EF4-FFF2-40B4-BE49-F238E27FC236}">
                  <a16:creationId xmlns:a16="http://schemas.microsoft.com/office/drawing/2014/main" id="{00000000-0008-0000-1200-000035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520700</xdr:colOff>
          <xdr:row>46</xdr:row>
          <xdr:rowOff>0</xdr:rowOff>
        </xdr:from>
        <xdr:to>
          <xdr:col>6</xdr:col>
          <xdr:colOff>723900</xdr:colOff>
          <xdr:row>46</xdr:row>
          <xdr:rowOff>0</xdr:rowOff>
        </xdr:to>
        <xdr:sp macro="" textlink="">
          <xdr:nvSpPr>
            <xdr:cNvPr id="10294" name="Spinner 54" hidden="1">
              <a:extLst>
                <a:ext uri="{63B3BB69-23CF-44E3-9099-C40C66FF867C}">
                  <a14:compatExt spid="_x0000_s10294"/>
                </a:ext>
                <a:ext uri="{FF2B5EF4-FFF2-40B4-BE49-F238E27FC236}">
                  <a16:creationId xmlns:a16="http://schemas.microsoft.com/office/drawing/2014/main" id="{00000000-0008-0000-1200-000036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457200</xdr:colOff>
          <xdr:row>46</xdr:row>
          <xdr:rowOff>0</xdr:rowOff>
        </xdr:from>
        <xdr:to>
          <xdr:col>10</xdr:col>
          <xdr:colOff>660400</xdr:colOff>
          <xdr:row>46</xdr:row>
          <xdr:rowOff>0</xdr:rowOff>
        </xdr:to>
        <xdr:sp macro="" textlink="">
          <xdr:nvSpPr>
            <xdr:cNvPr id="10295" name="Spinner 55" hidden="1">
              <a:extLst>
                <a:ext uri="{63B3BB69-23CF-44E3-9099-C40C66FF867C}">
                  <a14:compatExt spid="_x0000_s10295"/>
                </a:ext>
                <a:ext uri="{FF2B5EF4-FFF2-40B4-BE49-F238E27FC236}">
                  <a16:creationId xmlns:a16="http://schemas.microsoft.com/office/drawing/2014/main" id="{00000000-0008-0000-1200-000037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46</xdr:row>
          <xdr:rowOff>0</xdr:rowOff>
        </xdr:from>
        <xdr:to>
          <xdr:col>8</xdr:col>
          <xdr:colOff>736600</xdr:colOff>
          <xdr:row>46</xdr:row>
          <xdr:rowOff>0</xdr:rowOff>
        </xdr:to>
        <xdr:sp macro="" textlink="">
          <xdr:nvSpPr>
            <xdr:cNvPr id="10296" name="Spinner 56" hidden="1">
              <a:extLst>
                <a:ext uri="{63B3BB69-23CF-44E3-9099-C40C66FF867C}">
                  <a14:compatExt spid="_x0000_s10296"/>
                </a:ext>
                <a:ext uri="{FF2B5EF4-FFF2-40B4-BE49-F238E27FC236}">
                  <a16:creationId xmlns:a16="http://schemas.microsoft.com/office/drawing/2014/main" id="{00000000-0008-0000-1200-000038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46</xdr:row>
          <xdr:rowOff>0</xdr:rowOff>
        </xdr:from>
        <xdr:to>
          <xdr:col>9</xdr:col>
          <xdr:colOff>698500</xdr:colOff>
          <xdr:row>46</xdr:row>
          <xdr:rowOff>0</xdr:rowOff>
        </xdr:to>
        <xdr:sp macro="" textlink="">
          <xdr:nvSpPr>
            <xdr:cNvPr id="10297" name="Spinner 57" hidden="1">
              <a:extLst>
                <a:ext uri="{63B3BB69-23CF-44E3-9099-C40C66FF867C}">
                  <a14:compatExt spid="_x0000_s10297"/>
                </a:ext>
                <a:ext uri="{FF2B5EF4-FFF2-40B4-BE49-F238E27FC236}">
                  <a16:creationId xmlns:a16="http://schemas.microsoft.com/office/drawing/2014/main" id="{00000000-0008-0000-1200-000039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0</xdr:row>
          <xdr:rowOff>0</xdr:rowOff>
        </xdr:from>
        <xdr:to>
          <xdr:col>5</xdr:col>
          <xdr:colOff>736600</xdr:colOff>
          <xdr:row>0</xdr:row>
          <xdr:rowOff>0</xdr:rowOff>
        </xdr:to>
        <xdr:sp macro="" textlink="">
          <xdr:nvSpPr>
            <xdr:cNvPr id="10299" name="Spinner 59" hidden="1">
              <a:extLst>
                <a:ext uri="{63B3BB69-23CF-44E3-9099-C40C66FF867C}">
                  <a14:compatExt spid="_x0000_s10299"/>
                </a:ext>
                <a:ext uri="{FF2B5EF4-FFF2-40B4-BE49-F238E27FC236}">
                  <a16:creationId xmlns:a16="http://schemas.microsoft.com/office/drawing/2014/main" id="{00000000-0008-0000-1200-00003B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482600</xdr:colOff>
          <xdr:row>0</xdr:row>
          <xdr:rowOff>0</xdr:rowOff>
        </xdr:from>
        <xdr:to>
          <xdr:col>11</xdr:col>
          <xdr:colOff>685800</xdr:colOff>
          <xdr:row>0</xdr:row>
          <xdr:rowOff>0</xdr:rowOff>
        </xdr:to>
        <xdr:sp macro="" textlink="">
          <xdr:nvSpPr>
            <xdr:cNvPr id="10300" name="Spinner 60" hidden="1">
              <a:extLst>
                <a:ext uri="{63B3BB69-23CF-44E3-9099-C40C66FF867C}">
                  <a14:compatExt spid="_x0000_s10300"/>
                </a:ext>
                <a:ext uri="{FF2B5EF4-FFF2-40B4-BE49-F238E27FC236}">
                  <a16:creationId xmlns:a16="http://schemas.microsoft.com/office/drawing/2014/main" id="{00000000-0008-0000-1200-00003C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0</xdr:row>
          <xdr:rowOff>0</xdr:rowOff>
        </xdr:from>
        <xdr:to>
          <xdr:col>12</xdr:col>
          <xdr:colOff>774700</xdr:colOff>
          <xdr:row>0</xdr:row>
          <xdr:rowOff>0</xdr:rowOff>
        </xdr:to>
        <xdr:sp macro="" textlink="">
          <xdr:nvSpPr>
            <xdr:cNvPr id="10301" name="Spinner 61" hidden="1">
              <a:extLst>
                <a:ext uri="{63B3BB69-23CF-44E3-9099-C40C66FF867C}">
                  <a14:compatExt spid="_x0000_s10301"/>
                </a:ext>
                <a:ext uri="{FF2B5EF4-FFF2-40B4-BE49-F238E27FC236}">
                  <a16:creationId xmlns:a16="http://schemas.microsoft.com/office/drawing/2014/main" id="{00000000-0008-0000-1200-00003D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0</xdr:row>
          <xdr:rowOff>0</xdr:rowOff>
        </xdr:from>
        <xdr:to>
          <xdr:col>7</xdr:col>
          <xdr:colOff>660400</xdr:colOff>
          <xdr:row>0</xdr:row>
          <xdr:rowOff>0</xdr:rowOff>
        </xdr:to>
        <xdr:sp macro="" textlink="">
          <xdr:nvSpPr>
            <xdr:cNvPr id="10302" name="Spinner 62" hidden="1">
              <a:extLst>
                <a:ext uri="{63B3BB69-23CF-44E3-9099-C40C66FF867C}">
                  <a14:compatExt spid="_x0000_s10302"/>
                </a:ext>
                <a:ext uri="{FF2B5EF4-FFF2-40B4-BE49-F238E27FC236}">
                  <a16:creationId xmlns:a16="http://schemas.microsoft.com/office/drawing/2014/main" id="{00000000-0008-0000-1200-00003E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0</xdr:row>
          <xdr:rowOff>0</xdr:rowOff>
        </xdr:from>
        <xdr:to>
          <xdr:col>3</xdr:col>
          <xdr:colOff>812800</xdr:colOff>
          <xdr:row>0</xdr:row>
          <xdr:rowOff>0</xdr:rowOff>
        </xdr:to>
        <xdr:sp macro="" textlink="">
          <xdr:nvSpPr>
            <xdr:cNvPr id="10303" name="Spinner 63" hidden="1">
              <a:extLst>
                <a:ext uri="{63B3BB69-23CF-44E3-9099-C40C66FF867C}">
                  <a14:compatExt spid="_x0000_s10303"/>
                </a:ext>
                <a:ext uri="{FF2B5EF4-FFF2-40B4-BE49-F238E27FC236}">
                  <a16:creationId xmlns:a16="http://schemas.microsoft.com/office/drawing/2014/main" id="{00000000-0008-0000-1200-00003F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0304" name="Spinner 64" hidden="1">
              <a:extLst>
                <a:ext uri="{63B3BB69-23CF-44E3-9099-C40C66FF867C}">
                  <a14:compatExt spid="_x0000_s10304"/>
                </a:ext>
                <a:ext uri="{FF2B5EF4-FFF2-40B4-BE49-F238E27FC236}">
                  <a16:creationId xmlns:a16="http://schemas.microsoft.com/office/drawing/2014/main" id="{00000000-0008-0000-1200-000040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520700</xdr:colOff>
          <xdr:row>0</xdr:row>
          <xdr:rowOff>0</xdr:rowOff>
        </xdr:from>
        <xdr:to>
          <xdr:col>6</xdr:col>
          <xdr:colOff>723900</xdr:colOff>
          <xdr:row>0</xdr:row>
          <xdr:rowOff>0</xdr:rowOff>
        </xdr:to>
        <xdr:sp macro="" textlink="">
          <xdr:nvSpPr>
            <xdr:cNvPr id="10305" name="Spinner 65" hidden="1">
              <a:extLst>
                <a:ext uri="{63B3BB69-23CF-44E3-9099-C40C66FF867C}">
                  <a14:compatExt spid="_x0000_s10305"/>
                </a:ext>
                <a:ext uri="{FF2B5EF4-FFF2-40B4-BE49-F238E27FC236}">
                  <a16:creationId xmlns:a16="http://schemas.microsoft.com/office/drawing/2014/main" id="{00000000-0008-0000-1200-00004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457200</xdr:colOff>
          <xdr:row>0</xdr:row>
          <xdr:rowOff>0</xdr:rowOff>
        </xdr:from>
        <xdr:to>
          <xdr:col>10</xdr:col>
          <xdr:colOff>660400</xdr:colOff>
          <xdr:row>0</xdr:row>
          <xdr:rowOff>0</xdr:rowOff>
        </xdr:to>
        <xdr:sp macro="" textlink="">
          <xdr:nvSpPr>
            <xdr:cNvPr id="10306" name="Spinner 66" hidden="1">
              <a:extLst>
                <a:ext uri="{63B3BB69-23CF-44E3-9099-C40C66FF867C}">
                  <a14:compatExt spid="_x0000_s10306"/>
                </a:ext>
                <a:ext uri="{FF2B5EF4-FFF2-40B4-BE49-F238E27FC236}">
                  <a16:creationId xmlns:a16="http://schemas.microsoft.com/office/drawing/2014/main" id="{00000000-0008-0000-1200-000042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0</xdr:row>
          <xdr:rowOff>0</xdr:rowOff>
        </xdr:from>
        <xdr:to>
          <xdr:col>8</xdr:col>
          <xdr:colOff>736600</xdr:colOff>
          <xdr:row>0</xdr:row>
          <xdr:rowOff>0</xdr:rowOff>
        </xdr:to>
        <xdr:sp macro="" textlink="">
          <xdr:nvSpPr>
            <xdr:cNvPr id="10307" name="Spinner 67" hidden="1">
              <a:extLst>
                <a:ext uri="{63B3BB69-23CF-44E3-9099-C40C66FF867C}">
                  <a14:compatExt spid="_x0000_s10307"/>
                </a:ext>
                <a:ext uri="{FF2B5EF4-FFF2-40B4-BE49-F238E27FC236}">
                  <a16:creationId xmlns:a16="http://schemas.microsoft.com/office/drawing/2014/main" id="{00000000-0008-0000-1200-000043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0</xdr:row>
          <xdr:rowOff>0</xdr:rowOff>
        </xdr:from>
        <xdr:to>
          <xdr:col>9</xdr:col>
          <xdr:colOff>698500</xdr:colOff>
          <xdr:row>0</xdr:row>
          <xdr:rowOff>0</xdr:rowOff>
        </xdr:to>
        <xdr:sp macro="" textlink="">
          <xdr:nvSpPr>
            <xdr:cNvPr id="10308" name="Spinner 68" hidden="1">
              <a:extLst>
                <a:ext uri="{63B3BB69-23CF-44E3-9099-C40C66FF867C}">
                  <a14:compatExt spid="_x0000_s10308"/>
                </a:ext>
                <a:ext uri="{FF2B5EF4-FFF2-40B4-BE49-F238E27FC236}">
                  <a16:creationId xmlns:a16="http://schemas.microsoft.com/office/drawing/2014/main" id="{00000000-0008-0000-1200-000044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127000</xdr:colOff>
          <xdr:row>1</xdr:row>
          <xdr:rowOff>228600</xdr:rowOff>
        </xdr:from>
        <xdr:to>
          <xdr:col>5</xdr:col>
          <xdr:colOff>876300</xdr:colOff>
          <xdr:row>3</xdr:row>
          <xdr:rowOff>0</xdr:rowOff>
        </xdr:to>
        <xdr:sp macro="" textlink="">
          <xdr:nvSpPr>
            <xdr:cNvPr id="10399" name="Drop Down 159" hidden="1">
              <a:extLst>
                <a:ext uri="{63B3BB69-23CF-44E3-9099-C40C66FF867C}">
                  <a14:compatExt spid="_x0000_s10399"/>
                </a:ext>
                <a:ext uri="{FF2B5EF4-FFF2-40B4-BE49-F238E27FC236}">
                  <a16:creationId xmlns:a16="http://schemas.microsoft.com/office/drawing/2014/main" id="{00000000-0008-0000-1200-00009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21</xdr:row>
          <xdr:rowOff>76200</xdr:rowOff>
        </xdr:from>
        <xdr:to>
          <xdr:col>7</xdr:col>
          <xdr:colOff>685800</xdr:colOff>
          <xdr:row>23</xdr:row>
          <xdr:rowOff>101600</xdr:rowOff>
        </xdr:to>
        <xdr:sp macro="" textlink="">
          <xdr:nvSpPr>
            <xdr:cNvPr id="10400" name="Spinner 160" hidden="1">
              <a:extLst>
                <a:ext uri="{63B3BB69-23CF-44E3-9099-C40C66FF867C}">
                  <a14:compatExt spid="_x0000_s10400"/>
                </a:ext>
                <a:ext uri="{FF2B5EF4-FFF2-40B4-BE49-F238E27FC236}">
                  <a16:creationId xmlns:a16="http://schemas.microsoft.com/office/drawing/2014/main" id="{00000000-0008-0000-1200-0000A0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520700</xdr:colOff>
          <xdr:row>21</xdr:row>
          <xdr:rowOff>63500</xdr:rowOff>
        </xdr:from>
        <xdr:to>
          <xdr:col>8</xdr:col>
          <xdr:colOff>723900</xdr:colOff>
          <xdr:row>23</xdr:row>
          <xdr:rowOff>88900</xdr:rowOff>
        </xdr:to>
        <xdr:sp macro="" textlink="">
          <xdr:nvSpPr>
            <xdr:cNvPr id="10401" name="Spinner 161" hidden="1">
              <a:extLst>
                <a:ext uri="{63B3BB69-23CF-44E3-9099-C40C66FF867C}">
                  <a14:compatExt spid="_x0000_s10401"/>
                </a:ext>
                <a:ext uri="{FF2B5EF4-FFF2-40B4-BE49-F238E27FC236}">
                  <a16:creationId xmlns:a16="http://schemas.microsoft.com/office/drawing/2014/main" id="{00000000-0008-0000-1200-0000A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21</xdr:row>
          <xdr:rowOff>63500</xdr:rowOff>
        </xdr:from>
        <xdr:to>
          <xdr:col>5</xdr:col>
          <xdr:colOff>736600</xdr:colOff>
          <xdr:row>23</xdr:row>
          <xdr:rowOff>88900</xdr:rowOff>
        </xdr:to>
        <xdr:sp macro="" textlink="">
          <xdr:nvSpPr>
            <xdr:cNvPr id="10402" name="Spinner 162" hidden="1">
              <a:extLst>
                <a:ext uri="{63B3BB69-23CF-44E3-9099-C40C66FF867C}">
                  <a14:compatExt spid="_x0000_s10402"/>
                </a:ext>
                <a:ext uri="{FF2B5EF4-FFF2-40B4-BE49-F238E27FC236}">
                  <a16:creationId xmlns:a16="http://schemas.microsoft.com/office/drawing/2014/main" id="{00000000-0008-0000-1200-0000A2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21</xdr:row>
          <xdr:rowOff>50800</xdr:rowOff>
        </xdr:from>
        <xdr:to>
          <xdr:col>3</xdr:col>
          <xdr:colOff>736600</xdr:colOff>
          <xdr:row>23</xdr:row>
          <xdr:rowOff>101600</xdr:rowOff>
        </xdr:to>
        <xdr:sp macro="" textlink="">
          <xdr:nvSpPr>
            <xdr:cNvPr id="10403" name="Spinner 163" hidden="1">
              <a:extLst>
                <a:ext uri="{63B3BB69-23CF-44E3-9099-C40C66FF867C}">
                  <a14:compatExt spid="_x0000_s10403"/>
                </a:ext>
                <a:ext uri="{FF2B5EF4-FFF2-40B4-BE49-F238E27FC236}">
                  <a16:creationId xmlns:a16="http://schemas.microsoft.com/office/drawing/2014/main" id="{00000000-0008-0000-1200-0000A3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21</xdr:row>
          <xdr:rowOff>25400</xdr:rowOff>
        </xdr:from>
        <xdr:to>
          <xdr:col>4</xdr:col>
          <xdr:colOff>711200</xdr:colOff>
          <xdr:row>23</xdr:row>
          <xdr:rowOff>76200</xdr:rowOff>
        </xdr:to>
        <xdr:sp macro="" textlink="">
          <xdr:nvSpPr>
            <xdr:cNvPr id="10404" name="Spinner 164" hidden="1">
              <a:extLst>
                <a:ext uri="{63B3BB69-23CF-44E3-9099-C40C66FF867C}">
                  <a14:compatExt spid="_x0000_s10404"/>
                </a:ext>
                <a:ext uri="{FF2B5EF4-FFF2-40B4-BE49-F238E27FC236}">
                  <a16:creationId xmlns:a16="http://schemas.microsoft.com/office/drawing/2014/main" id="{00000000-0008-0000-1200-0000A4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533400</xdr:colOff>
          <xdr:row>21</xdr:row>
          <xdr:rowOff>50800</xdr:rowOff>
        </xdr:from>
        <xdr:to>
          <xdr:col>6</xdr:col>
          <xdr:colOff>736600</xdr:colOff>
          <xdr:row>23</xdr:row>
          <xdr:rowOff>101600</xdr:rowOff>
        </xdr:to>
        <xdr:sp macro="" textlink="">
          <xdr:nvSpPr>
            <xdr:cNvPr id="10405" name="Spinner 165" hidden="1">
              <a:extLst>
                <a:ext uri="{63B3BB69-23CF-44E3-9099-C40C66FF867C}">
                  <a14:compatExt spid="_x0000_s10405"/>
                </a:ext>
                <a:ext uri="{FF2B5EF4-FFF2-40B4-BE49-F238E27FC236}">
                  <a16:creationId xmlns:a16="http://schemas.microsoft.com/office/drawing/2014/main" id="{00000000-0008-0000-1200-0000A5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19</xdr:row>
          <xdr:rowOff>25400</xdr:rowOff>
        </xdr:from>
        <xdr:to>
          <xdr:col>3</xdr:col>
          <xdr:colOff>863600</xdr:colOff>
          <xdr:row>20</xdr:row>
          <xdr:rowOff>50800</xdr:rowOff>
        </xdr:to>
        <xdr:sp macro="" textlink="">
          <xdr:nvSpPr>
            <xdr:cNvPr id="10406" name="Drop Down 166" hidden="1">
              <a:extLst>
                <a:ext uri="{63B3BB69-23CF-44E3-9099-C40C66FF867C}">
                  <a14:compatExt spid="_x0000_s10406"/>
                </a:ext>
                <a:ext uri="{FF2B5EF4-FFF2-40B4-BE49-F238E27FC236}">
                  <a16:creationId xmlns:a16="http://schemas.microsoft.com/office/drawing/2014/main" id="{00000000-0008-0000-1200-0000A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19</xdr:row>
          <xdr:rowOff>25400</xdr:rowOff>
        </xdr:from>
        <xdr:to>
          <xdr:col>4</xdr:col>
          <xdr:colOff>863600</xdr:colOff>
          <xdr:row>20</xdr:row>
          <xdr:rowOff>50800</xdr:rowOff>
        </xdr:to>
        <xdr:sp macro="" textlink="">
          <xdr:nvSpPr>
            <xdr:cNvPr id="10407" name="Drop Down 167" hidden="1">
              <a:extLst>
                <a:ext uri="{63B3BB69-23CF-44E3-9099-C40C66FF867C}">
                  <a14:compatExt spid="_x0000_s10407"/>
                </a:ext>
                <a:ext uri="{FF2B5EF4-FFF2-40B4-BE49-F238E27FC236}">
                  <a16:creationId xmlns:a16="http://schemas.microsoft.com/office/drawing/2014/main" id="{00000000-0008-0000-1200-0000A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19</xdr:row>
          <xdr:rowOff>25400</xdr:rowOff>
        </xdr:from>
        <xdr:to>
          <xdr:col>5</xdr:col>
          <xdr:colOff>863600</xdr:colOff>
          <xdr:row>20</xdr:row>
          <xdr:rowOff>50800</xdr:rowOff>
        </xdr:to>
        <xdr:sp macro="" textlink="">
          <xdr:nvSpPr>
            <xdr:cNvPr id="10408" name="Drop Down 168" hidden="1">
              <a:extLst>
                <a:ext uri="{63B3BB69-23CF-44E3-9099-C40C66FF867C}">
                  <a14:compatExt spid="_x0000_s10408"/>
                </a:ext>
                <a:ext uri="{FF2B5EF4-FFF2-40B4-BE49-F238E27FC236}">
                  <a16:creationId xmlns:a16="http://schemas.microsoft.com/office/drawing/2014/main" id="{00000000-0008-0000-1200-0000A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19</xdr:row>
          <xdr:rowOff>25400</xdr:rowOff>
        </xdr:from>
        <xdr:to>
          <xdr:col>6</xdr:col>
          <xdr:colOff>863600</xdr:colOff>
          <xdr:row>20</xdr:row>
          <xdr:rowOff>50800</xdr:rowOff>
        </xdr:to>
        <xdr:sp macro="" textlink="">
          <xdr:nvSpPr>
            <xdr:cNvPr id="10409" name="Drop Down 169" hidden="1">
              <a:extLst>
                <a:ext uri="{63B3BB69-23CF-44E3-9099-C40C66FF867C}">
                  <a14:compatExt spid="_x0000_s10409"/>
                </a:ext>
                <a:ext uri="{FF2B5EF4-FFF2-40B4-BE49-F238E27FC236}">
                  <a16:creationId xmlns:a16="http://schemas.microsoft.com/office/drawing/2014/main" id="{00000000-0008-0000-1200-0000A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19</xdr:row>
          <xdr:rowOff>25400</xdr:rowOff>
        </xdr:from>
        <xdr:to>
          <xdr:col>7</xdr:col>
          <xdr:colOff>863600</xdr:colOff>
          <xdr:row>20</xdr:row>
          <xdr:rowOff>50800</xdr:rowOff>
        </xdr:to>
        <xdr:sp macro="" textlink="">
          <xdr:nvSpPr>
            <xdr:cNvPr id="10410" name="Drop Down 170" hidden="1">
              <a:extLst>
                <a:ext uri="{63B3BB69-23CF-44E3-9099-C40C66FF867C}">
                  <a14:compatExt spid="_x0000_s10410"/>
                </a:ext>
                <a:ext uri="{FF2B5EF4-FFF2-40B4-BE49-F238E27FC236}">
                  <a16:creationId xmlns:a16="http://schemas.microsoft.com/office/drawing/2014/main" id="{00000000-0008-0000-1200-0000A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19</xdr:row>
          <xdr:rowOff>25400</xdr:rowOff>
        </xdr:from>
        <xdr:to>
          <xdr:col>8</xdr:col>
          <xdr:colOff>863600</xdr:colOff>
          <xdr:row>20</xdr:row>
          <xdr:rowOff>50800</xdr:rowOff>
        </xdr:to>
        <xdr:sp macro="" textlink="">
          <xdr:nvSpPr>
            <xdr:cNvPr id="10411" name="Drop Down 171" hidden="1">
              <a:extLst>
                <a:ext uri="{63B3BB69-23CF-44E3-9099-C40C66FF867C}">
                  <a14:compatExt spid="_x0000_s10411"/>
                </a:ext>
                <a:ext uri="{FF2B5EF4-FFF2-40B4-BE49-F238E27FC236}">
                  <a16:creationId xmlns:a16="http://schemas.microsoft.com/office/drawing/2014/main" id="{00000000-0008-0000-1200-0000A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219075</xdr:colOff>
      <xdr:row>3</xdr:row>
      <xdr:rowOff>133350</xdr:rowOff>
    </xdr:from>
    <xdr:to>
      <xdr:col>12</xdr:col>
      <xdr:colOff>971550</xdr:colOff>
      <xdr:row>18</xdr:row>
      <xdr:rowOff>43701</xdr:rowOff>
    </xdr:to>
    <xdr:graphicFrame macro="">
      <xdr:nvGraphicFramePr>
        <xdr:cNvPr id="8" name="Chart 7">
          <a:extLst>
            <a:ext uri="{FF2B5EF4-FFF2-40B4-BE49-F238E27FC236}">
              <a16:creationId xmlns:a16="http://schemas.microsoft.com/office/drawing/2014/main" id="{00000000-0008-0000-1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29</xdr:row>
      <xdr:rowOff>133350</xdr:rowOff>
    </xdr:from>
    <xdr:to>
      <xdr:col>12</xdr:col>
      <xdr:colOff>971550</xdr:colOff>
      <xdr:row>44</xdr:row>
      <xdr:rowOff>28575</xdr:rowOff>
    </xdr:to>
    <xdr:graphicFrame macro="">
      <xdr:nvGraphicFramePr>
        <xdr:cNvPr id="9" name="Chart 8">
          <a:extLst>
            <a:ext uri="{FF2B5EF4-FFF2-40B4-BE49-F238E27FC236}">
              <a16:creationId xmlns:a16="http://schemas.microsoft.com/office/drawing/2014/main" id="{00000000-0008-0000-1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533400</xdr:colOff>
          <xdr:row>60</xdr:row>
          <xdr:rowOff>0</xdr:rowOff>
        </xdr:from>
        <xdr:to>
          <xdr:col>5</xdr:col>
          <xdr:colOff>736600</xdr:colOff>
          <xdr:row>60</xdr:row>
          <xdr:rowOff>0</xdr:rowOff>
        </xdr:to>
        <xdr:sp macro="" textlink="">
          <xdr:nvSpPr>
            <xdr:cNvPr id="18433" name="Spinner 1" hidden="1">
              <a:extLst>
                <a:ext uri="{63B3BB69-23CF-44E3-9099-C40C66FF867C}">
                  <a14:compatExt spid="_x0000_s18433"/>
                </a:ext>
                <a:ext uri="{FF2B5EF4-FFF2-40B4-BE49-F238E27FC236}">
                  <a16:creationId xmlns:a16="http://schemas.microsoft.com/office/drawing/2014/main" id="{00000000-0008-0000-1300-000001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482600</xdr:colOff>
          <xdr:row>60</xdr:row>
          <xdr:rowOff>0</xdr:rowOff>
        </xdr:from>
        <xdr:to>
          <xdr:col>11</xdr:col>
          <xdr:colOff>685800</xdr:colOff>
          <xdr:row>60</xdr:row>
          <xdr:rowOff>0</xdr:rowOff>
        </xdr:to>
        <xdr:sp macro="" textlink="">
          <xdr:nvSpPr>
            <xdr:cNvPr id="18434" name="Spinner 2" hidden="1">
              <a:extLst>
                <a:ext uri="{63B3BB69-23CF-44E3-9099-C40C66FF867C}">
                  <a14:compatExt spid="_x0000_s18434"/>
                </a:ext>
                <a:ext uri="{FF2B5EF4-FFF2-40B4-BE49-F238E27FC236}">
                  <a16:creationId xmlns:a16="http://schemas.microsoft.com/office/drawing/2014/main" id="{00000000-0008-0000-1300-000002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60</xdr:row>
          <xdr:rowOff>0</xdr:rowOff>
        </xdr:from>
        <xdr:to>
          <xdr:col>12</xdr:col>
          <xdr:colOff>774700</xdr:colOff>
          <xdr:row>60</xdr:row>
          <xdr:rowOff>0</xdr:rowOff>
        </xdr:to>
        <xdr:sp macro="" textlink="">
          <xdr:nvSpPr>
            <xdr:cNvPr id="18435" name="Spinner 3" hidden="1">
              <a:extLst>
                <a:ext uri="{63B3BB69-23CF-44E3-9099-C40C66FF867C}">
                  <a14:compatExt spid="_x0000_s18435"/>
                </a:ext>
                <a:ext uri="{FF2B5EF4-FFF2-40B4-BE49-F238E27FC236}">
                  <a16:creationId xmlns:a16="http://schemas.microsoft.com/office/drawing/2014/main" id="{00000000-0008-0000-1300-000003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60</xdr:row>
          <xdr:rowOff>0</xdr:rowOff>
        </xdr:from>
        <xdr:to>
          <xdr:col>7</xdr:col>
          <xdr:colOff>660400</xdr:colOff>
          <xdr:row>60</xdr:row>
          <xdr:rowOff>0</xdr:rowOff>
        </xdr:to>
        <xdr:sp macro="" textlink="">
          <xdr:nvSpPr>
            <xdr:cNvPr id="18436" name="Spinner 4" hidden="1">
              <a:extLst>
                <a:ext uri="{63B3BB69-23CF-44E3-9099-C40C66FF867C}">
                  <a14:compatExt spid="_x0000_s18436"/>
                </a:ext>
                <a:ext uri="{FF2B5EF4-FFF2-40B4-BE49-F238E27FC236}">
                  <a16:creationId xmlns:a16="http://schemas.microsoft.com/office/drawing/2014/main" id="{00000000-0008-0000-1300-000004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60</xdr:row>
          <xdr:rowOff>0</xdr:rowOff>
        </xdr:from>
        <xdr:to>
          <xdr:col>3</xdr:col>
          <xdr:colOff>812800</xdr:colOff>
          <xdr:row>60</xdr:row>
          <xdr:rowOff>0</xdr:rowOff>
        </xdr:to>
        <xdr:sp macro="" textlink="">
          <xdr:nvSpPr>
            <xdr:cNvPr id="18437" name="Spinner 5"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60</xdr:row>
          <xdr:rowOff>0</xdr:rowOff>
        </xdr:from>
        <xdr:to>
          <xdr:col>4</xdr:col>
          <xdr:colOff>711200</xdr:colOff>
          <xdr:row>60</xdr:row>
          <xdr:rowOff>0</xdr:rowOff>
        </xdr:to>
        <xdr:sp macro="" textlink="">
          <xdr:nvSpPr>
            <xdr:cNvPr id="18438" name="Spinner 6"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520700</xdr:colOff>
          <xdr:row>60</xdr:row>
          <xdr:rowOff>0</xdr:rowOff>
        </xdr:from>
        <xdr:to>
          <xdr:col>6</xdr:col>
          <xdr:colOff>723900</xdr:colOff>
          <xdr:row>60</xdr:row>
          <xdr:rowOff>0</xdr:rowOff>
        </xdr:to>
        <xdr:sp macro="" textlink="">
          <xdr:nvSpPr>
            <xdr:cNvPr id="18439" name="Spinner 7" hidden="1">
              <a:extLst>
                <a:ext uri="{63B3BB69-23CF-44E3-9099-C40C66FF867C}">
                  <a14:compatExt spid="_x0000_s18439"/>
                </a:ext>
                <a:ext uri="{FF2B5EF4-FFF2-40B4-BE49-F238E27FC236}">
                  <a16:creationId xmlns:a16="http://schemas.microsoft.com/office/drawing/2014/main" id="{00000000-0008-0000-1300-000007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457200</xdr:colOff>
          <xdr:row>60</xdr:row>
          <xdr:rowOff>0</xdr:rowOff>
        </xdr:from>
        <xdr:to>
          <xdr:col>10</xdr:col>
          <xdr:colOff>660400</xdr:colOff>
          <xdr:row>60</xdr:row>
          <xdr:rowOff>0</xdr:rowOff>
        </xdr:to>
        <xdr:sp macro="" textlink="">
          <xdr:nvSpPr>
            <xdr:cNvPr id="18440" name="Spinner 8" hidden="1">
              <a:extLst>
                <a:ext uri="{63B3BB69-23CF-44E3-9099-C40C66FF867C}">
                  <a14:compatExt spid="_x0000_s18440"/>
                </a:ext>
                <a:ext uri="{FF2B5EF4-FFF2-40B4-BE49-F238E27FC236}">
                  <a16:creationId xmlns:a16="http://schemas.microsoft.com/office/drawing/2014/main" id="{00000000-0008-0000-1300-000008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60</xdr:row>
          <xdr:rowOff>0</xdr:rowOff>
        </xdr:from>
        <xdr:to>
          <xdr:col>8</xdr:col>
          <xdr:colOff>736600</xdr:colOff>
          <xdr:row>60</xdr:row>
          <xdr:rowOff>0</xdr:rowOff>
        </xdr:to>
        <xdr:sp macro="" textlink="">
          <xdr:nvSpPr>
            <xdr:cNvPr id="18441" name="Spinner 9" hidden="1">
              <a:extLst>
                <a:ext uri="{63B3BB69-23CF-44E3-9099-C40C66FF867C}">
                  <a14:compatExt spid="_x0000_s18441"/>
                </a:ext>
                <a:ext uri="{FF2B5EF4-FFF2-40B4-BE49-F238E27FC236}">
                  <a16:creationId xmlns:a16="http://schemas.microsoft.com/office/drawing/2014/main" id="{00000000-0008-0000-1300-000009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60</xdr:row>
          <xdr:rowOff>0</xdr:rowOff>
        </xdr:from>
        <xdr:to>
          <xdr:col>9</xdr:col>
          <xdr:colOff>698500</xdr:colOff>
          <xdr:row>60</xdr:row>
          <xdr:rowOff>0</xdr:rowOff>
        </xdr:to>
        <xdr:sp macro="" textlink="">
          <xdr:nvSpPr>
            <xdr:cNvPr id="18442" name="Spinner 10" hidden="1">
              <a:extLst>
                <a:ext uri="{63B3BB69-23CF-44E3-9099-C40C66FF867C}">
                  <a14:compatExt spid="_x0000_s18442"/>
                </a:ext>
                <a:ext uri="{FF2B5EF4-FFF2-40B4-BE49-F238E27FC236}">
                  <a16:creationId xmlns:a16="http://schemas.microsoft.com/office/drawing/2014/main" id="{00000000-0008-0000-1300-00000A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8444" name="Spinner 12" hidden="1">
              <a:extLst>
                <a:ext uri="{63B3BB69-23CF-44E3-9099-C40C66FF867C}">
                  <a14:compatExt spid="_x0000_s18444"/>
                </a:ext>
                <a:ext uri="{FF2B5EF4-FFF2-40B4-BE49-F238E27FC236}">
                  <a16:creationId xmlns:a16="http://schemas.microsoft.com/office/drawing/2014/main" id="{00000000-0008-0000-1300-00000C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520700</xdr:colOff>
          <xdr:row>0</xdr:row>
          <xdr:rowOff>0</xdr:rowOff>
        </xdr:from>
        <xdr:to>
          <xdr:col>8</xdr:col>
          <xdr:colOff>723900</xdr:colOff>
          <xdr:row>0</xdr:row>
          <xdr:rowOff>0</xdr:rowOff>
        </xdr:to>
        <xdr:sp macro="" textlink="">
          <xdr:nvSpPr>
            <xdr:cNvPr id="18445" name="Spinner 13" hidden="1">
              <a:extLst>
                <a:ext uri="{63B3BB69-23CF-44E3-9099-C40C66FF867C}">
                  <a14:compatExt spid="_x0000_s18445"/>
                </a:ext>
                <a:ext uri="{FF2B5EF4-FFF2-40B4-BE49-F238E27FC236}">
                  <a16:creationId xmlns:a16="http://schemas.microsoft.com/office/drawing/2014/main" id="{00000000-0008-0000-1300-00000D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0</xdr:row>
          <xdr:rowOff>0</xdr:rowOff>
        </xdr:from>
        <xdr:to>
          <xdr:col>5</xdr:col>
          <xdr:colOff>736600</xdr:colOff>
          <xdr:row>0</xdr:row>
          <xdr:rowOff>0</xdr:rowOff>
        </xdr:to>
        <xdr:sp macro="" textlink="">
          <xdr:nvSpPr>
            <xdr:cNvPr id="18446" name="Spinner 14" hidden="1">
              <a:extLst>
                <a:ext uri="{63B3BB69-23CF-44E3-9099-C40C66FF867C}">
                  <a14:compatExt spid="_x0000_s18446"/>
                </a:ext>
                <a:ext uri="{FF2B5EF4-FFF2-40B4-BE49-F238E27FC236}">
                  <a16:creationId xmlns:a16="http://schemas.microsoft.com/office/drawing/2014/main" id="{00000000-0008-0000-1300-00000E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0</xdr:row>
          <xdr:rowOff>0</xdr:rowOff>
        </xdr:from>
        <xdr:to>
          <xdr:col>3</xdr:col>
          <xdr:colOff>736600</xdr:colOff>
          <xdr:row>0</xdr:row>
          <xdr:rowOff>0</xdr:rowOff>
        </xdr:to>
        <xdr:sp macro="" textlink="">
          <xdr:nvSpPr>
            <xdr:cNvPr id="18447" name="Spinner 15" hidden="1">
              <a:extLst>
                <a:ext uri="{63B3BB69-23CF-44E3-9099-C40C66FF867C}">
                  <a14:compatExt spid="_x0000_s18447"/>
                </a:ext>
                <a:ext uri="{FF2B5EF4-FFF2-40B4-BE49-F238E27FC236}">
                  <a16:creationId xmlns:a16="http://schemas.microsoft.com/office/drawing/2014/main" id="{00000000-0008-0000-1300-00000F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8448" name="Spinner 16" hidden="1">
              <a:extLst>
                <a:ext uri="{63B3BB69-23CF-44E3-9099-C40C66FF867C}">
                  <a14:compatExt spid="_x0000_s18448"/>
                </a:ext>
                <a:ext uri="{FF2B5EF4-FFF2-40B4-BE49-F238E27FC236}">
                  <a16:creationId xmlns:a16="http://schemas.microsoft.com/office/drawing/2014/main" id="{00000000-0008-0000-1300-000010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533400</xdr:colOff>
          <xdr:row>0</xdr:row>
          <xdr:rowOff>0</xdr:rowOff>
        </xdr:from>
        <xdr:to>
          <xdr:col>6</xdr:col>
          <xdr:colOff>736600</xdr:colOff>
          <xdr:row>0</xdr:row>
          <xdr:rowOff>0</xdr:rowOff>
        </xdr:to>
        <xdr:sp macro="" textlink="">
          <xdr:nvSpPr>
            <xdr:cNvPr id="18449" name="Spinner 17" hidden="1">
              <a:extLst>
                <a:ext uri="{63B3BB69-23CF-44E3-9099-C40C66FF867C}">
                  <a14:compatExt spid="_x0000_s18449"/>
                </a:ext>
                <a:ext uri="{FF2B5EF4-FFF2-40B4-BE49-F238E27FC236}">
                  <a16:creationId xmlns:a16="http://schemas.microsoft.com/office/drawing/2014/main" id="{00000000-0008-0000-1300-000011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8457" name="Spinner 25" hidden="1">
              <a:extLst>
                <a:ext uri="{63B3BB69-23CF-44E3-9099-C40C66FF867C}">
                  <a14:compatExt spid="_x0000_s18457"/>
                </a:ext>
                <a:ext uri="{FF2B5EF4-FFF2-40B4-BE49-F238E27FC236}">
                  <a16:creationId xmlns:a16="http://schemas.microsoft.com/office/drawing/2014/main" id="{00000000-0008-0000-1300-000019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0</xdr:row>
          <xdr:rowOff>0</xdr:rowOff>
        </xdr:from>
        <xdr:to>
          <xdr:col>8</xdr:col>
          <xdr:colOff>736600</xdr:colOff>
          <xdr:row>0</xdr:row>
          <xdr:rowOff>0</xdr:rowOff>
        </xdr:to>
        <xdr:sp macro="" textlink="">
          <xdr:nvSpPr>
            <xdr:cNvPr id="18458" name="Spinner 26" hidden="1">
              <a:extLst>
                <a:ext uri="{63B3BB69-23CF-44E3-9099-C40C66FF867C}">
                  <a14:compatExt spid="_x0000_s18458"/>
                </a:ext>
                <a:ext uri="{FF2B5EF4-FFF2-40B4-BE49-F238E27FC236}">
                  <a16:creationId xmlns:a16="http://schemas.microsoft.com/office/drawing/2014/main" id="{00000000-0008-0000-1300-00001A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546100</xdr:colOff>
          <xdr:row>0</xdr:row>
          <xdr:rowOff>0</xdr:rowOff>
        </xdr:from>
        <xdr:to>
          <xdr:col>5</xdr:col>
          <xdr:colOff>749300</xdr:colOff>
          <xdr:row>0</xdr:row>
          <xdr:rowOff>0</xdr:rowOff>
        </xdr:to>
        <xdr:sp macro="" textlink="">
          <xdr:nvSpPr>
            <xdr:cNvPr id="18459" name="Spinner 27" hidden="1">
              <a:extLst>
                <a:ext uri="{63B3BB69-23CF-44E3-9099-C40C66FF867C}">
                  <a14:compatExt spid="_x0000_s18459"/>
                </a:ext>
                <a:ext uri="{FF2B5EF4-FFF2-40B4-BE49-F238E27FC236}">
                  <a16:creationId xmlns:a16="http://schemas.microsoft.com/office/drawing/2014/main" id="{00000000-0008-0000-1300-00001B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546100</xdr:colOff>
          <xdr:row>0</xdr:row>
          <xdr:rowOff>0</xdr:rowOff>
        </xdr:from>
        <xdr:to>
          <xdr:col>3</xdr:col>
          <xdr:colOff>749300</xdr:colOff>
          <xdr:row>0</xdr:row>
          <xdr:rowOff>0</xdr:rowOff>
        </xdr:to>
        <xdr:sp macro="" textlink="">
          <xdr:nvSpPr>
            <xdr:cNvPr id="18460" name="Spinner 28" hidden="1">
              <a:extLst>
                <a:ext uri="{63B3BB69-23CF-44E3-9099-C40C66FF867C}">
                  <a14:compatExt spid="_x0000_s18460"/>
                </a:ext>
                <a:ext uri="{FF2B5EF4-FFF2-40B4-BE49-F238E27FC236}">
                  <a16:creationId xmlns:a16="http://schemas.microsoft.com/office/drawing/2014/main" id="{00000000-0008-0000-1300-00001C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8461" name="Spinner 29" hidden="1">
              <a:extLst>
                <a:ext uri="{63B3BB69-23CF-44E3-9099-C40C66FF867C}">
                  <a14:compatExt spid="_x0000_s18461"/>
                </a:ext>
                <a:ext uri="{FF2B5EF4-FFF2-40B4-BE49-F238E27FC236}">
                  <a16:creationId xmlns:a16="http://schemas.microsoft.com/office/drawing/2014/main" id="{00000000-0008-0000-1300-00001D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508000</xdr:colOff>
          <xdr:row>0</xdr:row>
          <xdr:rowOff>0</xdr:rowOff>
        </xdr:from>
        <xdr:to>
          <xdr:col>6</xdr:col>
          <xdr:colOff>711200</xdr:colOff>
          <xdr:row>0</xdr:row>
          <xdr:rowOff>0</xdr:rowOff>
        </xdr:to>
        <xdr:sp macro="" textlink="">
          <xdr:nvSpPr>
            <xdr:cNvPr id="18462" name="Spinner 30" hidden="1">
              <a:extLst>
                <a:ext uri="{63B3BB69-23CF-44E3-9099-C40C66FF867C}">
                  <a14:compatExt spid="_x0000_s18462"/>
                </a:ext>
                <a:ext uri="{FF2B5EF4-FFF2-40B4-BE49-F238E27FC236}">
                  <a16:creationId xmlns:a16="http://schemas.microsoft.com/office/drawing/2014/main" id="{00000000-0008-0000-1300-00001E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8470" name="Spinner 38" hidden="1">
              <a:extLst>
                <a:ext uri="{63B3BB69-23CF-44E3-9099-C40C66FF867C}">
                  <a14:compatExt spid="_x0000_s18470"/>
                </a:ext>
                <a:ext uri="{FF2B5EF4-FFF2-40B4-BE49-F238E27FC236}">
                  <a16:creationId xmlns:a16="http://schemas.microsoft.com/office/drawing/2014/main" id="{00000000-0008-0000-1300-000026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520700</xdr:colOff>
          <xdr:row>0</xdr:row>
          <xdr:rowOff>0</xdr:rowOff>
        </xdr:from>
        <xdr:to>
          <xdr:col>8</xdr:col>
          <xdr:colOff>723900</xdr:colOff>
          <xdr:row>0</xdr:row>
          <xdr:rowOff>0</xdr:rowOff>
        </xdr:to>
        <xdr:sp macro="" textlink="">
          <xdr:nvSpPr>
            <xdr:cNvPr id="18471" name="Spinner 39" hidden="1">
              <a:extLst>
                <a:ext uri="{63B3BB69-23CF-44E3-9099-C40C66FF867C}">
                  <a14:compatExt spid="_x0000_s18471"/>
                </a:ext>
                <a:ext uri="{FF2B5EF4-FFF2-40B4-BE49-F238E27FC236}">
                  <a16:creationId xmlns:a16="http://schemas.microsoft.com/office/drawing/2014/main" id="{00000000-0008-0000-1300-000027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0</xdr:row>
          <xdr:rowOff>0</xdr:rowOff>
        </xdr:from>
        <xdr:to>
          <xdr:col>5</xdr:col>
          <xdr:colOff>736600</xdr:colOff>
          <xdr:row>0</xdr:row>
          <xdr:rowOff>0</xdr:rowOff>
        </xdr:to>
        <xdr:sp macro="" textlink="">
          <xdr:nvSpPr>
            <xdr:cNvPr id="18472" name="Spinner 40" hidden="1">
              <a:extLst>
                <a:ext uri="{63B3BB69-23CF-44E3-9099-C40C66FF867C}">
                  <a14:compatExt spid="_x0000_s18472"/>
                </a:ext>
                <a:ext uri="{FF2B5EF4-FFF2-40B4-BE49-F238E27FC236}">
                  <a16:creationId xmlns:a16="http://schemas.microsoft.com/office/drawing/2014/main" id="{00000000-0008-0000-1300-000028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0</xdr:row>
          <xdr:rowOff>0</xdr:rowOff>
        </xdr:from>
        <xdr:to>
          <xdr:col>3</xdr:col>
          <xdr:colOff>736600</xdr:colOff>
          <xdr:row>0</xdr:row>
          <xdr:rowOff>0</xdr:rowOff>
        </xdr:to>
        <xdr:sp macro="" textlink="">
          <xdr:nvSpPr>
            <xdr:cNvPr id="18473" name="Spinner 41" hidden="1">
              <a:extLst>
                <a:ext uri="{63B3BB69-23CF-44E3-9099-C40C66FF867C}">
                  <a14:compatExt spid="_x0000_s18473"/>
                </a:ext>
                <a:ext uri="{FF2B5EF4-FFF2-40B4-BE49-F238E27FC236}">
                  <a16:creationId xmlns:a16="http://schemas.microsoft.com/office/drawing/2014/main" id="{00000000-0008-0000-1300-000029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8474" name="Spinner 42" hidden="1">
              <a:extLst>
                <a:ext uri="{63B3BB69-23CF-44E3-9099-C40C66FF867C}">
                  <a14:compatExt spid="_x0000_s18474"/>
                </a:ext>
                <a:ext uri="{FF2B5EF4-FFF2-40B4-BE49-F238E27FC236}">
                  <a16:creationId xmlns:a16="http://schemas.microsoft.com/office/drawing/2014/main" id="{00000000-0008-0000-1300-00002A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533400</xdr:colOff>
          <xdr:row>0</xdr:row>
          <xdr:rowOff>0</xdr:rowOff>
        </xdr:from>
        <xdr:to>
          <xdr:col>6</xdr:col>
          <xdr:colOff>736600</xdr:colOff>
          <xdr:row>0</xdr:row>
          <xdr:rowOff>0</xdr:rowOff>
        </xdr:to>
        <xdr:sp macro="" textlink="">
          <xdr:nvSpPr>
            <xdr:cNvPr id="18475" name="Spinner 43" hidden="1">
              <a:extLst>
                <a:ext uri="{63B3BB69-23CF-44E3-9099-C40C66FF867C}">
                  <a14:compatExt spid="_x0000_s18475"/>
                </a:ext>
                <a:ext uri="{FF2B5EF4-FFF2-40B4-BE49-F238E27FC236}">
                  <a16:creationId xmlns:a16="http://schemas.microsoft.com/office/drawing/2014/main" id="{00000000-0008-0000-1300-00002B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xdr:row>
          <xdr:rowOff>25400</xdr:rowOff>
        </xdr:from>
        <xdr:to>
          <xdr:col>5</xdr:col>
          <xdr:colOff>863600</xdr:colOff>
          <xdr:row>2</xdr:row>
          <xdr:rowOff>304800</xdr:rowOff>
        </xdr:to>
        <xdr:sp macro="" textlink="">
          <xdr:nvSpPr>
            <xdr:cNvPr id="18482" name="Drop Down 50" hidden="1">
              <a:extLst>
                <a:ext uri="{63B3BB69-23CF-44E3-9099-C40C66FF867C}">
                  <a14:compatExt spid="_x0000_s18482"/>
                </a:ext>
                <a:ext uri="{FF2B5EF4-FFF2-40B4-BE49-F238E27FC236}">
                  <a16:creationId xmlns:a16="http://schemas.microsoft.com/office/drawing/2014/main" id="{00000000-0008-0000-1300-00003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21</xdr:row>
          <xdr:rowOff>76200</xdr:rowOff>
        </xdr:from>
        <xdr:to>
          <xdr:col>7</xdr:col>
          <xdr:colOff>685800</xdr:colOff>
          <xdr:row>23</xdr:row>
          <xdr:rowOff>101600</xdr:rowOff>
        </xdr:to>
        <xdr:sp macro="" textlink="">
          <xdr:nvSpPr>
            <xdr:cNvPr id="18483" name="Spinner 51" hidden="1">
              <a:extLst>
                <a:ext uri="{63B3BB69-23CF-44E3-9099-C40C66FF867C}">
                  <a14:compatExt spid="_x0000_s18483"/>
                </a:ext>
                <a:ext uri="{FF2B5EF4-FFF2-40B4-BE49-F238E27FC236}">
                  <a16:creationId xmlns:a16="http://schemas.microsoft.com/office/drawing/2014/main" id="{00000000-0008-0000-1300-000033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520700</xdr:colOff>
          <xdr:row>21</xdr:row>
          <xdr:rowOff>63500</xdr:rowOff>
        </xdr:from>
        <xdr:to>
          <xdr:col>8</xdr:col>
          <xdr:colOff>723900</xdr:colOff>
          <xdr:row>23</xdr:row>
          <xdr:rowOff>88900</xdr:rowOff>
        </xdr:to>
        <xdr:sp macro="" textlink="">
          <xdr:nvSpPr>
            <xdr:cNvPr id="18484" name="Spinner 52" hidden="1">
              <a:extLst>
                <a:ext uri="{63B3BB69-23CF-44E3-9099-C40C66FF867C}">
                  <a14:compatExt spid="_x0000_s18484"/>
                </a:ext>
                <a:ext uri="{FF2B5EF4-FFF2-40B4-BE49-F238E27FC236}">
                  <a16:creationId xmlns:a16="http://schemas.microsoft.com/office/drawing/2014/main" id="{00000000-0008-0000-1300-000034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21</xdr:row>
          <xdr:rowOff>63500</xdr:rowOff>
        </xdr:from>
        <xdr:to>
          <xdr:col>5</xdr:col>
          <xdr:colOff>736600</xdr:colOff>
          <xdr:row>23</xdr:row>
          <xdr:rowOff>88900</xdr:rowOff>
        </xdr:to>
        <xdr:sp macro="" textlink="">
          <xdr:nvSpPr>
            <xdr:cNvPr id="18485" name="Spinner 53" hidden="1">
              <a:extLst>
                <a:ext uri="{63B3BB69-23CF-44E3-9099-C40C66FF867C}">
                  <a14:compatExt spid="_x0000_s18485"/>
                </a:ext>
                <a:ext uri="{FF2B5EF4-FFF2-40B4-BE49-F238E27FC236}">
                  <a16:creationId xmlns:a16="http://schemas.microsoft.com/office/drawing/2014/main" id="{00000000-0008-0000-1300-000035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21</xdr:row>
          <xdr:rowOff>50800</xdr:rowOff>
        </xdr:from>
        <xdr:to>
          <xdr:col>3</xdr:col>
          <xdr:colOff>736600</xdr:colOff>
          <xdr:row>23</xdr:row>
          <xdr:rowOff>101600</xdr:rowOff>
        </xdr:to>
        <xdr:sp macro="" textlink="">
          <xdr:nvSpPr>
            <xdr:cNvPr id="18486" name="Spinner 54" hidden="1">
              <a:extLst>
                <a:ext uri="{63B3BB69-23CF-44E3-9099-C40C66FF867C}">
                  <a14:compatExt spid="_x0000_s18486"/>
                </a:ext>
                <a:ext uri="{FF2B5EF4-FFF2-40B4-BE49-F238E27FC236}">
                  <a16:creationId xmlns:a16="http://schemas.microsoft.com/office/drawing/2014/main" id="{00000000-0008-0000-1300-000036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21</xdr:row>
          <xdr:rowOff>25400</xdr:rowOff>
        </xdr:from>
        <xdr:to>
          <xdr:col>4</xdr:col>
          <xdr:colOff>711200</xdr:colOff>
          <xdr:row>23</xdr:row>
          <xdr:rowOff>76200</xdr:rowOff>
        </xdr:to>
        <xdr:sp macro="" textlink="">
          <xdr:nvSpPr>
            <xdr:cNvPr id="18487" name="Spinner 55" hidden="1">
              <a:extLst>
                <a:ext uri="{63B3BB69-23CF-44E3-9099-C40C66FF867C}">
                  <a14:compatExt spid="_x0000_s18487"/>
                </a:ext>
                <a:ext uri="{FF2B5EF4-FFF2-40B4-BE49-F238E27FC236}">
                  <a16:creationId xmlns:a16="http://schemas.microsoft.com/office/drawing/2014/main" id="{00000000-0008-0000-1300-000037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533400</xdr:colOff>
          <xdr:row>21</xdr:row>
          <xdr:rowOff>50800</xdr:rowOff>
        </xdr:from>
        <xdr:to>
          <xdr:col>6</xdr:col>
          <xdr:colOff>736600</xdr:colOff>
          <xdr:row>23</xdr:row>
          <xdr:rowOff>101600</xdr:rowOff>
        </xdr:to>
        <xdr:sp macro="" textlink="">
          <xdr:nvSpPr>
            <xdr:cNvPr id="18488" name="Spinner 56" hidden="1">
              <a:extLst>
                <a:ext uri="{63B3BB69-23CF-44E3-9099-C40C66FF867C}">
                  <a14:compatExt spid="_x0000_s18488"/>
                </a:ext>
                <a:ext uri="{FF2B5EF4-FFF2-40B4-BE49-F238E27FC236}">
                  <a16:creationId xmlns:a16="http://schemas.microsoft.com/office/drawing/2014/main" id="{00000000-0008-0000-1300-000038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19</xdr:row>
          <xdr:rowOff>25400</xdr:rowOff>
        </xdr:from>
        <xdr:to>
          <xdr:col>3</xdr:col>
          <xdr:colOff>863600</xdr:colOff>
          <xdr:row>20</xdr:row>
          <xdr:rowOff>50800</xdr:rowOff>
        </xdr:to>
        <xdr:sp macro="" textlink="">
          <xdr:nvSpPr>
            <xdr:cNvPr id="18489" name="Drop Down 57" hidden="1">
              <a:extLst>
                <a:ext uri="{63B3BB69-23CF-44E3-9099-C40C66FF867C}">
                  <a14:compatExt spid="_x0000_s18489"/>
                </a:ext>
                <a:ext uri="{FF2B5EF4-FFF2-40B4-BE49-F238E27FC236}">
                  <a16:creationId xmlns:a16="http://schemas.microsoft.com/office/drawing/2014/main" id="{00000000-0008-0000-1300-00003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19</xdr:row>
          <xdr:rowOff>25400</xdr:rowOff>
        </xdr:from>
        <xdr:to>
          <xdr:col>4</xdr:col>
          <xdr:colOff>863600</xdr:colOff>
          <xdr:row>20</xdr:row>
          <xdr:rowOff>50800</xdr:rowOff>
        </xdr:to>
        <xdr:sp macro="" textlink="">
          <xdr:nvSpPr>
            <xdr:cNvPr id="18490" name="Drop Down 58" hidden="1">
              <a:extLst>
                <a:ext uri="{63B3BB69-23CF-44E3-9099-C40C66FF867C}">
                  <a14:compatExt spid="_x0000_s18490"/>
                </a:ext>
                <a:ext uri="{FF2B5EF4-FFF2-40B4-BE49-F238E27FC236}">
                  <a16:creationId xmlns:a16="http://schemas.microsoft.com/office/drawing/2014/main" id="{00000000-0008-0000-1300-00003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19</xdr:row>
          <xdr:rowOff>25400</xdr:rowOff>
        </xdr:from>
        <xdr:to>
          <xdr:col>5</xdr:col>
          <xdr:colOff>863600</xdr:colOff>
          <xdr:row>20</xdr:row>
          <xdr:rowOff>50800</xdr:rowOff>
        </xdr:to>
        <xdr:sp macro="" textlink="">
          <xdr:nvSpPr>
            <xdr:cNvPr id="18491" name="Drop Down 59" hidden="1">
              <a:extLst>
                <a:ext uri="{63B3BB69-23CF-44E3-9099-C40C66FF867C}">
                  <a14:compatExt spid="_x0000_s18491"/>
                </a:ext>
                <a:ext uri="{FF2B5EF4-FFF2-40B4-BE49-F238E27FC236}">
                  <a16:creationId xmlns:a16="http://schemas.microsoft.com/office/drawing/2014/main" id="{00000000-0008-0000-1300-00003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19</xdr:row>
          <xdr:rowOff>25400</xdr:rowOff>
        </xdr:from>
        <xdr:to>
          <xdr:col>6</xdr:col>
          <xdr:colOff>863600</xdr:colOff>
          <xdr:row>20</xdr:row>
          <xdr:rowOff>50800</xdr:rowOff>
        </xdr:to>
        <xdr:sp macro="" textlink="">
          <xdr:nvSpPr>
            <xdr:cNvPr id="18492" name="Drop Down 60" hidden="1">
              <a:extLst>
                <a:ext uri="{63B3BB69-23CF-44E3-9099-C40C66FF867C}">
                  <a14:compatExt spid="_x0000_s18492"/>
                </a:ext>
                <a:ext uri="{FF2B5EF4-FFF2-40B4-BE49-F238E27FC236}">
                  <a16:creationId xmlns:a16="http://schemas.microsoft.com/office/drawing/2014/main" id="{00000000-0008-0000-1300-00003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19</xdr:row>
          <xdr:rowOff>25400</xdr:rowOff>
        </xdr:from>
        <xdr:to>
          <xdr:col>7</xdr:col>
          <xdr:colOff>863600</xdr:colOff>
          <xdr:row>20</xdr:row>
          <xdr:rowOff>50800</xdr:rowOff>
        </xdr:to>
        <xdr:sp macro="" textlink="">
          <xdr:nvSpPr>
            <xdr:cNvPr id="18493" name="Drop Down 61" hidden="1">
              <a:extLst>
                <a:ext uri="{63B3BB69-23CF-44E3-9099-C40C66FF867C}">
                  <a14:compatExt spid="_x0000_s18493"/>
                </a:ext>
                <a:ext uri="{FF2B5EF4-FFF2-40B4-BE49-F238E27FC236}">
                  <a16:creationId xmlns:a16="http://schemas.microsoft.com/office/drawing/2014/main" id="{00000000-0008-0000-1300-00003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19</xdr:row>
          <xdr:rowOff>25400</xdr:rowOff>
        </xdr:from>
        <xdr:to>
          <xdr:col>8</xdr:col>
          <xdr:colOff>863600</xdr:colOff>
          <xdr:row>20</xdr:row>
          <xdr:rowOff>50800</xdr:rowOff>
        </xdr:to>
        <xdr:sp macro="" textlink="">
          <xdr:nvSpPr>
            <xdr:cNvPr id="18494" name="Drop Down 62" hidden="1">
              <a:extLst>
                <a:ext uri="{63B3BB69-23CF-44E3-9099-C40C66FF867C}">
                  <a14:compatExt spid="_x0000_s18494"/>
                </a:ext>
                <a:ext uri="{FF2B5EF4-FFF2-40B4-BE49-F238E27FC236}">
                  <a16:creationId xmlns:a16="http://schemas.microsoft.com/office/drawing/2014/main" id="{00000000-0008-0000-1300-00003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220756</xdr:colOff>
      <xdr:row>3</xdr:row>
      <xdr:rowOff>116541</xdr:rowOff>
    </xdr:from>
    <xdr:to>
      <xdr:col>12</xdr:col>
      <xdr:colOff>971550</xdr:colOff>
      <xdr:row>18</xdr:row>
      <xdr:rowOff>38100</xdr:rowOff>
    </xdr:to>
    <xdr:graphicFrame macro="">
      <xdr:nvGraphicFramePr>
        <xdr:cNvPr id="10" name="Chart 9">
          <a:extLst>
            <a:ext uri="{FF2B5EF4-FFF2-40B4-BE49-F238E27FC236}">
              <a16:creationId xmlns:a16="http://schemas.microsoft.com/office/drawing/2014/main" id="{00000000-0008-0000-1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220756</xdr:colOff>
      <xdr:row>29</xdr:row>
      <xdr:rowOff>76200</xdr:rowOff>
    </xdr:from>
    <xdr:to>
      <xdr:col>12</xdr:col>
      <xdr:colOff>971550</xdr:colOff>
      <xdr:row>44</xdr:row>
      <xdr:rowOff>35860</xdr:rowOff>
    </xdr:to>
    <xdr:graphicFrame macro="">
      <xdr:nvGraphicFramePr>
        <xdr:cNvPr id="11" name="Chart 10">
          <a:extLst>
            <a:ext uri="{FF2B5EF4-FFF2-40B4-BE49-F238E27FC236}">
              <a16:creationId xmlns:a16="http://schemas.microsoft.com/office/drawing/2014/main" id="{00000000-0008-0000-1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533400</xdr:colOff>
          <xdr:row>48</xdr:row>
          <xdr:rowOff>0</xdr:rowOff>
        </xdr:from>
        <xdr:to>
          <xdr:col>5</xdr:col>
          <xdr:colOff>736600</xdr:colOff>
          <xdr:row>48</xdr:row>
          <xdr:rowOff>0</xdr:rowOff>
        </xdr:to>
        <xdr:sp macro="" textlink="">
          <xdr:nvSpPr>
            <xdr:cNvPr id="16385" name="Spinner 1" hidden="1">
              <a:extLst>
                <a:ext uri="{63B3BB69-23CF-44E3-9099-C40C66FF867C}">
                  <a14:compatExt spid="_x0000_s16385"/>
                </a:ext>
                <a:ext uri="{FF2B5EF4-FFF2-40B4-BE49-F238E27FC236}">
                  <a16:creationId xmlns:a16="http://schemas.microsoft.com/office/drawing/2014/main" id="{00000000-0008-0000-1400-000001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482600</xdr:colOff>
          <xdr:row>48</xdr:row>
          <xdr:rowOff>0</xdr:rowOff>
        </xdr:from>
        <xdr:to>
          <xdr:col>11</xdr:col>
          <xdr:colOff>685800</xdr:colOff>
          <xdr:row>48</xdr:row>
          <xdr:rowOff>0</xdr:rowOff>
        </xdr:to>
        <xdr:sp macro="" textlink="">
          <xdr:nvSpPr>
            <xdr:cNvPr id="16386" name="Spinner 2" hidden="1">
              <a:extLst>
                <a:ext uri="{63B3BB69-23CF-44E3-9099-C40C66FF867C}">
                  <a14:compatExt spid="_x0000_s16386"/>
                </a:ext>
                <a:ext uri="{FF2B5EF4-FFF2-40B4-BE49-F238E27FC236}">
                  <a16:creationId xmlns:a16="http://schemas.microsoft.com/office/drawing/2014/main" id="{00000000-0008-0000-1400-000002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48</xdr:row>
          <xdr:rowOff>0</xdr:rowOff>
        </xdr:from>
        <xdr:to>
          <xdr:col>12</xdr:col>
          <xdr:colOff>774700</xdr:colOff>
          <xdr:row>48</xdr:row>
          <xdr:rowOff>0</xdr:rowOff>
        </xdr:to>
        <xdr:sp macro="" textlink="">
          <xdr:nvSpPr>
            <xdr:cNvPr id="16387" name="Spinner 3" hidden="1">
              <a:extLst>
                <a:ext uri="{63B3BB69-23CF-44E3-9099-C40C66FF867C}">
                  <a14:compatExt spid="_x0000_s16387"/>
                </a:ext>
                <a:ext uri="{FF2B5EF4-FFF2-40B4-BE49-F238E27FC236}">
                  <a16:creationId xmlns:a16="http://schemas.microsoft.com/office/drawing/2014/main" id="{00000000-0008-0000-1400-000003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48</xdr:row>
          <xdr:rowOff>0</xdr:rowOff>
        </xdr:from>
        <xdr:to>
          <xdr:col>7</xdr:col>
          <xdr:colOff>660400</xdr:colOff>
          <xdr:row>48</xdr:row>
          <xdr:rowOff>0</xdr:rowOff>
        </xdr:to>
        <xdr:sp macro="" textlink="">
          <xdr:nvSpPr>
            <xdr:cNvPr id="16388" name="Spinner 4" hidden="1">
              <a:extLst>
                <a:ext uri="{63B3BB69-23CF-44E3-9099-C40C66FF867C}">
                  <a14:compatExt spid="_x0000_s16388"/>
                </a:ext>
                <a:ext uri="{FF2B5EF4-FFF2-40B4-BE49-F238E27FC236}">
                  <a16:creationId xmlns:a16="http://schemas.microsoft.com/office/drawing/2014/main" id="{00000000-0008-0000-1400-000004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48</xdr:row>
          <xdr:rowOff>0</xdr:rowOff>
        </xdr:from>
        <xdr:to>
          <xdr:col>3</xdr:col>
          <xdr:colOff>812800</xdr:colOff>
          <xdr:row>48</xdr:row>
          <xdr:rowOff>0</xdr:rowOff>
        </xdr:to>
        <xdr:sp macro="" textlink="">
          <xdr:nvSpPr>
            <xdr:cNvPr id="16389" name="Spinner 5" hidden="1">
              <a:extLst>
                <a:ext uri="{63B3BB69-23CF-44E3-9099-C40C66FF867C}">
                  <a14:compatExt spid="_x0000_s16389"/>
                </a:ext>
                <a:ext uri="{FF2B5EF4-FFF2-40B4-BE49-F238E27FC236}">
                  <a16:creationId xmlns:a16="http://schemas.microsoft.com/office/drawing/2014/main" id="{00000000-0008-0000-1400-000005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48</xdr:row>
          <xdr:rowOff>0</xdr:rowOff>
        </xdr:from>
        <xdr:to>
          <xdr:col>4</xdr:col>
          <xdr:colOff>711200</xdr:colOff>
          <xdr:row>48</xdr:row>
          <xdr:rowOff>0</xdr:rowOff>
        </xdr:to>
        <xdr:sp macro="" textlink="">
          <xdr:nvSpPr>
            <xdr:cNvPr id="16390" name="Spinner 6" hidden="1">
              <a:extLst>
                <a:ext uri="{63B3BB69-23CF-44E3-9099-C40C66FF867C}">
                  <a14:compatExt spid="_x0000_s16390"/>
                </a:ext>
                <a:ext uri="{FF2B5EF4-FFF2-40B4-BE49-F238E27FC236}">
                  <a16:creationId xmlns:a16="http://schemas.microsoft.com/office/drawing/2014/main" id="{00000000-0008-0000-1400-000006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520700</xdr:colOff>
          <xdr:row>48</xdr:row>
          <xdr:rowOff>0</xdr:rowOff>
        </xdr:from>
        <xdr:to>
          <xdr:col>6</xdr:col>
          <xdr:colOff>723900</xdr:colOff>
          <xdr:row>48</xdr:row>
          <xdr:rowOff>0</xdr:rowOff>
        </xdr:to>
        <xdr:sp macro="" textlink="">
          <xdr:nvSpPr>
            <xdr:cNvPr id="16391" name="Spinner 7" hidden="1">
              <a:extLst>
                <a:ext uri="{63B3BB69-23CF-44E3-9099-C40C66FF867C}">
                  <a14:compatExt spid="_x0000_s16391"/>
                </a:ext>
                <a:ext uri="{FF2B5EF4-FFF2-40B4-BE49-F238E27FC236}">
                  <a16:creationId xmlns:a16="http://schemas.microsoft.com/office/drawing/2014/main" id="{00000000-0008-0000-1400-000007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457200</xdr:colOff>
          <xdr:row>48</xdr:row>
          <xdr:rowOff>0</xdr:rowOff>
        </xdr:from>
        <xdr:to>
          <xdr:col>10</xdr:col>
          <xdr:colOff>660400</xdr:colOff>
          <xdr:row>48</xdr:row>
          <xdr:rowOff>0</xdr:rowOff>
        </xdr:to>
        <xdr:sp macro="" textlink="">
          <xdr:nvSpPr>
            <xdr:cNvPr id="16392" name="Spinner 8" hidden="1">
              <a:extLst>
                <a:ext uri="{63B3BB69-23CF-44E3-9099-C40C66FF867C}">
                  <a14:compatExt spid="_x0000_s16392"/>
                </a:ext>
                <a:ext uri="{FF2B5EF4-FFF2-40B4-BE49-F238E27FC236}">
                  <a16:creationId xmlns:a16="http://schemas.microsoft.com/office/drawing/2014/main" id="{00000000-0008-0000-1400-000008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48</xdr:row>
          <xdr:rowOff>0</xdr:rowOff>
        </xdr:from>
        <xdr:to>
          <xdr:col>8</xdr:col>
          <xdr:colOff>736600</xdr:colOff>
          <xdr:row>48</xdr:row>
          <xdr:rowOff>0</xdr:rowOff>
        </xdr:to>
        <xdr:sp macro="" textlink="">
          <xdr:nvSpPr>
            <xdr:cNvPr id="16393" name="Spinner 9" hidden="1">
              <a:extLst>
                <a:ext uri="{63B3BB69-23CF-44E3-9099-C40C66FF867C}">
                  <a14:compatExt spid="_x0000_s16393"/>
                </a:ext>
                <a:ext uri="{FF2B5EF4-FFF2-40B4-BE49-F238E27FC236}">
                  <a16:creationId xmlns:a16="http://schemas.microsoft.com/office/drawing/2014/main" id="{00000000-0008-0000-1400-000009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48</xdr:row>
          <xdr:rowOff>0</xdr:rowOff>
        </xdr:from>
        <xdr:to>
          <xdr:col>9</xdr:col>
          <xdr:colOff>698500</xdr:colOff>
          <xdr:row>48</xdr:row>
          <xdr:rowOff>0</xdr:rowOff>
        </xdr:to>
        <xdr:sp macro="" textlink="">
          <xdr:nvSpPr>
            <xdr:cNvPr id="16394" name="Spinner 10" hidden="1">
              <a:extLst>
                <a:ext uri="{63B3BB69-23CF-44E3-9099-C40C66FF867C}">
                  <a14:compatExt spid="_x0000_s16394"/>
                </a:ext>
                <a:ext uri="{FF2B5EF4-FFF2-40B4-BE49-F238E27FC236}">
                  <a16:creationId xmlns:a16="http://schemas.microsoft.com/office/drawing/2014/main" id="{00000000-0008-0000-1400-00000A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6396" name="Spinner 12" hidden="1">
              <a:extLst>
                <a:ext uri="{63B3BB69-23CF-44E3-9099-C40C66FF867C}">
                  <a14:compatExt spid="_x0000_s16396"/>
                </a:ext>
                <a:ext uri="{FF2B5EF4-FFF2-40B4-BE49-F238E27FC236}">
                  <a16:creationId xmlns:a16="http://schemas.microsoft.com/office/drawing/2014/main" id="{00000000-0008-0000-1400-00000C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520700</xdr:colOff>
          <xdr:row>0</xdr:row>
          <xdr:rowOff>0</xdr:rowOff>
        </xdr:from>
        <xdr:to>
          <xdr:col>8</xdr:col>
          <xdr:colOff>723900</xdr:colOff>
          <xdr:row>0</xdr:row>
          <xdr:rowOff>0</xdr:rowOff>
        </xdr:to>
        <xdr:sp macro="" textlink="">
          <xdr:nvSpPr>
            <xdr:cNvPr id="16397" name="Spinner 13" hidden="1">
              <a:extLst>
                <a:ext uri="{63B3BB69-23CF-44E3-9099-C40C66FF867C}">
                  <a14:compatExt spid="_x0000_s16397"/>
                </a:ext>
                <a:ext uri="{FF2B5EF4-FFF2-40B4-BE49-F238E27FC236}">
                  <a16:creationId xmlns:a16="http://schemas.microsoft.com/office/drawing/2014/main" id="{00000000-0008-0000-1400-00000D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0</xdr:row>
          <xdr:rowOff>0</xdr:rowOff>
        </xdr:from>
        <xdr:to>
          <xdr:col>5</xdr:col>
          <xdr:colOff>736600</xdr:colOff>
          <xdr:row>0</xdr:row>
          <xdr:rowOff>0</xdr:rowOff>
        </xdr:to>
        <xdr:sp macro="" textlink="">
          <xdr:nvSpPr>
            <xdr:cNvPr id="16398" name="Spinner 14" hidden="1">
              <a:extLst>
                <a:ext uri="{63B3BB69-23CF-44E3-9099-C40C66FF867C}">
                  <a14:compatExt spid="_x0000_s16398"/>
                </a:ext>
                <a:ext uri="{FF2B5EF4-FFF2-40B4-BE49-F238E27FC236}">
                  <a16:creationId xmlns:a16="http://schemas.microsoft.com/office/drawing/2014/main" id="{00000000-0008-0000-1400-00000E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0</xdr:row>
          <xdr:rowOff>0</xdr:rowOff>
        </xdr:from>
        <xdr:to>
          <xdr:col>3</xdr:col>
          <xdr:colOff>736600</xdr:colOff>
          <xdr:row>0</xdr:row>
          <xdr:rowOff>0</xdr:rowOff>
        </xdr:to>
        <xdr:sp macro="" textlink="">
          <xdr:nvSpPr>
            <xdr:cNvPr id="16399" name="Spinner 15" hidden="1">
              <a:extLst>
                <a:ext uri="{63B3BB69-23CF-44E3-9099-C40C66FF867C}">
                  <a14:compatExt spid="_x0000_s16399"/>
                </a:ext>
                <a:ext uri="{FF2B5EF4-FFF2-40B4-BE49-F238E27FC236}">
                  <a16:creationId xmlns:a16="http://schemas.microsoft.com/office/drawing/2014/main" id="{00000000-0008-0000-1400-00000F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6400" name="Spinner 16" hidden="1">
              <a:extLst>
                <a:ext uri="{63B3BB69-23CF-44E3-9099-C40C66FF867C}">
                  <a14:compatExt spid="_x0000_s16400"/>
                </a:ext>
                <a:ext uri="{FF2B5EF4-FFF2-40B4-BE49-F238E27FC236}">
                  <a16:creationId xmlns:a16="http://schemas.microsoft.com/office/drawing/2014/main" id="{00000000-0008-0000-1400-000010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533400</xdr:colOff>
          <xdr:row>0</xdr:row>
          <xdr:rowOff>0</xdr:rowOff>
        </xdr:from>
        <xdr:to>
          <xdr:col>6</xdr:col>
          <xdr:colOff>736600</xdr:colOff>
          <xdr:row>0</xdr:row>
          <xdr:rowOff>0</xdr:rowOff>
        </xdr:to>
        <xdr:sp macro="" textlink="">
          <xdr:nvSpPr>
            <xdr:cNvPr id="16401" name="Spinner 17" hidden="1">
              <a:extLst>
                <a:ext uri="{63B3BB69-23CF-44E3-9099-C40C66FF867C}">
                  <a14:compatExt spid="_x0000_s16401"/>
                </a:ext>
                <a:ext uri="{FF2B5EF4-FFF2-40B4-BE49-F238E27FC236}">
                  <a16:creationId xmlns:a16="http://schemas.microsoft.com/office/drawing/2014/main" id="{00000000-0008-0000-1400-000011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6409" name="Spinner 25" hidden="1">
              <a:extLst>
                <a:ext uri="{63B3BB69-23CF-44E3-9099-C40C66FF867C}">
                  <a14:compatExt spid="_x0000_s16409"/>
                </a:ext>
                <a:ext uri="{FF2B5EF4-FFF2-40B4-BE49-F238E27FC236}">
                  <a16:creationId xmlns:a16="http://schemas.microsoft.com/office/drawing/2014/main" id="{00000000-0008-0000-1400-000019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0</xdr:row>
          <xdr:rowOff>0</xdr:rowOff>
        </xdr:from>
        <xdr:to>
          <xdr:col>8</xdr:col>
          <xdr:colOff>736600</xdr:colOff>
          <xdr:row>0</xdr:row>
          <xdr:rowOff>0</xdr:rowOff>
        </xdr:to>
        <xdr:sp macro="" textlink="">
          <xdr:nvSpPr>
            <xdr:cNvPr id="16410" name="Spinner 26" hidden="1">
              <a:extLst>
                <a:ext uri="{63B3BB69-23CF-44E3-9099-C40C66FF867C}">
                  <a14:compatExt spid="_x0000_s16410"/>
                </a:ext>
                <a:ext uri="{FF2B5EF4-FFF2-40B4-BE49-F238E27FC236}">
                  <a16:creationId xmlns:a16="http://schemas.microsoft.com/office/drawing/2014/main" id="{00000000-0008-0000-1400-00001A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546100</xdr:colOff>
          <xdr:row>0</xdr:row>
          <xdr:rowOff>0</xdr:rowOff>
        </xdr:from>
        <xdr:to>
          <xdr:col>5</xdr:col>
          <xdr:colOff>749300</xdr:colOff>
          <xdr:row>0</xdr:row>
          <xdr:rowOff>0</xdr:rowOff>
        </xdr:to>
        <xdr:sp macro="" textlink="">
          <xdr:nvSpPr>
            <xdr:cNvPr id="16411" name="Spinner 27" hidden="1">
              <a:extLst>
                <a:ext uri="{63B3BB69-23CF-44E3-9099-C40C66FF867C}">
                  <a14:compatExt spid="_x0000_s16411"/>
                </a:ext>
                <a:ext uri="{FF2B5EF4-FFF2-40B4-BE49-F238E27FC236}">
                  <a16:creationId xmlns:a16="http://schemas.microsoft.com/office/drawing/2014/main" id="{00000000-0008-0000-1400-00001B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546100</xdr:colOff>
          <xdr:row>0</xdr:row>
          <xdr:rowOff>0</xdr:rowOff>
        </xdr:from>
        <xdr:to>
          <xdr:col>3</xdr:col>
          <xdr:colOff>749300</xdr:colOff>
          <xdr:row>0</xdr:row>
          <xdr:rowOff>0</xdr:rowOff>
        </xdr:to>
        <xdr:sp macro="" textlink="">
          <xdr:nvSpPr>
            <xdr:cNvPr id="16412" name="Spinner 28" hidden="1">
              <a:extLst>
                <a:ext uri="{63B3BB69-23CF-44E3-9099-C40C66FF867C}">
                  <a14:compatExt spid="_x0000_s16412"/>
                </a:ext>
                <a:ext uri="{FF2B5EF4-FFF2-40B4-BE49-F238E27FC236}">
                  <a16:creationId xmlns:a16="http://schemas.microsoft.com/office/drawing/2014/main" id="{00000000-0008-0000-1400-00001C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6413" name="Spinner 29" hidden="1">
              <a:extLst>
                <a:ext uri="{63B3BB69-23CF-44E3-9099-C40C66FF867C}">
                  <a14:compatExt spid="_x0000_s16413"/>
                </a:ext>
                <a:ext uri="{FF2B5EF4-FFF2-40B4-BE49-F238E27FC236}">
                  <a16:creationId xmlns:a16="http://schemas.microsoft.com/office/drawing/2014/main" id="{00000000-0008-0000-1400-00001D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508000</xdr:colOff>
          <xdr:row>0</xdr:row>
          <xdr:rowOff>0</xdr:rowOff>
        </xdr:from>
        <xdr:to>
          <xdr:col>6</xdr:col>
          <xdr:colOff>711200</xdr:colOff>
          <xdr:row>0</xdr:row>
          <xdr:rowOff>0</xdr:rowOff>
        </xdr:to>
        <xdr:sp macro="" textlink="">
          <xdr:nvSpPr>
            <xdr:cNvPr id="16414" name="Spinner 30" hidden="1">
              <a:extLst>
                <a:ext uri="{63B3BB69-23CF-44E3-9099-C40C66FF867C}">
                  <a14:compatExt spid="_x0000_s16414"/>
                </a:ext>
                <a:ext uri="{FF2B5EF4-FFF2-40B4-BE49-F238E27FC236}">
                  <a16:creationId xmlns:a16="http://schemas.microsoft.com/office/drawing/2014/main" id="{00000000-0008-0000-1400-00001E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6422" name="Spinner 38" hidden="1">
              <a:extLst>
                <a:ext uri="{63B3BB69-23CF-44E3-9099-C40C66FF867C}">
                  <a14:compatExt spid="_x0000_s16422"/>
                </a:ext>
                <a:ext uri="{FF2B5EF4-FFF2-40B4-BE49-F238E27FC236}">
                  <a16:creationId xmlns:a16="http://schemas.microsoft.com/office/drawing/2014/main" id="{00000000-0008-0000-1400-000026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0</xdr:row>
          <xdr:rowOff>0</xdr:rowOff>
        </xdr:from>
        <xdr:to>
          <xdr:col>8</xdr:col>
          <xdr:colOff>736600</xdr:colOff>
          <xdr:row>0</xdr:row>
          <xdr:rowOff>0</xdr:rowOff>
        </xdr:to>
        <xdr:sp macro="" textlink="">
          <xdr:nvSpPr>
            <xdr:cNvPr id="16423" name="Spinner 39" hidden="1">
              <a:extLst>
                <a:ext uri="{63B3BB69-23CF-44E3-9099-C40C66FF867C}">
                  <a14:compatExt spid="_x0000_s16423"/>
                </a:ext>
                <a:ext uri="{FF2B5EF4-FFF2-40B4-BE49-F238E27FC236}">
                  <a16:creationId xmlns:a16="http://schemas.microsoft.com/office/drawing/2014/main" id="{00000000-0008-0000-1400-000027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546100</xdr:colOff>
          <xdr:row>0</xdr:row>
          <xdr:rowOff>0</xdr:rowOff>
        </xdr:from>
        <xdr:to>
          <xdr:col>5</xdr:col>
          <xdr:colOff>749300</xdr:colOff>
          <xdr:row>0</xdr:row>
          <xdr:rowOff>0</xdr:rowOff>
        </xdr:to>
        <xdr:sp macro="" textlink="">
          <xdr:nvSpPr>
            <xdr:cNvPr id="16424" name="Spinner 40" hidden="1">
              <a:extLst>
                <a:ext uri="{63B3BB69-23CF-44E3-9099-C40C66FF867C}">
                  <a14:compatExt spid="_x0000_s16424"/>
                </a:ext>
                <a:ext uri="{FF2B5EF4-FFF2-40B4-BE49-F238E27FC236}">
                  <a16:creationId xmlns:a16="http://schemas.microsoft.com/office/drawing/2014/main" id="{00000000-0008-0000-1400-000028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546100</xdr:colOff>
          <xdr:row>0</xdr:row>
          <xdr:rowOff>0</xdr:rowOff>
        </xdr:from>
        <xdr:to>
          <xdr:col>3</xdr:col>
          <xdr:colOff>749300</xdr:colOff>
          <xdr:row>0</xdr:row>
          <xdr:rowOff>0</xdr:rowOff>
        </xdr:to>
        <xdr:sp macro="" textlink="">
          <xdr:nvSpPr>
            <xdr:cNvPr id="16425" name="Spinner 41" hidden="1">
              <a:extLst>
                <a:ext uri="{63B3BB69-23CF-44E3-9099-C40C66FF867C}">
                  <a14:compatExt spid="_x0000_s16425"/>
                </a:ext>
                <a:ext uri="{FF2B5EF4-FFF2-40B4-BE49-F238E27FC236}">
                  <a16:creationId xmlns:a16="http://schemas.microsoft.com/office/drawing/2014/main" id="{00000000-0008-0000-1400-000029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6426" name="Spinner 42" hidden="1">
              <a:extLst>
                <a:ext uri="{63B3BB69-23CF-44E3-9099-C40C66FF867C}">
                  <a14:compatExt spid="_x0000_s16426"/>
                </a:ext>
                <a:ext uri="{FF2B5EF4-FFF2-40B4-BE49-F238E27FC236}">
                  <a16:creationId xmlns:a16="http://schemas.microsoft.com/office/drawing/2014/main" id="{00000000-0008-0000-1400-00002A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508000</xdr:colOff>
          <xdr:row>0</xdr:row>
          <xdr:rowOff>0</xdr:rowOff>
        </xdr:from>
        <xdr:to>
          <xdr:col>6</xdr:col>
          <xdr:colOff>711200</xdr:colOff>
          <xdr:row>0</xdr:row>
          <xdr:rowOff>0</xdr:rowOff>
        </xdr:to>
        <xdr:sp macro="" textlink="">
          <xdr:nvSpPr>
            <xdr:cNvPr id="16427" name="Spinner 43" hidden="1">
              <a:extLst>
                <a:ext uri="{63B3BB69-23CF-44E3-9099-C40C66FF867C}">
                  <a14:compatExt spid="_x0000_s16427"/>
                </a:ext>
                <a:ext uri="{FF2B5EF4-FFF2-40B4-BE49-F238E27FC236}">
                  <a16:creationId xmlns:a16="http://schemas.microsoft.com/office/drawing/2014/main" id="{00000000-0008-0000-1400-00002B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6435" name="Spinner 51" hidden="1">
              <a:extLst>
                <a:ext uri="{63B3BB69-23CF-44E3-9099-C40C66FF867C}">
                  <a14:compatExt spid="_x0000_s16435"/>
                </a:ext>
                <a:ext uri="{FF2B5EF4-FFF2-40B4-BE49-F238E27FC236}">
                  <a16:creationId xmlns:a16="http://schemas.microsoft.com/office/drawing/2014/main" id="{00000000-0008-0000-1400-000033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520700</xdr:colOff>
          <xdr:row>0</xdr:row>
          <xdr:rowOff>0</xdr:rowOff>
        </xdr:from>
        <xdr:to>
          <xdr:col>8</xdr:col>
          <xdr:colOff>723900</xdr:colOff>
          <xdr:row>0</xdr:row>
          <xdr:rowOff>0</xdr:rowOff>
        </xdr:to>
        <xdr:sp macro="" textlink="">
          <xdr:nvSpPr>
            <xdr:cNvPr id="16436" name="Spinner 52" hidden="1">
              <a:extLst>
                <a:ext uri="{63B3BB69-23CF-44E3-9099-C40C66FF867C}">
                  <a14:compatExt spid="_x0000_s16436"/>
                </a:ext>
                <a:ext uri="{FF2B5EF4-FFF2-40B4-BE49-F238E27FC236}">
                  <a16:creationId xmlns:a16="http://schemas.microsoft.com/office/drawing/2014/main" id="{00000000-0008-0000-1400-000034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0</xdr:row>
          <xdr:rowOff>0</xdr:rowOff>
        </xdr:from>
        <xdr:to>
          <xdr:col>5</xdr:col>
          <xdr:colOff>736600</xdr:colOff>
          <xdr:row>0</xdr:row>
          <xdr:rowOff>0</xdr:rowOff>
        </xdr:to>
        <xdr:sp macro="" textlink="">
          <xdr:nvSpPr>
            <xdr:cNvPr id="16437" name="Spinner 53" hidden="1">
              <a:extLst>
                <a:ext uri="{63B3BB69-23CF-44E3-9099-C40C66FF867C}">
                  <a14:compatExt spid="_x0000_s16437"/>
                </a:ext>
                <a:ext uri="{FF2B5EF4-FFF2-40B4-BE49-F238E27FC236}">
                  <a16:creationId xmlns:a16="http://schemas.microsoft.com/office/drawing/2014/main" id="{00000000-0008-0000-1400-000035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0</xdr:row>
          <xdr:rowOff>0</xdr:rowOff>
        </xdr:from>
        <xdr:to>
          <xdr:col>3</xdr:col>
          <xdr:colOff>736600</xdr:colOff>
          <xdr:row>0</xdr:row>
          <xdr:rowOff>0</xdr:rowOff>
        </xdr:to>
        <xdr:sp macro="" textlink="">
          <xdr:nvSpPr>
            <xdr:cNvPr id="16438" name="Spinner 54" hidden="1">
              <a:extLst>
                <a:ext uri="{63B3BB69-23CF-44E3-9099-C40C66FF867C}">
                  <a14:compatExt spid="_x0000_s16438"/>
                </a:ext>
                <a:ext uri="{FF2B5EF4-FFF2-40B4-BE49-F238E27FC236}">
                  <a16:creationId xmlns:a16="http://schemas.microsoft.com/office/drawing/2014/main" id="{00000000-0008-0000-1400-000036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6439" name="Spinner 55" hidden="1">
              <a:extLst>
                <a:ext uri="{63B3BB69-23CF-44E3-9099-C40C66FF867C}">
                  <a14:compatExt spid="_x0000_s16439"/>
                </a:ext>
                <a:ext uri="{FF2B5EF4-FFF2-40B4-BE49-F238E27FC236}">
                  <a16:creationId xmlns:a16="http://schemas.microsoft.com/office/drawing/2014/main" id="{00000000-0008-0000-1400-000037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533400</xdr:colOff>
          <xdr:row>0</xdr:row>
          <xdr:rowOff>0</xdr:rowOff>
        </xdr:from>
        <xdr:to>
          <xdr:col>6</xdr:col>
          <xdr:colOff>736600</xdr:colOff>
          <xdr:row>0</xdr:row>
          <xdr:rowOff>0</xdr:rowOff>
        </xdr:to>
        <xdr:sp macro="" textlink="">
          <xdr:nvSpPr>
            <xdr:cNvPr id="16440" name="Spinner 56" hidden="1">
              <a:extLst>
                <a:ext uri="{63B3BB69-23CF-44E3-9099-C40C66FF867C}">
                  <a14:compatExt spid="_x0000_s16440"/>
                </a:ext>
                <a:ext uri="{FF2B5EF4-FFF2-40B4-BE49-F238E27FC236}">
                  <a16:creationId xmlns:a16="http://schemas.microsoft.com/office/drawing/2014/main" id="{00000000-0008-0000-1400-000038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xdr:row>
          <xdr:rowOff>25400</xdr:rowOff>
        </xdr:from>
        <xdr:to>
          <xdr:col>5</xdr:col>
          <xdr:colOff>863600</xdr:colOff>
          <xdr:row>3</xdr:row>
          <xdr:rowOff>0</xdr:rowOff>
        </xdr:to>
        <xdr:sp macro="" textlink="">
          <xdr:nvSpPr>
            <xdr:cNvPr id="16447" name="Drop Down 63" hidden="1">
              <a:extLst>
                <a:ext uri="{63B3BB69-23CF-44E3-9099-C40C66FF867C}">
                  <a14:compatExt spid="_x0000_s16447"/>
                </a:ext>
                <a:ext uri="{FF2B5EF4-FFF2-40B4-BE49-F238E27FC236}">
                  <a16:creationId xmlns:a16="http://schemas.microsoft.com/office/drawing/2014/main" id="{00000000-0008-0000-1400-00003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21</xdr:row>
          <xdr:rowOff>76200</xdr:rowOff>
        </xdr:from>
        <xdr:to>
          <xdr:col>7</xdr:col>
          <xdr:colOff>685800</xdr:colOff>
          <xdr:row>23</xdr:row>
          <xdr:rowOff>101600</xdr:rowOff>
        </xdr:to>
        <xdr:sp macro="" textlink="">
          <xdr:nvSpPr>
            <xdr:cNvPr id="16448" name="Spinner 64" hidden="1">
              <a:extLst>
                <a:ext uri="{63B3BB69-23CF-44E3-9099-C40C66FF867C}">
                  <a14:compatExt spid="_x0000_s16448"/>
                </a:ext>
                <a:ext uri="{FF2B5EF4-FFF2-40B4-BE49-F238E27FC236}">
                  <a16:creationId xmlns:a16="http://schemas.microsoft.com/office/drawing/2014/main" id="{00000000-0008-0000-1400-000040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21</xdr:row>
          <xdr:rowOff>50800</xdr:rowOff>
        </xdr:from>
        <xdr:to>
          <xdr:col>8</xdr:col>
          <xdr:colOff>736600</xdr:colOff>
          <xdr:row>23</xdr:row>
          <xdr:rowOff>76200</xdr:rowOff>
        </xdr:to>
        <xdr:sp macro="" textlink="">
          <xdr:nvSpPr>
            <xdr:cNvPr id="16449" name="Spinner 65" hidden="1">
              <a:extLst>
                <a:ext uri="{63B3BB69-23CF-44E3-9099-C40C66FF867C}">
                  <a14:compatExt spid="_x0000_s16449"/>
                </a:ext>
                <a:ext uri="{FF2B5EF4-FFF2-40B4-BE49-F238E27FC236}">
                  <a16:creationId xmlns:a16="http://schemas.microsoft.com/office/drawing/2014/main" id="{00000000-0008-0000-1400-000041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546100</xdr:colOff>
          <xdr:row>21</xdr:row>
          <xdr:rowOff>63500</xdr:rowOff>
        </xdr:from>
        <xdr:to>
          <xdr:col>5</xdr:col>
          <xdr:colOff>749300</xdr:colOff>
          <xdr:row>23</xdr:row>
          <xdr:rowOff>88900</xdr:rowOff>
        </xdr:to>
        <xdr:sp macro="" textlink="">
          <xdr:nvSpPr>
            <xdr:cNvPr id="16450" name="Spinner 66" hidden="1">
              <a:extLst>
                <a:ext uri="{63B3BB69-23CF-44E3-9099-C40C66FF867C}">
                  <a14:compatExt spid="_x0000_s16450"/>
                </a:ext>
                <a:ext uri="{FF2B5EF4-FFF2-40B4-BE49-F238E27FC236}">
                  <a16:creationId xmlns:a16="http://schemas.microsoft.com/office/drawing/2014/main" id="{00000000-0008-0000-1400-000042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546100</xdr:colOff>
          <xdr:row>21</xdr:row>
          <xdr:rowOff>50800</xdr:rowOff>
        </xdr:from>
        <xdr:to>
          <xdr:col>3</xdr:col>
          <xdr:colOff>749300</xdr:colOff>
          <xdr:row>23</xdr:row>
          <xdr:rowOff>101600</xdr:rowOff>
        </xdr:to>
        <xdr:sp macro="" textlink="">
          <xdr:nvSpPr>
            <xdr:cNvPr id="16451" name="Spinner 67" hidden="1">
              <a:extLst>
                <a:ext uri="{63B3BB69-23CF-44E3-9099-C40C66FF867C}">
                  <a14:compatExt spid="_x0000_s16451"/>
                </a:ext>
                <a:ext uri="{FF2B5EF4-FFF2-40B4-BE49-F238E27FC236}">
                  <a16:creationId xmlns:a16="http://schemas.microsoft.com/office/drawing/2014/main" id="{00000000-0008-0000-1400-000043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21</xdr:row>
          <xdr:rowOff>25400</xdr:rowOff>
        </xdr:from>
        <xdr:to>
          <xdr:col>4</xdr:col>
          <xdr:colOff>711200</xdr:colOff>
          <xdr:row>23</xdr:row>
          <xdr:rowOff>76200</xdr:rowOff>
        </xdr:to>
        <xdr:sp macro="" textlink="">
          <xdr:nvSpPr>
            <xdr:cNvPr id="16452" name="Spinner 68" hidden="1">
              <a:extLst>
                <a:ext uri="{63B3BB69-23CF-44E3-9099-C40C66FF867C}">
                  <a14:compatExt spid="_x0000_s16452"/>
                </a:ext>
                <a:ext uri="{FF2B5EF4-FFF2-40B4-BE49-F238E27FC236}">
                  <a16:creationId xmlns:a16="http://schemas.microsoft.com/office/drawing/2014/main" id="{00000000-0008-0000-1400-000044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508000</xdr:colOff>
          <xdr:row>21</xdr:row>
          <xdr:rowOff>50800</xdr:rowOff>
        </xdr:from>
        <xdr:to>
          <xdr:col>6</xdr:col>
          <xdr:colOff>711200</xdr:colOff>
          <xdr:row>23</xdr:row>
          <xdr:rowOff>101600</xdr:rowOff>
        </xdr:to>
        <xdr:sp macro="" textlink="">
          <xdr:nvSpPr>
            <xdr:cNvPr id="16453" name="Spinner 69" hidden="1">
              <a:extLst>
                <a:ext uri="{63B3BB69-23CF-44E3-9099-C40C66FF867C}">
                  <a14:compatExt spid="_x0000_s16453"/>
                </a:ext>
                <a:ext uri="{FF2B5EF4-FFF2-40B4-BE49-F238E27FC236}">
                  <a16:creationId xmlns:a16="http://schemas.microsoft.com/office/drawing/2014/main" id="{00000000-0008-0000-1400-000045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19</xdr:row>
          <xdr:rowOff>25400</xdr:rowOff>
        </xdr:from>
        <xdr:to>
          <xdr:col>3</xdr:col>
          <xdr:colOff>863600</xdr:colOff>
          <xdr:row>20</xdr:row>
          <xdr:rowOff>50800</xdr:rowOff>
        </xdr:to>
        <xdr:sp macro="" textlink="">
          <xdr:nvSpPr>
            <xdr:cNvPr id="16454" name="Drop Down 70" hidden="1">
              <a:extLst>
                <a:ext uri="{63B3BB69-23CF-44E3-9099-C40C66FF867C}">
                  <a14:compatExt spid="_x0000_s16454"/>
                </a:ext>
                <a:ext uri="{FF2B5EF4-FFF2-40B4-BE49-F238E27FC236}">
                  <a16:creationId xmlns:a16="http://schemas.microsoft.com/office/drawing/2014/main" id="{00000000-0008-0000-1400-00004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19</xdr:row>
          <xdr:rowOff>25400</xdr:rowOff>
        </xdr:from>
        <xdr:to>
          <xdr:col>4</xdr:col>
          <xdr:colOff>863600</xdr:colOff>
          <xdr:row>20</xdr:row>
          <xdr:rowOff>50800</xdr:rowOff>
        </xdr:to>
        <xdr:sp macro="" textlink="">
          <xdr:nvSpPr>
            <xdr:cNvPr id="16455" name="Drop Down 71" hidden="1">
              <a:extLst>
                <a:ext uri="{63B3BB69-23CF-44E3-9099-C40C66FF867C}">
                  <a14:compatExt spid="_x0000_s16455"/>
                </a:ext>
                <a:ext uri="{FF2B5EF4-FFF2-40B4-BE49-F238E27FC236}">
                  <a16:creationId xmlns:a16="http://schemas.microsoft.com/office/drawing/2014/main" id="{00000000-0008-0000-1400-00004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19</xdr:row>
          <xdr:rowOff>25400</xdr:rowOff>
        </xdr:from>
        <xdr:to>
          <xdr:col>5</xdr:col>
          <xdr:colOff>863600</xdr:colOff>
          <xdr:row>20</xdr:row>
          <xdr:rowOff>50800</xdr:rowOff>
        </xdr:to>
        <xdr:sp macro="" textlink="">
          <xdr:nvSpPr>
            <xdr:cNvPr id="16456" name="Drop Down 72" hidden="1">
              <a:extLst>
                <a:ext uri="{63B3BB69-23CF-44E3-9099-C40C66FF867C}">
                  <a14:compatExt spid="_x0000_s16456"/>
                </a:ext>
                <a:ext uri="{FF2B5EF4-FFF2-40B4-BE49-F238E27FC236}">
                  <a16:creationId xmlns:a16="http://schemas.microsoft.com/office/drawing/2014/main" id="{00000000-0008-0000-1400-00004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19</xdr:row>
          <xdr:rowOff>25400</xdr:rowOff>
        </xdr:from>
        <xdr:to>
          <xdr:col>6</xdr:col>
          <xdr:colOff>863600</xdr:colOff>
          <xdr:row>20</xdr:row>
          <xdr:rowOff>50800</xdr:rowOff>
        </xdr:to>
        <xdr:sp macro="" textlink="">
          <xdr:nvSpPr>
            <xdr:cNvPr id="16457" name="Drop Down 73" hidden="1">
              <a:extLst>
                <a:ext uri="{63B3BB69-23CF-44E3-9099-C40C66FF867C}">
                  <a14:compatExt spid="_x0000_s16457"/>
                </a:ext>
                <a:ext uri="{FF2B5EF4-FFF2-40B4-BE49-F238E27FC236}">
                  <a16:creationId xmlns:a16="http://schemas.microsoft.com/office/drawing/2014/main" id="{00000000-0008-0000-1400-00004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19</xdr:row>
          <xdr:rowOff>25400</xdr:rowOff>
        </xdr:from>
        <xdr:to>
          <xdr:col>7</xdr:col>
          <xdr:colOff>863600</xdr:colOff>
          <xdr:row>20</xdr:row>
          <xdr:rowOff>50800</xdr:rowOff>
        </xdr:to>
        <xdr:sp macro="" textlink="">
          <xdr:nvSpPr>
            <xdr:cNvPr id="16458" name="Drop Down 74" hidden="1">
              <a:extLst>
                <a:ext uri="{63B3BB69-23CF-44E3-9099-C40C66FF867C}">
                  <a14:compatExt spid="_x0000_s16458"/>
                </a:ext>
                <a:ext uri="{FF2B5EF4-FFF2-40B4-BE49-F238E27FC236}">
                  <a16:creationId xmlns:a16="http://schemas.microsoft.com/office/drawing/2014/main" id="{00000000-0008-0000-1400-00004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19</xdr:row>
          <xdr:rowOff>25400</xdr:rowOff>
        </xdr:from>
        <xdr:to>
          <xdr:col>8</xdr:col>
          <xdr:colOff>863600</xdr:colOff>
          <xdr:row>20</xdr:row>
          <xdr:rowOff>50800</xdr:rowOff>
        </xdr:to>
        <xdr:sp macro="" textlink="">
          <xdr:nvSpPr>
            <xdr:cNvPr id="16459" name="Drop Down 75" hidden="1">
              <a:extLst>
                <a:ext uri="{63B3BB69-23CF-44E3-9099-C40C66FF867C}">
                  <a14:compatExt spid="_x0000_s16459"/>
                </a:ext>
                <a:ext uri="{FF2B5EF4-FFF2-40B4-BE49-F238E27FC236}">
                  <a16:creationId xmlns:a16="http://schemas.microsoft.com/office/drawing/2014/main" id="{00000000-0008-0000-1400-00004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xdr:col>
      <xdr:colOff>214592</xdr:colOff>
      <xdr:row>3</xdr:row>
      <xdr:rowOff>110378</xdr:rowOff>
    </xdr:from>
    <xdr:to>
      <xdr:col>12</xdr:col>
      <xdr:colOff>967067</xdr:colOff>
      <xdr:row>18</xdr:row>
      <xdr:rowOff>31937</xdr:rowOff>
    </xdr:to>
    <xdr:graphicFrame macro="">
      <xdr:nvGraphicFramePr>
        <xdr:cNvPr id="6" name="Chart 5">
          <a:extLst>
            <a:ext uri="{FF2B5EF4-FFF2-40B4-BE49-F238E27FC236}">
              <a16:creationId xmlns:a16="http://schemas.microsoft.com/office/drawing/2014/main" id="{00000000-0008-0000-1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xdr:colOff>
      <xdr:row>29</xdr:row>
      <xdr:rowOff>94689</xdr:rowOff>
    </xdr:from>
    <xdr:to>
      <xdr:col>12</xdr:col>
      <xdr:colOff>974913</xdr:colOff>
      <xdr:row>44</xdr:row>
      <xdr:rowOff>94129</xdr:rowOff>
    </xdr:to>
    <xdr:graphicFrame macro="">
      <xdr:nvGraphicFramePr>
        <xdr:cNvPr id="7" name="Chart 6">
          <a:extLst>
            <a:ext uri="{FF2B5EF4-FFF2-40B4-BE49-F238E27FC236}">
              <a16:creationId xmlns:a16="http://schemas.microsoft.com/office/drawing/2014/main" id="{00000000-0008-0000-1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533400</xdr:colOff>
          <xdr:row>58</xdr:row>
          <xdr:rowOff>0</xdr:rowOff>
        </xdr:from>
        <xdr:to>
          <xdr:col>5</xdr:col>
          <xdr:colOff>736600</xdr:colOff>
          <xdr:row>58</xdr:row>
          <xdr:rowOff>0</xdr:rowOff>
        </xdr:to>
        <xdr:sp macro="" textlink="">
          <xdr:nvSpPr>
            <xdr:cNvPr id="19457" name="Spinner 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482600</xdr:colOff>
          <xdr:row>58</xdr:row>
          <xdr:rowOff>0</xdr:rowOff>
        </xdr:from>
        <xdr:to>
          <xdr:col>11</xdr:col>
          <xdr:colOff>685800</xdr:colOff>
          <xdr:row>58</xdr:row>
          <xdr:rowOff>0</xdr:rowOff>
        </xdr:to>
        <xdr:sp macro="" textlink="">
          <xdr:nvSpPr>
            <xdr:cNvPr id="19458" name="Spinner 2"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58</xdr:row>
          <xdr:rowOff>0</xdr:rowOff>
        </xdr:from>
        <xdr:to>
          <xdr:col>12</xdr:col>
          <xdr:colOff>774700</xdr:colOff>
          <xdr:row>58</xdr:row>
          <xdr:rowOff>0</xdr:rowOff>
        </xdr:to>
        <xdr:sp macro="" textlink="">
          <xdr:nvSpPr>
            <xdr:cNvPr id="19459" name="Spinner 3"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58</xdr:row>
          <xdr:rowOff>0</xdr:rowOff>
        </xdr:from>
        <xdr:to>
          <xdr:col>7</xdr:col>
          <xdr:colOff>660400</xdr:colOff>
          <xdr:row>58</xdr:row>
          <xdr:rowOff>0</xdr:rowOff>
        </xdr:to>
        <xdr:sp macro="" textlink="">
          <xdr:nvSpPr>
            <xdr:cNvPr id="19460" name="Spinner 4"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58</xdr:row>
          <xdr:rowOff>0</xdr:rowOff>
        </xdr:from>
        <xdr:to>
          <xdr:col>3</xdr:col>
          <xdr:colOff>812800</xdr:colOff>
          <xdr:row>58</xdr:row>
          <xdr:rowOff>0</xdr:rowOff>
        </xdr:to>
        <xdr:sp macro="" textlink="">
          <xdr:nvSpPr>
            <xdr:cNvPr id="19461" name="Spinner 5" hidden="1">
              <a:extLst>
                <a:ext uri="{63B3BB69-23CF-44E3-9099-C40C66FF867C}">
                  <a14:compatExt spid="_x0000_s19461"/>
                </a:ext>
                <a:ext uri="{FF2B5EF4-FFF2-40B4-BE49-F238E27FC236}">
                  <a16:creationId xmlns:a16="http://schemas.microsoft.com/office/drawing/2014/main" id="{00000000-0008-0000-1500-000005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58</xdr:row>
          <xdr:rowOff>0</xdr:rowOff>
        </xdr:from>
        <xdr:to>
          <xdr:col>4</xdr:col>
          <xdr:colOff>711200</xdr:colOff>
          <xdr:row>58</xdr:row>
          <xdr:rowOff>0</xdr:rowOff>
        </xdr:to>
        <xdr:sp macro="" textlink="">
          <xdr:nvSpPr>
            <xdr:cNvPr id="19462" name="Spinner 6" hidden="1">
              <a:extLst>
                <a:ext uri="{63B3BB69-23CF-44E3-9099-C40C66FF867C}">
                  <a14:compatExt spid="_x0000_s19462"/>
                </a:ext>
                <a:ext uri="{FF2B5EF4-FFF2-40B4-BE49-F238E27FC236}">
                  <a16:creationId xmlns:a16="http://schemas.microsoft.com/office/drawing/2014/main" id="{00000000-0008-0000-1500-000006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520700</xdr:colOff>
          <xdr:row>58</xdr:row>
          <xdr:rowOff>0</xdr:rowOff>
        </xdr:from>
        <xdr:to>
          <xdr:col>6</xdr:col>
          <xdr:colOff>723900</xdr:colOff>
          <xdr:row>58</xdr:row>
          <xdr:rowOff>0</xdr:rowOff>
        </xdr:to>
        <xdr:sp macro="" textlink="">
          <xdr:nvSpPr>
            <xdr:cNvPr id="19463" name="Spinner 7" hidden="1">
              <a:extLst>
                <a:ext uri="{63B3BB69-23CF-44E3-9099-C40C66FF867C}">
                  <a14:compatExt spid="_x0000_s19463"/>
                </a:ext>
                <a:ext uri="{FF2B5EF4-FFF2-40B4-BE49-F238E27FC236}">
                  <a16:creationId xmlns:a16="http://schemas.microsoft.com/office/drawing/2014/main" id="{00000000-0008-0000-1500-000007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457200</xdr:colOff>
          <xdr:row>58</xdr:row>
          <xdr:rowOff>0</xdr:rowOff>
        </xdr:from>
        <xdr:to>
          <xdr:col>10</xdr:col>
          <xdr:colOff>660400</xdr:colOff>
          <xdr:row>58</xdr:row>
          <xdr:rowOff>0</xdr:rowOff>
        </xdr:to>
        <xdr:sp macro="" textlink="">
          <xdr:nvSpPr>
            <xdr:cNvPr id="19464" name="Spinner 8" hidden="1">
              <a:extLst>
                <a:ext uri="{63B3BB69-23CF-44E3-9099-C40C66FF867C}">
                  <a14:compatExt spid="_x0000_s19464"/>
                </a:ext>
                <a:ext uri="{FF2B5EF4-FFF2-40B4-BE49-F238E27FC236}">
                  <a16:creationId xmlns:a16="http://schemas.microsoft.com/office/drawing/2014/main" id="{00000000-0008-0000-1500-000008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58</xdr:row>
          <xdr:rowOff>0</xdr:rowOff>
        </xdr:from>
        <xdr:to>
          <xdr:col>8</xdr:col>
          <xdr:colOff>736600</xdr:colOff>
          <xdr:row>58</xdr:row>
          <xdr:rowOff>0</xdr:rowOff>
        </xdr:to>
        <xdr:sp macro="" textlink="">
          <xdr:nvSpPr>
            <xdr:cNvPr id="19465" name="Spinner 9" hidden="1">
              <a:extLst>
                <a:ext uri="{63B3BB69-23CF-44E3-9099-C40C66FF867C}">
                  <a14:compatExt spid="_x0000_s19465"/>
                </a:ext>
                <a:ext uri="{FF2B5EF4-FFF2-40B4-BE49-F238E27FC236}">
                  <a16:creationId xmlns:a16="http://schemas.microsoft.com/office/drawing/2014/main" id="{00000000-0008-0000-1500-000009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58</xdr:row>
          <xdr:rowOff>0</xdr:rowOff>
        </xdr:from>
        <xdr:to>
          <xdr:col>9</xdr:col>
          <xdr:colOff>698500</xdr:colOff>
          <xdr:row>58</xdr:row>
          <xdr:rowOff>0</xdr:rowOff>
        </xdr:to>
        <xdr:sp macro="" textlink="">
          <xdr:nvSpPr>
            <xdr:cNvPr id="19466" name="Spinner 10" hidden="1">
              <a:extLst>
                <a:ext uri="{63B3BB69-23CF-44E3-9099-C40C66FF867C}">
                  <a14:compatExt spid="_x0000_s19466"/>
                </a:ext>
                <a:ext uri="{FF2B5EF4-FFF2-40B4-BE49-F238E27FC236}">
                  <a16:creationId xmlns:a16="http://schemas.microsoft.com/office/drawing/2014/main" id="{00000000-0008-0000-1500-00000A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9468" name="Spinner 12" hidden="1">
              <a:extLst>
                <a:ext uri="{63B3BB69-23CF-44E3-9099-C40C66FF867C}">
                  <a14:compatExt spid="_x0000_s19468"/>
                </a:ext>
                <a:ext uri="{FF2B5EF4-FFF2-40B4-BE49-F238E27FC236}">
                  <a16:creationId xmlns:a16="http://schemas.microsoft.com/office/drawing/2014/main" id="{00000000-0008-0000-1500-00000C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0</xdr:row>
          <xdr:rowOff>0</xdr:rowOff>
        </xdr:from>
        <xdr:to>
          <xdr:col>8</xdr:col>
          <xdr:colOff>736600</xdr:colOff>
          <xdr:row>0</xdr:row>
          <xdr:rowOff>0</xdr:rowOff>
        </xdr:to>
        <xdr:sp macro="" textlink="">
          <xdr:nvSpPr>
            <xdr:cNvPr id="19469" name="Spinner 13" hidden="1">
              <a:extLst>
                <a:ext uri="{63B3BB69-23CF-44E3-9099-C40C66FF867C}">
                  <a14:compatExt spid="_x0000_s19469"/>
                </a:ext>
                <a:ext uri="{FF2B5EF4-FFF2-40B4-BE49-F238E27FC236}">
                  <a16:creationId xmlns:a16="http://schemas.microsoft.com/office/drawing/2014/main" id="{00000000-0008-0000-1500-00000D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546100</xdr:colOff>
          <xdr:row>0</xdr:row>
          <xdr:rowOff>0</xdr:rowOff>
        </xdr:from>
        <xdr:to>
          <xdr:col>5</xdr:col>
          <xdr:colOff>749300</xdr:colOff>
          <xdr:row>0</xdr:row>
          <xdr:rowOff>0</xdr:rowOff>
        </xdr:to>
        <xdr:sp macro="" textlink="">
          <xdr:nvSpPr>
            <xdr:cNvPr id="19470" name="Spinner 14" hidden="1">
              <a:extLst>
                <a:ext uri="{63B3BB69-23CF-44E3-9099-C40C66FF867C}">
                  <a14:compatExt spid="_x0000_s19470"/>
                </a:ext>
                <a:ext uri="{FF2B5EF4-FFF2-40B4-BE49-F238E27FC236}">
                  <a16:creationId xmlns:a16="http://schemas.microsoft.com/office/drawing/2014/main" id="{00000000-0008-0000-1500-00000E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546100</xdr:colOff>
          <xdr:row>0</xdr:row>
          <xdr:rowOff>0</xdr:rowOff>
        </xdr:from>
        <xdr:to>
          <xdr:col>3</xdr:col>
          <xdr:colOff>749300</xdr:colOff>
          <xdr:row>0</xdr:row>
          <xdr:rowOff>0</xdr:rowOff>
        </xdr:to>
        <xdr:sp macro="" textlink="">
          <xdr:nvSpPr>
            <xdr:cNvPr id="19471" name="Spinner 15" hidden="1">
              <a:extLst>
                <a:ext uri="{63B3BB69-23CF-44E3-9099-C40C66FF867C}">
                  <a14:compatExt spid="_x0000_s19471"/>
                </a:ext>
                <a:ext uri="{FF2B5EF4-FFF2-40B4-BE49-F238E27FC236}">
                  <a16:creationId xmlns:a16="http://schemas.microsoft.com/office/drawing/2014/main" id="{00000000-0008-0000-1500-00000F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9472" name="Spinner 16" hidden="1">
              <a:extLst>
                <a:ext uri="{63B3BB69-23CF-44E3-9099-C40C66FF867C}">
                  <a14:compatExt spid="_x0000_s19472"/>
                </a:ext>
                <a:ext uri="{FF2B5EF4-FFF2-40B4-BE49-F238E27FC236}">
                  <a16:creationId xmlns:a16="http://schemas.microsoft.com/office/drawing/2014/main" id="{00000000-0008-0000-1500-000010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508000</xdr:colOff>
          <xdr:row>0</xdr:row>
          <xdr:rowOff>0</xdr:rowOff>
        </xdr:from>
        <xdr:to>
          <xdr:col>6</xdr:col>
          <xdr:colOff>711200</xdr:colOff>
          <xdr:row>0</xdr:row>
          <xdr:rowOff>0</xdr:rowOff>
        </xdr:to>
        <xdr:sp macro="" textlink="">
          <xdr:nvSpPr>
            <xdr:cNvPr id="19473" name="Spinner 17" hidden="1">
              <a:extLst>
                <a:ext uri="{63B3BB69-23CF-44E3-9099-C40C66FF867C}">
                  <a14:compatExt spid="_x0000_s19473"/>
                </a:ext>
                <a:ext uri="{FF2B5EF4-FFF2-40B4-BE49-F238E27FC236}">
                  <a16:creationId xmlns:a16="http://schemas.microsoft.com/office/drawing/2014/main" id="{00000000-0008-0000-1500-000011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0</xdr:row>
          <xdr:rowOff>0</xdr:rowOff>
        </xdr:from>
        <xdr:to>
          <xdr:col>7</xdr:col>
          <xdr:colOff>685800</xdr:colOff>
          <xdr:row>0</xdr:row>
          <xdr:rowOff>0</xdr:rowOff>
        </xdr:to>
        <xdr:sp macro="" textlink="">
          <xdr:nvSpPr>
            <xdr:cNvPr id="19481" name="Spinner 25" hidden="1">
              <a:extLst>
                <a:ext uri="{63B3BB69-23CF-44E3-9099-C40C66FF867C}">
                  <a14:compatExt spid="_x0000_s19481"/>
                </a:ext>
                <a:ext uri="{FF2B5EF4-FFF2-40B4-BE49-F238E27FC236}">
                  <a16:creationId xmlns:a16="http://schemas.microsoft.com/office/drawing/2014/main" id="{00000000-0008-0000-1500-000019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520700</xdr:colOff>
          <xdr:row>0</xdr:row>
          <xdr:rowOff>0</xdr:rowOff>
        </xdr:from>
        <xdr:to>
          <xdr:col>8</xdr:col>
          <xdr:colOff>723900</xdr:colOff>
          <xdr:row>0</xdr:row>
          <xdr:rowOff>0</xdr:rowOff>
        </xdr:to>
        <xdr:sp macro="" textlink="">
          <xdr:nvSpPr>
            <xdr:cNvPr id="19482" name="Spinner 26" hidden="1">
              <a:extLst>
                <a:ext uri="{63B3BB69-23CF-44E3-9099-C40C66FF867C}">
                  <a14:compatExt spid="_x0000_s19482"/>
                </a:ext>
                <a:ext uri="{FF2B5EF4-FFF2-40B4-BE49-F238E27FC236}">
                  <a16:creationId xmlns:a16="http://schemas.microsoft.com/office/drawing/2014/main" id="{00000000-0008-0000-1500-00001A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0</xdr:row>
          <xdr:rowOff>0</xdr:rowOff>
        </xdr:from>
        <xdr:to>
          <xdr:col>5</xdr:col>
          <xdr:colOff>736600</xdr:colOff>
          <xdr:row>0</xdr:row>
          <xdr:rowOff>0</xdr:rowOff>
        </xdr:to>
        <xdr:sp macro="" textlink="">
          <xdr:nvSpPr>
            <xdr:cNvPr id="19483" name="Spinner 27" hidden="1">
              <a:extLst>
                <a:ext uri="{63B3BB69-23CF-44E3-9099-C40C66FF867C}">
                  <a14:compatExt spid="_x0000_s19483"/>
                </a:ext>
                <a:ext uri="{FF2B5EF4-FFF2-40B4-BE49-F238E27FC236}">
                  <a16:creationId xmlns:a16="http://schemas.microsoft.com/office/drawing/2014/main" id="{00000000-0008-0000-1500-00001B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0</xdr:row>
          <xdr:rowOff>0</xdr:rowOff>
        </xdr:from>
        <xdr:to>
          <xdr:col>3</xdr:col>
          <xdr:colOff>736600</xdr:colOff>
          <xdr:row>0</xdr:row>
          <xdr:rowOff>0</xdr:rowOff>
        </xdr:to>
        <xdr:sp macro="" textlink="">
          <xdr:nvSpPr>
            <xdr:cNvPr id="19484" name="Spinner 28" hidden="1">
              <a:extLst>
                <a:ext uri="{63B3BB69-23CF-44E3-9099-C40C66FF867C}">
                  <a14:compatExt spid="_x0000_s19484"/>
                </a:ext>
                <a:ext uri="{FF2B5EF4-FFF2-40B4-BE49-F238E27FC236}">
                  <a16:creationId xmlns:a16="http://schemas.microsoft.com/office/drawing/2014/main" id="{00000000-0008-0000-1500-00001C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0</xdr:row>
          <xdr:rowOff>0</xdr:rowOff>
        </xdr:from>
        <xdr:to>
          <xdr:col>4</xdr:col>
          <xdr:colOff>711200</xdr:colOff>
          <xdr:row>0</xdr:row>
          <xdr:rowOff>0</xdr:rowOff>
        </xdr:to>
        <xdr:sp macro="" textlink="">
          <xdr:nvSpPr>
            <xdr:cNvPr id="19485" name="Spinner 29" hidden="1">
              <a:extLst>
                <a:ext uri="{63B3BB69-23CF-44E3-9099-C40C66FF867C}">
                  <a14:compatExt spid="_x0000_s19485"/>
                </a:ext>
                <a:ext uri="{FF2B5EF4-FFF2-40B4-BE49-F238E27FC236}">
                  <a16:creationId xmlns:a16="http://schemas.microsoft.com/office/drawing/2014/main" id="{00000000-0008-0000-1500-00001D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533400</xdr:colOff>
          <xdr:row>0</xdr:row>
          <xdr:rowOff>0</xdr:rowOff>
        </xdr:from>
        <xdr:to>
          <xdr:col>6</xdr:col>
          <xdr:colOff>736600</xdr:colOff>
          <xdr:row>0</xdr:row>
          <xdr:rowOff>0</xdr:rowOff>
        </xdr:to>
        <xdr:sp macro="" textlink="">
          <xdr:nvSpPr>
            <xdr:cNvPr id="19486" name="Spinner 30" hidden="1">
              <a:extLst>
                <a:ext uri="{63B3BB69-23CF-44E3-9099-C40C66FF867C}">
                  <a14:compatExt spid="_x0000_s19486"/>
                </a:ext>
                <a:ext uri="{FF2B5EF4-FFF2-40B4-BE49-F238E27FC236}">
                  <a16:creationId xmlns:a16="http://schemas.microsoft.com/office/drawing/2014/main" id="{00000000-0008-0000-1500-00001E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xdr:row>
          <xdr:rowOff>25400</xdr:rowOff>
        </xdr:from>
        <xdr:to>
          <xdr:col>5</xdr:col>
          <xdr:colOff>863600</xdr:colOff>
          <xdr:row>3</xdr:row>
          <xdr:rowOff>0</xdr:rowOff>
        </xdr:to>
        <xdr:sp macro="" textlink="">
          <xdr:nvSpPr>
            <xdr:cNvPr id="19493" name="Drop Down 37" hidden="1">
              <a:extLst>
                <a:ext uri="{63B3BB69-23CF-44E3-9099-C40C66FF867C}">
                  <a14:compatExt spid="_x0000_s19493"/>
                </a:ext>
                <a:ext uri="{FF2B5EF4-FFF2-40B4-BE49-F238E27FC236}">
                  <a16:creationId xmlns:a16="http://schemas.microsoft.com/office/drawing/2014/main" id="{00000000-0008-0000-1500-00002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482600</xdr:colOff>
          <xdr:row>21</xdr:row>
          <xdr:rowOff>76200</xdr:rowOff>
        </xdr:from>
        <xdr:to>
          <xdr:col>7</xdr:col>
          <xdr:colOff>685800</xdr:colOff>
          <xdr:row>23</xdr:row>
          <xdr:rowOff>101600</xdr:rowOff>
        </xdr:to>
        <xdr:sp macro="" textlink="">
          <xdr:nvSpPr>
            <xdr:cNvPr id="19494" name="Spinner 38" hidden="1">
              <a:extLst>
                <a:ext uri="{63B3BB69-23CF-44E3-9099-C40C66FF867C}">
                  <a14:compatExt spid="_x0000_s19494"/>
                </a:ext>
                <a:ext uri="{FF2B5EF4-FFF2-40B4-BE49-F238E27FC236}">
                  <a16:creationId xmlns:a16="http://schemas.microsoft.com/office/drawing/2014/main" id="{00000000-0008-0000-1500-000026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533400</xdr:colOff>
          <xdr:row>21</xdr:row>
          <xdr:rowOff>50800</xdr:rowOff>
        </xdr:from>
        <xdr:to>
          <xdr:col>8</xdr:col>
          <xdr:colOff>736600</xdr:colOff>
          <xdr:row>23</xdr:row>
          <xdr:rowOff>76200</xdr:rowOff>
        </xdr:to>
        <xdr:sp macro="" textlink="">
          <xdr:nvSpPr>
            <xdr:cNvPr id="19495" name="Spinner 39" hidden="1">
              <a:extLst>
                <a:ext uri="{63B3BB69-23CF-44E3-9099-C40C66FF867C}">
                  <a14:compatExt spid="_x0000_s19495"/>
                </a:ext>
                <a:ext uri="{FF2B5EF4-FFF2-40B4-BE49-F238E27FC236}">
                  <a16:creationId xmlns:a16="http://schemas.microsoft.com/office/drawing/2014/main" id="{00000000-0008-0000-1500-000027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546100</xdr:colOff>
          <xdr:row>21</xdr:row>
          <xdr:rowOff>63500</xdr:rowOff>
        </xdr:from>
        <xdr:to>
          <xdr:col>5</xdr:col>
          <xdr:colOff>749300</xdr:colOff>
          <xdr:row>23</xdr:row>
          <xdr:rowOff>88900</xdr:rowOff>
        </xdr:to>
        <xdr:sp macro="" textlink="">
          <xdr:nvSpPr>
            <xdr:cNvPr id="19496" name="Spinner 40" hidden="1">
              <a:extLst>
                <a:ext uri="{63B3BB69-23CF-44E3-9099-C40C66FF867C}">
                  <a14:compatExt spid="_x0000_s19496"/>
                </a:ext>
                <a:ext uri="{FF2B5EF4-FFF2-40B4-BE49-F238E27FC236}">
                  <a16:creationId xmlns:a16="http://schemas.microsoft.com/office/drawing/2014/main" id="{00000000-0008-0000-1500-000028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546100</xdr:colOff>
          <xdr:row>21</xdr:row>
          <xdr:rowOff>50800</xdr:rowOff>
        </xdr:from>
        <xdr:to>
          <xdr:col>3</xdr:col>
          <xdr:colOff>749300</xdr:colOff>
          <xdr:row>23</xdr:row>
          <xdr:rowOff>101600</xdr:rowOff>
        </xdr:to>
        <xdr:sp macro="" textlink="">
          <xdr:nvSpPr>
            <xdr:cNvPr id="19497" name="Spinner 41" hidden="1">
              <a:extLst>
                <a:ext uri="{63B3BB69-23CF-44E3-9099-C40C66FF867C}">
                  <a14:compatExt spid="_x0000_s19497"/>
                </a:ext>
                <a:ext uri="{FF2B5EF4-FFF2-40B4-BE49-F238E27FC236}">
                  <a16:creationId xmlns:a16="http://schemas.microsoft.com/office/drawing/2014/main" id="{00000000-0008-0000-1500-000029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508000</xdr:colOff>
          <xdr:row>21</xdr:row>
          <xdr:rowOff>25400</xdr:rowOff>
        </xdr:from>
        <xdr:to>
          <xdr:col>4</xdr:col>
          <xdr:colOff>711200</xdr:colOff>
          <xdr:row>23</xdr:row>
          <xdr:rowOff>76200</xdr:rowOff>
        </xdr:to>
        <xdr:sp macro="" textlink="">
          <xdr:nvSpPr>
            <xdr:cNvPr id="19498" name="Spinner 42" hidden="1">
              <a:extLst>
                <a:ext uri="{63B3BB69-23CF-44E3-9099-C40C66FF867C}">
                  <a14:compatExt spid="_x0000_s19498"/>
                </a:ext>
                <a:ext uri="{FF2B5EF4-FFF2-40B4-BE49-F238E27FC236}">
                  <a16:creationId xmlns:a16="http://schemas.microsoft.com/office/drawing/2014/main" id="{00000000-0008-0000-1500-00002A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508000</xdr:colOff>
          <xdr:row>21</xdr:row>
          <xdr:rowOff>50800</xdr:rowOff>
        </xdr:from>
        <xdr:to>
          <xdr:col>6</xdr:col>
          <xdr:colOff>711200</xdr:colOff>
          <xdr:row>23</xdr:row>
          <xdr:rowOff>101600</xdr:rowOff>
        </xdr:to>
        <xdr:sp macro="" textlink="">
          <xdr:nvSpPr>
            <xdr:cNvPr id="19499" name="Spinner 43" hidden="1">
              <a:extLst>
                <a:ext uri="{63B3BB69-23CF-44E3-9099-C40C66FF867C}">
                  <a14:compatExt spid="_x0000_s19499"/>
                </a:ext>
                <a:ext uri="{FF2B5EF4-FFF2-40B4-BE49-F238E27FC236}">
                  <a16:creationId xmlns:a16="http://schemas.microsoft.com/office/drawing/2014/main" id="{00000000-0008-0000-1500-00002B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19</xdr:row>
          <xdr:rowOff>25400</xdr:rowOff>
        </xdr:from>
        <xdr:to>
          <xdr:col>3</xdr:col>
          <xdr:colOff>863600</xdr:colOff>
          <xdr:row>20</xdr:row>
          <xdr:rowOff>50800</xdr:rowOff>
        </xdr:to>
        <xdr:sp macro="" textlink="">
          <xdr:nvSpPr>
            <xdr:cNvPr id="19500" name="Drop Down 44" hidden="1">
              <a:extLst>
                <a:ext uri="{63B3BB69-23CF-44E3-9099-C40C66FF867C}">
                  <a14:compatExt spid="_x0000_s19500"/>
                </a:ext>
                <a:ext uri="{FF2B5EF4-FFF2-40B4-BE49-F238E27FC236}">
                  <a16:creationId xmlns:a16="http://schemas.microsoft.com/office/drawing/2014/main" id="{00000000-0008-0000-1500-00002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19</xdr:row>
          <xdr:rowOff>25400</xdr:rowOff>
        </xdr:from>
        <xdr:to>
          <xdr:col>4</xdr:col>
          <xdr:colOff>863600</xdr:colOff>
          <xdr:row>20</xdr:row>
          <xdr:rowOff>50800</xdr:rowOff>
        </xdr:to>
        <xdr:sp macro="" textlink="">
          <xdr:nvSpPr>
            <xdr:cNvPr id="19501" name="Drop Down 45" hidden="1">
              <a:extLst>
                <a:ext uri="{63B3BB69-23CF-44E3-9099-C40C66FF867C}">
                  <a14:compatExt spid="_x0000_s19501"/>
                </a:ext>
                <a:ext uri="{FF2B5EF4-FFF2-40B4-BE49-F238E27FC236}">
                  <a16:creationId xmlns:a16="http://schemas.microsoft.com/office/drawing/2014/main" id="{00000000-0008-0000-1500-00002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19</xdr:row>
          <xdr:rowOff>25400</xdr:rowOff>
        </xdr:from>
        <xdr:to>
          <xdr:col>5</xdr:col>
          <xdr:colOff>863600</xdr:colOff>
          <xdr:row>20</xdr:row>
          <xdr:rowOff>50800</xdr:rowOff>
        </xdr:to>
        <xdr:sp macro="" textlink="">
          <xdr:nvSpPr>
            <xdr:cNvPr id="19502" name="Drop Down 46" hidden="1">
              <a:extLst>
                <a:ext uri="{63B3BB69-23CF-44E3-9099-C40C66FF867C}">
                  <a14:compatExt spid="_x0000_s19502"/>
                </a:ext>
                <a:ext uri="{FF2B5EF4-FFF2-40B4-BE49-F238E27FC236}">
                  <a16:creationId xmlns:a16="http://schemas.microsoft.com/office/drawing/2014/main" id="{00000000-0008-0000-1500-00002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19</xdr:row>
          <xdr:rowOff>25400</xdr:rowOff>
        </xdr:from>
        <xdr:to>
          <xdr:col>6</xdr:col>
          <xdr:colOff>863600</xdr:colOff>
          <xdr:row>20</xdr:row>
          <xdr:rowOff>50800</xdr:rowOff>
        </xdr:to>
        <xdr:sp macro="" textlink="">
          <xdr:nvSpPr>
            <xdr:cNvPr id="19503" name="Drop Down 47" hidden="1">
              <a:extLst>
                <a:ext uri="{63B3BB69-23CF-44E3-9099-C40C66FF867C}">
                  <a14:compatExt spid="_x0000_s19503"/>
                </a:ext>
                <a:ext uri="{FF2B5EF4-FFF2-40B4-BE49-F238E27FC236}">
                  <a16:creationId xmlns:a16="http://schemas.microsoft.com/office/drawing/2014/main" id="{00000000-0008-0000-1500-00002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19</xdr:row>
          <xdr:rowOff>25400</xdr:rowOff>
        </xdr:from>
        <xdr:to>
          <xdr:col>7</xdr:col>
          <xdr:colOff>863600</xdr:colOff>
          <xdr:row>20</xdr:row>
          <xdr:rowOff>50800</xdr:rowOff>
        </xdr:to>
        <xdr:sp macro="" textlink="">
          <xdr:nvSpPr>
            <xdr:cNvPr id="19504" name="Drop Down 48" hidden="1">
              <a:extLst>
                <a:ext uri="{63B3BB69-23CF-44E3-9099-C40C66FF867C}">
                  <a14:compatExt spid="_x0000_s19504"/>
                </a:ext>
                <a:ext uri="{FF2B5EF4-FFF2-40B4-BE49-F238E27FC236}">
                  <a16:creationId xmlns:a16="http://schemas.microsoft.com/office/drawing/2014/main" id="{00000000-0008-0000-1500-00003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19</xdr:row>
          <xdr:rowOff>25400</xdr:rowOff>
        </xdr:from>
        <xdr:to>
          <xdr:col>8</xdr:col>
          <xdr:colOff>863600</xdr:colOff>
          <xdr:row>20</xdr:row>
          <xdr:rowOff>50800</xdr:rowOff>
        </xdr:to>
        <xdr:sp macro="" textlink="">
          <xdr:nvSpPr>
            <xdr:cNvPr id="19505" name="Drop Down 49" hidden="1">
              <a:extLst>
                <a:ext uri="{63B3BB69-23CF-44E3-9099-C40C66FF867C}">
                  <a14:compatExt spid="_x0000_s19505"/>
                </a:ext>
                <a:ext uri="{FF2B5EF4-FFF2-40B4-BE49-F238E27FC236}">
                  <a16:creationId xmlns:a16="http://schemas.microsoft.com/office/drawing/2014/main" id="{00000000-0008-0000-1500-00003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wb333239/AppData/Local/Temp/Rar$DI00.029/Financial%20Model%20for%20Railways%20Toolkit%2031MAR11%20v2.xlsx" TargetMode="External"/><Relationship Id="rId1" Type="http://schemas.openxmlformats.org/officeDocument/2006/relationships/externalLinkPath" Target="/Users/wb333239/AppData/Local/Temp/Rar$DI00.029/Financial%20Model%20for%20Railways%20Toolkit%2031MAR11%20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ver"/>
      <sheetName val="Assumptions - General"/>
      <sheetName val="Assumptions - Freight"/>
      <sheetName val="Assumptions - Passenger"/>
      <sheetName val="Assumptions - Infrastructure"/>
      <sheetName val="Assumptions - Consolidated"/>
      <sheetName val="Calculations"/>
      <sheetName val="Balance sheet"/>
      <sheetName val="Income statement"/>
      <sheetName val="Cash flow statement"/>
      <sheetName val="Charts - Consolidated"/>
      <sheetName val="Charts - Freight"/>
      <sheetName val="Charts - Passenger"/>
      <sheetName val="Charts - Infrastructure"/>
      <sheetName val="Results - Consolidated"/>
      <sheetName val="Results - Freight"/>
      <sheetName val="Results - Passenger"/>
      <sheetName val="Results - Infrastructure"/>
      <sheetName val="Scenarios - Consolidated"/>
      <sheetName val="Scenarios - Freight"/>
      <sheetName val="Scenarios - Passenger"/>
      <sheetName val="Scenarios - Infra"/>
    </sheetNames>
    <sheetDataSet>
      <sheetData sheetId="0"/>
      <sheetData sheetId="1"/>
      <sheetData sheetId="2">
        <row r="539">
          <cell r="E539">
            <v>3</v>
          </cell>
        </row>
        <row r="542">
          <cell r="E542">
            <v>50</v>
          </cell>
        </row>
        <row r="549">
          <cell r="E549">
            <v>1</v>
          </cell>
        </row>
      </sheetData>
      <sheetData sheetId="3"/>
      <sheetData sheetId="4"/>
      <sheetData sheetId="5"/>
      <sheetData sheetId="6"/>
      <sheetData sheetId="7"/>
      <sheetData sheetId="8"/>
      <sheetData sheetId="9">
        <row r="87">
          <cell r="E87">
            <v>0</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6.xml"/><Relationship Id="rId18" Type="http://schemas.openxmlformats.org/officeDocument/2006/relationships/ctrlProp" Target="../ctrlProps/ctrlProp31.xml"/><Relationship Id="rId26" Type="http://schemas.openxmlformats.org/officeDocument/2006/relationships/ctrlProp" Target="../ctrlProps/ctrlProp39.xml"/><Relationship Id="rId39" Type="http://schemas.openxmlformats.org/officeDocument/2006/relationships/ctrlProp" Target="../ctrlProps/ctrlProp52.xml"/><Relationship Id="rId21" Type="http://schemas.openxmlformats.org/officeDocument/2006/relationships/ctrlProp" Target="../ctrlProps/ctrlProp34.xml"/><Relationship Id="rId34" Type="http://schemas.openxmlformats.org/officeDocument/2006/relationships/ctrlProp" Target="../ctrlProps/ctrlProp47.xml"/><Relationship Id="rId42" Type="http://schemas.openxmlformats.org/officeDocument/2006/relationships/ctrlProp" Target="../ctrlProps/ctrlProp55.xml"/><Relationship Id="rId7" Type="http://schemas.openxmlformats.org/officeDocument/2006/relationships/ctrlProp" Target="../ctrlProps/ctrlProp20.xml"/><Relationship Id="rId2" Type="http://schemas.openxmlformats.org/officeDocument/2006/relationships/drawing" Target="../drawings/drawing15.xml"/><Relationship Id="rId16" Type="http://schemas.openxmlformats.org/officeDocument/2006/relationships/ctrlProp" Target="../ctrlProps/ctrlProp29.xml"/><Relationship Id="rId29" Type="http://schemas.openxmlformats.org/officeDocument/2006/relationships/ctrlProp" Target="../ctrlProps/ctrlProp42.xml"/><Relationship Id="rId1" Type="http://schemas.openxmlformats.org/officeDocument/2006/relationships/printerSettings" Target="../printerSettings/printerSettings16.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32" Type="http://schemas.openxmlformats.org/officeDocument/2006/relationships/ctrlProp" Target="../ctrlProps/ctrlProp45.xml"/><Relationship Id="rId37" Type="http://schemas.openxmlformats.org/officeDocument/2006/relationships/ctrlProp" Target="../ctrlProps/ctrlProp50.xml"/><Relationship Id="rId40" Type="http://schemas.openxmlformats.org/officeDocument/2006/relationships/ctrlProp" Target="../ctrlProps/ctrlProp53.xml"/><Relationship Id="rId45" Type="http://schemas.openxmlformats.org/officeDocument/2006/relationships/ctrlProp" Target="../ctrlProps/ctrlProp58.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28" Type="http://schemas.openxmlformats.org/officeDocument/2006/relationships/ctrlProp" Target="../ctrlProps/ctrlProp41.xml"/><Relationship Id="rId36" Type="http://schemas.openxmlformats.org/officeDocument/2006/relationships/ctrlProp" Target="../ctrlProps/ctrlProp49.xml"/><Relationship Id="rId10" Type="http://schemas.openxmlformats.org/officeDocument/2006/relationships/ctrlProp" Target="../ctrlProps/ctrlProp23.xml"/><Relationship Id="rId19" Type="http://schemas.openxmlformats.org/officeDocument/2006/relationships/ctrlProp" Target="../ctrlProps/ctrlProp32.xml"/><Relationship Id="rId31" Type="http://schemas.openxmlformats.org/officeDocument/2006/relationships/ctrlProp" Target="../ctrlProps/ctrlProp44.xml"/><Relationship Id="rId44" Type="http://schemas.openxmlformats.org/officeDocument/2006/relationships/ctrlProp" Target="../ctrlProps/ctrlProp57.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 Id="rId27" Type="http://schemas.openxmlformats.org/officeDocument/2006/relationships/ctrlProp" Target="../ctrlProps/ctrlProp40.xml"/><Relationship Id="rId30" Type="http://schemas.openxmlformats.org/officeDocument/2006/relationships/ctrlProp" Target="../ctrlProps/ctrlProp43.xml"/><Relationship Id="rId35" Type="http://schemas.openxmlformats.org/officeDocument/2006/relationships/ctrlProp" Target="../ctrlProps/ctrlProp48.xml"/><Relationship Id="rId43" Type="http://schemas.openxmlformats.org/officeDocument/2006/relationships/ctrlProp" Target="../ctrlProps/ctrlProp56.xml"/><Relationship Id="rId8" Type="http://schemas.openxmlformats.org/officeDocument/2006/relationships/ctrlProp" Target="../ctrlProps/ctrlProp21.xml"/><Relationship Id="rId3" Type="http://schemas.openxmlformats.org/officeDocument/2006/relationships/vmlDrawing" Target="../drawings/vmlDrawing3.vml"/><Relationship Id="rId12" Type="http://schemas.openxmlformats.org/officeDocument/2006/relationships/ctrlProp" Target="../ctrlProps/ctrlProp25.xml"/><Relationship Id="rId17" Type="http://schemas.openxmlformats.org/officeDocument/2006/relationships/ctrlProp" Target="../ctrlProps/ctrlProp30.xml"/><Relationship Id="rId25" Type="http://schemas.openxmlformats.org/officeDocument/2006/relationships/ctrlProp" Target="../ctrlProps/ctrlProp38.xml"/><Relationship Id="rId33" Type="http://schemas.openxmlformats.org/officeDocument/2006/relationships/ctrlProp" Target="../ctrlProps/ctrlProp46.xml"/><Relationship Id="rId38" Type="http://schemas.openxmlformats.org/officeDocument/2006/relationships/ctrlProp" Target="../ctrlProps/ctrlProp51.xml"/><Relationship Id="rId46" Type="http://schemas.openxmlformats.org/officeDocument/2006/relationships/ctrlProp" Target="../ctrlProps/ctrlProp59.xml"/><Relationship Id="rId20" Type="http://schemas.openxmlformats.org/officeDocument/2006/relationships/ctrlProp" Target="../ctrlProps/ctrlProp33.xml"/><Relationship Id="rId41" Type="http://schemas.openxmlformats.org/officeDocument/2006/relationships/ctrlProp" Target="../ctrlProps/ctrlProp54.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69.xml"/><Relationship Id="rId18" Type="http://schemas.openxmlformats.org/officeDocument/2006/relationships/ctrlProp" Target="../ctrlProps/ctrlProp74.xml"/><Relationship Id="rId26" Type="http://schemas.openxmlformats.org/officeDocument/2006/relationships/ctrlProp" Target="../ctrlProps/ctrlProp82.xml"/><Relationship Id="rId39" Type="http://schemas.openxmlformats.org/officeDocument/2006/relationships/ctrlProp" Target="../ctrlProps/ctrlProp95.xml"/><Relationship Id="rId21" Type="http://schemas.openxmlformats.org/officeDocument/2006/relationships/ctrlProp" Target="../ctrlProps/ctrlProp77.xml"/><Relationship Id="rId34" Type="http://schemas.openxmlformats.org/officeDocument/2006/relationships/ctrlProp" Target="../ctrlProps/ctrlProp90.xml"/><Relationship Id="rId42" Type="http://schemas.openxmlformats.org/officeDocument/2006/relationships/ctrlProp" Target="../ctrlProps/ctrlProp98.xml"/><Relationship Id="rId7" Type="http://schemas.openxmlformats.org/officeDocument/2006/relationships/ctrlProp" Target="../ctrlProps/ctrlProp63.xml"/><Relationship Id="rId2" Type="http://schemas.openxmlformats.org/officeDocument/2006/relationships/drawing" Target="../drawings/drawing16.xml"/><Relationship Id="rId16" Type="http://schemas.openxmlformats.org/officeDocument/2006/relationships/ctrlProp" Target="../ctrlProps/ctrlProp72.xml"/><Relationship Id="rId20" Type="http://schemas.openxmlformats.org/officeDocument/2006/relationships/ctrlProp" Target="../ctrlProps/ctrlProp76.xml"/><Relationship Id="rId29" Type="http://schemas.openxmlformats.org/officeDocument/2006/relationships/ctrlProp" Target="../ctrlProps/ctrlProp85.xml"/><Relationship Id="rId41" Type="http://schemas.openxmlformats.org/officeDocument/2006/relationships/ctrlProp" Target="../ctrlProps/ctrlProp97.xml"/><Relationship Id="rId1" Type="http://schemas.openxmlformats.org/officeDocument/2006/relationships/printerSettings" Target="../printerSettings/printerSettings17.bin"/><Relationship Id="rId6" Type="http://schemas.openxmlformats.org/officeDocument/2006/relationships/ctrlProp" Target="../ctrlProps/ctrlProp62.xml"/><Relationship Id="rId11" Type="http://schemas.openxmlformats.org/officeDocument/2006/relationships/ctrlProp" Target="../ctrlProps/ctrlProp67.xml"/><Relationship Id="rId24" Type="http://schemas.openxmlformats.org/officeDocument/2006/relationships/ctrlProp" Target="../ctrlProps/ctrlProp80.xml"/><Relationship Id="rId32" Type="http://schemas.openxmlformats.org/officeDocument/2006/relationships/ctrlProp" Target="../ctrlProps/ctrlProp88.xml"/><Relationship Id="rId37" Type="http://schemas.openxmlformats.org/officeDocument/2006/relationships/ctrlProp" Target="../ctrlProps/ctrlProp93.xml"/><Relationship Id="rId40" Type="http://schemas.openxmlformats.org/officeDocument/2006/relationships/ctrlProp" Target="../ctrlProps/ctrlProp96.xml"/><Relationship Id="rId5" Type="http://schemas.openxmlformats.org/officeDocument/2006/relationships/ctrlProp" Target="../ctrlProps/ctrlProp61.xml"/><Relationship Id="rId15" Type="http://schemas.openxmlformats.org/officeDocument/2006/relationships/ctrlProp" Target="../ctrlProps/ctrlProp71.xml"/><Relationship Id="rId23" Type="http://schemas.openxmlformats.org/officeDocument/2006/relationships/ctrlProp" Target="../ctrlProps/ctrlProp79.xml"/><Relationship Id="rId28" Type="http://schemas.openxmlformats.org/officeDocument/2006/relationships/ctrlProp" Target="../ctrlProps/ctrlProp84.xml"/><Relationship Id="rId36" Type="http://schemas.openxmlformats.org/officeDocument/2006/relationships/ctrlProp" Target="../ctrlProps/ctrlProp92.xml"/><Relationship Id="rId10" Type="http://schemas.openxmlformats.org/officeDocument/2006/relationships/ctrlProp" Target="../ctrlProps/ctrlProp66.xml"/><Relationship Id="rId19" Type="http://schemas.openxmlformats.org/officeDocument/2006/relationships/ctrlProp" Target="../ctrlProps/ctrlProp75.xml"/><Relationship Id="rId31" Type="http://schemas.openxmlformats.org/officeDocument/2006/relationships/ctrlProp" Target="../ctrlProps/ctrlProp87.xml"/><Relationship Id="rId44" Type="http://schemas.openxmlformats.org/officeDocument/2006/relationships/ctrlProp" Target="../ctrlProps/ctrlProp100.xml"/><Relationship Id="rId4" Type="http://schemas.openxmlformats.org/officeDocument/2006/relationships/ctrlProp" Target="../ctrlProps/ctrlProp60.xml"/><Relationship Id="rId9" Type="http://schemas.openxmlformats.org/officeDocument/2006/relationships/ctrlProp" Target="../ctrlProps/ctrlProp65.xml"/><Relationship Id="rId14" Type="http://schemas.openxmlformats.org/officeDocument/2006/relationships/ctrlProp" Target="../ctrlProps/ctrlProp70.xml"/><Relationship Id="rId22" Type="http://schemas.openxmlformats.org/officeDocument/2006/relationships/ctrlProp" Target="../ctrlProps/ctrlProp78.xml"/><Relationship Id="rId27" Type="http://schemas.openxmlformats.org/officeDocument/2006/relationships/ctrlProp" Target="../ctrlProps/ctrlProp83.xml"/><Relationship Id="rId30" Type="http://schemas.openxmlformats.org/officeDocument/2006/relationships/ctrlProp" Target="../ctrlProps/ctrlProp86.xml"/><Relationship Id="rId35" Type="http://schemas.openxmlformats.org/officeDocument/2006/relationships/ctrlProp" Target="../ctrlProps/ctrlProp91.xml"/><Relationship Id="rId43" Type="http://schemas.openxmlformats.org/officeDocument/2006/relationships/ctrlProp" Target="../ctrlProps/ctrlProp99.xml"/><Relationship Id="rId8" Type="http://schemas.openxmlformats.org/officeDocument/2006/relationships/ctrlProp" Target="../ctrlProps/ctrlProp64.xml"/><Relationship Id="rId3" Type="http://schemas.openxmlformats.org/officeDocument/2006/relationships/vmlDrawing" Target="../drawings/vmlDrawing4.vml"/><Relationship Id="rId12" Type="http://schemas.openxmlformats.org/officeDocument/2006/relationships/ctrlProp" Target="../ctrlProps/ctrlProp68.xml"/><Relationship Id="rId17" Type="http://schemas.openxmlformats.org/officeDocument/2006/relationships/ctrlProp" Target="../ctrlProps/ctrlProp73.xml"/><Relationship Id="rId25" Type="http://schemas.openxmlformats.org/officeDocument/2006/relationships/ctrlProp" Target="../ctrlProps/ctrlProp81.xml"/><Relationship Id="rId33" Type="http://schemas.openxmlformats.org/officeDocument/2006/relationships/ctrlProp" Target="../ctrlProps/ctrlProp89.xml"/><Relationship Id="rId38" Type="http://schemas.openxmlformats.org/officeDocument/2006/relationships/ctrlProp" Target="../ctrlProps/ctrlProp94.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110.xml"/><Relationship Id="rId18" Type="http://schemas.openxmlformats.org/officeDocument/2006/relationships/ctrlProp" Target="../ctrlProps/ctrlProp115.xml"/><Relationship Id="rId26" Type="http://schemas.openxmlformats.org/officeDocument/2006/relationships/ctrlProp" Target="../ctrlProps/ctrlProp123.xml"/><Relationship Id="rId39" Type="http://schemas.openxmlformats.org/officeDocument/2006/relationships/ctrlProp" Target="../ctrlProps/ctrlProp136.xml"/><Relationship Id="rId21" Type="http://schemas.openxmlformats.org/officeDocument/2006/relationships/ctrlProp" Target="../ctrlProps/ctrlProp118.xml"/><Relationship Id="rId34" Type="http://schemas.openxmlformats.org/officeDocument/2006/relationships/ctrlProp" Target="../ctrlProps/ctrlProp131.xml"/><Relationship Id="rId42" Type="http://schemas.openxmlformats.org/officeDocument/2006/relationships/ctrlProp" Target="../ctrlProps/ctrlProp139.xml"/><Relationship Id="rId47" Type="http://schemas.openxmlformats.org/officeDocument/2006/relationships/ctrlProp" Target="../ctrlProps/ctrlProp144.xml"/><Relationship Id="rId50" Type="http://schemas.openxmlformats.org/officeDocument/2006/relationships/ctrlProp" Target="../ctrlProps/ctrlProp147.xml"/><Relationship Id="rId7" Type="http://schemas.openxmlformats.org/officeDocument/2006/relationships/ctrlProp" Target="../ctrlProps/ctrlProp104.xml"/><Relationship Id="rId2" Type="http://schemas.openxmlformats.org/officeDocument/2006/relationships/drawing" Target="../drawings/drawing17.xml"/><Relationship Id="rId16" Type="http://schemas.openxmlformats.org/officeDocument/2006/relationships/ctrlProp" Target="../ctrlProps/ctrlProp113.xml"/><Relationship Id="rId29" Type="http://schemas.openxmlformats.org/officeDocument/2006/relationships/ctrlProp" Target="../ctrlProps/ctrlProp126.xml"/><Relationship Id="rId11" Type="http://schemas.openxmlformats.org/officeDocument/2006/relationships/ctrlProp" Target="../ctrlProps/ctrlProp108.xml"/><Relationship Id="rId24" Type="http://schemas.openxmlformats.org/officeDocument/2006/relationships/ctrlProp" Target="../ctrlProps/ctrlProp121.xml"/><Relationship Id="rId32" Type="http://schemas.openxmlformats.org/officeDocument/2006/relationships/ctrlProp" Target="../ctrlProps/ctrlProp129.xml"/><Relationship Id="rId37" Type="http://schemas.openxmlformats.org/officeDocument/2006/relationships/ctrlProp" Target="../ctrlProps/ctrlProp134.xml"/><Relationship Id="rId40" Type="http://schemas.openxmlformats.org/officeDocument/2006/relationships/ctrlProp" Target="../ctrlProps/ctrlProp137.xml"/><Relationship Id="rId45" Type="http://schemas.openxmlformats.org/officeDocument/2006/relationships/ctrlProp" Target="../ctrlProps/ctrlProp142.xml"/><Relationship Id="rId5" Type="http://schemas.openxmlformats.org/officeDocument/2006/relationships/ctrlProp" Target="../ctrlProps/ctrlProp102.xml"/><Relationship Id="rId15" Type="http://schemas.openxmlformats.org/officeDocument/2006/relationships/ctrlProp" Target="../ctrlProps/ctrlProp112.xml"/><Relationship Id="rId23" Type="http://schemas.openxmlformats.org/officeDocument/2006/relationships/ctrlProp" Target="../ctrlProps/ctrlProp120.xml"/><Relationship Id="rId28" Type="http://schemas.openxmlformats.org/officeDocument/2006/relationships/ctrlProp" Target="../ctrlProps/ctrlProp125.xml"/><Relationship Id="rId36" Type="http://schemas.openxmlformats.org/officeDocument/2006/relationships/ctrlProp" Target="../ctrlProps/ctrlProp133.xml"/><Relationship Id="rId49" Type="http://schemas.openxmlformats.org/officeDocument/2006/relationships/ctrlProp" Target="../ctrlProps/ctrlProp146.xml"/><Relationship Id="rId10" Type="http://schemas.openxmlformats.org/officeDocument/2006/relationships/ctrlProp" Target="../ctrlProps/ctrlProp107.xml"/><Relationship Id="rId19" Type="http://schemas.openxmlformats.org/officeDocument/2006/relationships/ctrlProp" Target="../ctrlProps/ctrlProp116.xml"/><Relationship Id="rId31" Type="http://schemas.openxmlformats.org/officeDocument/2006/relationships/ctrlProp" Target="../ctrlProps/ctrlProp128.xml"/><Relationship Id="rId44" Type="http://schemas.openxmlformats.org/officeDocument/2006/relationships/ctrlProp" Target="../ctrlProps/ctrlProp141.xml"/><Relationship Id="rId4" Type="http://schemas.openxmlformats.org/officeDocument/2006/relationships/ctrlProp" Target="../ctrlProps/ctrlProp101.xml"/><Relationship Id="rId9" Type="http://schemas.openxmlformats.org/officeDocument/2006/relationships/ctrlProp" Target="../ctrlProps/ctrlProp106.xml"/><Relationship Id="rId14" Type="http://schemas.openxmlformats.org/officeDocument/2006/relationships/ctrlProp" Target="../ctrlProps/ctrlProp111.xml"/><Relationship Id="rId22" Type="http://schemas.openxmlformats.org/officeDocument/2006/relationships/ctrlProp" Target="../ctrlProps/ctrlProp119.xml"/><Relationship Id="rId27" Type="http://schemas.openxmlformats.org/officeDocument/2006/relationships/ctrlProp" Target="../ctrlProps/ctrlProp124.xml"/><Relationship Id="rId30" Type="http://schemas.openxmlformats.org/officeDocument/2006/relationships/ctrlProp" Target="../ctrlProps/ctrlProp127.xml"/><Relationship Id="rId35" Type="http://schemas.openxmlformats.org/officeDocument/2006/relationships/ctrlProp" Target="../ctrlProps/ctrlProp132.xml"/><Relationship Id="rId43" Type="http://schemas.openxmlformats.org/officeDocument/2006/relationships/ctrlProp" Target="../ctrlProps/ctrlProp140.xml"/><Relationship Id="rId48" Type="http://schemas.openxmlformats.org/officeDocument/2006/relationships/ctrlProp" Target="../ctrlProps/ctrlProp145.xml"/><Relationship Id="rId8" Type="http://schemas.openxmlformats.org/officeDocument/2006/relationships/ctrlProp" Target="../ctrlProps/ctrlProp105.xml"/><Relationship Id="rId3" Type="http://schemas.openxmlformats.org/officeDocument/2006/relationships/vmlDrawing" Target="../drawings/vmlDrawing5.vml"/><Relationship Id="rId12" Type="http://schemas.openxmlformats.org/officeDocument/2006/relationships/ctrlProp" Target="../ctrlProps/ctrlProp109.xml"/><Relationship Id="rId17" Type="http://schemas.openxmlformats.org/officeDocument/2006/relationships/ctrlProp" Target="../ctrlProps/ctrlProp114.xml"/><Relationship Id="rId25" Type="http://schemas.openxmlformats.org/officeDocument/2006/relationships/ctrlProp" Target="../ctrlProps/ctrlProp122.xml"/><Relationship Id="rId33" Type="http://schemas.openxmlformats.org/officeDocument/2006/relationships/ctrlProp" Target="../ctrlProps/ctrlProp130.xml"/><Relationship Id="rId38" Type="http://schemas.openxmlformats.org/officeDocument/2006/relationships/ctrlProp" Target="../ctrlProps/ctrlProp135.xml"/><Relationship Id="rId46" Type="http://schemas.openxmlformats.org/officeDocument/2006/relationships/ctrlProp" Target="../ctrlProps/ctrlProp143.xml"/><Relationship Id="rId20" Type="http://schemas.openxmlformats.org/officeDocument/2006/relationships/ctrlProp" Target="../ctrlProps/ctrlProp117.xml"/><Relationship Id="rId41" Type="http://schemas.openxmlformats.org/officeDocument/2006/relationships/ctrlProp" Target="../ctrlProps/ctrlProp138.xml"/><Relationship Id="rId1" Type="http://schemas.openxmlformats.org/officeDocument/2006/relationships/printerSettings" Target="../printerSettings/printerSettings18.bin"/><Relationship Id="rId6" Type="http://schemas.openxmlformats.org/officeDocument/2006/relationships/ctrlProp" Target="../ctrlProps/ctrlProp103.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157.xml"/><Relationship Id="rId18" Type="http://schemas.openxmlformats.org/officeDocument/2006/relationships/ctrlProp" Target="../ctrlProps/ctrlProp162.xml"/><Relationship Id="rId26" Type="http://schemas.openxmlformats.org/officeDocument/2006/relationships/ctrlProp" Target="../ctrlProps/ctrlProp170.xml"/><Relationship Id="rId21" Type="http://schemas.openxmlformats.org/officeDocument/2006/relationships/ctrlProp" Target="../ctrlProps/ctrlProp165.xml"/><Relationship Id="rId34" Type="http://schemas.openxmlformats.org/officeDocument/2006/relationships/ctrlProp" Target="../ctrlProps/ctrlProp178.xml"/><Relationship Id="rId7" Type="http://schemas.openxmlformats.org/officeDocument/2006/relationships/ctrlProp" Target="../ctrlProps/ctrlProp151.xml"/><Relationship Id="rId12" Type="http://schemas.openxmlformats.org/officeDocument/2006/relationships/ctrlProp" Target="../ctrlProps/ctrlProp156.xml"/><Relationship Id="rId17" Type="http://schemas.openxmlformats.org/officeDocument/2006/relationships/ctrlProp" Target="../ctrlProps/ctrlProp161.xml"/><Relationship Id="rId25" Type="http://schemas.openxmlformats.org/officeDocument/2006/relationships/ctrlProp" Target="../ctrlProps/ctrlProp169.xml"/><Relationship Id="rId33" Type="http://schemas.openxmlformats.org/officeDocument/2006/relationships/ctrlProp" Target="../ctrlProps/ctrlProp177.xml"/><Relationship Id="rId38" Type="http://schemas.openxmlformats.org/officeDocument/2006/relationships/ctrlProp" Target="../ctrlProps/ctrlProp182.xml"/><Relationship Id="rId2" Type="http://schemas.openxmlformats.org/officeDocument/2006/relationships/drawing" Target="../drawings/drawing18.xml"/><Relationship Id="rId16" Type="http://schemas.openxmlformats.org/officeDocument/2006/relationships/ctrlProp" Target="../ctrlProps/ctrlProp160.xml"/><Relationship Id="rId20" Type="http://schemas.openxmlformats.org/officeDocument/2006/relationships/ctrlProp" Target="../ctrlProps/ctrlProp164.xml"/><Relationship Id="rId29" Type="http://schemas.openxmlformats.org/officeDocument/2006/relationships/ctrlProp" Target="../ctrlProps/ctrlProp173.xml"/><Relationship Id="rId1" Type="http://schemas.openxmlformats.org/officeDocument/2006/relationships/printerSettings" Target="../printerSettings/printerSettings19.bin"/><Relationship Id="rId6" Type="http://schemas.openxmlformats.org/officeDocument/2006/relationships/ctrlProp" Target="../ctrlProps/ctrlProp150.xml"/><Relationship Id="rId11" Type="http://schemas.openxmlformats.org/officeDocument/2006/relationships/ctrlProp" Target="../ctrlProps/ctrlProp155.xml"/><Relationship Id="rId24" Type="http://schemas.openxmlformats.org/officeDocument/2006/relationships/ctrlProp" Target="../ctrlProps/ctrlProp168.xml"/><Relationship Id="rId32" Type="http://schemas.openxmlformats.org/officeDocument/2006/relationships/ctrlProp" Target="../ctrlProps/ctrlProp176.xml"/><Relationship Id="rId37" Type="http://schemas.openxmlformats.org/officeDocument/2006/relationships/ctrlProp" Target="../ctrlProps/ctrlProp181.xml"/><Relationship Id="rId5" Type="http://schemas.openxmlformats.org/officeDocument/2006/relationships/ctrlProp" Target="../ctrlProps/ctrlProp149.xml"/><Relationship Id="rId15" Type="http://schemas.openxmlformats.org/officeDocument/2006/relationships/ctrlProp" Target="../ctrlProps/ctrlProp159.xml"/><Relationship Id="rId23" Type="http://schemas.openxmlformats.org/officeDocument/2006/relationships/ctrlProp" Target="../ctrlProps/ctrlProp167.xml"/><Relationship Id="rId28" Type="http://schemas.openxmlformats.org/officeDocument/2006/relationships/ctrlProp" Target="../ctrlProps/ctrlProp172.xml"/><Relationship Id="rId36" Type="http://schemas.openxmlformats.org/officeDocument/2006/relationships/ctrlProp" Target="../ctrlProps/ctrlProp180.xml"/><Relationship Id="rId10" Type="http://schemas.openxmlformats.org/officeDocument/2006/relationships/ctrlProp" Target="../ctrlProps/ctrlProp154.xml"/><Relationship Id="rId19" Type="http://schemas.openxmlformats.org/officeDocument/2006/relationships/ctrlProp" Target="../ctrlProps/ctrlProp163.xml"/><Relationship Id="rId31" Type="http://schemas.openxmlformats.org/officeDocument/2006/relationships/ctrlProp" Target="../ctrlProps/ctrlProp175.xml"/><Relationship Id="rId4" Type="http://schemas.openxmlformats.org/officeDocument/2006/relationships/ctrlProp" Target="../ctrlProps/ctrlProp148.xml"/><Relationship Id="rId9" Type="http://schemas.openxmlformats.org/officeDocument/2006/relationships/ctrlProp" Target="../ctrlProps/ctrlProp153.xml"/><Relationship Id="rId14" Type="http://schemas.openxmlformats.org/officeDocument/2006/relationships/ctrlProp" Target="../ctrlProps/ctrlProp158.xml"/><Relationship Id="rId22" Type="http://schemas.openxmlformats.org/officeDocument/2006/relationships/ctrlProp" Target="../ctrlProps/ctrlProp166.xml"/><Relationship Id="rId27" Type="http://schemas.openxmlformats.org/officeDocument/2006/relationships/ctrlProp" Target="../ctrlProps/ctrlProp171.xml"/><Relationship Id="rId30" Type="http://schemas.openxmlformats.org/officeDocument/2006/relationships/ctrlProp" Target="../ctrlProps/ctrlProp174.xml"/><Relationship Id="rId35" Type="http://schemas.openxmlformats.org/officeDocument/2006/relationships/ctrlProp" Target="../ctrlProps/ctrlProp179.xml"/><Relationship Id="rId8" Type="http://schemas.openxmlformats.org/officeDocument/2006/relationships/ctrlProp" Target="../ctrlProps/ctrlProp152.xml"/><Relationship Id="rId3"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34"/>
  <sheetViews>
    <sheetView zoomScaleNormal="100" workbookViewId="0">
      <selection activeCell="L30" sqref="L30"/>
    </sheetView>
  </sheetViews>
  <sheetFormatPr baseColWidth="10" defaultColWidth="0" defaultRowHeight="15" x14ac:dyDescent="0.2"/>
  <cols>
    <col min="1" max="1" width="9.1640625" style="1" customWidth="1"/>
    <col min="2" max="2" width="10.6640625" style="1" bestFit="1" customWidth="1"/>
    <col min="3" max="14" width="9.1640625" style="1" customWidth="1"/>
    <col min="15" max="16384" width="9.1640625" style="1" hidden="1"/>
  </cols>
  <sheetData>
    <row r="1" spans="1:9" x14ac:dyDescent="0.2">
      <c r="A1"/>
      <c r="B1"/>
      <c r="C1"/>
      <c r="D1"/>
      <c r="E1"/>
      <c r="F1"/>
      <c r="G1"/>
      <c r="H1"/>
      <c r="I1"/>
    </row>
    <row r="2" spans="1:9" x14ac:dyDescent="0.2">
      <c r="A2"/>
      <c r="B2" s="486"/>
      <c r="C2"/>
      <c r="D2"/>
      <c r="E2"/>
      <c r="F2"/>
      <c r="G2"/>
      <c r="H2"/>
      <c r="I2"/>
    </row>
    <row r="3" spans="1:9" x14ac:dyDescent="0.2">
      <c r="A3"/>
      <c r="B3" s="487"/>
      <c r="C3" s="488"/>
      <c r="D3"/>
      <c r="E3"/>
      <c r="F3"/>
      <c r="G3"/>
      <c r="H3"/>
      <c r="I3"/>
    </row>
    <row r="4" spans="1:9" x14ac:dyDescent="0.2">
      <c r="A4"/>
      <c r="B4" s="489"/>
      <c r="C4"/>
      <c r="D4"/>
      <c r="E4"/>
      <c r="F4" s="490"/>
      <c r="G4"/>
      <c r="H4"/>
      <c r="I4"/>
    </row>
    <row r="26" spans="2:9" x14ac:dyDescent="0.2">
      <c r="B26" s="491"/>
    </row>
    <row r="27" spans="2:9" x14ac:dyDescent="0.2">
      <c r="B27" s="509"/>
      <c r="C27" s="509"/>
      <c r="D27" s="509"/>
      <c r="E27" s="509"/>
      <c r="F27" s="509"/>
      <c r="G27" s="509"/>
      <c r="H27" s="509"/>
      <c r="I27" s="509"/>
    </row>
    <row r="28" spans="2:9" x14ac:dyDescent="0.2">
      <c r="B28" s="509"/>
      <c r="C28" s="509"/>
      <c r="D28" s="509"/>
      <c r="E28" s="509"/>
      <c r="F28" s="509"/>
      <c r="G28" s="509"/>
      <c r="H28" s="509"/>
      <c r="I28" s="509"/>
    </row>
    <row r="29" spans="2:9" x14ac:dyDescent="0.2">
      <c r="B29" s="509"/>
      <c r="C29" s="509"/>
      <c r="D29" s="509"/>
      <c r="E29" s="509"/>
      <c r="F29" s="509"/>
      <c r="G29" s="509"/>
      <c r="H29" s="509"/>
      <c r="I29" s="509"/>
    </row>
    <row r="30" spans="2:9" x14ac:dyDescent="0.2">
      <c r="B30" s="509"/>
      <c r="C30" s="509"/>
      <c r="D30" s="509"/>
      <c r="E30" s="509"/>
      <c r="F30" s="509"/>
      <c r="G30" s="509"/>
      <c r="H30" s="509"/>
      <c r="I30" s="509"/>
    </row>
    <row r="31" spans="2:9" x14ac:dyDescent="0.2">
      <c r="B31" s="509"/>
      <c r="C31" s="509"/>
      <c r="D31" s="509"/>
      <c r="E31" s="509"/>
      <c r="F31" s="509"/>
      <c r="G31" s="509"/>
      <c r="H31" s="509"/>
      <c r="I31" s="509"/>
    </row>
    <row r="32" spans="2:9" x14ac:dyDescent="0.2">
      <c r="B32" s="509"/>
      <c r="C32" s="509"/>
      <c r="D32" s="509"/>
      <c r="E32" s="509"/>
      <c r="F32" s="509"/>
      <c r="G32" s="509"/>
      <c r="H32" s="509"/>
      <c r="I32" s="509"/>
    </row>
    <row r="33" spans="2:9" x14ac:dyDescent="0.2">
      <c r="B33" s="509"/>
      <c r="C33" s="509"/>
      <c r="D33" s="509"/>
      <c r="E33" s="509"/>
      <c r="F33" s="509"/>
      <c r="G33" s="509"/>
      <c r="H33" s="509"/>
      <c r="I33" s="509"/>
    </row>
    <row r="34" spans="2:9" x14ac:dyDescent="0.2">
      <c r="B34" s="509"/>
      <c r="C34" s="509"/>
      <c r="D34" s="509"/>
      <c r="E34" s="509"/>
      <c r="F34" s="509"/>
      <c r="G34" s="509"/>
      <c r="H34" s="509"/>
      <c r="I34" s="509"/>
    </row>
  </sheetData>
  <mergeCells count="1">
    <mergeCell ref="B27:I3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AH50"/>
  <sheetViews>
    <sheetView topLeftCell="A19" zoomScale="75" zoomScaleNormal="75" workbookViewId="0">
      <selection activeCell="A42" sqref="A42"/>
    </sheetView>
  </sheetViews>
  <sheetFormatPr baseColWidth="10" defaultColWidth="0" defaultRowHeight="15" x14ac:dyDescent="0.2"/>
  <cols>
    <col min="1" max="1" width="9.1640625" style="1" customWidth="1"/>
    <col min="2" max="2" width="15.33203125" style="1" customWidth="1"/>
    <col min="3" max="3" width="41.5" style="1" customWidth="1"/>
    <col min="4" max="4" width="36.5" style="1" customWidth="1"/>
    <col min="5" max="5" width="35.6640625" style="1" customWidth="1"/>
    <col min="6" max="6" width="11" style="1" bestFit="1" customWidth="1"/>
    <col min="7" max="13" width="11.33203125" style="1" bestFit="1" customWidth="1"/>
    <col min="14" max="28" width="10.5" style="1" bestFit="1" customWidth="1"/>
    <col min="29" max="29" width="11" style="1" customWidth="1"/>
    <col min="30" max="30" width="10.83203125" style="1" customWidth="1"/>
    <col min="31" max="31" width="11.33203125" style="1" customWidth="1"/>
    <col min="32" max="32" width="11.1640625" style="1" customWidth="1"/>
    <col min="33" max="33" width="11.6640625" style="1" customWidth="1"/>
    <col min="34" max="34" width="12.5" style="1" customWidth="1"/>
    <col min="35" max="35" width="9.1640625" style="18" customWidth="1"/>
    <col min="36" max="16384" width="0" style="18" hidden="1"/>
  </cols>
  <sheetData>
    <row r="1" spans="1:34" ht="13.5" customHeight="1" x14ac:dyDescent="0.2">
      <c r="A1" s="364"/>
      <c r="B1" s="363" t="s">
        <v>542</v>
      </c>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4"/>
      <c r="AC1" s="364"/>
      <c r="AD1" s="364"/>
      <c r="AE1" s="364"/>
      <c r="AF1" s="364"/>
      <c r="AG1" s="364"/>
      <c r="AH1" s="364"/>
    </row>
    <row r="2" spans="1:34" x14ac:dyDescent="0.2">
      <c r="A2" s="364"/>
      <c r="B2" s="365"/>
      <c r="C2" s="364"/>
      <c r="D2" s="364"/>
      <c r="E2" s="364"/>
      <c r="F2" s="364"/>
      <c r="G2" s="364"/>
      <c r="H2" s="364"/>
      <c r="I2" s="364"/>
      <c r="J2" s="364"/>
      <c r="K2" s="364"/>
      <c r="L2" s="364"/>
      <c r="M2" s="364"/>
      <c r="N2" s="364"/>
      <c r="O2" s="364"/>
      <c r="P2" s="364"/>
      <c r="Q2" s="364"/>
      <c r="R2" s="364"/>
      <c r="S2" s="364"/>
      <c r="T2" s="364"/>
      <c r="U2" s="364"/>
      <c r="V2" s="364"/>
      <c r="W2" s="364"/>
      <c r="X2" s="364"/>
      <c r="Y2" s="364"/>
      <c r="Z2" s="364"/>
      <c r="AA2" s="364"/>
      <c r="AB2" s="364"/>
      <c r="AC2" s="364"/>
      <c r="AD2" s="364"/>
      <c r="AE2" s="364"/>
      <c r="AF2" s="364"/>
      <c r="AG2" s="364"/>
      <c r="AH2" s="364"/>
    </row>
    <row r="3" spans="1:34" x14ac:dyDescent="0.2">
      <c r="A3" s="364"/>
      <c r="B3" s="365" t="str">
        <f>"All units in "  &amp;E27&amp;  " millions unless otherwise stated"</f>
        <v>All units in R$ millions unless otherwise stated</v>
      </c>
      <c r="C3" s="366"/>
      <c r="D3" s="364"/>
      <c r="E3" s="364"/>
      <c r="F3" s="364"/>
      <c r="G3" s="364"/>
      <c r="H3" s="364"/>
      <c r="I3" s="364"/>
      <c r="J3" s="364"/>
      <c r="K3" s="364"/>
      <c r="L3" s="364"/>
      <c r="M3" s="364"/>
      <c r="N3" s="364"/>
      <c r="O3" s="364"/>
      <c r="P3" s="364"/>
      <c r="Q3" s="364"/>
      <c r="R3" s="364"/>
      <c r="S3" s="364"/>
      <c r="T3" s="364"/>
      <c r="U3" s="364"/>
      <c r="V3" s="364"/>
      <c r="W3" s="364"/>
      <c r="X3" s="364"/>
      <c r="Y3" s="364"/>
      <c r="Z3" s="364"/>
      <c r="AA3" s="364"/>
      <c r="AB3" s="364"/>
      <c r="AC3" s="364"/>
      <c r="AD3" s="364"/>
      <c r="AE3" s="364"/>
      <c r="AF3" s="364"/>
      <c r="AG3" s="364"/>
      <c r="AH3" s="364"/>
    </row>
    <row r="4" spans="1:34" x14ac:dyDescent="0.2">
      <c r="A4" s="18"/>
      <c r="B4" s="77"/>
      <c r="C4" s="7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row>
    <row r="5" spans="1:34" s="20" customFormat="1" ht="14" x14ac:dyDescent="0.2">
      <c r="A5" s="8"/>
      <c r="B5" s="110"/>
      <c r="C5" s="8" t="s">
        <v>217</v>
      </c>
      <c r="D5" s="8"/>
      <c r="E5" s="510"/>
      <c r="F5" s="87">
        <v>1</v>
      </c>
      <c r="G5" s="8"/>
      <c r="H5" s="8"/>
      <c r="I5" s="8"/>
      <c r="J5" s="8"/>
      <c r="K5" s="8"/>
      <c r="L5" s="8"/>
      <c r="M5" s="8"/>
      <c r="N5" s="8"/>
      <c r="O5" s="8"/>
      <c r="P5" s="8"/>
      <c r="Q5" s="8"/>
      <c r="R5" s="8"/>
      <c r="S5" s="8"/>
      <c r="T5" s="8"/>
      <c r="U5" s="8"/>
      <c r="V5" s="8"/>
      <c r="W5" s="8"/>
      <c r="X5" s="8"/>
      <c r="Y5" s="8"/>
      <c r="Z5" s="8"/>
      <c r="AA5" s="8"/>
      <c r="AB5" s="8"/>
      <c r="AC5" s="8"/>
      <c r="AD5" s="8"/>
      <c r="AE5" s="8"/>
      <c r="AF5" s="8"/>
      <c r="AG5" s="8"/>
      <c r="AH5" s="8"/>
    </row>
    <row r="6" spans="1:34" s="20" customFormat="1" ht="14" x14ac:dyDescent="0.2">
      <c r="A6" s="8"/>
      <c r="B6" s="175"/>
      <c r="C6" s="8" t="s">
        <v>346</v>
      </c>
      <c r="D6" s="8"/>
      <c r="E6" s="511"/>
      <c r="F6" s="428"/>
      <c r="G6" s="428"/>
      <c r="H6" s="428"/>
      <c r="I6" s="428"/>
      <c r="J6" s="428"/>
      <c r="K6" s="428"/>
      <c r="L6" s="428"/>
      <c r="M6" s="428"/>
      <c r="N6" s="428"/>
      <c r="O6" s="428"/>
      <c r="P6" s="428"/>
      <c r="Q6" s="428"/>
      <c r="R6" s="428"/>
      <c r="S6" s="428"/>
      <c r="T6" s="8"/>
      <c r="U6" s="8"/>
      <c r="V6" s="8"/>
      <c r="W6" s="8"/>
      <c r="X6" s="8"/>
      <c r="Y6" s="8"/>
      <c r="Z6" s="8"/>
      <c r="AA6" s="8"/>
      <c r="AB6" s="8"/>
      <c r="AC6" s="8"/>
      <c r="AD6" s="8"/>
      <c r="AE6" s="8"/>
      <c r="AF6" s="8"/>
      <c r="AG6" s="8"/>
      <c r="AH6" s="8"/>
    </row>
    <row r="7" spans="1:34" ht="37" x14ac:dyDescent="0.45">
      <c r="D7" s="494"/>
      <c r="E7" s="511"/>
      <c r="F7" s="429"/>
      <c r="G7" s="429"/>
      <c r="H7" s="429"/>
      <c r="I7" s="429"/>
      <c r="J7" s="429"/>
      <c r="K7" s="429"/>
      <c r="L7" s="429"/>
      <c r="M7" s="429"/>
      <c r="N7" s="429"/>
      <c r="O7" s="429"/>
      <c r="P7" s="429"/>
      <c r="Q7" s="429"/>
      <c r="R7" s="429"/>
      <c r="S7" s="429"/>
    </row>
    <row r="8" spans="1:34" x14ac:dyDescent="0.2">
      <c r="A8" s="364"/>
      <c r="B8" s="363" t="s">
        <v>568</v>
      </c>
      <c r="C8" s="364"/>
      <c r="D8" s="364"/>
      <c r="E8" s="363"/>
      <c r="F8" s="430"/>
      <c r="G8" s="430"/>
      <c r="H8" s="430"/>
      <c r="I8" s="430"/>
      <c r="J8" s="430"/>
      <c r="K8" s="430"/>
      <c r="L8" s="430"/>
      <c r="M8" s="430"/>
      <c r="N8" s="430"/>
      <c r="O8" s="430"/>
      <c r="P8" s="430"/>
      <c r="Q8" s="430"/>
      <c r="R8" s="430"/>
      <c r="S8" s="430"/>
      <c r="T8" s="364"/>
      <c r="U8" s="364"/>
      <c r="V8" s="364"/>
      <c r="W8" s="364"/>
      <c r="X8" s="364"/>
      <c r="Y8" s="364"/>
      <c r="Z8" s="364"/>
      <c r="AA8" s="364"/>
      <c r="AB8" s="364"/>
      <c r="AC8" s="364"/>
      <c r="AD8" s="364"/>
      <c r="AE8" s="364"/>
      <c r="AF8" s="364"/>
      <c r="AG8" s="364"/>
      <c r="AH8" s="364"/>
    </row>
    <row r="9" spans="1:34" s="77" customFormat="1" x14ac:dyDescent="0.2">
      <c r="B9" s="17"/>
      <c r="E9" s="17"/>
      <c r="F9" s="421"/>
      <c r="K9" s="77" t="s">
        <v>561</v>
      </c>
      <c r="L9" s="87"/>
      <c r="N9" s="77" t="s">
        <v>565</v>
      </c>
      <c r="V9" s="421"/>
      <c r="W9" s="421"/>
      <c r="X9" s="421"/>
      <c r="Y9" s="421"/>
      <c r="Z9" s="421"/>
      <c r="AA9" s="421"/>
      <c r="AB9" s="421"/>
      <c r="AC9" s="421"/>
      <c r="AD9" s="421"/>
      <c r="AE9" s="421"/>
      <c r="AF9" s="421"/>
      <c r="AG9" s="421"/>
      <c r="AH9" s="421"/>
    </row>
    <row r="10" spans="1:34" s="77" customFormat="1" ht="16.5" customHeight="1" x14ac:dyDescent="0.2">
      <c r="B10" s="20" t="s">
        <v>482</v>
      </c>
      <c r="C10" s="310"/>
      <c r="D10" s="20" t="s">
        <v>209</v>
      </c>
      <c r="E10" s="17">
        <v>2</v>
      </c>
      <c r="F10" s="421"/>
      <c r="G10" s="77" t="s">
        <v>483</v>
      </c>
      <c r="H10" s="77" t="b">
        <v>1</v>
      </c>
      <c r="I10" s="77">
        <f>IF(H10=TRUE,2,0)</f>
        <v>2</v>
      </c>
      <c r="K10" s="77" t="s">
        <v>562</v>
      </c>
      <c r="L10" s="87"/>
      <c r="N10" s="77" t="s">
        <v>566</v>
      </c>
      <c r="V10" s="421"/>
      <c r="W10" s="421"/>
      <c r="X10" s="421"/>
      <c r="Y10" s="421"/>
      <c r="Z10" s="421"/>
      <c r="AA10" s="421"/>
      <c r="AB10" s="421"/>
      <c r="AC10" s="421"/>
      <c r="AD10" s="421"/>
      <c r="AE10" s="421"/>
      <c r="AF10" s="421"/>
      <c r="AG10" s="421"/>
      <c r="AH10" s="421"/>
    </row>
    <row r="11" spans="1:34" s="77" customFormat="1" ht="16.5" customHeight="1" x14ac:dyDescent="0.2">
      <c r="B11" s="20" t="s">
        <v>546</v>
      </c>
      <c r="C11" s="310"/>
      <c r="D11" s="20" t="s">
        <v>209</v>
      </c>
      <c r="E11" s="17"/>
      <c r="F11" s="421"/>
      <c r="G11" s="77" t="s">
        <v>484</v>
      </c>
      <c r="H11" s="77" t="b">
        <v>1</v>
      </c>
      <c r="I11" s="77">
        <f>IF(H11=TRUE,5,0)</f>
        <v>5</v>
      </c>
      <c r="K11" s="77" t="s">
        <v>558</v>
      </c>
      <c r="L11" s="87"/>
      <c r="M11" s="87"/>
      <c r="N11" s="77" t="s">
        <v>552</v>
      </c>
      <c r="V11" s="421"/>
      <c r="W11" s="421"/>
      <c r="X11" s="421"/>
      <c r="Y11" s="421"/>
      <c r="Z11" s="421"/>
      <c r="AA11" s="421"/>
      <c r="AB11" s="421"/>
      <c r="AC11" s="421"/>
      <c r="AD11" s="421"/>
      <c r="AE11" s="421"/>
      <c r="AF11" s="421"/>
      <c r="AG11" s="421"/>
      <c r="AH11" s="421"/>
    </row>
    <row r="12" spans="1:34" s="77" customFormat="1" ht="16.5" customHeight="1" x14ac:dyDescent="0.2">
      <c r="B12" s="20"/>
      <c r="C12" s="310"/>
      <c r="D12" s="20"/>
      <c r="E12" s="17"/>
      <c r="F12" s="421"/>
      <c r="K12" s="77" t="s">
        <v>559</v>
      </c>
      <c r="N12" s="77" t="s">
        <v>553</v>
      </c>
      <c r="V12" s="421"/>
      <c r="W12" s="421"/>
      <c r="X12" s="421"/>
      <c r="Y12" s="421"/>
      <c r="Z12" s="421"/>
      <c r="AA12" s="421"/>
      <c r="AB12" s="421"/>
      <c r="AC12" s="421"/>
      <c r="AD12" s="421"/>
      <c r="AE12" s="421"/>
      <c r="AF12" s="421"/>
      <c r="AG12" s="421"/>
      <c r="AH12" s="421"/>
    </row>
    <row r="13" spans="1:34" s="77" customFormat="1" ht="16.5" customHeight="1" thickBot="1" x14ac:dyDescent="0.25">
      <c r="B13" s="422"/>
      <c r="C13" s="422"/>
      <c r="D13" s="367"/>
      <c r="E13" s="367"/>
      <c r="F13" s="421"/>
      <c r="H13" s="77" t="b">
        <v>1</v>
      </c>
      <c r="I13" s="77">
        <f>IF(H13=TRUE,10,0)</f>
        <v>10</v>
      </c>
      <c r="K13" s="77" t="s">
        <v>560</v>
      </c>
      <c r="N13" s="77" t="s">
        <v>554</v>
      </c>
      <c r="V13" s="421"/>
      <c r="W13" s="421"/>
      <c r="X13" s="421"/>
      <c r="Y13" s="421"/>
      <c r="Z13" s="421"/>
      <c r="AA13" s="421"/>
      <c r="AB13" s="421"/>
      <c r="AC13" s="421"/>
      <c r="AD13" s="421"/>
      <c r="AE13" s="421"/>
      <c r="AF13" s="421"/>
      <c r="AG13" s="421"/>
      <c r="AH13" s="421"/>
    </row>
    <row r="14" spans="1:34" s="77" customFormat="1" ht="16.5" customHeight="1" x14ac:dyDescent="0.2">
      <c r="B14" s="173" t="s">
        <v>656</v>
      </c>
      <c r="C14" s="173"/>
      <c r="D14" s="424" t="s">
        <v>564</v>
      </c>
      <c r="E14" s="426" t="str">
        <f>IF($I$14=4,K15,IF($I$14=7,K16,IF($I$14=12,K17,IF($I$14=9,K18,IF($I$14=14,K19,IF($I$14=17,K11,IF($I$14=18,K12,IF($I$14=8,K13,IF($I$14=13,K9,IF($I$14=16,K10,IF($I$14=19,K14,"Not applicable")))))))))))</f>
        <v>Freight, passenger and infrastructure (separated)</v>
      </c>
      <c r="F14" s="421"/>
      <c r="I14" s="77">
        <f>E10+I10+I11+I13</f>
        <v>19</v>
      </c>
      <c r="K14" s="77" t="s">
        <v>555</v>
      </c>
      <c r="N14" s="77" t="s">
        <v>599</v>
      </c>
      <c r="V14" s="421"/>
      <c r="W14" s="421"/>
      <c r="X14" s="421"/>
      <c r="Y14" s="421"/>
      <c r="Z14" s="421"/>
      <c r="AA14" s="421"/>
      <c r="AB14" s="421"/>
      <c r="AC14" s="421"/>
      <c r="AD14" s="421"/>
      <c r="AE14" s="421"/>
      <c r="AF14" s="421"/>
      <c r="AG14" s="421"/>
      <c r="AH14" s="421"/>
    </row>
    <row r="15" spans="1:34" s="77" customFormat="1" ht="16.5" customHeight="1" x14ac:dyDescent="0.2">
      <c r="B15" s="173" t="s">
        <v>654</v>
      </c>
      <c r="C15" s="173"/>
      <c r="D15" s="425" t="s">
        <v>563</v>
      </c>
      <c r="E15" s="427"/>
      <c r="F15" s="421"/>
      <c r="K15" s="77" t="s">
        <v>547</v>
      </c>
      <c r="N15" s="77" t="s">
        <v>549</v>
      </c>
      <c r="V15" s="421"/>
      <c r="W15" s="421"/>
      <c r="X15" s="421"/>
      <c r="Y15" s="421"/>
      <c r="Z15" s="421"/>
      <c r="AA15" s="421"/>
      <c r="AB15" s="421"/>
      <c r="AC15" s="421"/>
      <c r="AD15" s="421"/>
      <c r="AE15" s="421"/>
      <c r="AF15" s="421"/>
      <c r="AG15" s="421"/>
      <c r="AH15" s="421"/>
    </row>
    <row r="16" spans="1:34" s="77" customFormat="1" ht="16.5" customHeight="1" x14ac:dyDescent="0.2">
      <c r="B16" s="173" t="s">
        <v>655</v>
      </c>
      <c r="C16" s="173"/>
      <c r="D16" s="514" t="str">
        <f>IF($I$14=4,N15,IF($I$14=7,N16,IF($I$14=12,N17,IF($I$14=9,N18,IF($I$14=14,N19,IF($I$14=17,N11,IF($I$14=18,N12,IF($I$14=8,N13,IF($I$14=13,N9,IF($I$14=16,N10,IF($I$14=19,N14," ")))))))))))</f>
        <v>Freight, passenger and infrastucture entities produce separate financial statements. Assumptions are entered separately for each entity. Results are shown separately and in a consolidated form.</v>
      </c>
      <c r="E16" s="515"/>
      <c r="F16" s="421"/>
      <c r="K16" s="77" t="s">
        <v>548</v>
      </c>
      <c r="N16" s="77" t="s">
        <v>551</v>
      </c>
      <c r="V16" s="421"/>
      <c r="W16" s="421"/>
      <c r="X16" s="421"/>
      <c r="Y16" s="421"/>
      <c r="Z16" s="421"/>
      <c r="AA16" s="421"/>
      <c r="AB16" s="421"/>
      <c r="AC16" s="421"/>
      <c r="AD16" s="421"/>
      <c r="AE16" s="421"/>
      <c r="AF16" s="421"/>
      <c r="AG16" s="421"/>
      <c r="AH16" s="421"/>
    </row>
    <row r="17" spans="1:34" s="77" customFormat="1" ht="21" customHeight="1" x14ac:dyDescent="0.2">
      <c r="B17" s="518" t="s">
        <v>690</v>
      </c>
      <c r="C17" s="518"/>
      <c r="D17" s="514"/>
      <c r="E17" s="515"/>
      <c r="F17" s="421"/>
      <c r="K17" s="77" t="s">
        <v>567</v>
      </c>
      <c r="N17" s="77" t="s">
        <v>550</v>
      </c>
      <c r="V17" s="421"/>
      <c r="W17" s="421"/>
      <c r="X17" s="421"/>
      <c r="Y17" s="421"/>
      <c r="Z17" s="421"/>
      <c r="AA17" s="421"/>
      <c r="AB17" s="421"/>
      <c r="AC17" s="421"/>
      <c r="AD17" s="421"/>
      <c r="AE17" s="421"/>
      <c r="AF17" s="421"/>
      <c r="AG17" s="421"/>
      <c r="AH17" s="421"/>
    </row>
    <row r="18" spans="1:34" s="77" customFormat="1" ht="21" customHeight="1" x14ac:dyDescent="0.2">
      <c r="B18" s="518"/>
      <c r="C18" s="518"/>
      <c r="D18" s="514"/>
      <c r="E18" s="515"/>
      <c r="F18" s="421"/>
      <c r="K18" s="77" t="s">
        <v>556</v>
      </c>
      <c r="N18" s="77" t="s">
        <v>597</v>
      </c>
      <c r="V18" s="421"/>
      <c r="W18" s="421"/>
      <c r="X18" s="421"/>
      <c r="Y18" s="421"/>
      <c r="Z18" s="421"/>
      <c r="AA18" s="421"/>
      <c r="AB18" s="421"/>
      <c r="AC18" s="421"/>
      <c r="AD18" s="421"/>
      <c r="AE18" s="421"/>
      <c r="AF18" s="421"/>
      <c r="AG18" s="421"/>
      <c r="AH18" s="421"/>
    </row>
    <row r="19" spans="1:34" s="77" customFormat="1" ht="21" customHeight="1" thickBot="1" x14ac:dyDescent="0.25">
      <c r="B19" s="518"/>
      <c r="C19" s="518"/>
      <c r="D19" s="516"/>
      <c r="E19" s="517"/>
      <c r="F19" s="421"/>
      <c r="K19" s="77" t="s">
        <v>557</v>
      </c>
      <c r="N19" s="77" t="s">
        <v>598</v>
      </c>
      <c r="V19" s="421"/>
      <c r="W19" s="421"/>
      <c r="X19" s="421"/>
      <c r="Y19" s="421"/>
      <c r="Z19" s="421"/>
      <c r="AA19" s="421"/>
      <c r="AB19" s="421"/>
      <c r="AC19" s="421"/>
      <c r="AD19" s="421"/>
      <c r="AE19" s="421"/>
      <c r="AF19" s="421"/>
      <c r="AG19" s="421"/>
      <c r="AH19" s="421"/>
    </row>
    <row r="20" spans="1:34" s="77" customFormat="1" ht="21" customHeight="1" thickBot="1" x14ac:dyDescent="0.25">
      <c r="B20" s="518"/>
      <c r="C20" s="518"/>
      <c r="D20" s="512" t="str">
        <f>IF(E14=K14, "Default model definition",IF(E14&lt;&gt;"Not applicable","Run model by clicking on defined combination button below"," "))</f>
        <v>Default model definition</v>
      </c>
      <c r="E20" s="513"/>
      <c r="F20" s="421"/>
      <c r="V20" s="421"/>
      <c r="W20" s="421"/>
      <c r="X20" s="421"/>
      <c r="Y20" s="421"/>
      <c r="Z20" s="421"/>
      <c r="AA20" s="421"/>
      <c r="AB20" s="421"/>
      <c r="AC20" s="421"/>
      <c r="AD20" s="421"/>
      <c r="AE20" s="421"/>
      <c r="AF20" s="421"/>
      <c r="AG20" s="421"/>
      <c r="AH20" s="421"/>
    </row>
    <row r="21" spans="1:34" s="77" customFormat="1" ht="16.5" customHeight="1" x14ac:dyDescent="0.2">
      <c r="B21" s="518"/>
      <c r="C21" s="518"/>
      <c r="D21" s="20"/>
      <c r="E21" s="17"/>
      <c r="F21" s="429"/>
      <c r="J21" s="77">
        <f>IF(OR($I$14=4,$I$14=8, $I$14=9, $I$14=13, $I$14=14, $I$14=19, $I$14=18),1,0)</f>
        <v>1</v>
      </c>
      <c r="K21" s="77" t="s">
        <v>600</v>
      </c>
      <c r="V21" s="421"/>
      <c r="W21" s="421"/>
      <c r="X21" s="421"/>
      <c r="Y21" s="421"/>
      <c r="Z21" s="421"/>
      <c r="AA21" s="421"/>
      <c r="AB21" s="421"/>
      <c r="AC21" s="421"/>
      <c r="AD21" s="421"/>
      <c r="AE21" s="421"/>
      <c r="AF21" s="421"/>
      <c r="AG21" s="421"/>
      <c r="AH21" s="421"/>
    </row>
    <row r="22" spans="1:34" s="77" customFormat="1" ht="22.5" customHeight="1" x14ac:dyDescent="0.2">
      <c r="B22" s="20"/>
      <c r="C22" s="367"/>
      <c r="D22" s="423"/>
      <c r="E22" s="423"/>
      <c r="F22" s="407"/>
      <c r="J22" s="77">
        <f>IF(OR($I$14=7, $I$14=9, $I$14=17, $I$14=19),1,0)</f>
        <v>1</v>
      </c>
      <c r="K22" s="77" t="s">
        <v>601</v>
      </c>
      <c r="V22" s="18"/>
    </row>
    <row r="23" spans="1:34" s="77" customFormat="1" x14ac:dyDescent="0.2">
      <c r="A23" s="8"/>
      <c r="B23" s="119" t="str">
        <f>IF(E10=1,"Name of integrated railway entity","Name of consolidated railway entity")</f>
        <v>Name of consolidated railway entity</v>
      </c>
      <c r="C23" s="119"/>
      <c r="D23" s="119" t="s">
        <v>2</v>
      </c>
      <c r="E23" s="308" t="s">
        <v>545</v>
      </c>
      <c r="F23" s="8"/>
      <c r="G23" s="87"/>
      <c r="H23" s="310"/>
      <c r="I23" s="310"/>
      <c r="J23" s="77">
        <f>IF(OR($I$14=12, $I$14=14, $I$14=16, $I$14=17, $I$14=19),1,0)</f>
        <v>1</v>
      </c>
      <c r="K23" s="77" t="s">
        <v>602</v>
      </c>
    </row>
    <row r="24" spans="1:34" s="77" customFormat="1" x14ac:dyDescent="0.2">
      <c r="A24" s="8"/>
      <c r="B24" s="8" t="s">
        <v>6</v>
      </c>
      <c r="C24" s="8"/>
      <c r="D24" s="8" t="s">
        <v>2</v>
      </c>
      <c r="E24" s="177" t="s">
        <v>369</v>
      </c>
      <c r="F24" s="8"/>
      <c r="G24" s="87"/>
      <c r="H24" s="310"/>
      <c r="I24" s="310"/>
      <c r="J24" s="77">
        <f>IF(OR($I$14=8,$I$14=9, $I$14=13, $I$14=14, $I$14=16, $I$14=17,$I$14=18,$I$14=19),1,0)</f>
        <v>1</v>
      </c>
      <c r="K24" s="77" t="s">
        <v>603</v>
      </c>
    </row>
    <row r="25" spans="1:34" s="77" customFormat="1" x14ac:dyDescent="0.2">
      <c r="A25" s="8"/>
      <c r="B25" s="8" t="s">
        <v>7</v>
      </c>
      <c r="C25" s="8"/>
      <c r="D25" s="8" t="s">
        <v>2</v>
      </c>
      <c r="E25" s="177" t="s">
        <v>10</v>
      </c>
      <c r="F25" s="8"/>
      <c r="G25" s="87"/>
      <c r="H25" s="310"/>
      <c r="I25" s="310"/>
      <c r="J25" s="77">
        <f>IF($I$14=16,1,0)</f>
        <v>0</v>
      </c>
      <c r="K25" s="77" t="s">
        <v>686</v>
      </c>
      <c r="R25" s="421"/>
      <c r="S25" s="421"/>
    </row>
    <row r="26" spans="1:34" s="77" customFormat="1" x14ac:dyDescent="0.2">
      <c r="A26" s="8"/>
      <c r="B26" s="8" t="s">
        <v>8</v>
      </c>
      <c r="C26" s="8"/>
      <c r="D26" s="8" t="s">
        <v>2</v>
      </c>
      <c r="E26" s="177" t="s">
        <v>9</v>
      </c>
      <c r="F26" s="8"/>
      <c r="G26" s="87"/>
      <c r="H26" s="87"/>
      <c r="I26" s="87"/>
      <c r="J26" s="77">
        <f>IF(OR($I$14=8, $I$14=16, $I$14=18),1,0)</f>
        <v>0</v>
      </c>
      <c r="K26" s="77" t="s">
        <v>682</v>
      </c>
      <c r="R26" s="421"/>
    </row>
    <row r="27" spans="1:34" s="77" customFormat="1" x14ac:dyDescent="0.2">
      <c r="A27" s="8"/>
      <c r="B27" s="8" t="s">
        <v>14</v>
      </c>
      <c r="C27" s="8"/>
      <c r="D27" s="8" t="s">
        <v>2</v>
      </c>
      <c r="E27" s="205" t="s">
        <v>653</v>
      </c>
      <c r="F27" s="9"/>
      <c r="G27" s="492"/>
      <c r="H27" s="492"/>
      <c r="I27" s="492"/>
      <c r="J27" s="77">
        <f>IF(OR($I$14=13, $I$14=18),1,0)</f>
        <v>0</v>
      </c>
      <c r="K27" s="77" t="s">
        <v>683</v>
      </c>
    </row>
    <row r="28" spans="1:34" s="77" customFormat="1" x14ac:dyDescent="0.2">
      <c r="A28" s="8"/>
      <c r="B28" s="8" t="s">
        <v>3</v>
      </c>
      <c r="C28" s="8"/>
      <c r="D28" s="8" t="s">
        <v>5</v>
      </c>
      <c r="E28" s="205">
        <v>40179</v>
      </c>
      <c r="F28" s="8"/>
      <c r="G28" s="87"/>
      <c r="H28" s="87"/>
      <c r="I28" s="87"/>
    </row>
    <row r="29" spans="1:34" s="77" customFormat="1" x14ac:dyDescent="0.2">
      <c r="A29" s="8"/>
      <c r="B29" s="8" t="s">
        <v>4</v>
      </c>
      <c r="C29" s="8"/>
      <c r="D29" s="8" t="s">
        <v>5</v>
      </c>
      <c r="E29" s="205">
        <v>51135</v>
      </c>
      <c r="F29" s="8"/>
      <c r="G29" s="8"/>
      <c r="H29" s="8"/>
      <c r="I29" s="8"/>
      <c r="J29" s="421"/>
      <c r="K29" s="421"/>
      <c r="L29" s="421"/>
      <c r="M29" s="421"/>
      <c r="N29" s="421"/>
      <c r="O29" s="421"/>
    </row>
    <row r="30" spans="1:34" s="77" customFormat="1" ht="22.5" customHeight="1" x14ac:dyDescent="0.2">
      <c r="A30" s="1"/>
      <c r="B30" s="1"/>
      <c r="C30" s="1"/>
      <c r="D30" s="1"/>
      <c r="E30" s="1"/>
      <c r="F30" s="1"/>
      <c r="G30" s="1"/>
      <c r="H30" s="1"/>
      <c r="I30" s="1"/>
      <c r="L30" s="421"/>
      <c r="M30" s="421"/>
      <c r="N30" s="421"/>
      <c r="O30" s="421"/>
    </row>
    <row r="31" spans="1:34" ht="22.5" customHeight="1" x14ac:dyDescent="0.2">
      <c r="A31" s="364"/>
      <c r="B31" s="363" t="s">
        <v>11</v>
      </c>
      <c r="C31" s="364"/>
      <c r="D31" s="364"/>
      <c r="E31" s="363"/>
      <c r="F31" s="364"/>
      <c r="G31" s="364"/>
      <c r="H31" s="364"/>
      <c r="I31" s="364"/>
      <c r="J31" s="364"/>
      <c r="K31" s="364"/>
      <c r="L31" s="364"/>
      <c r="M31" s="364"/>
      <c r="N31" s="364"/>
      <c r="O31" s="364"/>
      <c r="P31" s="364"/>
      <c r="Q31" s="364"/>
      <c r="R31" s="364"/>
      <c r="S31" s="364"/>
      <c r="T31" s="364"/>
      <c r="U31" s="364"/>
      <c r="V31" s="364"/>
      <c r="W31" s="364"/>
      <c r="X31" s="364"/>
      <c r="Y31" s="364"/>
      <c r="Z31" s="364"/>
      <c r="AA31" s="364"/>
      <c r="AB31" s="364"/>
      <c r="AC31" s="364"/>
      <c r="AD31" s="364"/>
      <c r="AE31" s="364"/>
      <c r="AF31" s="364"/>
      <c r="AG31" s="364"/>
      <c r="AH31" s="364"/>
    </row>
    <row r="32" spans="1:34" ht="14.25" customHeight="1" x14ac:dyDescent="0.2"/>
    <row r="33" spans="1:34" s="20" customFormat="1" ht="13.5" customHeight="1" x14ac:dyDescent="0.2">
      <c r="A33" s="8"/>
      <c r="B33" s="7" t="s">
        <v>99</v>
      </c>
      <c r="C33" s="8"/>
      <c r="D33" s="8"/>
      <c r="E33" s="8">
        <v>1</v>
      </c>
      <c r="F33" s="8">
        <v>2</v>
      </c>
      <c r="G33" s="8">
        <v>3</v>
      </c>
      <c r="H33" s="8">
        <v>4</v>
      </c>
      <c r="I33" s="8">
        <v>5</v>
      </c>
      <c r="J33" s="8">
        <v>6</v>
      </c>
      <c r="K33" s="8">
        <v>7</v>
      </c>
      <c r="L33" s="8">
        <v>8</v>
      </c>
      <c r="M33" s="8">
        <v>9</v>
      </c>
      <c r="N33" s="8">
        <v>10</v>
      </c>
      <c r="O33" s="8">
        <v>11</v>
      </c>
      <c r="P33" s="8">
        <v>12</v>
      </c>
      <c r="Q33" s="8">
        <v>13</v>
      </c>
      <c r="R33" s="8">
        <v>14</v>
      </c>
      <c r="S33" s="8">
        <v>15</v>
      </c>
      <c r="T33" s="8">
        <v>16</v>
      </c>
      <c r="U33" s="8">
        <v>17</v>
      </c>
      <c r="V33" s="8">
        <v>18</v>
      </c>
      <c r="W33" s="8">
        <v>19</v>
      </c>
      <c r="X33" s="8">
        <v>20</v>
      </c>
      <c r="Y33" s="8">
        <v>21</v>
      </c>
      <c r="Z33" s="8">
        <v>22</v>
      </c>
      <c r="AA33" s="8">
        <v>23</v>
      </c>
      <c r="AB33" s="8">
        <v>24</v>
      </c>
      <c r="AC33" s="8">
        <v>25</v>
      </c>
      <c r="AD33" s="8">
        <v>26</v>
      </c>
      <c r="AE33" s="8">
        <v>27</v>
      </c>
      <c r="AF33" s="8">
        <v>28</v>
      </c>
      <c r="AG33" s="8">
        <v>29</v>
      </c>
      <c r="AH33" s="8">
        <v>30</v>
      </c>
    </row>
    <row r="34" spans="1:34" s="20" customFormat="1" ht="14" x14ac:dyDescent="0.2">
      <c r="A34" s="8"/>
      <c r="B34" s="7" t="s">
        <v>12</v>
      </c>
      <c r="C34" s="8"/>
      <c r="D34" s="8"/>
      <c r="E34" s="9">
        <f>$E$28</f>
        <v>40179</v>
      </c>
      <c r="F34" s="9">
        <f t="shared" ref="F34:AH34" si="0">E35+1</f>
        <v>40544</v>
      </c>
      <c r="G34" s="9">
        <f t="shared" si="0"/>
        <v>40909</v>
      </c>
      <c r="H34" s="9">
        <f t="shared" si="0"/>
        <v>41275</v>
      </c>
      <c r="I34" s="9">
        <f t="shared" si="0"/>
        <v>41640</v>
      </c>
      <c r="J34" s="9">
        <f>I35+1</f>
        <v>42005</v>
      </c>
      <c r="K34" s="9">
        <f t="shared" si="0"/>
        <v>42370</v>
      </c>
      <c r="L34" s="9">
        <f t="shared" si="0"/>
        <v>42736</v>
      </c>
      <c r="M34" s="9">
        <f>L35+1</f>
        <v>43101</v>
      </c>
      <c r="N34" s="9">
        <f t="shared" si="0"/>
        <v>43466</v>
      </c>
      <c r="O34" s="9">
        <f t="shared" si="0"/>
        <v>43831</v>
      </c>
      <c r="P34" s="9">
        <f t="shared" si="0"/>
        <v>44197</v>
      </c>
      <c r="Q34" s="9">
        <f t="shared" si="0"/>
        <v>44562</v>
      </c>
      <c r="R34" s="9">
        <f t="shared" si="0"/>
        <v>44927</v>
      </c>
      <c r="S34" s="9">
        <f t="shared" si="0"/>
        <v>45292</v>
      </c>
      <c r="T34" s="9">
        <f t="shared" si="0"/>
        <v>45658</v>
      </c>
      <c r="U34" s="9">
        <f t="shared" si="0"/>
        <v>46023</v>
      </c>
      <c r="V34" s="9">
        <f t="shared" si="0"/>
        <v>46388</v>
      </c>
      <c r="W34" s="9">
        <f t="shared" si="0"/>
        <v>46753</v>
      </c>
      <c r="X34" s="9">
        <f t="shared" si="0"/>
        <v>47119</v>
      </c>
      <c r="Y34" s="9">
        <f t="shared" si="0"/>
        <v>47484</v>
      </c>
      <c r="Z34" s="9">
        <f t="shared" si="0"/>
        <v>47849</v>
      </c>
      <c r="AA34" s="9">
        <f t="shared" si="0"/>
        <v>48214</v>
      </c>
      <c r="AB34" s="9">
        <f t="shared" si="0"/>
        <v>48580</v>
      </c>
      <c r="AC34" s="9">
        <f t="shared" si="0"/>
        <v>48945</v>
      </c>
      <c r="AD34" s="9">
        <f t="shared" si="0"/>
        <v>49310</v>
      </c>
      <c r="AE34" s="9">
        <f t="shared" si="0"/>
        <v>49675</v>
      </c>
      <c r="AF34" s="9">
        <f t="shared" si="0"/>
        <v>50041</v>
      </c>
      <c r="AG34" s="9">
        <f t="shared" si="0"/>
        <v>50406</v>
      </c>
      <c r="AH34" s="9">
        <f t="shared" si="0"/>
        <v>50771</v>
      </c>
    </row>
    <row r="35" spans="1:34" s="20" customFormat="1" ht="14" x14ac:dyDescent="0.2">
      <c r="A35" s="8"/>
      <c r="B35" s="7" t="s">
        <v>13</v>
      </c>
      <c r="C35" s="8"/>
      <c r="D35" s="8"/>
      <c r="E35" s="9">
        <f t="shared" ref="E35:AH35" si="1">DATE(YEAR(E34)+1, MONTH(E34), DAY(E34)-1)</f>
        <v>40543</v>
      </c>
      <c r="F35" s="9">
        <f t="shared" si="1"/>
        <v>40908</v>
      </c>
      <c r="G35" s="9">
        <f t="shared" si="1"/>
        <v>41274</v>
      </c>
      <c r="H35" s="9">
        <f t="shared" si="1"/>
        <v>41639</v>
      </c>
      <c r="I35" s="9">
        <f t="shared" si="1"/>
        <v>42004</v>
      </c>
      <c r="J35" s="9">
        <f t="shared" si="1"/>
        <v>42369</v>
      </c>
      <c r="K35" s="9">
        <f t="shared" si="1"/>
        <v>42735</v>
      </c>
      <c r="L35" s="9">
        <f t="shared" si="1"/>
        <v>43100</v>
      </c>
      <c r="M35" s="9">
        <f t="shared" si="1"/>
        <v>43465</v>
      </c>
      <c r="N35" s="9">
        <f t="shared" si="1"/>
        <v>43830</v>
      </c>
      <c r="O35" s="9">
        <f t="shared" si="1"/>
        <v>44196</v>
      </c>
      <c r="P35" s="9">
        <f t="shared" si="1"/>
        <v>44561</v>
      </c>
      <c r="Q35" s="9">
        <f t="shared" si="1"/>
        <v>44926</v>
      </c>
      <c r="R35" s="9">
        <f t="shared" si="1"/>
        <v>45291</v>
      </c>
      <c r="S35" s="9">
        <f t="shared" si="1"/>
        <v>45657</v>
      </c>
      <c r="T35" s="9">
        <f t="shared" si="1"/>
        <v>46022</v>
      </c>
      <c r="U35" s="9">
        <f t="shared" si="1"/>
        <v>46387</v>
      </c>
      <c r="V35" s="9">
        <f t="shared" si="1"/>
        <v>46752</v>
      </c>
      <c r="W35" s="9">
        <f t="shared" si="1"/>
        <v>47118</v>
      </c>
      <c r="X35" s="9">
        <f t="shared" si="1"/>
        <v>47483</v>
      </c>
      <c r="Y35" s="9">
        <f t="shared" si="1"/>
        <v>47848</v>
      </c>
      <c r="Z35" s="9">
        <f t="shared" si="1"/>
        <v>48213</v>
      </c>
      <c r="AA35" s="9">
        <f t="shared" si="1"/>
        <v>48579</v>
      </c>
      <c r="AB35" s="9">
        <f t="shared" si="1"/>
        <v>48944</v>
      </c>
      <c r="AC35" s="9">
        <f t="shared" si="1"/>
        <v>49309</v>
      </c>
      <c r="AD35" s="9">
        <f t="shared" si="1"/>
        <v>49674</v>
      </c>
      <c r="AE35" s="9">
        <f t="shared" si="1"/>
        <v>50040</v>
      </c>
      <c r="AF35" s="9">
        <f t="shared" si="1"/>
        <v>50405</v>
      </c>
      <c r="AG35" s="9">
        <f t="shared" si="1"/>
        <v>50770</v>
      </c>
      <c r="AH35" s="9">
        <f t="shared" si="1"/>
        <v>51135</v>
      </c>
    </row>
    <row r="36" spans="1:34" s="20" customFormat="1" ht="14" x14ac:dyDescent="0.2">
      <c r="A36" s="8"/>
      <c r="B36" s="8"/>
      <c r="C36" s="8"/>
      <c r="D36" s="8"/>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s="20" customFormat="1" ht="14" x14ac:dyDescent="0.2">
      <c r="A37" s="8"/>
      <c r="B37" s="8" t="s">
        <v>16</v>
      </c>
      <c r="C37" s="8"/>
      <c r="D37" s="8" t="s">
        <v>15</v>
      </c>
      <c r="E37" s="206">
        <v>0.03</v>
      </c>
      <c r="F37" s="202">
        <f t="shared" ref="F37:AH37" si="2">E37</f>
        <v>0.03</v>
      </c>
      <c r="G37" s="202">
        <f t="shared" si="2"/>
        <v>0.03</v>
      </c>
      <c r="H37" s="202">
        <f t="shared" si="2"/>
        <v>0.03</v>
      </c>
      <c r="I37" s="202">
        <f t="shared" si="2"/>
        <v>0.03</v>
      </c>
      <c r="J37" s="202">
        <f>I37</f>
        <v>0.03</v>
      </c>
      <c r="K37" s="202">
        <f t="shared" si="2"/>
        <v>0.03</v>
      </c>
      <c r="L37" s="202">
        <f t="shared" si="2"/>
        <v>0.03</v>
      </c>
      <c r="M37" s="202">
        <f>L37</f>
        <v>0.03</v>
      </c>
      <c r="N37" s="202">
        <f t="shared" si="2"/>
        <v>0.03</v>
      </c>
      <c r="O37" s="202">
        <f t="shared" si="2"/>
        <v>0.03</v>
      </c>
      <c r="P37" s="202">
        <f t="shared" si="2"/>
        <v>0.03</v>
      </c>
      <c r="Q37" s="202">
        <f t="shared" si="2"/>
        <v>0.03</v>
      </c>
      <c r="R37" s="202">
        <f t="shared" si="2"/>
        <v>0.03</v>
      </c>
      <c r="S37" s="202">
        <f t="shared" si="2"/>
        <v>0.03</v>
      </c>
      <c r="T37" s="202">
        <f t="shared" si="2"/>
        <v>0.03</v>
      </c>
      <c r="U37" s="202">
        <f t="shared" si="2"/>
        <v>0.03</v>
      </c>
      <c r="V37" s="202">
        <f t="shared" si="2"/>
        <v>0.03</v>
      </c>
      <c r="W37" s="202">
        <f t="shared" si="2"/>
        <v>0.03</v>
      </c>
      <c r="X37" s="202">
        <f t="shared" si="2"/>
        <v>0.03</v>
      </c>
      <c r="Y37" s="202">
        <f t="shared" si="2"/>
        <v>0.03</v>
      </c>
      <c r="Z37" s="202">
        <f t="shared" si="2"/>
        <v>0.03</v>
      </c>
      <c r="AA37" s="202">
        <f t="shared" si="2"/>
        <v>0.03</v>
      </c>
      <c r="AB37" s="202">
        <f t="shared" si="2"/>
        <v>0.03</v>
      </c>
      <c r="AC37" s="202">
        <f t="shared" si="2"/>
        <v>0.03</v>
      </c>
      <c r="AD37" s="202">
        <f t="shared" si="2"/>
        <v>0.03</v>
      </c>
      <c r="AE37" s="202">
        <f t="shared" si="2"/>
        <v>0.03</v>
      </c>
      <c r="AF37" s="202">
        <f t="shared" si="2"/>
        <v>0.03</v>
      </c>
      <c r="AG37" s="202">
        <f t="shared" si="2"/>
        <v>0.03</v>
      </c>
      <c r="AH37" s="202">
        <f t="shared" si="2"/>
        <v>0.03</v>
      </c>
    </row>
    <row r="38" spans="1:34" s="20" customFormat="1" ht="14" x14ac:dyDescent="0.2">
      <c r="A38" s="8"/>
      <c r="B38" s="8" t="s">
        <v>61</v>
      </c>
      <c r="C38" s="8"/>
      <c r="D38" s="8" t="s">
        <v>15</v>
      </c>
      <c r="E38" s="206">
        <v>4.0000000000000001E-3</v>
      </c>
      <c r="F38" s="202">
        <v>1.6299999999999999E-2</v>
      </c>
      <c r="G38" s="202">
        <v>2.9700000000000001E-2</v>
      </c>
      <c r="H38" s="202">
        <v>3.9399999999999998E-2</v>
      </c>
      <c r="I38" s="202">
        <v>4.6300000000000001E-2</v>
      </c>
      <c r="J38" s="202">
        <v>5.0799999999999998E-2</v>
      </c>
      <c r="K38" s="202">
        <v>5.3800000000000001E-2</v>
      </c>
      <c r="L38" s="202">
        <v>5.57E-2</v>
      </c>
      <c r="M38" s="202">
        <v>5.7700000000000001E-2</v>
      </c>
      <c r="N38" s="202">
        <v>5.91E-2</v>
      </c>
      <c r="O38" s="202">
        <v>5.0599999999999999E-2</v>
      </c>
      <c r="P38" s="202">
        <v>0.05</v>
      </c>
      <c r="Q38" s="202">
        <v>0.05</v>
      </c>
      <c r="R38" s="202">
        <v>0.05</v>
      </c>
      <c r="S38" s="202">
        <v>0.05</v>
      </c>
      <c r="T38" s="202">
        <v>0.05</v>
      </c>
      <c r="U38" s="202">
        <v>0.05</v>
      </c>
      <c r="V38" s="202">
        <v>0.05</v>
      </c>
      <c r="W38" s="202">
        <v>0.05</v>
      </c>
      <c r="X38" s="202">
        <v>0.05</v>
      </c>
      <c r="Y38" s="202">
        <v>0.05</v>
      </c>
      <c r="Z38" s="202">
        <v>0.05</v>
      </c>
      <c r="AA38" s="202">
        <v>0.05</v>
      </c>
      <c r="AB38" s="202">
        <v>0.05</v>
      </c>
      <c r="AC38" s="202">
        <v>0.05</v>
      </c>
      <c r="AD38" s="202">
        <v>0.05</v>
      </c>
      <c r="AE38" s="202">
        <v>0.05</v>
      </c>
      <c r="AF38" s="202">
        <v>0.05</v>
      </c>
      <c r="AG38" s="202">
        <v>0.05</v>
      </c>
      <c r="AH38" s="202">
        <v>0.05</v>
      </c>
    </row>
    <row r="39" spans="1:34" s="20" customFormat="1" x14ac:dyDescent="0.2">
      <c r="A39" s="8"/>
      <c r="B39" s="8" t="s">
        <v>343</v>
      </c>
      <c r="C39" s="8"/>
      <c r="D39" s="8" t="s">
        <v>2</v>
      </c>
      <c r="E39" s="202" t="s">
        <v>277</v>
      </c>
      <c r="F39" s="174"/>
      <c r="G39" s="174"/>
      <c r="H39" s="174"/>
      <c r="I39" s="174"/>
      <c r="J39" s="174"/>
      <c r="K39" s="174"/>
      <c r="L39" s="174"/>
      <c r="M39" s="174"/>
      <c r="N39" s="174"/>
      <c r="O39" s="174"/>
      <c r="P39" s="174"/>
      <c r="Q39" s="174"/>
      <c r="R39" s="174"/>
      <c r="S39" s="174"/>
      <c r="T39" s="174"/>
      <c r="U39" s="174"/>
      <c r="V39" s="174"/>
      <c r="W39" s="174"/>
      <c r="X39" s="174"/>
      <c r="Y39" s="174"/>
      <c r="Z39" s="174"/>
      <c r="AA39" s="174"/>
      <c r="AB39" s="174"/>
      <c r="AC39" s="174"/>
      <c r="AD39" s="174"/>
      <c r="AE39" s="174"/>
      <c r="AF39" s="174"/>
      <c r="AG39" s="174"/>
      <c r="AH39" s="174"/>
    </row>
    <row r="40" spans="1:34" s="20" customFormat="1" x14ac:dyDescent="0.2">
      <c r="A40" s="8"/>
      <c r="B40" s="8" t="s">
        <v>344</v>
      </c>
      <c r="C40" s="8"/>
      <c r="D40" s="8" t="s">
        <v>2</v>
      </c>
      <c r="E40" s="202" t="s">
        <v>278</v>
      </c>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4"/>
    </row>
    <row r="41" spans="1:34" s="20" customFormat="1" x14ac:dyDescent="0.2">
      <c r="A41" s="8"/>
      <c r="B41" s="8" t="str">
        <f>"Exchange rate (local currency/"&amp;E39&amp;")"</f>
        <v>Exchange rate (local currency/USD)</v>
      </c>
      <c r="C41" s="8"/>
      <c r="D41" s="8" t="s">
        <v>227</v>
      </c>
      <c r="E41" s="207">
        <v>2.5</v>
      </c>
      <c r="F41" s="194">
        <v>2.5</v>
      </c>
      <c r="G41" s="194">
        <v>2.5</v>
      </c>
      <c r="H41" s="194">
        <v>2.5</v>
      </c>
      <c r="I41" s="194">
        <v>2.5</v>
      </c>
      <c r="J41" s="194">
        <v>2.5</v>
      </c>
      <c r="K41" s="194">
        <v>2.5</v>
      </c>
      <c r="L41" s="194">
        <v>2.5</v>
      </c>
      <c r="M41" s="194">
        <v>2.5</v>
      </c>
      <c r="N41" s="194">
        <v>2.5</v>
      </c>
      <c r="O41" s="194">
        <v>2.5</v>
      </c>
      <c r="P41" s="194">
        <v>2.5</v>
      </c>
      <c r="Q41" s="194">
        <v>2.5</v>
      </c>
      <c r="R41" s="194">
        <v>2.5</v>
      </c>
      <c r="S41" s="194">
        <v>2.5</v>
      </c>
      <c r="T41" s="194">
        <v>2.5</v>
      </c>
      <c r="U41" s="194">
        <v>2.5</v>
      </c>
      <c r="V41" s="194">
        <v>2.5</v>
      </c>
      <c r="W41" s="194">
        <v>2.5</v>
      </c>
      <c r="X41" s="194">
        <v>2.5</v>
      </c>
      <c r="Y41" s="194">
        <v>2.5</v>
      </c>
      <c r="Z41" s="194">
        <v>2.5</v>
      </c>
      <c r="AA41" s="194">
        <v>2.5</v>
      </c>
      <c r="AB41" s="194">
        <v>2.5</v>
      </c>
      <c r="AC41" s="194">
        <v>2.5</v>
      </c>
      <c r="AD41" s="194">
        <v>2.5</v>
      </c>
      <c r="AE41" s="194">
        <v>2.5</v>
      </c>
      <c r="AF41" s="194">
        <v>2.5</v>
      </c>
      <c r="AG41" s="194">
        <v>2.5</v>
      </c>
      <c r="AH41" s="194">
        <v>2.5</v>
      </c>
    </row>
    <row r="42" spans="1:34" s="20" customFormat="1" ht="14" x14ac:dyDescent="0.2">
      <c r="A42" s="8"/>
      <c r="B42" s="8" t="str">
        <f>"Exchange rate (local currency/"&amp;E40&amp;")"</f>
        <v>Exchange rate (local currency/EUR)</v>
      </c>
      <c r="C42" s="8"/>
      <c r="D42" s="8" t="s">
        <v>227</v>
      </c>
      <c r="E42" s="207">
        <v>3</v>
      </c>
      <c r="F42" s="194">
        <v>3</v>
      </c>
      <c r="G42" s="194">
        <v>3</v>
      </c>
      <c r="H42" s="194">
        <v>3</v>
      </c>
      <c r="I42" s="194">
        <v>3</v>
      </c>
      <c r="J42" s="194">
        <v>3</v>
      </c>
      <c r="K42" s="194">
        <v>3</v>
      </c>
      <c r="L42" s="194">
        <v>3</v>
      </c>
      <c r="M42" s="194">
        <v>3</v>
      </c>
      <c r="N42" s="194">
        <v>3</v>
      </c>
      <c r="O42" s="194">
        <v>3</v>
      </c>
      <c r="P42" s="194">
        <v>3</v>
      </c>
      <c r="Q42" s="194">
        <v>3</v>
      </c>
      <c r="R42" s="194">
        <v>3</v>
      </c>
      <c r="S42" s="194">
        <v>3</v>
      </c>
      <c r="T42" s="194">
        <v>3</v>
      </c>
      <c r="U42" s="194">
        <v>3</v>
      </c>
      <c r="V42" s="194">
        <v>3</v>
      </c>
      <c r="W42" s="194">
        <v>3</v>
      </c>
      <c r="X42" s="194">
        <v>3</v>
      </c>
      <c r="Y42" s="194">
        <v>3</v>
      </c>
      <c r="Z42" s="194">
        <v>3</v>
      </c>
      <c r="AA42" s="194">
        <v>3</v>
      </c>
      <c r="AB42" s="194">
        <v>3</v>
      </c>
      <c r="AC42" s="194">
        <v>3</v>
      </c>
      <c r="AD42" s="194">
        <v>3</v>
      </c>
      <c r="AE42" s="194">
        <v>3</v>
      </c>
      <c r="AF42" s="194">
        <v>3</v>
      </c>
      <c r="AG42" s="194">
        <v>3</v>
      </c>
      <c r="AH42" s="194">
        <v>3</v>
      </c>
    </row>
    <row r="47" spans="1:34" x14ac:dyDescent="0.2">
      <c r="B47" s="456"/>
    </row>
    <row r="48" spans="1:34" x14ac:dyDescent="0.2">
      <c r="B48" s="456"/>
    </row>
    <row r="49" spans="2:2" x14ac:dyDescent="0.2">
      <c r="B49" s="456"/>
    </row>
    <row r="50" spans="2:2" x14ac:dyDescent="0.2">
      <c r="B50" s="456"/>
    </row>
  </sheetData>
  <mergeCells count="4">
    <mergeCell ref="E5:E7"/>
    <mergeCell ref="D20:E20"/>
    <mergeCell ref="D16:E19"/>
    <mergeCell ref="B17:C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72" r:id="rId4" name="Drop Down 164">
              <controlPr locked="0" defaultSize="0" print="0" autoLine="0" autoPict="0" macro="[0]!Settings_Changed">
                <anchor moveWithCells="1">
                  <from>
                    <xdr:col>4</xdr:col>
                    <xdr:colOff>63500</xdr:colOff>
                    <xdr:row>9</xdr:row>
                    <xdr:rowOff>0</xdr:rowOff>
                  </from>
                  <to>
                    <xdr:col>4</xdr:col>
                    <xdr:colOff>1282700</xdr:colOff>
                    <xdr:row>9</xdr:row>
                    <xdr:rowOff>266700</xdr:rowOff>
                  </to>
                </anchor>
              </controlPr>
            </control>
          </mc:Choice>
        </mc:AlternateContent>
        <mc:AlternateContent xmlns:mc="http://schemas.openxmlformats.org/markup-compatibility/2006">
          <mc:Choice Requires="x14">
            <control shapeId="17598" r:id="rId5" name="Check Box 190">
              <controlPr defaultSize="0" autoFill="0" autoLine="0" autoPict="0" macro="[0]!Settings_Changed">
                <anchor moveWithCells="1">
                  <from>
                    <xdr:col>4</xdr:col>
                    <xdr:colOff>12700</xdr:colOff>
                    <xdr:row>10</xdr:row>
                    <xdr:rowOff>114300</xdr:rowOff>
                  </from>
                  <to>
                    <xdr:col>4</xdr:col>
                    <xdr:colOff>1206500</xdr:colOff>
                    <xdr:row>11</xdr:row>
                    <xdr:rowOff>114300</xdr:rowOff>
                  </to>
                </anchor>
              </controlPr>
            </control>
          </mc:Choice>
        </mc:AlternateContent>
        <mc:AlternateContent xmlns:mc="http://schemas.openxmlformats.org/markup-compatibility/2006">
          <mc:Choice Requires="x14">
            <control shapeId="17599" r:id="rId6" name="Check Box 191">
              <controlPr defaultSize="0" autoFill="0" autoLine="0" autoPict="0" macro="[0]!Settings_Changed">
                <anchor moveWithCells="1">
                  <from>
                    <xdr:col>4</xdr:col>
                    <xdr:colOff>1308100</xdr:colOff>
                    <xdr:row>10</xdr:row>
                    <xdr:rowOff>127000</xdr:rowOff>
                  </from>
                  <to>
                    <xdr:col>4</xdr:col>
                    <xdr:colOff>2501900</xdr:colOff>
                    <xdr:row>11</xdr:row>
                    <xdr:rowOff>127000</xdr:rowOff>
                  </to>
                </anchor>
              </controlPr>
            </control>
          </mc:Choice>
        </mc:AlternateContent>
        <mc:AlternateContent xmlns:mc="http://schemas.openxmlformats.org/markup-compatibility/2006">
          <mc:Choice Requires="x14">
            <control shapeId="17600" r:id="rId7" name="Check Box 192">
              <controlPr defaultSize="0" autoFill="0" autoLine="0" autoPict="0" macro="[0]!Settings_Changed">
                <anchor moveWithCells="1">
                  <from>
                    <xdr:col>4</xdr:col>
                    <xdr:colOff>2794000</xdr:colOff>
                    <xdr:row>10</xdr:row>
                    <xdr:rowOff>127000</xdr:rowOff>
                  </from>
                  <to>
                    <xdr:col>5</xdr:col>
                    <xdr:colOff>812800</xdr:colOff>
                    <xdr:row>11</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M568"/>
  <sheetViews>
    <sheetView zoomScale="75" zoomScaleNormal="75" workbookViewId="0">
      <pane xSplit="4" ySplit="6" topLeftCell="E7" activePane="bottomRight" state="frozen"/>
      <selection pane="topRight" activeCell="E1" sqref="E1"/>
      <selection pane="bottomLeft" activeCell="A7" sqref="A7"/>
      <selection pane="bottomRight" activeCell="K97" sqref="K97"/>
    </sheetView>
  </sheetViews>
  <sheetFormatPr baseColWidth="10" defaultColWidth="0" defaultRowHeight="15" outlineLevelRow="1" x14ac:dyDescent="0.2"/>
  <cols>
    <col min="1" max="1" width="9.1640625" style="1" customWidth="1"/>
    <col min="2" max="2" width="15.33203125" style="1" customWidth="1"/>
    <col min="3" max="3" width="46" style="1" customWidth="1"/>
    <col min="4" max="4" width="22.6640625" style="1" customWidth="1"/>
    <col min="5" max="5" width="34.6640625" style="1" customWidth="1"/>
    <col min="6" max="28" width="11.5" style="1" bestFit="1" customWidth="1"/>
    <col min="29" max="29" width="11" style="1" customWidth="1"/>
    <col min="30" max="30" width="10.83203125" style="1" customWidth="1"/>
    <col min="31" max="31" width="11.33203125" style="1" customWidth="1"/>
    <col min="32" max="32" width="11.1640625" style="1" customWidth="1"/>
    <col min="33" max="33" width="11.6640625" style="1" customWidth="1"/>
    <col min="34" max="34" width="12.5" style="1" customWidth="1"/>
    <col min="35" max="35" width="9.1640625" style="1" customWidth="1"/>
    <col min="36" max="16384" width="9.1640625" style="1" hidden="1"/>
  </cols>
  <sheetData>
    <row r="1" spans="2:34" s="320" customFormat="1" x14ac:dyDescent="0.2">
      <c r="B1" s="319" t="s">
        <v>0</v>
      </c>
    </row>
    <row r="2" spans="2:34" s="320" customFormat="1" x14ac:dyDescent="0.2">
      <c r="B2" s="321" t="str">
        <f>'Assumptions - General'!$E$24</f>
        <v>Ruritania Freight Rail Company</v>
      </c>
    </row>
    <row r="3" spans="2:34" s="320" customFormat="1" x14ac:dyDescent="0.2">
      <c r="B3" s="321" t="str">
        <f>"All units in "  &amp;'Assumptions - General'!$E$27&amp;  " millions unless otherwise stated"</f>
        <v>All units in R$ millions unless otherwise stated</v>
      </c>
      <c r="C3" s="322"/>
    </row>
    <row r="4" spans="2:34" s="8" customFormat="1" ht="14" x14ac:dyDescent="0.2">
      <c r="B4" s="7" t="s">
        <v>99</v>
      </c>
      <c r="E4" s="8">
        <v>1</v>
      </c>
      <c r="F4" s="8">
        <v>2</v>
      </c>
      <c r="G4" s="8">
        <v>3</v>
      </c>
      <c r="H4" s="8">
        <v>4</v>
      </c>
      <c r="I4" s="8">
        <v>5</v>
      </c>
      <c r="J4" s="8">
        <v>6</v>
      </c>
      <c r="K4" s="8">
        <v>7</v>
      </c>
      <c r="L4" s="8">
        <v>8</v>
      </c>
      <c r="M4" s="8">
        <v>9</v>
      </c>
      <c r="N4" s="8">
        <v>10</v>
      </c>
      <c r="O4" s="8">
        <v>11</v>
      </c>
      <c r="P4" s="8">
        <v>12</v>
      </c>
      <c r="Q4" s="8">
        <v>13</v>
      </c>
      <c r="R4" s="8">
        <v>14</v>
      </c>
      <c r="S4" s="8">
        <v>15</v>
      </c>
      <c r="T4" s="8">
        <v>16</v>
      </c>
      <c r="U4" s="8">
        <v>17</v>
      </c>
      <c r="V4" s="8">
        <v>18</v>
      </c>
      <c r="W4" s="8">
        <v>19</v>
      </c>
      <c r="X4" s="8">
        <v>20</v>
      </c>
      <c r="Y4" s="8">
        <v>21</v>
      </c>
      <c r="Z4" s="8">
        <v>22</v>
      </c>
      <c r="AA4" s="8">
        <v>23</v>
      </c>
      <c r="AB4" s="8">
        <v>24</v>
      </c>
      <c r="AC4" s="8">
        <v>25</v>
      </c>
      <c r="AD4" s="8">
        <v>26</v>
      </c>
      <c r="AE4" s="8">
        <v>27</v>
      </c>
      <c r="AF4" s="8">
        <v>28</v>
      </c>
      <c r="AG4" s="8">
        <v>29</v>
      </c>
      <c r="AH4" s="8">
        <v>30</v>
      </c>
    </row>
    <row r="5" spans="2:34" s="8" customFormat="1" ht="14" x14ac:dyDescent="0.2">
      <c r="B5" s="7" t="s">
        <v>12</v>
      </c>
      <c r="E5" s="9">
        <f>'Assumptions - General'!$E$28</f>
        <v>40179</v>
      </c>
      <c r="F5" s="9">
        <f t="shared" ref="F5:AH5" si="0">E6+1</f>
        <v>40544</v>
      </c>
      <c r="G5" s="9">
        <f t="shared" si="0"/>
        <v>40909</v>
      </c>
      <c r="H5" s="9">
        <f t="shared" si="0"/>
        <v>41275</v>
      </c>
      <c r="I5" s="9">
        <f t="shared" si="0"/>
        <v>41640</v>
      </c>
      <c r="J5" s="9">
        <f t="shared" si="0"/>
        <v>42005</v>
      </c>
      <c r="K5" s="9">
        <f t="shared" si="0"/>
        <v>42370</v>
      </c>
      <c r="L5" s="9">
        <f t="shared" si="0"/>
        <v>42736</v>
      </c>
      <c r="M5" s="9">
        <f t="shared" si="0"/>
        <v>43101</v>
      </c>
      <c r="N5" s="9">
        <f t="shared" si="0"/>
        <v>43466</v>
      </c>
      <c r="O5" s="9">
        <f t="shared" si="0"/>
        <v>43831</v>
      </c>
      <c r="P5" s="9">
        <f t="shared" si="0"/>
        <v>44197</v>
      </c>
      <c r="Q5" s="9">
        <f t="shared" si="0"/>
        <v>44562</v>
      </c>
      <c r="R5" s="9">
        <f t="shared" si="0"/>
        <v>44927</v>
      </c>
      <c r="S5" s="9">
        <f t="shared" si="0"/>
        <v>45292</v>
      </c>
      <c r="T5" s="9">
        <f t="shared" si="0"/>
        <v>45658</v>
      </c>
      <c r="U5" s="9">
        <f t="shared" si="0"/>
        <v>46023</v>
      </c>
      <c r="V5" s="9">
        <f t="shared" si="0"/>
        <v>46388</v>
      </c>
      <c r="W5" s="9">
        <f t="shared" si="0"/>
        <v>46753</v>
      </c>
      <c r="X5" s="9">
        <f t="shared" si="0"/>
        <v>47119</v>
      </c>
      <c r="Y5" s="9">
        <f t="shared" si="0"/>
        <v>47484</v>
      </c>
      <c r="Z5" s="9">
        <f t="shared" si="0"/>
        <v>47849</v>
      </c>
      <c r="AA5" s="9">
        <f t="shared" si="0"/>
        <v>48214</v>
      </c>
      <c r="AB5" s="9">
        <f t="shared" si="0"/>
        <v>48580</v>
      </c>
      <c r="AC5" s="9">
        <f t="shared" si="0"/>
        <v>48945</v>
      </c>
      <c r="AD5" s="9">
        <f t="shared" si="0"/>
        <v>49310</v>
      </c>
      <c r="AE5" s="9">
        <f t="shared" si="0"/>
        <v>49675</v>
      </c>
      <c r="AF5" s="9">
        <f t="shared" si="0"/>
        <v>50041</v>
      </c>
      <c r="AG5" s="9">
        <f t="shared" si="0"/>
        <v>50406</v>
      </c>
      <c r="AH5" s="9">
        <f t="shared" si="0"/>
        <v>50771</v>
      </c>
    </row>
    <row r="6" spans="2:34" s="8" customFormat="1" ht="14" x14ac:dyDescent="0.2">
      <c r="B6" s="7" t="s">
        <v>13</v>
      </c>
      <c r="E6" s="9">
        <f t="shared" ref="E6:AH6" si="1">DATE(YEAR(E5)+1, MONTH(E5), DAY(E5)-1)</f>
        <v>40543</v>
      </c>
      <c r="F6" s="9">
        <f t="shared" si="1"/>
        <v>40908</v>
      </c>
      <c r="G6" s="9">
        <f t="shared" si="1"/>
        <v>41274</v>
      </c>
      <c r="H6" s="9">
        <f t="shared" si="1"/>
        <v>41639</v>
      </c>
      <c r="I6" s="9">
        <f t="shared" si="1"/>
        <v>42004</v>
      </c>
      <c r="J6" s="9">
        <f t="shared" si="1"/>
        <v>42369</v>
      </c>
      <c r="K6" s="9">
        <f t="shared" si="1"/>
        <v>42735</v>
      </c>
      <c r="L6" s="9">
        <f t="shared" si="1"/>
        <v>43100</v>
      </c>
      <c r="M6" s="9">
        <f t="shared" si="1"/>
        <v>43465</v>
      </c>
      <c r="N6" s="9">
        <f t="shared" si="1"/>
        <v>43830</v>
      </c>
      <c r="O6" s="9">
        <f t="shared" si="1"/>
        <v>44196</v>
      </c>
      <c r="P6" s="9">
        <f t="shared" si="1"/>
        <v>44561</v>
      </c>
      <c r="Q6" s="9">
        <f t="shared" si="1"/>
        <v>44926</v>
      </c>
      <c r="R6" s="9">
        <f t="shared" si="1"/>
        <v>45291</v>
      </c>
      <c r="S6" s="9">
        <f t="shared" si="1"/>
        <v>45657</v>
      </c>
      <c r="T6" s="9">
        <f t="shared" si="1"/>
        <v>46022</v>
      </c>
      <c r="U6" s="9">
        <f t="shared" si="1"/>
        <v>46387</v>
      </c>
      <c r="V6" s="9">
        <f t="shared" si="1"/>
        <v>46752</v>
      </c>
      <c r="W6" s="9">
        <f t="shared" si="1"/>
        <v>47118</v>
      </c>
      <c r="X6" s="9">
        <f t="shared" si="1"/>
        <v>47483</v>
      </c>
      <c r="Y6" s="9">
        <f t="shared" si="1"/>
        <v>47848</v>
      </c>
      <c r="Z6" s="9">
        <f t="shared" si="1"/>
        <v>48213</v>
      </c>
      <c r="AA6" s="9">
        <f t="shared" si="1"/>
        <v>48579</v>
      </c>
      <c r="AB6" s="9">
        <f t="shared" si="1"/>
        <v>48944</v>
      </c>
      <c r="AC6" s="9">
        <f t="shared" si="1"/>
        <v>49309</v>
      </c>
      <c r="AD6" s="9">
        <f t="shared" si="1"/>
        <v>49674</v>
      </c>
      <c r="AE6" s="9">
        <f t="shared" si="1"/>
        <v>50040</v>
      </c>
      <c r="AF6" s="9">
        <f t="shared" si="1"/>
        <v>50405</v>
      </c>
      <c r="AG6" s="9">
        <f t="shared" si="1"/>
        <v>50770</v>
      </c>
      <c r="AH6" s="9">
        <f t="shared" si="1"/>
        <v>51135</v>
      </c>
    </row>
    <row r="7" spans="2:34" s="18" customFormat="1" x14ac:dyDescent="0.2">
      <c r="B7" s="77"/>
      <c r="C7" s="78"/>
    </row>
    <row r="8" spans="2:34" s="8" customFormat="1" ht="14" x14ac:dyDescent="0.2">
      <c r="B8" s="110"/>
      <c r="C8" s="8" t="s">
        <v>217</v>
      </c>
      <c r="E8" s="510" t="str">
        <f>IF('Scenarios - Freight'!F3=1,"NOTE: SCENARIO ANALYSIS ASSUMPTIONS IN USE"," ")</f>
        <v xml:space="preserve"> </v>
      </c>
      <c r="F8" s="87">
        <v>1</v>
      </c>
    </row>
    <row r="9" spans="2:34" s="8" customFormat="1" ht="14" x14ac:dyDescent="0.2">
      <c r="B9" s="175"/>
      <c r="C9" s="8" t="s">
        <v>346</v>
      </c>
      <c r="E9" s="511"/>
      <c r="F9" s="87"/>
    </row>
    <row r="10" spans="2:34" x14ac:dyDescent="0.2">
      <c r="E10" s="511"/>
    </row>
    <row r="11" spans="2:34" s="320" customFormat="1" x14ac:dyDescent="0.2">
      <c r="B11" s="319" t="str">
        <f>"Network and operational assumptions for "&amp;'Assumptions - General'!E24</f>
        <v>Network and operational assumptions for Ruritania Freight Rail Company</v>
      </c>
      <c r="D11" s="319"/>
      <c r="E11" s="319" t="str">
        <f>IF(OR(AND('Scenarios - Consolidated'!$F$3=1,'Scenarios - Consolidated'!$H$20=1),AND('Scenarios - Freight'!$F$3=1,'Scenarios - Freight'!$H$20=1)),"NOTE: SCENARIO ANALYSIS STAFF ASSUMPTIONS IN USE"," ")</f>
        <v xml:space="preserve"> </v>
      </c>
    </row>
    <row r="13" spans="2:34" s="8" customFormat="1" ht="14" x14ac:dyDescent="0.2">
      <c r="B13" s="8" t="s">
        <v>335</v>
      </c>
      <c r="D13" s="8" t="s">
        <v>179</v>
      </c>
      <c r="E13" s="185">
        <v>15000</v>
      </c>
      <c r="F13" s="231">
        <v>15000</v>
      </c>
      <c r="G13" s="231">
        <v>15000</v>
      </c>
      <c r="H13" s="231">
        <v>15000</v>
      </c>
      <c r="I13" s="231">
        <v>15000</v>
      </c>
      <c r="J13" s="231">
        <v>15000</v>
      </c>
      <c r="K13" s="231">
        <v>15000</v>
      </c>
      <c r="L13" s="231">
        <v>15000</v>
      </c>
      <c r="M13" s="231">
        <v>15000</v>
      </c>
      <c r="N13" s="231">
        <v>15000</v>
      </c>
      <c r="O13" s="231">
        <v>15000</v>
      </c>
      <c r="P13" s="231">
        <v>15000</v>
      </c>
      <c r="Q13" s="231">
        <v>15000</v>
      </c>
      <c r="R13" s="231">
        <v>15000</v>
      </c>
      <c r="S13" s="231">
        <v>15000</v>
      </c>
      <c r="T13" s="231">
        <v>15000</v>
      </c>
      <c r="U13" s="231">
        <v>15000</v>
      </c>
      <c r="V13" s="231">
        <v>15000</v>
      </c>
      <c r="W13" s="231">
        <v>15000</v>
      </c>
      <c r="X13" s="231">
        <v>15000</v>
      </c>
      <c r="Y13" s="231">
        <v>15000</v>
      </c>
      <c r="Z13" s="231">
        <v>15000</v>
      </c>
      <c r="AA13" s="231">
        <v>15000</v>
      </c>
      <c r="AB13" s="231">
        <v>15000</v>
      </c>
      <c r="AC13" s="231">
        <v>15000</v>
      </c>
      <c r="AD13" s="231">
        <v>15000</v>
      </c>
      <c r="AE13" s="231">
        <v>15000</v>
      </c>
      <c r="AF13" s="231">
        <v>15000</v>
      </c>
      <c r="AG13" s="231">
        <v>15000</v>
      </c>
      <c r="AH13" s="231">
        <v>15000</v>
      </c>
    </row>
    <row r="14" spans="2:34" s="8" customFormat="1" ht="14" x14ac:dyDescent="0.2">
      <c r="B14" s="8" t="str">
        <f>"Staff of "&amp;'Assumptions - General'!E24</f>
        <v>Staff of Ruritania Freight Rail Company</v>
      </c>
      <c r="D14" s="8" t="s">
        <v>39</v>
      </c>
      <c r="E14" s="185">
        <v>15000</v>
      </c>
      <c r="F14" s="191">
        <v>15000</v>
      </c>
      <c r="G14" s="191">
        <v>15000</v>
      </c>
      <c r="H14" s="191">
        <v>18000</v>
      </c>
      <c r="I14" s="191">
        <v>20000</v>
      </c>
      <c r="J14" s="191">
        <v>20000</v>
      </c>
      <c r="K14" s="191">
        <v>20000</v>
      </c>
      <c r="L14" s="191">
        <v>20000</v>
      </c>
      <c r="M14" s="191">
        <v>20000</v>
      </c>
      <c r="N14" s="191">
        <v>20000</v>
      </c>
      <c r="O14" s="191">
        <v>20000</v>
      </c>
      <c r="P14" s="191">
        <v>20000</v>
      </c>
      <c r="Q14" s="191">
        <v>20000</v>
      </c>
      <c r="R14" s="191">
        <v>20000</v>
      </c>
      <c r="S14" s="191">
        <v>20000</v>
      </c>
      <c r="T14" s="191">
        <v>20000</v>
      </c>
      <c r="U14" s="191">
        <v>20000</v>
      </c>
      <c r="V14" s="191">
        <v>20000</v>
      </c>
      <c r="W14" s="191">
        <v>20000</v>
      </c>
      <c r="X14" s="191">
        <v>20000</v>
      </c>
      <c r="Y14" s="191">
        <v>20000</v>
      </c>
      <c r="Z14" s="191">
        <v>20000</v>
      </c>
      <c r="AA14" s="191">
        <v>20000</v>
      </c>
      <c r="AB14" s="191">
        <v>20000</v>
      </c>
      <c r="AC14" s="191">
        <v>20000</v>
      </c>
      <c r="AD14" s="191">
        <v>20000</v>
      </c>
      <c r="AE14" s="191">
        <v>20000</v>
      </c>
      <c r="AF14" s="191">
        <v>20000</v>
      </c>
      <c r="AG14" s="191">
        <v>20000</v>
      </c>
      <c r="AH14" s="191">
        <v>20000</v>
      </c>
    </row>
    <row r="15" spans="2:34" s="8" customFormat="1" ht="14" x14ac:dyDescent="0.2">
      <c r="B15" s="8" t="s">
        <v>356</v>
      </c>
      <c r="D15" s="8" t="s">
        <v>239</v>
      </c>
      <c r="E15" s="185">
        <v>50000</v>
      </c>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row>
    <row r="16" spans="2:34" s="8" customFormat="1" ht="14" x14ac:dyDescent="0.2">
      <c r="B16" s="30" t="s">
        <v>240</v>
      </c>
      <c r="D16" s="8" t="s">
        <v>15</v>
      </c>
      <c r="E16" s="210">
        <v>0.5</v>
      </c>
      <c r="F16" s="180">
        <f t="shared" ref="F16:AH16" si="2">E16+F17</f>
        <v>0.51</v>
      </c>
      <c r="G16" s="180">
        <f t="shared" si="2"/>
        <v>0.52</v>
      </c>
      <c r="H16" s="180">
        <f t="shared" si="2"/>
        <v>0.53</v>
      </c>
      <c r="I16" s="180">
        <f t="shared" si="2"/>
        <v>0.54</v>
      </c>
      <c r="J16" s="180">
        <f t="shared" si="2"/>
        <v>0.55000000000000004</v>
      </c>
      <c r="K16" s="180">
        <f t="shared" si="2"/>
        <v>0.56000000000000005</v>
      </c>
      <c r="L16" s="180">
        <f t="shared" si="2"/>
        <v>0.57000000000000006</v>
      </c>
      <c r="M16" s="180">
        <f t="shared" si="2"/>
        <v>0.58000000000000007</v>
      </c>
      <c r="N16" s="180">
        <f t="shared" si="2"/>
        <v>0.59000000000000008</v>
      </c>
      <c r="O16" s="180">
        <f t="shared" si="2"/>
        <v>0.60000000000000009</v>
      </c>
      <c r="P16" s="180">
        <f t="shared" si="2"/>
        <v>0.6100000000000001</v>
      </c>
      <c r="Q16" s="180">
        <f t="shared" si="2"/>
        <v>0.62000000000000011</v>
      </c>
      <c r="R16" s="180">
        <f t="shared" si="2"/>
        <v>0.63000000000000012</v>
      </c>
      <c r="S16" s="180">
        <f t="shared" si="2"/>
        <v>0.64000000000000012</v>
      </c>
      <c r="T16" s="180">
        <f t="shared" si="2"/>
        <v>0.65000000000000013</v>
      </c>
      <c r="U16" s="180">
        <f t="shared" si="2"/>
        <v>0.66000000000000014</v>
      </c>
      <c r="V16" s="180">
        <f t="shared" si="2"/>
        <v>0.67000000000000015</v>
      </c>
      <c r="W16" s="180">
        <f t="shared" si="2"/>
        <v>0.68000000000000016</v>
      </c>
      <c r="X16" s="180">
        <f t="shared" si="2"/>
        <v>0.69000000000000017</v>
      </c>
      <c r="Y16" s="180">
        <f t="shared" si="2"/>
        <v>0.70000000000000018</v>
      </c>
      <c r="Z16" s="180">
        <f t="shared" si="2"/>
        <v>0.71000000000000019</v>
      </c>
      <c r="AA16" s="180">
        <f t="shared" si="2"/>
        <v>0.7200000000000002</v>
      </c>
      <c r="AB16" s="180">
        <f t="shared" si="2"/>
        <v>0.7300000000000002</v>
      </c>
      <c r="AC16" s="180">
        <f t="shared" si="2"/>
        <v>0.74000000000000021</v>
      </c>
      <c r="AD16" s="180">
        <f t="shared" si="2"/>
        <v>0.75000000000000022</v>
      </c>
      <c r="AE16" s="180">
        <f t="shared" si="2"/>
        <v>0.76000000000000023</v>
      </c>
      <c r="AF16" s="180">
        <f t="shared" si="2"/>
        <v>0.77000000000000024</v>
      </c>
      <c r="AG16" s="180">
        <f t="shared" si="2"/>
        <v>0.78000000000000025</v>
      </c>
      <c r="AH16" s="180">
        <f t="shared" si="2"/>
        <v>0.79000000000000026</v>
      </c>
    </row>
    <row r="17" spans="2:34" s="8" customFormat="1" ht="14" x14ac:dyDescent="0.2">
      <c r="B17" s="211" t="s">
        <v>248</v>
      </c>
      <c r="D17" s="15" t="s">
        <v>247</v>
      </c>
      <c r="E17" s="180"/>
      <c r="F17" s="189">
        <v>0.01</v>
      </c>
      <c r="G17" s="189">
        <v>0.01</v>
      </c>
      <c r="H17" s="189">
        <v>0.01</v>
      </c>
      <c r="I17" s="189">
        <v>0.01</v>
      </c>
      <c r="J17" s="189">
        <v>0.01</v>
      </c>
      <c r="K17" s="189">
        <v>0.01</v>
      </c>
      <c r="L17" s="189">
        <v>0.01</v>
      </c>
      <c r="M17" s="189">
        <v>0.01</v>
      </c>
      <c r="N17" s="189">
        <v>0.01</v>
      </c>
      <c r="O17" s="189">
        <v>0.01</v>
      </c>
      <c r="P17" s="189">
        <v>0.01</v>
      </c>
      <c r="Q17" s="189">
        <v>0.01</v>
      </c>
      <c r="R17" s="189">
        <v>0.01</v>
      </c>
      <c r="S17" s="189">
        <v>0.01</v>
      </c>
      <c r="T17" s="189">
        <v>0.01</v>
      </c>
      <c r="U17" s="189">
        <v>0.01</v>
      </c>
      <c r="V17" s="189">
        <v>0.01</v>
      </c>
      <c r="W17" s="189">
        <v>0.01</v>
      </c>
      <c r="X17" s="189">
        <v>0.01</v>
      </c>
      <c r="Y17" s="189">
        <v>0.01</v>
      </c>
      <c r="Z17" s="189">
        <v>0.01</v>
      </c>
      <c r="AA17" s="189">
        <v>0.01</v>
      </c>
      <c r="AB17" s="189">
        <v>0.01</v>
      </c>
      <c r="AC17" s="189">
        <v>0.01</v>
      </c>
      <c r="AD17" s="189">
        <v>0.01</v>
      </c>
      <c r="AE17" s="189">
        <v>0.01</v>
      </c>
      <c r="AF17" s="189">
        <v>0.01</v>
      </c>
      <c r="AG17" s="189">
        <v>0.01</v>
      </c>
      <c r="AH17" s="189">
        <v>0.01</v>
      </c>
    </row>
    <row r="18" spans="2:34" s="8" customFormat="1" ht="14" x14ac:dyDescent="0.2">
      <c r="B18" s="30" t="s">
        <v>241</v>
      </c>
      <c r="D18" s="8" t="s">
        <v>15</v>
      </c>
      <c r="E18" s="180">
        <f t="shared" ref="E18:AH18" si="3">100%-E16</f>
        <v>0.5</v>
      </c>
      <c r="F18" s="180">
        <f t="shared" si="3"/>
        <v>0.49</v>
      </c>
      <c r="G18" s="180">
        <f t="shared" si="3"/>
        <v>0.48</v>
      </c>
      <c r="H18" s="180">
        <f t="shared" si="3"/>
        <v>0.47</v>
      </c>
      <c r="I18" s="180">
        <f t="shared" si="3"/>
        <v>0.45999999999999996</v>
      </c>
      <c r="J18" s="180">
        <f t="shared" si="3"/>
        <v>0.44999999999999996</v>
      </c>
      <c r="K18" s="180">
        <f t="shared" si="3"/>
        <v>0.43999999999999995</v>
      </c>
      <c r="L18" s="180">
        <f t="shared" si="3"/>
        <v>0.42999999999999994</v>
      </c>
      <c r="M18" s="180">
        <f t="shared" si="3"/>
        <v>0.41999999999999993</v>
      </c>
      <c r="N18" s="180">
        <f t="shared" si="3"/>
        <v>0.40999999999999992</v>
      </c>
      <c r="O18" s="180">
        <f t="shared" si="3"/>
        <v>0.39999999999999991</v>
      </c>
      <c r="P18" s="180">
        <f t="shared" si="3"/>
        <v>0.3899999999999999</v>
      </c>
      <c r="Q18" s="180">
        <f t="shared" si="3"/>
        <v>0.37999999999999989</v>
      </c>
      <c r="R18" s="180">
        <f t="shared" si="3"/>
        <v>0.36999999999999988</v>
      </c>
      <c r="S18" s="180">
        <f t="shared" si="3"/>
        <v>0.35999999999999988</v>
      </c>
      <c r="T18" s="180">
        <f t="shared" si="3"/>
        <v>0.34999999999999987</v>
      </c>
      <c r="U18" s="180">
        <f t="shared" si="3"/>
        <v>0.33999999999999986</v>
      </c>
      <c r="V18" s="180">
        <f t="shared" si="3"/>
        <v>0.32999999999999985</v>
      </c>
      <c r="W18" s="180">
        <f t="shared" si="3"/>
        <v>0.31999999999999984</v>
      </c>
      <c r="X18" s="180">
        <f t="shared" si="3"/>
        <v>0.30999999999999983</v>
      </c>
      <c r="Y18" s="180">
        <f t="shared" si="3"/>
        <v>0.29999999999999982</v>
      </c>
      <c r="Z18" s="180">
        <f t="shared" si="3"/>
        <v>0.28999999999999981</v>
      </c>
      <c r="AA18" s="180">
        <f t="shared" si="3"/>
        <v>0.2799999999999998</v>
      </c>
      <c r="AB18" s="180">
        <f t="shared" si="3"/>
        <v>0.2699999999999998</v>
      </c>
      <c r="AC18" s="180">
        <f t="shared" si="3"/>
        <v>0.25999999999999979</v>
      </c>
      <c r="AD18" s="180">
        <f t="shared" si="3"/>
        <v>0.24999999999999978</v>
      </c>
      <c r="AE18" s="180">
        <f t="shared" si="3"/>
        <v>0.23999999999999977</v>
      </c>
      <c r="AF18" s="180">
        <f t="shared" si="3"/>
        <v>0.22999999999999976</v>
      </c>
      <c r="AG18" s="180">
        <f t="shared" si="3"/>
        <v>0.21999999999999975</v>
      </c>
      <c r="AH18" s="180">
        <f t="shared" si="3"/>
        <v>0.20999999999999974</v>
      </c>
    </row>
    <row r="19" spans="2:34" s="8" customFormat="1" ht="14" x14ac:dyDescent="0.2">
      <c r="B19" s="8" t="s">
        <v>300</v>
      </c>
      <c r="D19" s="8" t="s">
        <v>2</v>
      </c>
      <c r="E19" s="177" t="s">
        <v>301</v>
      </c>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row>
    <row r="20" spans="2:34" s="8" customFormat="1" ht="14" x14ac:dyDescent="0.2">
      <c r="B20" s="30" t="s">
        <v>303</v>
      </c>
      <c r="D20" s="8" t="s">
        <v>118</v>
      </c>
      <c r="E20" s="268">
        <v>1</v>
      </c>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row>
    <row r="21" spans="2:34" s="8" customFormat="1" ht="14" x14ac:dyDescent="0.2">
      <c r="B21" s="30" t="s">
        <v>304</v>
      </c>
      <c r="D21" s="8" t="s">
        <v>118</v>
      </c>
      <c r="E21" s="268">
        <v>1</v>
      </c>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row>
    <row r="22" spans="2:34" s="8" customFormat="1" ht="14" x14ac:dyDescent="0.2">
      <c r="B22" s="30" t="s">
        <v>302</v>
      </c>
      <c r="D22" s="8" t="s">
        <v>118</v>
      </c>
      <c r="E22" s="268">
        <v>1</v>
      </c>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row>
    <row r="23" spans="2:34" s="8" customFormat="1" ht="14" x14ac:dyDescent="0.2">
      <c r="B23" s="30"/>
      <c r="E23" s="192"/>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row>
    <row r="24" spans="2:34" s="320" customFormat="1" x14ac:dyDescent="0.2">
      <c r="B24" s="319" t="str">
        <f>"Fixed asset assumptions for "&amp;'Assumptions - General'!E24</f>
        <v>Fixed asset assumptions for Ruritania Freight Rail Company</v>
      </c>
      <c r="D24" s="319"/>
      <c r="E24" s="319" t="str">
        <f>IF(OR(AND('Scenarios - Consolidated'!$F$3=1,'Scenarios - Consolidated'!$I$20=1),AND('Scenarios - Freight'!$F$3=1,'Scenarios - Freight'!$I$20=1)),"NOTE: SCENARIO ANALYSIS CAPEX ASSUMPTIONS IN USE"," ")</f>
        <v xml:space="preserve"> </v>
      </c>
    </row>
    <row r="26" spans="2:34" s="8" customFormat="1" ht="14" x14ac:dyDescent="0.2">
      <c r="B26" s="8" t="s">
        <v>336</v>
      </c>
      <c r="D26" s="8" t="s">
        <v>2</v>
      </c>
      <c r="E26" s="177" t="s">
        <v>662</v>
      </c>
      <c r="F26" s="457" t="str">
        <f>IF(E26&lt;&gt;"Land", "Note: first asset class should be land"," ")</f>
        <v xml:space="preserve"> </v>
      </c>
    </row>
    <row r="27" spans="2:34" s="8" customFormat="1" ht="14" x14ac:dyDescent="0.2">
      <c r="B27" s="8" t="s">
        <v>337</v>
      </c>
      <c r="D27" s="8" t="s">
        <v>2</v>
      </c>
      <c r="E27" s="177" t="s">
        <v>18</v>
      </c>
    </row>
    <row r="28" spans="2:34" s="8" customFormat="1" ht="14" x14ac:dyDescent="0.2">
      <c r="B28" s="8" t="s">
        <v>338</v>
      </c>
      <c r="D28" s="8" t="s">
        <v>2</v>
      </c>
      <c r="E28" s="177" t="s">
        <v>19</v>
      </c>
    </row>
    <row r="29" spans="2:34" s="8" customFormat="1" ht="14" x14ac:dyDescent="0.2">
      <c r="B29" s="8" t="s">
        <v>339</v>
      </c>
      <c r="D29" s="8" t="s">
        <v>2</v>
      </c>
      <c r="E29" s="177" t="s">
        <v>20</v>
      </c>
    </row>
    <row r="30" spans="2:34" s="8" customFormat="1" ht="14" x14ac:dyDescent="0.2">
      <c r="B30" s="8" t="s">
        <v>340</v>
      </c>
      <c r="D30" s="8" t="s">
        <v>2</v>
      </c>
      <c r="E30" s="177" t="s">
        <v>22</v>
      </c>
    </row>
    <row r="31" spans="2:34" s="8" customFormat="1" ht="14" x14ac:dyDescent="0.2">
      <c r="B31" s="8" t="s">
        <v>341</v>
      </c>
      <c r="D31" s="8" t="s">
        <v>2</v>
      </c>
      <c r="E31" s="177" t="s">
        <v>21</v>
      </c>
    </row>
    <row r="33" spans="2:34" s="8" customFormat="1" ht="14" x14ac:dyDescent="0.2">
      <c r="B33" s="8" t="str">
        <f>"Net asset value at the end of first year of " &amp;E$26</f>
        <v>Net asset value at the end of first year of Land</v>
      </c>
      <c r="D33" s="10" t="str">
        <f>'Assumptions - General'!$E$27 &amp;" millions"</f>
        <v>R$ millions</v>
      </c>
      <c r="E33" s="181">
        <v>100</v>
      </c>
    </row>
    <row r="34" spans="2:34" s="8" customFormat="1" ht="14" x14ac:dyDescent="0.2">
      <c r="B34" s="8" t="str">
        <f>"Net asset value at the end of first year of " &amp;E$27</f>
        <v>Net asset value at the end of first year of Buildings and structures</v>
      </c>
      <c r="D34" s="10" t="str">
        <f>'Assumptions - General'!$E$27 &amp;" millions"</f>
        <v>R$ millions</v>
      </c>
      <c r="E34" s="181">
        <v>150</v>
      </c>
    </row>
    <row r="35" spans="2:34" s="8" customFormat="1" ht="14" x14ac:dyDescent="0.2">
      <c r="B35" s="8" t="str">
        <f>"Net asset value at the end of first year of " &amp;E$28</f>
        <v>Net asset value at the end of first year of Track and infrastructure</v>
      </c>
      <c r="D35" s="10" t="str">
        <f>'Assumptions - General'!$E$27 &amp;" millions"</f>
        <v>R$ millions</v>
      </c>
      <c r="E35" s="181">
        <v>200</v>
      </c>
    </row>
    <row r="36" spans="2:34" s="8" customFormat="1" ht="14" x14ac:dyDescent="0.2">
      <c r="B36" s="8" t="str">
        <f>"Net asset value at the end of first year of " &amp;E$29</f>
        <v>Net asset value at the end of first year of Locomotives and railway cars</v>
      </c>
      <c r="D36" s="10" t="str">
        <f>'Assumptions - General'!$E$27 &amp;" millions"</f>
        <v>R$ millions</v>
      </c>
      <c r="E36" s="181">
        <v>300</v>
      </c>
    </row>
    <row r="37" spans="2:34" s="8" customFormat="1" ht="14" x14ac:dyDescent="0.2">
      <c r="B37" s="8" t="str">
        <f>"Net asset value at the end of first year of " &amp;E$30</f>
        <v>Net asset value at the end of first year of Machines, equipment and spare parts</v>
      </c>
      <c r="D37" s="10" t="str">
        <f>'Assumptions - General'!$E$27 &amp;" millions"</f>
        <v>R$ millions</v>
      </c>
      <c r="E37" s="181">
        <v>300</v>
      </c>
    </row>
    <row r="38" spans="2:34" s="8" customFormat="1" ht="14" x14ac:dyDescent="0.2">
      <c r="B38" s="8" t="str">
        <f>"Net asset value at the end of first year of " &amp;E$31</f>
        <v>Net asset value at the end of first year of Others</v>
      </c>
      <c r="D38" s="10" t="str">
        <f>'Assumptions - General'!$E$27 &amp;" millions"</f>
        <v>R$ millions</v>
      </c>
      <c r="E38" s="181">
        <v>50</v>
      </c>
    </row>
    <row r="39" spans="2:34" s="8" customFormat="1" ht="14" x14ac:dyDescent="0.2">
      <c r="E39" s="182"/>
    </row>
    <row r="40" spans="2:34" s="8" customFormat="1" ht="14" x14ac:dyDescent="0.2">
      <c r="B40" s="8" t="str">
        <f>"Annual capital expenditure on " &amp;E$26</f>
        <v>Annual capital expenditure on Land</v>
      </c>
      <c r="D40" s="10" t="str">
        <f>'Assumptions - General'!$E$27 &amp;" millions"</f>
        <v>R$ millions</v>
      </c>
      <c r="E40" s="183"/>
      <c r="F40" s="191">
        <v>10</v>
      </c>
      <c r="G40" s="191">
        <v>10</v>
      </c>
      <c r="H40" s="191">
        <v>10</v>
      </c>
      <c r="I40" s="191">
        <v>10</v>
      </c>
      <c r="J40" s="191">
        <v>10</v>
      </c>
      <c r="K40" s="191">
        <v>10</v>
      </c>
      <c r="L40" s="191">
        <v>10</v>
      </c>
      <c r="M40" s="191">
        <v>10</v>
      </c>
      <c r="N40" s="191">
        <v>10</v>
      </c>
      <c r="O40" s="191">
        <v>10</v>
      </c>
      <c r="P40" s="191">
        <v>10</v>
      </c>
      <c r="Q40" s="191">
        <v>10</v>
      </c>
      <c r="R40" s="191">
        <v>10</v>
      </c>
      <c r="S40" s="191">
        <v>10</v>
      </c>
      <c r="T40" s="191">
        <v>10</v>
      </c>
      <c r="U40" s="191">
        <v>10</v>
      </c>
      <c r="V40" s="191">
        <v>10</v>
      </c>
      <c r="W40" s="191">
        <v>10</v>
      </c>
      <c r="X40" s="191">
        <v>10</v>
      </c>
      <c r="Y40" s="191">
        <v>10</v>
      </c>
      <c r="Z40" s="191">
        <v>10</v>
      </c>
      <c r="AA40" s="191">
        <v>10</v>
      </c>
      <c r="AB40" s="191">
        <v>10</v>
      </c>
      <c r="AC40" s="191">
        <v>10</v>
      </c>
      <c r="AD40" s="191">
        <v>10</v>
      </c>
      <c r="AE40" s="191">
        <v>10</v>
      </c>
      <c r="AF40" s="191">
        <v>10</v>
      </c>
      <c r="AG40" s="191">
        <v>10</v>
      </c>
      <c r="AH40" s="191">
        <v>10</v>
      </c>
    </row>
    <row r="41" spans="2:34" s="8" customFormat="1" ht="14" x14ac:dyDescent="0.2">
      <c r="B41" s="8" t="str">
        <f>"Annual capital expenditure on " &amp;E$27</f>
        <v>Annual capital expenditure on Buildings and structures</v>
      </c>
      <c r="D41" s="10" t="str">
        <f>'Assumptions - General'!$E$27 &amp;" millions"</f>
        <v>R$ millions</v>
      </c>
      <c r="E41" s="183"/>
      <c r="F41" s="191">
        <v>20</v>
      </c>
      <c r="G41" s="191">
        <v>20</v>
      </c>
      <c r="H41" s="191">
        <v>20</v>
      </c>
      <c r="I41" s="191">
        <v>20</v>
      </c>
      <c r="J41" s="191">
        <v>20</v>
      </c>
      <c r="K41" s="191">
        <v>20</v>
      </c>
      <c r="L41" s="191">
        <v>20</v>
      </c>
      <c r="M41" s="191">
        <v>20</v>
      </c>
      <c r="N41" s="191">
        <v>20</v>
      </c>
      <c r="O41" s="191">
        <v>20</v>
      </c>
      <c r="P41" s="191">
        <v>20</v>
      </c>
      <c r="Q41" s="191">
        <v>20</v>
      </c>
      <c r="R41" s="191">
        <v>20</v>
      </c>
      <c r="S41" s="191">
        <v>20</v>
      </c>
      <c r="T41" s="191">
        <v>20</v>
      </c>
      <c r="U41" s="191">
        <v>20</v>
      </c>
      <c r="V41" s="191">
        <v>20</v>
      </c>
      <c r="W41" s="191">
        <v>20</v>
      </c>
      <c r="X41" s="191">
        <v>20</v>
      </c>
      <c r="Y41" s="191">
        <v>20</v>
      </c>
      <c r="Z41" s="191">
        <v>20</v>
      </c>
      <c r="AA41" s="191">
        <v>20</v>
      </c>
      <c r="AB41" s="191">
        <v>20</v>
      </c>
      <c r="AC41" s="191">
        <v>20</v>
      </c>
      <c r="AD41" s="191">
        <v>20</v>
      </c>
      <c r="AE41" s="191">
        <v>20</v>
      </c>
      <c r="AF41" s="191">
        <v>20</v>
      </c>
      <c r="AG41" s="191">
        <v>20</v>
      </c>
      <c r="AH41" s="191">
        <v>20</v>
      </c>
    </row>
    <row r="42" spans="2:34" s="8" customFormat="1" ht="14" x14ac:dyDescent="0.2">
      <c r="B42" s="8" t="str">
        <f>"Annual capital expenditure on " &amp;E$28</f>
        <v>Annual capital expenditure on Track and infrastructure</v>
      </c>
      <c r="D42" s="10" t="str">
        <f>'Assumptions - General'!$E$27 &amp;" millions"</f>
        <v>R$ millions</v>
      </c>
      <c r="E42" s="183"/>
      <c r="F42" s="191">
        <v>20</v>
      </c>
      <c r="G42" s="191">
        <v>100</v>
      </c>
      <c r="H42" s="191">
        <v>100</v>
      </c>
      <c r="I42" s="191">
        <v>100</v>
      </c>
      <c r="J42" s="191">
        <v>100</v>
      </c>
      <c r="K42" s="191">
        <v>100</v>
      </c>
      <c r="L42" s="191">
        <v>100</v>
      </c>
      <c r="M42" s="191">
        <v>100</v>
      </c>
      <c r="N42" s="191">
        <v>100</v>
      </c>
      <c r="O42" s="191">
        <v>100</v>
      </c>
      <c r="P42" s="191">
        <v>100</v>
      </c>
      <c r="Q42" s="191">
        <v>100</v>
      </c>
      <c r="R42" s="191">
        <v>100</v>
      </c>
      <c r="S42" s="191">
        <v>100</v>
      </c>
      <c r="T42" s="191">
        <v>100</v>
      </c>
      <c r="U42" s="191">
        <v>100</v>
      </c>
      <c r="V42" s="191">
        <v>100</v>
      </c>
      <c r="W42" s="191">
        <v>100</v>
      </c>
      <c r="X42" s="191">
        <v>100</v>
      </c>
      <c r="Y42" s="191">
        <v>100</v>
      </c>
      <c r="Z42" s="191">
        <v>100</v>
      </c>
      <c r="AA42" s="191">
        <v>100</v>
      </c>
      <c r="AB42" s="191">
        <v>100</v>
      </c>
      <c r="AC42" s="191">
        <v>100</v>
      </c>
      <c r="AD42" s="191">
        <v>100</v>
      </c>
      <c r="AE42" s="191">
        <v>100</v>
      </c>
      <c r="AF42" s="191">
        <v>100</v>
      </c>
      <c r="AG42" s="191">
        <v>100</v>
      </c>
      <c r="AH42" s="191">
        <v>100</v>
      </c>
    </row>
    <row r="43" spans="2:34" s="8" customFormat="1" ht="14" x14ac:dyDescent="0.2">
      <c r="B43" s="8" t="str">
        <f>"Annual capital expenditure on " &amp;E$29</f>
        <v>Annual capital expenditure on Locomotives and railway cars</v>
      </c>
      <c r="D43" s="10" t="str">
        <f>'Assumptions - General'!$E$27 &amp;" millions"</f>
        <v>R$ millions</v>
      </c>
      <c r="E43" s="183"/>
      <c r="F43" s="191">
        <v>25</v>
      </c>
      <c r="G43" s="191">
        <v>100</v>
      </c>
      <c r="H43" s="191">
        <v>100</v>
      </c>
      <c r="I43" s="191">
        <v>100</v>
      </c>
      <c r="J43" s="191">
        <v>100</v>
      </c>
      <c r="K43" s="191">
        <v>100</v>
      </c>
      <c r="L43" s="191">
        <v>100</v>
      </c>
      <c r="M43" s="191">
        <v>100</v>
      </c>
      <c r="N43" s="191">
        <v>100</v>
      </c>
      <c r="O43" s="191">
        <v>100</v>
      </c>
      <c r="P43" s="191">
        <v>100</v>
      </c>
      <c r="Q43" s="191">
        <v>100</v>
      </c>
      <c r="R43" s="191">
        <v>100</v>
      </c>
      <c r="S43" s="191">
        <v>100</v>
      </c>
      <c r="T43" s="191">
        <v>100</v>
      </c>
      <c r="U43" s="191">
        <v>100</v>
      </c>
      <c r="V43" s="191">
        <v>100</v>
      </c>
      <c r="W43" s="191">
        <v>100</v>
      </c>
      <c r="X43" s="191">
        <v>100</v>
      </c>
      <c r="Y43" s="191">
        <v>100</v>
      </c>
      <c r="Z43" s="191">
        <v>100</v>
      </c>
      <c r="AA43" s="191">
        <v>100</v>
      </c>
      <c r="AB43" s="191">
        <v>100</v>
      </c>
      <c r="AC43" s="191">
        <v>100</v>
      </c>
      <c r="AD43" s="191">
        <v>100</v>
      </c>
      <c r="AE43" s="191">
        <v>100</v>
      </c>
      <c r="AF43" s="191">
        <v>100</v>
      </c>
      <c r="AG43" s="191">
        <v>100</v>
      </c>
      <c r="AH43" s="191">
        <v>100</v>
      </c>
    </row>
    <row r="44" spans="2:34" s="8" customFormat="1" ht="14" x14ac:dyDescent="0.2">
      <c r="B44" s="8" t="str">
        <f>"Annual capital expenditure on " &amp;E$30</f>
        <v>Annual capital expenditure on Machines, equipment and spare parts</v>
      </c>
      <c r="D44" s="10" t="str">
        <f>'Assumptions - General'!$E$27 &amp;" millions"</f>
        <v>R$ millions</v>
      </c>
      <c r="E44" s="183"/>
      <c r="F44" s="191">
        <v>25</v>
      </c>
      <c r="G44" s="191">
        <v>25</v>
      </c>
      <c r="H44" s="191">
        <v>25</v>
      </c>
      <c r="I44" s="191">
        <v>25</v>
      </c>
      <c r="J44" s="191">
        <v>25</v>
      </c>
      <c r="K44" s="191">
        <v>25</v>
      </c>
      <c r="L44" s="191">
        <v>25</v>
      </c>
      <c r="M44" s="191">
        <v>25</v>
      </c>
      <c r="N44" s="191">
        <v>25</v>
      </c>
      <c r="O44" s="191">
        <v>25</v>
      </c>
      <c r="P44" s="191">
        <v>25</v>
      </c>
      <c r="Q44" s="191">
        <v>25</v>
      </c>
      <c r="R44" s="191">
        <v>25</v>
      </c>
      <c r="S44" s="191">
        <v>25</v>
      </c>
      <c r="T44" s="191">
        <v>25</v>
      </c>
      <c r="U44" s="191">
        <v>25</v>
      </c>
      <c r="V44" s="191">
        <v>25</v>
      </c>
      <c r="W44" s="191">
        <v>25</v>
      </c>
      <c r="X44" s="191">
        <v>25</v>
      </c>
      <c r="Y44" s="191">
        <v>25</v>
      </c>
      <c r="Z44" s="191">
        <v>25</v>
      </c>
      <c r="AA44" s="191">
        <v>25</v>
      </c>
      <c r="AB44" s="191">
        <v>25</v>
      </c>
      <c r="AC44" s="191">
        <v>25</v>
      </c>
      <c r="AD44" s="191">
        <v>25</v>
      </c>
      <c r="AE44" s="191">
        <v>25</v>
      </c>
      <c r="AF44" s="191">
        <v>25</v>
      </c>
      <c r="AG44" s="191">
        <v>25</v>
      </c>
      <c r="AH44" s="191">
        <v>25</v>
      </c>
    </row>
    <row r="45" spans="2:34" s="8" customFormat="1" ht="14" x14ac:dyDescent="0.2">
      <c r="B45" s="8" t="str">
        <f>"Annual capital expenditure on " &amp;E$31</f>
        <v>Annual capital expenditure on Others</v>
      </c>
      <c r="D45" s="10" t="str">
        <f>'Assumptions - General'!$E$27 &amp;" millions"</f>
        <v>R$ millions</v>
      </c>
      <c r="E45" s="183"/>
      <c r="F45" s="191">
        <v>25</v>
      </c>
      <c r="G45" s="191">
        <v>25</v>
      </c>
      <c r="H45" s="191">
        <v>25</v>
      </c>
      <c r="I45" s="191">
        <v>25</v>
      </c>
      <c r="J45" s="191">
        <v>25</v>
      </c>
      <c r="K45" s="191">
        <v>25</v>
      </c>
      <c r="L45" s="191">
        <v>25</v>
      </c>
      <c r="M45" s="191">
        <v>25</v>
      </c>
      <c r="N45" s="191">
        <v>25</v>
      </c>
      <c r="O45" s="191">
        <v>25</v>
      </c>
      <c r="P45" s="191">
        <v>25</v>
      </c>
      <c r="Q45" s="191">
        <v>25</v>
      </c>
      <c r="R45" s="191">
        <v>25</v>
      </c>
      <c r="S45" s="191">
        <v>25</v>
      </c>
      <c r="T45" s="191">
        <v>25</v>
      </c>
      <c r="U45" s="191">
        <v>25</v>
      </c>
      <c r="V45" s="191">
        <v>25</v>
      </c>
      <c r="W45" s="191">
        <v>25</v>
      </c>
      <c r="X45" s="191">
        <v>25</v>
      </c>
      <c r="Y45" s="191">
        <v>25</v>
      </c>
      <c r="Z45" s="191">
        <v>25</v>
      </c>
      <c r="AA45" s="191">
        <v>25</v>
      </c>
      <c r="AB45" s="191">
        <v>25</v>
      </c>
      <c r="AC45" s="191">
        <v>25</v>
      </c>
      <c r="AD45" s="191">
        <v>25</v>
      </c>
      <c r="AE45" s="191">
        <v>25</v>
      </c>
      <c r="AF45" s="191">
        <v>25</v>
      </c>
      <c r="AG45" s="191">
        <v>25</v>
      </c>
      <c r="AH45" s="191">
        <v>25</v>
      </c>
    </row>
    <row r="46" spans="2:34" s="8" customFormat="1" ht="14" x14ac:dyDescent="0.2">
      <c r="B46" s="8" t="s">
        <v>460</v>
      </c>
      <c r="D46" s="10" t="str">
        <f>'Assumptions - General'!$E$27 &amp;" millions"</f>
        <v>R$ millions</v>
      </c>
      <c r="E46" s="183"/>
      <c r="F46" s="218">
        <f t="shared" ref="F46:AH46" si="4">SUM(F40:F45)</f>
        <v>125</v>
      </c>
      <c r="G46" s="218">
        <f t="shared" si="4"/>
        <v>280</v>
      </c>
      <c r="H46" s="218">
        <f t="shared" si="4"/>
        <v>280</v>
      </c>
      <c r="I46" s="218">
        <f t="shared" si="4"/>
        <v>280</v>
      </c>
      <c r="J46" s="218">
        <f t="shared" si="4"/>
        <v>280</v>
      </c>
      <c r="K46" s="218">
        <f t="shared" si="4"/>
        <v>280</v>
      </c>
      <c r="L46" s="218">
        <f t="shared" si="4"/>
        <v>280</v>
      </c>
      <c r="M46" s="218">
        <f t="shared" si="4"/>
        <v>280</v>
      </c>
      <c r="N46" s="218">
        <f t="shared" si="4"/>
        <v>280</v>
      </c>
      <c r="O46" s="218">
        <f t="shared" si="4"/>
        <v>280</v>
      </c>
      <c r="P46" s="218">
        <f t="shared" si="4"/>
        <v>280</v>
      </c>
      <c r="Q46" s="218">
        <f t="shared" si="4"/>
        <v>280</v>
      </c>
      <c r="R46" s="218">
        <f t="shared" si="4"/>
        <v>280</v>
      </c>
      <c r="S46" s="218">
        <f t="shared" si="4"/>
        <v>280</v>
      </c>
      <c r="T46" s="218">
        <f t="shared" si="4"/>
        <v>280</v>
      </c>
      <c r="U46" s="218">
        <f t="shared" si="4"/>
        <v>280</v>
      </c>
      <c r="V46" s="218">
        <f t="shared" si="4"/>
        <v>280</v>
      </c>
      <c r="W46" s="218">
        <f t="shared" si="4"/>
        <v>280</v>
      </c>
      <c r="X46" s="218">
        <f t="shared" si="4"/>
        <v>280</v>
      </c>
      <c r="Y46" s="218">
        <f t="shared" si="4"/>
        <v>280</v>
      </c>
      <c r="Z46" s="218">
        <f t="shared" si="4"/>
        <v>280</v>
      </c>
      <c r="AA46" s="218">
        <f t="shared" si="4"/>
        <v>280</v>
      </c>
      <c r="AB46" s="218">
        <f t="shared" si="4"/>
        <v>280</v>
      </c>
      <c r="AC46" s="218">
        <f t="shared" si="4"/>
        <v>280</v>
      </c>
      <c r="AD46" s="218">
        <f t="shared" si="4"/>
        <v>280</v>
      </c>
      <c r="AE46" s="218">
        <f t="shared" si="4"/>
        <v>280</v>
      </c>
      <c r="AF46" s="218">
        <f t="shared" si="4"/>
        <v>280</v>
      </c>
      <c r="AG46" s="218">
        <f t="shared" si="4"/>
        <v>280</v>
      </c>
      <c r="AH46" s="218">
        <f t="shared" si="4"/>
        <v>280</v>
      </c>
    </row>
    <row r="47" spans="2:34" s="8" customFormat="1" ht="14" x14ac:dyDescent="0.2">
      <c r="E47" s="183"/>
    </row>
    <row r="48" spans="2:34" s="8" customFormat="1" ht="14" x14ac:dyDescent="0.2">
      <c r="B48" s="8" t="str">
        <f>"Annual sale of " &amp;E$26</f>
        <v>Annual sale of Land</v>
      </c>
      <c r="D48" s="10" t="str">
        <f>'Assumptions - General'!$E$27 &amp;" millions"</f>
        <v>R$ millions</v>
      </c>
      <c r="E48" s="434" t="str">
        <f t="shared" ref="E48:E53" si="5">IF(SUM(F48:AH48)&gt;E33,"WARNING: ASSETS SALES&gt;INITIAL VALUE"," ")</f>
        <v xml:space="preserve"> </v>
      </c>
      <c r="F48" s="191">
        <v>0</v>
      </c>
      <c r="G48" s="191">
        <v>0</v>
      </c>
      <c r="H48" s="191">
        <v>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row>
    <row r="49" spans="1:34" s="8" customFormat="1" ht="14" x14ac:dyDescent="0.2">
      <c r="B49" s="8" t="str">
        <f>"Annual sale of " &amp;E$27</f>
        <v>Annual sale of Buildings and structures</v>
      </c>
      <c r="D49" s="10" t="str">
        <f>'Assumptions - General'!$E$27 &amp;" millions"</f>
        <v>R$ millions</v>
      </c>
      <c r="E49" s="434" t="str">
        <f t="shared" si="5"/>
        <v xml:space="preserve"> </v>
      </c>
      <c r="F49" s="191">
        <v>5</v>
      </c>
      <c r="G49" s="191">
        <v>5</v>
      </c>
      <c r="H49" s="191">
        <v>5</v>
      </c>
      <c r="I49" s="191">
        <v>5</v>
      </c>
      <c r="J49" s="191">
        <v>5</v>
      </c>
      <c r="K49" s="191">
        <v>5</v>
      </c>
      <c r="L49" s="191">
        <v>5</v>
      </c>
      <c r="M49" s="191">
        <v>5</v>
      </c>
      <c r="N49" s="191">
        <v>5</v>
      </c>
      <c r="O49" s="191">
        <v>5</v>
      </c>
      <c r="P49" s="191">
        <v>5</v>
      </c>
      <c r="Q49" s="191">
        <v>5</v>
      </c>
      <c r="R49" s="191">
        <v>5</v>
      </c>
      <c r="S49" s="191">
        <v>5</v>
      </c>
      <c r="T49" s="191">
        <v>5</v>
      </c>
      <c r="U49" s="191">
        <v>5</v>
      </c>
      <c r="V49" s="191">
        <v>5</v>
      </c>
      <c r="W49" s="191">
        <v>5</v>
      </c>
      <c r="X49" s="191">
        <v>5</v>
      </c>
      <c r="Y49" s="191">
        <v>5</v>
      </c>
      <c r="Z49" s="191">
        <v>5</v>
      </c>
      <c r="AA49" s="191">
        <v>5</v>
      </c>
      <c r="AB49" s="191">
        <v>5</v>
      </c>
      <c r="AC49" s="191">
        <v>5</v>
      </c>
      <c r="AD49" s="191">
        <v>5</v>
      </c>
      <c r="AE49" s="191">
        <v>5</v>
      </c>
      <c r="AF49" s="191">
        <v>5</v>
      </c>
      <c r="AG49" s="191">
        <v>5</v>
      </c>
      <c r="AH49" s="191">
        <v>5</v>
      </c>
    </row>
    <row r="50" spans="1:34" s="8" customFormat="1" ht="14" x14ac:dyDescent="0.2">
      <c r="B50" s="8" t="str">
        <f>"Annual sale of " &amp;E$28</f>
        <v>Annual sale of Track and infrastructure</v>
      </c>
      <c r="D50" s="10" t="str">
        <f>'Assumptions - General'!$E$27 &amp;" millions"</f>
        <v>R$ millions</v>
      </c>
      <c r="E50" s="434" t="str">
        <f t="shared" si="5"/>
        <v xml:space="preserve"> </v>
      </c>
      <c r="F50" s="191">
        <v>5</v>
      </c>
      <c r="G50" s="191">
        <v>5</v>
      </c>
      <c r="H50" s="191">
        <v>5</v>
      </c>
      <c r="I50" s="191">
        <v>5</v>
      </c>
      <c r="J50" s="191">
        <v>5</v>
      </c>
      <c r="K50" s="191">
        <v>5</v>
      </c>
      <c r="L50" s="191">
        <v>5</v>
      </c>
      <c r="M50" s="191">
        <v>5</v>
      </c>
      <c r="N50" s="191">
        <v>5</v>
      </c>
      <c r="O50" s="191">
        <v>5</v>
      </c>
      <c r="P50" s="191">
        <v>5</v>
      </c>
      <c r="Q50" s="191">
        <v>5</v>
      </c>
      <c r="R50" s="191">
        <v>5</v>
      </c>
      <c r="S50" s="191">
        <v>5</v>
      </c>
      <c r="T50" s="191">
        <v>5</v>
      </c>
      <c r="U50" s="191">
        <v>5</v>
      </c>
      <c r="V50" s="191">
        <v>5</v>
      </c>
      <c r="W50" s="191">
        <v>5</v>
      </c>
      <c r="X50" s="191">
        <v>5</v>
      </c>
      <c r="Y50" s="191">
        <v>5</v>
      </c>
      <c r="Z50" s="191">
        <v>5</v>
      </c>
      <c r="AA50" s="191">
        <v>5</v>
      </c>
      <c r="AB50" s="191">
        <v>5</v>
      </c>
      <c r="AC50" s="191">
        <v>5</v>
      </c>
      <c r="AD50" s="191">
        <v>5</v>
      </c>
      <c r="AE50" s="191">
        <v>5</v>
      </c>
      <c r="AF50" s="191">
        <v>5</v>
      </c>
      <c r="AG50" s="191">
        <v>5</v>
      </c>
      <c r="AH50" s="191">
        <v>5</v>
      </c>
    </row>
    <row r="51" spans="1:34" s="8" customFormat="1" ht="14" x14ac:dyDescent="0.2">
      <c r="B51" s="8" t="str">
        <f>"Annual sale of " &amp;E$29</f>
        <v>Annual sale of Locomotives and railway cars</v>
      </c>
      <c r="D51" s="10" t="str">
        <f>'Assumptions - General'!$E$27 &amp;" millions"</f>
        <v>R$ millions</v>
      </c>
      <c r="E51" s="434" t="str">
        <f t="shared" si="5"/>
        <v xml:space="preserve"> </v>
      </c>
      <c r="F51" s="191">
        <v>5</v>
      </c>
      <c r="G51" s="191">
        <v>5</v>
      </c>
      <c r="H51" s="191">
        <v>5</v>
      </c>
      <c r="I51" s="191">
        <v>5</v>
      </c>
      <c r="J51" s="191">
        <v>5</v>
      </c>
      <c r="K51" s="191">
        <v>5</v>
      </c>
      <c r="L51" s="191">
        <v>5</v>
      </c>
      <c r="M51" s="191">
        <v>5</v>
      </c>
      <c r="N51" s="191">
        <v>5</v>
      </c>
      <c r="O51" s="191">
        <v>5</v>
      </c>
      <c r="P51" s="191">
        <v>5</v>
      </c>
      <c r="Q51" s="191">
        <v>5</v>
      </c>
      <c r="R51" s="191">
        <v>5</v>
      </c>
      <c r="S51" s="191">
        <v>5</v>
      </c>
      <c r="T51" s="191">
        <v>5</v>
      </c>
      <c r="U51" s="191">
        <v>5</v>
      </c>
      <c r="V51" s="191">
        <v>5</v>
      </c>
      <c r="W51" s="191">
        <v>5</v>
      </c>
      <c r="X51" s="191">
        <v>5</v>
      </c>
      <c r="Y51" s="191">
        <v>5</v>
      </c>
      <c r="Z51" s="191">
        <v>5</v>
      </c>
      <c r="AA51" s="191">
        <v>5</v>
      </c>
      <c r="AB51" s="191">
        <v>5</v>
      </c>
      <c r="AC51" s="191">
        <v>5</v>
      </c>
      <c r="AD51" s="191">
        <v>5</v>
      </c>
      <c r="AE51" s="191">
        <v>5</v>
      </c>
      <c r="AF51" s="191">
        <v>5</v>
      </c>
      <c r="AG51" s="191">
        <v>5</v>
      </c>
      <c r="AH51" s="191">
        <v>5</v>
      </c>
    </row>
    <row r="52" spans="1:34" s="8" customFormat="1" ht="14" x14ac:dyDescent="0.2">
      <c r="B52" s="8" t="str">
        <f>"Annual sale of " &amp;E$30</f>
        <v>Annual sale of Machines, equipment and spare parts</v>
      </c>
      <c r="D52" s="10" t="str">
        <f>'Assumptions - General'!$E$27 &amp;" millions"</f>
        <v>R$ millions</v>
      </c>
      <c r="E52" s="434" t="str">
        <f t="shared" si="5"/>
        <v xml:space="preserve"> </v>
      </c>
      <c r="F52" s="191">
        <v>5</v>
      </c>
      <c r="G52" s="191">
        <v>5</v>
      </c>
      <c r="H52" s="191">
        <v>5</v>
      </c>
      <c r="I52" s="191">
        <v>5</v>
      </c>
      <c r="J52" s="191">
        <v>5</v>
      </c>
      <c r="K52" s="191">
        <v>5</v>
      </c>
      <c r="L52" s="191">
        <v>5</v>
      </c>
      <c r="M52" s="191">
        <v>5</v>
      </c>
      <c r="N52" s="191">
        <v>5</v>
      </c>
      <c r="O52" s="191">
        <v>5</v>
      </c>
      <c r="P52" s="191">
        <v>5</v>
      </c>
      <c r="Q52" s="191">
        <v>5</v>
      </c>
      <c r="R52" s="191">
        <v>5</v>
      </c>
      <c r="S52" s="191">
        <v>5</v>
      </c>
      <c r="T52" s="191">
        <v>5</v>
      </c>
      <c r="U52" s="191">
        <v>5</v>
      </c>
      <c r="V52" s="191">
        <v>5</v>
      </c>
      <c r="W52" s="191">
        <v>5</v>
      </c>
      <c r="X52" s="191">
        <v>5</v>
      </c>
      <c r="Y52" s="191">
        <v>5</v>
      </c>
      <c r="Z52" s="191">
        <v>5</v>
      </c>
      <c r="AA52" s="191">
        <v>5</v>
      </c>
      <c r="AB52" s="191">
        <v>5</v>
      </c>
      <c r="AC52" s="191">
        <v>5</v>
      </c>
      <c r="AD52" s="191">
        <v>5</v>
      </c>
      <c r="AE52" s="191">
        <v>5</v>
      </c>
      <c r="AF52" s="191">
        <v>5</v>
      </c>
      <c r="AG52" s="191">
        <v>5</v>
      </c>
      <c r="AH52" s="191">
        <v>5</v>
      </c>
    </row>
    <row r="53" spans="1:34" s="8" customFormat="1" ht="14" x14ac:dyDescent="0.2">
      <c r="B53" s="8" t="str">
        <f>"Annual sale of " &amp;E$31</f>
        <v>Annual sale of Others</v>
      </c>
      <c r="D53" s="10" t="str">
        <f>'Assumptions - General'!$E$27 &amp;" millions"</f>
        <v>R$ millions</v>
      </c>
      <c r="E53" s="434" t="str">
        <f t="shared" si="5"/>
        <v xml:space="preserve"> </v>
      </c>
      <c r="F53" s="191">
        <v>0</v>
      </c>
      <c r="G53" s="191">
        <v>0</v>
      </c>
      <c r="H53" s="191">
        <v>0</v>
      </c>
      <c r="I53" s="191">
        <v>0</v>
      </c>
      <c r="J53" s="191">
        <v>0</v>
      </c>
      <c r="K53" s="191">
        <v>0</v>
      </c>
      <c r="L53" s="191">
        <v>0</v>
      </c>
      <c r="M53" s="191">
        <v>0</v>
      </c>
      <c r="N53" s="191">
        <v>0</v>
      </c>
      <c r="O53" s="191">
        <v>0</v>
      </c>
      <c r="P53" s="191">
        <v>0</v>
      </c>
      <c r="Q53" s="191">
        <v>0</v>
      </c>
      <c r="R53" s="191">
        <v>0</v>
      </c>
      <c r="S53" s="191">
        <v>0</v>
      </c>
      <c r="T53" s="191">
        <v>0</v>
      </c>
      <c r="U53" s="191">
        <v>0</v>
      </c>
      <c r="V53" s="191">
        <v>0</v>
      </c>
      <c r="W53" s="191">
        <v>0</v>
      </c>
      <c r="X53" s="191">
        <v>0</v>
      </c>
      <c r="Y53" s="191">
        <v>0</v>
      </c>
      <c r="Z53" s="191">
        <v>0</v>
      </c>
      <c r="AA53" s="191">
        <v>0</v>
      </c>
      <c r="AB53" s="191">
        <v>0</v>
      </c>
      <c r="AC53" s="191">
        <v>0</v>
      </c>
      <c r="AD53" s="191">
        <v>0</v>
      </c>
      <c r="AE53" s="191">
        <v>0</v>
      </c>
      <c r="AF53" s="191">
        <v>0</v>
      </c>
      <c r="AG53" s="191">
        <v>0</v>
      </c>
      <c r="AH53" s="191">
        <v>0</v>
      </c>
    </row>
    <row r="54" spans="1:34" s="8" customFormat="1" ht="14" x14ac:dyDescent="0.2">
      <c r="B54" s="8" t="s">
        <v>460</v>
      </c>
      <c r="D54" s="10" t="str">
        <f>'Assumptions - General'!$E$27 &amp;" millions"</f>
        <v>R$ millions</v>
      </c>
      <c r="E54" s="183"/>
      <c r="F54" s="218">
        <f t="shared" ref="F54:AH54" si="6">SUM(F48:F53)</f>
        <v>20</v>
      </c>
      <c r="G54" s="218">
        <f t="shared" si="6"/>
        <v>20</v>
      </c>
      <c r="H54" s="218">
        <f t="shared" si="6"/>
        <v>20</v>
      </c>
      <c r="I54" s="218">
        <f t="shared" si="6"/>
        <v>20</v>
      </c>
      <c r="J54" s="218">
        <f t="shared" si="6"/>
        <v>20</v>
      </c>
      <c r="K54" s="218">
        <f t="shared" si="6"/>
        <v>20</v>
      </c>
      <c r="L54" s="218">
        <f t="shared" si="6"/>
        <v>20</v>
      </c>
      <c r="M54" s="218">
        <f t="shared" si="6"/>
        <v>20</v>
      </c>
      <c r="N54" s="218">
        <f t="shared" si="6"/>
        <v>20</v>
      </c>
      <c r="O54" s="218">
        <f t="shared" si="6"/>
        <v>20</v>
      </c>
      <c r="P54" s="218">
        <f t="shared" si="6"/>
        <v>20</v>
      </c>
      <c r="Q54" s="218">
        <f t="shared" si="6"/>
        <v>20</v>
      </c>
      <c r="R54" s="218">
        <f t="shared" si="6"/>
        <v>20</v>
      </c>
      <c r="S54" s="218">
        <f t="shared" si="6"/>
        <v>20</v>
      </c>
      <c r="T54" s="218">
        <f t="shared" si="6"/>
        <v>20</v>
      </c>
      <c r="U54" s="218">
        <f t="shared" si="6"/>
        <v>20</v>
      </c>
      <c r="V54" s="218">
        <f t="shared" si="6"/>
        <v>20</v>
      </c>
      <c r="W54" s="218">
        <f t="shared" si="6"/>
        <v>20</v>
      </c>
      <c r="X54" s="218">
        <f t="shared" si="6"/>
        <v>20</v>
      </c>
      <c r="Y54" s="218">
        <f t="shared" si="6"/>
        <v>20</v>
      </c>
      <c r="Z54" s="218">
        <f t="shared" si="6"/>
        <v>20</v>
      </c>
      <c r="AA54" s="218">
        <f t="shared" si="6"/>
        <v>20</v>
      </c>
      <c r="AB54" s="218">
        <f t="shared" si="6"/>
        <v>20</v>
      </c>
      <c r="AC54" s="218">
        <f t="shared" si="6"/>
        <v>20</v>
      </c>
      <c r="AD54" s="218">
        <f t="shared" si="6"/>
        <v>20</v>
      </c>
      <c r="AE54" s="218">
        <f t="shared" si="6"/>
        <v>20</v>
      </c>
      <c r="AF54" s="218">
        <f t="shared" si="6"/>
        <v>20</v>
      </c>
      <c r="AG54" s="218">
        <f t="shared" si="6"/>
        <v>20</v>
      </c>
      <c r="AH54" s="218">
        <f t="shared" si="6"/>
        <v>20</v>
      </c>
    </row>
    <row r="55" spans="1:34" s="8" customFormat="1" ht="14" x14ac:dyDescent="0.2">
      <c r="E55" s="183"/>
    </row>
    <row r="56" spans="1:34" s="8" customFormat="1" ht="14" x14ac:dyDescent="0.2">
      <c r="B56" s="21" t="s">
        <v>414</v>
      </c>
      <c r="D56" s="10" t="str">
        <f>'Assumptions - General'!$E$27 &amp;" millions"</f>
        <v>R$ millions</v>
      </c>
      <c r="E56" s="181">
        <v>50</v>
      </c>
    </row>
    <row r="57" spans="1:34" s="8" customFormat="1" ht="14" x14ac:dyDescent="0.2"/>
    <row r="58" spans="1:34" s="8" customFormat="1" ht="14" x14ac:dyDescent="0.2">
      <c r="B58" s="21" t="str">
        <f>"Depreciation of " &amp;E$26</f>
        <v>Depreciation of Land</v>
      </c>
      <c r="D58" s="86"/>
      <c r="E58" s="208"/>
    </row>
    <row r="59" spans="1:34" s="8" customFormat="1" ht="14" x14ac:dyDescent="0.2">
      <c r="B59" s="14" t="s">
        <v>669</v>
      </c>
      <c r="D59" s="10" t="str">
        <f>'Assumptions - General'!$E$27 &amp;" millions"</f>
        <v>R$ millions</v>
      </c>
      <c r="E59" s="208"/>
      <c r="F59" s="461">
        <v>0</v>
      </c>
      <c r="G59" s="461">
        <v>0</v>
      </c>
      <c r="H59" s="461">
        <v>0</v>
      </c>
      <c r="I59" s="461">
        <v>0</v>
      </c>
      <c r="J59" s="461">
        <v>0</v>
      </c>
      <c r="K59" s="461">
        <v>0</v>
      </c>
      <c r="L59" s="461">
        <v>0</v>
      </c>
      <c r="M59" s="461">
        <v>0</v>
      </c>
      <c r="N59" s="461">
        <v>0</v>
      </c>
      <c r="O59" s="461">
        <v>0</v>
      </c>
      <c r="P59" s="461">
        <v>0</v>
      </c>
      <c r="Q59" s="461">
        <v>0</v>
      </c>
      <c r="R59" s="461">
        <v>0</v>
      </c>
      <c r="S59" s="461">
        <v>0</v>
      </c>
      <c r="T59" s="461">
        <v>0</v>
      </c>
      <c r="U59" s="461">
        <v>0</v>
      </c>
      <c r="V59" s="461">
        <v>0</v>
      </c>
      <c r="W59" s="461">
        <v>0</v>
      </c>
      <c r="X59" s="461">
        <v>0</v>
      </c>
      <c r="Y59" s="461">
        <v>0</v>
      </c>
      <c r="Z59" s="461">
        <v>0</v>
      </c>
      <c r="AA59" s="461">
        <v>0</v>
      </c>
      <c r="AB59" s="461">
        <v>0</v>
      </c>
      <c r="AC59" s="461">
        <v>0</v>
      </c>
      <c r="AD59" s="461">
        <v>0</v>
      </c>
      <c r="AE59" s="461">
        <v>0</v>
      </c>
      <c r="AF59" s="461">
        <v>0</v>
      </c>
      <c r="AG59" s="461">
        <v>0</v>
      </c>
      <c r="AH59" s="461">
        <v>0</v>
      </c>
    </row>
    <row r="60" spans="1:34" s="8" customFormat="1" ht="14" x14ac:dyDescent="0.2">
      <c r="A60" s="87" t="s">
        <v>355</v>
      </c>
      <c r="B60" s="14" t="s">
        <v>670</v>
      </c>
      <c r="D60" s="8" t="s">
        <v>209</v>
      </c>
      <c r="E60" s="177">
        <f>IF(F60="Model",1,2)</f>
        <v>1</v>
      </c>
      <c r="F60" s="87" t="s">
        <v>355</v>
      </c>
      <c r="G60" s="87"/>
    </row>
    <row r="61" spans="1:34" s="8" customFormat="1" ht="14" x14ac:dyDescent="0.2">
      <c r="A61" s="87" t="s">
        <v>229</v>
      </c>
      <c r="B61" s="14"/>
      <c r="E61" s="177"/>
      <c r="G61" s="87"/>
    </row>
    <row r="62" spans="1:34" s="8" customFormat="1" ht="14" x14ac:dyDescent="0.2">
      <c r="B62" s="89" t="str">
        <f>IF(E60=1,"If calculated, define the average life of new assets"," ")</f>
        <v>If calculated, define the average life of new assets</v>
      </c>
      <c r="C62" s="119"/>
      <c r="D62" s="209" t="str">
        <f>IF(E60=1,"Years"," ")</f>
        <v>Years</v>
      </c>
      <c r="E62" s="200">
        <v>20</v>
      </c>
    </row>
    <row r="63" spans="1:34" s="8" customFormat="1" ht="14" x14ac:dyDescent="0.2">
      <c r="B63" s="14" t="str">
        <f>IF(E60=2,"If entered manually, define annual depreciation expense"," ")</f>
        <v xml:space="preserve"> </v>
      </c>
      <c r="D63" s="10" t="str">
        <f>IF(E60=2,'Assumptions - General'!$E$27 &amp;" millions"," ")</f>
        <v xml:space="preserve"> </v>
      </c>
      <c r="E63" s="182"/>
      <c r="F63" s="110"/>
      <c r="G63" s="110"/>
      <c r="H63" s="110"/>
      <c r="I63" s="110"/>
      <c r="J63" s="110"/>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row>
    <row r="64" spans="1:34" s="8" customFormat="1" ht="14" x14ac:dyDescent="0.2">
      <c r="B64" s="21" t="str">
        <f>"Depreciation of " &amp;E$27</f>
        <v>Depreciation of Buildings and structures</v>
      </c>
      <c r="D64" s="10"/>
      <c r="E64" s="208" t="str">
        <f>IF(AND(E65=1,SUM(E70:AH70)&gt;0),"WARNING: MANUAL INPUT OF DEPRECIATION WITH MODEL CALCULATION",IF(AND(E65=2,SUM(E70:AH70)=0),"WARNING: DEPRECIATION MISSING WITH MANUAL ENTRY"," "))</f>
        <v xml:space="preserve"> </v>
      </c>
    </row>
    <row r="65" spans="1:34" s="8" customFormat="1" ht="14" x14ac:dyDescent="0.2">
      <c r="B65" s="14" t="s">
        <v>342</v>
      </c>
      <c r="D65" s="8" t="s">
        <v>209</v>
      </c>
      <c r="E65" s="177">
        <f>IF(F65="Model",1,2)</f>
        <v>1</v>
      </c>
      <c r="F65" s="87" t="s">
        <v>355</v>
      </c>
    </row>
    <row r="66" spans="1:34" s="8" customFormat="1" ht="14" x14ac:dyDescent="0.2">
      <c r="B66" s="14"/>
      <c r="E66" s="177"/>
    </row>
    <row r="67" spans="1:34" s="8" customFormat="1" ht="14" x14ac:dyDescent="0.2">
      <c r="A67" s="87"/>
      <c r="B67" s="89" t="str">
        <f>IF(E65=1,"If calculated, define the average remaining life of existing assets"," ")</f>
        <v>If calculated, define the average remaining life of existing assets</v>
      </c>
      <c r="C67" s="119"/>
      <c r="D67" s="209" t="str">
        <f>IF(E65=1,"Years"," ")</f>
        <v>Years</v>
      </c>
      <c r="E67" s="200">
        <v>7</v>
      </c>
      <c r="G67" s="87"/>
    </row>
    <row r="68" spans="1:34" s="8" customFormat="1" ht="14" x14ac:dyDescent="0.2">
      <c r="A68" s="87"/>
      <c r="B68" s="89"/>
      <c r="C68" s="119"/>
      <c r="D68" s="209"/>
      <c r="E68" s="200"/>
      <c r="G68" s="87"/>
    </row>
    <row r="69" spans="1:34" s="8" customFormat="1" ht="14" x14ac:dyDescent="0.2">
      <c r="B69" s="89" t="str">
        <f>IF(E65=1,"If calculated, define the average life of new assets"," ")</f>
        <v>If calculated, define the average life of new assets</v>
      </c>
      <c r="C69" s="119"/>
      <c r="D69" s="209" t="str">
        <f>IF(E65=1,"Years"," ")</f>
        <v>Years</v>
      </c>
      <c r="E69" s="200">
        <v>20</v>
      </c>
    </row>
    <row r="70" spans="1:34" s="8" customFormat="1" ht="14" x14ac:dyDescent="0.2">
      <c r="B70" s="14" t="str">
        <f>IF(E65=2,"If entered manually, define annual depreciation expense"," ")</f>
        <v xml:space="preserve"> </v>
      </c>
      <c r="D70" s="10" t="str">
        <f>IF(E65=2,'Assumptions - General'!$E$27 &amp;" millions"," ")</f>
        <v xml:space="preserve"> </v>
      </c>
      <c r="E70" s="182"/>
      <c r="F70" s="110"/>
      <c r="G70" s="110"/>
      <c r="H70" s="110"/>
      <c r="I70" s="110"/>
      <c r="J70" s="110"/>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row>
    <row r="71" spans="1:34" s="20" customFormat="1" ht="14" x14ac:dyDescent="0.2">
      <c r="B71" s="32"/>
      <c r="D71" s="122"/>
      <c r="E71" s="182"/>
    </row>
    <row r="72" spans="1:34" s="8" customFormat="1" ht="14" x14ac:dyDescent="0.2">
      <c r="B72" s="21" t="str">
        <f>"Depreciation of " &amp;E$28</f>
        <v>Depreciation of Track and infrastructure</v>
      </c>
      <c r="D72" s="10"/>
      <c r="E72" s="208" t="str">
        <f>IF(AND(E73=1,SUM(E78:AH78)&gt;0),"WARNING: MANUAL INPUT OF DEPRECIATION WITH MODEL CALCULATION",IF(AND(E73=2,SUM(E78:AH78)=0),"WARNING: DEPRECIATION MISSING WITH MANUAL ENTRY"," "))</f>
        <v xml:space="preserve"> </v>
      </c>
    </row>
    <row r="73" spans="1:34" s="8" customFormat="1" ht="14" x14ac:dyDescent="0.2">
      <c r="B73" s="14" t="s">
        <v>342</v>
      </c>
      <c r="D73" s="8" t="s">
        <v>209</v>
      </c>
      <c r="E73" s="177">
        <f>IF(F73="Model",1,2)</f>
        <v>1</v>
      </c>
      <c r="F73" s="87" t="s">
        <v>355</v>
      </c>
    </row>
    <row r="74" spans="1:34" s="8" customFormat="1" ht="14" x14ac:dyDescent="0.2">
      <c r="B74" s="14"/>
      <c r="E74" s="177"/>
    </row>
    <row r="75" spans="1:34" s="8" customFormat="1" ht="14" x14ac:dyDescent="0.2">
      <c r="A75" s="87"/>
      <c r="B75" s="89" t="str">
        <f>IF(E73=1,"If calculated, define the average remaining life of existing assets"," ")</f>
        <v>If calculated, define the average remaining life of existing assets</v>
      </c>
      <c r="C75" s="119"/>
      <c r="D75" s="209" t="str">
        <f>IF(E73=1,"Years"," ")</f>
        <v>Years</v>
      </c>
      <c r="E75" s="200">
        <v>21</v>
      </c>
      <c r="G75" s="87"/>
    </row>
    <row r="76" spans="1:34" s="8" customFormat="1" ht="14" x14ac:dyDescent="0.2">
      <c r="A76" s="87"/>
      <c r="B76" s="89"/>
      <c r="C76" s="119"/>
      <c r="D76" s="209"/>
      <c r="E76" s="200"/>
      <c r="G76" s="87"/>
    </row>
    <row r="77" spans="1:34" s="8" customFormat="1" ht="14" x14ac:dyDescent="0.2">
      <c r="B77" s="89" t="str">
        <f>IF(E73=1,"If calculated, define the average life of new assets"," ")</f>
        <v>If calculated, define the average life of new assets</v>
      </c>
      <c r="C77" s="119"/>
      <c r="D77" s="209" t="str">
        <f>IF(E73=1,"Years"," ")</f>
        <v>Years</v>
      </c>
      <c r="E77" s="200">
        <v>31</v>
      </c>
    </row>
    <row r="78" spans="1:34" s="8" customFormat="1" ht="14" x14ac:dyDescent="0.2">
      <c r="B78" s="14" t="str">
        <f>IF(E73=2,"If entered manually, define annual depreciation expense"," ")</f>
        <v xml:space="preserve"> </v>
      </c>
      <c r="D78" s="10" t="str">
        <f>IF(E73=2,'Assumptions - General'!$E$27 &amp;" millions"," ")</f>
        <v xml:space="preserve"> </v>
      </c>
      <c r="E78" s="182"/>
      <c r="F78" s="110"/>
      <c r="G78" s="110"/>
      <c r="H78" s="110"/>
      <c r="I78" s="110"/>
      <c r="J78" s="110"/>
      <c r="K78" s="110"/>
      <c r="L78" s="110"/>
      <c r="M78" s="110"/>
      <c r="N78" s="110"/>
      <c r="O78" s="110"/>
      <c r="P78" s="110"/>
      <c r="Q78" s="110"/>
      <c r="R78" s="110"/>
      <c r="S78" s="110"/>
      <c r="T78" s="110"/>
      <c r="U78" s="110"/>
      <c r="V78" s="110"/>
      <c r="W78" s="110"/>
      <c r="X78" s="110"/>
      <c r="Y78" s="110"/>
      <c r="Z78" s="110"/>
      <c r="AA78" s="110"/>
      <c r="AB78" s="110"/>
      <c r="AC78" s="110"/>
      <c r="AD78" s="110"/>
      <c r="AE78" s="110"/>
      <c r="AF78" s="110"/>
      <c r="AG78" s="110"/>
      <c r="AH78" s="110"/>
    </row>
    <row r="79" spans="1:34" s="20" customFormat="1" ht="14" x14ac:dyDescent="0.2">
      <c r="B79" s="32"/>
      <c r="D79" s="122"/>
      <c r="E79" s="182"/>
    </row>
    <row r="80" spans="1:34" s="8" customFormat="1" ht="14" x14ac:dyDescent="0.2">
      <c r="B80" s="21" t="str">
        <f>"Depreciation of " &amp;E$29</f>
        <v>Depreciation of Locomotives and railway cars</v>
      </c>
      <c r="D80" s="10"/>
      <c r="E80" s="208" t="str">
        <f>IF(AND(E81=1,SUM(E86:AH86)&gt;0),"WARNING: MANUAL INPUT OF DEPRECIATION WITH MODEL CALCULATION",IF(AND(E81=2,SUM(E86:AH86)=0),"WARNING: DEPRECIATION MISSING WITH MANUAL ENTRY"," "))</f>
        <v xml:space="preserve"> </v>
      </c>
    </row>
    <row r="81" spans="1:34" s="8" customFormat="1" ht="14" x14ac:dyDescent="0.2">
      <c r="B81" s="14" t="s">
        <v>342</v>
      </c>
      <c r="D81" s="8" t="s">
        <v>209</v>
      </c>
      <c r="E81" s="177">
        <f>IF(F81="Model",1,2)</f>
        <v>1</v>
      </c>
      <c r="F81" s="87" t="s">
        <v>355</v>
      </c>
    </row>
    <row r="82" spans="1:34" s="8" customFormat="1" ht="14" x14ac:dyDescent="0.2">
      <c r="B82" s="14"/>
      <c r="E82" s="177"/>
    </row>
    <row r="83" spans="1:34" s="8" customFormat="1" ht="14" x14ac:dyDescent="0.2">
      <c r="A83" s="87"/>
      <c r="B83" s="89" t="str">
        <f>IF(E81=1,"If calculated, define the average remaining life of existing assets"," ")</f>
        <v>If calculated, define the average remaining life of existing assets</v>
      </c>
      <c r="C83" s="119"/>
      <c r="D83" s="209" t="str">
        <f>IF(E81=1,"Years"," ")</f>
        <v>Years</v>
      </c>
      <c r="E83" s="200">
        <v>20</v>
      </c>
      <c r="G83" s="87"/>
    </row>
    <row r="84" spans="1:34" s="8" customFormat="1" ht="14" x14ac:dyDescent="0.2">
      <c r="A84" s="87"/>
      <c r="B84" s="89"/>
      <c r="C84" s="119"/>
      <c r="D84" s="209"/>
      <c r="E84" s="200"/>
      <c r="G84" s="87"/>
    </row>
    <row r="85" spans="1:34" s="8" customFormat="1" ht="14" x14ac:dyDescent="0.2">
      <c r="B85" s="89" t="str">
        <f>IF(E81=1,"If calculated, define the average life of new assets"," ")</f>
        <v>If calculated, define the average life of new assets</v>
      </c>
      <c r="C85" s="119"/>
      <c r="D85" s="209" t="str">
        <f>IF(E81=1,"Years"," ")</f>
        <v>Years</v>
      </c>
      <c r="E85" s="200">
        <v>30</v>
      </c>
    </row>
    <row r="86" spans="1:34" s="8" customFormat="1" ht="14" x14ac:dyDescent="0.2">
      <c r="B86" s="14" t="str">
        <f>IF(E81=2,"If entered manually, define annual depreciation expense"," ")</f>
        <v xml:space="preserve"> </v>
      </c>
      <c r="D86" s="10" t="str">
        <f>IF(E81=2,'Assumptions - General'!$E$27 &amp;" millions"," ")</f>
        <v xml:space="preserve"> </v>
      </c>
      <c r="E86" s="182"/>
      <c r="F86" s="110"/>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row>
    <row r="87" spans="1:34" s="20" customFormat="1" ht="14" x14ac:dyDescent="0.2">
      <c r="B87" s="32"/>
      <c r="D87" s="122"/>
      <c r="E87" s="182"/>
    </row>
    <row r="88" spans="1:34" s="8" customFormat="1" ht="14" x14ac:dyDescent="0.2">
      <c r="B88" s="21" t="str">
        <f>"Depreciation of " &amp;E$30</f>
        <v>Depreciation of Machines, equipment and spare parts</v>
      </c>
      <c r="D88" s="10"/>
      <c r="E88" s="208" t="str">
        <f>IF(AND(E89=1,SUM(E94:AH94)&gt;0),"WARNING: MANUAL INPUT OF DEPRECIATION WITH MODEL CALCULATION",IF(AND(E89=2,SUM(E94:AH94)=0),"WARNING: DEPRECIATION MISSING WITH MANUAL ENTRY"," "))</f>
        <v xml:space="preserve"> </v>
      </c>
    </row>
    <row r="89" spans="1:34" s="8" customFormat="1" ht="14" x14ac:dyDescent="0.2">
      <c r="B89" s="14" t="s">
        <v>342</v>
      </c>
      <c r="D89" s="8" t="s">
        <v>209</v>
      </c>
      <c r="E89" s="177">
        <f>IF(F89="Model",1,2)</f>
        <v>1</v>
      </c>
      <c r="F89" s="87" t="s">
        <v>355</v>
      </c>
    </row>
    <row r="90" spans="1:34" s="8" customFormat="1" ht="14" x14ac:dyDescent="0.2">
      <c r="B90" s="14"/>
      <c r="E90" s="177"/>
    </row>
    <row r="91" spans="1:34" s="8" customFormat="1" ht="14" x14ac:dyDescent="0.2">
      <c r="A91" s="87"/>
      <c r="B91" s="89" t="str">
        <f>IF(E89=1,"If calculated, define the average remaining life of existing assets"," ")</f>
        <v>If calculated, define the average remaining life of existing assets</v>
      </c>
      <c r="C91" s="119"/>
      <c r="D91" s="209" t="str">
        <f>IF(E89=1,"Years"," ")</f>
        <v>Years</v>
      </c>
      <c r="E91" s="200">
        <v>20</v>
      </c>
      <c r="G91" s="87"/>
    </row>
    <row r="92" spans="1:34" s="8" customFormat="1" ht="14" x14ac:dyDescent="0.2">
      <c r="A92" s="87"/>
      <c r="B92" s="89"/>
      <c r="C92" s="119"/>
      <c r="D92" s="209"/>
      <c r="E92" s="200"/>
      <c r="G92" s="87"/>
    </row>
    <row r="93" spans="1:34" s="8" customFormat="1" ht="14" x14ac:dyDescent="0.2">
      <c r="B93" s="89" t="str">
        <f>IF(E89=1,"If calculated, define the average life of new assets"," ")</f>
        <v>If calculated, define the average life of new assets</v>
      </c>
      <c r="C93" s="119"/>
      <c r="D93" s="209" t="str">
        <f>IF(E89=1,"Years"," ")</f>
        <v>Years</v>
      </c>
      <c r="E93" s="200">
        <v>30</v>
      </c>
    </row>
    <row r="94" spans="1:34" s="8" customFormat="1" ht="14" x14ac:dyDescent="0.2">
      <c r="B94" s="14" t="str">
        <f>IF(E89=2,"If entered manually, define annual depreciation expense"," ")</f>
        <v xml:space="preserve"> </v>
      </c>
      <c r="D94" s="10" t="str">
        <f>IF(E89=2,'Assumptions - General'!$E$27 &amp;" millions"," ")</f>
        <v xml:space="preserve"> </v>
      </c>
      <c r="E94" s="182"/>
      <c r="F94" s="110"/>
      <c r="G94" s="110"/>
      <c r="H94" s="110"/>
      <c r="I94" s="110"/>
      <c r="J94" s="110"/>
      <c r="K94" s="110"/>
      <c r="L94" s="110"/>
      <c r="M94" s="110"/>
      <c r="N94" s="110"/>
      <c r="O94" s="110"/>
      <c r="P94" s="110"/>
      <c r="Q94" s="110"/>
      <c r="R94" s="110"/>
      <c r="S94" s="110"/>
      <c r="T94" s="110"/>
      <c r="U94" s="110"/>
      <c r="V94" s="110"/>
      <c r="W94" s="110"/>
      <c r="X94" s="110"/>
      <c r="Y94" s="110"/>
      <c r="Z94" s="110"/>
      <c r="AA94" s="110"/>
      <c r="AB94" s="110"/>
      <c r="AC94" s="110"/>
      <c r="AD94" s="110"/>
      <c r="AE94" s="110"/>
      <c r="AF94" s="110"/>
      <c r="AG94" s="110"/>
      <c r="AH94" s="110"/>
    </row>
    <row r="95" spans="1:34" s="20" customFormat="1" ht="14" x14ac:dyDescent="0.2">
      <c r="B95" s="32"/>
      <c r="D95" s="122"/>
      <c r="E95" s="182"/>
    </row>
    <row r="96" spans="1:34" s="8" customFormat="1" ht="14" x14ac:dyDescent="0.2">
      <c r="B96" s="21" t="str">
        <f>"Depreciation of " &amp;E$31</f>
        <v>Depreciation of Others</v>
      </c>
      <c r="D96" s="10"/>
      <c r="E96" s="208" t="str">
        <f>IF(AND(E97=1,SUM(E102:AH102)&gt;0),"WARNING: MANUAL INPUT OF DEPRECIATION WITH MODEL CALCULATION",IF(AND(E97=2,SUM(E102:AH102)=0),"WARNING: DEPRECIATION MISSING WITH MANUAL ENTRY"," "))</f>
        <v xml:space="preserve"> </v>
      </c>
    </row>
    <row r="97" spans="1:34" s="8" customFormat="1" ht="14" x14ac:dyDescent="0.2">
      <c r="B97" s="14" t="s">
        <v>342</v>
      </c>
      <c r="D97" s="8" t="s">
        <v>209</v>
      </c>
      <c r="E97" s="177">
        <f>IF(F97="Model",1,2)</f>
        <v>1</v>
      </c>
      <c r="F97" s="87" t="s">
        <v>355</v>
      </c>
    </row>
    <row r="98" spans="1:34" s="8" customFormat="1" ht="14" x14ac:dyDescent="0.2">
      <c r="B98" s="14"/>
      <c r="E98" s="177"/>
    </row>
    <row r="99" spans="1:34" s="8" customFormat="1" ht="14" x14ac:dyDescent="0.2">
      <c r="A99" s="87"/>
      <c r="B99" s="89" t="str">
        <f>IF(E97=1,"If calculated, define the average remaining life of existing assets"," ")</f>
        <v>If calculated, define the average remaining life of existing assets</v>
      </c>
      <c r="C99" s="119"/>
      <c r="D99" s="209" t="str">
        <f>IF(E97=1,"Years"," ")</f>
        <v>Years</v>
      </c>
      <c r="E99" s="200">
        <v>20</v>
      </c>
      <c r="G99" s="87"/>
    </row>
    <row r="100" spans="1:34" s="8" customFormat="1" ht="14" x14ac:dyDescent="0.2">
      <c r="A100" s="87"/>
      <c r="B100" s="89"/>
      <c r="C100" s="119"/>
      <c r="D100" s="209"/>
      <c r="E100" s="200"/>
      <c r="G100" s="87"/>
    </row>
    <row r="101" spans="1:34" s="8" customFormat="1" ht="14" x14ac:dyDescent="0.2">
      <c r="B101" s="89" t="str">
        <f>IF(E97=1,"If calculated, define the average life of new assets"," ")</f>
        <v>If calculated, define the average life of new assets</v>
      </c>
      <c r="C101" s="119"/>
      <c r="D101" s="209" t="str">
        <f>IF(E97=1,"Years"," ")</f>
        <v>Years</v>
      </c>
      <c r="E101" s="200">
        <v>31</v>
      </c>
    </row>
    <row r="102" spans="1:34" s="8" customFormat="1" ht="14" x14ac:dyDescent="0.2">
      <c r="B102" s="14" t="str">
        <f>IF(E97=2,"If entered manually, define annual depreciation expense"," ")</f>
        <v xml:space="preserve"> </v>
      </c>
      <c r="D102" s="10" t="str">
        <f>IF(E97=2,'Assumptions - General'!$E$27 &amp;" millions"," ")</f>
        <v xml:space="preserve"> </v>
      </c>
      <c r="E102" s="20"/>
      <c r="F102" s="110"/>
      <c r="G102" s="110"/>
      <c r="H102" s="110"/>
      <c r="I102" s="110"/>
      <c r="J102" s="110"/>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row>
    <row r="104" spans="1:34" s="320" customFormat="1" x14ac:dyDescent="0.2">
      <c r="B104" s="319" t="str">
        <f>"Other long-term assets for " &amp;'Assumptions - General'!$E$24</f>
        <v>Other long-term assets for Ruritania Freight Rail Company</v>
      </c>
    </row>
    <row r="105" spans="1:34" s="18" customFormat="1" x14ac:dyDescent="0.2">
      <c r="B105" s="17"/>
    </row>
    <row r="106" spans="1:34" s="8" customFormat="1" ht="14" x14ac:dyDescent="0.2">
      <c r="B106" s="8" t="s">
        <v>328</v>
      </c>
      <c r="E106" s="168"/>
      <c r="F106" s="87"/>
    </row>
    <row r="107" spans="1:34" s="8" customFormat="1" ht="14" x14ac:dyDescent="0.2">
      <c r="B107" s="30" t="s">
        <v>329</v>
      </c>
      <c r="D107" s="10" t="str">
        <f>'Assumptions - General'!$E$27 &amp;" millions"</f>
        <v>R$ millions</v>
      </c>
      <c r="E107" s="176">
        <v>10</v>
      </c>
      <c r="F107" s="191">
        <f>E107</f>
        <v>10</v>
      </c>
      <c r="G107" s="191">
        <f t="shared" ref="G107:AH107" si="7">F107</f>
        <v>10</v>
      </c>
      <c r="H107" s="191">
        <f t="shared" si="7"/>
        <v>10</v>
      </c>
      <c r="I107" s="191">
        <f t="shared" si="7"/>
        <v>10</v>
      </c>
      <c r="J107" s="191">
        <f t="shared" si="7"/>
        <v>10</v>
      </c>
      <c r="K107" s="191">
        <f t="shared" si="7"/>
        <v>10</v>
      </c>
      <c r="L107" s="191">
        <f t="shared" si="7"/>
        <v>10</v>
      </c>
      <c r="M107" s="191">
        <f t="shared" si="7"/>
        <v>10</v>
      </c>
      <c r="N107" s="191">
        <f t="shared" si="7"/>
        <v>10</v>
      </c>
      <c r="O107" s="191">
        <f t="shared" si="7"/>
        <v>10</v>
      </c>
      <c r="P107" s="191">
        <f t="shared" si="7"/>
        <v>10</v>
      </c>
      <c r="Q107" s="191">
        <f t="shared" si="7"/>
        <v>10</v>
      </c>
      <c r="R107" s="191">
        <f t="shared" si="7"/>
        <v>10</v>
      </c>
      <c r="S107" s="191">
        <f t="shared" si="7"/>
        <v>10</v>
      </c>
      <c r="T107" s="191">
        <f t="shared" si="7"/>
        <v>10</v>
      </c>
      <c r="U107" s="191">
        <f t="shared" si="7"/>
        <v>10</v>
      </c>
      <c r="V107" s="191">
        <f t="shared" si="7"/>
        <v>10</v>
      </c>
      <c r="W107" s="191">
        <f t="shared" si="7"/>
        <v>10</v>
      </c>
      <c r="X107" s="191">
        <f t="shared" si="7"/>
        <v>10</v>
      </c>
      <c r="Y107" s="191">
        <f t="shared" si="7"/>
        <v>10</v>
      </c>
      <c r="Z107" s="191">
        <f t="shared" si="7"/>
        <v>10</v>
      </c>
      <c r="AA107" s="191">
        <f t="shared" si="7"/>
        <v>10</v>
      </c>
      <c r="AB107" s="191">
        <f t="shared" si="7"/>
        <v>10</v>
      </c>
      <c r="AC107" s="191">
        <f t="shared" si="7"/>
        <v>10</v>
      </c>
      <c r="AD107" s="191">
        <f t="shared" si="7"/>
        <v>10</v>
      </c>
      <c r="AE107" s="191">
        <f t="shared" si="7"/>
        <v>10</v>
      </c>
      <c r="AF107" s="191">
        <f t="shared" si="7"/>
        <v>10</v>
      </c>
      <c r="AG107" s="191">
        <f t="shared" si="7"/>
        <v>10</v>
      </c>
      <c r="AH107" s="191">
        <f t="shared" si="7"/>
        <v>10</v>
      </c>
    </row>
    <row r="108" spans="1:34" s="8" customFormat="1" ht="14" collapsed="1" x14ac:dyDescent="0.2">
      <c r="D108" s="10"/>
      <c r="E108" s="121"/>
      <c r="F108" s="121"/>
      <c r="G108" s="121"/>
      <c r="H108" s="121"/>
      <c r="I108" s="121"/>
      <c r="J108" s="121"/>
      <c r="K108" s="121"/>
      <c r="L108" s="121"/>
      <c r="M108" s="121"/>
      <c r="N108" s="121"/>
      <c r="O108" s="121"/>
      <c r="P108" s="121"/>
      <c r="Q108" s="121"/>
      <c r="R108" s="121"/>
      <c r="S108" s="121"/>
      <c r="T108" s="121"/>
      <c r="U108" s="121"/>
      <c r="V108" s="121"/>
      <c r="W108" s="121"/>
      <c r="X108" s="121"/>
      <c r="Y108" s="121"/>
      <c r="Z108" s="121"/>
      <c r="AA108" s="121"/>
      <c r="AB108" s="121"/>
      <c r="AC108" s="121"/>
      <c r="AD108" s="121"/>
      <c r="AE108" s="121"/>
      <c r="AF108" s="121"/>
      <c r="AG108" s="121"/>
      <c r="AH108" s="121"/>
    </row>
    <row r="109" spans="1:34" s="320" customFormat="1" x14ac:dyDescent="0.2">
      <c r="B109" s="319" t="s">
        <v>232</v>
      </c>
      <c r="D109" s="319"/>
      <c r="E109" s="319" t="str">
        <f>IF(OR(AND('Scenarios - Consolidated'!$F$3=1,OR('Scenarios - Consolidated'!$F$20=1,'Scenarios - Consolidated'!$G$20=1)),AND('Scenarios - Infra'!$F$3=1,OR('Scenarios - Infra'!$F$20=1,'Scenarios - Infra'!$G$20=1)),AND('Scenarios - Freight'!$F$3=1,OR('Scenarios - Freight'!$F$20=1,'Scenarios - Freight'!$G$20=1))),"NOTE: SCENARIO ANALYSIS TRAFFIC ASSUMPTIONS IN USE"," ")</f>
        <v xml:space="preserve"> </v>
      </c>
    </row>
    <row r="110" spans="1:34" x14ac:dyDescent="0.2">
      <c r="F110" s="5" t="s">
        <v>409</v>
      </c>
    </row>
    <row r="111" spans="1:34" s="8" customFormat="1" ht="14" x14ac:dyDescent="0.2">
      <c r="B111" s="16" t="s">
        <v>230</v>
      </c>
      <c r="D111" s="8" t="s">
        <v>408</v>
      </c>
      <c r="E111" s="178">
        <f>IF(F110="Net ton-km",1,2)</f>
        <v>1</v>
      </c>
      <c r="F111" s="87" t="s">
        <v>409</v>
      </c>
      <c r="G111" s="87" t="s">
        <v>33</v>
      </c>
    </row>
    <row r="112" spans="1:34" s="8" customFormat="1" ht="14" x14ac:dyDescent="0.2">
      <c r="B112" s="16"/>
      <c r="E112" s="419"/>
      <c r="F112" s="87" t="s">
        <v>210</v>
      </c>
      <c r="G112" s="87" t="s">
        <v>211</v>
      </c>
    </row>
    <row r="113" spans="2:34" s="8" customFormat="1" ht="14" x14ac:dyDescent="0.2">
      <c r="B113" s="16" t="s">
        <v>231</v>
      </c>
      <c r="D113" s="8" t="s">
        <v>17</v>
      </c>
      <c r="E113" s="177">
        <v>100</v>
      </c>
    </row>
    <row r="114" spans="2:34" s="8" customFormat="1" ht="14" x14ac:dyDescent="0.2">
      <c r="B114" s="16" t="s">
        <v>287</v>
      </c>
      <c r="D114" s="8" t="s">
        <v>210</v>
      </c>
      <c r="E114" s="177">
        <v>100</v>
      </c>
      <c r="F114" s="87"/>
      <c r="G114" s="87"/>
    </row>
    <row r="115" spans="2:34" s="8" customFormat="1" ht="14" x14ac:dyDescent="0.2">
      <c r="B115" s="14"/>
      <c r="E115" s="16"/>
    </row>
    <row r="116" spans="2:34" s="8" customFormat="1" ht="14" x14ac:dyDescent="0.2">
      <c r="B116" s="8" t="s">
        <v>23</v>
      </c>
      <c r="D116" s="8" t="s">
        <v>2</v>
      </c>
      <c r="E116" s="177" t="s">
        <v>221</v>
      </c>
    </row>
    <row r="117" spans="2:34" s="8" customFormat="1" ht="14" x14ac:dyDescent="0.2">
      <c r="B117" s="8" t="s">
        <v>24</v>
      </c>
      <c r="D117" s="8" t="s">
        <v>2</v>
      </c>
      <c r="E117" s="177" t="s">
        <v>222</v>
      </c>
      <c r="F117" s="192"/>
      <c r="G117" s="192"/>
      <c r="H117" s="192"/>
      <c r="I117" s="192"/>
      <c r="J117" s="192"/>
      <c r="K117" s="192"/>
      <c r="L117" s="192"/>
      <c r="M117" s="192"/>
      <c r="N117" s="192"/>
      <c r="O117" s="192"/>
      <c r="P117" s="192"/>
      <c r="Q117" s="192"/>
      <c r="R117" s="192"/>
      <c r="S117" s="192"/>
      <c r="T117" s="192"/>
      <c r="U117" s="192"/>
      <c r="V117" s="192"/>
      <c r="W117" s="192"/>
      <c r="X117" s="192"/>
      <c r="Y117" s="192"/>
      <c r="Z117" s="192"/>
      <c r="AA117" s="192"/>
      <c r="AB117" s="192"/>
      <c r="AC117" s="192"/>
      <c r="AD117" s="192"/>
      <c r="AE117" s="192"/>
      <c r="AF117" s="192"/>
      <c r="AG117" s="192"/>
      <c r="AH117" s="192"/>
    </row>
    <row r="118" spans="2:34" s="8" customFormat="1" ht="14" x14ac:dyDescent="0.2">
      <c r="B118" s="8" t="s">
        <v>25</v>
      </c>
      <c r="D118" s="8" t="s">
        <v>2</v>
      </c>
      <c r="E118" s="177" t="s">
        <v>223</v>
      </c>
      <c r="F118" s="192"/>
      <c r="G118" s="192"/>
      <c r="H118" s="192"/>
      <c r="I118" s="192"/>
      <c r="J118" s="192"/>
      <c r="K118" s="192"/>
      <c r="L118" s="192"/>
      <c r="M118" s="192"/>
      <c r="N118" s="192"/>
      <c r="O118" s="192"/>
      <c r="P118" s="192"/>
      <c r="Q118" s="192"/>
      <c r="R118" s="192"/>
      <c r="S118" s="192"/>
      <c r="T118" s="192"/>
      <c r="U118" s="192"/>
      <c r="V118" s="192"/>
      <c r="W118" s="192"/>
      <c r="X118" s="192"/>
      <c r="Y118" s="192"/>
      <c r="Z118" s="192"/>
      <c r="AA118" s="192"/>
      <c r="AB118" s="192"/>
      <c r="AC118" s="192"/>
      <c r="AD118" s="192"/>
      <c r="AE118" s="192"/>
      <c r="AF118" s="192"/>
      <c r="AG118" s="192"/>
      <c r="AH118" s="192"/>
    </row>
    <row r="119" spans="2:34" s="8" customFormat="1" ht="14" x14ac:dyDescent="0.2">
      <c r="B119" s="8" t="s">
        <v>26</v>
      </c>
      <c r="D119" s="8" t="s">
        <v>2</v>
      </c>
      <c r="E119" s="177" t="s">
        <v>224</v>
      </c>
      <c r="F119" s="192"/>
      <c r="G119" s="192"/>
      <c r="H119" s="192"/>
      <c r="I119" s="192"/>
      <c r="J119" s="192"/>
      <c r="K119" s="192"/>
      <c r="L119" s="192"/>
      <c r="M119" s="192"/>
      <c r="N119" s="192"/>
      <c r="O119" s="192"/>
      <c r="P119" s="192"/>
      <c r="Q119" s="192"/>
      <c r="R119" s="192"/>
      <c r="S119" s="192"/>
      <c r="T119" s="192"/>
      <c r="U119" s="192"/>
      <c r="V119" s="192"/>
      <c r="W119" s="192"/>
      <c r="X119" s="192"/>
      <c r="Y119" s="192"/>
      <c r="Z119" s="192"/>
      <c r="AA119" s="192"/>
      <c r="AB119" s="192"/>
      <c r="AC119" s="192"/>
      <c r="AD119" s="192"/>
      <c r="AE119" s="192"/>
      <c r="AF119" s="192"/>
      <c r="AG119" s="192"/>
      <c r="AH119" s="192"/>
    </row>
    <row r="120" spans="2:34" s="8" customFormat="1" ht="14" x14ac:dyDescent="0.2">
      <c r="B120" s="8" t="s">
        <v>27</v>
      </c>
      <c r="D120" s="8" t="s">
        <v>2</v>
      </c>
      <c r="E120" s="177" t="s">
        <v>225</v>
      </c>
      <c r="F120" s="192"/>
      <c r="G120" s="192"/>
      <c r="H120" s="192"/>
      <c r="I120" s="192"/>
      <c r="J120" s="192"/>
      <c r="K120" s="192"/>
      <c r="L120" s="192"/>
      <c r="M120" s="192"/>
      <c r="N120" s="192"/>
      <c r="O120" s="192"/>
      <c r="P120" s="192"/>
      <c r="Q120" s="192"/>
      <c r="R120" s="192"/>
      <c r="S120" s="192"/>
      <c r="T120" s="192"/>
      <c r="U120" s="192"/>
      <c r="V120" s="192"/>
      <c r="W120" s="192"/>
      <c r="X120" s="192"/>
      <c r="Y120" s="192"/>
      <c r="Z120" s="192"/>
      <c r="AA120" s="192"/>
      <c r="AB120" s="192"/>
      <c r="AC120" s="192"/>
      <c r="AD120" s="192"/>
      <c r="AE120" s="192"/>
      <c r="AF120" s="192"/>
      <c r="AG120" s="192"/>
      <c r="AH120" s="192"/>
    </row>
    <row r="121" spans="2:34" s="8" customFormat="1" ht="14" x14ac:dyDescent="0.2">
      <c r="B121" s="8" t="s">
        <v>28</v>
      </c>
      <c r="D121" s="8" t="s">
        <v>2</v>
      </c>
      <c r="E121" s="177" t="s">
        <v>360</v>
      </c>
      <c r="F121" s="192"/>
      <c r="G121" s="192"/>
      <c r="H121" s="192"/>
      <c r="I121" s="192"/>
      <c r="J121" s="192"/>
      <c r="K121" s="192"/>
      <c r="L121" s="192"/>
      <c r="M121" s="192"/>
      <c r="N121" s="192"/>
      <c r="O121" s="192"/>
      <c r="P121" s="192"/>
      <c r="Q121" s="192"/>
      <c r="R121" s="192"/>
      <c r="S121" s="192"/>
      <c r="T121" s="192"/>
      <c r="U121" s="192"/>
      <c r="V121" s="192"/>
      <c r="W121" s="192"/>
      <c r="X121" s="192"/>
      <c r="Y121" s="192"/>
      <c r="Z121" s="192"/>
      <c r="AA121" s="192"/>
      <c r="AB121" s="192"/>
      <c r="AC121" s="192"/>
      <c r="AD121" s="192"/>
      <c r="AE121" s="192"/>
      <c r="AF121" s="192"/>
      <c r="AG121" s="192"/>
      <c r="AH121" s="192"/>
    </row>
    <row r="122" spans="2:34" s="8" customFormat="1" ht="14" x14ac:dyDescent="0.2">
      <c r="B122" s="8" t="s">
        <v>219</v>
      </c>
      <c r="D122" s="8" t="s">
        <v>2</v>
      </c>
      <c r="E122" s="177" t="s">
        <v>361</v>
      </c>
      <c r="F122" s="192"/>
      <c r="G122" s="192"/>
      <c r="H122" s="192"/>
      <c r="I122" s="192"/>
      <c r="J122" s="192"/>
      <c r="K122" s="192"/>
      <c r="L122" s="192"/>
      <c r="M122" s="192"/>
      <c r="N122" s="192"/>
      <c r="O122" s="192"/>
      <c r="P122" s="192"/>
      <c r="Q122" s="192"/>
      <c r="R122" s="192"/>
      <c r="S122" s="192"/>
      <c r="T122" s="192"/>
      <c r="U122" s="192"/>
      <c r="V122" s="192"/>
      <c r="W122" s="192"/>
      <c r="X122" s="192"/>
      <c r="Y122" s="192"/>
      <c r="Z122" s="192"/>
      <c r="AA122" s="192"/>
      <c r="AB122" s="192"/>
      <c r="AC122" s="192"/>
      <c r="AD122" s="192"/>
      <c r="AE122" s="192"/>
      <c r="AF122" s="192"/>
      <c r="AG122" s="192"/>
      <c r="AH122" s="192"/>
    </row>
    <row r="123" spans="2:34" s="8" customFormat="1" ht="14" x14ac:dyDescent="0.2">
      <c r="B123" s="8" t="s">
        <v>220</v>
      </c>
      <c r="D123" s="8" t="s">
        <v>2</v>
      </c>
      <c r="E123" s="177" t="s">
        <v>363</v>
      </c>
      <c r="F123" s="192"/>
      <c r="G123" s="192"/>
      <c r="H123" s="192"/>
      <c r="I123" s="192"/>
      <c r="J123" s="192"/>
      <c r="K123" s="192"/>
      <c r="L123" s="192"/>
      <c r="M123" s="192"/>
      <c r="N123" s="192"/>
      <c r="O123" s="192"/>
      <c r="P123" s="192"/>
      <c r="Q123" s="192"/>
      <c r="R123" s="192"/>
      <c r="S123" s="192"/>
      <c r="T123" s="192"/>
      <c r="U123" s="192"/>
      <c r="V123" s="192"/>
      <c r="W123" s="192"/>
      <c r="X123" s="192"/>
      <c r="Y123" s="192"/>
      <c r="Z123" s="192"/>
      <c r="AA123" s="192"/>
      <c r="AB123" s="192"/>
      <c r="AC123" s="192"/>
      <c r="AD123" s="192"/>
      <c r="AE123" s="192"/>
      <c r="AF123" s="192"/>
      <c r="AG123" s="192"/>
      <c r="AH123" s="192"/>
    </row>
    <row r="124" spans="2:34" s="8" customFormat="1" ht="14" x14ac:dyDescent="0.2">
      <c r="B124" s="8" t="s">
        <v>358</v>
      </c>
      <c r="D124" s="8" t="s">
        <v>2</v>
      </c>
      <c r="E124" s="177" t="s">
        <v>364</v>
      </c>
      <c r="F124" s="192"/>
      <c r="G124" s="192"/>
      <c r="H124" s="192"/>
      <c r="I124" s="192"/>
      <c r="J124" s="192"/>
      <c r="K124" s="192"/>
      <c r="L124" s="192"/>
      <c r="M124" s="192"/>
      <c r="N124" s="192"/>
      <c r="O124" s="192"/>
      <c r="P124" s="192"/>
      <c r="Q124" s="192"/>
      <c r="R124" s="192"/>
      <c r="S124" s="192"/>
      <c r="T124" s="192"/>
      <c r="U124" s="192"/>
      <c r="V124" s="192"/>
      <c r="W124" s="192"/>
      <c r="X124" s="192"/>
      <c r="Y124" s="192"/>
      <c r="Z124" s="192"/>
      <c r="AA124" s="192"/>
      <c r="AB124" s="192"/>
      <c r="AC124" s="192"/>
      <c r="AD124" s="192"/>
      <c r="AE124" s="192"/>
      <c r="AF124" s="192"/>
      <c r="AG124" s="192"/>
      <c r="AH124" s="192"/>
    </row>
    <row r="125" spans="2:34" s="8" customFormat="1" ht="14" x14ac:dyDescent="0.2">
      <c r="B125" s="8" t="s">
        <v>359</v>
      </c>
      <c r="D125" s="8" t="s">
        <v>2</v>
      </c>
      <c r="E125" s="177" t="s">
        <v>365</v>
      </c>
      <c r="F125" s="116"/>
      <c r="G125" s="12"/>
      <c r="H125" s="116"/>
      <c r="I125" s="12"/>
      <c r="J125" s="116"/>
      <c r="K125" s="12"/>
      <c r="L125" s="116"/>
      <c r="M125" s="12"/>
      <c r="N125" s="116"/>
      <c r="O125" s="12"/>
      <c r="P125" s="116"/>
      <c r="Q125" s="12"/>
      <c r="R125" s="116"/>
      <c r="S125" s="12"/>
      <c r="T125" s="116"/>
      <c r="U125" s="12"/>
      <c r="V125" s="116"/>
      <c r="W125" s="12"/>
      <c r="X125" s="116"/>
      <c r="Y125" s="12"/>
      <c r="Z125" s="116"/>
      <c r="AA125" s="12"/>
      <c r="AB125" s="116"/>
      <c r="AC125" s="12"/>
      <c r="AD125" s="116"/>
      <c r="AE125" s="12"/>
      <c r="AF125" s="116"/>
      <c r="AG125" s="12"/>
      <c r="AH125" s="116"/>
    </row>
    <row r="126" spans="2:34" s="8" customFormat="1" ht="14" x14ac:dyDescent="0.2">
      <c r="B126" s="7"/>
      <c r="E126" s="208" t="str">
        <f>IF(SUM(E129:AH129)&gt;0,"WARNING: IMPLIED GTK/NTK RATIO CANNOT BE BELOW 1"," ")</f>
        <v xml:space="preserve"> </v>
      </c>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2:34" s="8" customFormat="1" ht="14" x14ac:dyDescent="0.2">
      <c r="B127" s="8" t="s">
        <v>242</v>
      </c>
      <c r="D127" s="8" t="s">
        <v>118</v>
      </c>
      <c r="E127" s="233">
        <f>IF(E15&lt;&gt;0,IF(E$111=1,$E$15/(E130+E131+E132+E133+E134+E135+E136+E137+E138+E139),$E$15/($E$113*(E130+E131+E132+E133+E134+E135+E136+E137+E138+E139))),0)</f>
        <v>1.2195121951219512</v>
      </c>
      <c r="F127" s="233">
        <f t="shared" ref="F127:AH127" si="8">E127*(1+F128)</f>
        <v>1.2195121951219512</v>
      </c>
      <c r="G127" s="233">
        <f t="shared" si="8"/>
        <v>1.2195121951219512</v>
      </c>
      <c r="H127" s="233">
        <f t="shared" si="8"/>
        <v>1.2195121951219512</v>
      </c>
      <c r="I127" s="233">
        <f t="shared" si="8"/>
        <v>1.2195121951219512</v>
      </c>
      <c r="J127" s="233">
        <f t="shared" si="8"/>
        <v>1.2195121951219512</v>
      </c>
      <c r="K127" s="233">
        <f t="shared" si="8"/>
        <v>1.2195121951219512</v>
      </c>
      <c r="L127" s="233">
        <f t="shared" si="8"/>
        <v>1.2195121951219512</v>
      </c>
      <c r="M127" s="233">
        <f t="shared" si="8"/>
        <v>1.2195121951219512</v>
      </c>
      <c r="N127" s="233">
        <f t="shared" si="8"/>
        <v>1.2195121951219512</v>
      </c>
      <c r="O127" s="233">
        <f t="shared" si="8"/>
        <v>1.2195121951219512</v>
      </c>
      <c r="P127" s="233">
        <f t="shared" si="8"/>
        <v>1.2195121951219512</v>
      </c>
      <c r="Q127" s="233">
        <f t="shared" si="8"/>
        <v>1.2195121951219512</v>
      </c>
      <c r="R127" s="233">
        <f t="shared" si="8"/>
        <v>1.2195121951219512</v>
      </c>
      <c r="S127" s="233">
        <f t="shared" si="8"/>
        <v>1.2195121951219512</v>
      </c>
      <c r="T127" s="233">
        <f t="shared" si="8"/>
        <v>1.2195121951219512</v>
      </c>
      <c r="U127" s="233">
        <f t="shared" si="8"/>
        <v>1.2195121951219512</v>
      </c>
      <c r="V127" s="233">
        <f t="shared" si="8"/>
        <v>1.2195121951219512</v>
      </c>
      <c r="W127" s="233">
        <f t="shared" si="8"/>
        <v>1.2195121951219512</v>
      </c>
      <c r="X127" s="233">
        <f t="shared" si="8"/>
        <v>1.2195121951219512</v>
      </c>
      <c r="Y127" s="233">
        <f t="shared" si="8"/>
        <v>1.2195121951219512</v>
      </c>
      <c r="Z127" s="233">
        <f t="shared" si="8"/>
        <v>1.2195121951219512</v>
      </c>
      <c r="AA127" s="233">
        <f t="shared" si="8"/>
        <v>1.2195121951219512</v>
      </c>
      <c r="AB127" s="233">
        <f t="shared" si="8"/>
        <v>1.2195121951219512</v>
      </c>
      <c r="AC127" s="233">
        <f t="shared" si="8"/>
        <v>1.2195121951219512</v>
      </c>
      <c r="AD127" s="233">
        <f t="shared" si="8"/>
        <v>1.2195121951219512</v>
      </c>
      <c r="AE127" s="233">
        <f t="shared" si="8"/>
        <v>1.2195121951219512</v>
      </c>
      <c r="AF127" s="233">
        <f t="shared" si="8"/>
        <v>1.2195121951219512</v>
      </c>
      <c r="AG127" s="233">
        <f t="shared" si="8"/>
        <v>1.2195121951219512</v>
      </c>
      <c r="AH127" s="233">
        <f t="shared" si="8"/>
        <v>1.2195121951219512</v>
      </c>
    </row>
    <row r="128" spans="2:34" s="8" customFormat="1" ht="14" x14ac:dyDescent="0.2">
      <c r="B128" s="8" t="s">
        <v>243</v>
      </c>
      <c r="D128" s="8" t="s">
        <v>15</v>
      </c>
      <c r="E128" s="9"/>
      <c r="F128" s="189">
        <v>0</v>
      </c>
      <c r="G128" s="189">
        <v>0</v>
      </c>
      <c r="H128" s="189">
        <v>0</v>
      </c>
      <c r="I128" s="189">
        <v>0</v>
      </c>
      <c r="J128" s="189">
        <v>0</v>
      </c>
      <c r="K128" s="189">
        <v>0</v>
      </c>
      <c r="L128" s="189">
        <v>0</v>
      </c>
      <c r="M128" s="189">
        <v>0</v>
      </c>
      <c r="N128" s="189">
        <v>0</v>
      </c>
      <c r="O128" s="189">
        <v>0</v>
      </c>
      <c r="P128" s="189">
        <v>0</v>
      </c>
      <c r="Q128" s="189">
        <v>0</v>
      </c>
      <c r="R128" s="189">
        <v>0</v>
      </c>
      <c r="S128" s="189">
        <v>0</v>
      </c>
      <c r="T128" s="189">
        <v>0</v>
      </c>
      <c r="U128" s="189">
        <v>0</v>
      </c>
      <c r="V128" s="189">
        <v>0</v>
      </c>
      <c r="W128" s="189">
        <v>0</v>
      </c>
      <c r="X128" s="189">
        <v>0</v>
      </c>
      <c r="Y128" s="189">
        <v>0</v>
      </c>
      <c r="Z128" s="189">
        <v>0</v>
      </c>
      <c r="AA128" s="189">
        <v>0</v>
      </c>
      <c r="AB128" s="189">
        <v>0</v>
      </c>
      <c r="AC128" s="189">
        <v>0</v>
      </c>
      <c r="AD128" s="189">
        <v>0</v>
      </c>
      <c r="AE128" s="189">
        <v>0</v>
      </c>
      <c r="AF128" s="189">
        <v>0</v>
      </c>
      <c r="AG128" s="189">
        <v>0</v>
      </c>
      <c r="AH128" s="189">
        <v>0</v>
      </c>
    </row>
    <row r="129" spans="2:34" s="8" customFormat="1" ht="14" x14ac:dyDescent="0.2">
      <c r="E129" s="232">
        <f>IF(AND(E127&lt;1,Calculations!E16=1),1,0)</f>
        <v>0</v>
      </c>
      <c r="F129" s="232">
        <f>IF(AND(F127&lt;1,Calculations!F16=1),1,0)</f>
        <v>0</v>
      </c>
      <c r="G129" s="232">
        <f>IF(AND(G127&lt;1,Calculations!G16=1),1,0)</f>
        <v>0</v>
      </c>
      <c r="H129" s="232">
        <f>IF(AND(H127&lt;1,Calculations!H16=1),1,0)</f>
        <v>0</v>
      </c>
      <c r="I129" s="232">
        <f>IF(AND(I127&lt;1,Calculations!I16=1),1,0)</f>
        <v>0</v>
      </c>
      <c r="J129" s="232">
        <f>IF(AND(J127&lt;1,Calculations!J16=1),1,0)</f>
        <v>0</v>
      </c>
      <c r="K129" s="232">
        <f>IF(AND(K127&lt;1,Calculations!K16=1),1,0)</f>
        <v>0</v>
      </c>
      <c r="L129" s="232">
        <f>IF(AND(L127&lt;1,Calculations!L16=1),1,0)</f>
        <v>0</v>
      </c>
      <c r="M129" s="232">
        <f>IF(AND(M127&lt;1,Calculations!M16=1),1,0)</f>
        <v>0</v>
      </c>
      <c r="N129" s="232">
        <f>IF(AND(N127&lt;1,Calculations!N16=1),1,0)</f>
        <v>0</v>
      </c>
      <c r="O129" s="232">
        <f>IF(AND(O127&lt;1,Calculations!O16=1),1,0)</f>
        <v>0</v>
      </c>
      <c r="P129" s="232">
        <f>IF(AND(P127&lt;1,Calculations!P16=1),1,0)</f>
        <v>0</v>
      </c>
      <c r="Q129" s="232">
        <f>IF(AND(Q127&lt;1,Calculations!Q16=1),1,0)</f>
        <v>0</v>
      </c>
      <c r="R129" s="232">
        <f>IF(AND(R127&lt;1,Calculations!R16=1),1,0)</f>
        <v>0</v>
      </c>
      <c r="S129" s="232">
        <f>IF(AND(S127&lt;1,Calculations!S16=1),1,0)</f>
        <v>0</v>
      </c>
      <c r="T129" s="232">
        <f>IF(AND(T127&lt;1,Calculations!T16=1),1,0)</f>
        <v>0</v>
      </c>
      <c r="U129" s="232">
        <f>IF(AND(U127&lt;1,Calculations!U16=1),1,0)</f>
        <v>0</v>
      </c>
      <c r="V129" s="232">
        <f>IF(AND(V127&lt;1,Calculations!V16=1),1,0)</f>
        <v>0</v>
      </c>
      <c r="W129" s="232">
        <f>IF(AND(W127&lt;1,Calculations!W16=1),1,0)</f>
        <v>0</v>
      </c>
      <c r="X129" s="232">
        <f>IF(AND(X127&lt;1,Calculations!X16=1),1,0)</f>
        <v>0</v>
      </c>
      <c r="Y129" s="232">
        <f>IF(AND(Y127&lt;1,Calculations!Y16=1),1,0)</f>
        <v>0</v>
      </c>
      <c r="Z129" s="232">
        <f>IF(AND(Z127&lt;1,Calculations!Z16=1),1,0)</f>
        <v>0</v>
      </c>
      <c r="AA129" s="232">
        <f>IF(AND(AA127&lt;1,Calculations!AA16=1),1,0)</f>
        <v>0</v>
      </c>
      <c r="AB129" s="232">
        <f>IF(AND(AB127&lt;1,Calculations!AB16=1),1,0)</f>
        <v>0</v>
      </c>
      <c r="AC129" s="232">
        <f>IF(AND(AC127&lt;1,Calculations!AC16=1),1,0)</f>
        <v>0</v>
      </c>
      <c r="AD129" s="232">
        <f>IF(AND(AD127&lt;1,Calculations!AD16=1),1,0)</f>
        <v>0</v>
      </c>
      <c r="AE129" s="232">
        <f>IF(AND(AE127&lt;1,Calculations!AE16=1),1,0)</f>
        <v>0</v>
      </c>
      <c r="AF129" s="232">
        <f>IF(AND(AF127&lt;1,Calculations!AF16=1),1,0)</f>
        <v>0</v>
      </c>
      <c r="AG129" s="232">
        <f>IF(AND(AG127&lt;1,Calculations!AG16=1),1,0)</f>
        <v>0</v>
      </c>
      <c r="AH129" s="232">
        <f>IF(AND(AH127&lt;1,Calculations!AH16=1),1,0)</f>
        <v>0</v>
      </c>
    </row>
    <row r="130" spans="2:34" s="8" customFormat="1" ht="14" x14ac:dyDescent="0.2">
      <c r="B130" s="89" t="str">
        <f t="shared" ref="B130:B139" si="9">E116&amp;" annual traffic volume"</f>
        <v>Commodity 1 annual traffic volume</v>
      </c>
      <c r="D130" s="8" t="str">
        <f t="shared" ref="D130:D139" si="10">IF($E$111=1,"Net ton-km (million)", "Tons (million)")</f>
        <v>Net ton-km (million)</v>
      </c>
      <c r="E130" s="187">
        <v>4000</v>
      </c>
      <c r="F130" s="191">
        <v>4000</v>
      </c>
      <c r="G130" s="191">
        <v>4000</v>
      </c>
      <c r="H130" s="191">
        <v>4000</v>
      </c>
      <c r="I130" s="191">
        <v>4000</v>
      </c>
      <c r="J130" s="191">
        <v>4000</v>
      </c>
      <c r="K130" s="191">
        <v>4500</v>
      </c>
      <c r="L130" s="191">
        <v>4500</v>
      </c>
      <c r="M130" s="191">
        <v>4500</v>
      </c>
      <c r="N130" s="191">
        <v>4500</v>
      </c>
      <c r="O130" s="191">
        <v>4500</v>
      </c>
      <c r="P130" s="191">
        <v>4500</v>
      </c>
      <c r="Q130" s="191">
        <v>4500</v>
      </c>
      <c r="R130" s="191">
        <v>4500</v>
      </c>
      <c r="S130" s="191">
        <v>4500</v>
      </c>
      <c r="T130" s="191">
        <v>4500</v>
      </c>
      <c r="U130" s="191">
        <v>4500</v>
      </c>
      <c r="V130" s="191">
        <v>4500</v>
      </c>
      <c r="W130" s="191">
        <v>4500</v>
      </c>
      <c r="X130" s="191">
        <v>4500</v>
      </c>
      <c r="Y130" s="191">
        <v>4500</v>
      </c>
      <c r="Z130" s="191">
        <v>4500</v>
      </c>
      <c r="AA130" s="191">
        <v>4500</v>
      </c>
      <c r="AB130" s="191">
        <v>4500</v>
      </c>
      <c r="AC130" s="191">
        <v>4500</v>
      </c>
      <c r="AD130" s="191">
        <v>4500</v>
      </c>
      <c r="AE130" s="191">
        <v>4500</v>
      </c>
      <c r="AF130" s="191">
        <v>4500</v>
      </c>
      <c r="AG130" s="191">
        <v>4500</v>
      </c>
      <c r="AH130" s="191">
        <v>4500</v>
      </c>
    </row>
    <row r="131" spans="2:34" s="8" customFormat="1" ht="14" x14ac:dyDescent="0.2">
      <c r="B131" s="89" t="str">
        <f t="shared" si="9"/>
        <v>Commodity 2 annual traffic volume</v>
      </c>
      <c r="D131" s="8" t="str">
        <f t="shared" si="10"/>
        <v>Net ton-km (million)</v>
      </c>
      <c r="E131" s="187">
        <v>4000</v>
      </c>
      <c r="F131" s="191">
        <v>4000</v>
      </c>
      <c r="G131" s="191">
        <v>4000</v>
      </c>
      <c r="H131" s="191">
        <v>4000</v>
      </c>
      <c r="I131" s="191">
        <v>4000</v>
      </c>
      <c r="J131" s="191">
        <v>4000</v>
      </c>
      <c r="K131" s="191">
        <v>4500</v>
      </c>
      <c r="L131" s="191">
        <v>4500</v>
      </c>
      <c r="M131" s="191">
        <v>4500</v>
      </c>
      <c r="N131" s="191">
        <v>4500</v>
      </c>
      <c r="O131" s="191">
        <v>4500</v>
      </c>
      <c r="P131" s="191">
        <v>4500</v>
      </c>
      <c r="Q131" s="191">
        <v>4500</v>
      </c>
      <c r="R131" s="191">
        <v>4500</v>
      </c>
      <c r="S131" s="191">
        <v>4500</v>
      </c>
      <c r="T131" s="191">
        <v>4500</v>
      </c>
      <c r="U131" s="191">
        <v>4500</v>
      </c>
      <c r="V131" s="191">
        <v>4500</v>
      </c>
      <c r="W131" s="191">
        <v>4500</v>
      </c>
      <c r="X131" s="191">
        <v>4500</v>
      </c>
      <c r="Y131" s="191">
        <v>4500</v>
      </c>
      <c r="Z131" s="191">
        <v>4500</v>
      </c>
      <c r="AA131" s="191">
        <v>4500</v>
      </c>
      <c r="AB131" s="191">
        <v>4500</v>
      </c>
      <c r="AC131" s="191">
        <v>4500</v>
      </c>
      <c r="AD131" s="191">
        <v>4500</v>
      </c>
      <c r="AE131" s="191">
        <v>4500</v>
      </c>
      <c r="AF131" s="191">
        <v>4500</v>
      </c>
      <c r="AG131" s="191">
        <v>4500</v>
      </c>
      <c r="AH131" s="191">
        <v>4500</v>
      </c>
    </row>
    <row r="132" spans="2:34" s="8" customFormat="1" ht="14" x14ac:dyDescent="0.2">
      <c r="B132" s="89" t="str">
        <f t="shared" si="9"/>
        <v>Commodity 3 annual traffic volume</v>
      </c>
      <c r="D132" s="8" t="str">
        <f t="shared" si="10"/>
        <v>Net ton-km (million)</v>
      </c>
      <c r="E132" s="187">
        <v>5000</v>
      </c>
      <c r="F132" s="191">
        <v>4000</v>
      </c>
      <c r="G132" s="191">
        <v>4000</v>
      </c>
      <c r="H132" s="191">
        <v>4000</v>
      </c>
      <c r="I132" s="191">
        <v>4000</v>
      </c>
      <c r="J132" s="191">
        <v>4000</v>
      </c>
      <c r="K132" s="191">
        <v>4500</v>
      </c>
      <c r="L132" s="191">
        <v>4500</v>
      </c>
      <c r="M132" s="191">
        <v>4500</v>
      </c>
      <c r="N132" s="191">
        <v>4500</v>
      </c>
      <c r="O132" s="191">
        <v>4500</v>
      </c>
      <c r="P132" s="191">
        <v>4500</v>
      </c>
      <c r="Q132" s="191">
        <v>4500</v>
      </c>
      <c r="R132" s="191">
        <v>4500</v>
      </c>
      <c r="S132" s="191">
        <v>4500</v>
      </c>
      <c r="T132" s="191">
        <v>4500</v>
      </c>
      <c r="U132" s="191">
        <v>4500</v>
      </c>
      <c r="V132" s="191">
        <v>4500</v>
      </c>
      <c r="W132" s="191">
        <v>4500</v>
      </c>
      <c r="X132" s="191">
        <v>4500</v>
      </c>
      <c r="Y132" s="191">
        <v>4500</v>
      </c>
      <c r="Z132" s="191">
        <v>4500</v>
      </c>
      <c r="AA132" s="191">
        <v>4500</v>
      </c>
      <c r="AB132" s="191">
        <v>4500</v>
      </c>
      <c r="AC132" s="191">
        <v>4500</v>
      </c>
      <c r="AD132" s="191">
        <v>4500</v>
      </c>
      <c r="AE132" s="191">
        <v>4500</v>
      </c>
      <c r="AF132" s="191">
        <v>4500</v>
      </c>
      <c r="AG132" s="191">
        <v>4500</v>
      </c>
      <c r="AH132" s="191">
        <v>4500</v>
      </c>
    </row>
    <row r="133" spans="2:34" s="8" customFormat="1" ht="14" x14ac:dyDescent="0.2">
      <c r="B133" s="89" t="str">
        <f t="shared" si="9"/>
        <v>Commodity 4 annual traffic volume</v>
      </c>
      <c r="D133" s="8" t="str">
        <f t="shared" si="10"/>
        <v>Net ton-km (million)</v>
      </c>
      <c r="E133" s="187">
        <v>4000</v>
      </c>
      <c r="F133" s="191">
        <v>4000</v>
      </c>
      <c r="G133" s="191">
        <v>4000</v>
      </c>
      <c r="H133" s="191">
        <v>4000</v>
      </c>
      <c r="I133" s="191">
        <v>4000</v>
      </c>
      <c r="J133" s="191">
        <v>4000</v>
      </c>
      <c r="K133" s="191">
        <v>4500</v>
      </c>
      <c r="L133" s="191">
        <v>4500</v>
      </c>
      <c r="M133" s="191">
        <v>4500</v>
      </c>
      <c r="N133" s="191">
        <v>4500</v>
      </c>
      <c r="O133" s="191">
        <v>4500</v>
      </c>
      <c r="P133" s="191">
        <v>4500</v>
      </c>
      <c r="Q133" s="191">
        <v>4500</v>
      </c>
      <c r="R133" s="191">
        <v>4500</v>
      </c>
      <c r="S133" s="191">
        <v>4500</v>
      </c>
      <c r="T133" s="191">
        <v>4500</v>
      </c>
      <c r="U133" s="191">
        <v>4500</v>
      </c>
      <c r="V133" s="191">
        <v>4500</v>
      </c>
      <c r="W133" s="191">
        <v>4500</v>
      </c>
      <c r="X133" s="191">
        <v>4500</v>
      </c>
      <c r="Y133" s="191">
        <v>4500</v>
      </c>
      <c r="Z133" s="191">
        <v>4500</v>
      </c>
      <c r="AA133" s="191">
        <v>4500</v>
      </c>
      <c r="AB133" s="191">
        <v>4500</v>
      </c>
      <c r="AC133" s="191">
        <v>4500</v>
      </c>
      <c r="AD133" s="191">
        <v>4500</v>
      </c>
      <c r="AE133" s="191">
        <v>4500</v>
      </c>
      <c r="AF133" s="191">
        <v>4500</v>
      </c>
      <c r="AG133" s="191">
        <v>4500</v>
      </c>
      <c r="AH133" s="191">
        <v>4500</v>
      </c>
    </row>
    <row r="134" spans="2:34" s="8" customFormat="1" ht="14" x14ac:dyDescent="0.2">
      <c r="B134" s="89" t="str">
        <f t="shared" si="9"/>
        <v>Commodity 5 annual traffic volume</v>
      </c>
      <c r="D134" s="8" t="str">
        <f t="shared" si="10"/>
        <v>Net ton-km (million)</v>
      </c>
      <c r="E134" s="187">
        <v>4000</v>
      </c>
      <c r="F134" s="191">
        <v>4000</v>
      </c>
      <c r="G134" s="191">
        <v>4000</v>
      </c>
      <c r="H134" s="191">
        <v>4000</v>
      </c>
      <c r="I134" s="191">
        <v>4000</v>
      </c>
      <c r="J134" s="191">
        <v>4000</v>
      </c>
      <c r="K134" s="191">
        <v>4500</v>
      </c>
      <c r="L134" s="191">
        <v>4500</v>
      </c>
      <c r="M134" s="191">
        <v>4500</v>
      </c>
      <c r="N134" s="191">
        <v>4500</v>
      </c>
      <c r="O134" s="191">
        <v>4500</v>
      </c>
      <c r="P134" s="191">
        <v>4500</v>
      </c>
      <c r="Q134" s="191">
        <v>4500</v>
      </c>
      <c r="R134" s="191">
        <v>4500</v>
      </c>
      <c r="S134" s="191">
        <v>4500</v>
      </c>
      <c r="T134" s="191">
        <v>4500</v>
      </c>
      <c r="U134" s="191">
        <v>4500</v>
      </c>
      <c r="V134" s="191">
        <v>4500</v>
      </c>
      <c r="W134" s="191">
        <v>4500</v>
      </c>
      <c r="X134" s="191">
        <v>4500</v>
      </c>
      <c r="Y134" s="191">
        <v>4500</v>
      </c>
      <c r="Z134" s="191">
        <v>4500</v>
      </c>
      <c r="AA134" s="191">
        <v>4500</v>
      </c>
      <c r="AB134" s="191">
        <v>4500</v>
      </c>
      <c r="AC134" s="191">
        <v>4500</v>
      </c>
      <c r="AD134" s="191">
        <v>4500</v>
      </c>
      <c r="AE134" s="191">
        <v>4500</v>
      </c>
      <c r="AF134" s="191">
        <v>4500</v>
      </c>
      <c r="AG134" s="191">
        <v>4500</v>
      </c>
      <c r="AH134" s="191">
        <v>4500</v>
      </c>
    </row>
    <row r="135" spans="2:34" s="8" customFormat="1" ht="14" x14ac:dyDescent="0.2">
      <c r="B135" s="89" t="str">
        <f t="shared" si="9"/>
        <v>Commodity 6 annual traffic volume</v>
      </c>
      <c r="D135" s="8" t="str">
        <f t="shared" si="10"/>
        <v>Net ton-km (million)</v>
      </c>
      <c r="E135" s="187">
        <v>4000</v>
      </c>
      <c r="F135" s="191">
        <v>4000</v>
      </c>
      <c r="G135" s="191">
        <v>4000</v>
      </c>
      <c r="H135" s="191">
        <v>4000</v>
      </c>
      <c r="I135" s="191">
        <v>4000</v>
      </c>
      <c r="J135" s="191">
        <v>4000</v>
      </c>
      <c r="K135" s="191">
        <v>4500</v>
      </c>
      <c r="L135" s="191">
        <v>4500</v>
      </c>
      <c r="M135" s="191">
        <v>4500</v>
      </c>
      <c r="N135" s="191">
        <v>4500</v>
      </c>
      <c r="O135" s="191">
        <v>4500</v>
      </c>
      <c r="P135" s="191">
        <v>4500</v>
      </c>
      <c r="Q135" s="191">
        <v>4500</v>
      </c>
      <c r="R135" s="191">
        <v>4500</v>
      </c>
      <c r="S135" s="191">
        <v>4500</v>
      </c>
      <c r="T135" s="191">
        <v>4500</v>
      </c>
      <c r="U135" s="191">
        <v>4500</v>
      </c>
      <c r="V135" s="191">
        <v>4500</v>
      </c>
      <c r="W135" s="191">
        <v>4500</v>
      </c>
      <c r="X135" s="191">
        <v>4500</v>
      </c>
      <c r="Y135" s="191">
        <v>4500</v>
      </c>
      <c r="Z135" s="191">
        <v>4500</v>
      </c>
      <c r="AA135" s="191">
        <v>4500</v>
      </c>
      <c r="AB135" s="191">
        <v>4500</v>
      </c>
      <c r="AC135" s="191">
        <v>4500</v>
      </c>
      <c r="AD135" s="191">
        <v>4500</v>
      </c>
      <c r="AE135" s="191">
        <v>4500</v>
      </c>
      <c r="AF135" s="191">
        <v>4500</v>
      </c>
      <c r="AG135" s="191">
        <v>4500</v>
      </c>
      <c r="AH135" s="191">
        <v>4500</v>
      </c>
    </row>
    <row r="136" spans="2:34" s="8" customFormat="1" ht="14" x14ac:dyDescent="0.2">
      <c r="B136" s="89" t="str">
        <f t="shared" si="9"/>
        <v>Commodity 7 annual traffic volume</v>
      </c>
      <c r="D136" s="8" t="str">
        <f t="shared" si="10"/>
        <v>Net ton-km (million)</v>
      </c>
      <c r="E136" s="187">
        <v>4000</v>
      </c>
      <c r="F136" s="191">
        <v>4000</v>
      </c>
      <c r="G136" s="191">
        <v>4000</v>
      </c>
      <c r="H136" s="191">
        <v>4000</v>
      </c>
      <c r="I136" s="191">
        <v>4000</v>
      </c>
      <c r="J136" s="191">
        <v>4000</v>
      </c>
      <c r="K136" s="191">
        <v>4500</v>
      </c>
      <c r="L136" s="191">
        <v>4500</v>
      </c>
      <c r="M136" s="191">
        <v>4500</v>
      </c>
      <c r="N136" s="191">
        <v>4500</v>
      </c>
      <c r="O136" s="191">
        <v>4500</v>
      </c>
      <c r="P136" s="191">
        <v>4500</v>
      </c>
      <c r="Q136" s="191">
        <v>4500</v>
      </c>
      <c r="R136" s="191">
        <v>4500</v>
      </c>
      <c r="S136" s="191">
        <v>4500</v>
      </c>
      <c r="T136" s="191">
        <v>4500</v>
      </c>
      <c r="U136" s="191">
        <v>4500</v>
      </c>
      <c r="V136" s="191">
        <v>4500</v>
      </c>
      <c r="W136" s="191">
        <v>4500</v>
      </c>
      <c r="X136" s="191">
        <v>4500</v>
      </c>
      <c r="Y136" s="191">
        <v>4500</v>
      </c>
      <c r="Z136" s="191">
        <v>4500</v>
      </c>
      <c r="AA136" s="191">
        <v>4500</v>
      </c>
      <c r="AB136" s="191">
        <v>4500</v>
      </c>
      <c r="AC136" s="191">
        <v>4500</v>
      </c>
      <c r="AD136" s="191">
        <v>4500</v>
      </c>
      <c r="AE136" s="191">
        <v>4500</v>
      </c>
      <c r="AF136" s="191">
        <v>4500</v>
      </c>
      <c r="AG136" s="191">
        <v>4500</v>
      </c>
      <c r="AH136" s="191">
        <v>4500</v>
      </c>
    </row>
    <row r="137" spans="2:34" s="8" customFormat="1" ht="14" x14ac:dyDescent="0.2">
      <c r="B137" s="89" t="str">
        <f t="shared" si="9"/>
        <v>Commodity 8 annual traffic volume</v>
      </c>
      <c r="D137" s="8" t="str">
        <f t="shared" si="10"/>
        <v>Net ton-km (million)</v>
      </c>
      <c r="E137" s="187">
        <v>4000</v>
      </c>
      <c r="F137" s="191">
        <v>4000</v>
      </c>
      <c r="G137" s="191">
        <v>4000</v>
      </c>
      <c r="H137" s="191">
        <v>4000</v>
      </c>
      <c r="I137" s="191">
        <v>4000</v>
      </c>
      <c r="J137" s="191">
        <v>4000</v>
      </c>
      <c r="K137" s="191">
        <v>4500</v>
      </c>
      <c r="L137" s="191">
        <v>4500</v>
      </c>
      <c r="M137" s="191">
        <v>4500</v>
      </c>
      <c r="N137" s="191">
        <v>4500</v>
      </c>
      <c r="O137" s="191">
        <v>4500</v>
      </c>
      <c r="P137" s="191">
        <v>4500</v>
      </c>
      <c r="Q137" s="191">
        <v>4500</v>
      </c>
      <c r="R137" s="191">
        <v>4500</v>
      </c>
      <c r="S137" s="191">
        <v>4500</v>
      </c>
      <c r="T137" s="191">
        <v>4500</v>
      </c>
      <c r="U137" s="191">
        <v>4500</v>
      </c>
      <c r="V137" s="191">
        <v>4500</v>
      </c>
      <c r="W137" s="191">
        <v>4500</v>
      </c>
      <c r="X137" s="191">
        <v>4500</v>
      </c>
      <c r="Y137" s="191">
        <v>4500</v>
      </c>
      <c r="Z137" s="191">
        <v>4500</v>
      </c>
      <c r="AA137" s="191">
        <v>4500</v>
      </c>
      <c r="AB137" s="191">
        <v>4500</v>
      </c>
      <c r="AC137" s="191">
        <v>4500</v>
      </c>
      <c r="AD137" s="191">
        <v>4500</v>
      </c>
      <c r="AE137" s="191">
        <v>4500</v>
      </c>
      <c r="AF137" s="191">
        <v>4500</v>
      </c>
      <c r="AG137" s="191">
        <v>4500</v>
      </c>
      <c r="AH137" s="191">
        <v>4500</v>
      </c>
    </row>
    <row r="138" spans="2:34" s="8" customFormat="1" ht="14" x14ac:dyDescent="0.2">
      <c r="B138" s="89" t="str">
        <f t="shared" si="9"/>
        <v>Commodity 9 annual traffic volume</v>
      </c>
      <c r="D138" s="8" t="str">
        <f t="shared" si="10"/>
        <v>Net ton-km (million)</v>
      </c>
      <c r="E138" s="187">
        <v>4000</v>
      </c>
      <c r="F138" s="191">
        <v>4000</v>
      </c>
      <c r="G138" s="191">
        <v>4000</v>
      </c>
      <c r="H138" s="191">
        <v>4000</v>
      </c>
      <c r="I138" s="191">
        <v>4000</v>
      </c>
      <c r="J138" s="191">
        <v>4000</v>
      </c>
      <c r="K138" s="191">
        <v>4500</v>
      </c>
      <c r="L138" s="191">
        <v>4500</v>
      </c>
      <c r="M138" s="191">
        <v>4500</v>
      </c>
      <c r="N138" s="191">
        <v>4500</v>
      </c>
      <c r="O138" s="191">
        <v>4500</v>
      </c>
      <c r="P138" s="191">
        <v>4500</v>
      </c>
      <c r="Q138" s="191">
        <v>4500</v>
      </c>
      <c r="R138" s="191">
        <v>4500</v>
      </c>
      <c r="S138" s="191">
        <v>4500</v>
      </c>
      <c r="T138" s="191">
        <v>4500</v>
      </c>
      <c r="U138" s="191">
        <v>4500</v>
      </c>
      <c r="V138" s="191">
        <v>4500</v>
      </c>
      <c r="W138" s="191">
        <v>4500</v>
      </c>
      <c r="X138" s="191">
        <v>4500</v>
      </c>
      <c r="Y138" s="191">
        <v>4500</v>
      </c>
      <c r="Z138" s="191">
        <v>4500</v>
      </c>
      <c r="AA138" s="191">
        <v>4500</v>
      </c>
      <c r="AB138" s="191">
        <v>4500</v>
      </c>
      <c r="AC138" s="191">
        <v>4500</v>
      </c>
      <c r="AD138" s="191">
        <v>4500</v>
      </c>
      <c r="AE138" s="191">
        <v>4500</v>
      </c>
      <c r="AF138" s="191">
        <v>4500</v>
      </c>
      <c r="AG138" s="191">
        <v>4500</v>
      </c>
      <c r="AH138" s="191">
        <v>4500</v>
      </c>
    </row>
    <row r="139" spans="2:34" s="8" customFormat="1" ht="14" x14ac:dyDescent="0.2">
      <c r="B139" s="89" t="str">
        <f t="shared" si="9"/>
        <v>Commodity 10 annual traffic volume</v>
      </c>
      <c r="D139" s="8" t="str">
        <f t="shared" si="10"/>
        <v>Net ton-km (million)</v>
      </c>
      <c r="E139" s="187">
        <v>4000</v>
      </c>
      <c r="F139" s="191">
        <v>4000</v>
      </c>
      <c r="G139" s="191">
        <v>4000</v>
      </c>
      <c r="H139" s="191">
        <v>4000</v>
      </c>
      <c r="I139" s="191">
        <v>4000</v>
      </c>
      <c r="J139" s="191">
        <v>4000</v>
      </c>
      <c r="K139" s="191">
        <v>4500</v>
      </c>
      <c r="L139" s="191">
        <v>4500</v>
      </c>
      <c r="M139" s="191">
        <v>4500</v>
      </c>
      <c r="N139" s="191">
        <v>4500</v>
      </c>
      <c r="O139" s="191">
        <v>4500</v>
      </c>
      <c r="P139" s="191">
        <v>4500</v>
      </c>
      <c r="Q139" s="191">
        <v>4500</v>
      </c>
      <c r="R139" s="191">
        <v>4500</v>
      </c>
      <c r="S139" s="191">
        <v>4500</v>
      </c>
      <c r="T139" s="191">
        <v>4500</v>
      </c>
      <c r="U139" s="191">
        <v>4500</v>
      </c>
      <c r="V139" s="191">
        <v>4500</v>
      </c>
      <c r="W139" s="191">
        <v>4500</v>
      </c>
      <c r="X139" s="191">
        <v>4500</v>
      </c>
      <c r="Y139" s="191">
        <v>4500</v>
      </c>
      <c r="Z139" s="191">
        <v>4500</v>
      </c>
      <c r="AA139" s="191">
        <v>4500</v>
      </c>
      <c r="AB139" s="191">
        <v>4500</v>
      </c>
      <c r="AC139" s="191">
        <v>4500</v>
      </c>
      <c r="AD139" s="191">
        <v>4500</v>
      </c>
      <c r="AE139" s="191">
        <v>4500</v>
      </c>
      <c r="AF139" s="191">
        <v>4500</v>
      </c>
      <c r="AG139" s="191">
        <v>4500</v>
      </c>
      <c r="AH139" s="191">
        <v>4500</v>
      </c>
    </row>
    <row r="140" spans="2:34" s="8" customFormat="1" ht="14" collapsed="1" x14ac:dyDescent="0.2">
      <c r="B140" s="89"/>
      <c r="D140" s="15"/>
      <c r="E140" s="179"/>
      <c r="F140" s="87"/>
    </row>
    <row r="141" spans="2:34" s="320" customFormat="1" x14ac:dyDescent="0.2">
      <c r="B141" s="319" t="s">
        <v>235</v>
      </c>
      <c r="D141" s="319"/>
      <c r="E141" s="319" t="str">
        <f>IF(OR(AND('Scenarios - Consolidated'!$F$3=1,OR('Scenarios - Consolidated'!$D$20=1,'Scenarios - Consolidated'!$E$20=1)),AND('Scenarios - Freight'!$F$3=1,OR('Scenarios - Freight'!$D$20=1,'Scenarios - Freight'!$E$20=1))),"NOTE: SCENARIO ANALYSIS TARIFF ASSUMPTIONS IN USE"," ")</f>
        <v xml:space="preserve"> </v>
      </c>
    </row>
    <row r="143" spans="2:34" s="8" customFormat="1" ht="14" x14ac:dyDescent="0.2">
      <c r="B143" s="16" t="s">
        <v>374</v>
      </c>
      <c r="D143" s="8" t="s">
        <v>32</v>
      </c>
      <c r="E143" s="177">
        <f>IF(F143="Yes",1,2)</f>
        <v>1</v>
      </c>
      <c r="F143" s="87" t="s">
        <v>33</v>
      </c>
    </row>
    <row r="145" spans="2:34" s="8" customFormat="1" ht="14" x14ac:dyDescent="0.2">
      <c r="B145" s="21" t="str">
        <f>E116</f>
        <v>Commodity 1</v>
      </c>
    </row>
    <row r="146" spans="2:34" s="8" customFormat="1" ht="14" x14ac:dyDescent="0.2">
      <c r="B146" s="14" t="s">
        <v>366</v>
      </c>
      <c r="D146" s="8" t="str">
        <f>IF($E$111=1,'Assumptions - General'!$E$27 &amp; "/Ton-km", 'Assumptions - General'!$E$27 &amp; "/Tons")</f>
        <v>R$/Ton-km</v>
      </c>
      <c r="E146" s="181">
        <v>1</v>
      </c>
    </row>
    <row r="147" spans="2:34" s="8" customFormat="1" ht="14" x14ac:dyDescent="0.2">
      <c r="B147" s="14" t="s">
        <v>234</v>
      </c>
      <c r="D147" s="15" t="s">
        <v>15</v>
      </c>
      <c r="E147" s="188">
        <f>F147/100</f>
        <v>0.35</v>
      </c>
      <c r="F147" s="87">
        <v>35</v>
      </c>
    </row>
    <row r="148" spans="2:34" s="8" customFormat="1" ht="14" x14ac:dyDescent="0.2">
      <c r="B148" s="14" t="s">
        <v>402</v>
      </c>
      <c r="D148" s="8" t="s">
        <v>15</v>
      </c>
      <c r="E148" s="180"/>
      <c r="F148" s="188"/>
      <c r="G148" s="188"/>
      <c r="H148" s="188"/>
      <c r="I148" s="188"/>
      <c r="J148" s="188"/>
      <c r="K148" s="188"/>
      <c r="L148" s="188"/>
      <c r="M148" s="188"/>
      <c r="N148" s="188"/>
      <c r="O148" s="188"/>
      <c r="P148" s="188"/>
      <c r="Q148" s="188"/>
      <c r="R148" s="188"/>
      <c r="S148" s="188"/>
      <c r="T148" s="188"/>
      <c r="U148" s="188"/>
      <c r="V148" s="188"/>
      <c r="W148" s="188"/>
      <c r="X148" s="188"/>
      <c r="Y148" s="188"/>
      <c r="Z148" s="188"/>
      <c r="AA148" s="188"/>
      <c r="AB148" s="188"/>
      <c r="AC148" s="188"/>
      <c r="AD148" s="188"/>
      <c r="AE148" s="188"/>
      <c r="AF148" s="188"/>
      <c r="AG148" s="188"/>
      <c r="AH148" s="188"/>
    </row>
    <row r="149" spans="2:34" s="20" customFormat="1" ht="14" x14ac:dyDescent="0.2">
      <c r="B149" s="32"/>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c r="AG149" s="180"/>
      <c r="AH149" s="180"/>
    </row>
    <row r="150" spans="2:34" s="8" customFormat="1" ht="14" x14ac:dyDescent="0.2">
      <c r="B150" s="21" t="str">
        <f>E117</f>
        <v>Commodity 2</v>
      </c>
      <c r="E150" s="182"/>
      <c r="F150" s="183"/>
      <c r="G150" s="183"/>
      <c r="H150" s="183"/>
      <c r="I150" s="183"/>
      <c r="J150" s="183"/>
      <c r="K150" s="183"/>
      <c r="L150" s="183"/>
      <c r="M150" s="183"/>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row>
    <row r="151" spans="2:34" s="8" customFormat="1" ht="14" x14ac:dyDescent="0.2">
      <c r="B151" s="14" t="s">
        <v>366</v>
      </c>
      <c r="D151" s="8" t="str">
        <f>D146</f>
        <v>R$/Ton-km</v>
      </c>
      <c r="E151" s="181">
        <v>1</v>
      </c>
      <c r="F151" s="183"/>
      <c r="G151" s="183"/>
      <c r="H151" s="183"/>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row>
    <row r="152" spans="2:34" s="8" customFormat="1" ht="14" x14ac:dyDescent="0.2">
      <c r="B152" s="14" t="s">
        <v>234</v>
      </c>
      <c r="D152" s="15" t="s">
        <v>15</v>
      </c>
      <c r="E152" s="188">
        <f>F152/100</f>
        <v>0.89</v>
      </c>
      <c r="F152" s="87">
        <v>89</v>
      </c>
    </row>
    <row r="153" spans="2:34" s="8" customFormat="1" ht="14" x14ac:dyDescent="0.2">
      <c r="B153" s="14" t="s">
        <v>402</v>
      </c>
      <c r="C153" s="21"/>
      <c r="D153" s="8" t="s">
        <v>15</v>
      </c>
      <c r="E153" s="180"/>
      <c r="F153" s="188"/>
      <c r="G153" s="188"/>
      <c r="H153" s="188"/>
      <c r="I153" s="188"/>
      <c r="J153" s="188"/>
      <c r="K153" s="188"/>
      <c r="L153" s="188"/>
      <c r="M153" s="188"/>
      <c r="N153" s="188"/>
      <c r="O153" s="188"/>
      <c r="P153" s="188"/>
      <c r="Q153" s="188"/>
      <c r="R153" s="188"/>
      <c r="S153" s="188"/>
      <c r="T153" s="188"/>
      <c r="U153" s="188"/>
      <c r="V153" s="188"/>
      <c r="W153" s="188"/>
      <c r="X153" s="188"/>
      <c r="Y153" s="188"/>
      <c r="Z153" s="188"/>
      <c r="AA153" s="188"/>
      <c r="AB153" s="188"/>
      <c r="AC153" s="188"/>
      <c r="AD153" s="188"/>
      <c r="AE153" s="188"/>
      <c r="AF153" s="188"/>
      <c r="AG153" s="188"/>
      <c r="AH153" s="188"/>
    </row>
    <row r="154" spans="2:34" s="20" customFormat="1" ht="14" x14ac:dyDescent="0.2">
      <c r="B154" s="32"/>
      <c r="C154" s="19"/>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c r="AG154" s="180"/>
      <c r="AH154" s="180"/>
    </row>
    <row r="155" spans="2:34" s="8" customFormat="1" ht="14" x14ac:dyDescent="0.2">
      <c r="B155" s="21" t="str">
        <f>E118</f>
        <v>Commodity 3</v>
      </c>
      <c r="E155" s="182"/>
      <c r="F155" s="220"/>
      <c r="G155" s="183"/>
      <c r="H155" s="183"/>
      <c r="I155" s="183"/>
      <c r="J155" s="183"/>
      <c r="K155" s="183"/>
      <c r="L155" s="183"/>
      <c r="M155" s="183"/>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row>
    <row r="156" spans="2:34" s="8" customFormat="1" ht="14" x14ac:dyDescent="0.2">
      <c r="B156" s="14" t="s">
        <v>366</v>
      </c>
      <c r="D156" s="8" t="str">
        <f>D151</f>
        <v>R$/Ton-km</v>
      </c>
      <c r="E156" s="181">
        <v>1</v>
      </c>
      <c r="F156" s="183"/>
      <c r="G156" s="183"/>
      <c r="H156" s="183"/>
      <c r="I156" s="183"/>
      <c r="J156" s="183"/>
      <c r="K156" s="183"/>
      <c r="L156" s="183"/>
      <c r="M156" s="183"/>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row>
    <row r="157" spans="2:34" s="8" customFormat="1" ht="14" x14ac:dyDescent="0.2">
      <c r="B157" s="14" t="s">
        <v>234</v>
      </c>
      <c r="D157" s="15" t="s">
        <v>15</v>
      </c>
      <c r="E157" s="188">
        <f>F157/100</f>
        <v>1</v>
      </c>
      <c r="F157" s="87">
        <v>100</v>
      </c>
    </row>
    <row r="158" spans="2:34" s="8" customFormat="1" ht="14" x14ac:dyDescent="0.2">
      <c r="B158" s="14" t="s">
        <v>402</v>
      </c>
      <c r="D158" s="8" t="s">
        <v>15</v>
      </c>
      <c r="E158" s="180"/>
      <c r="F158" s="188"/>
      <c r="G158" s="188"/>
      <c r="H158" s="188"/>
      <c r="I158" s="188"/>
      <c r="J158" s="188"/>
      <c r="K158" s="188"/>
      <c r="L158" s="188"/>
      <c r="M158" s="188"/>
      <c r="N158" s="188"/>
      <c r="O158" s="188"/>
      <c r="P158" s="188"/>
      <c r="Q158" s="188"/>
      <c r="R158" s="188"/>
      <c r="S158" s="188"/>
      <c r="T158" s="188"/>
      <c r="U158" s="188"/>
      <c r="V158" s="188"/>
      <c r="W158" s="188"/>
      <c r="X158" s="188"/>
      <c r="Y158" s="188"/>
      <c r="Z158" s="188"/>
      <c r="AA158" s="188"/>
      <c r="AB158" s="188"/>
      <c r="AC158" s="188"/>
      <c r="AD158" s="188"/>
      <c r="AE158" s="188"/>
      <c r="AF158" s="188"/>
      <c r="AG158" s="188"/>
      <c r="AH158" s="188"/>
    </row>
    <row r="159" spans="2:34" s="20" customFormat="1" ht="14" x14ac:dyDescent="0.2">
      <c r="B159" s="32"/>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c r="AG159" s="180"/>
      <c r="AH159" s="180"/>
    </row>
    <row r="160" spans="2:34" s="8" customFormat="1" ht="14" x14ac:dyDescent="0.2">
      <c r="B160" s="21" t="str">
        <f>E119</f>
        <v>Commodity 4</v>
      </c>
      <c r="E160" s="182"/>
      <c r="F160" s="220"/>
      <c r="G160" s="183"/>
      <c r="H160" s="183"/>
      <c r="I160" s="183"/>
      <c r="J160" s="183"/>
      <c r="K160" s="183"/>
      <c r="L160" s="183"/>
      <c r="M160" s="183"/>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row>
    <row r="161" spans="2:34" s="8" customFormat="1" ht="14" x14ac:dyDescent="0.2">
      <c r="B161" s="14" t="s">
        <v>366</v>
      </c>
      <c r="D161" s="8" t="str">
        <f>D156</f>
        <v>R$/Ton-km</v>
      </c>
      <c r="E161" s="181">
        <v>1</v>
      </c>
      <c r="F161" s="183"/>
      <c r="G161" s="183"/>
      <c r="H161" s="183"/>
      <c r="I161" s="183"/>
      <c r="J161" s="183"/>
      <c r="K161" s="183"/>
      <c r="L161" s="183"/>
      <c r="M161" s="183"/>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row>
    <row r="162" spans="2:34" s="8" customFormat="1" ht="14" x14ac:dyDescent="0.2">
      <c r="B162" s="14" t="s">
        <v>234</v>
      </c>
      <c r="D162" s="15" t="s">
        <v>15</v>
      </c>
      <c r="E162" s="188">
        <f>F162/100</f>
        <v>1</v>
      </c>
      <c r="F162" s="87">
        <v>100</v>
      </c>
    </row>
    <row r="163" spans="2:34" s="8" customFormat="1" ht="14" x14ac:dyDescent="0.2">
      <c r="B163" s="14" t="s">
        <v>402</v>
      </c>
      <c r="D163" s="8" t="s">
        <v>15</v>
      </c>
      <c r="E163" s="180"/>
      <c r="F163" s="188"/>
      <c r="G163" s="188"/>
      <c r="H163" s="188"/>
      <c r="I163" s="188"/>
      <c r="J163" s="188"/>
      <c r="K163" s="188"/>
      <c r="L163" s="188"/>
      <c r="M163" s="188"/>
      <c r="N163" s="188"/>
      <c r="O163" s="188"/>
      <c r="P163" s="188"/>
      <c r="Q163" s="188"/>
      <c r="R163" s="188"/>
      <c r="S163" s="188"/>
      <c r="T163" s="188"/>
      <c r="U163" s="188"/>
      <c r="V163" s="188"/>
      <c r="W163" s="188"/>
      <c r="X163" s="188"/>
      <c r="Y163" s="188"/>
      <c r="Z163" s="188"/>
      <c r="AA163" s="188"/>
      <c r="AB163" s="188"/>
      <c r="AC163" s="188"/>
      <c r="AD163" s="188"/>
      <c r="AE163" s="188"/>
      <c r="AF163" s="188"/>
      <c r="AG163" s="188"/>
      <c r="AH163" s="188"/>
    </row>
    <row r="164" spans="2:34" s="20" customFormat="1" ht="14" x14ac:dyDescent="0.2">
      <c r="B164" s="32"/>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c r="AG164" s="180"/>
      <c r="AH164" s="180"/>
    </row>
    <row r="165" spans="2:34" s="8" customFormat="1" ht="14" x14ac:dyDescent="0.2">
      <c r="B165" s="21" t="str">
        <f>E120</f>
        <v>Commodity 5</v>
      </c>
      <c r="E165" s="182"/>
      <c r="F165" s="220"/>
      <c r="G165" s="183"/>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row>
    <row r="166" spans="2:34" s="8" customFormat="1" ht="14" x14ac:dyDescent="0.2">
      <c r="B166" s="14" t="s">
        <v>366</v>
      </c>
      <c r="D166" s="8" t="str">
        <f>D161</f>
        <v>R$/Ton-km</v>
      </c>
      <c r="E166" s="181">
        <v>1</v>
      </c>
      <c r="F166" s="183"/>
      <c r="G166" s="183"/>
      <c r="H166" s="183"/>
      <c r="I166" s="183"/>
      <c r="J166" s="183"/>
      <c r="K166" s="183"/>
      <c r="L166" s="183"/>
      <c r="M166" s="183"/>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row>
    <row r="167" spans="2:34" s="8" customFormat="1" ht="14" x14ac:dyDescent="0.2">
      <c r="B167" s="14" t="s">
        <v>234</v>
      </c>
      <c r="D167" s="15" t="s">
        <v>15</v>
      </c>
      <c r="E167" s="188">
        <f>F167/100</f>
        <v>0.99</v>
      </c>
      <c r="F167" s="87">
        <v>99</v>
      </c>
    </row>
    <row r="168" spans="2:34" s="8" customFormat="1" ht="14" x14ac:dyDescent="0.2">
      <c r="B168" s="14" t="s">
        <v>402</v>
      </c>
      <c r="D168" s="8" t="s">
        <v>15</v>
      </c>
      <c r="E168" s="180"/>
      <c r="F168" s="188"/>
      <c r="G168" s="188"/>
      <c r="H168" s="188"/>
      <c r="I168" s="188"/>
      <c r="J168" s="188"/>
      <c r="K168" s="188"/>
      <c r="L168" s="188"/>
      <c r="M168" s="188"/>
      <c r="N168" s="188"/>
      <c r="O168" s="188"/>
      <c r="P168" s="188"/>
      <c r="Q168" s="188"/>
      <c r="R168" s="188"/>
      <c r="S168" s="188"/>
      <c r="T168" s="188"/>
      <c r="U168" s="188"/>
      <c r="V168" s="188"/>
      <c r="W168" s="188"/>
      <c r="X168" s="188"/>
      <c r="Y168" s="188"/>
      <c r="Z168" s="188"/>
      <c r="AA168" s="188"/>
      <c r="AB168" s="188"/>
      <c r="AC168" s="188"/>
      <c r="AD168" s="188"/>
      <c r="AE168" s="188"/>
      <c r="AF168" s="188"/>
      <c r="AG168" s="188"/>
      <c r="AH168" s="188"/>
    </row>
    <row r="169" spans="2:34" s="20" customFormat="1" ht="14" x14ac:dyDescent="0.2">
      <c r="B169" s="32"/>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c r="AE169" s="180"/>
      <c r="AF169" s="180"/>
      <c r="AG169" s="180"/>
      <c r="AH169" s="180"/>
    </row>
    <row r="170" spans="2:34" s="8" customFormat="1" ht="14" x14ac:dyDescent="0.2">
      <c r="B170" s="21" t="str">
        <f>E121</f>
        <v>Commodity 6</v>
      </c>
      <c r="E170" s="182"/>
      <c r="F170" s="220"/>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row>
    <row r="171" spans="2:34" s="8" customFormat="1" ht="14" x14ac:dyDescent="0.2">
      <c r="B171" s="14" t="s">
        <v>366</v>
      </c>
      <c r="D171" s="8" t="str">
        <f>D166</f>
        <v>R$/Ton-km</v>
      </c>
      <c r="E171" s="181">
        <v>1</v>
      </c>
      <c r="F171" s="183"/>
      <c r="G171" s="183"/>
      <c r="H171" s="183"/>
      <c r="I171" s="183"/>
      <c r="J171" s="183"/>
      <c r="K171" s="183"/>
      <c r="L171" s="183"/>
      <c r="M171" s="183"/>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row>
    <row r="172" spans="2:34" s="8" customFormat="1" ht="14" x14ac:dyDescent="0.2">
      <c r="B172" s="14" t="s">
        <v>234</v>
      </c>
      <c r="D172" s="15" t="s">
        <v>15</v>
      </c>
      <c r="E172" s="188">
        <f>F172/100</f>
        <v>1</v>
      </c>
      <c r="F172" s="87">
        <v>100</v>
      </c>
    </row>
    <row r="173" spans="2:34" s="8" customFormat="1" ht="14" x14ac:dyDescent="0.2">
      <c r="B173" s="14" t="s">
        <v>402</v>
      </c>
      <c r="D173" s="8" t="s">
        <v>15</v>
      </c>
      <c r="E173" s="180"/>
      <c r="F173" s="188"/>
      <c r="G173" s="188"/>
      <c r="H173" s="188"/>
      <c r="I173" s="188"/>
      <c r="J173" s="188"/>
      <c r="K173" s="188"/>
      <c r="L173" s="188"/>
      <c r="M173" s="188"/>
      <c r="N173" s="188"/>
      <c r="O173" s="188"/>
      <c r="P173" s="188"/>
      <c r="Q173" s="188"/>
      <c r="R173" s="188"/>
      <c r="S173" s="188"/>
      <c r="T173" s="188"/>
      <c r="U173" s="188"/>
      <c r="V173" s="188"/>
      <c r="W173" s="188"/>
      <c r="X173" s="188"/>
      <c r="Y173" s="188"/>
      <c r="Z173" s="188"/>
      <c r="AA173" s="188"/>
      <c r="AB173" s="188"/>
      <c r="AC173" s="188"/>
      <c r="AD173" s="188"/>
      <c r="AE173" s="188"/>
      <c r="AF173" s="188"/>
      <c r="AG173" s="188"/>
      <c r="AH173" s="188"/>
    </row>
    <row r="174" spans="2:34" s="20" customFormat="1" ht="14" x14ac:dyDescent="0.2">
      <c r="B174" s="32"/>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c r="AE174" s="180"/>
      <c r="AF174" s="180"/>
      <c r="AG174" s="180"/>
      <c r="AH174" s="180"/>
    </row>
    <row r="175" spans="2:34" s="8" customFormat="1" ht="14" x14ac:dyDescent="0.2">
      <c r="B175" s="21" t="str">
        <f>E122</f>
        <v>Commodity 7</v>
      </c>
      <c r="E175" s="182"/>
      <c r="F175" s="220"/>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row>
    <row r="176" spans="2:34" s="8" customFormat="1" ht="14" x14ac:dyDescent="0.2">
      <c r="B176" s="14" t="s">
        <v>366</v>
      </c>
      <c r="D176" s="8" t="str">
        <f>D171</f>
        <v>R$/Ton-km</v>
      </c>
      <c r="E176" s="181">
        <v>1</v>
      </c>
      <c r="F176" s="183"/>
      <c r="G176" s="183"/>
      <c r="H176" s="183"/>
      <c r="I176" s="183"/>
      <c r="J176" s="183"/>
      <c r="K176" s="183"/>
      <c r="L176" s="183"/>
      <c r="M176" s="183"/>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row>
    <row r="177" spans="2:34" s="8" customFormat="1" ht="14" x14ac:dyDescent="0.2">
      <c r="B177" s="14" t="s">
        <v>234</v>
      </c>
      <c r="D177" s="15" t="s">
        <v>15</v>
      </c>
      <c r="E177" s="188">
        <f>F177/100</f>
        <v>1</v>
      </c>
      <c r="F177" s="87">
        <v>100</v>
      </c>
    </row>
    <row r="178" spans="2:34" s="8" customFormat="1" ht="14" x14ac:dyDescent="0.2">
      <c r="B178" s="14" t="s">
        <v>402</v>
      </c>
      <c r="D178" s="8" t="s">
        <v>15</v>
      </c>
      <c r="E178" s="180"/>
      <c r="F178" s="188"/>
      <c r="G178" s="188"/>
      <c r="H178" s="188"/>
      <c r="I178" s="188"/>
      <c r="J178" s="188"/>
      <c r="K178" s="188"/>
      <c r="L178" s="188"/>
      <c r="M178" s="188"/>
      <c r="N178" s="188"/>
      <c r="O178" s="188"/>
      <c r="P178" s="188"/>
      <c r="Q178" s="188"/>
      <c r="R178" s="188"/>
      <c r="S178" s="188"/>
      <c r="T178" s="188"/>
      <c r="U178" s="188"/>
      <c r="V178" s="188"/>
      <c r="W178" s="188"/>
      <c r="X178" s="188"/>
      <c r="Y178" s="188"/>
      <c r="Z178" s="188"/>
      <c r="AA178" s="188"/>
      <c r="AB178" s="188"/>
      <c r="AC178" s="188"/>
      <c r="AD178" s="188"/>
      <c r="AE178" s="188"/>
      <c r="AF178" s="188"/>
      <c r="AG178" s="188"/>
      <c r="AH178" s="188"/>
    </row>
    <row r="179" spans="2:34" s="20" customFormat="1" ht="14" x14ac:dyDescent="0.2">
      <c r="B179" s="32"/>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c r="AG179" s="180"/>
      <c r="AH179" s="180"/>
    </row>
    <row r="180" spans="2:34" s="8" customFormat="1" ht="14" x14ac:dyDescent="0.2">
      <c r="B180" s="21" t="str">
        <f>E123</f>
        <v>Commodity 8</v>
      </c>
      <c r="E180" s="182"/>
      <c r="F180" s="220"/>
      <c r="G180" s="183"/>
      <c r="H180" s="183"/>
      <c r="I180" s="183"/>
      <c r="J180" s="183"/>
      <c r="K180" s="183"/>
      <c r="L180" s="183"/>
      <c r="M180" s="183"/>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row>
    <row r="181" spans="2:34" s="8" customFormat="1" ht="14" x14ac:dyDescent="0.2">
      <c r="B181" s="14" t="s">
        <v>366</v>
      </c>
      <c r="D181" s="8" t="str">
        <f>D176</f>
        <v>R$/Ton-km</v>
      </c>
      <c r="E181" s="181">
        <v>1</v>
      </c>
      <c r="F181" s="183"/>
      <c r="G181" s="183"/>
      <c r="H181" s="183"/>
      <c r="I181" s="183"/>
      <c r="J181" s="183"/>
      <c r="K181" s="183"/>
      <c r="L181" s="183"/>
      <c r="M181" s="183"/>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row>
    <row r="182" spans="2:34" s="8" customFormat="1" ht="14" x14ac:dyDescent="0.2">
      <c r="B182" s="14" t="s">
        <v>234</v>
      </c>
      <c r="D182" s="15" t="s">
        <v>15</v>
      </c>
      <c r="E182" s="188">
        <f>F182/100</f>
        <v>1</v>
      </c>
      <c r="F182" s="87">
        <v>100</v>
      </c>
    </row>
    <row r="183" spans="2:34" s="8" customFormat="1" ht="14" x14ac:dyDescent="0.2">
      <c r="B183" s="14" t="s">
        <v>402</v>
      </c>
      <c r="D183" s="8" t="s">
        <v>15</v>
      </c>
      <c r="E183" s="81"/>
      <c r="F183" s="188"/>
      <c r="G183" s="188"/>
      <c r="H183" s="188"/>
      <c r="I183" s="188"/>
      <c r="J183" s="188"/>
      <c r="K183" s="188"/>
      <c r="L183" s="188"/>
      <c r="M183" s="188"/>
      <c r="N183" s="188"/>
      <c r="O183" s="188"/>
      <c r="P183" s="188"/>
      <c r="Q183" s="188"/>
      <c r="R183" s="188"/>
      <c r="S183" s="188"/>
      <c r="T183" s="188"/>
      <c r="U183" s="188"/>
      <c r="V183" s="188"/>
      <c r="W183" s="188"/>
      <c r="X183" s="188"/>
      <c r="Y183" s="188"/>
      <c r="Z183" s="188"/>
      <c r="AA183" s="188"/>
      <c r="AB183" s="188"/>
      <c r="AC183" s="188"/>
      <c r="AD183" s="188"/>
      <c r="AE183" s="188"/>
      <c r="AF183" s="188"/>
      <c r="AG183" s="188"/>
      <c r="AH183" s="188"/>
    </row>
    <row r="184" spans="2:34" s="20" customFormat="1" ht="14" x14ac:dyDescent="0.2">
      <c r="B184" s="32"/>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c r="AG184" s="180"/>
      <c r="AH184" s="180"/>
    </row>
    <row r="185" spans="2:34" s="8" customFormat="1" ht="14" x14ac:dyDescent="0.2">
      <c r="B185" s="21" t="str">
        <f>E124</f>
        <v>Commodity 9</v>
      </c>
      <c r="E185" s="182"/>
      <c r="F185" s="220"/>
      <c r="G185" s="183"/>
      <c r="H185" s="183"/>
      <c r="I185" s="183"/>
      <c r="J185" s="183"/>
      <c r="K185" s="183"/>
      <c r="L185" s="183"/>
      <c r="M185" s="183"/>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row>
    <row r="186" spans="2:34" s="8" customFormat="1" ht="14" x14ac:dyDescent="0.2">
      <c r="B186" s="14" t="s">
        <v>366</v>
      </c>
      <c r="D186" s="8" t="str">
        <f>D181</f>
        <v>R$/Ton-km</v>
      </c>
      <c r="E186" s="181">
        <v>1</v>
      </c>
      <c r="F186" s="183"/>
      <c r="G186" s="183"/>
      <c r="H186" s="183"/>
      <c r="I186" s="183"/>
      <c r="J186" s="183"/>
      <c r="K186" s="183"/>
      <c r="L186" s="183"/>
      <c r="M186" s="183"/>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row>
    <row r="187" spans="2:34" s="8" customFormat="1" ht="14" x14ac:dyDescent="0.2">
      <c r="B187" s="14" t="s">
        <v>234</v>
      </c>
      <c r="D187" s="15" t="s">
        <v>15</v>
      </c>
      <c r="E187" s="188">
        <f>F187/100</f>
        <v>0.96</v>
      </c>
      <c r="F187" s="87">
        <v>96</v>
      </c>
    </row>
    <row r="188" spans="2:34" s="8" customFormat="1" ht="14" x14ac:dyDescent="0.2">
      <c r="B188" s="14" t="s">
        <v>402</v>
      </c>
      <c r="D188" s="8" t="s">
        <v>15</v>
      </c>
      <c r="E188" s="180"/>
      <c r="F188" s="188"/>
      <c r="G188" s="188"/>
      <c r="H188" s="188"/>
      <c r="I188" s="188"/>
      <c r="J188" s="188"/>
      <c r="K188" s="188"/>
      <c r="L188" s="188"/>
      <c r="M188" s="188"/>
      <c r="N188" s="188"/>
      <c r="O188" s="188"/>
      <c r="P188" s="188"/>
      <c r="Q188" s="188"/>
      <c r="R188" s="188"/>
      <c r="S188" s="188"/>
      <c r="T188" s="188"/>
      <c r="U188" s="188"/>
      <c r="V188" s="188"/>
      <c r="W188" s="188"/>
      <c r="X188" s="188"/>
      <c r="Y188" s="188"/>
      <c r="Z188" s="188"/>
      <c r="AA188" s="188"/>
      <c r="AB188" s="188"/>
      <c r="AC188" s="188"/>
      <c r="AD188" s="188"/>
      <c r="AE188" s="188"/>
      <c r="AF188" s="188"/>
      <c r="AG188" s="188"/>
      <c r="AH188" s="188"/>
    </row>
    <row r="189" spans="2:34" s="20" customFormat="1" ht="14" x14ac:dyDescent="0.2">
      <c r="B189" s="32"/>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row>
    <row r="190" spans="2:34" s="8" customFormat="1" ht="14" x14ac:dyDescent="0.2">
      <c r="B190" s="21" t="str">
        <f>E125</f>
        <v>Commodity 10</v>
      </c>
      <c r="E190" s="182"/>
      <c r="F190" s="220"/>
      <c r="G190" s="183"/>
      <c r="H190" s="183"/>
      <c r="I190" s="183"/>
      <c r="J190" s="183"/>
      <c r="K190" s="183"/>
      <c r="L190" s="183"/>
      <c r="M190" s="183"/>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row>
    <row r="191" spans="2:34" s="8" customFormat="1" ht="14" x14ac:dyDescent="0.2">
      <c r="B191" s="14" t="s">
        <v>366</v>
      </c>
      <c r="D191" s="8" t="str">
        <f>D186</f>
        <v>R$/Ton-km</v>
      </c>
      <c r="E191" s="181">
        <v>1</v>
      </c>
      <c r="F191" s="183"/>
      <c r="G191" s="183"/>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row>
    <row r="192" spans="2:34" s="8" customFormat="1" ht="14" x14ac:dyDescent="0.2">
      <c r="B192" s="14" t="s">
        <v>234</v>
      </c>
      <c r="D192" s="15" t="s">
        <v>15</v>
      </c>
      <c r="E192" s="188">
        <f>F192/100</f>
        <v>0.99</v>
      </c>
      <c r="F192" s="87">
        <v>99</v>
      </c>
    </row>
    <row r="193" spans="1:34" s="8" customFormat="1" ht="14" x14ac:dyDescent="0.2">
      <c r="B193" s="14" t="s">
        <v>402</v>
      </c>
      <c r="D193" s="8" t="s">
        <v>15</v>
      </c>
      <c r="E193" s="81"/>
      <c r="F193" s="111"/>
      <c r="G193" s="111"/>
      <c r="H193" s="111"/>
      <c r="I193" s="111"/>
      <c r="J193" s="111"/>
      <c r="K193" s="111"/>
      <c r="L193" s="111"/>
      <c r="M193" s="111"/>
      <c r="N193" s="111"/>
      <c r="O193" s="111"/>
      <c r="P193" s="111"/>
      <c r="Q193" s="111"/>
      <c r="R193" s="111"/>
      <c r="S193" s="111"/>
      <c r="T193" s="111"/>
      <c r="U193" s="111"/>
      <c r="V193" s="111"/>
      <c r="W193" s="111"/>
      <c r="X193" s="111"/>
      <c r="Y193" s="111"/>
      <c r="Z193" s="111"/>
      <c r="AA193" s="111"/>
      <c r="AB193" s="111"/>
      <c r="AC193" s="111"/>
      <c r="AD193" s="111"/>
      <c r="AE193" s="111"/>
      <c r="AF193" s="111"/>
      <c r="AG193" s="111"/>
      <c r="AH193" s="111"/>
    </row>
    <row r="194" spans="1:34" s="20" customFormat="1" ht="14" x14ac:dyDescent="0.2">
      <c r="B194" s="32"/>
      <c r="E194" s="81"/>
      <c r="F194" s="81"/>
      <c r="G194" s="81"/>
      <c r="H194" s="81"/>
      <c r="I194" s="81"/>
      <c r="J194" s="81"/>
      <c r="K194" s="81"/>
      <c r="L194" s="81"/>
      <c r="M194" s="81"/>
      <c r="N194" s="81"/>
      <c r="O194" s="81"/>
      <c r="P194" s="81"/>
      <c r="Q194" s="81"/>
      <c r="R194" s="81"/>
      <c r="S194" s="81"/>
      <c r="T194" s="81"/>
      <c r="U194" s="81"/>
      <c r="V194" s="81"/>
      <c r="W194" s="81"/>
      <c r="X194" s="81"/>
      <c r="Y194" s="81"/>
      <c r="Z194" s="81"/>
      <c r="AA194" s="81"/>
      <c r="AB194" s="81"/>
      <c r="AC194" s="81"/>
      <c r="AD194" s="81"/>
      <c r="AE194" s="81"/>
      <c r="AF194" s="81"/>
      <c r="AG194" s="81"/>
      <c r="AH194" s="81"/>
    </row>
    <row r="195" spans="1:34" s="8" customFormat="1" ht="14" outlineLevel="1" x14ac:dyDescent="0.2">
      <c r="B195" s="14" t="str">
        <f>B145&amp; " -tariff in forecast period"</f>
        <v>Commodity 1 -tariff in forecast period</v>
      </c>
      <c r="D195" s="15" t="str">
        <f>D146</f>
        <v>R$/Ton-km</v>
      </c>
      <c r="E195" s="180"/>
      <c r="F195" s="222">
        <f>Calculations!F211</f>
        <v>1.0105</v>
      </c>
      <c r="G195" s="222">
        <f>Calculations!G211</f>
        <v>1.02111025</v>
      </c>
      <c r="H195" s="222">
        <f>Calculations!H211</f>
        <v>1.031831907625</v>
      </c>
      <c r="I195" s="222">
        <f>Calculations!I211</f>
        <v>1.0426661426550625</v>
      </c>
      <c r="J195" s="222">
        <f>Calculations!J211</f>
        <v>1.0536141371529406</v>
      </c>
      <c r="K195" s="222">
        <f>Calculations!K211</f>
        <v>1.0646770855930465</v>
      </c>
      <c r="L195" s="222">
        <f>Calculations!L211</f>
        <v>1.0758561949917735</v>
      </c>
      <c r="M195" s="222">
        <f>Calculations!M211</f>
        <v>1.0871526850391871</v>
      </c>
      <c r="N195" s="222">
        <f>Calculations!N211</f>
        <v>1.0985677882320986</v>
      </c>
      <c r="O195" s="222">
        <f>Calculations!O211</f>
        <v>1.1101027500085356</v>
      </c>
      <c r="P195" s="222">
        <f>Calculations!P211</f>
        <v>1.1217588288836253</v>
      </c>
      <c r="Q195" s="222">
        <f>Calculations!Q211</f>
        <v>1.1335372965869033</v>
      </c>
      <c r="R195" s="222">
        <f>Calculations!R211</f>
        <v>1.1454394382010658</v>
      </c>
      <c r="S195" s="222">
        <f>Calculations!S211</f>
        <v>1.157466552302177</v>
      </c>
      <c r="T195" s="222">
        <f>Calculations!T211</f>
        <v>1.1696199511013499</v>
      </c>
      <c r="U195" s="222">
        <f>Calculations!U211</f>
        <v>1.1819009605879141</v>
      </c>
      <c r="V195" s="222">
        <f>Calculations!V211</f>
        <v>1.1943109206740872</v>
      </c>
      <c r="W195" s="222">
        <f>Calculations!W211</f>
        <v>1.206851185341165</v>
      </c>
      <c r="X195" s="222">
        <f>Calculations!X211</f>
        <v>1.2195231227872472</v>
      </c>
      <c r="Y195" s="222">
        <f>Calculations!Y211</f>
        <v>1.2323281155765131</v>
      </c>
      <c r="Z195" s="222">
        <f>Calculations!Z211</f>
        <v>1.2452675607900665</v>
      </c>
      <c r="AA195" s="222">
        <f>Calculations!AA211</f>
        <v>1.2583428701783621</v>
      </c>
      <c r="AB195" s="222">
        <f>Calculations!AB211</f>
        <v>1.2715554703152347</v>
      </c>
      <c r="AC195" s="222">
        <f>Calculations!AC211</f>
        <v>1.2849068027535446</v>
      </c>
      <c r="AD195" s="222">
        <f>Calculations!AD211</f>
        <v>1.2983983241824568</v>
      </c>
      <c r="AE195" s="222">
        <f>Calculations!AE211</f>
        <v>1.3120315065863726</v>
      </c>
      <c r="AF195" s="222">
        <f>Calculations!AF211</f>
        <v>1.3258078374055293</v>
      </c>
      <c r="AG195" s="222">
        <f>Calculations!AG211</f>
        <v>1.3397288196982873</v>
      </c>
      <c r="AH195" s="222">
        <f>Calculations!AH211</f>
        <v>1.3537959723051192</v>
      </c>
    </row>
    <row r="196" spans="1:34" s="8" customFormat="1" ht="14" outlineLevel="1" x14ac:dyDescent="0.2">
      <c r="B196" s="14" t="str">
        <f>B150&amp; " -tariff in forecast period"</f>
        <v>Commodity 2 -tariff in forecast period</v>
      </c>
      <c r="D196" s="15" t="str">
        <f t="shared" ref="D196:D204" si="11">D195</f>
        <v>R$/Ton-km</v>
      </c>
      <c r="E196" s="180"/>
      <c r="F196" s="222">
        <f>Calculations!F213</f>
        <v>1.0266999999999999</v>
      </c>
      <c r="G196" s="222">
        <f>Calculations!G213</f>
        <v>1.0541128899999999</v>
      </c>
      <c r="H196" s="222">
        <f>Calculations!H213</f>
        <v>1.0822577041629997</v>
      </c>
      <c r="I196" s="222">
        <f>Calculations!I213</f>
        <v>1.1111539848641518</v>
      </c>
      <c r="J196" s="222">
        <f>Calculations!J213</f>
        <v>1.1408217962600247</v>
      </c>
      <c r="K196" s="222">
        <f>Calculations!K213</f>
        <v>1.1712817382201672</v>
      </c>
      <c r="L196" s="222">
        <f>Calculations!L213</f>
        <v>1.2025549606306456</v>
      </c>
      <c r="M196" s="222">
        <f>Calculations!M213</f>
        <v>1.2346631780794837</v>
      </c>
      <c r="N196" s="222">
        <f>Calculations!N213</f>
        <v>1.2676286849342058</v>
      </c>
      <c r="O196" s="222">
        <f>Calculations!O213</f>
        <v>1.3014743708219489</v>
      </c>
      <c r="P196" s="222">
        <f>Calculations!P213</f>
        <v>1.3362237365228948</v>
      </c>
      <c r="Q196" s="222">
        <f>Calculations!Q213</f>
        <v>1.3719009102880562</v>
      </c>
      <c r="R196" s="222">
        <f>Calculations!R213</f>
        <v>1.4085306645927471</v>
      </c>
      <c r="S196" s="222">
        <f>Calculations!S213</f>
        <v>1.4461384333373735</v>
      </c>
      <c r="T196" s="222">
        <f>Calculations!T213</f>
        <v>1.4847503295074813</v>
      </c>
      <c r="U196" s="222">
        <f>Calculations!U213</f>
        <v>1.5243931633053309</v>
      </c>
      <c r="V196" s="222">
        <f>Calculations!V213</f>
        <v>1.5650944607655832</v>
      </c>
      <c r="W196" s="222">
        <f>Calculations!W213</f>
        <v>1.6068824828680242</v>
      </c>
      <c r="X196" s="222">
        <f>Calculations!X213</f>
        <v>1.6497862451606002</v>
      </c>
      <c r="Y196" s="222">
        <f>Calculations!Y213</f>
        <v>1.6938355379063881</v>
      </c>
      <c r="Z196" s="222">
        <f>Calculations!Z213</f>
        <v>1.7390609467684885</v>
      </c>
      <c r="AA196" s="222">
        <f>Calculations!AA213</f>
        <v>1.7854938740472071</v>
      </c>
      <c r="AB196" s="222">
        <f>Calculations!AB213</f>
        <v>1.8331665604842673</v>
      </c>
      <c r="AC196" s="222">
        <f>Calculations!AC213</f>
        <v>1.8821121076491971</v>
      </c>
      <c r="AD196" s="222">
        <f>Calculations!AD213</f>
        <v>1.9323645009234305</v>
      </c>
      <c r="AE196" s="222">
        <f>Calculations!AE213</f>
        <v>1.9839586330980861</v>
      </c>
      <c r="AF196" s="222">
        <f>Calculations!AF213</f>
        <v>2.0369303286018048</v>
      </c>
      <c r="AG196" s="222">
        <f>Calculations!AG213</f>
        <v>2.0913163683754727</v>
      </c>
      <c r="AH196" s="222">
        <f>Calculations!AH213</f>
        <v>2.1471545154110978</v>
      </c>
    </row>
    <row r="197" spans="1:34" s="8" customFormat="1" ht="14" outlineLevel="1" x14ac:dyDescent="0.2">
      <c r="B197" s="14" t="str">
        <f>B155&amp; " -tariff in forecast period"</f>
        <v>Commodity 3 -tariff in forecast period</v>
      </c>
      <c r="D197" s="15" t="str">
        <f t="shared" si="11"/>
        <v>R$/Ton-km</v>
      </c>
      <c r="E197" s="180"/>
      <c r="F197" s="222">
        <f>Calculations!F215</f>
        <v>1.03</v>
      </c>
      <c r="G197" s="222">
        <f>Calculations!G215</f>
        <v>1.0609</v>
      </c>
      <c r="H197" s="222">
        <f>Calculations!H215</f>
        <v>1.092727</v>
      </c>
      <c r="I197" s="222">
        <f>Calculations!I215</f>
        <v>1.1255088100000001</v>
      </c>
      <c r="J197" s="222">
        <f>Calculations!J215</f>
        <v>1.1592740743000001</v>
      </c>
      <c r="K197" s="222">
        <f>Calculations!K215</f>
        <v>1.1940522965290001</v>
      </c>
      <c r="L197" s="222">
        <f>Calculations!L215</f>
        <v>1.2298738654248702</v>
      </c>
      <c r="M197" s="222">
        <f>Calculations!M215</f>
        <v>1.2667700813876164</v>
      </c>
      <c r="N197" s="222">
        <f>Calculations!N215</f>
        <v>1.3047731838292449</v>
      </c>
      <c r="O197" s="222">
        <f>Calculations!O215</f>
        <v>1.3439163793441222</v>
      </c>
      <c r="P197" s="222">
        <f>Calculations!P215</f>
        <v>1.3842338707244459</v>
      </c>
      <c r="Q197" s="222">
        <f>Calculations!Q215</f>
        <v>1.4257608868461793</v>
      </c>
      <c r="R197" s="222">
        <f>Calculations!R215</f>
        <v>1.4685337134515648</v>
      </c>
      <c r="S197" s="222">
        <f>Calculations!S215</f>
        <v>1.5125897248551119</v>
      </c>
      <c r="T197" s="222">
        <f>Calculations!T215</f>
        <v>1.5579674166007653</v>
      </c>
      <c r="U197" s="222">
        <f>Calculations!U215</f>
        <v>1.6047064390987884</v>
      </c>
      <c r="V197" s="222">
        <f>Calculations!V215</f>
        <v>1.652847632271752</v>
      </c>
      <c r="W197" s="222">
        <f>Calculations!W215</f>
        <v>1.7024330612399046</v>
      </c>
      <c r="X197" s="222">
        <f>Calculations!X215</f>
        <v>1.7535060530771018</v>
      </c>
      <c r="Y197" s="222">
        <f>Calculations!Y215</f>
        <v>1.806111234669415</v>
      </c>
      <c r="Z197" s="222">
        <f>Calculations!Z215</f>
        <v>1.8602945717094976</v>
      </c>
      <c r="AA197" s="222">
        <f>Calculations!AA215</f>
        <v>1.9161034088607827</v>
      </c>
      <c r="AB197" s="222">
        <f>Calculations!AB215</f>
        <v>1.9735865111266062</v>
      </c>
      <c r="AC197" s="222">
        <f>Calculations!AC215</f>
        <v>2.0327941064604045</v>
      </c>
      <c r="AD197" s="222">
        <f>Calculations!AD215</f>
        <v>2.0937779296542165</v>
      </c>
      <c r="AE197" s="222">
        <f>Calculations!AE215</f>
        <v>2.1565912675438432</v>
      </c>
      <c r="AF197" s="222">
        <f>Calculations!AF215</f>
        <v>2.2212890055701586</v>
      </c>
      <c r="AG197" s="222">
        <f>Calculations!AG215</f>
        <v>2.2879276757372633</v>
      </c>
      <c r="AH197" s="222">
        <f>Calculations!AH215</f>
        <v>2.3565655060093813</v>
      </c>
    </row>
    <row r="198" spans="1:34" s="8" customFormat="1" ht="14" outlineLevel="1" x14ac:dyDescent="0.2">
      <c r="B198" s="14" t="str">
        <f>B160&amp; " -tariff in forecast period"</f>
        <v>Commodity 4 -tariff in forecast period</v>
      </c>
      <c r="D198" s="15" t="str">
        <f t="shared" si="11"/>
        <v>R$/Ton-km</v>
      </c>
      <c r="E198" s="180"/>
      <c r="F198" s="222">
        <f>Calculations!F217</f>
        <v>1.03</v>
      </c>
      <c r="G198" s="222">
        <f>Calculations!G217</f>
        <v>1.0609</v>
      </c>
      <c r="H198" s="222">
        <f>Calculations!H217</f>
        <v>1.092727</v>
      </c>
      <c r="I198" s="222">
        <f>Calculations!I217</f>
        <v>1.1255088100000001</v>
      </c>
      <c r="J198" s="222">
        <f>Calculations!J217</f>
        <v>1.1592740743000001</v>
      </c>
      <c r="K198" s="222">
        <f>Calculations!K217</f>
        <v>1.1940522965290001</v>
      </c>
      <c r="L198" s="222">
        <f>Calculations!L217</f>
        <v>1.2298738654248702</v>
      </c>
      <c r="M198" s="222">
        <f>Calculations!M217</f>
        <v>1.2667700813876164</v>
      </c>
      <c r="N198" s="222">
        <f>Calculations!N217</f>
        <v>1.3047731838292449</v>
      </c>
      <c r="O198" s="222">
        <f>Calculations!O217</f>
        <v>1.3439163793441222</v>
      </c>
      <c r="P198" s="222">
        <f>Calculations!P217</f>
        <v>1.3842338707244459</v>
      </c>
      <c r="Q198" s="222">
        <f>Calculations!Q217</f>
        <v>1.4257608868461793</v>
      </c>
      <c r="R198" s="222">
        <f>Calculations!R217</f>
        <v>1.4685337134515648</v>
      </c>
      <c r="S198" s="222">
        <f>Calculations!S217</f>
        <v>1.5125897248551119</v>
      </c>
      <c r="T198" s="222">
        <f>Calculations!T217</f>
        <v>1.5579674166007653</v>
      </c>
      <c r="U198" s="222">
        <f>Calculations!U217</f>
        <v>1.6047064390987884</v>
      </c>
      <c r="V198" s="222">
        <f>Calculations!V217</f>
        <v>1.652847632271752</v>
      </c>
      <c r="W198" s="222">
        <f>Calculations!W217</f>
        <v>1.7024330612399046</v>
      </c>
      <c r="X198" s="222">
        <f>Calculations!X217</f>
        <v>1.7535060530771018</v>
      </c>
      <c r="Y198" s="222">
        <f>Calculations!Y217</f>
        <v>1.806111234669415</v>
      </c>
      <c r="Z198" s="222">
        <f>Calculations!Z217</f>
        <v>1.8602945717094976</v>
      </c>
      <c r="AA198" s="222">
        <f>Calculations!AA217</f>
        <v>1.9161034088607827</v>
      </c>
      <c r="AB198" s="222">
        <f>Calculations!AB217</f>
        <v>1.9735865111266062</v>
      </c>
      <c r="AC198" s="222">
        <f>Calculations!AC217</f>
        <v>2.0327941064604045</v>
      </c>
      <c r="AD198" s="222">
        <f>Calculations!AD217</f>
        <v>2.0937779296542165</v>
      </c>
      <c r="AE198" s="222">
        <f>Calculations!AE217</f>
        <v>2.1565912675438432</v>
      </c>
      <c r="AF198" s="222">
        <f>Calculations!AF217</f>
        <v>2.2212890055701586</v>
      </c>
      <c r="AG198" s="222">
        <f>Calculations!AG217</f>
        <v>2.2879276757372633</v>
      </c>
      <c r="AH198" s="222">
        <f>Calculations!AH217</f>
        <v>2.3565655060093813</v>
      </c>
    </row>
    <row r="199" spans="1:34" s="8" customFormat="1" ht="14" outlineLevel="1" x14ac:dyDescent="0.2">
      <c r="B199" s="14" t="str">
        <f>B165&amp; " -tariff in forecast period"</f>
        <v>Commodity 5 -tariff in forecast period</v>
      </c>
      <c r="D199" s="15" t="str">
        <f t="shared" si="11"/>
        <v>R$/Ton-km</v>
      </c>
      <c r="E199" s="180"/>
      <c r="F199" s="222">
        <f>Calculations!F219</f>
        <v>1.0297000000000001</v>
      </c>
      <c r="G199" s="222">
        <f>Calculations!G219</f>
        <v>1.0602820900000001</v>
      </c>
      <c r="H199" s="222">
        <f>Calculations!H219</f>
        <v>1.0917724680730001</v>
      </c>
      <c r="I199" s="222">
        <f>Calculations!I219</f>
        <v>1.1241981103747682</v>
      </c>
      <c r="J199" s="222">
        <f>Calculations!J219</f>
        <v>1.157586794252899</v>
      </c>
      <c r="K199" s="222">
        <f>Calculations!K219</f>
        <v>1.1919671220422101</v>
      </c>
      <c r="L199" s="222">
        <f>Calculations!L219</f>
        <v>1.2273685455668639</v>
      </c>
      <c r="M199" s="222">
        <f>Calculations!M219</f>
        <v>1.2638213913701999</v>
      </c>
      <c r="N199" s="222">
        <f>Calculations!N219</f>
        <v>1.3013568866938949</v>
      </c>
      <c r="O199" s="222">
        <f>Calculations!O219</f>
        <v>1.3400071862287037</v>
      </c>
      <c r="P199" s="222">
        <f>Calculations!P219</f>
        <v>1.3798053996596964</v>
      </c>
      <c r="Q199" s="222">
        <f>Calculations!Q219</f>
        <v>1.4207856200295894</v>
      </c>
      <c r="R199" s="222">
        <f>Calculations!R219</f>
        <v>1.4629829529444682</v>
      </c>
      <c r="S199" s="222">
        <f>Calculations!S219</f>
        <v>1.506433546646919</v>
      </c>
      <c r="T199" s="222">
        <f>Calculations!T219</f>
        <v>1.5511746229823327</v>
      </c>
      <c r="U199" s="222">
        <f>Calculations!U219</f>
        <v>1.5972445092849081</v>
      </c>
      <c r="V199" s="222">
        <f>Calculations!V219</f>
        <v>1.6446826712106699</v>
      </c>
      <c r="W199" s="222">
        <f>Calculations!W219</f>
        <v>1.6935297465456269</v>
      </c>
      <c r="X199" s="222">
        <f>Calculations!X219</f>
        <v>1.7438275800180321</v>
      </c>
      <c r="Y199" s="222">
        <f>Calculations!Y219</f>
        <v>1.7956192591445677</v>
      </c>
      <c r="Z199" s="222">
        <f>Calculations!Z219</f>
        <v>1.8489491511411613</v>
      </c>
      <c r="AA199" s="222">
        <f>Calculations!AA219</f>
        <v>1.9038629409300538</v>
      </c>
      <c r="AB199" s="222">
        <f>Calculations!AB219</f>
        <v>1.9604076702756765</v>
      </c>
      <c r="AC199" s="222">
        <f>Calculations!AC219</f>
        <v>2.0186317780828644</v>
      </c>
      <c r="AD199" s="222">
        <f>Calculations!AD219</f>
        <v>2.0785851418919257</v>
      </c>
      <c r="AE199" s="222">
        <f>Calculations!AE219</f>
        <v>2.1403191206061161</v>
      </c>
      <c r="AF199" s="222">
        <f>Calculations!AF219</f>
        <v>2.203886598488118</v>
      </c>
      <c r="AG199" s="222">
        <f>Calculations!AG219</f>
        <v>2.269342030463215</v>
      </c>
      <c r="AH199" s="222">
        <f>Calculations!AH219</f>
        <v>2.3367414887679727</v>
      </c>
    </row>
    <row r="200" spans="1:34" s="8" customFormat="1" ht="14" outlineLevel="1" x14ac:dyDescent="0.2">
      <c r="B200" s="14" t="str">
        <f>B170&amp; " -tariff in forecast period"</f>
        <v>Commodity 6 -tariff in forecast period</v>
      </c>
      <c r="D200" s="15" t="str">
        <f t="shared" si="11"/>
        <v>R$/Ton-km</v>
      </c>
      <c r="E200" s="180"/>
      <c r="F200" s="222">
        <f>Calculations!F221</f>
        <v>1.03</v>
      </c>
      <c r="G200" s="222">
        <f>Calculations!G221</f>
        <v>1.0609</v>
      </c>
      <c r="H200" s="222">
        <f>Calculations!H221</f>
        <v>1.092727</v>
      </c>
      <c r="I200" s="222">
        <f>Calculations!I221</f>
        <v>1.1255088100000001</v>
      </c>
      <c r="J200" s="222">
        <f>Calculations!J221</f>
        <v>1.1592740743000001</v>
      </c>
      <c r="K200" s="222">
        <f>Calculations!K221</f>
        <v>1.1940522965290001</v>
      </c>
      <c r="L200" s="222">
        <f>Calculations!L221</f>
        <v>1.2298738654248702</v>
      </c>
      <c r="M200" s="222">
        <f>Calculations!M221</f>
        <v>1.2667700813876164</v>
      </c>
      <c r="N200" s="222">
        <f>Calculations!N221</f>
        <v>1.3047731838292449</v>
      </c>
      <c r="O200" s="222">
        <f>Calculations!O221</f>
        <v>1.3439163793441222</v>
      </c>
      <c r="P200" s="222">
        <f>Calculations!P221</f>
        <v>1.3842338707244459</v>
      </c>
      <c r="Q200" s="222">
        <f>Calculations!Q221</f>
        <v>1.4257608868461793</v>
      </c>
      <c r="R200" s="222">
        <f>Calculations!R221</f>
        <v>1.4685337134515648</v>
      </c>
      <c r="S200" s="222">
        <f>Calculations!S221</f>
        <v>1.5125897248551119</v>
      </c>
      <c r="T200" s="222">
        <f>Calculations!T221</f>
        <v>1.5579674166007653</v>
      </c>
      <c r="U200" s="222">
        <f>Calculations!U221</f>
        <v>1.6047064390987884</v>
      </c>
      <c r="V200" s="222">
        <f>Calculations!V221</f>
        <v>1.652847632271752</v>
      </c>
      <c r="W200" s="222">
        <f>Calculations!W221</f>
        <v>1.7024330612399046</v>
      </c>
      <c r="X200" s="222">
        <f>Calculations!X221</f>
        <v>1.7535060530771018</v>
      </c>
      <c r="Y200" s="222">
        <f>Calculations!Y221</f>
        <v>1.806111234669415</v>
      </c>
      <c r="Z200" s="222">
        <f>Calculations!Z221</f>
        <v>1.8602945717094976</v>
      </c>
      <c r="AA200" s="222">
        <f>Calculations!AA221</f>
        <v>1.9161034088607827</v>
      </c>
      <c r="AB200" s="222">
        <f>Calculations!AB221</f>
        <v>1.9735865111266062</v>
      </c>
      <c r="AC200" s="222">
        <f>Calculations!AC221</f>
        <v>2.0327941064604045</v>
      </c>
      <c r="AD200" s="222">
        <f>Calculations!AD221</f>
        <v>2.0937779296542165</v>
      </c>
      <c r="AE200" s="222">
        <f>Calculations!AE221</f>
        <v>2.1565912675438432</v>
      </c>
      <c r="AF200" s="222">
        <f>Calculations!AF221</f>
        <v>2.2212890055701586</v>
      </c>
      <c r="AG200" s="222">
        <f>Calculations!AG221</f>
        <v>2.2879276757372633</v>
      </c>
      <c r="AH200" s="222">
        <f>Calculations!AH221</f>
        <v>2.3565655060093813</v>
      </c>
    </row>
    <row r="201" spans="1:34" s="8" customFormat="1" ht="14" outlineLevel="1" x14ac:dyDescent="0.2">
      <c r="B201" s="14" t="str">
        <f>B175&amp; " -tariff in forecast period"</f>
        <v>Commodity 7 -tariff in forecast period</v>
      </c>
      <c r="D201" s="15" t="str">
        <f t="shared" si="11"/>
        <v>R$/Ton-km</v>
      </c>
      <c r="E201" s="180"/>
      <c r="F201" s="222">
        <f>Calculations!F223</f>
        <v>1.03</v>
      </c>
      <c r="G201" s="222">
        <f>Calculations!G223</f>
        <v>1.0609</v>
      </c>
      <c r="H201" s="222">
        <f>Calculations!H223</f>
        <v>1.092727</v>
      </c>
      <c r="I201" s="222">
        <f>Calculations!I223</f>
        <v>1.1255088100000001</v>
      </c>
      <c r="J201" s="222">
        <f>Calculations!J223</f>
        <v>1.1592740743000001</v>
      </c>
      <c r="K201" s="222">
        <f>Calculations!K223</f>
        <v>1.1940522965290001</v>
      </c>
      <c r="L201" s="222">
        <f>Calculations!L223</f>
        <v>1.2298738654248702</v>
      </c>
      <c r="M201" s="222">
        <f>Calculations!M223</f>
        <v>1.2667700813876164</v>
      </c>
      <c r="N201" s="222">
        <f>Calculations!N223</f>
        <v>1.3047731838292449</v>
      </c>
      <c r="O201" s="222">
        <f>Calculations!O223</f>
        <v>1.3439163793441222</v>
      </c>
      <c r="P201" s="222">
        <f>Calculations!P223</f>
        <v>1.3842338707244459</v>
      </c>
      <c r="Q201" s="222">
        <f>Calculations!Q223</f>
        <v>1.4257608868461793</v>
      </c>
      <c r="R201" s="222">
        <f>Calculations!R223</f>
        <v>1.4685337134515648</v>
      </c>
      <c r="S201" s="222">
        <f>Calculations!S223</f>
        <v>1.5125897248551119</v>
      </c>
      <c r="T201" s="222">
        <f>Calculations!T223</f>
        <v>1.5579674166007653</v>
      </c>
      <c r="U201" s="222">
        <f>Calculations!U223</f>
        <v>1.6047064390987884</v>
      </c>
      <c r="V201" s="222">
        <f>Calculations!V223</f>
        <v>1.652847632271752</v>
      </c>
      <c r="W201" s="222">
        <f>Calculations!W223</f>
        <v>1.7024330612399046</v>
      </c>
      <c r="X201" s="222">
        <f>Calculations!X223</f>
        <v>1.7535060530771018</v>
      </c>
      <c r="Y201" s="222">
        <f>Calculations!Y223</f>
        <v>1.806111234669415</v>
      </c>
      <c r="Z201" s="222">
        <f>Calculations!Z223</f>
        <v>1.8602945717094976</v>
      </c>
      <c r="AA201" s="222">
        <f>Calculations!AA223</f>
        <v>1.9161034088607827</v>
      </c>
      <c r="AB201" s="222">
        <f>Calculations!AB223</f>
        <v>1.9735865111266062</v>
      </c>
      <c r="AC201" s="222">
        <f>Calculations!AC223</f>
        <v>2.0327941064604045</v>
      </c>
      <c r="AD201" s="222">
        <f>Calculations!AD223</f>
        <v>2.0937779296542165</v>
      </c>
      <c r="AE201" s="222">
        <f>Calculations!AE223</f>
        <v>2.1565912675438432</v>
      </c>
      <c r="AF201" s="222">
        <f>Calculations!AF223</f>
        <v>2.2212890055701586</v>
      </c>
      <c r="AG201" s="222">
        <f>Calculations!AG223</f>
        <v>2.2879276757372633</v>
      </c>
      <c r="AH201" s="222">
        <f>Calculations!AH223</f>
        <v>2.3565655060093813</v>
      </c>
    </row>
    <row r="202" spans="1:34" s="8" customFormat="1" ht="14" outlineLevel="1" x14ac:dyDescent="0.2">
      <c r="B202" s="14" t="str">
        <f>B180&amp; " -tariff in forecast period"</f>
        <v>Commodity 8 -tariff in forecast period</v>
      </c>
      <c r="D202" s="15" t="str">
        <f t="shared" si="11"/>
        <v>R$/Ton-km</v>
      </c>
      <c r="E202" s="180"/>
      <c r="F202" s="222">
        <f>Calculations!F225</f>
        <v>1.03</v>
      </c>
      <c r="G202" s="222">
        <f>Calculations!G225</f>
        <v>1.0609</v>
      </c>
      <c r="H202" s="222">
        <f>Calculations!H225</f>
        <v>1.092727</v>
      </c>
      <c r="I202" s="222">
        <f>Calculations!I225</f>
        <v>1.1255088100000001</v>
      </c>
      <c r="J202" s="222">
        <f>Calculations!J225</f>
        <v>1.1592740743000001</v>
      </c>
      <c r="K202" s="222">
        <f>Calculations!K225</f>
        <v>1.1940522965290001</v>
      </c>
      <c r="L202" s="222">
        <f>Calculations!L225</f>
        <v>1.2298738654248702</v>
      </c>
      <c r="M202" s="222">
        <f>Calculations!M225</f>
        <v>1.2667700813876164</v>
      </c>
      <c r="N202" s="222">
        <f>Calculations!N225</f>
        <v>1.3047731838292449</v>
      </c>
      <c r="O202" s="222">
        <f>Calculations!O225</f>
        <v>1.3439163793441222</v>
      </c>
      <c r="P202" s="222">
        <f>Calculations!P225</f>
        <v>1.3842338707244459</v>
      </c>
      <c r="Q202" s="222">
        <f>Calculations!Q225</f>
        <v>1.4257608868461793</v>
      </c>
      <c r="R202" s="222">
        <f>Calculations!R225</f>
        <v>1.4685337134515648</v>
      </c>
      <c r="S202" s="222">
        <f>Calculations!S225</f>
        <v>1.5125897248551119</v>
      </c>
      <c r="T202" s="222">
        <f>Calculations!T225</f>
        <v>1.5579674166007653</v>
      </c>
      <c r="U202" s="222">
        <f>Calculations!U225</f>
        <v>1.6047064390987884</v>
      </c>
      <c r="V202" s="222">
        <f>Calculations!V225</f>
        <v>1.652847632271752</v>
      </c>
      <c r="W202" s="222">
        <f>Calculations!W225</f>
        <v>1.7024330612399046</v>
      </c>
      <c r="X202" s="222">
        <f>Calculations!X225</f>
        <v>1.7535060530771018</v>
      </c>
      <c r="Y202" s="222">
        <f>Calculations!Y225</f>
        <v>1.806111234669415</v>
      </c>
      <c r="Z202" s="222">
        <f>Calculations!Z225</f>
        <v>1.8602945717094976</v>
      </c>
      <c r="AA202" s="222">
        <f>Calculations!AA225</f>
        <v>1.9161034088607827</v>
      </c>
      <c r="AB202" s="222">
        <f>Calculations!AB225</f>
        <v>1.9735865111266062</v>
      </c>
      <c r="AC202" s="222">
        <f>Calculations!AC225</f>
        <v>2.0327941064604045</v>
      </c>
      <c r="AD202" s="222">
        <f>Calculations!AD225</f>
        <v>2.0937779296542165</v>
      </c>
      <c r="AE202" s="222">
        <f>Calculations!AE225</f>
        <v>2.1565912675438432</v>
      </c>
      <c r="AF202" s="222">
        <f>Calculations!AF225</f>
        <v>2.2212890055701586</v>
      </c>
      <c r="AG202" s="222">
        <f>Calculations!AG225</f>
        <v>2.2879276757372633</v>
      </c>
      <c r="AH202" s="222">
        <f>Calculations!AH225</f>
        <v>2.3565655060093813</v>
      </c>
    </row>
    <row r="203" spans="1:34" s="8" customFormat="1" ht="14" outlineLevel="1" x14ac:dyDescent="0.2">
      <c r="B203" s="14" t="str">
        <f>B185&amp; " -tariff in forecast period"</f>
        <v>Commodity 9 -tariff in forecast period</v>
      </c>
      <c r="D203" s="15" t="str">
        <f t="shared" si="11"/>
        <v>R$/Ton-km</v>
      </c>
      <c r="E203" s="180"/>
      <c r="F203" s="222">
        <f>Calculations!F227</f>
        <v>1.0287999999999999</v>
      </c>
      <c r="G203" s="222">
        <f>Calculations!G227</f>
        <v>1.0584294399999998</v>
      </c>
      <c r="H203" s="222">
        <f>Calculations!H227</f>
        <v>1.0889122078719997</v>
      </c>
      <c r="I203" s="222">
        <f>Calculations!I227</f>
        <v>1.1202728794587133</v>
      </c>
      <c r="J203" s="222">
        <f>Calculations!J227</f>
        <v>1.1525367383871241</v>
      </c>
      <c r="K203" s="222">
        <f>Calculations!K227</f>
        <v>1.1857297964526732</v>
      </c>
      <c r="L203" s="222">
        <f>Calculations!L227</f>
        <v>1.2198788145905102</v>
      </c>
      <c r="M203" s="222">
        <f>Calculations!M227</f>
        <v>1.2550113244507168</v>
      </c>
      <c r="N203" s="222">
        <f>Calculations!N227</f>
        <v>1.2911556505948973</v>
      </c>
      <c r="O203" s="222">
        <f>Calculations!O227</f>
        <v>1.3283409333320304</v>
      </c>
      <c r="P203" s="222">
        <f>Calculations!P227</f>
        <v>1.3665971522119928</v>
      </c>
      <c r="Q203" s="222">
        <f>Calculations!Q227</f>
        <v>1.4059551501956982</v>
      </c>
      <c r="R203" s="222">
        <f>Calculations!R227</f>
        <v>1.4464466585213342</v>
      </c>
      <c r="S203" s="222">
        <f>Calculations!S227</f>
        <v>1.4881043222867485</v>
      </c>
      <c r="T203" s="222">
        <f>Calculations!T227</f>
        <v>1.5309617267686066</v>
      </c>
      <c r="U203" s="222">
        <f>Calculations!U227</f>
        <v>1.5750534244995424</v>
      </c>
      <c r="V203" s="222">
        <f>Calculations!V227</f>
        <v>1.6204149631251292</v>
      </c>
      <c r="W203" s="222">
        <f>Calculations!W227</f>
        <v>1.6670829140631329</v>
      </c>
      <c r="X203" s="222">
        <f>Calculations!X227</f>
        <v>1.715094901988151</v>
      </c>
      <c r="Y203" s="222">
        <f>Calculations!Y227</f>
        <v>1.7644896351654096</v>
      </c>
      <c r="Z203" s="222">
        <f>Calculations!Z227</f>
        <v>1.8153069366581733</v>
      </c>
      <c r="AA203" s="222">
        <f>Calculations!AA227</f>
        <v>1.8675877764339286</v>
      </c>
      <c r="AB203" s="222">
        <f>Calculations!AB227</f>
        <v>1.9213743043952256</v>
      </c>
      <c r="AC203" s="222">
        <f>Calculations!AC227</f>
        <v>1.9767098843618081</v>
      </c>
      <c r="AD203" s="222">
        <f>Calculations!AD227</f>
        <v>2.0336391290314282</v>
      </c>
      <c r="AE203" s="222">
        <f>Calculations!AE227</f>
        <v>2.0922079359475334</v>
      </c>
      <c r="AF203" s="222">
        <f>Calculations!AF227</f>
        <v>2.1524635245028221</v>
      </c>
      <c r="AG203" s="222">
        <f>Calculations!AG227</f>
        <v>2.214454474008503</v>
      </c>
      <c r="AH203" s="222">
        <f>Calculations!AH227</f>
        <v>2.2782307628599479</v>
      </c>
    </row>
    <row r="204" spans="1:34" s="8" customFormat="1" ht="14" outlineLevel="1" x14ac:dyDescent="0.2">
      <c r="B204" s="14" t="str">
        <f>B190&amp; " -tariff in forecast period"</f>
        <v>Commodity 10 -tariff in forecast period</v>
      </c>
      <c r="D204" s="15" t="str">
        <f t="shared" si="11"/>
        <v>R$/Ton-km</v>
      </c>
      <c r="E204" s="180"/>
      <c r="F204" s="222">
        <f>Calculations!F229</f>
        <v>1.0297000000000001</v>
      </c>
      <c r="G204" s="222">
        <f>Calculations!G229</f>
        <v>1.0602820900000001</v>
      </c>
      <c r="H204" s="222">
        <f>Calculations!H229</f>
        <v>1.0917724680730001</v>
      </c>
      <c r="I204" s="222">
        <f>Calculations!I229</f>
        <v>1.1241981103747682</v>
      </c>
      <c r="J204" s="222">
        <f>Calculations!J229</f>
        <v>1.157586794252899</v>
      </c>
      <c r="K204" s="222">
        <f>Calculations!K229</f>
        <v>1.1919671220422101</v>
      </c>
      <c r="L204" s="222">
        <f>Calculations!L229</f>
        <v>1.2273685455668639</v>
      </c>
      <c r="M204" s="222">
        <f>Calculations!M229</f>
        <v>1.2638213913701999</v>
      </c>
      <c r="N204" s="222">
        <f>Calculations!N229</f>
        <v>1.3013568866938949</v>
      </c>
      <c r="O204" s="222">
        <f>Calculations!O229</f>
        <v>1.3400071862287037</v>
      </c>
      <c r="P204" s="222">
        <f>Calculations!P229</f>
        <v>1.3798053996596964</v>
      </c>
      <c r="Q204" s="222">
        <f>Calculations!Q229</f>
        <v>1.4207856200295894</v>
      </c>
      <c r="R204" s="222">
        <f>Calculations!R229</f>
        <v>1.4629829529444682</v>
      </c>
      <c r="S204" s="222">
        <f>Calculations!S229</f>
        <v>1.506433546646919</v>
      </c>
      <c r="T204" s="222">
        <f>Calculations!T229</f>
        <v>1.5511746229823327</v>
      </c>
      <c r="U204" s="222">
        <f>Calculations!U229</f>
        <v>1.5972445092849081</v>
      </c>
      <c r="V204" s="222">
        <f>Calculations!V229</f>
        <v>1.6446826712106699</v>
      </c>
      <c r="W204" s="222">
        <f>Calculations!W229</f>
        <v>1.6935297465456269</v>
      </c>
      <c r="X204" s="222">
        <f>Calculations!X229</f>
        <v>1.7438275800180321</v>
      </c>
      <c r="Y204" s="222">
        <f>Calculations!Y229</f>
        <v>1.7956192591445677</v>
      </c>
      <c r="Z204" s="222">
        <f>Calculations!Z229</f>
        <v>1.8489491511411613</v>
      </c>
      <c r="AA204" s="222">
        <f>Calculations!AA229</f>
        <v>1.9038629409300538</v>
      </c>
      <c r="AB204" s="222">
        <f>Calculations!AB229</f>
        <v>1.9604076702756765</v>
      </c>
      <c r="AC204" s="222">
        <f>Calculations!AC229</f>
        <v>2.0186317780828644</v>
      </c>
      <c r="AD204" s="222">
        <f>Calculations!AD229</f>
        <v>2.0785851418919257</v>
      </c>
      <c r="AE204" s="222">
        <f>Calculations!AE229</f>
        <v>2.1403191206061161</v>
      </c>
      <c r="AF204" s="222">
        <f>Calculations!AF229</f>
        <v>2.203886598488118</v>
      </c>
      <c r="AG204" s="222">
        <f>Calculations!AG229</f>
        <v>2.269342030463215</v>
      </c>
      <c r="AH204" s="222">
        <f>Calculations!AH229</f>
        <v>2.3367414887679727</v>
      </c>
    </row>
    <row r="205" spans="1:34" s="8" customFormat="1" ht="14" x14ac:dyDescent="0.2">
      <c r="A205" s="7" t="s">
        <v>405</v>
      </c>
      <c r="B205" s="14"/>
    </row>
    <row r="206" spans="1:34" s="8" customFormat="1" ht="14" x14ac:dyDescent="0.2">
      <c r="A206" s="7"/>
      <c r="B206" s="14"/>
    </row>
    <row r="207" spans="1:34" s="320" customFormat="1" x14ac:dyDescent="0.2">
      <c r="B207" s="319" t="str">
        <f>"Other operating revenue for " &amp;'Assumptions - General'!$E$24</f>
        <v>Other operating revenue for Ruritania Freight Rail Company</v>
      </c>
    </row>
    <row r="208" spans="1:34" s="18" customFormat="1" x14ac:dyDescent="0.2">
      <c r="B208" s="17"/>
    </row>
    <row r="209" spans="2:65" s="8" customFormat="1" ht="14" x14ac:dyDescent="0.2">
      <c r="B209" s="8" t="s">
        <v>330</v>
      </c>
      <c r="E209" s="168"/>
      <c r="F209" s="87"/>
    </row>
    <row r="210" spans="2:65" s="8" customFormat="1" ht="14" x14ac:dyDescent="0.2">
      <c r="B210" s="30" t="s">
        <v>329</v>
      </c>
      <c r="D210" s="10" t="str">
        <f>'Assumptions - General'!$E$27 &amp;" millions"</f>
        <v>R$ millions</v>
      </c>
      <c r="E210" s="176">
        <v>500</v>
      </c>
      <c r="F210" s="191">
        <v>500</v>
      </c>
      <c r="G210" s="191">
        <v>500</v>
      </c>
      <c r="H210" s="191">
        <v>500</v>
      </c>
      <c r="I210" s="191">
        <v>500</v>
      </c>
      <c r="J210" s="191">
        <v>500</v>
      </c>
      <c r="K210" s="191">
        <v>500</v>
      </c>
      <c r="L210" s="191">
        <v>500</v>
      </c>
      <c r="M210" s="191">
        <v>500</v>
      </c>
      <c r="N210" s="191">
        <v>500</v>
      </c>
      <c r="O210" s="191">
        <v>500</v>
      </c>
      <c r="P210" s="191">
        <v>500</v>
      </c>
      <c r="Q210" s="191">
        <v>500</v>
      </c>
      <c r="R210" s="191">
        <v>500</v>
      </c>
      <c r="S210" s="191">
        <v>500</v>
      </c>
      <c r="T210" s="191">
        <v>500</v>
      </c>
      <c r="U210" s="191">
        <v>500</v>
      </c>
      <c r="V210" s="191">
        <v>500</v>
      </c>
      <c r="W210" s="191">
        <v>500</v>
      </c>
      <c r="X210" s="191">
        <v>500</v>
      </c>
      <c r="Y210" s="191">
        <v>500</v>
      </c>
      <c r="Z210" s="191">
        <v>500</v>
      </c>
      <c r="AA210" s="191">
        <v>500</v>
      </c>
      <c r="AB210" s="191">
        <v>500</v>
      </c>
      <c r="AC210" s="191">
        <v>500</v>
      </c>
      <c r="AD210" s="191">
        <v>500</v>
      </c>
      <c r="AE210" s="191">
        <v>500</v>
      </c>
      <c r="AF210" s="191">
        <v>500</v>
      </c>
      <c r="AG210" s="191">
        <v>500</v>
      </c>
      <c r="AH210" s="191">
        <v>500</v>
      </c>
    </row>
    <row r="211" spans="2:65" s="8" customFormat="1" ht="14" x14ac:dyDescent="0.2">
      <c r="D211" s="10"/>
      <c r="E211" s="121"/>
      <c r="F211" s="121"/>
      <c r="G211" s="121"/>
      <c r="H211" s="121"/>
      <c r="I211" s="121"/>
      <c r="J211" s="121"/>
      <c r="K211" s="121"/>
      <c r="L211" s="121"/>
      <c r="M211" s="121"/>
      <c r="N211" s="121"/>
      <c r="O211" s="121"/>
      <c r="P211" s="121"/>
      <c r="Q211" s="121"/>
      <c r="R211" s="121"/>
      <c r="S211" s="121"/>
      <c r="T211" s="121"/>
      <c r="U211" s="121"/>
      <c r="V211" s="121"/>
      <c r="W211" s="121"/>
      <c r="X211" s="121"/>
      <c r="Y211" s="121"/>
      <c r="Z211" s="121"/>
      <c r="AA211" s="121"/>
      <c r="AB211" s="121"/>
      <c r="AC211" s="121"/>
      <c r="AD211" s="121"/>
      <c r="AE211" s="121"/>
      <c r="AF211" s="121"/>
      <c r="AG211" s="121"/>
      <c r="AH211" s="121"/>
    </row>
    <row r="212" spans="2:65" s="320" customFormat="1" x14ac:dyDescent="0.2">
      <c r="B212" s="319" t="str">
        <f>"Non-operating revenue of " &amp;'Assumptions - General'!$E$24</f>
        <v>Non-operating revenue of Ruritania Freight Rail Company</v>
      </c>
    </row>
    <row r="213" spans="2:65" s="18" customFormat="1" x14ac:dyDescent="0.2"/>
    <row r="214" spans="2:65" s="8" customFormat="1" ht="14" x14ac:dyDescent="0.2">
      <c r="B214" s="16" t="s">
        <v>584</v>
      </c>
      <c r="D214" s="8" t="s">
        <v>32</v>
      </c>
      <c r="E214" s="177">
        <f>IF(F214="Yes",1,2)</f>
        <v>1</v>
      </c>
      <c r="F214" s="87" t="s">
        <v>33</v>
      </c>
    </row>
    <row r="215" spans="2:65" s="8" customFormat="1" ht="14" x14ac:dyDescent="0.2">
      <c r="B215" s="16"/>
      <c r="E215" s="182"/>
    </row>
    <row r="216" spans="2:65" s="20" customFormat="1" ht="14" x14ac:dyDescent="0.2">
      <c r="B216" s="19" t="s">
        <v>585</v>
      </c>
      <c r="D216" s="20" t="s">
        <v>2</v>
      </c>
      <c r="E216" s="188" t="s">
        <v>590</v>
      </c>
    </row>
    <row r="217" spans="2:65" s="8" customFormat="1" ht="14" x14ac:dyDescent="0.2">
      <c r="B217" s="14" t="s">
        <v>586</v>
      </c>
      <c r="D217" s="10" t="str">
        <f>'Assumptions - General'!$E$27 &amp;" millions"</f>
        <v>R$ millions</v>
      </c>
      <c r="E217" s="176">
        <v>100</v>
      </c>
    </row>
    <row r="218" spans="2:65" s="8" customFormat="1" ht="14" x14ac:dyDescent="0.2">
      <c r="B218" s="215" t="s">
        <v>587</v>
      </c>
      <c r="D218" s="8" t="s">
        <v>256</v>
      </c>
      <c r="E218" s="176">
        <v>100</v>
      </c>
      <c r="F218" s="458">
        <f t="shared" ref="F218:AH218" si="12">E218*(1+F219)</f>
        <v>100</v>
      </c>
      <c r="G218" s="458">
        <f t="shared" si="12"/>
        <v>100</v>
      </c>
      <c r="H218" s="458">
        <f t="shared" si="12"/>
        <v>100</v>
      </c>
      <c r="I218" s="458">
        <f t="shared" si="12"/>
        <v>100</v>
      </c>
      <c r="J218" s="458">
        <f t="shared" si="12"/>
        <v>100</v>
      </c>
      <c r="K218" s="458">
        <f t="shared" si="12"/>
        <v>100</v>
      </c>
      <c r="L218" s="458">
        <f t="shared" si="12"/>
        <v>100</v>
      </c>
      <c r="M218" s="458">
        <f t="shared" si="12"/>
        <v>100</v>
      </c>
      <c r="N218" s="458">
        <f t="shared" si="12"/>
        <v>100</v>
      </c>
      <c r="O218" s="458">
        <f t="shared" si="12"/>
        <v>100</v>
      </c>
      <c r="P218" s="458">
        <f t="shared" si="12"/>
        <v>100</v>
      </c>
      <c r="Q218" s="458">
        <f t="shared" si="12"/>
        <v>100</v>
      </c>
      <c r="R218" s="458">
        <f t="shared" si="12"/>
        <v>100</v>
      </c>
      <c r="S218" s="458">
        <f t="shared" si="12"/>
        <v>100</v>
      </c>
      <c r="T218" s="458">
        <f t="shared" si="12"/>
        <v>100</v>
      </c>
      <c r="U218" s="458">
        <f t="shared" si="12"/>
        <v>100</v>
      </c>
      <c r="V218" s="458">
        <f t="shared" si="12"/>
        <v>100</v>
      </c>
      <c r="W218" s="458">
        <f t="shared" si="12"/>
        <v>100</v>
      </c>
      <c r="X218" s="458">
        <f t="shared" si="12"/>
        <v>100</v>
      </c>
      <c r="Y218" s="458">
        <f t="shared" si="12"/>
        <v>100</v>
      </c>
      <c r="Z218" s="458">
        <f t="shared" si="12"/>
        <v>100</v>
      </c>
      <c r="AA218" s="458">
        <f t="shared" si="12"/>
        <v>100</v>
      </c>
      <c r="AB218" s="458">
        <f t="shared" si="12"/>
        <v>100</v>
      </c>
      <c r="AC218" s="458">
        <f t="shared" si="12"/>
        <v>100</v>
      </c>
      <c r="AD218" s="458">
        <f t="shared" si="12"/>
        <v>100</v>
      </c>
      <c r="AE218" s="458">
        <f t="shared" si="12"/>
        <v>100</v>
      </c>
      <c r="AF218" s="458">
        <f t="shared" si="12"/>
        <v>100</v>
      </c>
      <c r="AG218" s="458">
        <f t="shared" si="12"/>
        <v>100</v>
      </c>
      <c r="AH218" s="458">
        <f t="shared" si="12"/>
        <v>100</v>
      </c>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20"/>
      <c r="BG218" s="20"/>
      <c r="BH218" s="20"/>
      <c r="BI218" s="20"/>
      <c r="BJ218" s="20"/>
      <c r="BK218" s="20"/>
      <c r="BL218" s="20"/>
      <c r="BM218" s="20"/>
    </row>
    <row r="219" spans="2:65" s="8" customFormat="1" ht="14" x14ac:dyDescent="0.2">
      <c r="B219" s="211" t="s">
        <v>263</v>
      </c>
      <c r="D219" s="8" t="s">
        <v>15</v>
      </c>
      <c r="E219" s="192"/>
      <c r="F219" s="189">
        <v>0</v>
      </c>
      <c r="G219" s="189">
        <v>0</v>
      </c>
      <c r="H219" s="189">
        <v>0</v>
      </c>
      <c r="I219" s="189">
        <v>0</v>
      </c>
      <c r="J219" s="189">
        <v>0</v>
      </c>
      <c r="K219" s="189">
        <v>0</v>
      </c>
      <c r="L219" s="189">
        <v>0</v>
      </c>
      <c r="M219" s="189">
        <v>0</v>
      </c>
      <c r="N219" s="189">
        <v>0</v>
      </c>
      <c r="O219" s="189">
        <v>0</v>
      </c>
      <c r="P219" s="189">
        <v>0</v>
      </c>
      <c r="Q219" s="189">
        <v>0</v>
      </c>
      <c r="R219" s="189">
        <v>0</v>
      </c>
      <c r="S219" s="189">
        <v>0</v>
      </c>
      <c r="T219" s="189">
        <v>0</v>
      </c>
      <c r="U219" s="189">
        <v>0</v>
      </c>
      <c r="V219" s="189">
        <v>0</v>
      </c>
      <c r="W219" s="189">
        <v>0</v>
      </c>
      <c r="X219" s="189">
        <v>0</v>
      </c>
      <c r="Y219" s="189">
        <v>0</v>
      </c>
      <c r="Z219" s="189">
        <v>0</v>
      </c>
      <c r="AA219" s="189">
        <v>0</v>
      </c>
      <c r="AB219" s="189">
        <v>0</v>
      </c>
      <c r="AC219" s="189">
        <v>0</v>
      </c>
      <c r="AD219" s="189">
        <v>0</v>
      </c>
      <c r="AE219" s="189">
        <v>0</v>
      </c>
      <c r="AF219" s="189">
        <v>0</v>
      </c>
      <c r="AG219" s="189">
        <v>0</v>
      </c>
      <c r="AH219" s="189">
        <v>0</v>
      </c>
      <c r="AI219" s="20"/>
      <c r="AJ219" s="20"/>
      <c r="AK219" s="20"/>
      <c r="AL219" s="20"/>
      <c r="AM219" s="20"/>
      <c r="AN219" s="20"/>
      <c r="AO219" s="20"/>
      <c r="AP219" s="20"/>
      <c r="AQ219" s="20"/>
      <c r="AR219" s="20"/>
      <c r="AS219" s="20"/>
      <c r="AT219" s="20"/>
      <c r="AU219" s="20"/>
      <c r="AV219" s="20"/>
      <c r="AW219" s="20"/>
      <c r="AX219" s="20"/>
      <c r="AY219" s="20"/>
      <c r="AZ219" s="20"/>
      <c r="BA219" s="20"/>
      <c r="BB219" s="20"/>
      <c r="BC219" s="20"/>
      <c r="BD219" s="20"/>
      <c r="BE219" s="20"/>
      <c r="BF219" s="20"/>
      <c r="BG219" s="20"/>
      <c r="BH219" s="20"/>
      <c r="BI219" s="20"/>
      <c r="BJ219" s="20"/>
      <c r="BK219" s="20"/>
      <c r="BL219" s="20"/>
      <c r="BM219" s="20"/>
    </row>
    <row r="220" spans="2:65" s="8" customFormat="1" ht="14" x14ac:dyDescent="0.2">
      <c r="B220" s="215" t="s">
        <v>588</v>
      </c>
      <c r="D220" s="15"/>
      <c r="E220" s="180"/>
      <c r="F220" s="220"/>
      <c r="G220" s="183"/>
      <c r="H220" s="183"/>
      <c r="I220" s="183"/>
      <c r="J220" s="183"/>
      <c r="K220" s="183"/>
      <c r="L220" s="183"/>
      <c r="M220" s="183"/>
      <c r="N220" s="183"/>
      <c r="O220" s="183"/>
      <c r="P220" s="183"/>
      <c r="Q220" s="183"/>
      <c r="R220" s="183"/>
      <c r="S220" s="183"/>
      <c r="T220" s="183"/>
      <c r="U220" s="183"/>
      <c r="V220" s="183"/>
      <c r="W220" s="183"/>
      <c r="X220" s="183"/>
      <c r="Y220" s="183"/>
      <c r="Z220" s="183"/>
      <c r="AA220" s="183"/>
      <c r="AB220" s="183"/>
      <c r="AC220" s="183"/>
      <c r="AD220" s="183"/>
      <c r="AE220" s="183"/>
      <c r="AF220" s="183"/>
      <c r="AG220" s="183"/>
      <c r="AH220" s="183"/>
      <c r="AI220" s="20"/>
      <c r="AJ220" s="20"/>
      <c r="AK220" s="20"/>
      <c r="AL220" s="20"/>
      <c r="AM220" s="20"/>
      <c r="AN220" s="20"/>
      <c r="AO220" s="20"/>
      <c r="AP220" s="20"/>
      <c r="AQ220" s="20"/>
      <c r="AR220" s="20"/>
      <c r="AS220" s="20"/>
      <c r="AT220" s="20"/>
      <c r="AU220" s="20"/>
      <c r="AV220" s="20"/>
      <c r="AW220" s="20"/>
      <c r="AX220" s="20"/>
      <c r="AY220" s="20"/>
      <c r="AZ220" s="20"/>
      <c r="BA220" s="20"/>
      <c r="BB220" s="20"/>
      <c r="BC220" s="20"/>
      <c r="BD220" s="20"/>
      <c r="BE220" s="20"/>
      <c r="BF220" s="20"/>
      <c r="BG220" s="20"/>
      <c r="BH220" s="20"/>
      <c r="BI220" s="20"/>
      <c r="BJ220" s="20"/>
      <c r="BK220" s="20"/>
      <c r="BL220" s="20"/>
      <c r="BM220" s="20"/>
    </row>
    <row r="221" spans="2:65" s="8" customFormat="1" ht="14" x14ac:dyDescent="0.2">
      <c r="B221" s="211" t="s">
        <v>38</v>
      </c>
      <c r="D221" s="8" t="s">
        <v>15</v>
      </c>
      <c r="E221" s="188">
        <f>IF(E214=2,0,F221/100)</f>
        <v>1</v>
      </c>
      <c r="F221" s="220">
        <v>100</v>
      </c>
      <c r="G221" s="183"/>
      <c r="H221" s="183"/>
      <c r="I221" s="183"/>
      <c r="J221" s="183"/>
      <c r="K221" s="183"/>
      <c r="L221" s="183"/>
      <c r="M221" s="183"/>
      <c r="N221" s="183"/>
      <c r="O221" s="183"/>
      <c r="P221" s="183"/>
      <c r="Q221" s="183"/>
      <c r="R221" s="183"/>
      <c r="S221" s="183"/>
      <c r="T221" s="183"/>
      <c r="U221" s="183"/>
      <c r="V221" s="183"/>
      <c r="W221" s="183"/>
      <c r="X221" s="183"/>
      <c r="Y221" s="183"/>
      <c r="Z221" s="183"/>
      <c r="AA221" s="183"/>
      <c r="AB221" s="183"/>
      <c r="AC221" s="183"/>
      <c r="AD221" s="183"/>
      <c r="AE221" s="183"/>
      <c r="AF221" s="183"/>
      <c r="AG221" s="183"/>
      <c r="AH221" s="183"/>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20"/>
      <c r="BG221" s="20"/>
      <c r="BH221" s="20"/>
      <c r="BI221" s="20"/>
      <c r="BJ221" s="20"/>
      <c r="BK221" s="20"/>
      <c r="BL221" s="20"/>
      <c r="BM221" s="20"/>
    </row>
    <row r="222" spans="2:65" s="20" customFormat="1" ht="14" x14ac:dyDescent="0.2">
      <c r="B222" s="216" t="s">
        <v>589</v>
      </c>
      <c r="D222" s="122" t="str">
        <f>'Assumptions - General'!$E$27 &amp;" per unit"</f>
        <v>R$ per unit</v>
      </c>
      <c r="E222" s="192">
        <f>E217*1000000/E218</f>
        <v>1000000</v>
      </c>
      <c r="F222" s="192">
        <f>E222*(1+F223)*IF($E$214=1,($E221*'Assumptions - General'!F$37+1),1)</f>
        <v>1030000</v>
      </c>
      <c r="G222" s="192">
        <f>F222*(1+G223)*IF($E$214=1,($E221*'Assumptions - General'!G$37+1),1)</f>
        <v>1060900</v>
      </c>
      <c r="H222" s="192">
        <f>G222*(1+H223)*IF($E$214=1,($E221*'Assumptions - General'!H$37+1),1)</f>
        <v>1092727</v>
      </c>
      <c r="I222" s="192">
        <f>H222*(1+I223)*IF($E$214=1,($E221*'Assumptions - General'!I$37+1),1)</f>
        <v>1125508.81</v>
      </c>
      <c r="J222" s="192">
        <f>I222*(1+J223)*IF($E$214=1,($E221*'Assumptions - General'!J$37+1),1)</f>
        <v>1159274.0743</v>
      </c>
      <c r="K222" s="192">
        <f>J222*(1+K223)*IF($E$214=1,($E221*'Assumptions - General'!K$37+1),1)</f>
        <v>1194052.2965289999</v>
      </c>
      <c r="L222" s="192">
        <f>K222*(1+L223)*IF($E$214=1,($E221*'Assumptions - General'!L$37+1),1)</f>
        <v>1229873.86542487</v>
      </c>
      <c r="M222" s="192">
        <f>L222*(1+M223)*IF($E$214=1,($E221*'Assumptions - General'!M$37+1),1)</f>
        <v>1266770.0813876162</v>
      </c>
      <c r="N222" s="192">
        <f>M222*(1+N223)*IF($E$214=1,($E221*'Assumptions - General'!N$37+1),1)</f>
        <v>1304773.1838292447</v>
      </c>
      <c r="O222" s="192">
        <f>N222*(1+O223)*IF($E$214=1,($E221*'Assumptions - General'!O$37+1),1)</f>
        <v>1343916.379344122</v>
      </c>
      <c r="P222" s="192">
        <f>O222*(1+P223)*IF($E$214=1,($E221*'Assumptions - General'!P$37+1),1)</f>
        <v>1384233.8707244457</v>
      </c>
      <c r="Q222" s="192">
        <f>P222*(1+Q223)*IF($E$214=1,($E221*'Assumptions - General'!Q$37+1),1)</f>
        <v>1425760.8868461791</v>
      </c>
      <c r="R222" s="192">
        <f>Q222*(1+R223)*IF($E$214=1,($E221*'Assumptions - General'!R$37+1),1)</f>
        <v>1468533.7134515645</v>
      </c>
      <c r="S222" s="192">
        <f>R222*(1+S223)*IF($E$214=1,($E221*'Assumptions - General'!S$37+1),1)</f>
        <v>1512589.7248551114</v>
      </c>
      <c r="T222" s="192">
        <f>S222*(1+T223)*IF($E$214=1,($E221*'Assumptions - General'!T$37+1),1)</f>
        <v>1557967.4166007647</v>
      </c>
      <c r="U222" s="192">
        <f>T222*(1+U223)*IF($E$214=1,($E221*'Assumptions - General'!U$37+1),1)</f>
        <v>1604706.4390987877</v>
      </c>
      <c r="V222" s="192">
        <f>U222*(1+V223)*IF($E$214=1,($E221*'Assumptions - General'!V$37+1),1)</f>
        <v>1652847.6322717513</v>
      </c>
      <c r="W222" s="192">
        <f>V222*(1+W223)*IF($E$214=1,($E221*'Assumptions - General'!W$37+1),1)</f>
        <v>1702433.0612399038</v>
      </c>
      <c r="X222" s="192">
        <f>W222*(1+X223)*IF($E$214=1,($E221*'Assumptions - General'!X$37+1),1)</f>
        <v>1753506.053077101</v>
      </c>
      <c r="Y222" s="192">
        <f>X222*(1+Y223)*IF($E$214=1,($E221*'Assumptions - General'!Y$37+1),1)</f>
        <v>1806111.2346694141</v>
      </c>
      <c r="Z222" s="192">
        <f>Y222*(1+Z223)*IF($E$214=1,($E221*'Assumptions - General'!Z$37+1),1)</f>
        <v>1860294.5717094967</v>
      </c>
      <c r="AA222" s="192">
        <f>Z222*(1+AA223)*IF($E$214=1,($E221*'Assumptions - General'!AA$37+1),1)</f>
        <v>1916103.4088607817</v>
      </c>
      <c r="AB222" s="192">
        <f>AA222*(1+AB223)*IF($E$214=1,($E221*'Assumptions - General'!AB$37+1),1)</f>
        <v>1973586.5111266051</v>
      </c>
      <c r="AC222" s="192">
        <f>AB222*(1+AC223)*IF($E$214=1,($E221*'Assumptions - General'!AC$37+1),1)</f>
        <v>2032794.1064604032</v>
      </c>
      <c r="AD222" s="192">
        <f>AC222*(1+AD223)*IF($E$214=1,($E221*'Assumptions - General'!AD$37+1),1)</f>
        <v>2093777.9296542152</v>
      </c>
      <c r="AE222" s="192">
        <f>AD222*(1+AE223)*IF($E$214=1,($E221*'Assumptions - General'!AE$37+1),1)</f>
        <v>2156591.2675438416</v>
      </c>
      <c r="AF222" s="192">
        <f>AE222*(1+AF223)*IF($E$214=1,($E221*'Assumptions - General'!AF$37+1),1)</f>
        <v>2221289.005570157</v>
      </c>
      <c r="AG222" s="192">
        <f>AF222*(1+AG223)*IF($E$214=1,($E221*'Assumptions - General'!AG$37+1),1)</f>
        <v>2287927.6757372618</v>
      </c>
      <c r="AH222" s="192">
        <f>AG222*(1+AH223)*IF($E$214=1,($E221*'Assumptions - General'!AH$37+1),1)</f>
        <v>2356565.5060093799</v>
      </c>
    </row>
    <row r="223" spans="2:65" x14ac:dyDescent="0.2">
      <c r="B223" s="30" t="s">
        <v>401</v>
      </c>
      <c r="D223" s="15" t="s">
        <v>15</v>
      </c>
      <c r="E223" s="190"/>
      <c r="F223" s="188">
        <v>0</v>
      </c>
      <c r="G223" s="188">
        <v>0</v>
      </c>
      <c r="H223" s="188">
        <v>0</v>
      </c>
      <c r="I223" s="188">
        <v>0</v>
      </c>
      <c r="J223" s="188">
        <v>0</v>
      </c>
      <c r="K223" s="188">
        <v>0</v>
      </c>
      <c r="L223" s="188">
        <v>0</v>
      </c>
      <c r="M223" s="188">
        <v>0</v>
      </c>
      <c r="N223" s="188">
        <v>0</v>
      </c>
      <c r="O223" s="188">
        <v>0</v>
      </c>
      <c r="P223" s="188">
        <v>0</v>
      </c>
      <c r="Q223" s="188">
        <v>0</v>
      </c>
      <c r="R223" s="188">
        <v>0</v>
      </c>
      <c r="S223" s="188">
        <v>0</v>
      </c>
      <c r="T223" s="188">
        <v>0</v>
      </c>
      <c r="U223" s="188">
        <v>0</v>
      </c>
      <c r="V223" s="188">
        <v>0</v>
      </c>
      <c r="W223" s="188">
        <v>0</v>
      </c>
      <c r="X223" s="188">
        <v>0</v>
      </c>
      <c r="Y223" s="188">
        <v>0</v>
      </c>
      <c r="Z223" s="188">
        <v>0</v>
      </c>
      <c r="AA223" s="188">
        <v>0</v>
      </c>
      <c r="AB223" s="188">
        <v>0</v>
      </c>
      <c r="AC223" s="188">
        <v>0</v>
      </c>
      <c r="AD223" s="188">
        <v>0</v>
      </c>
      <c r="AE223" s="188">
        <v>0</v>
      </c>
      <c r="AF223" s="188">
        <v>0</v>
      </c>
      <c r="AG223" s="188">
        <v>0</v>
      </c>
      <c r="AH223" s="188">
        <v>0</v>
      </c>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row>
    <row r="224" spans="2:65" s="18" customFormat="1" x14ac:dyDescent="0.2">
      <c r="B224" s="32"/>
      <c r="D224" s="81"/>
      <c r="E224" s="204"/>
      <c r="F224" s="180"/>
      <c r="G224" s="180"/>
      <c r="H224" s="180"/>
      <c r="I224" s="180"/>
      <c r="J224" s="180"/>
      <c r="K224" s="180"/>
      <c r="L224" s="180"/>
      <c r="M224" s="180"/>
      <c r="N224" s="180"/>
      <c r="O224" s="180"/>
      <c r="P224" s="180"/>
      <c r="Q224" s="180"/>
      <c r="R224" s="180"/>
      <c r="S224" s="180"/>
      <c r="T224" s="180"/>
      <c r="U224" s="180"/>
      <c r="V224" s="180"/>
      <c r="W224" s="180"/>
      <c r="X224" s="180"/>
      <c r="Y224" s="180"/>
      <c r="Z224" s="180"/>
      <c r="AA224" s="180"/>
      <c r="AB224" s="180"/>
      <c r="AC224" s="180"/>
      <c r="AD224" s="180"/>
      <c r="AE224" s="180"/>
      <c r="AF224" s="180"/>
      <c r="AG224" s="180"/>
      <c r="AH224" s="180"/>
    </row>
    <row r="225" spans="2:65" s="20" customFormat="1" ht="14" x14ac:dyDescent="0.2">
      <c r="B225" s="19" t="s">
        <v>591</v>
      </c>
      <c r="D225" s="20" t="s">
        <v>2</v>
      </c>
      <c r="E225" s="188" t="s">
        <v>694</v>
      </c>
      <c r="F225" s="221"/>
      <c r="G225" s="182"/>
      <c r="H225" s="182"/>
      <c r="I225" s="182"/>
      <c r="J225" s="182"/>
      <c r="K225" s="182"/>
      <c r="L225" s="182"/>
      <c r="M225" s="182"/>
      <c r="N225" s="182"/>
      <c r="O225" s="182"/>
      <c r="P225" s="182"/>
      <c r="Q225" s="182"/>
      <c r="R225" s="182"/>
      <c r="S225" s="182"/>
      <c r="T225" s="182"/>
      <c r="U225" s="182"/>
      <c r="V225" s="182"/>
      <c r="W225" s="182"/>
      <c r="X225" s="182"/>
      <c r="Y225" s="182"/>
      <c r="Z225" s="182"/>
      <c r="AA225" s="182"/>
      <c r="AB225" s="182"/>
      <c r="AC225" s="182"/>
      <c r="AD225" s="182"/>
      <c r="AE225" s="182"/>
      <c r="AF225" s="182"/>
      <c r="AG225" s="182"/>
      <c r="AH225" s="182"/>
    </row>
    <row r="226" spans="2:65" s="8" customFormat="1" ht="14" x14ac:dyDescent="0.2">
      <c r="B226" s="14" t="s">
        <v>586</v>
      </c>
      <c r="D226" s="10" t="str">
        <f>'Assumptions - General'!$E$27 &amp;" millions"</f>
        <v>R$ millions</v>
      </c>
      <c r="E226" s="176">
        <v>70</v>
      </c>
      <c r="F226" s="183"/>
      <c r="G226" s="183"/>
      <c r="H226" s="183"/>
      <c r="I226" s="183"/>
      <c r="J226" s="183"/>
      <c r="K226" s="183"/>
      <c r="L226" s="183"/>
      <c r="M226" s="183"/>
      <c r="N226" s="183"/>
      <c r="O226" s="183"/>
      <c r="P226" s="183"/>
      <c r="Q226" s="183"/>
      <c r="R226" s="183"/>
      <c r="S226" s="183"/>
      <c r="T226" s="183"/>
      <c r="U226" s="183"/>
      <c r="V226" s="183"/>
      <c r="W226" s="183"/>
      <c r="X226" s="183"/>
      <c r="Y226" s="183"/>
      <c r="Z226" s="183"/>
      <c r="AA226" s="183"/>
      <c r="AB226" s="183"/>
      <c r="AC226" s="183"/>
      <c r="AD226" s="183"/>
      <c r="AE226" s="183"/>
      <c r="AF226" s="183"/>
      <c r="AG226" s="183"/>
      <c r="AH226" s="183"/>
    </row>
    <row r="227" spans="2:65" s="8" customFormat="1" ht="14" x14ac:dyDescent="0.2">
      <c r="B227" s="215" t="s">
        <v>587</v>
      </c>
      <c r="D227" s="8" t="s">
        <v>256</v>
      </c>
      <c r="E227" s="176">
        <v>100</v>
      </c>
      <c r="F227" s="458">
        <f t="shared" ref="F227:AH227" si="13">E227*(1+F228)</f>
        <v>100</v>
      </c>
      <c r="G227" s="458">
        <f t="shared" si="13"/>
        <v>100</v>
      </c>
      <c r="H227" s="458">
        <f t="shared" si="13"/>
        <v>100</v>
      </c>
      <c r="I227" s="458">
        <f t="shared" si="13"/>
        <v>100</v>
      </c>
      <c r="J227" s="458">
        <f t="shared" si="13"/>
        <v>100</v>
      </c>
      <c r="K227" s="458">
        <f t="shared" si="13"/>
        <v>100</v>
      </c>
      <c r="L227" s="458">
        <f t="shared" si="13"/>
        <v>100</v>
      </c>
      <c r="M227" s="458">
        <f t="shared" si="13"/>
        <v>100</v>
      </c>
      <c r="N227" s="458">
        <f t="shared" si="13"/>
        <v>100</v>
      </c>
      <c r="O227" s="458">
        <f t="shared" si="13"/>
        <v>100</v>
      </c>
      <c r="P227" s="458">
        <f t="shared" si="13"/>
        <v>100</v>
      </c>
      <c r="Q227" s="458">
        <f t="shared" si="13"/>
        <v>100</v>
      </c>
      <c r="R227" s="458">
        <f t="shared" si="13"/>
        <v>100</v>
      </c>
      <c r="S227" s="458">
        <f t="shared" si="13"/>
        <v>100</v>
      </c>
      <c r="T227" s="458">
        <f t="shared" si="13"/>
        <v>100</v>
      </c>
      <c r="U227" s="458">
        <f t="shared" si="13"/>
        <v>100</v>
      </c>
      <c r="V227" s="458">
        <f t="shared" si="13"/>
        <v>100</v>
      </c>
      <c r="W227" s="458">
        <f t="shared" si="13"/>
        <v>100</v>
      </c>
      <c r="X227" s="458">
        <f t="shared" si="13"/>
        <v>100</v>
      </c>
      <c r="Y227" s="458">
        <f t="shared" si="13"/>
        <v>100</v>
      </c>
      <c r="Z227" s="458">
        <f t="shared" si="13"/>
        <v>100</v>
      </c>
      <c r="AA227" s="458">
        <f t="shared" si="13"/>
        <v>100</v>
      </c>
      <c r="AB227" s="458">
        <f t="shared" si="13"/>
        <v>100</v>
      </c>
      <c r="AC227" s="458">
        <f t="shared" si="13"/>
        <v>100</v>
      </c>
      <c r="AD227" s="458">
        <f t="shared" si="13"/>
        <v>100</v>
      </c>
      <c r="AE227" s="458">
        <f t="shared" si="13"/>
        <v>100</v>
      </c>
      <c r="AF227" s="458">
        <f t="shared" si="13"/>
        <v>100</v>
      </c>
      <c r="AG227" s="458">
        <f t="shared" si="13"/>
        <v>100</v>
      </c>
      <c r="AH227" s="458">
        <f t="shared" si="13"/>
        <v>100</v>
      </c>
      <c r="AI227" s="20"/>
      <c r="AJ227" s="20"/>
      <c r="AK227" s="20"/>
      <c r="AL227" s="20"/>
      <c r="AM227" s="20"/>
      <c r="AN227" s="20"/>
      <c r="AO227" s="20"/>
      <c r="AP227" s="20"/>
      <c r="AQ227" s="20"/>
      <c r="AR227" s="20"/>
      <c r="AS227" s="20"/>
      <c r="AT227" s="20"/>
      <c r="AU227" s="20"/>
      <c r="AV227" s="20"/>
      <c r="AW227" s="20"/>
      <c r="AX227" s="20"/>
      <c r="AY227" s="20"/>
      <c r="AZ227" s="20"/>
      <c r="BA227" s="20"/>
      <c r="BB227" s="20"/>
      <c r="BC227" s="20"/>
      <c r="BD227" s="20"/>
      <c r="BE227" s="20"/>
      <c r="BF227" s="20"/>
      <c r="BG227" s="20"/>
      <c r="BH227" s="20"/>
      <c r="BI227" s="20"/>
      <c r="BJ227" s="20"/>
      <c r="BK227" s="20"/>
      <c r="BL227" s="20"/>
      <c r="BM227" s="20"/>
    </row>
    <row r="228" spans="2:65" s="8" customFormat="1" ht="14" x14ac:dyDescent="0.2">
      <c r="B228" s="211" t="s">
        <v>263</v>
      </c>
      <c r="D228" s="8" t="s">
        <v>15</v>
      </c>
      <c r="E228" s="192"/>
      <c r="F228" s="189">
        <v>0</v>
      </c>
      <c r="G228" s="189">
        <v>0</v>
      </c>
      <c r="H228" s="189">
        <v>0</v>
      </c>
      <c r="I228" s="189">
        <v>0</v>
      </c>
      <c r="J228" s="189">
        <v>0</v>
      </c>
      <c r="K228" s="189">
        <v>0</v>
      </c>
      <c r="L228" s="189">
        <v>0</v>
      </c>
      <c r="M228" s="189">
        <v>0</v>
      </c>
      <c r="N228" s="189">
        <v>0</v>
      </c>
      <c r="O228" s="189">
        <v>0</v>
      </c>
      <c r="P228" s="189">
        <v>0</v>
      </c>
      <c r="Q228" s="189">
        <v>0</v>
      </c>
      <c r="R228" s="189">
        <v>0</v>
      </c>
      <c r="S228" s="189">
        <v>0</v>
      </c>
      <c r="T228" s="189">
        <v>0</v>
      </c>
      <c r="U228" s="189">
        <v>0</v>
      </c>
      <c r="V228" s="189">
        <v>0</v>
      </c>
      <c r="W228" s="189">
        <v>0</v>
      </c>
      <c r="X228" s="189">
        <v>0</v>
      </c>
      <c r="Y228" s="189">
        <v>0</v>
      </c>
      <c r="Z228" s="189">
        <v>0</v>
      </c>
      <c r="AA228" s="189">
        <v>0</v>
      </c>
      <c r="AB228" s="189">
        <v>0</v>
      </c>
      <c r="AC228" s="189">
        <v>0</v>
      </c>
      <c r="AD228" s="189">
        <v>0</v>
      </c>
      <c r="AE228" s="189">
        <v>0</v>
      </c>
      <c r="AF228" s="189">
        <v>0</v>
      </c>
      <c r="AG228" s="189">
        <v>0</v>
      </c>
      <c r="AH228" s="189">
        <v>0</v>
      </c>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20"/>
      <c r="BG228" s="20"/>
      <c r="BH228" s="20"/>
      <c r="BI228" s="20"/>
      <c r="BJ228" s="20"/>
      <c r="BK228" s="20"/>
      <c r="BL228" s="20"/>
      <c r="BM228" s="20"/>
    </row>
    <row r="229" spans="2:65" s="8" customFormat="1" ht="14" x14ac:dyDescent="0.2">
      <c r="B229" s="215" t="s">
        <v>588</v>
      </c>
      <c r="D229" s="15"/>
      <c r="E229" s="180"/>
      <c r="F229" s="220"/>
      <c r="G229" s="183"/>
      <c r="H229" s="183"/>
      <c r="I229" s="183"/>
      <c r="J229" s="183"/>
      <c r="K229" s="183"/>
      <c r="L229" s="183"/>
      <c r="M229" s="183"/>
      <c r="N229" s="183"/>
      <c r="O229" s="183"/>
      <c r="P229" s="183"/>
      <c r="Q229" s="183"/>
      <c r="R229" s="183"/>
      <c r="S229" s="183"/>
      <c r="T229" s="183"/>
      <c r="U229" s="183"/>
      <c r="V229" s="183"/>
      <c r="W229" s="183"/>
      <c r="X229" s="183"/>
      <c r="Y229" s="183"/>
      <c r="Z229" s="183"/>
      <c r="AA229" s="183"/>
      <c r="AB229" s="183"/>
      <c r="AC229" s="183"/>
      <c r="AD229" s="183"/>
      <c r="AE229" s="183"/>
      <c r="AF229" s="183"/>
      <c r="AG229" s="183"/>
      <c r="AH229" s="183"/>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20"/>
      <c r="BG229" s="20"/>
      <c r="BH229" s="20"/>
      <c r="BI229" s="20"/>
      <c r="BJ229" s="20"/>
      <c r="BK229" s="20"/>
      <c r="BL229" s="20"/>
      <c r="BM229" s="20"/>
    </row>
    <row r="230" spans="2:65" s="8" customFormat="1" ht="14" x14ac:dyDescent="0.2">
      <c r="B230" s="211" t="s">
        <v>38</v>
      </c>
      <c r="D230" s="8" t="s">
        <v>15</v>
      </c>
      <c r="E230" s="188">
        <f>IF(E214=2,0,F230/100)</f>
        <v>1</v>
      </c>
      <c r="F230" s="220">
        <v>100</v>
      </c>
      <c r="G230" s="183"/>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20"/>
      <c r="BG230" s="20"/>
      <c r="BH230" s="20"/>
      <c r="BI230" s="20"/>
      <c r="BJ230" s="20"/>
      <c r="BK230" s="20"/>
      <c r="BL230" s="20"/>
      <c r="BM230" s="20"/>
    </row>
    <row r="231" spans="2:65" s="20" customFormat="1" ht="14" x14ac:dyDescent="0.2">
      <c r="B231" s="216" t="s">
        <v>589</v>
      </c>
      <c r="D231" s="122" t="str">
        <f>'Assumptions - General'!$E$27 &amp;" per unit"</f>
        <v>R$ per unit</v>
      </c>
      <c r="E231" s="192">
        <f>E226*1000000/E227</f>
        <v>700000</v>
      </c>
      <c r="F231" s="192">
        <f>E231*(1+F232)*IF($E$214=1,($E230*'Assumptions - General'!F$37+1),1)</f>
        <v>721000</v>
      </c>
      <c r="G231" s="192">
        <f>F231*(1+G232)*IF($E$214=1,($E230*'Assumptions - General'!G$37+1),1)</f>
        <v>742630</v>
      </c>
      <c r="H231" s="192">
        <f>G231*(1+H232)*IF($E$214=1,($E230*'Assumptions - General'!H$37+1),1)</f>
        <v>764908.9</v>
      </c>
      <c r="I231" s="192">
        <f>H231*(1+I232)*IF($E$214=1,($E230*'Assumptions - General'!I$37+1),1)</f>
        <v>787856.16700000002</v>
      </c>
      <c r="J231" s="192">
        <f>I231*(1+J232)*IF($E$214=1,($E230*'Assumptions - General'!J$37+1),1)</f>
        <v>811491.85201000003</v>
      </c>
      <c r="K231" s="192">
        <f>J231*(1+K232)*IF($E$214=1,($E230*'Assumptions - General'!K$37+1),1)</f>
        <v>835836.60757030011</v>
      </c>
      <c r="L231" s="192">
        <f>K231*(1+L232)*IF($E$214=1,($E230*'Assumptions - General'!L$37+1),1)</f>
        <v>860911.70579740917</v>
      </c>
      <c r="M231" s="192">
        <f>L231*(1+M232)*IF($E$214=1,($E230*'Assumptions - General'!M$37+1),1)</f>
        <v>886739.05697133148</v>
      </c>
      <c r="N231" s="192">
        <f>M231*(1+N232)*IF($E$214=1,($E230*'Assumptions - General'!N$37+1),1)</f>
        <v>913341.22868047142</v>
      </c>
      <c r="O231" s="192">
        <f>N231*(1+O232)*IF($E$214=1,($E230*'Assumptions - General'!O$37+1),1)</f>
        <v>940741.46554088558</v>
      </c>
      <c r="P231" s="192">
        <f>O231*(1+P232)*IF($E$214=1,($E230*'Assumptions - General'!P$37+1),1)</f>
        <v>968963.70950711216</v>
      </c>
      <c r="Q231" s="192">
        <f>P231*(1+Q232)*IF($E$214=1,($E230*'Assumptions - General'!Q$37+1),1)</f>
        <v>998032.62079232559</v>
      </c>
      <c r="R231" s="192">
        <f>Q231*(1+R232)*IF($E$214=1,($E230*'Assumptions - General'!R$37+1),1)</f>
        <v>1027973.5994160954</v>
      </c>
      <c r="S231" s="192">
        <f>R231*(1+S232)*IF($E$214=1,($E230*'Assumptions - General'!S$37+1),1)</f>
        <v>1058812.8073985784</v>
      </c>
      <c r="T231" s="192">
        <f>S231*(1+T232)*IF($E$214=1,($E230*'Assumptions - General'!T$37+1),1)</f>
        <v>1090577.1916205357</v>
      </c>
      <c r="U231" s="192">
        <f>T231*(1+U232)*IF($E$214=1,($E230*'Assumptions - General'!U$37+1),1)</f>
        <v>1123294.5073691518</v>
      </c>
      <c r="V231" s="192">
        <f>U231*(1+V232)*IF($E$214=1,($E230*'Assumptions - General'!V$37+1),1)</f>
        <v>1156993.3425902263</v>
      </c>
      <c r="W231" s="192">
        <f>V231*(1+W232)*IF($E$214=1,($E230*'Assumptions - General'!W$37+1),1)</f>
        <v>1191703.1428679333</v>
      </c>
      <c r="X231" s="192">
        <f>W231*(1+X232)*IF($E$214=1,($E230*'Assumptions - General'!X$37+1),1)</f>
        <v>1227454.2371539713</v>
      </c>
      <c r="Y231" s="192">
        <f>X231*(1+Y232)*IF($E$214=1,($E230*'Assumptions - General'!Y$37+1),1)</f>
        <v>1264277.8642685905</v>
      </c>
      <c r="Z231" s="192">
        <f>Y231*(1+Z232)*IF($E$214=1,($E230*'Assumptions - General'!Z$37+1),1)</f>
        <v>1302206.2001966482</v>
      </c>
      <c r="AA231" s="192">
        <f>Z231*(1+AA232)*IF($E$214=1,($E230*'Assumptions - General'!AA$37+1),1)</f>
        <v>1341272.3862025477</v>
      </c>
      <c r="AB231" s="192">
        <f>AA231*(1+AB232)*IF($E$214=1,($E230*'Assumptions - General'!AB$37+1),1)</f>
        <v>1381510.5577886242</v>
      </c>
      <c r="AC231" s="192">
        <f>AB231*(1+AC232)*IF($E$214=1,($E230*'Assumptions - General'!AC$37+1),1)</f>
        <v>1422955.874522283</v>
      </c>
      <c r="AD231" s="192">
        <f>AC231*(1+AD232)*IF($E$214=1,($E230*'Assumptions - General'!AD$37+1),1)</f>
        <v>1465644.5507579516</v>
      </c>
      <c r="AE231" s="192">
        <f>AD231*(1+AE232)*IF($E$214=1,($E230*'Assumptions - General'!AE$37+1),1)</f>
        <v>1509613.8872806903</v>
      </c>
      <c r="AF231" s="192">
        <f>AE231*(1+AF232)*IF($E$214=1,($E230*'Assumptions - General'!AF$37+1),1)</f>
        <v>1554902.303899111</v>
      </c>
      <c r="AG231" s="192">
        <f>AF231*(1+AG232)*IF($E$214=1,($E230*'Assumptions - General'!AG$37+1),1)</f>
        <v>1601549.3730160843</v>
      </c>
      <c r="AH231" s="192">
        <f>AG231*(1+AH232)*IF($E$214=1,($E230*'Assumptions - General'!AH$37+1),1)</f>
        <v>1649595.8542065669</v>
      </c>
    </row>
    <row r="232" spans="2:65" x14ac:dyDescent="0.2">
      <c r="B232" s="30" t="s">
        <v>401</v>
      </c>
      <c r="D232" s="15" t="s">
        <v>15</v>
      </c>
      <c r="E232" s="190"/>
      <c r="F232" s="188">
        <v>0</v>
      </c>
      <c r="G232" s="188">
        <v>0</v>
      </c>
      <c r="H232" s="188">
        <v>0</v>
      </c>
      <c r="I232" s="188">
        <v>0</v>
      </c>
      <c r="J232" s="188">
        <v>0</v>
      </c>
      <c r="K232" s="188">
        <v>0</v>
      </c>
      <c r="L232" s="188">
        <v>0</v>
      </c>
      <c r="M232" s="188">
        <v>0</v>
      </c>
      <c r="N232" s="188">
        <v>0</v>
      </c>
      <c r="O232" s="188">
        <v>0</v>
      </c>
      <c r="P232" s="188">
        <v>0</v>
      </c>
      <c r="Q232" s="188">
        <v>0</v>
      </c>
      <c r="R232" s="188">
        <v>0</v>
      </c>
      <c r="S232" s="188">
        <v>0</v>
      </c>
      <c r="T232" s="188">
        <v>0</v>
      </c>
      <c r="U232" s="188">
        <v>0</v>
      </c>
      <c r="V232" s="188">
        <v>0</v>
      </c>
      <c r="W232" s="188">
        <v>0</v>
      </c>
      <c r="X232" s="188">
        <v>0</v>
      </c>
      <c r="Y232" s="188">
        <v>0</v>
      </c>
      <c r="Z232" s="188">
        <v>0</v>
      </c>
      <c r="AA232" s="188">
        <v>0</v>
      </c>
      <c r="AB232" s="188">
        <v>0</v>
      </c>
      <c r="AC232" s="188">
        <v>0</v>
      </c>
      <c r="AD232" s="188">
        <v>0</v>
      </c>
      <c r="AE232" s="188">
        <v>0</v>
      </c>
      <c r="AF232" s="188">
        <v>0</v>
      </c>
      <c r="AG232" s="188">
        <v>0</v>
      </c>
      <c r="AH232" s="188">
        <v>0</v>
      </c>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row>
    <row r="233" spans="2:65" s="18" customFormat="1" x14ac:dyDescent="0.2">
      <c r="B233" s="32"/>
      <c r="D233" s="81"/>
      <c r="E233" s="204"/>
      <c r="F233" s="180"/>
      <c r="G233" s="180"/>
      <c r="H233" s="180"/>
      <c r="I233" s="180"/>
      <c r="J233" s="180"/>
      <c r="K233" s="180"/>
      <c r="L233" s="180"/>
      <c r="M233" s="180"/>
      <c r="N233" s="180"/>
      <c r="O233" s="180"/>
      <c r="P233" s="180"/>
      <c r="Q233" s="180"/>
      <c r="R233" s="180"/>
      <c r="S233" s="180"/>
      <c r="T233" s="180"/>
      <c r="U233" s="180"/>
      <c r="V233" s="180"/>
      <c r="W233" s="180"/>
      <c r="X233" s="180"/>
      <c r="Y233" s="180"/>
      <c r="Z233" s="180"/>
      <c r="AA233" s="180"/>
      <c r="AB233" s="180"/>
      <c r="AC233" s="180"/>
      <c r="AD233" s="180"/>
      <c r="AE233" s="180"/>
      <c r="AF233" s="180"/>
      <c r="AG233" s="180"/>
      <c r="AH233" s="180"/>
    </row>
    <row r="234" spans="2:65" s="20" customFormat="1" ht="14" x14ac:dyDescent="0.2">
      <c r="B234" s="19" t="s">
        <v>592</v>
      </c>
      <c r="D234" s="20" t="s">
        <v>2</v>
      </c>
      <c r="E234" s="188" t="s">
        <v>73</v>
      </c>
      <c r="F234" s="221"/>
      <c r="G234" s="182"/>
      <c r="H234" s="182"/>
      <c r="I234" s="182"/>
      <c r="J234" s="182"/>
      <c r="K234" s="182"/>
      <c r="L234" s="182"/>
      <c r="M234" s="182"/>
      <c r="N234" s="182"/>
      <c r="O234" s="182"/>
      <c r="P234" s="182"/>
      <c r="Q234" s="182"/>
      <c r="R234" s="182"/>
      <c r="S234" s="182"/>
      <c r="T234" s="182"/>
      <c r="U234" s="182"/>
      <c r="V234" s="182"/>
      <c r="W234" s="182"/>
      <c r="X234" s="182"/>
      <c r="Y234" s="182"/>
      <c r="Z234" s="182"/>
      <c r="AA234" s="182"/>
      <c r="AB234" s="182"/>
      <c r="AC234" s="182"/>
      <c r="AD234" s="182"/>
      <c r="AE234" s="182"/>
      <c r="AF234" s="182"/>
      <c r="AG234" s="182"/>
      <c r="AH234" s="182"/>
    </row>
    <row r="235" spans="2:65" s="8" customFormat="1" ht="14" x14ac:dyDescent="0.2">
      <c r="B235" s="14" t="s">
        <v>586</v>
      </c>
      <c r="D235" s="10" t="str">
        <f>'Assumptions - General'!$E$27 &amp;" millions"</f>
        <v>R$ millions</v>
      </c>
      <c r="E235" s="176">
        <v>50</v>
      </c>
      <c r="F235" s="183"/>
      <c r="G235" s="183"/>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row>
    <row r="236" spans="2:65" s="8" customFormat="1" ht="14" x14ac:dyDescent="0.2">
      <c r="B236" s="215" t="s">
        <v>587</v>
      </c>
      <c r="D236" s="8" t="s">
        <v>256</v>
      </c>
      <c r="E236" s="176">
        <v>100</v>
      </c>
      <c r="F236" s="219">
        <f t="shared" ref="F236:AH236" si="14">E236*(1+F237)</f>
        <v>100</v>
      </c>
      <c r="G236" s="219">
        <f t="shared" si="14"/>
        <v>100</v>
      </c>
      <c r="H236" s="219">
        <f t="shared" si="14"/>
        <v>100</v>
      </c>
      <c r="I236" s="219">
        <f t="shared" si="14"/>
        <v>100</v>
      </c>
      <c r="J236" s="219">
        <f t="shared" si="14"/>
        <v>100</v>
      </c>
      <c r="K236" s="219">
        <f t="shared" si="14"/>
        <v>100</v>
      </c>
      <c r="L236" s="219">
        <f t="shared" si="14"/>
        <v>100</v>
      </c>
      <c r="M236" s="219">
        <f t="shared" si="14"/>
        <v>100</v>
      </c>
      <c r="N236" s="219">
        <f t="shared" si="14"/>
        <v>100</v>
      </c>
      <c r="O236" s="219">
        <f t="shared" si="14"/>
        <v>100</v>
      </c>
      <c r="P236" s="219">
        <f t="shared" si="14"/>
        <v>100</v>
      </c>
      <c r="Q236" s="219">
        <f t="shared" si="14"/>
        <v>100</v>
      </c>
      <c r="R236" s="219">
        <f t="shared" si="14"/>
        <v>100</v>
      </c>
      <c r="S236" s="219">
        <f t="shared" si="14"/>
        <v>100</v>
      </c>
      <c r="T236" s="219">
        <f t="shared" si="14"/>
        <v>100</v>
      </c>
      <c r="U236" s="219">
        <f t="shared" si="14"/>
        <v>100</v>
      </c>
      <c r="V236" s="219">
        <f t="shared" si="14"/>
        <v>100</v>
      </c>
      <c r="W236" s="219">
        <f t="shared" si="14"/>
        <v>100</v>
      </c>
      <c r="X236" s="219">
        <f t="shared" si="14"/>
        <v>100</v>
      </c>
      <c r="Y236" s="219">
        <f t="shared" si="14"/>
        <v>100</v>
      </c>
      <c r="Z236" s="219">
        <f t="shared" si="14"/>
        <v>100</v>
      </c>
      <c r="AA236" s="219">
        <f t="shared" si="14"/>
        <v>100</v>
      </c>
      <c r="AB236" s="219">
        <f t="shared" si="14"/>
        <v>100</v>
      </c>
      <c r="AC236" s="219">
        <f t="shared" si="14"/>
        <v>100</v>
      </c>
      <c r="AD236" s="219">
        <f t="shared" si="14"/>
        <v>100</v>
      </c>
      <c r="AE236" s="219">
        <f t="shared" si="14"/>
        <v>100</v>
      </c>
      <c r="AF236" s="219">
        <f t="shared" si="14"/>
        <v>100</v>
      </c>
      <c r="AG236" s="219">
        <f t="shared" si="14"/>
        <v>100</v>
      </c>
      <c r="AH236" s="219">
        <f t="shared" si="14"/>
        <v>100</v>
      </c>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20"/>
      <c r="BG236" s="20"/>
      <c r="BH236" s="20"/>
      <c r="BI236" s="20"/>
      <c r="BJ236" s="20"/>
      <c r="BK236" s="20"/>
      <c r="BL236" s="20"/>
      <c r="BM236" s="20"/>
    </row>
    <row r="237" spans="2:65" s="8" customFormat="1" ht="14" x14ac:dyDescent="0.2">
      <c r="B237" s="211" t="s">
        <v>263</v>
      </c>
      <c r="D237" s="8" t="s">
        <v>15</v>
      </c>
      <c r="E237" s="192"/>
      <c r="F237" s="189">
        <v>0</v>
      </c>
      <c r="G237" s="189">
        <v>0</v>
      </c>
      <c r="H237" s="189">
        <v>0</v>
      </c>
      <c r="I237" s="189">
        <v>0</v>
      </c>
      <c r="J237" s="189">
        <v>0</v>
      </c>
      <c r="K237" s="189">
        <v>0</v>
      </c>
      <c r="L237" s="189">
        <v>0</v>
      </c>
      <c r="M237" s="189">
        <v>0</v>
      </c>
      <c r="N237" s="189">
        <v>0</v>
      </c>
      <c r="O237" s="189">
        <v>0</v>
      </c>
      <c r="P237" s="189">
        <v>0</v>
      </c>
      <c r="Q237" s="189">
        <v>0</v>
      </c>
      <c r="R237" s="189">
        <v>0</v>
      </c>
      <c r="S237" s="189">
        <v>0</v>
      </c>
      <c r="T237" s="189">
        <v>0</v>
      </c>
      <c r="U237" s="189">
        <v>0</v>
      </c>
      <c r="V237" s="189">
        <v>0</v>
      </c>
      <c r="W237" s="189">
        <v>0</v>
      </c>
      <c r="X237" s="189">
        <v>0</v>
      </c>
      <c r="Y237" s="189">
        <v>0</v>
      </c>
      <c r="Z237" s="189">
        <v>0</v>
      </c>
      <c r="AA237" s="189">
        <v>0</v>
      </c>
      <c r="AB237" s="189">
        <v>0</v>
      </c>
      <c r="AC237" s="189">
        <v>0</v>
      </c>
      <c r="AD237" s="189">
        <v>0</v>
      </c>
      <c r="AE237" s="189">
        <v>0</v>
      </c>
      <c r="AF237" s="189">
        <v>0</v>
      </c>
      <c r="AG237" s="189">
        <v>0</v>
      </c>
      <c r="AH237" s="189">
        <v>0</v>
      </c>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20"/>
      <c r="BG237" s="20"/>
      <c r="BH237" s="20"/>
      <c r="BI237" s="20"/>
      <c r="BJ237" s="20"/>
      <c r="BK237" s="20"/>
      <c r="BL237" s="20"/>
      <c r="BM237" s="20"/>
    </row>
    <row r="238" spans="2:65" s="8" customFormat="1" ht="14" x14ac:dyDescent="0.2">
      <c r="B238" s="215" t="s">
        <v>588</v>
      </c>
      <c r="D238" s="15"/>
      <c r="E238" s="180"/>
      <c r="F238" s="220"/>
      <c r="G238" s="183"/>
      <c r="H238" s="183"/>
      <c r="I238" s="183"/>
      <c r="J238" s="183"/>
      <c r="K238" s="183"/>
      <c r="L238" s="183"/>
      <c r="M238" s="183"/>
      <c r="N238" s="183"/>
      <c r="O238" s="183"/>
      <c r="P238" s="183"/>
      <c r="Q238" s="183"/>
      <c r="R238" s="183"/>
      <c r="S238" s="183"/>
      <c r="T238" s="183"/>
      <c r="U238" s="183"/>
      <c r="V238" s="183"/>
      <c r="W238" s="183"/>
      <c r="X238" s="183"/>
      <c r="Y238" s="183"/>
      <c r="Z238" s="183"/>
      <c r="AA238" s="183"/>
      <c r="AB238" s="183"/>
      <c r="AC238" s="183"/>
      <c r="AD238" s="183"/>
      <c r="AE238" s="183"/>
      <c r="AF238" s="183"/>
      <c r="AG238" s="183"/>
      <c r="AH238" s="183"/>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20"/>
      <c r="BG238" s="20"/>
      <c r="BH238" s="20"/>
      <c r="BI238" s="20"/>
      <c r="BJ238" s="20"/>
      <c r="BK238" s="20"/>
      <c r="BL238" s="20"/>
      <c r="BM238" s="20"/>
    </row>
    <row r="239" spans="2:65" s="8" customFormat="1" ht="14" x14ac:dyDescent="0.2">
      <c r="B239" s="211" t="s">
        <v>38</v>
      </c>
      <c r="D239" s="8" t="s">
        <v>15</v>
      </c>
      <c r="E239" s="188">
        <f>IF(E214=2,0,F239/100)</f>
        <v>1</v>
      </c>
      <c r="F239" s="220">
        <v>100</v>
      </c>
      <c r="G239" s="183"/>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0"/>
      <c r="BJ239" s="20"/>
      <c r="BK239" s="20"/>
      <c r="BL239" s="20"/>
      <c r="BM239" s="20"/>
    </row>
    <row r="240" spans="2:65" s="20" customFormat="1" ht="14" x14ac:dyDescent="0.2">
      <c r="B240" s="216" t="s">
        <v>589</v>
      </c>
      <c r="D240" s="122" t="str">
        <f>'Assumptions - General'!$E$27 &amp;" per unit"</f>
        <v>R$ per unit</v>
      </c>
      <c r="E240" s="192">
        <f>E235*1000000/E236</f>
        <v>500000</v>
      </c>
      <c r="F240" s="192">
        <f>E240*(1+F241)*IF($E$214=1,($E239*'Assumptions - General'!F$37+1),1)</f>
        <v>515000</v>
      </c>
      <c r="G240" s="192">
        <f>F240*(1+G241)*IF($E$214=1,($E239*'Assumptions - General'!G$37+1),1)</f>
        <v>530450</v>
      </c>
      <c r="H240" s="192">
        <f>G240*(1+H241)*IF($E$214=1,($E239*'Assumptions - General'!H$37+1),1)</f>
        <v>546363.5</v>
      </c>
      <c r="I240" s="192">
        <f>H240*(1+I241)*IF($E$214=1,($E239*'Assumptions - General'!I$37+1),1)</f>
        <v>562754.40500000003</v>
      </c>
      <c r="J240" s="192">
        <f>I240*(1+J241)*IF($E$214=1,($E239*'Assumptions - General'!J$37+1),1)</f>
        <v>579637.03714999999</v>
      </c>
      <c r="K240" s="192">
        <f>J240*(1+K241)*IF($E$214=1,($E239*'Assumptions - General'!K$37+1),1)</f>
        <v>597026.14826449996</v>
      </c>
      <c r="L240" s="192">
        <f>K240*(1+L241)*IF($E$214=1,($E239*'Assumptions - General'!L$37+1),1)</f>
        <v>614936.93271243502</v>
      </c>
      <c r="M240" s="192">
        <f>L240*(1+M241)*IF($E$214=1,($E239*'Assumptions - General'!M$37+1),1)</f>
        <v>633385.04069380811</v>
      </c>
      <c r="N240" s="192">
        <f>M240*(1+N241)*IF($E$214=1,($E239*'Assumptions - General'!N$37+1),1)</f>
        <v>652386.59191462235</v>
      </c>
      <c r="O240" s="192">
        <f>N240*(1+O241)*IF($E$214=1,($E239*'Assumptions - General'!O$37+1),1)</f>
        <v>671958.18967206101</v>
      </c>
      <c r="P240" s="192">
        <f>O240*(1+P241)*IF($E$214=1,($E239*'Assumptions - General'!P$37+1),1)</f>
        <v>692116.93536222284</v>
      </c>
      <c r="Q240" s="192">
        <f>P240*(1+Q241)*IF($E$214=1,($E239*'Assumptions - General'!Q$37+1),1)</f>
        <v>712880.44342308957</v>
      </c>
      <c r="R240" s="192">
        <f>Q240*(1+R241)*IF($E$214=1,($E239*'Assumptions - General'!R$37+1),1)</f>
        <v>734266.85672578227</v>
      </c>
      <c r="S240" s="192">
        <f>R240*(1+S241)*IF($E$214=1,($E239*'Assumptions - General'!S$37+1),1)</f>
        <v>756294.86242755572</v>
      </c>
      <c r="T240" s="192">
        <f>S240*(1+T241)*IF($E$214=1,($E239*'Assumptions - General'!T$37+1),1)</f>
        <v>778983.70830038236</v>
      </c>
      <c r="U240" s="192">
        <f>T240*(1+U241)*IF($E$214=1,($E239*'Assumptions - General'!U$37+1),1)</f>
        <v>802353.21954939386</v>
      </c>
      <c r="V240" s="192">
        <f>U240*(1+V241)*IF($E$214=1,($E239*'Assumptions - General'!V$37+1),1)</f>
        <v>826423.81613587565</v>
      </c>
      <c r="W240" s="192">
        <f>V240*(1+W241)*IF($E$214=1,($E239*'Assumptions - General'!W$37+1),1)</f>
        <v>851216.5306199519</v>
      </c>
      <c r="X240" s="192">
        <f>W240*(1+X241)*IF($E$214=1,($E239*'Assumptions - General'!X$37+1),1)</f>
        <v>876753.0265385505</v>
      </c>
      <c r="Y240" s="192">
        <f>X240*(1+Y241)*IF($E$214=1,($E239*'Assumptions - General'!Y$37+1),1)</f>
        <v>903055.61733470706</v>
      </c>
      <c r="Z240" s="192">
        <f>Y240*(1+Z241)*IF($E$214=1,($E239*'Assumptions - General'!Z$37+1),1)</f>
        <v>930147.28585474833</v>
      </c>
      <c r="AA240" s="192">
        <f>Z240*(1+AA241)*IF($E$214=1,($E239*'Assumptions - General'!AA$37+1),1)</f>
        <v>958051.70443039085</v>
      </c>
      <c r="AB240" s="192">
        <f>AA240*(1+AB241)*IF($E$214=1,($E239*'Assumptions - General'!AB$37+1),1)</f>
        <v>986793.25556330255</v>
      </c>
      <c r="AC240" s="192">
        <f>AB240*(1+AC241)*IF($E$214=1,($E239*'Assumptions - General'!AC$37+1),1)</f>
        <v>1016397.0532302016</v>
      </c>
      <c r="AD240" s="192">
        <f>AC240*(1+AD241)*IF($E$214=1,($E239*'Assumptions - General'!AD$37+1),1)</f>
        <v>1046888.9648271076</v>
      </c>
      <c r="AE240" s="192">
        <f>AD240*(1+AE241)*IF($E$214=1,($E239*'Assumptions - General'!AE$37+1),1)</f>
        <v>1078295.6337719208</v>
      </c>
      <c r="AF240" s="192">
        <f>AE240*(1+AF241)*IF($E$214=1,($E239*'Assumptions - General'!AF$37+1),1)</f>
        <v>1110644.5027850785</v>
      </c>
      <c r="AG240" s="192">
        <f>AF240*(1+AG241)*IF($E$214=1,($E239*'Assumptions - General'!AG$37+1),1)</f>
        <v>1143963.8378686309</v>
      </c>
      <c r="AH240" s="192">
        <f>AG240*(1+AH241)*IF($E$214=1,($E239*'Assumptions - General'!AH$37+1),1)</f>
        <v>1178282.7530046899</v>
      </c>
    </row>
    <row r="241" spans="1:65" x14ac:dyDescent="0.2">
      <c r="B241" s="30" t="s">
        <v>401</v>
      </c>
      <c r="D241" s="15" t="s">
        <v>15</v>
      </c>
      <c r="E241" s="190"/>
      <c r="F241" s="188">
        <v>0</v>
      </c>
      <c r="G241" s="188">
        <v>0</v>
      </c>
      <c r="H241" s="188">
        <v>0</v>
      </c>
      <c r="I241" s="188">
        <v>0</v>
      </c>
      <c r="J241" s="188">
        <v>0</v>
      </c>
      <c r="K241" s="188">
        <v>0</v>
      </c>
      <c r="L241" s="188">
        <v>0</v>
      </c>
      <c r="M241" s="188">
        <v>0</v>
      </c>
      <c r="N241" s="188">
        <v>0</v>
      </c>
      <c r="O241" s="188">
        <v>0</v>
      </c>
      <c r="P241" s="188">
        <v>0</v>
      </c>
      <c r="Q241" s="188">
        <v>0</v>
      </c>
      <c r="R241" s="188">
        <v>0</v>
      </c>
      <c r="S241" s="188">
        <v>0</v>
      </c>
      <c r="T241" s="188">
        <v>0</v>
      </c>
      <c r="U241" s="188">
        <v>0</v>
      </c>
      <c r="V241" s="188">
        <v>0</v>
      </c>
      <c r="W241" s="188">
        <v>0</v>
      </c>
      <c r="X241" s="188">
        <v>0</v>
      </c>
      <c r="Y241" s="188">
        <v>0</v>
      </c>
      <c r="Z241" s="188">
        <v>0</v>
      </c>
      <c r="AA241" s="188">
        <v>0</v>
      </c>
      <c r="AB241" s="188">
        <v>0</v>
      </c>
      <c r="AC241" s="188">
        <v>0</v>
      </c>
      <c r="AD241" s="188">
        <v>0</v>
      </c>
      <c r="AE241" s="188">
        <v>0</v>
      </c>
      <c r="AF241" s="188">
        <v>0</v>
      </c>
      <c r="AG241" s="188">
        <v>0</v>
      </c>
      <c r="AH241" s="188">
        <v>0</v>
      </c>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row>
    <row r="242" spans="1:65" s="18" customFormat="1" x14ac:dyDescent="0.2"/>
    <row r="243" spans="1:65" s="18" customFormat="1" outlineLevel="1" x14ac:dyDescent="0.2">
      <c r="B243" s="57" t="str">
        <f>E216&amp; " - total annual cost in forecast period"</f>
        <v>Tax credit - total annual cost in forecast period</v>
      </c>
      <c r="D243" s="10" t="str">
        <f>'Assumptions - General'!$E$27 &amp;" millions"</f>
        <v>R$ millions</v>
      </c>
      <c r="E243" s="192">
        <f>Calculations!E246</f>
        <v>100</v>
      </c>
      <c r="F243" s="192">
        <f>Calculations!F246</f>
        <v>103</v>
      </c>
      <c r="G243" s="192">
        <f>Calculations!G246</f>
        <v>106.09</v>
      </c>
      <c r="H243" s="192">
        <f>Calculations!H246</f>
        <v>109.2727</v>
      </c>
      <c r="I243" s="192">
        <f>Calculations!I246</f>
        <v>112.550881</v>
      </c>
      <c r="J243" s="192">
        <f>Calculations!J246</f>
        <v>115.92740742999999</v>
      </c>
      <c r="K243" s="192">
        <f>Calculations!K246</f>
        <v>119.40522965289999</v>
      </c>
      <c r="L243" s="192">
        <f>Calculations!L246</f>
        <v>122.98738654248702</v>
      </c>
      <c r="M243" s="192">
        <f>Calculations!M246</f>
        <v>126.67700813876162</v>
      </c>
      <c r="N243" s="192">
        <f>Calculations!N246</f>
        <v>130.47731838292447</v>
      </c>
      <c r="O243" s="192">
        <f>Calculations!O246</f>
        <v>134.39163793441222</v>
      </c>
      <c r="P243" s="192">
        <f>Calculations!P246</f>
        <v>138.42338707244457</v>
      </c>
      <c r="Q243" s="192">
        <f>Calculations!Q246</f>
        <v>142.5760886846179</v>
      </c>
      <c r="R243" s="192">
        <f>Calculations!R246</f>
        <v>146.85337134515646</v>
      </c>
      <c r="S243" s="192">
        <f>Calculations!S246</f>
        <v>151.25897248551115</v>
      </c>
      <c r="T243" s="192">
        <f>Calculations!T246</f>
        <v>155.79674166007646</v>
      </c>
      <c r="U243" s="192">
        <f>Calculations!U246</f>
        <v>160.47064390987876</v>
      </c>
      <c r="V243" s="192">
        <f>Calculations!V246</f>
        <v>165.28476322717512</v>
      </c>
      <c r="W243" s="192">
        <f>Calculations!W246</f>
        <v>170.24330612399038</v>
      </c>
      <c r="X243" s="192">
        <f>Calculations!X246</f>
        <v>175.35060530771011</v>
      </c>
      <c r="Y243" s="192">
        <f>Calculations!Y246</f>
        <v>180.61112346694142</v>
      </c>
      <c r="Z243" s="192">
        <f>Calculations!Z246</f>
        <v>186.02945717094966</v>
      </c>
      <c r="AA243" s="192">
        <f>Calculations!AA246</f>
        <v>191.61034088607818</v>
      </c>
      <c r="AB243" s="192">
        <f>Calculations!AB246</f>
        <v>197.35865111266051</v>
      </c>
      <c r="AC243" s="192">
        <f>Calculations!AC246</f>
        <v>203.27941064604033</v>
      </c>
      <c r="AD243" s="192">
        <f>Calculations!AD246</f>
        <v>209.37779296542152</v>
      </c>
      <c r="AE243" s="192">
        <f>Calculations!AE246</f>
        <v>215.65912675438415</v>
      </c>
      <c r="AF243" s="192">
        <f>Calculations!AF246</f>
        <v>222.1289005570157</v>
      </c>
      <c r="AG243" s="192">
        <f>Calculations!AG246</f>
        <v>228.79276757372617</v>
      </c>
      <c r="AH243" s="192">
        <f>Calculations!AH246</f>
        <v>235.656550600938</v>
      </c>
    </row>
    <row r="244" spans="1:65" s="18" customFormat="1" outlineLevel="1" x14ac:dyDescent="0.2">
      <c r="B244" s="57" t="str">
        <f>E225&amp; " - total annual cost in forecast period"</f>
        <v>Investment income - total annual cost in forecast period</v>
      </c>
      <c r="D244" s="10" t="str">
        <f>'Assumptions - General'!$E$27 &amp;" millions"</f>
        <v>R$ millions</v>
      </c>
      <c r="E244" s="192">
        <f>Calculations!E247</f>
        <v>70</v>
      </c>
      <c r="F244" s="192">
        <f>Calculations!F247</f>
        <v>72.099999999999994</v>
      </c>
      <c r="G244" s="192">
        <f>Calculations!G247</f>
        <v>74.263000000000005</v>
      </c>
      <c r="H244" s="192">
        <f>Calculations!H247</f>
        <v>76.490889999999993</v>
      </c>
      <c r="I244" s="192">
        <f>Calculations!I247</f>
        <v>78.785616700000006</v>
      </c>
      <c r="J244" s="192">
        <f>Calculations!J247</f>
        <v>81.149185201000009</v>
      </c>
      <c r="K244" s="192">
        <f>Calculations!K247</f>
        <v>83.583660757030003</v>
      </c>
      <c r="L244" s="192">
        <f>Calculations!L247</f>
        <v>86.091170579740918</v>
      </c>
      <c r="M244" s="192">
        <f>Calculations!M247</f>
        <v>88.673905697133151</v>
      </c>
      <c r="N244" s="192">
        <f>Calculations!N247</f>
        <v>91.334122868047146</v>
      </c>
      <c r="O244" s="192">
        <f>Calculations!O247</f>
        <v>94.074146554088557</v>
      </c>
      <c r="P244" s="192">
        <f>Calculations!P247</f>
        <v>96.896370950711216</v>
      </c>
      <c r="Q244" s="192">
        <f>Calculations!Q247</f>
        <v>99.803262079232553</v>
      </c>
      <c r="R244" s="192">
        <f>Calculations!R247</f>
        <v>102.79735994160954</v>
      </c>
      <c r="S244" s="192">
        <f>Calculations!S247</f>
        <v>105.88128073985784</v>
      </c>
      <c r="T244" s="192">
        <f>Calculations!T247</f>
        <v>109.05771916205357</v>
      </c>
      <c r="U244" s="192">
        <f>Calculations!U247</f>
        <v>112.32945073691519</v>
      </c>
      <c r="V244" s="192">
        <f>Calculations!V247</f>
        <v>115.69933425902263</v>
      </c>
      <c r="W244" s="192">
        <f>Calculations!W247</f>
        <v>119.17031428679333</v>
      </c>
      <c r="X244" s="192">
        <f>Calculations!X247</f>
        <v>122.74542371539714</v>
      </c>
      <c r="Y244" s="192">
        <f>Calculations!Y247</f>
        <v>126.42778642685906</v>
      </c>
      <c r="Z244" s="192">
        <f>Calculations!Z247</f>
        <v>130.22062001966484</v>
      </c>
      <c r="AA244" s="192">
        <f>Calculations!AA247</f>
        <v>134.12723862025476</v>
      </c>
      <c r="AB244" s="192">
        <f>Calculations!AB247</f>
        <v>138.15105577886243</v>
      </c>
      <c r="AC244" s="192">
        <f>Calculations!AC247</f>
        <v>142.29558745222832</v>
      </c>
      <c r="AD244" s="192">
        <f>Calculations!AD247</f>
        <v>146.56445507579514</v>
      </c>
      <c r="AE244" s="192">
        <f>Calculations!AE247</f>
        <v>150.96138872806904</v>
      </c>
      <c r="AF244" s="192">
        <f>Calculations!AF247</f>
        <v>155.49023038991109</v>
      </c>
      <c r="AG244" s="192">
        <f>Calculations!AG247</f>
        <v>160.15493730160844</v>
      </c>
      <c r="AH244" s="192">
        <f>Calculations!AH247</f>
        <v>164.95958542065668</v>
      </c>
    </row>
    <row r="245" spans="1:65" s="18" customFormat="1" outlineLevel="1" x14ac:dyDescent="0.2">
      <c r="B245" s="57" t="str">
        <f>E234&amp; " - total annual cost in forecast period"</f>
        <v>Other - total annual cost in forecast period</v>
      </c>
      <c r="D245" s="10" t="str">
        <f>'Assumptions - General'!$E$27 &amp;" millions"</f>
        <v>R$ millions</v>
      </c>
      <c r="E245" s="192">
        <f>Calculations!E249</f>
        <v>50</v>
      </c>
      <c r="F245" s="192">
        <f>Calculations!F249</f>
        <v>51.5</v>
      </c>
      <c r="G245" s="192">
        <f>Calculations!G249</f>
        <v>53.045000000000002</v>
      </c>
      <c r="H245" s="192">
        <f>Calculations!H249</f>
        <v>54.63635</v>
      </c>
      <c r="I245" s="192">
        <f>Calculations!I249</f>
        <v>56.275440500000002</v>
      </c>
      <c r="J245" s="192">
        <f>Calculations!J249</f>
        <v>57.963703714999994</v>
      </c>
      <c r="K245" s="192">
        <f>Calculations!K249</f>
        <v>59.702614826449995</v>
      </c>
      <c r="L245" s="192">
        <f>Calculations!L249</f>
        <v>61.493693271243508</v>
      </c>
      <c r="M245" s="192">
        <f>Calculations!M249</f>
        <v>63.338504069380811</v>
      </c>
      <c r="N245" s="192">
        <f>Calculations!N249</f>
        <v>65.238659191462233</v>
      </c>
      <c r="O245" s="192">
        <f>Calculations!O249</f>
        <v>67.195818967206108</v>
      </c>
      <c r="P245" s="192">
        <f>Calculations!P249</f>
        <v>69.211693536222285</v>
      </c>
      <c r="Q245" s="192">
        <f>Calculations!Q249</f>
        <v>71.28804434230895</v>
      </c>
      <c r="R245" s="192">
        <f>Calculations!R249</f>
        <v>73.42668567257823</v>
      </c>
      <c r="S245" s="192">
        <f>Calculations!S249</f>
        <v>75.629486242755576</v>
      </c>
      <c r="T245" s="192">
        <f>Calculations!T249</f>
        <v>77.898370830038232</v>
      </c>
      <c r="U245" s="192">
        <f>Calculations!U249</f>
        <v>80.23532195493938</v>
      </c>
      <c r="V245" s="192">
        <f>Calculations!V249</f>
        <v>82.64238161358756</v>
      </c>
      <c r="W245" s="192">
        <f>Calculations!W249</f>
        <v>85.12165306199519</v>
      </c>
      <c r="X245" s="192">
        <f>Calculations!X249</f>
        <v>87.675302653855056</v>
      </c>
      <c r="Y245" s="192">
        <f>Calculations!Y249</f>
        <v>90.305561733470711</v>
      </c>
      <c r="Z245" s="192">
        <f>Calculations!Z249</f>
        <v>93.014728585474828</v>
      </c>
      <c r="AA245" s="192">
        <f>Calculations!AA249</f>
        <v>95.805170443039088</v>
      </c>
      <c r="AB245" s="192">
        <f>Calculations!AB249</f>
        <v>98.679325556330255</v>
      </c>
      <c r="AC245" s="192">
        <f>Calculations!AC249</f>
        <v>101.63970532302017</v>
      </c>
      <c r="AD245" s="192">
        <f>Calculations!AD249</f>
        <v>104.68889648271076</v>
      </c>
      <c r="AE245" s="192">
        <f>Calculations!AE249</f>
        <v>107.82956337719207</v>
      </c>
      <c r="AF245" s="192">
        <f>Calculations!AF249</f>
        <v>111.06445027850785</v>
      </c>
      <c r="AG245" s="192">
        <f>Calculations!AG249</f>
        <v>114.39638378686308</v>
      </c>
      <c r="AH245" s="192">
        <f>Calculations!AH249</f>
        <v>117.828275300469</v>
      </c>
    </row>
    <row r="246" spans="1:65" s="18" customFormat="1" x14ac:dyDescent="0.2">
      <c r="A246" s="7" t="s">
        <v>405</v>
      </c>
      <c r="B246" s="20"/>
    </row>
    <row r="247" spans="1:65" s="18" customFormat="1" x14ac:dyDescent="0.2">
      <c r="A247" s="7"/>
      <c r="B247" s="20"/>
    </row>
    <row r="248" spans="1:65" s="320" customFormat="1" x14ac:dyDescent="0.2">
      <c r="B248" s="319" t="str">
        <f>"Public subsidy assumptions for "&amp;'Assumptions - General'!E24</f>
        <v>Public subsidy assumptions for Ruritania Freight Rail Company</v>
      </c>
    </row>
    <row r="250" spans="1:65" s="8" customFormat="1" ht="14" x14ac:dyDescent="0.2">
      <c r="B250" s="21" t="s">
        <v>610</v>
      </c>
      <c r="E250" s="208" t="str">
        <f>IF(E251=1,IF(AND(E254=1,SUM(E260:AH260)&gt;0),"WARNING: MANUAL INPUT OF SUBSIDY WITH MODEL CALCULATION",IF(AND(E254=2,SUM(E260:AH260)=0),"WARNING: SUBSIDY MISSING WITH MANUAL ENTRY"," "))," ")</f>
        <v xml:space="preserve"> </v>
      </c>
      <c r="F250" s="87" t="s">
        <v>33</v>
      </c>
    </row>
    <row r="251" spans="1:65" s="8" customFormat="1" ht="14" x14ac:dyDescent="0.2">
      <c r="B251" s="14" t="s">
        <v>251</v>
      </c>
      <c r="D251" s="8" t="s">
        <v>32</v>
      </c>
      <c r="E251" s="177">
        <f>IF(F250="Yes",1,2)</f>
        <v>1</v>
      </c>
      <c r="F251" s="87" t="s">
        <v>33</v>
      </c>
    </row>
    <row r="252" spans="1:65" s="8" customFormat="1" ht="14" x14ac:dyDescent="0.2">
      <c r="B252" s="14"/>
      <c r="E252" s="177"/>
      <c r="F252" s="87" t="s">
        <v>211</v>
      </c>
    </row>
    <row r="253" spans="1:65" s="8" customFormat="1" ht="14" x14ac:dyDescent="0.2">
      <c r="B253" s="14" t="str">
        <f>IF(E251=1,"Subsidy in first year"," ")</f>
        <v>Subsidy in first year</v>
      </c>
      <c r="D253" s="8" t="str">
        <f>IF(E251=1,'Assumptions - General'!$E$27 &amp;" millions"," ")</f>
        <v>R$ millions</v>
      </c>
      <c r="E253" s="181">
        <v>10</v>
      </c>
      <c r="F253" s="87" t="s">
        <v>355</v>
      </c>
    </row>
    <row r="254" spans="1:65" s="8" customFormat="1" ht="14" x14ac:dyDescent="0.2">
      <c r="B254" s="14" t="str">
        <f>IF(E251=1,IF(E251=1,"Let model calculate change in subsidy or enter it manually?"," ")," ")</f>
        <v>Let model calculate change in subsidy or enter it manually?</v>
      </c>
      <c r="D254" s="8" t="str">
        <f>IF(E251=1,"Select"," ")</f>
        <v>Select</v>
      </c>
      <c r="E254" s="177">
        <f>IF(F253="Model",1,2)</f>
        <v>1</v>
      </c>
      <c r="F254" s="87" t="s">
        <v>355</v>
      </c>
    </row>
    <row r="255" spans="1:65" s="8" customFormat="1" ht="14" x14ac:dyDescent="0.2">
      <c r="B255" s="14"/>
      <c r="E255" s="177"/>
      <c r="F255" s="87" t="s">
        <v>229</v>
      </c>
    </row>
    <row r="256" spans="1:65" s="8" customFormat="1" ht="14" x14ac:dyDescent="0.2">
      <c r="B256" s="14" t="str">
        <f>IF(E251=1,IF(E254=1,"If calculated, grow subsidy by inflation rate after year 1?"," ")," ")</f>
        <v>If calculated, grow subsidy by inflation rate after year 1?</v>
      </c>
      <c r="D256" s="8" t="str">
        <f>IF(E251=1,IF(E254=1,"yes/no"," ")," ")</f>
        <v>yes/no</v>
      </c>
      <c r="E256" s="177">
        <f>IF(F256="Yes",1,2)</f>
        <v>1</v>
      </c>
      <c r="F256" s="87" t="s">
        <v>33</v>
      </c>
    </row>
    <row r="257" spans="2:34" s="8" customFormat="1" ht="14" x14ac:dyDescent="0.2">
      <c r="B257" s="14"/>
      <c r="E257" s="177"/>
      <c r="F257" s="87"/>
    </row>
    <row r="258" spans="2:34" s="8" customFormat="1" ht="14" x14ac:dyDescent="0.2">
      <c r="B258" s="30" t="str">
        <f>IF(E251=1,IF(E254=1,"If yes, proportion of inflation indexation after year 1"," ")," ")</f>
        <v>If yes, proportion of inflation indexation after year 1</v>
      </c>
      <c r="D258" s="15" t="str">
        <f>IF(E251=1,IF(E254=1,"%"," ")," ")</f>
        <v>%</v>
      </c>
      <c r="E258" s="188">
        <f>F258/100</f>
        <v>1</v>
      </c>
      <c r="F258" s="87">
        <v>100</v>
      </c>
    </row>
    <row r="259" spans="2:34" x14ac:dyDescent="0.2">
      <c r="B259" s="30" t="str">
        <f>IF(E251=1,IF(E254=1,"Enter additional annual change"," ")," ")</f>
        <v>Enter additional annual change</v>
      </c>
      <c r="D259" s="15" t="str">
        <f>IF(E251=1,IF(E254=1,"%"," ")," ")</f>
        <v>%</v>
      </c>
      <c r="E259" s="190"/>
      <c r="F259" s="111"/>
      <c r="G259" s="111"/>
      <c r="H259" s="111"/>
      <c r="I259" s="111"/>
      <c r="J259" s="111"/>
      <c r="K259" s="111"/>
      <c r="L259" s="111"/>
      <c r="M259" s="111"/>
      <c r="N259" s="111"/>
      <c r="O259" s="111"/>
      <c r="P259" s="111"/>
      <c r="Q259" s="111"/>
      <c r="R259" s="111"/>
      <c r="S259" s="111"/>
      <c r="T259" s="111"/>
      <c r="U259" s="111"/>
      <c r="V259" s="111"/>
      <c r="W259" s="111"/>
      <c r="X259" s="111"/>
      <c r="Y259" s="111"/>
      <c r="Z259" s="111"/>
      <c r="AA259" s="111"/>
      <c r="AB259" s="111"/>
      <c r="AC259" s="111"/>
      <c r="AD259" s="111"/>
      <c r="AE259" s="111"/>
      <c r="AF259" s="111"/>
      <c r="AG259" s="111"/>
      <c r="AH259" s="111"/>
    </row>
    <row r="260" spans="2:34" s="8" customFormat="1" ht="14" x14ac:dyDescent="0.2">
      <c r="B260" s="14" t="str">
        <f>IF(E251=1,IF(E254=1," ","If entered manually, define annual subsidy")," ")</f>
        <v xml:space="preserve"> </v>
      </c>
      <c r="D260" s="8" t="str">
        <f>IF(E251=1,IF(E254=1," ",'Assumptions - General'!$E$27 &amp;" millions")," ")</f>
        <v xml:space="preserve"> </v>
      </c>
      <c r="E260" s="180"/>
      <c r="F260" s="239"/>
      <c r="G260" s="239"/>
      <c r="H260" s="239"/>
      <c r="I260" s="239"/>
      <c r="J260" s="239"/>
      <c r="K260" s="239"/>
      <c r="L260" s="239"/>
      <c r="M260" s="239"/>
      <c r="N260" s="239"/>
      <c r="O260" s="239"/>
      <c r="P260" s="239"/>
      <c r="Q260" s="239"/>
      <c r="R260" s="239"/>
      <c r="S260" s="239"/>
      <c r="T260" s="239"/>
      <c r="U260" s="239"/>
      <c r="V260" s="239"/>
      <c r="W260" s="239"/>
      <c r="X260" s="239"/>
      <c r="Y260" s="239"/>
      <c r="Z260" s="239"/>
      <c r="AA260" s="239"/>
      <c r="AB260" s="239"/>
      <c r="AC260" s="239"/>
      <c r="AD260" s="239"/>
      <c r="AE260" s="239"/>
      <c r="AF260" s="239"/>
      <c r="AG260" s="239"/>
      <c r="AH260" s="239"/>
    </row>
    <row r="261" spans="2:34" s="8" customFormat="1" ht="14" x14ac:dyDescent="0.2">
      <c r="B261" s="21" t="s">
        <v>609</v>
      </c>
      <c r="C261" s="440" t="str">
        <f>IF(E262=1,IF(SUM(E278:AH278)&gt;0,"WARNING: CAPITAL SUBSIDY&gt;CAPEX"," ")," ")</f>
        <v xml:space="preserve"> </v>
      </c>
      <c r="E261" s="208" t="str">
        <f>IF(E262=1,IF(AND(E266=1,SUM(E272:AH272)&gt;0),"WARNING: MANUAL INPUT OF SUBSDIY WITH MODEL CALCULATION",IF(AND(E266=2,SUM(E272:AH272)=0),"WARNING: SUBSIDY MISSING WITH MANUAL ENTRY"," "))," ")</f>
        <v xml:space="preserve"> </v>
      </c>
      <c r="F261" s="87" t="s">
        <v>33</v>
      </c>
    </row>
    <row r="262" spans="2:34" s="8" customFormat="1" ht="14" x14ac:dyDescent="0.2">
      <c r="B262" s="14" t="s">
        <v>251</v>
      </c>
      <c r="D262" s="8" t="s">
        <v>32</v>
      </c>
      <c r="E262" s="177">
        <f>IF(F261="Yes",1,2)</f>
        <v>1</v>
      </c>
      <c r="F262" s="87" t="s">
        <v>33</v>
      </c>
    </row>
    <row r="263" spans="2:34" s="8" customFormat="1" ht="14" x14ac:dyDescent="0.2">
      <c r="B263" s="14"/>
      <c r="E263" s="177"/>
      <c r="F263" s="87" t="s">
        <v>211</v>
      </c>
    </row>
    <row r="264" spans="2:34" s="8" customFormat="1" ht="14" x14ac:dyDescent="0.2">
      <c r="B264" s="14" t="str">
        <f>IF(E262=1,"Subsidy in first year"," ")</f>
        <v>Subsidy in first year</v>
      </c>
      <c r="D264" s="8" t="str">
        <f>IF(E262=1,'Assumptions - General'!$E$27 &amp;" millions"," ")</f>
        <v>R$ millions</v>
      </c>
      <c r="E264" s="181">
        <v>10</v>
      </c>
    </row>
    <row r="265" spans="2:34" s="8" customFormat="1" ht="14" x14ac:dyDescent="0.2">
      <c r="B265" s="14" t="str">
        <f>IF(E262=1,"Amortization of grant in first year", " ")</f>
        <v>Amortization of grant in first year</v>
      </c>
      <c r="D265" s="8" t="str">
        <f>D264</f>
        <v>R$ millions</v>
      </c>
      <c r="E265" s="181">
        <v>2</v>
      </c>
      <c r="F265" s="87" t="s">
        <v>355</v>
      </c>
    </row>
    <row r="266" spans="2:34" s="8" customFormat="1" ht="14" x14ac:dyDescent="0.2">
      <c r="B266" s="14" t="str">
        <f>IF(E262=1,IF(E262=1,"Let model calculate change in subsidy or enter it manually?"," ")," ")</f>
        <v>Let model calculate change in subsidy or enter it manually?</v>
      </c>
      <c r="D266" s="8" t="str">
        <f>IF(E262=1,"Select"," ")</f>
        <v>Select</v>
      </c>
      <c r="E266" s="177">
        <f>IF(F265="Model",1,2)</f>
        <v>1</v>
      </c>
      <c r="F266" s="87" t="s">
        <v>355</v>
      </c>
      <c r="G266" s="213"/>
    </row>
    <row r="267" spans="2:34" s="8" customFormat="1" ht="14" x14ac:dyDescent="0.2">
      <c r="B267" s="14"/>
      <c r="E267" s="177"/>
      <c r="F267" s="87" t="s">
        <v>229</v>
      </c>
      <c r="G267" s="226"/>
    </row>
    <row r="268" spans="2:34" s="8" customFormat="1" ht="14" x14ac:dyDescent="0.2">
      <c r="B268" s="14" t="str">
        <f>IF(E262=1,IF(E266=1,"If calculated, grow subsidy by inflation rate after year 1?"," ")," ")</f>
        <v>If calculated, grow subsidy by inflation rate after year 1?</v>
      </c>
      <c r="D268" s="8" t="str">
        <f>IF(E262=1,IF(E266=1,"yes/no"," ")," ")</f>
        <v>yes/no</v>
      </c>
      <c r="E268" s="177">
        <f>IF(F268="Yes",1,2)</f>
        <v>1</v>
      </c>
      <c r="F268" s="87" t="s">
        <v>33</v>
      </c>
      <c r="G268" s="226"/>
    </row>
    <row r="269" spans="2:34" s="8" customFormat="1" ht="14" x14ac:dyDescent="0.2">
      <c r="B269" s="14"/>
      <c r="E269" s="177"/>
      <c r="F269" s="87"/>
      <c r="G269" s="226"/>
    </row>
    <row r="270" spans="2:34" s="8" customFormat="1" ht="14" x14ac:dyDescent="0.2">
      <c r="B270" s="30" t="str">
        <f>IF(E262=1,IF(E266=1,"If yes, proportion of inflation indexation after year 1"," ")," ")</f>
        <v>If yes, proportion of inflation indexation after year 1</v>
      </c>
      <c r="D270" s="15" t="str">
        <f>IF(E262=1,IF(E266=1,"%"," ")," ")</f>
        <v>%</v>
      </c>
      <c r="E270" s="188">
        <f>F270/100</f>
        <v>1</v>
      </c>
      <c r="F270" s="87">
        <v>100</v>
      </c>
    </row>
    <row r="271" spans="2:34" s="8" customFormat="1" ht="14" x14ac:dyDescent="0.2">
      <c r="B271" s="30" t="str">
        <f>IF(E262=1,IF(E266=1,"Enter additional annual change"," ")," ")</f>
        <v>Enter additional annual change</v>
      </c>
      <c r="D271" s="15" t="str">
        <f>IF(E262=1,IF(E266=1,"%"," ")," ")</f>
        <v>%</v>
      </c>
      <c r="E271" s="180"/>
      <c r="F271" s="111"/>
      <c r="G271" s="435"/>
      <c r="H271" s="111"/>
      <c r="I271" s="111"/>
      <c r="J271" s="111"/>
      <c r="K271" s="111"/>
      <c r="L271" s="111"/>
      <c r="M271" s="111"/>
      <c r="N271" s="111"/>
      <c r="O271" s="111"/>
      <c r="P271" s="111"/>
      <c r="Q271" s="111"/>
      <c r="R271" s="111"/>
      <c r="S271" s="111"/>
      <c r="T271" s="111"/>
      <c r="U271" s="111"/>
      <c r="V271" s="111"/>
      <c r="W271" s="111"/>
      <c r="X271" s="111"/>
      <c r="Y271" s="111"/>
      <c r="Z271" s="111"/>
      <c r="AA271" s="111"/>
      <c r="AB271" s="111"/>
      <c r="AC271" s="111"/>
      <c r="AD271" s="111"/>
      <c r="AE271" s="111"/>
      <c r="AF271" s="111"/>
      <c r="AG271" s="111"/>
      <c r="AH271" s="111"/>
    </row>
    <row r="272" spans="2:34" s="8" customFormat="1" ht="14" x14ac:dyDescent="0.2">
      <c r="B272" s="14" t="str">
        <f>IF(E262=1,IF(E266=1," ","If entered manually, define annual subsidy")," ")</f>
        <v xml:space="preserve"> </v>
      </c>
      <c r="D272" s="15" t="str">
        <f>IF(E262=1,IF(E266=1," ",'Assumptions - General'!$E$27 &amp;" millions")," ")</f>
        <v xml:space="preserve"> </v>
      </c>
      <c r="E272" s="180"/>
      <c r="F272" s="438"/>
      <c r="G272" s="439"/>
      <c r="H272" s="438"/>
      <c r="I272" s="438"/>
      <c r="J272" s="438"/>
      <c r="K272" s="438"/>
      <c r="L272" s="438"/>
      <c r="M272" s="438"/>
      <c r="N272" s="438"/>
      <c r="O272" s="438"/>
      <c r="P272" s="438"/>
      <c r="Q272" s="438"/>
      <c r="R272" s="438"/>
      <c r="S272" s="438"/>
      <c r="T272" s="438"/>
      <c r="U272" s="438"/>
      <c r="V272" s="438"/>
      <c r="W272" s="438"/>
      <c r="X272" s="438"/>
      <c r="Y272" s="438"/>
      <c r="Z272" s="438"/>
      <c r="AA272" s="438"/>
      <c r="AB272" s="438"/>
      <c r="AC272" s="438"/>
      <c r="AD272" s="438"/>
      <c r="AE272" s="438"/>
      <c r="AF272" s="438"/>
      <c r="AG272" s="438"/>
      <c r="AH272" s="438"/>
    </row>
    <row r="273" spans="1:34" s="20" customFormat="1" ht="14" x14ac:dyDescent="0.2">
      <c r="B273" s="230"/>
      <c r="D273" s="81"/>
      <c r="E273" s="180"/>
      <c r="F273" s="81"/>
      <c r="G273" s="436"/>
      <c r="H273" s="81"/>
      <c r="I273" s="81"/>
      <c r="J273" s="81"/>
      <c r="K273" s="81"/>
      <c r="L273" s="81"/>
      <c r="M273" s="81"/>
      <c r="N273" s="81"/>
      <c r="O273" s="81"/>
      <c r="P273" s="81"/>
      <c r="Q273" s="81"/>
      <c r="R273" s="81"/>
      <c r="S273" s="81"/>
      <c r="T273" s="81"/>
      <c r="U273" s="81"/>
      <c r="V273" s="81"/>
      <c r="W273" s="81"/>
      <c r="X273" s="81"/>
      <c r="Y273" s="81"/>
      <c r="Z273" s="81"/>
      <c r="AA273" s="81"/>
      <c r="AB273" s="81"/>
      <c r="AC273" s="81"/>
      <c r="AD273" s="81"/>
      <c r="AE273" s="81"/>
      <c r="AF273" s="81"/>
      <c r="AG273" s="81"/>
      <c r="AH273" s="81"/>
    </row>
    <row r="274" spans="1:34" s="8" customFormat="1" ht="14" outlineLevel="1" x14ac:dyDescent="0.2">
      <c r="B274" s="14" t="s">
        <v>615</v>
      </c>
      <c r="D274" s="8" t="str">
        <f>'Assumptions - General'!$E$27 &amp;" millions"</f>
        <v>R$ millions</v>
      </c>
      <c r="E274" s="213">
        <f>Calculations!E254</f>
        <v>10</v>
      </c>
      <c r="F274" s="213">
        <f>Calculations!F254</f>
        <v>10.3</v>
      </c>
      <c r="G274" s="213">
        <f>Calculations!G254</f>
        <v>10.609000000000002</v>
      </c>
      <c r="H274" s="213">
        <f>Calculations!H254</f>
        <v>10.927270000000002</v>
      </c>
      <c r="I274" s="213">
        <f>Calculations!I254</f>
        <v>11.255088100000002</v>
      </c>
      <c r="J274" s="213">
        <f>Calculations!J254</f>
        <v>11.592740743000002</v>
      </c>
      <c r="K274" s="213">
        <f>Calculations!K254</f>
        <v>11.940522965290002</v>
      </c>
      <c r="L274" s="213">
        <f>Calculations!L254</f>
        <v>12.298738654248703</v>
      </c>
      <c r="M274" s="213">
        <f>Calculations!M254</f>
        <v>12.667700813876165</v>
      </c>
      <c r="N274" s="213">
        <f>Calculations!N254</f>
        <v>13.047731838292449</v>
      </c>
      <c r="O274" s="213">
        <f>Calculations!O254</f>
        <v>13.439163793441223</v>
      </c>
      <c r="P274" s="213">
        <f>Calculations!P254</f>
        <v>13.84233870724446</v>
      </c>
      <c r="Q274" s="213">
        <f>Calculations!Q254</f>
        <v>14.257608868461794</v>
      </c>
      <c r="R274" s="213">
        <f>Calculations!R254</f>
        <v>14.685337134515649</v>
      </c>
      <c r="S274" s="213">
        <f>Calculations!S254</f>
        <v>15.125897248551119</v>
      </c>
      <c r="T274" s="213">
        <f>Calculations!T254</f>
        <v>15.579674166007653</v>
      </c>
      <c r="U274" s="213">
        <f>Calculations!U254</f>
        <v>16.047064390987885</v>
      </c>
      <c r="V274" s="213">
        <f>Calculations!V254</f>
        <v>16.52847632271752</v>
      </c>
      <c r="W274" s="213">
        <f>Calculations!W254</f>
        <v>17.024330612399044</v>
      </c>
      <c r="X274" s="213">
        <f>Calculations!X254</f>
        <v>17.535060530771016</v>
      </c>
      <c r="Y274" s="213">
        <f>Calculations!Y254</f>
        <v>18.061112346694149</v>
      </c>
      <c r="Z274" s="213">
        <f>Calculations!Z254</f>
        <v>18.602945717094972</v>
      </c>
      <c r="AA274" s="213">
        <f>Calculations!AA254</f>
        <v>19.161034088607821</v>
      </c>
      <c r="AB274" s="213">
        <f>Calculations!AB254</f>
        <v>19.735865111266055</v>
      </c>
      <c r="AC274" s="213">
        <f>Calculations!AC254</f>
        <v>20.327941064604037</v>
      </c>
      <c r="AD274" s="213">
        <f>Calculations!AD254</f>
        <v>20.937779296542157</v>
      </c>
      <c r="AE274" s="213">
        <f>Calculations!AE254</f>
        <v>21.565912675438422</v>
      </c>
      <c r="AF274" s="213">
        <f>Calculations!AF254</f>
        <v>22.212890055701575</v>
      </c>
      <c r="AG274" s="213">
        <f>Calculations!AG254</f>
        <v>22.879276757372622</v>
      </c>
      <c r="AH274" s="213">
        <f>Calculations!AH254</f>
        <v>23.565655060093803</v>
      </c>
    </row>
    <row r="275" spans="1:34" s="8" customFormat="1" ht="14" outlineLevel="1" x14ac:dyDescent="0.2">
      <c r="B275" s="14" t="s">
        <v>616</v>
      </c>
      <c r="D275" s="8" t="str">
        <f>'Assumptions - General'!$E$27 &amp;" millions"</f>
        <v>R$ millions</v>
      </c>
      <c r="E275" s="213">
        <f>Calculations!E255</f>
        <v>10</v>
      </c>
      <c r="F275" s="213">
        <f>Calculations!F255</f>
        <v>10.3</v>
      </c>
      <c r="G275" s="213">
        <f>Calculations!G255</f>
        <v>10.609000000000002</v>
      </c>
      <c r="H275" s="213">
        <f>Calculations!H255</f>
        <v>10.927270000000002</v>
      </c>
      <c r="I275" s="213">
        <f>Calculations!I255</f>
        <v>11.255088100000002</v>
      </c>
      <c r="J275" s="213">
        <f>Calculations!J255</f>
        <v>11.592740743000002</v>
      </c>
      <c r="K275" s="213">
        <f>Calculations!K255</f>
        <v>11.940522965290002</v>
      </c>
      <c r="L275" s="213">
        <f>Calculations!L255</f>
        <v>12.298738654248703</v>
      </c>
      <c r="M275" s="213">
        <f>Calculations!M255</f>
        <v>12.667700813876165</v>
      </c>
      <c r="N275" s="213">
        <f>Calculations!N255</f>
        <v>13.047731838292449</v>
      </c>
      <c r="O275" s="213">
        <f>Calculations!O255</f>
        <v>13.439163793441223</v>
      </c>
      <c r="P275" s="213">
        <f>Calculations!P255</f>
        <v>13.84233870724446</v>
      </c>
      <c r="Q275" s="213">
        <f>Calculations!Q255</f>
        <v>14.257608868461794</v>
      </c>
      <c r="R275" s="213">
        <f>Calculations!R255</f>
        <v>14.685337134515649</v>
      </c>
      <c r="S275" s="213">
        <f>Calculations!S255</f>
        <v>15.125897248551119</v>
      </c>
      <c r="T275" s="213">
        <f>Calculations!T255</f>
        <v>15.579674166007653</v>
      </c>
      <c r="U275" s="213">
        <f>Calculations!U255</f>
        <v>16.047064390987885</v>
      </c>
      <c r="V275" s="213">
        <f>Calculations!V255</f>
        <v>16.52847632271752</v>
      </c>
      <c r="W275" s="213">
        <f>Calculations!W255</f>
        <v>17.024330612399044</v>
      </c>
      <c r="X275" s="213">
        <f>Calculations!X255</f>
        <v>17.535060530771016</v>
      </c>
      <c r="Y275" s="213">
        <f>Calculations!Y255</f>
        <v>18.061112346694149</v>
      </c>
      <c r="Z275" s="213">
        <f>Calculations!Z255</f>
        <v>18.602945717094972</v>
      </c>
      <c r="AA275" s="213">
        <f>Calculations!AA255</f>
        <v>19.161034088607821</v>
      </c>
      <c r="AB275" s="213">
        <f>Calculations!AB255</f>
        <v>19.735865111266055</v>
      </c>
      <c r="AC275" s="213">
        <f>Calculations!AC255</f>
        <v>20.327941064604037</v>
      </c>
      <c r="AD275" s="213">
        <f>Calculations!AD255</f>
        <v>20.937779296542157</v>
      </c>
      <c r="AE275" s="213">
        <f>Calculations!AE255</f>
        <v>21.565912675438422</v>
      </c>
      <c r="AF275" s="213">
        <f>Calculations!AF255</f>
        <v>22.212890055701575</v>
      </c>
      <c r="AG275" s="213">
        <f>Calculations!AG255</f>
        <v>22.879276757372622</v>
      </c>
      <c r="AH275" s="213">
        <f>Calculations!AH255</f>
        <v>23.565655060093803</v>
      </c>
    </row>
    <row r="276" spans="1:34" s="8" customFormat="1" ht="14" outlineLevel="1" x14ac:dyDescent="0.2">
      <c r="B276" s="14" t="s">
        <v>643</v>
      </c>
      <c r="D276" s="8" t="str">
        <f>'Assumptions - General'!$E$27 &amp;" millions"</f>
        <v>R$ millions</v>
      </c>
      <c r="E276" s="213">
        <f>Calculations!E256</f>
        <v>2</v>
      </c>
      <c r="F276" s="213">
        <f>Calculations!F256</f>
        <v>2.48</v>
      </c>
      <c r="G276" s="213">
        <f>Calculations!G256</f>
        <v>3.5145725834897883</v>
      </c>
      <c r="H276" s="213">
        <f>Calculations!H256</f>
        <v>3.8305909231502353</v>
      </c>
      <c r="I276" s="213">
        <f>Calculations!I256</f>
        <v>4.1606137600309614</v>
      </c>
      <c r="J276" s="213">
        <f>Calculations!J256</f>
        <v>4.5031966187950427</v>
      </c>
      <c r="K276" s="213">
        <f>Calculations!K256</f>
        <v>4.8582163490764172</v>
      </c>
      <c r="L276" s="213">
        <f>Calculations!L256</f>
        <v>4.6258545097833208</v>
      </c>
      <c r="M276" s="213">
        <f>Calculations!M256</f>
        <v>4.9656475422793864</v>
      </c>
      <c r="N276" s="213">
        <f>Calculations!N256</f>
        <v>5.3759564060824481</v>
      </c>
      <c r="O276" s="213">
        <f>Calculations!O256</f>
        <v>5.79985701465327</v>
      </c>
      <c r="P276" s="213">
        <f>Calculations!P256</f>
        <v>6.2376434526647886</v>
      </c>
      <c r="Q276" s="213">
        <f>Calculations!Q256</f>
        <v>6.6896576145081612</v>
      </c>
      <c r="R276" s="213">
        <f>Calculations!R256</f>
        <v>7.1562751363319146</v>
      </c>
      <c r="S276" s="213">
        <f>Calculations!S256</f>
        <v>7.6378977754211697</v>
      </c>
      <c r="T276" s="213">
        <f>Calculations!T256</f>
        <v>8.1349491183758147</v>
      </c>
      <c r="U276" s="213">
        <f>Calculations!U256</f>
        <v>8.6478721148744118</v>
      </c>
      <c r="V276" s="213">
        <f>Calculations!V256</f>
        <v>8.8098791301024324</v>
      </c>
      <c r="W276" s="213">
        <f>Calculations!W256</f>
        <v>8.6399453563639064</v>
      </c>
      <c r="X276" s="213">
        <f>Calculations!X256</f>
        <v>9.206709999965808</v>
      </c>
      <c r="Y276" s="213">
        <f>Calculations!Y256</f>
        <v>9.7906344545065043</v>
      </c>
      <c r="Z276" s="213">
        <f>Calculations!Z256</f>
        <v>10.292201200173249</v>
      </c>
      <c r="AA276" s="213">
        <f>Calculations!AA256</f>
        <v>10.911912778364274</v>
      </c>
      <c r="AB276" s="213">
        <f>Calculations!AB256</f>
        <v>11.550291172155207</v>
      </c>
      <c r="AC276" s="213">
        <f>Calculations!AC256</f>
        <v>12.207877475809065</v>
      </c>
      <c r="AD276" s="213">
        <f>Calculations!AD256</f>
        <v>12.885231774894047</v>
      </c>
      <c r="AE276" s="213">
        <f>Calculations!AE256</f>
        <v>13.582933183373807</v>
      </c>
      <c r="AF276" s="213">
        <f>Calculations!AF256</f>
        <v>14.301580000399996</v>
      </c>
      <c r="AG276" s="213">
        <f>Calculations!AG256</f>
        <v>15.041789960540127</v>
      </c>
      <c r="AH276" s="213">
        <f>Calculations!AH256</f>
        <v>15.804200558700584</v>
      </c>
    </row>
    <row r="277" spans="1:34" x14ac:dyDescent="0.2">
      <c r="A277" s="7" t="s">
        <v>405</v>
      </c>
      <c r="B277" s="14"/>
      <c r="D277" s="15"/>
      <c r="F277" s="441">
        <f t="shared" ref="F277:AH277" si="15">IF(F275&gt;F46,1,0)</f>
        <v>0</v>
      </c>
      <c r="G277" s="441">
        <f t="shared" si="15"/>
        <v>0</v>
      </c>
      <c r="H277" s="441">
        <f t="shared" si="15"/>
        <v>0</v>
      </c>
      <c r="I277" s="441">
        <f t="shared" si="15"/>
        <v>0</v>
      </c>
      <c r="J277" s="441">
        <f t="shared" si="15"/>
        <v>0</v>
      </c>
      <c r="K277" s="441">
        <f t="shared" si="15"/>
        <v>0</v>
      </c>
      <c r="L277" s="441">
        <f t="shared" si="15"/>
        <v>0</v>
      </c>
      <c r="M277" s="441">
        <f t="shared" si="15"/>
        <v>0</v>
      </c>
      <c r="N277" s="441">
        <f t="shared" si="15"/>
        <v>0</v>
      </c>
      <c r="O277" s="441">
        <f t="shared" si="15"/>
        <v>0</v>
      </c>
      <c r="P277" s="441">
        <f t="shared" si="15"/>
        <v>0</v>
      </c>
      <c r="Q277" s="441">
        <f t="shared" si="15"/>
        <v>0</v>
      </c>
      <c r="R277" s="441">
        <f t="shared" si="15"/>
        <v>0</v>
      </c>
      <c r="S277" s="441">
        <f t="shared" si="15"/>
        <v>0</v>
      </c>
      <c r="T277" s="441">
        <f t="shared" si="15"/>
        <v>0</v>
      </c>
      <c r="U277" s="441">
        <f t="shared" si="15"/>
        <v>0</v>
      </c>
      <c r="V277" s="441">
        <f t="shared" si="15"/>
        <v>0</v>
      </c>
      <c r="W277" s="441">
        <f t="shared" si="15"/>
        <v>0</v>
      </c>
      <c r="X277" s="441">
        <f t="shared" si="15"/>
        <v>0</v>
      </c>
      <c r="Y277" s="441">
        <f t="shared" si="15"/>
        <v>0</v>
      </c>
      <c r="Z277" s="441">
        <f t="shared" si="15"/>
        <v>0</v>
      </c>
      <c r="AA277" s="441">
        <f t="shared" si="15"/>
        <v>0</v>
      </c>
      <c r="AB277" s="441">
        <f t="shared" si="15"/>
        <v>0</v>
      </c>
      <c r="AC277" s="441">
        <f t="shared" si="15"/>
        <v>0</v>
      </c>
      <c r="AD277" s="441">
        <f t="shared" si="15"/>
        <v>0</v>
      </c>
      <c r="AE277" s="441">
        <f t="shared" si="15"/>
        <v>0</v>
      </c>
      <c r="AF277" s="441">
        <f t="shared" si="15"/>
        <v>0</v>
      </c>
      <c r="AG277" s="441">
        <f t="shared" si="15"/>
        <v>0</v>
      </c>
      <c r="AH277" s="441">
        <f t="shared" si="15"/>
        <v>0</v>
      </c>
    </row>
    <row r="278" spans="1:34" collapsed="1" x14ac:dyDescent="0.2">
      <c r="A278" s="8"/>
      <c r="B278" s="14"/>
      <c r="D278" s="15"/>
      <c r="F278" s="81"/>
      <c r="G278" s="81"/>
      <c r="H278" s="81"/>
      <c r="I278" s="81"/>
      <c r="J278" s="81"/>
      <c r="K278" s="81"/>
      <c r="L278" s="81"/>
      <c r="M278" s="81"/>
      <c r="N278" s="81"/>
      <c r="O278" s="81"/>
      <c r="P278" s="81"/>
      <c r="Q278" s="81"/>
      <c r="R278" s="81"/>
      <c r="S278" s="81"/>
      <c r="T278" s="81"/>
      <c r="U278" s="81"/>
      <c r="V278" s="81"/>
      <c r="W278" s="81"/>
      <c r="X278" s="81"/>
      <c r="Y278" s="81"/>
      <c r="Z278" s="81"/>
      <c r="AA278" s="81"/>
      <c r="AB278" s="81"/>
      <c r="AC278" s="81"/>
      <c r="AD278" s="81"/>
      <c r="AE278" s="81"/>
      <c r="AF278" s="81"/>
      <c r="AG278" s="81"/>
      <c r="AH278" s="81"/>
    </row>
    <row r="279" spans="1:34" s="320" customFormat="1" x14ac:dyDescent="0.2">
      <c r="B279" s="319" t="s">
        <v>538</v>
      </c>
      <c r="E279" s="319" t="str">
        <f>IF(AND('Scenarios - Infra'!F3=1,OR('Scenarios - Infra'!D20=1,'Scenarios - Infra'!E20=1)),"NOTE: SCENARIO ANALYSIS TRACK ACCESS CHARGE ASSUMPTIONS IN USE"," ")</f>
        <v xml:space="preserve"> </v>
      </c>
    </row>
    <row r="281" spans="1:34" s="8" customFormat="1" ht="14" x14ac:dyDescent="0.2">
      <c r="B281" s="21" t="s">
        <v>87</v>
      </c>
    </row>
    <row r="282" spans="1:34" s="8" customFormat="1" ht="14" x14ac:dyDescent="0.2">
      <c r="B282" s="89" t="s">
        <v>367</v>
      </c>
      <c r="D282" s="8" t="str">
        <f>'Assumptions - General'!$E$27 &amp;"/GTK"</f>
        <v>R$/GTK</v>
      </c>
      <c r="E282" s="181">
        <v>0.25</v>
      </c>
    </row>
    <row r="283" spans="1:34" s="8" customFormat="1" ht="14" x14ac:dyDescent="0.2">
      <c r="B283" s="89" t="s">
        <v>367</v>
      </c>
      <c r="D283" s="8" t="str">
        <f>'Assumptions - General'!$E$27 &amp;"/Train-km"</f>
        <v>R$/Train-km</v>
      </c>
      <c r="E283" s="181">
        <v>0.25</v>
      </c>
    </row>
    <row r="284" spans="1:34" s="8" customFormat="1" ht="14" x14ac:dyDescent="0.2">
      <c r="B284" s="14" t="s">
        <v>36</v>
      </c>
      <c r="D284" s="8" t="s">
        <v>32</v>
      </c>
      <c r="E284" s="177">
        <f>IF(F284="Yes",1,2)</f>
        <v>1</v>
      </c>
      <c r="F284" s="87" t="s">
        <v>33</v>
      </c>
    </row>
    <row r="285" spans="1:34" s="8" customFormat="1" ht="14" x14ac:dyDescent="0.2">
      <c r="B285" s="14"/>
      <c r="E285" s="177"/>
      <c r="F285" s="87"/>
    </row>
    <row r="286" spans="1:34" s="8" customFormat="1" ht="14" x14ac:dyDescent="0.2">
      <c r="B286" s="14" t="s">
        <v>34</v>
      </c>
      <c r="D286" s="15" t="s">
        <v>15</v>
      </c>
      <c r="E286" s="188">
        <f>F286/100</f>
        <v>1</v>
      </c>
      <c r="F286" s="87">
        <v>100</v>
      </c>
    </row>
    <row r="287" spans="1:34" s="8" customFormat="1" ht="14" x14ac:dyDescent="0.2">
      <c r="B287" s="30" t="s">
        <v>401</v>
      </c>
      <c r="D287" s="15" t="s">
        <v>15</v>
      </c>
      <c r="E287" s="180"/>
      <c r="F287" s="188"/>
      <c r="G287" s="188"/>
      <c r="H287" s="188"/>
      <c r="I287" s="188"/>
      <c r="J287" s="188"/>
      <c r="K287" s="188"/>
      <c r="L287" s="188"/>
      <c r="M287" s="188"/>
      <c r="N287" s="188"/>
      <c r="O287" s="188"/>
      <c r="P287" s="188"/>
      <c r="Q287" s="188"/>
      <c r="R287" s="188"/>
      <c r="S287" s="188"/>
      <c r="T287" s="188"/>
      <c r="U287" s="188"/>
      <c r="V287" s="188"/>
      <c r="W287" s="188"/>
      <c r="X287" s="188"/>
      <c r="Y287" s="188"/>
      <c r="Z287" s="188"/>
      <c r="AA287" s="188"/>
      <c r="AB287" s="188"/>
      <c r="AC287" s="188"/>
      <c r="AD287" s="188"/>
      <c r="AE287" s="188"/>
      <c r="AF287" s="188"/>
      <c r="AG287" s="188"/>
      <c r="AH287" s="188"/>
    </row>
    <row r="288" spans="1:34" s="8" customFormat="1" ht="14" x14ac:dyDescent="0.2">
      <c r="B288" s="14"/>
      <c r="D288" s="15"/>
      <c r="E288" s="180"/>
      <c r="F288" s="220"/>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row>
    <row r="289" spans="1:64" s="8" customFormat="1" ht="14" outlineLevel="1" x14ac:dyDescent="0.2">
      <c r="B289" s="14" t="s">
        <v>403</v>
      </c>
      <c r="D289" s="15" t="str">
        <f>D282</f>
        <v>R$/GTK</v>
      </c>
      <c r="E289" s="212"/>
      <c r="F289" s="222">
        <f>Calculations!F1115</f>
        <v>0.25750000000000001</v>
      </c>
      <c r="G289" s="222">
        <f>Calculations!G1115</f>
        <v>0.26522499999999999</v>
      </c>
      <c r="H289" s="222">
        <f>Calculations!H1115</f>
        <v>0.27318175</v>
      </c>
      <c r="I289" s="222">
        <f>Calculations!I1115</f>
        <v>0.28137720250000003</v>
      </c>
      <c r="J289" s="222">
        <f>Calculations!J1115</f>
        <v>0.28981851857500002</v>
      </c>
      <c r="K289" s="222">
        <f>Calculations!K1115</f>
        <v>0.29851307413225003</v>
      </c>
      <c r="L289" s="222">
        <f>Calculations!L1115</f>
        <v>0.30746846635621755</v>
      </c>
      <c r="M289" s="222">
        <f>Calculations!M1115</f>
        <v>0.31669252034690409</v>
      </c>
      <c r="N289" s="222">
        <f>Calculations!N1115</f>
        <v>0.32619329595731122</v>
      </c>
      <c r="O289" s="222">
        <f>Calculations!O1115</f>
        <v>0.33597909483603056</v>
      </c>
      <c r="P289" s="222">
        <f>Calculations!P1115</f>
        <v>0.34605846768111148</v>
      </c>
      <c r="Q289" s="222">
        <f>Calculations!Q1115</f>
        <v>0.35644022171154482</v>
      </c>
      <c r="R289" s="222">
        <f>Calculations!R1115</f>
        <v>0.3671334283628912</v>
      </c>
      <c r="S289" s="222">
        <f>Calculations!S1115</f>
        <v>0.37814743121377797</v>
      </c>
      <c r="T289" s="222">
        <f>Calculations!T1115</f>
        <v>0.38949185415019133</v>
      </c>
      <c r="U289" s="222">
        <f>Calculations!U1115</f>
        <v>0.4011766097746971</v>
      </c>
      <c r="V289" s="222">
        <f>Calculations!V1115</f>
        <v>0.41321190806793801</v>
      </c>
      <c r="W289" s="222">
        <f>Calculations!W1115</f>
        <v>0.42560826530997614</v>
      </c>
      <c r="X289" s="222">
        <f>Calculations!X1115</f>
        <v>0.43837651326927546</v>
      </c>
      <c r="Y289" s="222">
        <f>Calculations!Y1115</f>
        <v>0.45152780866735376</v>
      </c>
      <c r="Z289" s="222">
        <f>Calculations!Z1115</f>
        <v>0.46507364292737441</v>
      </c>
      <c r="AA289" s="222">
        <f>Calculations!AA1115</f>
        <v>0.47902585221519567</v>
      </c>
      <c r="AB289" s="222">
        <f>Calculations!AB1115</f>
        <v>0.49339662778165155</v>
      </c>
      <c r="AC289" s="222">
        <f>Calculations!AC1115</f>
        <v>0.50819852661510112</v>
      </c>
      <c r="AD289" s="222">
        <f>Calculations!AD1115</f>
        <v>0.52344448241355412</v>
      </c>
      <c r="AE289" s="222">
        <f>Calculations!AE1115</f>
        <v>0.53914781688596081</v>
      </c>
      <c r="AF289" s="222">
        <f>Calculations!AF1115</f>
        <v>0.55532225139253966</v>
      </c>
      <c r="AG289" s="222">
        <f>Calculations!AG1115</f>
        <v>0.57198191893431582</v>
      </c>
      <c r="AH289" s="222">
        <f>Calculations!AH1115</f>
        <v>0.58914137650234533</v>
      </c>
    </row>
    <row r="290" spans="1:64" s="8" customFormat="1" ht="14" outlineLevel="1" x14ac:dyDescent="0.2">
      <c r="B290" s="14" t="s">
        <v>403</v>
      </c>
      <c r="D290" s="15" t="str">
        <f>D283</f>
        <v>R$/Train-km</v>
      </c>
      <c r="E290" s="212"/>
      <c r="F290" s="222">
        <f>Calculations!F1116</f>
        <v>0.25750000000000001</v>
      </c>
      <c r="G290" s="222">
        <f>Calculations!G1116</f>
        <v>0.26522499999999999</v>
      </c>
      <c r="H290" s="222">
        <f>Calculations!H1116</f>
        <v>0.27318175</v>
      </c>
      <c r="I290" s="222">
        <f>Calculations!I1116</f>
        <v>0.28137720250000003</v>
      </c>
      <c r="J290" s="222">
        <f>Calculations!J1116</f>
        <v>0.28981851857500002</v>
      </c>
      <c r="K290" s="222">
        <f>Calculations!K1116</f>
        <v>0.29851307413225003</v>
      </c>
      <c r="L290" s="222">
        <f>Calculations!L1116</f>
        <v>0.30746846635621755</v>
      </c>
      <c r="M290" s="222">
        <f>Calculations!M1116</f>
        <v>0.31669252034690409</v>
      </c>
      <c r="N290" s="222">
        <f>Calculations!N1116</f>
        <v>0.32619329595731122</v>
      </c>
      <c r="O290" s="222">
        <f>Calculations!O1116</f>
        <v>0.33597909483603056</v>
      </c>
      <c r="P290" s="222">
        <f>Calculations!P1116</f>
        <v>0.34605846768111148</v>
      </c>
      <c r="Q290" s="222">
        <f>Calculations!Q1116</f>
        <v>0.35644022171154482</v>
      </c>
      <c r="R290" s="222">
        <f>Calculations!R1116</f>
        <v>0.3671334283628912</v>
      </c>
      <c r="S290" s="222">
        <f>Calculations!S1116</f>
        <v>0.37814743121377797</v>
      </c>
      <c r="T290" s="222">
        <f>Calculations!T1116</f>
        <v>0.38949185415019133</v>
      </c>
      <c r="U290" s="222">
        <f>Calculations!U1116</f>
        <v>0.4011766097746971</v>
      </c>
      <c r="V290" s="222">
        <f>Calculations!V1116</f>
        <v>0.41321190806793801</v>
      </c>
      <c r="W290" s="222">
        <f>Calculations!W1116</f>
        <v>0.42560826530997614</v>
      </c>
      <c r="X290" s="222">
        <f>Calculations!X1116</f>
        <v>0.43837651326927546</v>
      </c>
      <c r="Y290" s="222">
        <f>Calculations!Y1116</f>
        <v>0.45152780866735376</v>
      </c>
      <c r="Z290" s="222">
        <f>Calculations!Z1116</f>
        <v>0.46507364292737441</v>
      </c>
      <c r="AA290" s="222">
        <f>Calculations!AA1116</f>
        <v>0.47902585221519567</v>
      </c>
      <c r="AB290" s="222">
        <f>Calculations!AB1116</f>
        <v>0.49339662778165155</v>
      </c>
      <c r="AC290" s="222">
        <f>Calculations!AC1116</f>
        <v>0.50819852661510112</v>
      </c>
      <c r="AD290" s="222">
        <f>Calculations!AD1116</f>
        <v>0.52344448241355412</v>
      </c>
      <c r="AE290" s="222">
        <f>Calculations!AE1116</f>
        <v>0.53914781688596081</v>
      </c>
      <c r="AF290" s="222">
        <f>Calculations!AF1116</f>
        <v>0.55532225139253966</v>
      </c>
      <c r="AG290" s="222">
        <f>Calculations!AG1116</f>
        <v>0.57198191893431582</v>
      </c>
      <c r="AH290" s="222">
        <f>Calculations!AH1116</f>
        <v>0.58914137650234533</v>
      </c>
    </row>
    <row r="291" spans="1:64" s="8" customFormat="1" ht="14" x14ac:dyDescent="0.2">
      <c r="A291" s="7" t="s">
        <v>405</v>
      </c>
      <c r="B291" s="14"/>
      <c r="D291" s="15"/>
      <c r="E291" s="212"/>
      <c r="F291" s="222"/>
      <c r="G291" s="222"/>
      <c r="H291" s="222"/>
      <c r="I291" s="222"/>
      <c r="J291" s="222"/>
      <c r="K291" s="222"/>
      <c r="L291" s="222"/>
      <c r="M291" s="222"/>
      <c r="N291" s="222"/>
      <c r="O291" s="222"/>
      <c r="P291" s="222"/>
      <c r="Q291" s="222"/>
      <c r="R291" s="222"/>
      <c r="S291" s="222"/>
      <c r="T291" s="222"/>
      <c r="U291" s="222"/>
      <c r="V291" s="222"/>
      <c r="W291" s="222"/>
      <c r="X291" s="222"/>
      <c r="Y291" s="222"/>
      <c r="Z291" s="222"/>
      <c r="AA291" s="222"/>
      <c r="AB291" s="222"/>
      <c r="AC291" s="222"/>
      <c r="AD291" s="222"/>
      <c r="AE291" s="222"/>
      <c r="AF291" s="222"/>
      <c r="AG291" s="222"/>
      <c r="AH291" s="222"/>
    </row>
    <row r="292" spans="1:64" s="8" customFormat="1" ht="14" collapsed="1" x14ac:dyDescent="0.2">
      <c r="B292" s="14"/>
      <c r="D292" s="15"/>
      <c r="E292" s="212"/>
      <c r="F292" s="222"/>
      <c r="G292" s="222"/>
      <c r="H292" s="222"/>
      <c r="I292" s="222"/>
      <c r="J292" s="222"/>
      <c r="K292" s="222"/>
      <c r="L292" s="222"/>
      <c r="M292" s="222"/>
      <c r="N292" s="222"/>
      <c r="O292" s="222"/>
      <c r="P292" s="222"/>
      <c r="Q292" s="222"/>
      <c r="R292" s="222"/>
      <c r="S292" s="222"/>
      <c r="T292" s="222"/>
      <c r="U292" s="222"/>
      <c r="V292" s="222"/>
      <c r="W292" s="222"/>
      <c r="X292" s="222"/>
      <c r="Y292" s="222"/>
      <c r="Z292" s="222"/>
      <c r="AA292" s="222"/>
      <c r="AB292" s="222"/>
      <c r="AC292" s="222"/>
      <c r="AD292" s="222"/>
      <c r="AE292" s="222"/>
      <c r="AF292" s="222"/>
      <c r="AG292" s="222"/>
      <c r="AH292" s="222"/>
    </row>
    <row r="293" spans="1:64" s="320" customFormat="1" x14ac:dyDescent="0.2">
      <c r="B293" s="319" t="str">
        <f>"Operating costs of " &amp;'Assumptions - General'!$E$24</f>
        <v>Operating costs of Ruritania Freight Rail Company</v>
      </c>
    </row>
    <row r="295" spans="1:64" s="8" customFormat="1" ht="14" x14ac:dyDescent="0.2">
      <c r="B295" s="16" t="s">
        <v>376</v>
      </c>
      <c r="D295" s="8" t="s">
        <v>32</v>
      </c>
      <c r="E295" s="177">
        <f>IF(F295="Yes",1,2)</f>
        <v>1</v>
      </c>
      <c r="F295" s="87" t="s">
        <v>33</v>
      </c>
    </row>
    <row r="296" spans="1:64" s="8" customFormat="1" ht="14" x14ac:dyDescent="0.2">
      <c r="B296" s="16"/>
      <c r="E296" s="182"/>
    </row>
    <row r="297" spans="1:64" outlineLevel="1" x14ac:dyDescent="0.2">
      <c r="B297" s="8" t="s">
        <v>474</v>
      </c>
      <c r="C297" s="8"/>
      <c r="D297" s="287">
        <f>IF('Scenarios - Consolidated'!F3=1,1,'Scenarios - Freight'!F3)</f>
        <v>2</v>
      </c>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row>
    <row r="298" spans="1:64" outlineLevel="1" x14ac:dyDescent="0.2">
      <c r="B298" s="8" t="s">
        <v>479</v>
      </c>
      <c r="C298" s="8"/>
      <c r="D298" s="224">
        <f>IF(AND('Scenarios - Consolidated'!F3=1,'Scenarios - Consolidated'!H20=1),'Scenarios - Consolidated'!H25,'Scenarios - Freight'!H25)</f>
        <v>1</v>
      </c>
      <c r="E298" s="9"/>
      <c r="F298" s="9"/>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row>
    <row r="299" spans="1:64" x14ac:dyDescent="0.2">
      <c r="B299" s="7" t="s">
        <v>473</v>
      </c>
      <c r="C299" s="8"/>
      <c r="D299" s="8"/>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row>
    <row r="300" spans="1:64" x14ac:dyDescent="0.2">
      <c r="B300" s="7"/>
      <c r="C300" s="8"/>
      <c r="D300" s="8"/>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row>
    <row r="301" spans="1:64" s="8" customFormat="1" ht="14" x14ac:dyDescent="0.2">
      <c r="B301" s="21" t="s">
        <v>37</v>
      </c>
      <c r="E301" s="183"/>
    </row>
    <row r="302" spans="1:64" s="8" customFormat="1" ht="14" x14ac:dyDescent="0.2">
      <c r="B302" s="14" t="s">
        <v>377</v>
      </c>
      <c r="D302" s="10" t="str">
        <f>'Assumptions - General'!$E$27 &amp;" millions"</f>
        <v>R$ millions</v>
      </c>
      <c r="E302" s="176">
        <v>1000</v>
      </c>
    </row>
    <row r="303" spans="1:64" s="8" customFormat="1" ht="14" x14ac:dyDescent="0.2">
      <c r="B303" s="215" t="s">
        <v>379</v>
      </c>
      <c r="E303" s="182"/>
      <c r="F303" s="87"/>
    </row>
    <row r="304" spans="1:64" s="8" customFormat="1" ht="14" x14ac:dyDescent="0.2">
      <c r="B304" s="211" t="s">
        <v>255</v>
      </c>
      <c r="D304" s="15" t="s">
        <v>15</v>
      </c>
      <c r="E304" s="188">
        <f>F304/100</f>
        <v>1</v>
      </c>
      <c r="F304" s="87">
        <v>100</v>
      </c>
    </row>
    <row r="305" spans="2:65" s="407" customFormat="1" ht="14" x14ac:dyDescent="0.2">
      <c r="B305" s="449" t="s">
        <v>681</v>
      </c>
      <c r="D305" s="450" t="s">
        <v>39</v>
      </c>
      <c r="E305" s="451">
        <f>IF(D297=1,E14*D298,E14)</f>
        <v>15000</v>
      </c>
      <c r="F305" s="451">
        <f>IF($E$305&lt;&gt;0,IF(Calculations!F$16=1,E305*(1+(F14/E14-1)*$E$304),0),0)</f>
        <v>15000</v>
      </c>
      <c r="G305" s="451">
        <f>IF($E$305&lt;&gt;0,IF(Calculations!G$16=1,F305*(1+(G14/F14-1)*$E$304),0),0)</f>
        <v>15000</v>
      </c>
      <c r="H305" s="451">
        <f>IF($E$305&lt;&gt;0,IF(Calculations!H$16=1,G305*(1+(H14/G14-1)*$E$304),0),0)</f>
        <v>18000</v>
      </c>
      <c r="I305" s="451">
        <f>IF($E$305&lt;&gt;0,IF(Calculations!I$16=1,H305*(1+(I14/H14-1)*$E$304),0),0)</f>
        <v>20000</v>
      </c>
      <c r="J305" s="451">
        <f>IF($E$305&lt;&gt;0,IF(Calculations!J$16=1,I305*(1+(J14/I14-1)*$E$304),0),0)</f>
        <v>20000</v>
      </c>
      <c r="K305" s="451">
        <f>IF($E$305&lt;&gt;0,IF(Calculations!K$16=1,J305*(1+(K14/J14-1)*$E$304),0),0)</f>
        <v>20000</v>
      </c>
      <c r="L305" s="451">
        <f>IF($E$305&lt;&gt;0,IF(Calculations!L$16=1,K305*(1+(L14/K14-1)*$E$304),0),0)</f>
        <v>20000</v>
      </c>
      <c r="M305" s="451">
        <f>IF($E$305&lt;&gt;0,IF(Calculations!M$16=1,L305*(1+(M14/L14-1)*$E$304),0),0)</f>
        <v>20000</v>
      </c>
      <c r="N305" s="451">
        <f>IF($E$305&lt;&gt;0,IF(Calculations!N$16=1,M305*(1+(N14/M14-1)*$E$304),0),0)</f>
        <v>20000</v>
      </c>
      <c r="O305" s="451">
        <f>IF($E$305&lt;&gt;0,IF(Calculations!O$16=1,N305*(1+(O14/N14-1)*$E$304),0),0)</f>
        <v>20000</v>
      </c>
      <c r="P305" s="451">
        <f>IF($E$305&lt;&gt;0,IF(Calculations!P$16=1,O305*(1+(P14/O14-1)*$E$304),0),0)</f>
        <v>20000</v>
      </c>
      <c r="Q305" s="451">
        <f>IF($E$305&lt;&gt;0,IF(Calculations!Q$16=1,P305*(1+(Q14/P14-1)*$E$304),0),0)</f>
        <v>20000</v>
      </c>
      <c r="R305" s="451">
        <f>IF($E$305&lt;&gt;0,IF(Calculations!R$16=1,Q305*(1+(R14/Q14-1)*$E$304),0),0)</f>
        <v>20000</v>
      </c>
      <c r="S305" s="451">
        <f>IF($E$305&lt;&gt;0,IF(Calculations!S$16=1,R305*(1+(S14/R14-1)*$E$304),0),0)</f>
        <v>20000</v>
      </c>
      <c r="T305" s="451">
        <f>IF($E$305&lt;&gt;0,IF(Calculations!T$16=1,S305*(1+(T14/S14-1)*$E$304),0),0)</f>
        <v>20000</v>
      </c>
      <c r="U305" s="451">
        <f>IF($E$305&lt;&gt;0,IF(Calculations!U$16=1,T305*(1+(U14/T14-1)*$E$304),0),0)</f>
        <v>20000</v>
      </c>
      <c r="V305" s="451">
        <f>IF($E$305&lt;&gt;0,IF(Calculations!V$16=1,U305*(1+(V14/U14-1)*$E$304),0),0)</f>
        <v>20000</v>
      </c>
      <c r="W305" s="451">
        <f>IF($E$305&lt;&gt;0,IF(Calculations!W$16=1,V305*(1+(W14/V14-1)*$E$304),0),0)</f>
        <v>20000</v>
      </c>
      <c r="X305" s="451">
        <f>IF($E$305&lt;&gt;0,IF(Calculations!X$16=1,W305*(1+(X14/W14-1)*$E$304),0),0)</f>
        <v>20000</v>
      </c>
      <c r="Y305" s="451">
        <f>IF($E$305&lt;&gt;0,IF(Calculations!Y$16=1,X305*(1+(Y14/X14-1)*$E$304),0),0)</f>
        <v>20000</v>
      </c>
      <c r="Z305" s="451">
        <f>IF($E$305&lt;&gt;0,IF(Calculations!Z$16=1,Y305*(1+(Z14/Y14-1)*$E$304),0),0)</f>
        <v>20000</v>
      </c>
      <c r="AA305" s="451">
        <f>IF($E$305&lt;&gt;0,IF(Calculations!AA$16=1,Z305*(1+(AA14/Z14-1)*$E$304),0),0)</f>
        <v>20000</v>
      </c>
      <c r="AB305" s="451">
        <f>IF($E$305&lt;&gt;0,IF(Calculations!AB$16=1,AA305*(1+(AB14/AA14-1)*$E$304),0),0)</f>
        <v>20000</v>
      </c>
      <c r="AC305" s="451">
        <f>IF($E$305&lt;&gt;0,IF(Calculations!AC$16=1,AB305*(1+(AC14/AB14-1)*$E$304),0),0)</f>
        <v>20000</v>
      </c>
      <c r="AD305" s="451">
        <f>IF($E$305&lt;&gt;0,IF(Calculations!AD$16=1,AC305*(1+(AD14/AC14-1)*$E$304),0),0)</f>
        <v>20000</v>
      </c>
      <c r="AE305" s="451">
        <f>IF($E$305&lt;&gt;0,IF(Calculations!AE$16=1,AD305*(1+(AE14/AD14-1)*$E$304),0),0)</f>
        <v>20000</v>
      </c>
      <c r="AF305" s="451">
        <f>IF($E$305&lt;&gt;0,IF(Calculations!AF$16=1,AE305*(1+(AF14/AE14-1)*$E$304),0),0)</f>
        <v>20000</v>
      </c>
      <c r="AG305" s="451">
        <f>IF($E$305&lt;&gt;0,IF(Calculations!AG$16=1,AF305*(1+(AG14/AF14-1)*$E$304),0),0)</f>
        <v>20000</v>
      </c>
      <c r="AH305" s="451">
        <f>IF($E$305&lt;&gt;0,IF(Calculations!AH$16=1,AG305*(1+(AH14/AG14-1)*$E$304),0),0)</f>
        <v>20000</v>
      </c>
    </row>
    <row r="306" spans="2:65" s="8" customFormat="1" ht="14" x14ac:dyDescent="0.2">
      <c r="B306" s="215" t="s">
        <v>569</v>
      </c>
      <c r="D306" s="15"/>
      <c r="E306" s="180"/>
      <c r="F306" s="220"/>
      <c r="G306" s="183"/>
      <c r="H306" s="183"/>
      <c r="I306" s="183"/>
      <c r="J306" s="183"/>
      <c r="K306" s="183"/>
      <c r="L306" s="183"/>
      <c r="M306" s="183"/>
      <c r="N306" s="183"/>
      <c r="O306" s="183"/>
      <c r="P306" s="183"/>
      <c r="Q306" s="183"/>
      <c r="R306" s="183"/>
      <c r="S306" s="183"/>
      <c r="T306" s="183"/>
      <c r="U306" s="183"/>
      <c r="V306" s="183"/>
      <c r="W306" s="183"/>
      <c r="X306" s="183"/>
      <c r="Y306" s="183"/>
      <c r="Z306" s="183"/>
      <c r="AA306" s="183"/>
      <c r="AB306" s="183"/>
      <c r="AC306" s="183"/>
      <c r="AD306" s="183"/>
      <c r="AE306" s="183"/>
      <c r="AF306" s="183"/>
      <c r="AG306" s="183"/>
      <c r="AH306" s="183"/>
    </row>
    <row r="307" spans="2:65" s="8" customFormat="1" ht="14" x14ac:dyDescent="0.2">
      <c r="B307" s="211" t="s">
        <v>38</v>
      </c>
      <c r="D307" s="8" t="s">
        <v>15</v>
      </c>
      <c r="E307" s="188">
        <f>IF(E295=2,0,F307/100)</f>
        <v>1</v>
      </c>
      <c r="F307" s="220">
        <v>100</v>
      </c>
      <c r="G307" s="183"/>
      <c r="H307" s="183"/>
      <c r="I307" s="183"/>
      <c r="J307" s="183"/>
      <c r="K307" s="183"/>
      <c r="L307" s="183"/>
      <c r="M307" s="183"/>
      <c r="N307" s="183"/>
      <c r="O307" s="183"/>
      <c r="P307" s="183"/>
      <c r="Q307" s="183"/>
      <c r="R307" s="183"/>
      <c r="S307" s="183"/>
      <c r="T307" s="183"/>
      <c r="U307" s="183"/>
      <c r="V307" s="183"/>
      <c r="W307" s="183"/>
      <c r="X307" s="183"/>
      <c r="Y307" s="183"/>
      <c r="Z307" s="183"/>
      <c r="AA307" s="183"/>
      <c r="AB307" s="183"/>
      <c r="AC307" s="183"/>
      <c r="AD307" s="183"/>
      <c r="AE307" s="183"/>
      <c r="AF307" s="183"/>
      <c r="AG307" s="183"/>
      <c r="AH307" s="183"/>
    </row>
    <row r="308" spans="2:65" s="20" customFormat="1" ht="14" x14ac:dyDescent="0.2">
      <c r="B308" s="216" t="s">
        <v>378</v>
      </c>
      <c r="D308" s="10" t="str">
        <f>'Assumptions - General'!$E$27&amp;" per staff member"</f>
        <v>R$ per staff member</v>
      </c>
      <c r="E308" s="192">
        <f>IF(E302&gt;0,(E302/E14)*1000000,0)</f>
        <v>66666.666666666672</v>
      </c>
      <c r="F308" s="192">
        <f>E308*(1+F309)*IF($E$295=1,($E307*'Assumptions - General'!F37+1),1)</f>
        <v>68666.666666666672</v>
      </c>
      <c r="G308" s="192">
        <f>F308*(1+G309)*IF($E$295=1,($E307*'Assumptions - General'!G37+1),1)</f>
        <v>70726.666666666672</v>
      </c>
      <c r="H308" s="192">
        <f>G308*(1+H309)*IF($E$295=1,($E307*'Assumptions - General'!H37+1),1)</f>
        <v>72848.466666666674</v>
      </c>
      <c r="I308" s="192">
        <f>H308*(1+I309)*IF($E$295=1,($E307*'Assumptions - General'!I37+1),1)</f>
        <v>75033.920666666672</v>
      </c>
      <c r="J308" s="192">
        <f>I308*(1+J309)*IF($E$295=1,($E307*'Assumptions - General'!J37+1),1)</f>
        <v>77284.938286666671</v>
      </c>
      <c r="K308" s="192">
        <f>J308*(1+K309)*IF($E$295=1,($E307*'Assumptions - General'!K37+1),1)</f>
        <v>79603.486435266677</v>
      </c>
      <c r="L308" s="192">
        <f>K308*(1+L309)*IF($E$295=1,($E307*'Assumptions - General'!L37+1),1)</f>
        <v>81991.591028324678</v>
      </c>
      <c r="M308" s="192">
        <f>L308*(1+M309)*IF($E$295=1,($E307*'Assumptions - General'!M37+1),1)</f>
        <v>84451.338759174425</v>
      </c>
      <c r="N308" s="192">
        <f>M308*(1+N309)*IF($E$295=1,($E307*'Assumptions - General'!N37+1),1)</f>
        <v>86984.878921949654</v>
      </c>
      <c r="O308" s="192">
        <f>N308*(1+O309)*IF($E$295=1,($E307*'Assumptions - General'!O37+1),1)</f>
        <v>89594.425289608145</v>
      </c>
      <c r="P308" s="192">
        <f>O308*(1+P309)*IF($E$295=1,($E307*'Assumptions - General'!P37+1),1)</f>
        <v>92282.258048296397</v>
      </c>
      <c r="Q308" s="192">
        <f>P308*(1+Q309)*IF($E$295=1,($E307*'Assumptions - General'!Q37+1),1)</f>
        <v>95050.725789745295</v>
      </c>
      <c r="R308" s="192">
        <f>Q308*(1+R309)*IF($E$295=1,($E307*'Assumptions - General'!R37+1),1)</f>
        <v>97902.247563437661</v>
      </c>
      <c r="S308" s="192">
        <f>R308*(1+S309)*IF($E$295=1,($E307*'Assumptions - General'!S37+1),1)</f>
        <v>100839.31499034079</v>
      </c>
      <c r="T308" s="192">
        <f>S308*(1+T309)*IF($E$295=1,($E307*'Assumptions - General'!T37+1),1)</f>
        <v>103864.49444005101</v>
      </c>
      <c r="U308" s="192">
        <f>T308*(1+U309)*IF($E$295=1,($E307*'Assumptions - General'!U37+1),1)</f>
        <v>106980.42927325255</v>
      </c>
      <c r="V308" s="192">
        <f>U308*(1+V309)*IF($E$295=1,($E307*'Assumptions - General'!V37+1),1)</f>
        <v>110189.84215145012</v>
      </c>
      <c r="W308" s="192">
        <f>V308*(1+W309)*IF($E$295=1,($E307*'Assumptions - General'!W37+1),1)</f>
        <v>113495.53741599363</v>
      </c>
      <c r="X308" s="192">
        <f>W308*(1+X309)*IF($E$295=1,($E307*'Assumptions - General'!X37+1),1)</f>
        <v>116900.40353847345</v>
      </c>
      <c r="Y308" s="192">
        <f>X308*(1+Y309)*IF($E$295=1,($E307*'Assumptions - General'!Y37+1),1)</f>
        <v>120407.41564462765</v>
      </c>
      <c r="Z308" s="192">
        <f>Y308*(1+Z309)*IF($E$295=1,($E307*'Assumptions - General'!Z37+1),1)</f>
        <v>124019.63811396647</v>
      </c>
      <c r="AA308" s="192">
        <f>Z308*(1+AA309)*IF($E$295=1,($E307*'Assumptions - General'!AA37+1),1)</f>
        <v>127740.22725738547</v>
      </c>
      <c r="AB308" s="192">
        <f>AA308*(1+AB309)*IF($E$295=1,($E307*'Assumptions - General'!AB37+1),1)</f>
        <v>131572.43407510704</v>
      </c>
      <c r="AC308" s="192">
        <f>AB308*(1+AC309)*IF($E$295=1,($E307*'Assumptions - General'!AC37+1),1)</f>
        <v>135519.60709736025</v>
      </c>
      <c r="AD308" s="192">
        <f>AC308*(1+AD309)*IF($E$295=1,($E307*'Assumptions - General'!AD37+1),1)</f>
        <v>139585.19531028107</v>
      </c>
      <c r="AE308" s="192">
        <f>AD308*(1+AE309)*IF($E$295=1,($E307*'Assumptions - General'!AE37+1),1)</f>
        <v>143772.75116958949</v>
      </c>
      <c r="AF308" s="192">
        <f>AE308*(1+AF309)*IF($E$295=1,($E307*'Assumptions - General'!AF37+1),1)</f>
        <v>148085.93370467718</v>
      </c>
      <c r="AG308" s="192">
        <f>AF308*(1+AG309)*IF($E$295=1,($E307*'Assumptions - General'!AG37+1),1)</f>
        <v>152528.5117158175</v>
      </c>
      <c r="AH308" s="192">
        <f>AG308*(1+AH309)*IF($E$295=1,($E307*'Assumptions - General'!AH37+1),1)</f>
        <v>157104.36706729201</v>
      </c>
    </row>
    <row r="309" spans="2:65" x14ac:dyDescent="0.2">
      <c r="B309" s="30" t="s">
        <v>401</v>
      </c>
      <c r="D309" s="15" t="s">
        <v>15</v>
      </c>
      <c r="E309" s="190"/>
      <c r="F309" s="188">
        <v>0</v>
      </c>
      <c r="G309" s="188">
        <v>0</v>
      </c>
      <c r="H309" s="188">
        <v>0</v>
      </c>
      <c r="I309" s="188">
        <v>0</v>
      </c>
      <c r="J309" s="188">
        <v>0</v>
      </c>
      <c r="K309" s="188">
        <v>0</v>
      </c>
      <c r="L309" s="188">
        <v>0</v>
      </c>
      <c r="M309" s="188">
        <v>0</v>
      </c>
      <c r="N309" s="188">
        <v>0</v>
      </c>
      <c r="O309" s="188">
        <v>0</v>
      </c>
      <c r="P309" s="188">
        <v>0</v>
      </c>
      <c r="Q309" s="188">
        <v>0</v>
      </c>
      <c r="R309" s="188">
        <v>0</v>
      </c>
      <c r="S309" s="188">
        <v>0</v>
      </c>
      <c r="T309" s="188">
        <v>0</v>
      </c>
      <c r="U309" s="188">
        <v>0</v>
      </c>
      <c r="V309" s="188">
        <v>0</v>
      </c>
      <c r="W309" s="188">
        <v>0</v>
      </c>
      <c r="X309" s="188">
        <v>0</v>
      </c>
      <c r="Y309" s="188">
        <v>0</v>
      </c>
      <c r="Z309" s="188">
        <v>0</v>
      </c>
      <c r="AA309" s="188">
        <v>0</v>
      </c>
      <c r="AB309" s="188">
        <v>0</v>
      </c>
      <c r="AC309" s="188">
        <v>0</v>
      </c>
      <c r="AD309" s="188">
        <v>0</v>
      </c>
      <c r="AE309" s="188">
        <v>0</v>
      </c>
      <c r="AF309" s="188">
        <v>0</v>
      </c>
      <c r="AG309" s="188">
        <v>0</v>
      </c>
      <c r="AH309" s="188">
        <v>0</v>
      </c>
    </row>
    <row r="310" spans="2:65" s="18" customFormat="1" x14ac:dyDescent="0.2">
      <c r="B310" s="32"/>
      <c r="D310" s="81"/>
      <c r="E310" s="204"/>
      <c r="F310" s="180"/>
      <c r="G310" s="180"/>
      <c r="H310" s="180"/>
      <c r="I310" s="180"/>
      <c r="J310" s="180"/>
      <c r="K310" s="180"/>
      <c r="L310" s="180"/>
      <c r="M310" s="180"/>
      <c r="N310" s="180"/>
      <c r="O310" s="180"/>
      <c r="P310" s="180"/>
      <c r="Q310" s="180"/>
      <c r="R310" s="180"/>
      <c r="S310" s="180"/>
      <c r="T310" s="180"/>
      <c r="U310" s="180"/>
      <c r="V310" s="180"/>
      <c r="W310" s="180"/>
      <c r="X310" s="180"/>
      <c r="Y310" s="180"/>
      <c r="Z310" s="180"/>
      <c r="AA310" s="180"/>
      <c r="AB310" s="180"/>
      <c r="AC310" s="180"/>
      <c r="AD310" s="180"/>
      <c r="AE310" s="180"/>
      <c r="AF310" s="180"/>
      <c r="AG310" s="180"/>
      <c r="AH310" s="180"/>
    </row>
    <row r="311" spans="2:65" s="8" customFormat="1" ht="14" x14ac:dyDescent="0.2">
      <c r="B311" s="21" t="s">
        <v>40</v>
      </c>
      <c r="E311" s="182"/>
      <c r="F311" s="220"/>
      <c r="G311" s="183"/>
      <c r="H311" s="183"/>
      <c r="I311" s="183"/>
      <c r="J311" s="183"/>
      <c r="K311" s="183"/>
      <c r="L311" s="183"/>
      <c r="M311" s="183"/>
      <c r="N311" s="183"/>
      <c r="O311" s="183"/>
      <c r="P311" s="183"/>
      <c r="Q311" s="183"/>
      <c r="R311" s="183"/>
      <c r="S311" s="183"/>
      <c r="T311" s="183"/>
      <c r="U311" s="183"/>
      <c r="V311" s="183"/>
      <c r="W311" s="183"/>
      <c r="X311" s="183"/>
      <c r="Y311" s="183"/>
      <c r="Z311" s="183"/>
      <c r="AA311" s="183"/>
      <c r="AB311" s="183"/>
      <c r="AC311" s="183"/>
      <c r="AD311" s="183"/>
      <c r="AE311" s="183"/>
      <c r="AF311" s="183"/>
      <c r="AG311" s="183"/>
      <c r="AH311" s="183"/>
    </row>
    <row r="312" spans="2:65" s="8" customFormat="1" ht="14" x14ac:dyDescent="0.2">
      <c r="B312" s="14" t="s">
        <v>377</v>
      </c>
      <c r="D312" s="10" t="str">
        <f>'Assumptions - General'!$E$27 &amp;" millions"</f>
        <v>R$ millions</v>
      </c>
      <c r="E312" s="176">
        <v>500</v>
      </c>
      <c r="F312" s="183"/>
      <c r="G312" s="183"/>
      <c r="H312" s="183"/>
      <c r="I312" s="183"/>
      <c r="J312" s="183"/>
      <c r="K312" s="183"/>
      <c r="L312" s="183"/>
      <c r="M312" s="183"/>
      <c r="N312" s="183"/>
      <c r="O312" s="183"/>
      <c r="P312" s="183"/>
      <c r="Q312" s="183"/>
      <c r="R312" s="183"/>
      <c r="S312" s="183"/>
      <c r="T312" s="183"/>
      <c r="U312" s="183"/>
      <c r="V312" s="183"/>
      <c r="W312" s="183"/>
      <c r="X312" s="183"/>
      <c r="Y312" s="183"/>
      <c r="Z312" s="183"/>
      <c r="AA312" s="183"/>
      <c r="AB312" s="183"/>
      <c r="AC312" s="183"/>
      <c r="AD312" s="183"/>
      <c r="AE312" s="183"/>
      <c r="AF312" s="183"/>
      <c r="AG312" s="183"/>
      <c r="AH312" s="183"/>
    </row>
    <row r="313" spans="2:65" s="8" customFormat="1" ht="14" x14ac:dyDescent="0.2">
      <c r="B313" s="215" t="s">
        <v>380</v>
      </c>
      <c r="E313" s="193"/>
      <c r="F313" s="219"/>
      <c r="G313" s="219"/>
      <c r="H313" s="219"/>
      <c r="I313" s="219"/>
      <c r="J313" s="219"/>
      <c r="K313" s="219"/>
      <c r="L313" s="219"/>
      <c r="M313" s="219"/>
      <c r="N313" s="219"/>
      <c r="O313" s="219"/>
      <c r="P313" s="219"/>
      <c r="Q313" s="219"/>
      <c r="R313" s="219"/>
      <c r="S313" s="219"/>
      <c r="T313" s="219"/>
      <c r="U313" s="219"/>
      <c r="V313" s="219"/>
      <c r="W313" s="219"/>
      <c r="X313" s="219"/>
      <c r="Y313" s="219"/>
      <c r="Z313" s="219"/>
      <c r="AA313" s="219"/>
      <c r="AB313" s="219"/>
      <c r="AC313" s="219"/>
      <c r="AD313" s="219"/>
      <c r="AE313" s="219"/>
      <c r="AF313" s="219"/>
      <c r="AG313" s="219"/>
      <c r="AH313" s="219"/>
    </row>
    <row r="314" spans="2:65" s="8" customFormat="1" ht="14" x14ac:dyDescent="0.2">
      <c r="B314" s="211" t="s">
        <v>257</v>
      </c>
      <c r="D314" s="15" t="s">
        <v>15</v>
      </c>
      <c r="E314" s="188">
        <f>F314/100</f>
        <v>1</v>
      </c>
      <c r="F314" s="220">
        <v>100</v>
      </c>
      <c r="G314" s="183"/>
      <c r="H314" s="183"/>
      <c r="I314" s="183"/>
      <c r="J314" s="183"/>
      <c r="K314" s="183"/>
      <c r="L314" s="183"/>
      <c r="M314" s="183"/>
      <c r="N314" s="183"/>
      <c r="O314" s="183"/>
      <c r="P314" s="183"/>
      <c r="Q314" s="183"/>
      <c r="R314" s="183"/>
      <c r="S314" s="183"/>
      <c r="T314" s="183"/>
      <c r="U314" s="183"/>
      <c r="V314" s="183"/>
      <c r="W314" s="183"/>
      <c r="X314" s="183"/>
      <c r="Y314" s="183"/>
      <c r="Z314" s="183"/>
      <c r="AA314" s="183"/>
      <c r="AB314" s="183"/>
      <c r="AC314" s="183"/>
      <c r="AD314" s="183"/>
      <c r="AE314" s="183"/>
      <c r="AF314" s="183"/>
      <c r="AG314" s="183"/>
      <c r="AH314" s="183"/>
    </row>
    <row r="315" spans="2:65" s="8" customFormat="1" ht="14" x14ac:dyDescent="0.2">
      <c r="B315" s="215" t="s">
        <v>570</v>
      </c>
      <c r="D315" s="15"/>
      <c r="E315" s="180"/>
      <c r="F315" s="220"/>
      <c r="G315" s="183"/>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c r="AI315" s="20"/>
      <c r="AJ315" s="20"/>
      <c r="AK315" s="20"/>
      <c r="AL315" s="20"/>
      <c r="AM315" s="20"/>
      <c r="AN315" s="20"/>
      <c r="AO315" s="20"/>
      <c r="AP315" s="20"/>
      <c r="AQ315" s="20"/>
      <c r="AR315" s="20"/>
      <c r="AS315" s="20"/>
      <c r="AT315" s="20"/>
      <c r="AU315" s="20"/>
      <c r="AV315" s="20"/>
      <c r="AW315" s="20"/>
      <c r="AX315" s="20"/>
      <c r="AY315" s="20"/>
      <c r="AZ315" s="20"/>
      <c r="BA315" s="20"/>
      <c r="BB315" s="20"/>
      <c r="BC315" s="20"/>
      <c r="BD315" s="20"/>
      <c r="BE315" s="20"/>
      <c r="BF315" s="20"/>
      <c r="BG315" s="20"/>
      <c r="BH315" s="20"/>
      <c r="BI315" s="20"/>
      <c r="BJ315" s="20"/>
      <c r="BK315" s="20"/>
      <c r="BL315" s="20"/>
      <c r="BM315" s="20"/>
    </row>
    <row r="316" spans="2:65" s="8" customFormat="1" ht="14" x14ac:dyDescent="0.2">
      <c r="B316" s="211" t="s">
        <v>38</v>
      </c>
      <c r="D316" s="8" t="s">
        <v>15</v>
      </c>
      <c r="E316" s="188">
        <f>IF(E295=2,0,F316/100)</f>
        <v>1</v>
      </c>
      <c r="F316" s="220">
        <v>100</v>
      </c>
      <c r="G316" s="183"/>
      <c r="H316" s="183"/>
      <c r="I316" s="183"/>
      <c r="J316" s="183"/>
      <c r="K316" s="183"/>
      <c r="L316" s="183"/>
      <c r="M316" s="183"/>
      <c r="N316" s="183"/>
      <c r="O316" s="183"/>
      <c r="P316" s="183"/>
      <c r="Q316" s="183"/>
      <c r="R316" s="183"/>
      <c r="S316" s="183"/>
      <c r="T316" s="183"/>
      <c r="U316" s="183"/>
      <c r="V316" s="183"/>
      <c r="W316" s="183"/>
      <c r="X316" s="183"/>
      <c r="Y316" s="183"/>
      <c r="Z316" s="183"/>
      <c r="AA316" s="183"/>
      <c r="AB316" s="183"/>
      <c r="AC316" s="183"/>
      <c r="AD316" s="183"/>
      <c r="AE316" s="183"/>
      <c r="AF316" s="183"/>
      <c r="AG316" s="183"/>
      <c r="AH316" s="183"/>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20"/>
      <c r="BG316" s="20"/>
      <c r="BH316" s="20"/>
      <c r="BI316" s="20"/>
      <c r="BJ316" s="20"/>
      <c r="BK316" s="20"/>
      <c r="BL316" s="20"/>
      <c r="BM316" s="20"/>
    </row>
    <row r="317" spans="2:65" s="20" customFormat="1" ht="14" x14ac:dyDescent="0.2">
      <c r="B317" s="216" t="s">
        <v>258</v>
      </c>
      <c r="D317" s="122" t="str">
        <f>'Assumptions - General'!$E$27 &amp;" per GTK"</f>
        <v>R$ per GTK</v>
      </c>
      <c r="E317" s="214">
        <f>IF(Calculations!E$16=1,IF(E312&gt;0,E312/(SUM(Calculations!E167:E176)),0),0)</f>
        <v>9.9999999999999985E-3</v>
      </c>
      <c r="F317" s="214">
        <f>E317*(1+F318)*IF($E$295=1,($E316*'Assumptions - General'!F$37+1),1)</f>
        <v>1.0299999999999998E-2</v>
      </c>
      <c r="G317" s="214">
        <f>F317*(1+G318)*IF($E$295=1,($E316*'Assumptions - General'!G$37+1),1)</f>
        <v>1.0608999999999999E-2</v>
      </c>
      <c r="H317" s="214">
        <f>G317*(1+H318)*IF($E$295=1,($E316*'Assumptions - General'!H$37+1),1)</f>
        <v>1.0927269999999999E-2</v>
      </c>
      <c r="I317" s="214">
        <f>H317*(1+I318)*IF($E$295=1,($E316*'Assumptions - General'!I$37+1),1)</f>
        <v>1.1255088099999999E-2</v>
      </c>
      <c r="J317" s="214">
        <f>I317*(1+J318)*IF($E$295=1,($E316*'Assumptions - General'!J$37+1),1)</f>
        <v>1.1592740742999999E-2</v>
      </c>
      <c r="K317" s="214">
        <f>J317*(1+K318)*IF($E$295=1,($E316*'Assumptions - General'!K$37+1),1)</f>
        <v>1.1940522965289999E-2</v>
      </c>
      <c r="L317" s="214">
        <f>K317*(1+L318)*IF($E$295=1,($E316*'Assumptions - General'!L$37+1),1)</f>
        <v>1.22987386542487E-2</v>
      </c>
      <c r="M317" s="214">
        <f>L317*(1+M318)*IF($E$295=1,($E316*'Assumptions - General'!M$37+1),1)</f>
        <v>1.2667700813876161E-2</v>
      </c>
      <c r="N317" s="214">
        <f>M317*(1+N318)*IF($E$295=1,($E316*'Assumptions - General'!N$37+1),1)</f>
        <v>1.3047731838292446E-2</v>
      </c>
      <c r="O317" s="214">
        <f>N317*(1+O318)*IF($E$295=1,($E316*'Assumptions - General'!O$37+1),1)</f>
        <v>1.3439163793441219E-2</v>
      </c>
      <c r="P317" s="214">
        <f>O317*(1+P318)*IF($E$295=1,($E316*'Assumptions - General'!P$37+1),1)</f>
        <v>1.3842338707244457E-2</v>
      </c>
      <c r="Q317" s="214">
        <f>P317*(1+Q318)*IF($E$295=1,($E316*'Assumptions - General'!Q$37+1),1)</f>
        <v>1.425760886846179E-2</v>
      </c>
      <c r="R317" s="214">
        <f>Q317*(1+R318)*IF($E$295=1,($E316*'Assumptions - General'!R$37+1),1)</f>
        <v>1.4685337134515645E-2</v>
      </c>
      <c r="S317" s="214">
        <f>R317*(1+S318)*IF($E$295=1,($E316*'Assumptions - General'!S$37+1),1)</f>
        <v>1.5125897248551115E-2</v>
      </c>
      <c r="T317" s="214">
        <f>S317*(1+T318)*IF($E$295=1,($E316*'Assumptions - General'!T$37+1),1)</f>
        <v>1.5579674166007649E-2</v>
      </c>
      <c r="U317" s="214">
        <f>T317*(1+U318)*IF($E$295=1,($E316*'Assumptions - General'!U$37+1),1)</f>
        <v>1.6047064390987877E-2</v>
      </c>
      <c r="V317" s="214">
        <f>U317*(1+V318)*IF($E$295=1,($E316*'Assumptions - General'!V$37+1),1)</f>
        <v>1.6528476322717513E-2</v>
      </c>
      <c r="W317" s="214">
        <f>V317*(1+W318)*IF($E$295=1,($E316*'Assumptions - General'!W$37+1),1)</f>
        <v>1.7024330612399038E-2</v>
      </c>
      <c r="X317" s="214">
        <f>W317*(1+X318)*IF($E$295=1,($E316*'Assumptions - General'!X$37+1),1)</f>
        <v>1.7535060530771009E-2</v>
      </c>
      <c r="Y317" s="214">
        <f>X317*(1+Y318)*IF($E$295=1,($E316*'Assumptions - General'!Y$37+1),1)</f>
        <v>1.8061112346694139E-2</v>
      </c>
      <c r="Z317" s="214">
        <f>Y317*(1+Z318)*IF($E$295=1,($E316*'Assumptions - General'!Z$37+1),1)</f>
        <v>1.8602945717094962E-2</v>
      </c>
      <c r="AA317" s="214">
        <f>Z317*(1+AA318)*IF($E$295=1,($E316*'Assumptions - General'!AA$37+1),1)</f>
        <v>1.9161034088607812E-2</v>
      </c>
      <c r="AB317" s="214">
        <f>AA317*(1+AB318)*IF($E$295=1,($E316*'Assumptions - General'!AB$37+1),1)</f>
        <v>1.9735865111266047E-2</v>
      </c>
      <c r="AC317" s="214">
        <f>AB317*(1+AC318)*IF($E$295=1,($E316*'Assumptions - General'!AC$37+1),1)</f>
        <v>2.0327941064604029E-2</v>
      </c>
      <c r="AD317" s="214">
        <f>AC317*(1+AD318)*IF($E$295=1,($E316*'Assumptions - General'!AD$37+1),1)</f>
        <v>2.0937779296542152E-2</v>
      </c>
      <c r="AE317" s="214">
        <f>AD317*(1+AE318)*IF($E$295=1,($E316*'Assumptions - General'!AE$37+1),1)</f>
        <v>2.1565912675438417E-2</v>
      </c>
      <c r="AF317" s="214">
        <f>AE317*(1+AF318)*IF($E$295=1,($E316*'Assumptions - General'!AF$37+1),1)</f>
        <v>2.2212890055701571E-2</v>
      </c>
      <c r="AG317" s="214">
        <f>AF317*(1+AG318)*IF($E$295=1,($E316*'Assumptions - General'!AG$37+1),1)</f>
        <v>2.287927675737262E-2</v>
      </c>
      <c r="AH317" s="214">
        <f>AG317*(1+AH318)*IF($E$295=1,($E316*'Assumptions - General'!AH$37+1),1)</f>
        <v>2.3565655060093799E-2</v>
      </c>
    </row>
    <row r="318" spans="2:65" x14ac:dyDescent="0.2">
      <c r="B318" s="30" t="s">
        <v>401</v>
      </c>
      <c r="D318" s="15" t="s">
        <v>15</v>
      </c>
      <c r="E318" s="190"/>
      <c r="F318" s="188">
        <v>0</v>
      </c>
      <c r="G318" s="188">
        <v>0</v>
      </c>
      <c r="H318" s="188">
        <v>0</v>
      </c>
      <c r="I318" s="188">
        <v>0</v>
      </c>
      <c r="J318" s="188">
        <v>0</v>
      </c>
      <c r="K318" s="188">
        <v>0</v>
      </c>
      <c r="L318" s="188">
        <v>0</v>
      </c>
      <c r="M318" s="188">
        <v>0</v>
      </c>
      <c r="N318" s="188">
        <v>0</v>
      </c>
      <c r="O318" s="188">
        <v>0</v>
      </c>
      <c r="P318" s="188">
        <v>0</v>
      </c>
      <c r="Q318" s="188">
        <v>0</v>
      </c>
      <c r="R318" s="188">
        <v>0</v>
      </c>
      <c r="S318" s="188">
        <v>0</v>
      </c>
      <c r="T318" s="188">
        <v>0</v>
      </c>
      <c r="U318" s="188">
        <v>0</v>
      </c>
      <c r="V318" s="188">
        <v>0</v>
      </c>
      <c r="W318" s="188">
        <v>0</v>
      </c>
      <c r="X318" s="188">
        <v>0</v>
      </c>
      <c r="Y318" s="188">
        <v>0</v>
      </c>
      <c r="Z318" s="188">
        <v>0</v>
      </c>
      <c r="AA318" s="188">
        <v>0</v>
      </c>
      <c r="AB318" s="188">
        <v>0</v>
      </c>
      <c r="AC318" s="188">
        <v>0</v>
      </c>
      <c r="AD318" s="188">
        <v>0</v>
      </c>
      <c r="AE318" s="188">
        <v>0</v>
      </c>
      <c r="AF318" s="188">
        <v>0</v>
      </c>
      <c r="AG318" s="188">
        <v>0</v>
      </c>
      <c r="AH318" s="188">
        <v>0</v>
      </c>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row>
    <row r="319" spans="2:65" s="18" customFormat="1" x14ac:dyDescent="0.2">
      <c r="B319" s="32"/>
      <c r="D319" s="81"/>
      <c r="E319" s="204"/>
      <c r="F319" s="180"/>
      <c r="G319" s="180"/>
      <c r="H319" s="180"/>
      <c r="I319" s="180"/>
      <c r="J319" s="180"/>
      <c r="K319" s="180"/>
      <c r="L319" s="180"/>
      <c r="M319" s="180"/>
      <c r="N319" s="180"/>
      <c r="O319" s="180"/>
      <c r="P319" s="180"/>
      <c r="Q319" s="180"/>
      <c r="R319" s="180"/>
      <c r="S319" s="180"/>
      <c r="T319" s="180"/>
      <c r="U319" s="180"/>
      <c r="V319" s="180"/>
      <c r="W319" s="180"/>
      <c r="X319" s="180"/>
      <c r="Y319" s="180"/>
      <c r="Z319" s="180"/>
      <c r="AA319" s="180"/>
      <c r="AB319" s="180"/>
      <c r="AC319" s="180"/>
      <c r="AD319" s="180"/>
      <c r="AE319" s="180"/>
      <c r="AF319" s="180"/>
      <c r="AG319" s="180"/>
      <c r="AH319" s="180"/>
    </row>
    <row r="320" spans="2:65" s="8" customFormat="1" ht="14" x14ac:dyDescent="0.2">
      <c r="B320" s="21" t="s">
        <v>41</v>
      </c>
      <c r="E320" s="182"/>
      <c r="F320" s="220"/>
      <c r="G320" s="183"/>
      <c r="H320" s="183"/>
      <c r="I320" s="183"/>
      <c r="J320" s="183"/>
      <c r="K320" s="183"/>
      <c r="L320" s="183"/>
      <c r="M320" s="183"/>
      <c r="N320" s="183"/>
      <c r="O320" s="183"/>
      <c r="P320" s="183"/>
      <c r="Q320" s="183"/>
      <c r="R320" s="183"/>
      <c r="S320" s="183"/>
      <c r="T320" s="183"/>
      <c r="U320" s="183"/>
      <c r="V320" s="183"/>
      <c r="W320" s="183"/>
      <c r="X320" s="183"/>
      <c r="Y320" s="183"/>
      <c r="Z320" s="183"/>
      <c r="AA320" s="183"/>
      <c r="AB320" s="183"/>
      <c r="AC320" s="183"/>
      <c r="AD320" s="183"/>
      <c r="AE320" s="183"/>
      <c r="AF320" s="183"/>
      <c r="AG320" s="183"/>
      <c r="AH320" s="183"/>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20"/>
      <c r="BG320" s="20"/>
      <c r="BH320" s="20"/>
      <c r="BI320" s="20"/>
      <c r="BJ320" s="20"/>
      <c r="BK320" s="20"/>
      <c r="BL320" s="20"/>
      <c r="BM320" s="20"/>
    </row>
    <row r="321" spans="1:65" s="8" customFormat="1" ht="14" x14ac:dyDescent="0.2">
      <c r="B321" s="14" t="s">
        <v>377</v>
      </c>
      <c r="D321" s="10" t="str">
        <f>'Assumptions - General'!$E$27 &amp;" millions"</f>
        <v>R$ millions</v>
      </c>
      <c r="E321" s="176">
        <v>500</v>
      </c>
      <c r="F321" s="183"/>
      <c r="G321" s="183"/>
      <c r="H321" s="183"/>
      <c r="I321" s="183"/>
      <c r="J321" s="183"/>
      <c r="K321" s="183"/>
      <c r="L321" s="183"/>
      <c r="M321" s="183"/>
      <c r="N321" s="183"/>
      <c r="O321" s="183"/>
      <c r="P321" s="183"/>
      <c r="Q321" s="183"/>
      <c r="R321" s="183"/>
      <c r="S321" s="183"/>
      <c r="T321" s="183"/>
      <c r="U321" s="183"/>
      <c r="V321" s="183"/>
      <c r="W321" s="183"/>
      <c r="X321" s="183"/>
      <c r="Y321" s="183"/>
      <c r="Z321" s="183"/>
      <c r="AA321" s="183"/>
      <c r="AB321" s="183"/>
      <c r="AC321" s="183"/>
      <c r="AD321" s="183"/>
      <c r="AE321" s="183"/>
      <c r="AF321" s="183"/>
      <c r="AG321" s="183"/>
      <c r="AH321" s="183"/>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20"/>
      <c r="BG321" s="20"/>
      <c r="BH321" s="20"/>
      <c r="BI321" s="20"/>
      <c r="BJ321" s="20"/>
      <c r="BK321" s="20"/>
      <c r="BL321" s="20"/>
      <c r="BM321" s="20"/>
    </row>
    <row r="322" spans="1:65" s="8" customFormat="1" ht="14" x14ac:dyDescent="0.2">
      <c r="B322" s="215" t="s">
        <v>381</v>
      </c>
      <c r="E322" s="193"/>
      <c r="F322" s="219"/>
      <c r="G322" s="219"/>
      <c r="H322" s="219"/>
      <c r="I322" s="219"/>
      <c r="J322" s="219"/>
      <c r="K322" s="219"/>
      <c r="L322" s="219"/>
      <c r="M322" s="219"/>
      <c r="N322" s="219"/>
      <c r="O322" s="219"/>
      <c r="P322" s="219"/>
      <c r="Q322" s="219"/>
      <c r="R322" s="219"/>
      <c r="S322" s="219"/>
      <c r="T322" s="219"/>
      <c r="U322" s="219"/>
      <c r="V322" s="219"/>
      <c r="W322" s="219"/>
      <c r="X322" s="219"/>
      <c r="Y322" s="219"/>
      <c r="Z322" s="219"/>
      <c r="AA322" s="219"/>
      <c r="AB322" s="219"/>
      <c r="AC322" s="219"/>
      <c r="AD322" s="219"/>
      <c r="AE322" s="219"/>
      <c r="AF322" s="219"/>
      <c r="AG322" s="219"/>
      <c r="AH322" s="219"/>
      <c r="AI322" s="20"/>
      <c r="AJ322" s="20"/>
      <c r="AK322" s="20"/>
      <c r="AL322" s="20"/>
      <c r="AM322" s="20"/>
      <c r="AN322" s="20"/>
      <c r="AO322" s="20"/>
      <c r="AP322" s="20"/>
      <c r="AQ322" s="20"/>
      <c r="AR322" s="20"/>
      <c r="AS322" s="20"/>
      <c r="AT322" s="20"/>
      <c r="AU322" s="20"/>
      <c r="AV322" s="20"/>
      <c r="AW322" s="20"/>
      <c r="AX322" s="20"/>
      <c r="AY322" s="20"/>
      <c r="AZ322" s="20"/>
      <c r="BA322" s="20"/>
      <c r="BB322" s="20"/>
      <c r="BC322" s="20"/>
      <c r="BD322" s="20"/>
      <c r="BE322" s="20"/>
      <c r="BF322" s="20"/>
      <c r="BG322" s="20"/>
      <c r="BH322" s="20"/>
      <c r="BI322" s="20"/>
      <c r="BJ322" s="20"/>
      <c r="BK322" s="20"/>
      <c r="BL322" s="20"/>
      <c r="BM322" s="20"/>
    </row>
    <row r="323" spans="1:65" s="8" customFormat="1" ht="14" x14ac:dyDescent="0.2">
      <c r="B323" s="211" t="s">
        <v>259</v>
      </c>
      <c r="D323" s="15" t="s">
        <v>15</v>
      </c>
      <c r="E323" s="188">
        <f>F323/100</f>
        <v>1</v>
      </c>
      <c r="F323" s="220">
        <v>100</v>
      </c>
      <c r="G323" s="183"/>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20"/>
      <c r="AJ323" s="20"/>
      <c r="AK323" s="20"/>
      <c r="AL323" s="20"/>
      <c r="AM323" s="20"/>
      <c r="AN323" s="20"/>
      <c r="AO323" s="20"/>
      <c r="AP323" s="20"/>
      <c r="AQ323" s="20"/>
      <c r="AR323" s="20"/>
      <c r="AS323" s="20"/>
      <c r="AT323" s="20"/>
      <c r="AU323" s="20"/>
      <c r="AV323" s="20"/>
      <c r="AW323" s="20"/>
      <c r="AX323" s="20"/>
      <c r="AY323" s="20"/>
      <c r="AZ323" s="20"/>
      <c r="BA323" s="20"/>
      <c r="BB323" s="20"/>
      <c r="BC323" s="20"/>
      <c r="BD323" s="20"/>
      <c r="BE323" s="20"/>
      <c r="BF323" s="20"/>
      <c r="BG323" s="20"/>
      <c r="BH323" s="20"/>
      <c r="BI323" s="20"/>
      <c r="BJ323" s="20"/>
      <c r="BK323" s="20"/>
      <c r="BL323" s="20"/>
      <c r="BM323" s="20"/>
    </row>
    <row r="324" spans="1:65" s="8" customFormat="1" ht="14" x14ac:dyDescent="0.2">
      <c r="B324" s="215" t="s">
        <v>571</v>
      </c>
      <c r="D324" s="15"/>
      <c r="E324" s="180"/>
      <c r="F324" s="220"/>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20"/>
      <c r="AJ324" s="20"/>
      <c r="AK324" s="20"/>
      <c r="AL324" s="20"/>
      <c r="AM324" s="20"/>
      <c r="AN324" s="20"/>
      <c r="AO324" s="20"/>
      <c r="AP324" s="20"/>
      <c r="AQ324" s="20"/>
      <c r="AR324" s="20"/>
      <c r="AS324" s="20"/>
      <c r="AT324" s="20"/>
      <c r="AU324" s="20"/>
      <c r="AV324" s="20"/>
      <c r="AW324" s="20"/>
      <c r="AX324" s="20"/>
      <c r="AY324" s="20"/>
      <c r="AZ324" s="20"/>
      <c r="BA324" s="20"/>
      <c r="BB324" s="20"/>
      <c r="BC324" s="20"/>
      <c r="BD324" s="20"/>
      <c r="BE324" s="20"/>
      <c r="BF324" s="20"/>
      <c r="BG324" s="20"/>
      <c r="BH324" s="20"/>
      <c r="BI324" s="20"/>
      <c r="BJ324" s="20"/>
      <c r="BK324" s="20"/>
      <c r="BL324" s="20"/>
      <c r="BM324" s="20"/>
    </row>
    <row r="325" spans="1:65" s="8" customFormat="1" ht="14" x14ac:dyDescent="0.2">
      <c r="B325" s="211" t="s">
        <v>38</v>
      </c>
      <c r="D325" s="8" t="s">
        <v>15</v>
      </c>
      <c r="E325" s="188">
        <f>IF(E295=2,0,F325/100)</f>
        <v>1</v>
      </c>
      <c r="F325" s="220">
        <v>100</v>
      </c>
      <c r="G325" s="183"/>
      <c r="H325" s="183"/>
      <c r="I325" s="183"/>
      <c r="J325" s="183"/>
      <c r="K325" s="183"/>
      <c r="L325" s="183"/>
      <c r="M325" s="183"/>
      <c r="N325" s="183"/>
      <c r="O325" s="183"/>
      <c r="P325" s="183"/>
      <c r="Q325" s="183"/>
      <c r="R325" s="183"/>
      <c r="S325" s="183"/>
      <c r="T325" s="183"/>
      <c r="U325" s="183"/>
      <c r="V325" s="183"/>
      <c r="W325" s="183"/>
      <c r="X325" s="183"/>
      <c r="Y325" s="183"/>
      <c r="Z325" s="183"/>
      <c r="AA325" s="183"/>
      <c r="AB325" s="183"/>
      <c r="AC325" s="183"/>
      <c r="AD325" s="183"/>
      <c r="AE325" s="183"/>
      <c r="AF325" s="183"/>
      <c r="AG325" s="183"/>
      <c r="AH325" s="183"/>
      <c r="AI325" s="20"/>
      <c r="AJ325" s="20"/>
      <c r="AK325" s="20"/>
      <c r="AL325" s="20"/>
      <c r="AM325" s="20"/>
      <c r="AN325" s="20"/>
      <c r="AO325" s="20"/>
      <c r="AP325" s="20"/>
      <c r="AQ325" s="20"/>
      <c r="AR325" s="20"/>
      <c r="AS325" s="20"/>
      <c r="AT325" s="20"/>
      <c r="AU325" s="20"/>
      <c r="AV325" s="20"/>
      <c r="AW325" s="20"/>
      <c r="AX325" s="20"/>
      <c r="AY325" s="20"/>
      <c r="AZ325" s="20"/>
      <c r="BA325" s="20"/>
      <c r="BB325" s="20"/>
      <c r="BC325" s="20"/>
      <c r="BD325" s="20"/>
      <c r="BE325" s="20"/>
      <c r="BF325" s="20"/>
      <c r="BG325" s="20"/>
      <c r="BH325" s="20"/>
      <c r="BI325" s="20"/>
      <c r="BJ325" s="20"/>
      <c r="BK325" s="20"/>
      <c r="BL325" s="20"/>
      <c r="BM325" s="20"/>
    </row>
    <row r="326" spans="1:65" s="120" customFormat="1" ht="14" x14ac:dyDescent="0.2">
      <c r="A326" s="20"/>
      <c r="B326" s="216" t="s">
        <v>260</v>
      </c>
      <c r="C326" s="20"/>
      <c r="D326" s="122" t="str">
        <f>'Assumptions - General'!$E$27 &amp;" per GTK"</f>
        <v>R$ per GTK</v>
      </c>
      <c r="E326" s="214">
        <f>IF(Calculations!E$16=1,IF(E321&gt;0,E321/(SUM(Calculations!E$167:E$176)*'Assumptions - Freight'!E18),0),0)</f>
        <v>1.9999999999999997E-2</v>
      </c>
      <c r="F326" s="214">
        <f>E326*(1+F327)*IF($E$295=1,($E325*'Assumptions - General'!F$37+1),1)</f>
        <v>2.0599999999999997E-2</v>
      </c>
      <c r="G326" s="214">
        <f>F326*(1+G327)*IF($E$295=1,($E325*'Assumptions - General'!G$37+1),1)</f>
        <v>2.1217999999999997E-2</v>
      </c>
      <c r="H326" s="214">
        <f>G326*(1+H327)*IF($E$295=1,($E325*'Assumptions - General'!H$37+1),1)</f>
        <v>2.1854539999999999E-2</v>
      </c>
      <c r="I326" s="214">
        <f>H326*(1+I327)*IF($E$295=1,($E325*'Assumptions - General'!I$37+1),1)</f>
        <v>2.2510176199999999E-2</v>
      </c>
      <c r="J326" s="214">
        <f>I326*(1+J327)*IF($E$295=1,($E325*'Assumptions - General'!J$37+1),1)</f>
        <v>2.3185481485999998E-2</v>
      </c>
      <c r="K326" s="214">
        <f>J326*(1+K327)*IF($E$295=1,($E325*'Assumptions - General'!K$37+1),1)</f>
        <v>2.3881045930579999E-2</v>
      </c>
      <c r="L326" s="214">
        <f>K326*(1+L327)*IF($E$295=1,($E325*'Assumptions - General'!L$37+1),1)</f>
        <v>2.4597477308497401E-2</v>
      </c>
      <c r="M326" s="214">
        <f>L326*(1+M327)*IF($E$295=1,($E325*'Assumptions - General'!M$37+1),1)</f>
        <v>2.5335401627752323E-2</v>
      </c>
      <c r="N326" s="214">
        <f>M326*(1+N327)*IF($E$295=1,($E325*'Assumptions - General'!N$37+1),1)</f>
        <v>2.6095463676584892E-2</v>
      </c>
      <c r="O326" s="214">
        <f>N326*(1+O327)*IF($E$295=1,($E325*'Assumptions - General'!O$37+1),1)</f>
        <v>2.6878327586882439E-2</v>
      </c>
      <c r="P326" s="214">
        <f>O326*(1+P327)*IF($E$295=1,($E325*'Assumptions - General'!P$37+1),1)</f>
        <v>2.7684677414488913E-2</v>
      </c>
      <c r="Q326" s="214">
        <f>P326*(1+Q327)*IF($E$295=1,($E325*'Assumptions - General'!Q$37+1),1)</f>
        <v>2.851521773692358E-2</v>
      </c>
      <c r="R326" s="214">
        <f>Q326*(1+R327)*IF($E$295=1,($E325*'Assumptions - General'!R$37+1),1)</f>
        <v>2.937067426903129E-2</v>
      </c>
      <c r="S326" s="214">
        <f>R326*(1+S327)*IF($E$295=1,($E325*'Assumptions - General'!S$37+1),1)</f>
        <v>3.0251794497102229E-2</v>
      </c>
      <c r="T326" s="214">
        <f>S326*(1+T327)*IF($E$295=1,($E325*'Assumptions - General'!T$37+1),1)</f>
        <v>3.1159348332015297E-2</v>
      </c>
      <c r="U326" s="214">
        <f>T326*(1+U327)*IF($E$295=1,($E325*'Assumptions - General'!U$37+1),1)</f>
        <v>3.2094128781975755E-2</v>
      </c>
      <c r="V326" s="214">
        <f>U326*(1+V327)*IF($E$295=1,($E325*'Assumptions - General'!V$37+1),1)</f>
        <v>3.3056952645435025E-2</v>
      </c>
      <c r="W326" s="214">
        <f>V326*(1+W327)*IF($E$295=1,($E325*'Assumptions - General'!W$37+1),1)</f>
        <v>3.4048661224798077E-2</v>
      </c>
      <c r="X326" s="214">
        <f>W326*(1+X327)*IF($E$295=1,($E325*'Assumptions - General'!X$37+1),1)</f>
        <v>3.5070121061542017E-2</v>
      </c>
      <c r="Y326" s="214">
        <f>X326*(1+Y327)*IF($E$295=1,($E325*'Assumptions - General'!Y$37+1),1)</f>
        <v>3.6122224693388279E-2</v>
      </c>
      <c r="Z326" s="214">
        <f>Y326*(1+Z327)*IF($E$295=1,($E325*'Assumptions - General'!Z$37+1),1)</f>
        <v>3.7205891434189925E-2</v>
      </c>
      <c r="AA326" s="214">
        <f>Z326*(1+AA327)*IF($E$295=1,($E325*'Assumptions - General'!AA$37+1),1)</f>
        <v>3.8322068177215625E-2</v>
      </c>
      <c r="AB326" s="214">
        <f>AA326*(1+AB327)*IF($E$295=1,($E325*'Assumptions - General'!AB$37+1),1)</f>
        <v>3.9471730222532093E-2</v>
      </c>
      <c r="AC326" s="214">
        <f>AB326*(1+AC327)*IF($E$295=1,($E325*'Assumptions - General'!AC$37+1),1)</f>
        <v>4.0655882129208058E-2</v>
      </c>
      <c r="AD326" s="214">
        <f>AC326*(1+AD327)*IF($E$295=1,($E325*'Assumptions - General'!AD$37+1),1)</f>
        <v>4.1875558593084304E-2</v>
      </c>
      <c r="AE326" s="214">
        <f>AD326*(1+AE327)*IF($E$295=1,($E325*'Assumptions - General'!AE$37+1),1)</f>
        <v>4.3131825350876833E-2</v>
      </c>
      <c r="AF326" s="214">
        <f>AE326*(1+AF327)*IF($E$295=1,($E325*'Assumptions - General'!AF$37+1),1)</f>
        <v>4.4425780111403142E-2</v>
      </c>
      <c r="AG326" s="214">
        <f>AF326*(1+AG327)*IF($E$295=1,($E325*'Assumptions - General'!AG$37+1),1)</f>
        <v>4.575855351474524E-2</v>
      </c>
      <c r="AH326" s="214">
        <f>AG326*(1+AH327)*IF($E$295=1,($E325*'Assumptions - General'!AH$37+1),1)</f>
        <v>4.7131310120187599E-2</v>
      </c>
      <c r="AI326" s="20"/>
      <c r="AJ326" s="20"/>
      <c r="AK326" s="20"/>
      <c r="AL326" s="20"/>
      <c r="AM326" s="20"/>
      <c r="AN326" s="20"/>
      <c r="AO326" s="20"/>
      <c r="AP326" s="20"/>
      <c r="AQ326" s="20"/>
      <c r="AR326" s="20"/>
      <c r="AS326" s="20"/>
      <c r="AT326" s="20"/>
      <c r="AU326" s="20"/>
      <c r="AV326" s="20"/>
      <c r="AW326" s="20"/>
      <c r="AX326" s="20"/>
      <c r="AY326" s="20"/>
      <c r="AZ326" s="20"/>
      <c r="BA326" s="20"/>
      <c r="BB326" s="20"/>
      <c r="BC326" s="20"/>
      <c r="BD326" s="20"/>
      <c r="BE326" s="20"/>
      <c r="BF326" s="20"/>
      <c r="BG326" s="20"/>
      <c r="BH326" s="20"/>
      <c r="BI326" s="20"/>
      <c r="BJ326" s="20"/>
      <c r="BK326" s="20"/>
      <c r="BL326" s="20"/>
      <c r="BM326" s="20"/>
    </row>
    <row r="327" spans="1:65" x14ac:dyDescent="0.2">
      <c r="B327" s="30" t="s">
        <v>401</v>
      </c>
      <c r="D327" s="15" t="s">
        <v>15</v>
      </c>
      <c r="E327" s="190"/>
      <c r="F327" s="188">
        <v>0</v>
      </c>
      <c r="G327" s="188">
        <v>0</v>
      </c>
      <c r="H327" s="188">
        <v>0</v>
      </c>
      <c r="I327" s="188">
        <v>0</v>
      </c>
      <c r="J327" s="188">
        <v>0</v>
      </c>
      <c r="K327" s="188">
        <v>0</v>
      </c>
      <c r="L327" s="188">
        <v>0</v>
      </c>
      <c r="M327" s="188">
        <v>0</v>
      </c>
      <c r="N327" s="188">
        <v>0</v>
      </c>
      <c r="O327" s="188">
        <v>0</v>
      </c>
      <c r="P327" s="188">
        <v>0</v>
      </c>
      <c r="Q327" s="188">
        <v>0</v>
      </c>
      <c r="R327" s="188">
        <v>0</v>
      </c>
      <c r="S327" s="188">
        <v>0</v>
      </c>
      <c r="T327" s="188">
        <v>0</v>
      </c>
      <c r="U327" s="188">
        <v>0</v>
      </c>
      <c r="V327" s="188">
        <v>0</v>
      </c>
      <c r="W327" s="188">
        <v>0</v>
      </c>
      <c r="X327" s="188">
        <v>0</v>
      </c>
      <c r="Y327" s="188">
        <v>0</v>
      </c>
      <c r="Z327" s="188">
        <v>0</v>
      </c>
      <c r="AA327" s="188">
        <v>0</v>
      </c>
      <c r="AB327" s="188">
        <v>0</v>
      </c>
      <c r="AC327" s="188">
        <v>0</v>
      </c>
      <c r="AD327" s="188">
        <v>0</v>
      </c>
      <c r="AE327" s="188">
        <v>0</v>
      </c>
      <c r="AF327" s="188">
        <v>0</v>
      </c>
      <c r="AG327" s="188">
        <v>0</v>
      </c>
      <c r="AH327" s="188">
        <v>0</v>
      </c>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row>
    <row r="328" spans="1:65" s="18" customFormat="1" x14ac:dyDescent="0.2">
      <c r="B328" s="32"/>
      <c r="D328" s="81"/>
      <c r="E328" s="204"/>
      <c r="F328" s="180"/>
      <c r="G328" s="180"/>
      <c r="H328" s="180"/>
      <c r="I328" s="180"/>
      <c r="J328" s="180"/>
      <c r="K328" s="180"/>
      <c r="L328" s="180"/>
      <c r="M328" s="180"/>
      <c r="N328" s="180"/>
      <c r="O328" s="180"/>
      <c r="P328" s="180"/>
      <c r="Q328" s="180"/>
      <c r="R328" s="180"/>
      <c r="S328" s="180"/>
      <c r="T328" s="180"/>
      <c r="U328" s="180"/>
      <c r="V328" s="180"/>
      <c r="W328" s="180"/>
      <c r="X328" s="180"/>
      <c r="Y328" s="180"/>
      <c r="Z328" s="180"/>
      <c r="AA328" s="180"/>
      <c r="AB328" s="180"/>
      <c r="AC328" s="180"/>
      <c r="AD328" s="180"/>
      <c r="AE328" s="180"/>
      <c r="AF328" s="180"/>
      <c r="AG328" s="180"/>
      <c r="AH328" s="180"/>
    </row>
    <row r="329" spans="1:65" s="8" customFormat="1" ht="14" x14ac:dyDescent="0.2">
      <c r="B329" s="21" t="s">
        <v>218</v>
      </c>
      <c r="E329" s="182"/>
      <c r="F329" s="220"/>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0"/>
      <c r="BJ329" s="20"/>
      <c r="BK329" s="20"/>
      <c r="BL329" s="20"/>
      <c r="BM329" s="20"/>
    </row>
    <row r="330" spans="1:65" s="8" customFormat="1" ht="14" x14ac:dyDescent="0.2">
      <c r="B330" s="14" t="s">
        <v>377</v>
      </c>
      <c r="D330" s="10" t="str">
        <f>'Assumptions - General'!$E$27 &amp;" millions"</f>
        <v>R$ millions</v>
      </c>
      <c r="E330" s="176">
        <v>500</v>
      </c>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20"/>
      <c r="AJ330" s="20"/>
      <c r="AK330" s="20"/>
      <c r="AL330" s="20"/>
      <c r="AM330" s="20"/>
      <c r="AN330" s="20"/>
      <c r="AO330" s="20"/>
      <c r="AP330" s="20"/>
      <c r="AQ330" s="20"/>
      <c r="AR330" s="20"/>
      <c r="AS330" s="20"/>
      <c r="AT330" s="20"/>
      <c r="AU330" s="20"/>
      <c r="AV330" s="20"/>
      <c r="AW330" s="20"/>
      <c r="AX330" s="20"/>
      <c r="AY330" s="20"/>
      <c r="AZ330" s="20"/>
      <c r="BA330" s="20"/>
      <c r="BB330" s="20"/>
      <c r="BC330" s="20"/>
      <c r="BD330" s="20"/>
      <c r="BE330" s="20"/>
      <c r="BF330" s="20"/>
      <c r="BG330" s="20"/>
      <c r="BH330" s="20"/>
      <c r="BI330" s="20"/>
      <c r="BJ330" s="20"/>
      <c r="BK330" s="20"/>
      <c r="BL330" s="20"/>
      <c r="BM330" s="20"/>
    </row>
    <row r="331" spans="1:65" s="8" customFormat="1" ht="14" x14ac:dyDescent="0.2">
      <c r="B331" s="215" t="s">
        <v>382</v>
      </c>
      <c r="E331" s="193"/>
      <c r="F331" s="219"/>
      <c r="G331" s="219"/>
      <c r="H331" s="219"/>
      <c r="I331" s="219"/>
      <c r="J331" s="219"/>
      <c r="K331" s="219"/>
      <c r="L331" s="219"/>
      <c r="M331" s="219"/>
      <c r="N331" s="219"/>
      <c r="O331" s="219"/>
      <c r="P331" s="219"/>
      <c r="Q331" s="219"/>
      <c r="R331" s="219"/>
      <c r="S331" s="219"/>
      <c r="T331" s="219"/>
      <c r="U331" s="219"/>
      <c r="V331" s="219"/>
      <c r="W331" s="219"/>
      <c r="X331" s="219"/>
      <c r="Y331" s="219"/>
      <c r="Z331" s="219"/>
      <c r="AA331" s="219"/>
      <c r="AB331" s="219"/>
      <c r="AC331" s="219"/>
      <c r="AD331" s="219"/>
      <c r="AE331" s="219"/>
      <c r="AF331" s="219"/>
      <c r="AG331" s="219"/>
      <c r="AH331" s="219"/>
      <c r="AI331" s="20"/>
      <c r="AJ331" s="20"/>
      <c r="AK331" s="20"/>
      <c r="AL331" s="20"/>
      <c r="AM331" s="20"/>
      <c r="AN331" s="20"/>
      <c r="AO331" s="20"/>
      <c r="AP331" s="20"/>
      <c r="AQ331" s="20"/>
      <c r="AR331" s="20"/>
      <c r="AS331" s="20"/>
      <c r="AT331" s="20"/>
      <c r="AU331" s="20"/>
      <c r="AV331" s="20"/>
      <c r="AW331" s="20"/>
      <c r="AX331" s="20"/>
      <c r="AY331" s="20"/>
      <c r="AZ331" s="20"/>
      <c r="BA331" s="20"/>
      <c r="BB331" s="20"/>
      <c r="BC331" s="20"/>
      <c r="BD331" s="20"/>
      <c r="BE331" s="20"/>
      <c r="BF331" s="20"/>
      <c r="BG331" s="20"/>
      <c r="BH331" s="20"/>
      <c r="BI331" s="20"/>
      <c r="BJ331" s="20"/>
      <c r="BK331" s="20"/>
      <c r="BL331" s="20"/>
      <c r="BM331" s="20"/>
    </row>
    <row r="332" spans="1:65" s="8" customFormat="1" ht="14" x14ac:dyDescent="0.2">
      <c r="B332" s="211" t="s">
        <v>261</v>
      </c>
      <c r="D332" s="15" t="s">
        <v>15</v>
      </c>
      <c r="E332" s="188">
        <f>F332/100</f>
        <v>1</v>
      </c>
      <c r="F332" s="220">
        <v>100</v>
      </c>
      <c r="G332" s="183"/>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20"/>
      <c r="AJ332" s="20"/>
      <c r="AK332" s="20"/>
      <c r="AL332" s="20"/>
      <c r="AM332" s="20"/>
      <c r="AN332" s="20"/>
      <c r="AO332" s="20"/>
      <c r="AP332" s="20"/>
      <c r="AQ332" s="20"/>
      <c r="AR332" s="20"/>
      <c r="AS332" s="20"/>
      <c r="AT332" s="20"/>
      <c r="AU332" s="20"/>
      <c r="AV332" s="20"/>
      <c r="AW332" s="20"/>
      <c r="AX332" s="20"/>
      <c r="AY332" s="20"/>
      <c r="AZ332" s="20"/>
      <c r="BA332" s="20"/>
      <c r="BB332" s="20"/>
      <c r="BC332" s="20"/>
      <c r="BD332" s="20"/>
      <c r="BE332" s="20"/>
      <c r="BF332" s="20"/>
      <c r="BG332" s="20"/>
      <c r="BH332" s="20"/>
      <c r="BI332" s="20"/>
      <c r="BJ332" s="20"/>
      <c r="BK332" s="20"/>
      <c r="BL332" s="20"/>
      <c r="BM332" s="20"/>
    </row>
    <row r="333" spans="1:65" s="8" customFormat="1" ht="14" x14ac:dyDescent="0.2">
      <c r="B333" s="215" t="s">
        <v>572</v>
      </c>
      <c r="C333" s="14"/>
      <c r="D333" s="15"/>
      <c r="E333" s="180"/>
      <c r="F333" s="220"/>
      <c r="G333" s="183"/>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20"/>
      <c r="BG333" s="20"/>
      <c r="BH333" s="20"/>
      <c r="BI333" s="20"/>
      <c r="BJ333" s="20"/>
      <c r="BK333" s="20"/>
      <c r="BL333" s="20"/>
      <c r="BM333" s="20"/>
    </row>
    <row r="334" spans="1:65" s="8" customFormat="1" ht="14" x14ac:dyDescent="0.2">
      <c r="B334" s="211" t="s">
        <v>38</v>
      </c>
      <c r="D334" s="8" t="s">
        <v>15</v>
      </c>
      <c r="E334" s="188">
        <f>IF(E295=2,0,F334/100)</f>
        <v>1</v>
      </c>
      <c r="F334" s="220">
        <v>100</v>
      </c>
      <c r="G334" s="183"/>
      <c r="H334" s="183"/>
      <c r="I334" s="183"/>
      <c r="J334" s="183"/>
      <c r="K334" s="183"/>
      <c r="L334" s="183"/>
      <c r="M334" s="183"/>
      <c r="N334" s="183"/>
      <c r="O334" s="183"/>
      <c r="P334" s="183"/>
      <c r="Q334" s="183"/>
      <c r="R334" s="183"/>
      <c r="S334" s="183"/>
      <c r="T334" s="183"/>
      <c r="U334" s="183"/>
      <c r="V334" s="183"/>
      <c r="W334" s="183"/>
      <c r="X334" s="183"/>
      <c r="Y334" s="183"/>
      <c r="Z334" s="183"/>
      <c r="AA334" s="183"/>
      <c r="AB334" s="183"/>
      <c r="AC334" s="183"/>
      <c r="AD334" s="183"/>
      <c r="AE334" s="183"/>
      <c r="AF334" s="183"/>
      <c r="AG334" s="183"/>
      <c r="AH334" s="183"/>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20"/>
      <c r="BG334" s="20"/>
      <c r="BH334" s="20"/>
      <c r="BI334" s="20"/>
      <c r="BJ334" s="20"/>
      <c r="BK334" s="20"/>
      <c r="BL334" s="20"/>
      <c r="BM334" s="20"/>
    </row>
    <row r="335" spans="1:65" s="120" customFormat="1" ht="14" x14ac:dyDescent="0.2">
      <c r="A335" s="20"/>
      <c r="B335" s="216" t="s">
        <v>262</v>
      </c>
      <c r="C335" s="20"/>
      <c r="D335" s="122" t="str">
        <f>'Assumptions - General'!$E$27 &amp;" per GTK"</f>
        <v>R$ per GTK</v>
      </c>
      <c r="E335" s="214">
        <f>IF(Calculations!E$16=1,IF(E330&gt;0,E330/(SUM(Calculations!E$167:E$176)*'Assumptions - Freight'!E16),0),0)</f>
        <v>1.9999999999999997E-2</v>
      </c>
      <c r="F335" s="214">
        <f>E335*(1+F336)*IF($E$295=1,($E334*'Assumptions - General'!F$37+1),1)</f>
        <v>2.0599999999999997E-2</v>
      </c>
      <c r="G335" s="214">
        <f>F335*(1+G336)*IF($E$295=1,($E334*'Assumptions - General'!G$37+1),1)</f>
        <v>2.1217999999999997E-2</v>
      </c>
      <c r="H335" s="214">
        <f>G335*(1+H336)*IF($E$295=1,($E334*'Assumptions - General'!H$37+1),1)</f>
        <v>2.1854539999999999E-2</v>
      </c>
      <c r="I335" s="214">
        <f>H335*(1+I336)*IF($E$295=1,($E334*'Assumptions - General'!I$37+1),1)</f>
        <v>2.2510176199999999E-2</v>
      </c>
      <c r="J335" s="214">
        <f>I335*(1+J336)*IF($E$295=1,($E334*'Assumptions - General'!J$37+1),1)</f>
        <v>2.3185481485999998E-2</v>
      </c>
      <c r="K335" s="214">
        <f>J335*(1+K336)*IF($E$295=1,($E334*'Assumptions - General'!K$37+1),1)</f>
        <v>2.3881045930579999E-2</v>
      </c>
      <c r="L335" s="214">
        <f>K335*(1+L336)*IF($E$295=1,($E334*'Assumptions - General'!L$37+1),1)</f>
        <v>2.4597477308497401E-2</v>
      </c>
      <c r="M335" s="214">
        <f>L335*(1+M336)*IF($E$295=1,($E334*'Assumptions - General'!M$37+1),1)</f>
        <v>2.5335401627752323E-2</v>
      </c>
      <c r="N335" s="214">
        <f>M335*(1+N336)*IF($E$295=1,($E334*'Assumptions - General'!N$37+1),1)</f>
        <v>2.6095463676584892E-2</v>
      </c>
      <c r="O335" s="214">
        <f>N335*(1+O336)*IF($E$295=1,($E334*'Assumptions - General'!O$37+1),1)</f>
        <v>2.6878327586882439E-2</v>
      </c>
      <c r="P335" s="214">
        <f>O335*(1+P336)*IF($E$295=1,($E334*'Assumptions - General'!P$37+1),1)</f>
        <v>2.7684677414488913E-2</v>
      </c>
      <c r="Q335" s="214">
        <f>P335*(1+Q336)*IF($E$295=1,($E334*'Assumptions - General'!Q$37+1),1)</f>
        <v>2.851521773692358E-2</v>
      </c>
      <c r="R335" s="214">
        <f>Q335*(1+R336)*IF($E$295=1,($E334*'Assumptions - General'!R$37+1),1)</f>
        <v>2.937067426903129E-2</v>
      </c>
      <c r="S335" s="214">
        <f>R335*(1+S336)*IF($E$295=1,($E334*'Assumptions - General'!S$37+1),1)</f>
        <v>3.0251794497102229E-2</v>
      </c>
      <c r="T335" s="214">
        <f>S335*(1+T336)*IF($E$295=1,($E334*'Assumptions - General'!T$37+1),1)</f>
        <v>3.1159348332015297E-2</v>
      </c>
      <c r="U335" s="214">
        <f>T335*(1+U336)*IF($E$295=1,($E334*'Assumptions - General'!U$37+1),1)</f>
        <v>3.2094128781975755E-2</v>
      </c>
      <c r="V335" s="214">
        <f>U335*(1+V336)*IF($E$295=1,($E334*'Assumptions - General'!V$37+1),1)</f>
        <v>3.3056952645435025E-2</v>
      </c>
      <c r="W335" s="214">
        <f>V335*(1+W336)*IF($E$295=1,($E334*'Assumptions - General'!W$37+1),1)</f>
        <v>3.4048661224798077E-2</v>
      </c>
      <c r="X335" s="214">
        <f>W335*(1+X336)*IF($E$295=1,($E334*'Assumptions - General'!X$37+1),1)</f>
        <v>3.5070121061542017E-2</v>
      </c>
      <c r="Y335" s="214">
        <f>X335*(1+Y336)*IF($E$295=1,($E334*'Assumptions - General'!Y$37+1),1)</f>
        <v>3.6122224693388279E-2</v>
      </c>
      <c r="Z335" s="214">
        <f>Y335*(1+Z336)*IF($E$295=1,($E334*'Assumptions - General'!Z$37+1),1)</f>
        <v>3.7205891434189925E-2</v>
      </c>
      <c r="AA335" s="214">
        <f>Z335*(1+AA336)*IF($E$295=1,($E334*'Assumptions - General'!AA$37+1),1)</f>
        <v>3.8322068177215625E-2</v>
      </c>
      <c r="AB335" s="214">
        <f>AA335*(1+AB336)*IF($E$295=1,($E334*'Assumptions - General'!AB$37+1),1)</f>
        <v>3.9471730222532093E-2</v>
      </c>
      <c r="AC335" s="214">
        <f>AB335*(1+AC336)*IF($E$295=1,($E334*'Assumptions - General'!AC$37+1),1)</f>
        <v>4.0655882129208058E-2</v>
      </c>
      <c r="AD335" s="214">
        <f>AC335*(1+AD336)*IF($E$295=1,($E334*'Assumptions - General'!AD$37+1),1)</f>
        <v>4.1875558593084304E-2</v>
      </c>
      <c r="AE335" s="214">
        <f>AD335*(1+AE336)*IF($E$295=1,($E334*'Assumptions - General'!AE$37+1),1)</f>
        <v>4.3131825350876833E-2</v>
      </c>
      <c r="AF335" s="214">
        <f>AE335*(1+AF336)*IF($E$295=1,($E334*'Assumptions - General'!AF$37+1),1)</f>
        <v>4.4425780111403142E-2</v>
      </c>
      <c r="AG335" s="214">
        <f>AF335*(1+AG336)*IF($E$295=1,($E334*'Assumptions - General'!AG$37+1),1)</f>
        <v>4.575855351474524E-2</v>
      </c>
      <c r="AH335" s="214">
        <f>AG335*(1+AH336)*IF($E$295=1,($E334*'Assumptions - General'!AH$37+1),1)</f>
        <v>4.7131310120187599E-2</v>
      </c>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20"/>
      <c r="BG335" s="20"/>
      <c r="BH335" s="20"/>
      <c r="BI335" s="20"/>
      <c r="BJ335" s="20"/>
      <c r="BK335" s="20"/>
      <c r="BL335" s="20"/>
      <c r="BM335" s="20"/>
    </row>
    <row r="336" spans="1:65" x14ac:dyDescent="0.2">
      <c r="B336" s="30" t="s">
        <v>401</v>
      </c>
      <c r="D336" s="15" t="s">
        <v>15</v>
      </c>
      <c r="E336" s="190"/>
      <c r="F336" s="188">
        <v>0</v>
      </c>
      <c r="G336" s="188">
        <v>0</v>
      </c>
      <c r="H336" s="188">
        <v>0</v>
      </c>
      <c r="I336" s="188">
        <v>0</v>
      </c>
      <c r="J336" s="188">
        <v>0</v>
      </c>
      <c r="K336" s="188">
        <v>0</v>
      </c>
      <c r="L336" s="188">
        <v>0</v>
      </c>
      <c r="M336" s="188">
        <v>0</v>
      </c>
      <c r="N336" s="188">
        <v>0</v>
      </c>
      <c r="O336" s="188">
        <v>0</v>
      </c>
      <c r="P336" s="188">
        <v>0</v>
      </c>
      <c r="Q336" s="188">
        <v>0</v>
      </c>
      <c r="R336" s="188">
        <v>0</v>
      </c>
      <c r="S336" s="188">
        <v>0</v>
      </c>
      <c r="T336" s="188">
        <v>0</v>
      </c>
      <c r="U336" s="188">
        <v>0</v>
      </c>
      <c r="V336" s="188">
        <v>0</v>
      </c>
      <c r="W336" s="188">
        <v>0</v>
      </c>
      <c r="X336" s="188">
        <v>0</v>
      </c>
      <c r="Y336" s="188">
        <v>0</v>
      </c>
      <c r="Z336" s="188">
        <v>0</v>
      </c>
      <c r="AA336" s="188">
        <v>0</v>
      </c>
      <c r="AB336" s="188">
        <v>0</v>
      </c>
      <c r="AC336" s="188">
        <v>0</v>
      </c>
      <c r="AD336" s="188">
        <v>0</v>
      </c>
      <c r="AE336" s="188">
        <v>0</v>
      </c>
      <c r="AF336" s="188">
        <v>0</v>
      </c>
      <c r="AG336" s="188">
        <v>0</v>
      </c>
      <c r="AH336" s="188">
        <v>0</v>
      </c>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row>
    <row r="337" spans="2:65" s="18" customFormat="1" x14ac:dyDescent="0.2">
      <c r="B337" s="32"/>
      <c r="D337" s="81"/>
      <c r="E337" s="204"/>
      <c r="F337" s="180"/>
      <c r="G337" s="180"/>
      <c r="H337" s="180"/>
      <c r="I337" s="180"/>
      <c r="J337" s="180"/>
      <c r="K337" s="180"/>
      <c r="L337" s="180"/>
      <c r="M337" s="180"/>
      <c r="N337" s="180"/>
      <c r="O337" s="180"/>
      <c r="P337" s="180"/>
      <c r="Q337" s="180"/>
      <c r="R337" s="180"/>
      <c r="S337" s="180"/>
      <c r="T337" s="180"/>
      <c r="U337" s="180"/>
      <c r="V337" s="180"/>
      <c r="W337" s="180"/>
      <c r="X337" s="180"/>
      <c r="Y337" s="180"/>
      <c r="Z337" s="180"/>
      <c r="AA337" s="180"/>
      <c r="AB337" s="180"/>
      <c r="AC337" s="180"/>
      <c r="AD337" s="180"/>
      <c r="AE337" s="180"/>
      <c r="AF337" s="180"/>
      <c r="AG337" s="180"/>
      <c r="AH337" s="180"/>
    </row>
    <row r="338" spans="2:65" s="8" customFormat="1" ht="14" x14ac:dyDescent="0.2">
      <c r="B338" s="21" t="s">
        <v>42</v>
      </c>
      <c r="E338" s="182"/>
      <c r="F338" s="220"/>
      <c r="G338" s="183"/>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20"/>
      <c r="BG338" s="20"/>
      <c r="BH338" s="20"/>
      <c r="BI338" s="20"/>
      <c r="BJ338" s="20"/>
      <c r="BK338" s="20"/>
      <c r="BL338" s="20"/>
      <c r="BM338" s="20"/>
    </row>
    <row r="339" spans="2:65" s="8" customFormat="1" ht="14" x14ac:dyDescent="0.2">
      <c r="B339" s="14" t="s">
        <v>377</v>
      </c>
      <c r="D339" s="10" t="str">
        <f>'Assumptions - General'!$E$27 &amp;" millions"</f>
        <v>R$ millions</v>
      </c>
      <c r="E339" s="176">
        <v>500</v>
      </c>
      <c r="F339" s="183"/>
      <c r="G339" s="183"/>
      <c r="H339" s="183"/>
      <c r="I339" s="183"/>
      <c r="J339" s="183"/>
      <c r="K339" s="183"/>
      <c r="L339" s="183"/>
      <c r="M339" s="183"/>
      <c r="N339" s="183"/>
      <c r="O339" s="183"/>
      <c r="P339" s="183"/>
      <c r="Q339" s="183"/>
      <c r="R339" s="183"/>
      <c r="S339" s="183"/>
      <c r="T339" s="183"/>
      <c r="U339" s="183"/>
      <c r="V339" s="183"/>
      <c r="W339" s="183"/>
      <c r="X339" s="183"/>
      <c r="Y339" s="183"/>
      <c r="Z339" s="183"/>
      <c r="AA339" s="183"/>
      <c r="AB339" s="183"/>
      <c r="AC339" s="183"/>
      <c r="AD339" s="183"/>
      <c r="AE339" s="183"/>
      <c r="AF339" s="183"/>
      <c r="AG339" s="183"/>
      <c r="AH339" s="183"/>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20"/>
      <c r="BG339" s="20"/>
      <c r="BH339" s="20"/>
      <c r="BI339" s="20"/>
      <c r="BJ339" s="20"/>
      <c r="BK339" s="20"/>
      <c r="BL339" s="20"/>
      <c r="BM339" s="20"/>
    </row>
    <row r="340" spans="2:65" s="8" customFormat="1" ht="14" x14ac:dyDescent="0.2">
      <c r="B340" s="215" t="s">
        <v>383</v>
      </c>
      <c r="D340" s="8" t="s">
        <v>256</v>
      </c>
      <c r="E340" s="176">
        <v>100</v>
      </c>
      <c r="F340" s="219">
        <f t="shared" ref="F340:AH340" si="16">E340*(1+F341*$E$342)</f>
        <v>100</v>
      </c>
      <c r="G340" s="219">
        <f t="shared" si="16"/>
        <v>100</v>
      </c>
      <c r="H340" s="219">
        <f t="shared" si="16"/>
        <v>100</v>
      </c>
      <c r="I340" s="219">
        <f t="shared" si="16"/>
        <v>100</v>
      </c>
      <c r="J340" s="219">
        <f t="shared" si="16"/>
        <v>100</v>
      </c>
      <c r="K340" s="219">
        <f t="shared" si="16"/>
        <v>100</v>
      </c>
      <c r="L340" s="219">
        <f t="shared" si="16"/>
        <v>100</v>
      </c>
      <c r="M340" s="219">
        <f t="shared" si="16"/>
        <v>100</v>
      </c>
      <c r="N340" s="219">
        <f t="shared" si="16"/>
        <v>100</v>
      </c>
      <c r="O340" s="219">
        <f t="shared" si="16"/>
        <v>100</v>
      </c>
      <c r="P340" s="219">
        <f t="shared" si="16"/>
        <v>100</v>
      </c>
      <c r="Q340" s="219">
        <f t="shared" si="16"/>
        <v>100</v>
      </c>
      <c r="R340" s="219">
        <f t="shared" si="16"/>
        <v>100</v>
      </c>
      <c r="S340" s="219">
        <f t="shared" si="16"/>
        <v>100</v>
      </c>
      <c r="T340" s="219">
        <f t="shared" si="16"/>
        <v>100</v>
      </c>
      <c r="U340" s="219">
        <f t="shared" si="16"/>
        <v>100</v>
      </c>
      <c r="V340" s="219">
        <f t="shared" si="16"/>
        <v>100</v>
      </c>
      <c r="W340" s="219">
        <f t="shared" si="16"/>
        <v>100</v>
      </c>
      <c r="X340" s="219">
        <f t="shared" si="16"/>
        <v>100</v>
      </c>
      <c r="Y340" s="219">
        <f t="shared" si="16"/>
        <v>100</v>
      </c>
      <c r="Z340" s="219">
        <f t="shared" si="16"/>
        <v>100</v>
      </c>
      <c r="AA340" s="219">
        <f t="shared" si="16"/>
        <v>100</v>
      </c>
      <c r="AB340" s="219">
        <f t="shared" si="16"/>
        <v>100</v>
      </c>
      <c r="AC340" s="219">
        <f t="shared" si="16"/>
        <v>100</v>
      </c>
      <c r="AD340" s="219">
        <f t="shared" si="16"/>
        <v>100</v>
      </c>
      <c r="AE340" s="219">
        <f t="shared" si="16"/>
        <v>100</v>
      </c>
      <c r="AF340" s="219">
        <f t="shared" si="16"/>
        <v>100</v>
      </c>
      <c r="AG340" s="219">
        <f t="shared" si="16"/>
        <v>100</v>
      </c>
      <c r="AH340" s="219">
        <f t="shared" si="16"/>
        <v>100</v>
      </c>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20"/>
      <c r="BG340" s="20"/>
      <c r="BH340" s="20"/>
      <c r="BI340" s="20"/>
      <c r="BJ340" s="20"/>
      <c r="BK340" s="20"/>
      <c r="BL340" s="20"/>
      <c r="BM340" s="20"/>
    </row>
    <row r="341" spans="2:65" s="8" customFormat="1" ht="14" x14ac:dyDescent="0.2">
      <c r="B341" s="211" t="s">
        <v>263</v>
      </c>
      <c r="D341" s="8" t="s">
        <v>15</v>
      </c>
      <c r="E341" s="192"/>
      <c r="F341" s="189">
        <v>0</v>
      </c>
      <c r="G341" s="189">
        <v>0</v>
      </c>
      <c r="H341" s="189">
        <v>0</v>
      </c>
      <c r="I341" s="189">
        <v>0</v>
      </c>
      <c r="J341" s="189">
        <v>0</v>
      </c>
      <c r="K341" s="189">
        <v>0</v>
      </c>
      <c r="L341" s="189">
        <v>0</v>
      </c>
      <c r="M341" s="189">
        <v>0</v>
      </c>
      <c r="N341" s="189">
        <v>0</v>
      </c>
      <c r="O341" s="189">
        <v>0</v>
      </c>
      <c r="P341" s="189">
        <v>0</v>
      </c>
      <c r="Q341" s="189">
        <v>0</v>
      </c>
      <c r="R341" s="189">
        <v>0</v>
      </c>
      <c r="S341" s="189">
        <v>0</v>
      </c>
      <c r="T341" s="189">
        <v>0</v>
      </c>
      <c r="U341" s="189">
        <v>0</v>
      </c>
      <c r="V341" s="189">
        <v>0</v>
      </c>
      <c r="W341" s="189">
        <v>0</v>
      </c>
      <c r="X341" s="189">
        <v>0</v>
      </c>
      <c r="Y341" s="189">
        <v>0</v>
      </c>
      <c r="Z341" s="189">
        <v>0</v>
      </c>
      <c r="AA341" s="189">
        <v>0</v>
      </c>
      <c r="AB341" s="189">
        <v>0</v>
      </c>
      <c r="AC341" s="189">
        <v>0</v>
      </c>
      <c r="AD341" s="189">
        <v>0</v>
      </c>
      <c r="AE341" s="189">
        <v>0</v>
      </c>
      <c r="AF341" s="189">
        <v>0</v>
      </c>
      <c r="AG341" s="189">
        <v>0</v>
      </c>
      <c r="AH341" s="189">
        <v>0</v>
      </c>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20"/>
      <c r="BG341" s="20"/>
      <c r="BH341" s="20"/>
      <c r="BI341" s="20"/>
      <c r="BJ341" s="20"/>
      <c r="BK341" s="20"/>
      <c r="BL341" s="20"/>
      <c r="BM341" s="20"/>
    </row>
    <row r="342" spans="2:65" s="8" customFormat="1" ht="14" x14ac:dyDescent="0.2">
      <c r="B342" s="211" t="s">
        <v>264</v>
      </c>
      <c r="D342" s="15" t="s">
        <v>15</v>
      </c>
      <c r="E342" s="188">
        <f>F342/100</f>
        <v>1</v>
      </c>
      <c r="F342" s="220">
        <v>100</v>
      </c>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20"/>
      <c r="BG342" s="20"/>
      <c r="BH342" s="20"/>
      <c r="BI342" s="20"/>
      <c r="BJ342" s="20"/>
      <c r="BK342" s="20"/>
      <c r="BL342" s="20"/>
      <c r="BM342" s="20"/>
    </row>
    <row r="343" spans="2:65" s="8" customFormat="1" ht="14" x14ac:dyDescent="0.2">
      <c r="B343" s="215" t="s">
        <v>573</v>
      </c>
      <c r="D343" s="15"/>
      <c r="E343" s="180"/>
      <c r="F343" s="220"/>
      <c r="G343" s="183"/>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20"/>
      <c r="BG343" s="20"/>
      <c r="BH343" s="20"/>
      <c r="BI343" s="20"/>
      <c r="BJ343" s="20"/>
      <c r="BK343" s="20"/>
      <c r="BL343" s="20"/>
      <c r="BM343" s="20"/>
    </row>
    <row r="344" spans="2:65" s="8" customFormat="1" ht="14" x14ac:dyDescent="0.2">
      <c r="B344" s="211" t="s">
        <v>38</v>
      </c>
      <c r="D344" s="8" t="s">
        <v>15</v>
      </c>
      <c r="E344" s="188">
        <f>IF(E295=2,0,F344/100)</f>
        <v>1</v>
      </c>
      <c r="F344" s="220">
        <v>100</v>
      </c>
      <c r="G344" s="183"/>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20"/>
      <c r="BG344" s="20"/>
      <c r="BH344" s="20"/>
      <c r="BI344" s="20"/>
      <c r="BJ344" s="20"/>
      <c r="BK344" s="20"/>
      <c r="BL344" s="20"/>
      <c r="BM344" s="20"/>
    </row>
    <row r="345" spans="2:65" s="20" customFormat="1" ht="14" x14ac:dyDescent="0.2">
      <c r="B345" s="216" t="s">
        <v>265</v>
      </c>
      <c r="D345" s="122" t="str">
        <f>'Assumptions - General'!$E$27 &amp;" per unit"</f>
        <v>R$ per unit</v>
      </c>
      <c r="E345" s="192">
        <f>IF(E339&gt;0,E339*1000000/E340,0)</f>
        <v>5000000</v>
      </c>
      <c r="F345" s="192">
        <f>E345*(1+F346)*IF($E$295=1,($E344*'Assumptions - General'!F$37+1),1)</f>
        <v>5150000</v>
      </c>
      <c r="G345" s="192">
        <f>F345*(1+G346)*IF($E$295=1,($E344*'Assumptions - General'!G$37+1),1)</f>
        <v>5304500</v>
      </c>
      <c r="H345" s="192">
        <f>G345*(1+H346)*IF($E$295=1,($E344*'Assumptions - General'!H$37+1),1)</f>
        <v>5463635</v>
      </c>
      <c r="I345" s="192">
        <f>H345*(1+I346)*IF($E$295=1,($E344*'Assumptions - General'!I$37+1),1)</f>
        <v>5627544.0499999998</v>
      </c>
      <c r="J345" s="192">
        <f>I345*(1+J346)*IF($E$295=1,($E344*'Assumptions - General'!J$37+1),1)</f>
        <v>5796370.3715000004</v>
      </c>
      <c r="K345" s="192">
        <f>J345*(1+K346)*IF($E$295=1,($E344*'Assumptions - General'!K$37+1),1)</f>
        <v>5970261.4826450003</v>
      </c>
      <c r="L345" s="192">
        <f>K345*(1+L346)*IF($E$295=1,($E344*'Assumptions - General'!L$37+1),1)</f>
        <v>6149369.3271243507</v>
      </c>
      <c r="M345" s="192">
        <f>L345*(1+M346)*IF($E$295=1,($E344*'Assumptions - General'!M$37+1),1)</f>
        <v>6333850.4069380816</v>
      </c>
      <c r="N345" s="192">
        <f>M345*(1+N346)*IF($E$295=1,($E344*'Assumptions - General'!N$37+1),1)</f>
        <v>6523865.9191462239</v>
      </c>
      <c r="O345" s="192">
        <f>N345*(1+O346)*IF($E$295=1,($E344*'Assumptions - General'!O$37+1),1)</f>
        <v>6719581.8967206106</v>
      </c>
      <c r="P345" s="192">
        <f>O345*(1+P346)*IF($E$295=1,($E344*'Assumptions - General'!P$37+1),1)</f>
        <v>6921169.3536222288</v>
      </c>
      <c r="Q345" s="192">
        <f>P345*(1+Q346)*IF($E$295=1,($E344*'Assumptions - General'!Q$37+1),1)</f>
        <v>7128804.4342308957</v>
      </c>
      <c r="R345" s="192">
        <f>Q345*(1+R346)*IF($E$295=1,($E344*'Assumptions - General'!R$37+1),1)</f>
        <v>7342668.5672578225</v>
      </c>
      <c r="S345" s="192">
        <f>R345*(1+S346)*IF($E$295=1,($E344*'Assumptions - General'!S$37+1),1)</f>
        <v>7562948.6242755577</v>
      </c>
      <c r="T345" s="192">
        <f>S345*(1+T346)*IF($E$295=1,($E344*'Assumptions - General'!T$37+1),1)</f>
        <v>7789837.0830038246</v>
      </c>
      <c r="U345" s="192">
        <f>T345*(1+U346)*IF($E$295=1,($E344*'Assumptions - General'!U$37+1),1)</f>
        <v>8023532.1954939393</v>
      </c>
      <c r="V345" s="192">
        <f>U345*(1+V346)*IF($E$295=1,($E344*'Assumptions - General'!V$37+1),1)</f>
        <v>8264238.1613587579</v>
      </c>
      <c r="W345" s="192">
        <f>V345*(1+W346)*IF($E$295=1,($E344*'Assumptions - General'!W$37+1),1)</f>
        <v>8512165.3061995208</v>
      </c>
      <c r="X345" s="192">
        <f>W345*(1+X346)*IF($E$295=1,($E344*'Assumptions - General'!X$37+1),1)</f>
        <v>8767530.2653855067</v>
      </c>
      <c r="Y345" s="192">
        <f>X345*(1+Y346)*IF($E$295=1,($E344*'Assumptions - General'!Y$37+1),1)</f>
        <v>9030556.1733470727</v>
      </c>
      <c r="Z345" s="192">
        <f>Y345*(1+Z346)*IF($E$295=1,($E344*'Assumptions - General'!Z$37+1),1)</f>
        <v>9301472.8585474845</v>
      </c>
      <c r="AA345" s="192">
        <f>Z345*(1+AA346)*IF($E$295=1,($E344*'Assumptions - General'!AA$37+1),1)</f>
        <v>9580517.0443039089</v>
      </c>
      <c r="AB345" s="192">
        <f>AA345*(1+AB346)*IF($E$295=1,($E344*'Assumptions - General'!AB$37+1),1)</f>
        <v>9867932.5556330271</v>
      </c>
      <c r="AC345" s="192">
        <f>AB345*(1+AC346)*IF($E$295=1,($E344*'Assumptions - General'!AC$37+1),1)</f>
        <v>10163970.532302018</v>
      </c>
      <c r="AD345" s="192">
        <f>AC345*(1+AD346)*IF($E$295=1,($E344*'Assumptions - General'!AD$37+1),1)</f>
        <v>10468889.648271078</v>
      </c>
      <c r="AE345" s="192">
        <f>AD345*(1+AE346)*IF($E$295=1,($E344*'Assumptions - General'!AE$37+1),1)</f>
        <v>10782956.337719211</v>
      </c>
      <c r="AF345" s="192">
        <f>AE345*(1+AF346)*IF($E$295=1,($E344*'Assumptions - General'!AF$37+1),1)</f>
        <v>11106445.027850788</v>
      </c>
      <c r="AG345" s="192">
        <f>AF345*(1+AG346)*IF($E$295=1,($E344*'Assumptions - General'!AG$37+1),1)</f>
        <v>11439638.378686313</v>
      </c>
      <c r="AH345" s="192">
        <f>AG345*(1+AH346)*IF($E$295=1,($E344*'Assumptions - General'!AH$37+1),1)</f>
        <v>11782827.530046903</v>
      </c>
    </row>
    <row r="346" spans="2:65" x14ac:dyDescent="0.2">
      <c r="B346" s="30" t="s">
        <v>401</v>
      </c>
      <c r="D346" s="15" t="s">
        <v>15</v>
      </c>
      <c r="E346" s="190"/>
      <c r="F346" s="188">
        <v>0</v>
      </c>
      <c r="G346" s="188">
        <v>0</v>
      </c>
      <c r="H346" s="188">
        <v>0</v>
      </c>
      <c r="I346" s="188">
        <v>0</v>
      </c>
      <c r="J346" s="188">
        <v>0</v>
      </c>
      <c r="K346" s="188">
        <v>0</v>
      </c>
      <c r="L346" s="188">
        <v>0</v>
      </c>
      <c r="M346" s="188">
        <v>0</v>
      </c>
      <c r="N346" s="188">
        <v>0</v>
      </c>
      <c r="O346" s="188">
        <v>0</v>
      </c>
      <c r="P346" s="188">
        <v>0</v>
      </c>
      <c r="Q346" s="188">
        <v>0</v>
      </c>
      <c r="R346" s="188">
        <v>0</v>
      </c>
      <c r="S346" s="188">
        <v>0</v>
      </c>
      <c r="T346" s="188">
        <v>0</v>
      </c>
      <c r="U346" s="188">
        <v>0</v>
      </c>
      <c r="V346" s="188">
        <v>0</v>
      </c>
      <c r="W346" s="188">
        <v>0</v>
      </c>
      <c r="X346" s="188">
        <v>0</v>
      </c>
      <c r="Y346" s="188">
        <v>0</v>
      </c>
      <c r="Z346" s="188">
        <v>0</v>
      </c>
      <c r="AA346" s="188">
        <v>0</v>
      </c>
      <c r="AB346" s="188">
        <v>0</v>
      </c>
      <c r="AC346" s="188">
        <v>0</v>
      </c>
      <c r="AD346" s="188">
        <v>0</v>
      </c>
      <c r="AE346" s="188">
        <v>0</v>
      </c>
      <c r="AF346" s="188">
        <v>0</v>
      </c>
      <c r="AG346" s="188">
        <v>0</v>
      </c>
      <c r="AH346" s="188">
        <v>0</v>
      </c>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row>
    <row r="347" spans="2:65" s="18" customFormat="1" x14ac:dyDescent="0.2">
      <c r="B347" s="32"/>
      <c r="D347" s="81"/>
      <c r="E347" s="204"/>
      <c r="F347" s="180"/>
      <c r="G347" s="180"/>
      <c r="H347" s="180"/>
      <c r="I347" s="180"/>
      <c r="J347" s="180"/>
      <c r="K347" s="180"/>
      <c r="L347" s="180"/>
      <c r="M347" s="180"/>
      <c r="N347" s="180"/>
      <c r="O347" s="180"/>
      <c r="P347" s="180"/>
      <c r="Q347" s="180"/>
      <c r="R347" s="180"/>
      <c r="S347" s="180"/>
      <c r="T347" s="180"/>
      <c r="U347" s="180"/>
      <c r="V347" s="180"/>
      <c r="W347" s="180"/>
      <c r="X347" s="180"/>
      <c r="Y347" s="180"/>
      <c r="Z347" s="180"/>
      <c r="AA347" s="180"/>
      <c r="AB347" s="180"/>
      <c r="AC347" s="180"/>
      <c r="AD347" s="180"/>
      <c r="AE347" s="180"/>
      <c r="AF347" s="180"/>
      <c r="AG347" s="180"/>
      <c r="AH347" s="180"/>
    </row>
    <row r="348" spans="2:65" s="8" customFormat="1" ht="14" x14ac:dyDescent="0.2">
      <c r="B348" s="21" t="s">
        <v>43</v>
      </c>
      <c r="E348" s="182"/>
      <c r="F348" s="220"/>
      <c r="G348" s="183"/>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row>
    <row r="349" spans="2:65" s="8" customFormat="1" ht="14" x14ac:dyDescent="0.2">
      <c r="B349" s="14" t="s">
        <v>377</v>
      </c>
      <c r="D349" s="10" t="str">
        <f>'Assumptions - General'!$E$27 &amp;" millions"</f>
        <v>R$ millions</v>
      </c>
      <c r="E349" s="176">
        <v>500</v>
      </c>
      <c r="F349" s="183"/>
      <c r="G349" s="183"/>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20"/>
      <c r="BG349" s="20"/>
      <c r="BH349" s="20"/>
      <c r="BI349" s="20"/>
      <c r="BJ349" s="20"/>
      <c r="BK349" s="20"/>
      <c r="BL349" s="20"/>
      <c r="BM349" s="20"/>
    </row>
    <row r="350" spans="2:65" s="8" customFormat="1" ht="14" x14ac:dyDescent="0.2">
      <c r="B350" s="215" t="s">
        <v>384</v>
      </c>
      <c r="D350" s="8" t="s">
        <v>256</v>
      </c>
      <c r="E350" s="176">
        <v>100</v>
      </c>
      <c r="F350" s="219">
        <f t="shared" ref="F350:AH350" si="17">E350*(1+F351*$E$352)</f>
        <v>100</v>
      </c>
      <c r="G350" s="219">
        <f t="shared" si="17"/>
        <v>100</v>
      </c>
      <c r="H350" s="219">
        <f t="shared" si="17"/>
        <v>100</v>
      </c>
      <c r="I350" s="219">
        <f t="shared" si="17"/>
        <v>100</v>
      </c>
      <c r="J350" s="219">
        <f t="shared" si="17"/>
        <v>100</v>
      </c>
      <c r="K350" s="219">
        <f t="shared" si="17"/>
        <v>100</v>
      </c>
      <c r="L350" s="219">
        <f t="shared" si="17"/>
        <v>100</v>
      </c>
      <c r="M350" s="219">
        <f t="shared" si="17"/>
        <v>100</v>
      </c>
      <c r="N350" s="219">
        <f t="shared" si="17"/>
        <v>100</v>
      </c>
      <c r="O350" s="219">
        <f t="shared" si="17"/>
        <v>100</v>
      </c>
      <c r="P350" s="219">
        <f t="shared" si="17"/>
        <v>100</v>
      </c>
      <c r="Q350" s="219">
        <f t="shared" si="17"/>
        <v>100</v>
      </c>
      <c r="R350" s="219">
        <f t="shared" si="17"/>
        <v>100</v>
      </c>
      <c r="S350" s="219">
        <f t="shared" si="17"/>
        <v>100</v>
      </c>
      <c r="T350" s="219">
        <f t="shared" si="17"/>
        <v>100</v>
      </c>
      <c r="U350" s="219">
        <f t="shared" si="17"/>
        <v>100</v>
      </c>
      <c r="V350" s="219">
        <f t="shared" si="17"/>
        <v>100</v>
      </c>
      <c r="W350" s="219">
        <f t="shared" si="17"/>
        <v>100</v>
      </c>
      <c r="X350" s="219">
        <f t="shared" si="17"/>
        <v>100</v>
      </c>
      <c r="Y350" s="219">
        <f t="shared" si="17"/>
        <v>100</v>
      </c>
      <c r="Z350" s="219">
        <f t="shared" si="17"/>
        <v>100</v>
      </c>
      <c r="AA350" s="219">
        <f t="shared" si="17"/>
        <v>100</v>
      </c>
      <c r="AB350" s="219">
        <f t="shared" si="17"/>
        <v>100</v>
      </c>
      <c r="AC350" s="219">
        <f t="shared" si="17"/>
        <v>100</v>
      </c>
      <c r="AD350" s="219">
        <f t="shared" si="17"/>
        <v>100</v>
      </c>
      <c r="AE350" s="219">
        <f t="shared" si="17"/>
        <v>100</v>
      </c>
      <c r="AF350" s="219">
        <f t="shared" si="17"/>
        <v>100</v>
      </c>
      <c r="AG350" s="219">
        <f t="shared" si="17"/>
        <v>100</v>
      </c>
      <c r="AH350" s="219">
        <f t="shared" si="17"/>
        <v>100</v>
      </c>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20"/>
      <c r="BG350" s="20"/>
      <c r="BH350" s="20"/>
      <c r="BI350" s="20"/>
      <c r="BJ350" s="20"/>
      <c r="BK350" s="20"/>
      <c r="BL350" s="20"/>
      <c r="BM350" s="20"/>
    </row>
    <row r="351" spans="2:65" s="8" customFormat="1" ht="14" x14ac:dyDescent="0.2">
      <c r="B351" s="211" t="s">
        <v>263</v>
      </c>
      <c r="D351" s="8" t="s">
        <v>15</v>
      </c>
      <c r="E351" s="192"/>
      <c r="F351" s="189">
        <v>0</v>
      </c>
      <c r="G351" s="189">
        <v>0</v>
      </c>
      <c r="H351" s="189">
        <v>0</v>
      </c>
      <c r="I351" s="189">
        <v>0</v>
      </c>
      <c r="J351" s="189">
        <v>0</v>
      </c>
      <c r="K351" s="189">
        <v>0</v>
      </c>
      <c r="L351" s="189">
        <v>0</v>
      </c>
      <c r="M351" s="189">
        <v>0</v>
      </c>
      <c r="N351" s="189">
        <v>0</v>
      </c>
      <c r="O351" s="189">
        <v>0</v>
      </c>
      <c r="P351" s="189">
        <v>0</v>
      </c>
      <c r="Q351" s="189">
        <v>0</v>
      </c>
      <c r="R351" s="189">
        <v>0</v>
      </c>
      <c r="S351" s="189">
        <v>0</v>
      </c>
      <c r="T351" s="189">
        <v>0</v>
      </c>
      <c r="U351" s="189">
        <v>0</v>
      </c>
      <c r="V351" s="189">
        <v>0</v>
      </c>
      <c r="W351" s="189">
        <v>0</v>
      </c>
      <c r="X351" s="189">
        <v>0</v>
      </c>
      <c r="Y351" s="189">
        <v>0</v>
      </c>
      <c r="Z351" s="189">
        <v>0</v>
      </c>
      <c r="AA351" s="189">
        <v>0</v>
      </c>
      <c r="AB351" s="189">
        <v>0</v>
      </c>
      <c r="AC351" s="189">
        <v>0</v>
      </c>
      <c r="AD351" s="189">
        <v>0</v>
      </c>
      <c r="AE351" s="189">
        <v>0</v>
      </c>
      <c r="AF351" s="189">
        <v>0</v>
      </c>
      <c r="AG351" s="189">
        <v>0</v>
      </c>
      <c r="AH351" s="189">
        <v>0</v>
      </c>
      <c r="AI351" s="20"/>
      <c r="AJ351" s="20"/>
      <c r="AK351" s="20"/>
      <c r="AL351" s="20"/>
      <c r="AM351" s="20"/>
      <c r="AN351" s="20"/>
      <c r="AO351" s="20"/>
      <c r="AP351" s="20"/>
      <c r="AQ351" s="20"/>
      <c r="AR351" s="20"/>
      <c r="AS351" s="20"/>
      <c r="AT351" s="20"/>
      <c r="AU351" s="20"/>
      <c r="AV351" s="20"/>
      <c r="AW351" s="20"/>
      <c r="AX351" s="20"/>
      <c r="AY351" s="20"/>
      <c r="AZ351" s="20"/>
      <c r="BA351" s="20"/>
      <c r="BB351" s="20"/>
      <c r="BC351" s="20"/>
      <c r="BD351" s="20"/>
      <c r="BE351" s="20"/>
      <c r="BF351" s="20"/>
      <c r="BG351" s="20"/>
      <c r="BH351" s="20"/>
      <c r="BI351" s="20"/>
      <c r="BJ351" s="20"/>
      <c r="BK351" s="20"/>
      <c r="BL351" s="20"/>
      <c r="BM351" s="20"/>
    </row>
    <row r="352" spans="2:65" s="8" customFormat="1" ht="14" x14ac:dyDescent="0.2">
      <c r="B352" s="211" t="s">
        <v>266</v>
      </c>
      <c r="D352" s="15" t="s">
        <v>15</v>
      </c>
      <c r="E352" s="188">
        <f>F352/100</f>
        <v>1</v>
      </c>
      <c r="F352" s="220">
        <v>100</v>
      </c>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20"/>
      <c r="AJ352" s="20"/>
      <c r="AK352" s="20"/>
      <c r="AL352" s="20"/>
      <c r="AM352" s="20"/>
      <c r="AN352" s="20"/>
      <c r="AO352" s="20"/>
      <c r="AP352" s="20"/>
      <c r="AQ352" s="20"/>
      <c r="AR352" s="20"/>
      <c r="AS352" s="20"/>
      <c r="AT352" s="20"/>
      <c r="AU352" s="20"/>
      <c r="AV352" s="20"/>
      <c r="AW352" s="20"/>
      <c r="AX352" s="20"/>
      <c r="AY352" s="20"/>
      <c r="AZ352" s="20"/>
      <c r="BA352" s="20"/>
      <c r="BB352" s="20"/>
      <c r="BC352" s="20"/>
      <c r="BD352" s="20"/>
      <c r="BE352" s="20"/>
      <c r="BF352" s="20"/>
      <c r="BG352" s="20"/>
      <c r="BH352" s="20"/>
      <c r="BI352" s="20"/>
      <c r="BJ352" s="20"/>
      <c r="BK352" s="20"/>
      <c r="BL352" s="20"/>
      <c r="BM352" s="20"/>
    </row>
    <row r="353" spans="1:65" s="8" customFormat="1" ht="14" x14ac:dyDescent="0.2">
      <c r="B353" s="215" t="s">
        <v>574</v>
      </c>
      <c r="D353" s="15"/>
      <c r="E353" s="180"/>
      <c r="F353" s="220"/>
      <c r="G353" s="183"/>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20"/>
      <c r="AJ353" s="20"/>
      <c r="AK353" s="20"/>
      <c r="AL353" s="20"/>
      <c r="AM353" s="20"/>
      <c r="AN353" s="20"/>
      <c r="AO353" s="20"/>
      <c r="AP353" s="20"/>
      <c r="AQ353" s="20"/>
      <c r="AR353" s="20"/>
      <c r="AS353" s="20"/>
      <c r="AT353" s="20"/>
      <c r="AU353" s="20"/>
      <c r="AV353" s="20"/>
      <c r="AW353" s="20"/>
      <c r="AX353" s="20"/>
      <c r="AY353" s="20"/>
      <c r="AZ353" s="20"/>
      <c r="BA353" s="20"/>
      <c r="BB353" s="20"/>
      <c r="BC353" s="20"/>
      <c r="BD353" s="20"/>
      <c r="BE353" s="20"/>
      <c r="BF353" s="20"/>
      <c r="BG353" s="20"/>
      <c r="BH353" s="20"/>
      <c r="BI353" s="20"/>
      <c r="BJ353" s="20"/>
      <c r="BK353" s="20"/>
      <c r="BL353" s="20"/>
      <c r="BM353" s="20"/>
    </row>
    <row r="354" spans="1:65" s="8" customFormat="1" ht="14" x14ac:dyDescent="0.2">
      <c r="B354" s="211" t="s">
        <v>38</v>
      </c>
      <c r="D354" s="8" t="s">
        <v>15</v>
      </c>
      <c r="E354" s="188">
        <f>IF(E295=2,0,F354/100)</f>
        <v>1</v>
      </c>
      <c r="F354" s="220">
        <v>100</v>
      </c>
      <c r="G354" s="183"/>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20"/>
      <c r="AJ354" s="20"/>
      <c r="AK354" s="20"/>
      <c r="AL354" s="20"/>
      <c r="AM354" s="20"/>
      <c r="AN354" s="20"/>
      <c r="AO354" s="20"/>
      <c r="AP354" s="20"/>
      <c r="AQ354" s="20"/>
      <c r="AR354" s="20"/>
      <c r="AS354" s="20"/>
      <c r="AT354" s="20"/>
      <c r="AU354" s="20"/>
      <c r="AV354" s="20"/>
      <c r="AW354" s="20"/>
      <c r="AX354" s="20"/>
      <c r="AY354" s="20"/>
      <c r="AZ354" s="20"/>
      <c r="BA354" s="20"/>
      <c r="BB354" s="20"/>
      <c r="BC354" s="20"/>
      <c r="BD354" s="20"/>
      <c r="BE354" s="20"/>
      <c r="BF354" s="20"/>
      <c r="BG354" s="20"/>
      <c r="BH354" s="20"/>
      <c r="BI354" s="20"/>
      <c r="BJ354" s="20"/>
      <c r="BK354" s="20"/>
      <c r="BL354" s="20"/>
      <c r="BM354" s="20"/>
    </row>
    <row r="355" spans="1:65" s="120" customFormat="1" ht="14" x14ac:dyDescent="0.2">
      <c r="A355" s="20"/>
      <c r="B355" s="216" t="s">
        <v>267</v>
      </c>
      <c r="C355" s="20"/>
      <c r="D355" s="122" t="str">
        <f>'Assumptions - General'!$E$27 &amp;" per unit"</f>
        <v>R$ per unit</v>
      </c>
      <c r="E355" s="192">
        <f>IF(E349&gt;0,E349*1000000/E350,0)</f>
        <v>5000000</v>
      </c>
      <c r="F355" s="192">
        <f>E355*(1+F356)*IF($E$295=1,($E354*'Assumptions - General'!F$37+1),1)</f>
        <v>5150000</v>
      </c>
      <c r="G355" s="192">
        <f>F355*(1+G356)*IF($E$295=1,($E354*'Assumptions - General'!G$37+1),1)</f>
        <v>5304500</v>
      </c>
      <c r="H355" s="192">
        <f>G355*(1+H356)*IF($E$295=1,($E354*'Assumptions - General'!H$37+1),1)</f>
        <v>5463635</v>
      </c>
      <c r="I355" s="192">
        <f>H355*(1+I356)*IF($E$295=1,($E354*'Assumptions - General'!I$37+1),1)</f>
        <v>5627544.0499999998</v>
      </c>
      <c r="J355" s="192">
        <f>I355*(1+J356)*IF($E$295=1,($E354*'Assumptions - General'!J$37+1),1)</f>
        <v>5796370.3715000004</v>
      </c>
      <c r="K355" s="192">
        <f>J355*(1+K356)*IF($E$295=1,($E354*'Assumptions - General'!K$37+1),1)</f>
        <v>5970261.4826450003</v>
      </c>
      <c r="L355" s="192">
        <f>K355*(1+L356)*IF($E$295=1,($E354*'Assumptions - General'!L$37+1),1)</f>
        <v>6149369.3271243507</v>
      </c>
      <c r="M355" s="192">
        <f>L355*(1+M356)*IF($E$295=1,($E354*'Assumptions - General'!M$37+1),1)</f>
        <v>6333850.4069380816</v>
      </c>
      <c r="N355" s="192">
        <f>M355*(1+N356)*IF($E$295=1,($E354*'Assumptions - General'!N$37+1),1)</f>
        <v>6523865.9191462239</v>
      </c>
      <c r="O355" s="192">
        <f>N355*(1+O356)*IF($E$295=1,($E354*'Assumptions - General'!O$37+1),1)</f>
        <v>6719581.8967206106</v>
      </c>
      <c r="P355" s="192">
        <f>O355*(1+P356)*IF($E$295=1,($E354*'Assumptions - General'!P$37+1),1)</f>
        <v>6921169.3536222288</v>
      </c>
      <c r="Q355" s="192">
        <f>P355*(1+Q356)*IF($E$295=1,($E354*'Assumptions - General'!Q$37+1),1)</f>
        <v>7128804.4342308957</v>
      </c>
      <c r="R355" s="192">
        <f>Q355*(1+R356)*IF($E$295=1,($E354*'Assumptions - General'!R$37+1),1)</f>
        <v>7342668.5672578225</v>
      </c>
      <c r="S355" s="192">
        <f>R355*(1+S356)*IF($E$295=1,($E354*'Assumptions - General'!S$37+1),1)</f>
        <v>7562948.6242755577</v>
      </c>
      <c r="T355" s="192">
        <f>S355*(1+T356)*IF($E$295=1,($E354*'Assumptions - General'!T$37+1),1)</f>
        <v>7789837.0830038246</v>
      </c>
      <c r="U355" s="192">
        <f>T355*(1+U356)*IF($E$295=1,($E354*'Assumptions - General'!U$37+1),1)</f>
        <v>8023532.1954939393</v>
      </c>
      <c r="V355" s="192">
        <f>U355*(1+V356)*IF($E$295=1,($E354*'Assumptions - General'!V$37+1),1)</f>
        <v>8264238.1613587579</v>
      </c>
      <c r="W355" s="192">
        <f>V355*(1+W356)*IF($E$295=1,($E354*'Assumptions - General'!W$37+1),1)</f>
        <v>8512165.3061995208</v>
      </c>
      <c r="X355" s="192">
        <f>W355*(1+X356)*IF($E$295=1,($E354*'Assumptions - General'!X$37+1),1)</f>
        <v>8767530.2653855067</v>
      </c>
      <c r="Y355" s="192">
        <f>X355*(1+Y356)*IF($E$295=1,($E354*'Assumptions - General'!Y$37+1),1)</f>
        <v>9030556.1733470727</v>
      </c>
      <c r="Z355" s="192">
        <f>Y355*(1+Z356)*IF($E$295=1,($E354*'Assumptions - General'!Z$37+1),1)</f>
        <v>9301472.8585474845</v>
      </c>
      <c r="AA355" s="192">
        <f>Z355*(1+AA356)*IF($E$295=1,($E354*'Assumptions - General'!AA$37+1),1)</f>
        <v>9580517.0443039089</v>
      </c>
      <c r="AB355" s="192">
        <f>AA355*(1+AB356)*IF($E$295=1,($E354*'Assumptions - General'!AB$37+1),1)</f>
        <v>9867932.5556330271</v>
      </c>
      <c r="AC355" s="192">
        <f>AB355*(1+AC356)*IF($E$295=1,($E354*'Assumptions - General'!AC$37+1),1)</f>
        <v>10163970.532302018</v>
      </c>
      <c r="AD355" s="192">
        <f>AC355*(1+AD356)*IF($E$295=1,($E354*'Assumptions - General'!AD$37+1),1)</f>
        <v>10468889.648271078</v>
      </c>
      <c r="AE355" s="192">
        <f>AD355*(1+AE356)*IF($E$295=1,($E354*'Assumptions - General'!AE$37+1),1)</f>
        <v>10782956.337719211</v>
      </c>
      <c r="AF355" s="192">
        <f>AE355*(1+AF356)*IF($E$295=1,($E354*'Assumptions - General'!AF$37+1),1)</f>
        <v>11106445.027850788</v>
      </c>
      <c r="AG355" s="192">
        <f>AF355*(1+AG356)*IF($E$295=1,($E354*'Assumptions - General'!AG$37+1),1)</f>
        <v>11439638.378686313</v>
      </c>
      <c r="AH355" s="192">
        <f>AG355*(1+AH356)*IF($E$295=1,($E354*'Assumptions - General'!AH$37+1),1)</f>
        <v>11782827.530046903</v>
      </c>
      <c r="AI355" s="20"/>
      <c r="AJ355" s="20"/>
      <c r="AK355" s="20"/>
      <c r="AL355" s="20"/>
      <c r="AM355" s="20"/>
      <c r="AN355" s="20"/>
      <c r="AO355" s="20"/>
      <c r="AP355" s="20"/>
      <c r="AQ355" s="20"/>
      <c r="AR355" s="20"/>
      <c r="AS355" s="20"/>
      <c r="AT355" s="20"/>
      <c r="AU355" s="20"/>
      <c r="AV355" s="20"/>
      <c r="AW355" s="20"/>
      <c r="AX355" s="20"/>
      <c r="AY355" s="20"/>
      <c r="AZ355" s="20"/>
      <c r="BA355" s="20"/>
      <c r="BB355" s="20"/>
      <c r="BC355" s="20"/>
      <c r="BD355" s="20"/>
      <c r="BE355" s="20"/>
      <c r="BF355" s="20"/>
      <c r="BG355" s="20"/>
      <c r="BH355" s="20"/>
      <c r="BI355" s="20"/>
      <c r="BJ355" s="20"/>
      <c r="BK355" s="20"/>
      <c r="BL355" s="20"/>
      <c r="BM355" s="20"/>
    </row>
    <row r="356" spans="1:65" x14ac:dyDescent="0.2">
      <c r="B356" s="30" t="s">
        <v>401</v>
      </c>
      <c r="D356" s="15" t="s">
        <v>15</v>
      </c>
      <c r="E356" s="190"/>
      <c r="F356" s="188">
        <v>0</v>
      </c>
      <c r="G356" s="188">
        <v>0</v>
      </c>
      <c r="H356" s="188">
        <v>0</v>
      </c>
      <c r="I356" s="188">
        <v>0</v>
      </c>
      <c r="J356" s="188">
        <v>0</v>
      </c>
      <c r="K356" s="188">
        <v>0</v>
      </c>
      <c r="L356" s="188">
        <v>0</v>
      </c>
      <c r="M356" s="188">
        <v>0</v>
      </c>
      <c r="N356" s="188">
        <v>0</v>
      </c>
      <c r="O356" s="188">
        <v>0</v>
      </c>
      <c r="P356" s="188">
        <v>0</v>
      </c>
      <c r="Q356" s="188">
        <v>0</v>
      </c>
      <c r="R356" s="188">
        <v>0</v>
      </c>
      <c r="S356" s="188">
        <v>0</v>
      </c>
      <c r="T356" s="188">
        <v>0</v>
      </c>
      <c r="U356" s="188">
        <v>0</v>
      </c>
      <c r="V356" s="188">
        <v>0</v>
      </c>
      <c r="W356" s="188">
        <v>0</v>
      </c>
      <c r="X356" s="188">
        <v>0</v>
      </c>
      <c r="Y356" s="188">
        <v>0</v>
      </c>
      <c r="Z356" s="188">
        <v>0</v>
      </c>
      <c r="AA356" s="188">
        <v>0</v>
      </c>
      <c r="AB356" s="188">
        <v>0</v>
      </c>
      <c r="AC356" s="188">
        <v>0</v>
      </c>
      <c r="AD356" s="188">
        <v>0</v>
      </c>
      <c r="AE356" s="188">
        <v>0</v>
      </c>
      <c r="AF356" s="188">
        <v>0</v>
      </c>
      <c r="AG356" s="188">
        <v>0</v>
      </c>
      <c r="AH356" s="188">
        <v>0</v>
      </c>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row>
    <row r="357" spans="1:65" s="8" customFormat="1" ht="14" x14ac:dyDescent="0.2">
      <c r="B357" s="14"/>
      <c r="D357" s="15"/>
      <c r="E357" s="15"/>
    </row>
    <row r="358" spans="1:65" s="8" customFormat="1" ht="14" outlineLevel="1" x14ac:dyDescent="0.2">
      <c r="B358" s="14" t="str">
        <f>B301&amp; " - total annual cost in forecast period"</f>
        <v>Staff - total annual cost in forecast period</v>
      </c>
      <c r="D358" s="10" t="str">
        <f>'Assumptions - General'!$E$27 &amp;" millions"</f>
        <v>R$ millions</v>
      </c>
      <c r="E358" s="192">
        <f>Calculations!E260</f>
        <v>1000</v>
      </c>
      <c r="F358" s="192">
        <f>Calculations!F260</f>
        <v>1030.0000000000002</v>
      </c>
      <c r="G358" s="192">
        <f>Calculations!G260</f>
        <v>1060.9000000000001</v>
      </c>
      <c r="H358" s="192">
        <f>Calculations!H260</f>
        <v>1311.2724000000003</v>
      </c>
      <c r="I358" s="192">
        <f>Calculations!I260</f>
        <v>1500.6784133333335</v>
      </c>
      <c r="J358" s="192">
        <f>Calculations!J260</f>
        <v>1545.6987657333334</v>
      </c>
      <c r="K358" s="192">
        <f>Calculations!K260</f>
        <v>1592.0697287053335</v>
      </c>
      <c r="L358" s="192">
        <f>Calculations!L260</f>
        <v>1639.8318205664934</v>
      </c>
      <c r="M358" s="192">
        <f>Calculations!M260</f>
        <v>1689.0267751834886</v>
      </c>
      <c r="N358" s="192">
        <f>Calculations!N260</f>
        <v>1739.6975784389929</v>
      </c>
      <c r="O358" s="192">
        <f>Calculations!O260</f>
        <v>1791.888505792163</v>
      </c>
      <c r="P358" s="192">
        <f>Calculations!P260</f>
        <v>1845.6451609659277</v>
      </c>
      <c r="Q358" s="192">
        <f>Calculations!Q260</f>
        <v>1901.0145157949059</v>
      </c>
      <c r="R358" s="192">
        <f>Calculations!R260</f>
        <v>1958.0449512687533</v>
      </c>
      <c r="S358" s="192">
        <f>Calculations!S260</f>
        <v>2016.7862998068158</v>
      </c>
      <c r="T358" s="192">
        <f>Calculations!T260</f>
        <v>2077.2898888010204</v>
      </c>
      <c r="U358" s="192">
        <f>Calculations!U260</f>
        <v>2139.608585465051</v>
      </c>
      <c r="V358" s="192">
        <f>Calculations!V260</f>
        <v>2203.7968430290025</v>
      </c>
      <c r="W358" s="192">
        <f>Calculations!W260</f>
        <v>2269.9107483198727</v>
      </c>
      <c r="X358" s="192">
        <f>Calculations!X260</f>
        <v>2338.0080707694688</v>
      </c>
      <c r="Y358" s="192">
        <f>Calculations!Y260</f>
        <v>2408.1483128925529</v>
      </c>
      <c r="Z358" s="192">
        <f>Calculations!Z260</f>
        <v>2480.3927622793294</v>
      </c>
      <c r="AA358" s="192">
        <f>Calculations!AA260</f>
        <v>2554.8045451477092</v>
      </c>
      <c r="AB358" s="192">
        <f>Calculations!AB260</f>
        <v>2631.448681502141</v>
      </c>
      <c r="AC358" s="192">
        <f>Calculations!AC260</f>
        <v>2710.3921419472049</v>
      </c>
      <c r="AD358" s="192">
        <f>Calculations!AD260</f>
        <v>2791.703906205621</v>
      </c>
      <c r="AE358" s="192">
        <f>Calculations!AE260</f>
        <v>2875.4550233917898</v>
      </c>
      <c r="AF358" s="192">
        <f>Calculations!AF260</f>
        <v>2961.7186740935435</v>
      </c>
      <c r="AG358" s="192">
        <f>Calculations!AG260</f>
        <v>3050.5702343163498</v>
      </c>
      <c r="AH358" s="192">
        <f>Calculations!AH260</f>
        <v>3142.0873413458403</v>
      </c>
    </row>
    <row r="359" spans="1:65" s="8" customFormat="1" ht="14" outlineLevel="1" x14ac:dyDescent="0.2">
      <c r="B359" s="14" t="str">
        <f>B311&amp; " - total annual cost in forecast period"</f>
        <v>Materials - total annual cost in forecast period</v>
      </c>
      <c r="D359" s="10" t="str">
        <f>'Assumptions - General'!$E$27 &amp;" millions"</f>
        <v>R$ millions</v>
      </c>
      <c r="E359" s="192">
        <f>Calculations!E262</f>
        <v>500</v>
      </c>
      <c r="F359" s="192">
        <f>Calculations!F262</f>
        <v>502.43902439024396</v>
      </c>
      <c r="G359" s="192">
        <f>Calculations!G262</f>
        <v>517.51219512195132</v>
      </c>
      <c r="H359" s="192">
        <f>Calculations!H262</f>
        <v>533.03756097560984</v>
      </c>
      <c r="I359" s="192">
        <f>Calculations!I262</f>
        <v>549.02868780487813</v>
      </c>
      <c r="J359" s="192">
        <f>Calculations!J262</f>
        <v>565.49954843902447</v>
      </c>
      <c r="K359" s="192">
        <f>Calculations!K262</f>
        <v>655.27260175371953</v>
      </c>
      <c r="L359" s="192">
        <f>Calculations!L262</f>
        <v>674.93077980633109</v>
      </c>
      <c r="M359" s="192">
        <f>Calculations!M262</f>
        <v>695.178703200521</v>
      </c>
      <c r="N359" s="192">
        <f>Calculations!N262</f>
        <v>716.0340642965366</v>
      </c>
      <c r="O359" s="192">
        <f>Calculations!O262</f>
        <v>737.5150862254327</v>
      </c>
      <c r="P359" s="192">
        <f>Calculations!P262</f>
        <v>759.6405388121957</v>
      </c>
      <c r="Q359" s="192">
        <f>Calculations!Q262</f>
        <v>782.42975497656164</v>
      </c>
      <c r="R359" s="192">
        <f>Calculations!R262</f>
        <v>805.90264762585855</v>
      </c>
      <c r="S359" s="192">
        <f>Calculations!S262</f>
        <v>830.0797270546343</v>
      </c>
      <c r="T359" s="192">
        <f>Calculations!T262</f>
        <v>854.98211886627337</v>
      </c>
      <c r="U359" s="192">
        <f>Calculations!U262</f>
        <v>880.63158243226155</v>
      </c>
      <c r="V359" s="192">
        <f>Calculations!V262</f>
        <v>907.05052990522938</v>
      </c>
      <c r="W359" s="192">
        <f>Calculations!W262</f>
        <v>934.2620458023863</v>
      </c>
      <c r="X359" s="192">
        <f>Calculations!X262</f>
        <v>962.28990717645786</v>
      </c>
      <c r="Y359" s="192">
        <f>Calculations!Y262</f>
        <v>991.15860439175162</v>
      </c>
      <c r="Z359" s="192">
        <f>Calculations!Z262</f>
        <v>1020.8933625235042</v>
      </c>
      <c r="AA359" s="192">
        <f>Calculations!AA262</f>
        <v>1051.5201633992092</v>
      </c>
      <c r="AB359" s="192">
        <f>Calculations!AB262</f>
        <v>1083.0657683011855</v>
      </c>
      <c r="AC359" s="192">
        <f>Calculations!AC262</f>
        <v>1115.557741350221</v>
      </c>
      <c r="AD359" s="192">
        <f>Calculations!AD262</f>
        <v>1149.0244735907277</v>
      </c>
      <c r="AE359" s="192">
        <f>Calculations!AE262</f>
        <v>1183.4952077984494</v>
      </c>
      <c r="AF359" s="192">
        <f>Calculations!AF262</f>
        <v>1219.0000640324029</v>
      </c>
      <c r="AG359" s="192">
        <f>Calculations!AG262</f>
        <v>1255.570065953375</v>
      </c>
      <c r="AH359" s="192">
        <f>Calculations!AH262</f>
        <v>1293.2371679319763</v>
      </c>
    </row>
    <row r="360" spans="1:65" s="8" customFormat="1" ht="14" outlineLevel="1" x14ac:dyDescent="0.2">
      <c r="B360" s="14" t="str">
        <f>B320&amp; " - total annual cost in forecast period"</f>
        <v>Diesel fuel - total annual cost in forecast period</v>
      </c>
      <c r="D360" s="10" t="str">
        <f>'Assumptions - General'!$E$27 &amp;" millions"</f>
        <v>R$ millions</v>
      </c>
      <c r="E360" s="192">
        <f>Calculations!E264</f>
        <v>500</v>
      </c>
      <c r="F360" s="192">
        <f>Calculations!F264</f>
        <v>492.39024390243901</v>
      </c>
      <c r="G360" s="192">
        <f>Calculations!G264</f>
        <v>496.81170731707311</v>
      </c>
      <c r="H360" s="192">
        <f>Calculations!H264</f>
        <v>501.05530731707313</v>
      </c>
      <c r="I360" s="192">
        <f>Calculations!I264</f>
        <v>505.10639278048774</v>
      </c>
      <c r="J360" s="192">
        <f>Calculations!J264</f>
        <v>508.94959359512205</v>
      </c>
      <c r="K360" s="192">
        <f>Calculations!K264</f>
        <v>576.63988954327328</v>
      </c>
      <c r="L360" s="192">
        <f>Calculations!L264</f>
        <v>580.44047063344465</v>
      </c>
      <c r="M360" s="192">
        <f>Calculations!M264</f>
        <v>583.95011068843769</v>
      </c>
      <c r="N360" s="192">
        <f>Calculations!N264</f>
        <v>587.14793272316012</v>
      </c>
      <c r="O360" s="192">
        <f>Calculations!O264</f>
        <v>590.01206898034627</v>
      </c>
      <c r="P360" s="192">
        <f>Calculations!P264</f>
        <v>592.5196202735126</v>
      </c>
      <c r="Q360" s="192">
        <f>Calculations!Q264</f>
        <v>594.64661378218671</v>
      </c>
      <c r="R360" s="192">
        <f>Calculations!R264</f>
        <v>596.36795924313515</v>
      </c>
      <c r="S360" s="192">
        <f>Calculations!S264</f>
        <v>597.65740347933684</v>
      </c>
      <c r="T360" s="192">
        <f>Calculations!T264</f>
        <v>598.48748320639106</v>
      </c>
      <c r="U360" s="192">
        <f>Calculations!U264</f>
        <v>598.82947605393758</v>
      </c>
      <c r="V360" s="192">
        <f>Calculations!V264</f>
        <v>598.65334973745144</v>
      </c>
      <c r="W360" s="192">
        <f>Calculations!W264</f>
        <v>597.92770931352732</v>
      </c>
      <c r="X360" s="192">
        <f>Calculations!X264</f>
        <v>596.61974244940382</v>
      </c>
      <c r="Y360" s="192">
        <f>Calculations!Y264</f>
        <v>594.69516263505102</v>
      </c>
      <c r="Z360" s="192">
        <f>Calculations!Z264</f>
        <v>592.11815026363229</v>
      </c>
      <c r="AA360" s="192">
        <f>Calculations!AA264</f>
        <v>588.85129150355726</v>
      </c>
      <c r="AB360" s="192">
        <f>Calculations!AB264</f>
        <v>584.85551488264002</v>
      </c>
      <c r="AC360" s="192">
        <f>Calculations!AC264</f>
        <v>580.09002550211494</v>
      </c>
      <c r="AD360" s="192">
        <f>Calculations!AD264</f>
        <v>574.51223679536372</v>
      </c>
      <c r="AE360" s="192">
        <f>Calculations!AE264</f>
        <v>568.07769974325583</v>
      </c>
      <c r="AF360" s="192">
        <f>Calculations!AF264</f>
        <v>560.74002945490531</v>
      </c>
      <c r="AG360" s="192">
        <f>Calculations!AG264</f>
        <v>552.45082901948501</v>
      </c>
      <c r="AH360" s="192">
        <f>Calculations!AH264</f>
        <v>543.15961053142996</v>
      </c>
    </row>
    <row r="361" spans="1:65" s="8" customFormat="1" ht="14" outlineLevel="1" x14ac:dyDescent="0.2">
      <c r="B361" s="14" t="str">
        <f>B329&amp; " - total annual cost in forecast period"</f>
        <v>Electricity - total annual cost in forecast period</v>
      </c>
      <c r="D361" s="10" t="str">
        <f>'Assumptions - General'!$E$27 &amp;" millions"</f>
        <v>R$ millions</v>
      </c>
      <c r="E361" s="192">
        <f>Calculations!E266</f>
        <v>500</v>
      </c>
      <c r="F361" s="192">
        <f>Calculations!F266</f>
        <v>512.48780487804879</v>
      </c>
      <c r="G361" s="192">
        <f>Calculations!G266</f>
        <v>538.2126829268293</v>
      </c>
      <c r="H361" s="192">
        <f>Calculations!H266</f>
        <v>565.01981463414631</v>
      </c>
      <c r="I361" s="192">
        <f>Calculations!I266</f>
        <v>592.95098282926847</v>
      </c>
      <c r="J361" s="192">
        <f>Calculations!J266</f>
        <v>622.04950328292716</v>
      </c>
      <c r="K361" s="192">
        <f>Calculations!K266</f>
        <v>733.905313964166</v>
      </c>
      <c r="L361" s="192">
        <f>Calculations!L266</f>
        <v>769.42108897921787</v>
      </c>
      <c r="M361" s="192">
        <f>Calculations!M266</f>
        <v>806.40729571260465</v>
      </c>
      <c r="N361" s="192">
        <f>Calculations!N266</f>
        <v>844.92019586991353</v>
      </c>
      <c r="O361" s="192">
        <f>Calculations!O266</f>
        <v>885.01810347051958</v>
      </c>
      <c r="P361" s="192">
        <f>Calculations!P266</f>
        <v>926.76145735087948</v>
      </c>
      <c r="Q361" s="192">
        <f>Calculations!Q266</f>
        <v>970.21289617093692</v>
      </c>
      <c r="R361" s="192">
        <f>Calculations!R266</f>
        <v>1015.4373360085822</v>
      </c>
      <c r="S361" s="192">
        <f>Calculations!S266</f>
        <v>1062.5020506299322</v>
      </c>
      <c r="T361" s="192">
        <f>Calculations!T266</f>
        <v>1111.4767545261561</v>
      </c>
      <c r="U361" s="192">
        <f>Calculations!U266</f>
        <v>1162.4336888105859</v>
      </c>
      <c r="V361" s="192">
        <f>Calculations!V266</f>
        <v>1215.447710073008</v>
      </c>
      <c r="W361" s="192">
        <f>Calculations!W266</f>
        <v>1270.5963822912461</v>
      </c>
      <c r="X361" s="192">
        <f>Calculations!X266</f>
        <v>1327.9600719035122</v>
      </c>
      <c r="Y361" s="192">
        <f>Calculations!Y266</f>
        <v>1387.6220461484531</v>
      </c>
      <c r="Z361" s="192">
        <f>Calculations!Z266</f>
        <v>1449.6685747833765</v>
      </c>
      <c r="AA361" s="192">
        <f>Calculations!AA266</f>
        <v>1514.1890352948624</v>
      </c>
      <c r="AB361" s="192">
        <f>Calculations!AB266</f>
        <v>1581.2760217197319</v>
      </c>
      <c r="AC361" s="192">
        <f>Calculations!AC266</f>
        <v>1651.0254571983285</v>
      </c>
      <c r="AD361" s="192">
        <f>Calculations!AD266</f>
        <v>1723.5367103860931</v>
      </c>
      <c r="AE361" s="192">
        <f>Calculations!AE266</f>
        <v>1798.9127158536446</v>
      </c>
      <c r="AF361" s="192">
        <f>Calculations!AF266</f>
        <v>1877.2600986099023</v>
      </c>
      <c r="AG361" s="192">
        <f>Calculations!AG266</f>
        <v>1958.6893028872676</v>
      </c>
      <c r="AH361" s="192">
        <f>Calculations!AH266</f>
        <v>2043.3147253325246</v>
      </c>
    </row>
    <row r="362" spans="1:65" s="8" customFormat="1" ht="14" outlineLevel="1" x14ac:dyDescent="0.2">
      <c r="B362" s="14" t="str">
        <f>B338&amp; " - total annual cost in forecast period"</f>
        <v>External services - total annual cost in forecast period</v>
      </c>
      <c r="D362" s="10" t="str">
        <f>'Assumptions - General'!$E$27 &amp;" millions"</f>
        <v>R$ millions</v>
      </c>
      <c r="E362" s="192">
        <f>Calculations!E268</f>
        <v>500</v>
      </c>
      <c r="F362" s="192">
        <f>Calculations!F268</f>
        <v>515</v>
      </c>
      <c r="G362" s="192">
        <f>Calculations!G268</f>
        <v>530.45000000000005</v>
      </c>
      <c r="H362" s="192">
        <f>Calculations!H268</f>
        <v>546.36350000000004</v>
      </c>
      <c r="I362" s="192">
        <f>Calculations!I268</f>
        <v>562.75440500000002</v>
      </c>
      <c r="J362" s="192">
        <f>Calculations!J268</f>
        <v>579.63703715000008</v>
      </c>
      <c r="K362" s="192">
        <f>Calculations!K268</f>
        <v>597.02614826449997</v>
      </c>
      <c r="L362" s="192">
        <f>Calculations!L268</f>
        <v>614.93693271243512</v>
      </c>
      <c r="M362" s="192">
        <f>Calculations!M268</f>
        <v>633.38504069380815</v>
      </c>
      <c r="N362" s="192">
        <f>Calculations!N268</f>
        <v>652.38659191462239</v>
      </c>
      <c r="O362" s="192">
        <f>Calculations!O268</f>
        <v>671.95818967206105</v>
      </c>
      <c r="P362" s="192">
        <f>Calculations!P268</f>
        <v>692.11693536222288</v>
      </c>
      <c r="Q362" s="192">
        <f>Calculations!Q268</f>
        <v>712.88044342308967</v>
      </c>
      <c r="R362" s="192">
        <f>Calculations!R268</f>
        <v>734.2668567257823</v>
      </c>
      <c r="S362" s="192">
        <f>Calculations!S268</f>
        <v>756.29486242755581</v>
      </c>
      <c r="T362" s="192">
        <f>Calculations!T268</f>
        <v>778.98370830038255</v>
      </c>
      <c r="U362" s="192">
        <f>Calculations!U268</f>
        <v>802.35321954939388</v>
      </c>
      <c r="V362" s="192">
        <f>Calculations!V268</f>
        <v>826.42381613587577</v>
      </c>
      <c r="W362" s="192">
        <f>Calculations!W268</f>
        <v>851.2165306199521</v>
      </c>
      <c r="X362" s="192">
        <f>Calculations!X268</f>
        <v>876.75302653855067</v>
      </c>
      <c r="Y362" s="192">
        <f>Calculations!Y268</f>
        <v>903.05561733470722</v>
      </c>
      <c r="Z362" s="192">
        <f>Calculations!Z268</f>
        <v>930.14728585474847</v>
      </c>
      <c r="AA362" s="192">
        <f>Calculations!AA268</f>
        <v>958.05170443039083</v>
      </c>
      <c r="AB362" s="192">
        <f>Calculations!AB268</f>
        <v>986.79325556330275</v>
      </c>
      <c r="AC362" s="192">
        <f>Calculations!AC268</f>
        <v>1016.3970532302019</v>
      </c>
      <c r="AD362" s="192">
        <f>Calculations!AD268</f>
        <v>1046.8889648271079</v>
      </c>
      <c r="AE362" s="192">
        <f>Calculations!AE268</f>
        <v>1078.2956337719211</v>
      </c>
      <c r="AF362" s="192">
        <f>Calculations!AF268</f>
        <v>1110.6445027850787</v>
      </c>
      <c r="AG362" s="192">
        <f>Calculations!AG268</f>
        <v>1143.9638378686313</v>
      </c>
      <c r="AH362" s="192">
        <f>Calculations!AH268</f>
        <v>1178.2827530046902</v>
      </c>
    </row>
    <row r="363" spans="1:65" s="8" customFormat="1" ht="14" outlineLevel="1" x14ac:dyDescent="0.2">
      <c r="B363" s="14" t="str">
        <f>B348&amp; " - total annual cost in forecast period"</f>
        <v>Other operating expenses - total annual cost in forecast period</v>
      </c>
      <c r="D363" s="10" t="str">
        <f>'Assumptions - General'!$E$27 &amp;" millions"</f>
        <v>R$ millions</v>
      </c>
      <c r="E363" s="192">
        <f>Calculations!E270</f>
        <v>500</v>
      </c>
      <c r="F363" s="192">
        <f>Calculations!F270</f>
        <v>515</v>
      </c>
      <c r="G363" s="192">
        <f>Calculations!G270</f>
        <v>530.45000000000005</v>
      </c>
      <c r="H363" s="192">
        <f>Calculations!H270</f>
        <v>546.36350000000004</v>
      </c>
      <c r="I363" s="192">
        <f>Calculations!I270</f>
        <v>562.75440500000002</v>
      </c>
      <c r="J363" s="192">
        <f>Calculations!J270</f>
        <v>579.63703715000008</v>
      </c>
      <c r="K363" s="192">
        <f>Calculations!K270</f>
        <v>597.02614826449997</v>
      </c>
      <c r="L363" s="192">
        <f>Calculations!L270</f>
        <v>614.93693271243512</v>
      </c>
      <c r="M363" s="192">
        <f>Calculations!M270</f>
        <v>633.38504069380815</v>
      </c>
      <c r="N363" s="192">
        <f>Calculations!N270</f>
        <v>652.38659191462239</v>
      </c>
      <c r="O363" s="192">
        <f>Calculations!O270</f>
        <v>671.95818967206105</v>
      </c>
      <c r="P363" s="192">
        <f>Calculations!P270</f>
        <v>692.11693536222288</v>
      </c>
      <c r="Q363" s="192">
        <f>Calculations!Q270</f>
        <v>712.88044342308967</v>
      </c>
      <c r="R363" s="192">
        <f>Calculations!R270</f>
        <v>734.2668567257823</v>
      </c>
      <c r="S363" s="192">
        <f>Calculations!S270</f>
        <v>756.29486242755581</v>
      </c>
      <c r="T363" s="192">
        <f>Calculations!T270</f>
        <v>778.98370830038255</v>
      </c>
      <c r="U363" s="192">
        <f>Calculations!U270</f>
        <v>802.35321954939388</v>
      </c>
      <c r="V363" s="192">
        <f>Calculations!V270</f>
        <v>826.42381613587577</v>
      </c>
      <c r="W363" s="192">
        <f>Calculations!W270</f>
        <v>851.2165306199521</v>
      </c>
      <c r="X363" s="192">
        <f>Calculations!X270</f>
        <v>876.75302653855067</v>
      </c>
      <c r="Y363" s="192">
        <f>Calculations!Y270</f>
        <v>903.05561733470722</v>
      </c>
      <c r="Z363" s="192">
        <f>Calculations!Z270</f>
        <v>930.14728585474847</v>
      </c>
      <c r="AA363" s="192">
        <f>Calculations!AA270</f>
        <v>958.05170443039083</v>
      </c>
      <c r="AB363" s="192">
        <f>Calculations!AB270</f>
        <v>986.79325556330275</v>
      </c>
      <c r="AC363" s="192">
        <f>Calculations!AC270</f>
        <v>1016.3970532302019</v>
      </c>
      <c r="AD363" s="192">
        <f>Calculations!AD270</f>
        <v>1046.8889648271079</v>
      </c>
      <c r="AE363" s="192">
        <f>Calculations!AE270</f>
        <v>1078.2956337719211</v>
      </c>
      <c r="AF363" s="192">
        <f>Calculations!AF270</f>
        <v>1110.6445027850787</v>
      </c>
      <c r="AG363" s="192">
        <f>Calculations!AG270</f>
        <v>1143.9638378686313</v>
      </c>
      <c r="AH363" s="192">
        <f>Calculations!AH270</f>
        <v>1178.2827530046902</v>
      </c>
    </row>
    <row r="364" spans="1:65" s="8" customFormat="1" ht="14" x14ac:dyDescent="0.2">
      <c r="A364" s="7" t="s">
        <v>405</v>
      </c>
      <c r="B364" s="14"/>
      <c r="D364" s="15"/>
      <c r="E364" s="15"/>
    </row>
    <row r="365" spans="1:65" s="8" customFormat="1" ht="14" x14ac:dyDescent="0.2">
      <c r="A365" s="7"/>
      <c r="B365" s="14"/>
      <c r="D365" s="15"/>
      <c r="E365" s="15"/>
    </row>
    <row r="366" spans="1:65" s="320" customFormat="1" x14ac:dyDescent="0.2">
      <c r="B366" s="319" t="str">
        <f>"Non-operating costs of " &amp;'Assumptions - General'!$E$24</f>
        <v>Non-operating costs of Ruritania Freight Rail Company</v>
      </c>
    </row>
    <row r="367" spans="1:65" s="18" customFormat="1" x14ac:dyDescent="0.2"/>
    <row r="368" spans="1:65" s="8" customFormat="1" ht="14" x14ac:dyDescent="0.2">
      <c r="B368" s="16" t="s">
        <v>375</v>
      </c>
      <c r="D368" s="8" t="s">
        <v>32</v>
      </c>
      <c r="E368" s="177">
        <f>IF(F368="Yes",1,2)</f>
        <v>1</v>
      </c>
      <c r="F368" s="87" t="s">
        <v>33</v>
      </c>
    </row>
    <row r="369" spans="2:65" s="8" customFormat="1" ht="14" x14ac:dyDescent="0.2">
      <c r="B369" s="16"/>
      <c r="E369" s="182"/>
    </row>
    <row r="370" spans="2:65" s="20" customFormat="1" ht="14" x14ac:dyDescent="0.2">
      <c r="B370" s="19" t="s">
        <v>132</v>
      </c>
      <c r="D370" s="20" t="s">
        <v>2</v>
      </c>
      <c r="E370" s="188" t="s">
        <v>117</v>
      </c>
    </row>
    <row r="371" spans="2:65" s="8" customFormat="1" ht="14" x14ac:dyDescent="0.2">
      <c r="B371" s="14" t="s">
        <v>377</v>
      </c>
      <c r="D371" s="10" t="str">
        <f>'Assumptions - General'!$E$27 &amp;" millions"</f>
        <v>R$ millions</v>
      </c>
      <c r="E371" s="176">
        <v>200</v>
      </c>
    </row>
    <row r="372" spans="2:65" s="8" customFormat="1" ht="14" x14ac:dyDescent="0.2">
      <c r="B372" s="215" t="s">
        <v>385</v>
      </c>
      <c r="D372" s="8" t="s">
        <v>256</v>
      </c>
      <c r="E372" s="176">
        <v>100</v>
      </c>
      <c r="F372" s="458">
        <f t="shared" ref="F372:AH372" si="18">E372*(1+F373)</f>
        <v>100</v>
      </c>
      <c r="G372" s="458">
        <f t="shared" si="18"/>
        <v>100</v>
      </c>
      <c r="H372" s="458">
        <f t="shared" si="18"/>
        <v>100</v>
      </c>
      <c r="I372" s="458">
        <f t="shared" si="18"/>
        <v>100</v>
      </c>
      <c r="J372" s="458">
        <f t="shared" si="18"/>
        <v>100</v>
      </c>
      <c r="K372" s="458">
        <f t="shared" si="18"/>
        <v>100</v>
      </c>
      <c r="L372" s="458">
        <f t="shared" si="18"/>
        <v>100</v>
      </c>
      <c r="M372" s="458">
        <f t="shared" si="18"/>
        <v>100</v>
      </c>
      <c r="N372" s="458">
        <f t="shared" si="18"/>
        <v>100</v>
      </c>
      <c r="O372" s="458">
        <f t="shared" si="18"/>
        <v>100</v>
      </c>
      <c r="P372" s="458">
        <f t="shared" si="18"/>
        <v>100</v>
      </c>
      <c r="Q372" s="458">
        <f t="shared" si="18"/>
        <v>100</v>
      </c>
      <c r="R372" s="458">
        <f t="shared" si="18"/>
        <v>100</v>
      </c>
      <c r="S372" s="458">
        <f t="shared" si="18"/>
        <v>100</v>
      </c>
      <c r="T372" s="458">
        <f t="shared" si="18"/>
        <v>100</v>
      </c>
      <c r="U372" s="458">
        <f t="shared" si="18"/>
        <v>100</v>
      </c>
      <c r="V372" s="458">
        <f t="shared" si="18"/>
        <v>100</v>
      </c>
      <c r="W372" s="458">
        <f t="shared" si="18"/>
        <v>100</v>
      </c>
      <c r="X372" s="458">
        <f t="shared" si="18"/>
        <v>100</v>
      </c>
      <c r="Y372" s="458">
        <f t="shared" si="18"/>
        <v>100</v>
      </c>
      <c r="Z372" s="458">
        <f t="shared" si="18"/>
        <v>100</v>
      </c>
      <c r="AA372" s="458">
        <f t="shared" si="18"/>
        <v>100</v>
      </c>
      <c r="AB372" s="458">
        <f t="shared" si="18"/>
        <v>100</v>
      </c>
      <c r="AC372" s="458">
        <f t="shared" si="18"/>
        <v>100</v>
      </c>
      <c r="AD372" s="458">
        <f t="shared" si="18"/>
        <v>100</v>
      </c>
      <c r="AE372" s="458">
        <f t="shared" si="18"/>
        <v>100</v>
      </c>
      <c r="AF372" s="458">
        <f t="shared" si="18"/>
        <v>100</v>
      </c>
      <c r="AG372" s="458">
        <f t="shared" si="18"/>
        <v>100</v>
      </c>
      <c r="AH372" s="458">
        <f t="shared" si="18"/>
        <v>100</v>
      </c>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c r="BJ372" s="20"/>
      <c r="BK372" s="20"/>
      <c r="BL372" s="20"/>
      <c r="BM372" s="20"/>
    </row>
    <row r="373" spans="2:65" s="8" customFormat="1" ht="14" x14ac:dyDescent="0.2">
      <c r="B373" s="211" t="s">
        <v>263</v>
      </c>
      <c r="D373" s="8" t="s">
        <v>15</v>
      </c>
      <c r="E373" s="192"/>
      <c r="F373" s="189">
        <v>0</v>
      </c>
      <c r="G373" s="189">
        <v>0</v>
      </c>
      <c r="H373" s="189">
        <v>0</v>
      </c>
      <c r="I373" s="189">
        <v>0</v>
      </c>
      <c r="J373" s="189">
        <v>0</v>
      </c>
      <c r="K373" s="189">
        <v>0</v>
      </c>
      <c r="L373" s="189">
        <v>0</v>
      </c>
      <c r="M373" s="189">
        <v>0</v>
      </c>
      <c r="N373" s="189">
        <v>0</v>
      </c>
      <c r="O373" s="189">
        <v>0</v>
      </c>
      <c r="P373" s="189">
        <v>0</v>
      </c>
      <c r="Q373" s="189">
        <v>0</v>
      </c>
      <c r="R373" s="189">
        <v>0</v>
      </c>
      <c r="S373" s="189">
        <v>0</v>
      </c>
      <c r="T373" s="189">
        <v>0</v>
      </c>
      <c r="U373" s="189">
        <v>0</v>
      </c>
      <c r="V373" s="189">
        <v>0</v>
      </c>
      <c r="W373" s="189">
        <v>0</v>
      </c>
      <c r="X373" s="189">
        <v>0</v>
      </c>
      <c r="Y373" s="189">
        <v>0</v>
      </c>
      <c r="Z373" s="189">
        <v>0</v>
      </c>
      <c r="AA373" s="189">
        <v>0</v>
      </c>
      <c r="AB373" s="189">
        <v>0</v>
      </c>
      <c r="AC373" s="189">
        <v>0</v>
      </c>
      <c r="AD373" s="189">
        <v>0</v>
      </c>
      <c r="AE373" s="189">
        <v>0</v>
      </c>
      <c r="AF373" s="189">
        <v>0</v>
      </c>
      <c r="AG373" s="189">
        <v>0</v>
      </c>
      <c r="AH373" s="189">
        <v>0</v>
      </c>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c r="BJ373" s="20"/>
      <c r="BK373" s="20"/>
      <c r="BL373" s="20"/>
      <c r="BM373" s="20"/>
    </row>
    <row r="374" spans="2:65" s="8" customFormat="1" ht="14" x14ac:dyDescent="0.2">
      <c r="B374" s="215" t="s">
        <v>575</v>
      </c>
      <c r="D374" s="15"/>
      <c r="E374" s="180"/>
      <c r="F374" s="220"/>
      <c r="G374" s="183"/>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c r="BJ374" s="20"/>
      <c r="BK374" s="20"/>
      <c r="BL374" s="20"/>
      <c r="BM374" s="20"/>
    </row>
    <row r="375" spans="2:65" s="8" customFormat="1" ht="14" x14ac:dyDescent="0.2">
      <c r="B375" s="211" t="s">
        <v>38</v>
      </c>
      <c r="D375" s="8" t="s">
        <v>15</v>
      </c>
      <c r="E375" s="188">
        <f>IF(E368=2,0,F375/100)</f>
        <v>1</v>
      </c>
      <c r="F375" s="220">
        <v>100</v>
      </c>
      <c r="G375" s="183"/>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c r="BJ375" s="20"/>
      <c r="BK375" s="20"/>
      <c r="BL375" s="20"/>
      <c r="BM375" s="20"/>
    </row>
    <row r="376" spans="2:65" s="20" customFormat="1" ht="14" x14ac:dyDescent="0.2">
      <c r="B376" s="216" t="s">
        <v>268</v>
      </c>
      <c r="D376" s="122" t="str">
        <f>'Assumptions - General'!$E$27 &amp;" per unit"</f>
        <v>R$ per unit</v>
      </c>
      <c r="E376" s="192">
        <f>IF(E371&gt;0,E371*1000000/E372,0)</f>
        <v>2000000</v>
      </c>
      <c r="F376" s="192">
        <f>E376*(1+F377)*IF($E$368=1,($E375*'Assumptions - General'!F$37+1),1)</f>
        <v>2060000</v>
      </c>
      <c r="G376" s="192">
        <f>F376*(1+G377)*IF($E$368=1,($E375*'Assumptions - General'!G$37+1),1)</f>
        <v>2121800</v>
      </c>
      <c r="H376" s="192">
        <f>G376*(1+H377)*IF($E$368=1,($E375*'Assumptions - General'!H$37+1),1)</f>
        <v>2185454</v>
      </c>
      <c r="I376" s="192">
        <f>H376*(1+I377)*IF($E$368=1,($E375*'Assumptions - General'!I$37+1),1)</f>
        <v>2251017.62</v>
      </c>
      <c r="J376" s="192">
        <f>I376*(1+J377)*IF($E$368=1,($E375*'Assumptions - General'!J$37+1),1)</f>
        <v>2318548.1486</v>
      </c>
      <c r="K376" s="192">
        <f>J376*(1+K377)*IF($E$368=1,($E375*'Assumptions - General'!K$37+1),1)</f>
        <v>2388104.5930579999</v>
      </c>
      <c r="L376" s="192">
        <f>K376*(1+L377)*IF($E$368=1,($E375*'Assumptions - General'!L$37+1),1)</f>
        <v>2459747.7308497401</v>
      </c>
      <c r="M376" s="192">
        <f>L376*(1+M377)*IF($E$368=1,($E375*'Assumptions - General'!M$37+1),1)</f>
        <v>2533540.1627752325</v>
      </c>
      <c r="N376" s="192">
        <f>M376*(1+N377)*IF($E$368=1,($E375*'Assumptions - General'!N$37+1),1)</f>
        <v>2609546.3676584894</v>
      </c>
      <c r="O376" s="192">
        <f>N376*(1+O377)*IF($E$368=1,($E375*'Assumptions - General'!O$37+1),1)</f>
        <v>2687832.758688244</v>
      </c>
      <c r="P376" s="192">
        <f>O376*(1+P377)*IF($E$368=1,($E375*'Assumptions - General'!P$37+1),1)</f>
        <v>2768467.7414488913</v>
      </c>
      <c r="Q376" s="192">
        <f>P376*(1+Q377)*IF($E$368=1,($E375*'Assumptions - General'!Q$37+1),1)</f>
        <v>2851521.7736923583</v>
      </c>
      <c r="R376" s="192">
        <f>Q376*(1+R377)*IF($E$368=1,($E375*'Assumptions - General'!R$37+1),1)</f>
        <v>2937067.4269031291</v>
      </c>
      <c r="S376" s="192">
        <f>R376*(1+S377)*IF($E$368=1,($E375*'Assumptions - General'!S$37+1),1)</f>
        <v>3025179.4497102229</v>
      </c>
      <c r="T376" s="192">
        <f>S376*(1+T377)*IF($E$368=1,($E375*'Assumptions - General'!T$37+1),1)</f>
        <v>3115934.8332015295</v>
      </c>
      <c r="U376" s="192">
        <f>T376*(1+U377)*IF($E$368=1,($E375*'Assumptions - General'!U$37+1),1)</f>
        <v>3209412.8781975755</v>
      </c>
      <c r="V376" s="192">
        <f>U376*(1+V377)*IF($E$368=1,($E375*'Assumptions - General'!V$37+1),1)</f>
        <v>3305695.2645435026</v>
      </c>
      <c r="W376" s="192">
        <f>V376*(1+W377)*IF($E$368=1,($E375*'Assumptions - General'!W$37+1),1)</f>
        <v>3404866.1224798076</v>
      </c>
      <c r="X376" s="192">
        <f>W376*(1+X377)*IF($E$368=1,($E375*'Assumptions - General'!X$37+1),1)</f>
        <v>3507012.106154202</v>
      </c>
      <c r="Y376" s="192">
        <f>X376*(1+Y377)*IF($E$368=1,($E375*'Assumptions - General'!Y$37+1),1)</f>
        <v>3612222.4693388282</v>
      </c>
      <c r="Z376" s="192">
        <f>Y376*(1+Z377)*IF($E$368=1,($E375*'Assumptions - General'!Z$37+1),1)</f>
        <v>3720589.1434189933</v>
      </c>
      <c r="AA376" s="192">
        <f>Z376*(1+AA377)*IF($E$368=1,($E375*'Assumptions - General'!AA$37+1),1)</f>
        <v>3832206.8177215634</v>
      </c>
      <c r="AB376" s="192">
        <f>AA376*(1+AB377)*IF($E$368=1,($E375*'Assumptions - General'!AB$37+1),1)</f>
        <v>3947173.0222532102</v>
      </c>
      <c r="AC376" s="192">
        <f>AB376*(1+AC377)*IF($E$368=1,($E375*'Assumptions - General'!AC$37+1),1)</f>
        <v>4065588.2129208064</v>
      </c>
      <c r="AD376" s="192">
        <f>AC376*(1+AD377)*IF($E$368=1,($E375*'Assumptions - General'!AD$37+1),1)</f>
        <v>4187555.8593084305</v>
      </c>
      <c r="AE376" s="192">
        <f>AD376*(1+AE377)*IF($E$368=1,($E375*'Assumptions - General'!AE$37+1),1)</f>
        <v>4313182.5350876832</v>
      </c>
      <c r="AF376" s="192">
        <f>AE376*(1+AF377)*IF($E$368=1,($E375*'Assumptions - General'!AF$37+1),1)</f>
        <v>4442578.0111403139</v>
      </c>
      <c r="AG376" s="192">
        <f>AF376*(1+AG377)*IF($E$368=1,($E375*'Assumptions - General'!AG$37+1),1)</f>
        <v>4575855.3514745235</v>
      </c>
      <c r="AH376" s="192">
        <f>AG376*(1+AH377)*IF($E$368=1,($E375*'Assumptions - General'!AH$37+1),1)</f>
        <v>4713131.0120187597</v>
      </c>
    </row>
    <row r="377" spans="2:65" x14ac:dyDescent="0.2">
      <c r="B377" s="30" t="s">
        <v>401</v>
      </c>
      <c r="D377" s="15" t="s">
        <v>15</v>
      </c>
      <c r="E377" s="190"/>
      <c r="F377" s="188">
        <v>0</v>
      </c>
      <c r="G377" s="188">
        <v>0</v>
      </c>
      <c r="H377" s="188">
        <v>0</v>
      </c>
      <c r="I377" s="188">
        <v>0</v>
      </c>
      <c r="J377" s="188">
        <v>0</v>
      </c>
      <c r="K377" s="188">
        <v>0</v>
      </c>
      <c r="L377" s="188">
        <v>0</v>
      </c>
      <c r="M377" s="188">
        <v>0</v>
      </c>
      <c r="N377" s="188">
        <v>0</v>
      </c>
      <c r="O377" s="188">
        <v>0</v>
      </c>
      <c r="P377" s="188">
        <v>0</v>
      </c>
      <c r="Q377" s="188">
        <v>0</v>
      </c>
      <c r="R377" s="188">
        <v>0</v>
      </c>
      <c r="S377" s="188">
        <v>0</v>
      </c>
      <c r="T377" s="188">
        <v>0</v>
      </c>
      <c r="U377" s="188">
        <v>0</v>
      </c>
      <c r="V377" s="188">
        <v>0</v>
      </c>
      <c r="W377" s="188">
        <v>0</v>
      </c>
      <c r="X377" s="188">
        <v>0</v>
      </c>
      <c r="Y377" s="188">
        <v>0</v>
      </c>
      <c r="Z377" s="188">
        <v>0</v>
      </c>
      <c r="AA377" s="188">
        <v>0</v>
      </c>
      <c r="AB377" s="188">
        <v>0</v>
      </c>
      <c r="AC377" s="188">
        <v>0</v>
      </c>
      <c r="AD377" s="188">
        <v>0</v>
      </c>
      <c r="AE377" s="188">
        <v>0</v>
      </c>
      <c r="AF377" s="188">
        <v>0</v>
      </c>
      <c r="AG377" s="188">
        <v>0</v>
      </c>
      <c r="AH377" s="188">
        <v>0</v>
      </c>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row>
    <row r="378" spans="2:65" s="18" customFormat="1" x14ac:dyDescent="0.2">
      <c r="B378" s="32"/>
      <c r="D378" s="81"/>
      <c r="E378" s="204"/>
      <c r="F378" s="180"/>
      <c r="G378" s="180"/>
      <c r="H378" s="180"/>
      <c r="I378" s="180"/>
      <c r="J378" s="180"/>
      <c r="K378" s="180"/>
      <c r="L378" s="180"/>
      <c r="M378" s="180"/>
      <c r="N378" s="180"/>
      <c r="O378" s="180"/>
      <c r="P378" s="180"/>
      <c r="Q378" s="180"/>
      <c r="R378" s="180"/>
      <c r="S378" s="180"/>
      <c r="T378" s="180"/>
      <c r="U378" s="180"/>
      <c r="V378" s="180"/>
      <c r="W378" s="180"/>
      <c r="X378" s="180"/>
      <c r="Y378" s="180"/>
      <c r="Z378" s="180"/>
      <c r="AA378" s="180"/>
      <c r="AB378" s="180"/>
      <c r="AC378" s="180"/>
      <c r="AD378" s="180"/>
      <c r="AE378" s="180"/>
      <c r="AF378" s="180"/>
      <c r="AG378" s="180"/>
      <c r="AH378" s="180"/>
    </row>
    <row r="379" spans="2:65" s="20" customFormat="1" ht="14" x14ac:dyDescent="0.2">
      <c r="B379" s="19" t="s">
        <v>133</v>
      </c>
      <c r="D379" s="20" t="s">
        <v>2</v>
      </c>
      <c r="E379" s="188" t="s">
        <v>695</v>
      </c>
      <c r="F379" s="221"/>
      <c r="G379" s="182"/>
      <c r="H379" s="182"/>
      <c r="I379" s="182"/>
      <c r="J379" s="182"/>
      <c r="K379" s="182"/>
      <c r="L379" s="182"/>
      <c r="M379" s="182"/>
      <c r="N379" s="182"/>
      <c r="O379" s="182"/>
      <c r="P379" s="182"/>
      <c r="Q379" s="182"/>
      <c r="R379" s="182"/>
      <c r="S379" s="182"/>
      <c r="T379" s="182"/>
      <c r="U379" s="182"/>
      <c r="V379" s="182"/>
      <c r="W379" s="182"/>
      <c r="X379" s="182"/>
      <c r="Y379" s="182"/>
      <c r="Z379" s="182"/>
      <c r="AA379" s="182"/>
      <c r="AB379" s="182"/>
      <c r="AC379" s="182"/>
      <c r="AD379" s="182"/>
      <c r="AE379" s="182"/>
      <c r="AF379" s="182"/>
      <c r="AG379" s="182"/>
      <c r="AH379" s="182"/>
    </row>
    <row r="380" spans="2:65" s="8" customFormat="1" ht="14" x14ac:dyDescent="0.2">
      <c r="B380" s="14" t="s">
        <v>377</v>
      </c>
      <c r="D380" s="10" t="str">
        <f>'Assumptions - General'!$E$27 &amp;" millions"</f>
        <v>R$ millions</v>
      </c>
      <c r="E380" s="176">
        <v>50</v>
      </c>
      <c r="F380" s="183"/>
      <c r="G380" s="183"/>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row>
    <row r="381" spans="2:65" s="8" customFormat="1" ht="14" x14ac:dyDescent="0.2">
      <c r="B381" s="215" t="s">
        <v>385</v>
      </c>
      <c r="D381" s="8" t="s">
        <v>256</v>
      </c>
      <c r="E381" s="176">
        <v>100</v>
      </c>
      <c r="F381" s="458">
        <f t="shared" ref="F381:AH381" si="19">E381*(1+F382)</f>
        <v>100</v>
      </c>
      <c r="G381" s="458">
        <f t="shared" si="19"/>
        <v>100</v>
      </c>
      <c r="H381" s="458">
        <f t="shared" si="19"/>
        <v>100</v>
      </c>
      <c r="I381" s="458">
        <f t="shared" si="19"/>
        <v>100</v>
      </c>
      <c r="J381" s="458">
        <f t="shared" si="19"/>
        <v>100</v>
      </c>
      <c r="K381" s="458">
        <f t="shared" si="19"/>
        <v>100</v>
      </c>
      <c r="L381" s="458">
        <f t="shared" si="19"/>
        <v>100</v>
      </c>
      <c r="M381" s="458">
        <f t="shared" si="19"/>
        <v>100</v>
      </c>
      <c r="N381" s="458">
        <f t="shared" si="19"/>
        <v>100</v>
      </c>
      <c r="O381" s="458">
        <f t="shared" si="19"/>
        <v>100</v>
      </c>
      <c r="P381" s="458">
        <f t="shared" si="19"/>
        <v>100</v>
      </c>
      <c r="Q381" s="458">
        <f t="shared" si="19"/>
        <v>100</v>
      </c>
      <c r="R381" s="458">
        <f t="shared" si="19"/>
        <v>100</v>
      </c>
      <c r="S381" s="458">
        <f t="shared" si="19"/>
        <v>100</v>
      </c>
      <c r="T381" s="458">
        <f t="shared" si="19"/>
        <v>100</v>
      </c>
      <c r="U381" s="458">
        <f t="shared" si="19"/>
        <v>100</v>
      </c>
      <c r="V381" s="458">
        <f t="shared" si="19"/>
        <v>100</v>
      </c>
      <c r="W381" s="458">
        <f t="shared" si="19"/>
        <v>100</v>
      </c>
      <c r="X381" s="458">
        <f t="shared" si="19"/>
        <v>100</v>
      </c>
      <c r="Y381" s="458">
        <f t="shared" si="19"/>
        <v>100</v>
      </c>
      <c r="Z381" s="458">
        <f t="shared" si="19"/>
        <v>100</v>
      </c>
      <c r="AA381" s="458">
        <f t="shared" si="19"/>
        <v>100</v>
      </c>
      <c r="AB381" s="458">
        <f t="shared" si="19"/>
        <v>100</v>
      </c>
      <c r="AC381" s="458">
        <f t="shared" si="19"/>
        <v>100</v>
      </c>
      <c r="AD381" s="458">
        <f t="shared" si="19"/>
        <v>100</v>
      </c>
      <c r="AE381" s="458">
        <f t="shared" si="19"/>
        <v>100</v>
      </c>
      <c r="AF381" s="458">
        <f t="shared" si="19"/>
        <v>100</v>
      </c>
      <c r="AG381" s="458">
        <f t="shared" si="19"/>
        <v>100</v>
      </c>
      <c r="AH381" s="458">
        <f t="shared" si="19"/>
        <v>100</v>
      </c>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c r="BJ381" s="20"/>
      <c r="BK381" s="20"/>
      <c r="BL381" s="20"/>
      <c r="BM381" s="20"/>
    </row>
    <row r="382" spans="2:65" s="8" customFormat="1" ht="14" x14ac:dyDescent="0.2">
      <c r="B382" s="211" t="s">
        <v>263</v>
      </c>
      <c r="D382" s="8" t="s">
        <v>15</v>
      </c>
      <c r="E382" s="192"/>
      <c r="F382" s="189">
        <v>0</v>
      </c>
      <c r="G382" s="189">
        <v>0</v>
      </c>
      <c r="H382" s="189">
        <v>0</v>
      </c>
      <c r="I382" s="189">
        <v>0</v>
      </c>
      <c r="J382" s="189">
        <v>0</v>
      </c>
      <c r="K382" s="189">
        <v>0</v>
      </c>
      <c r="L382" s="189">
        <v>0</v>
      </c>
      <c r="M382" s="189">
        <v>0</v>
      </c>
      <c r="N382" s="189">
        <v>0</v>
      </c>
      <c r="O382" s="189">
        <v>0</v>
      </c>
      <c r="P382" s="189">
        <v>0</v>
      </c>
      <c r="Q382" s="189">
        <v>0</v>
      </c>
      <c r="R382" s="189">
        <v>0</v>
      </c>
      <c r="S382" s="189">
        <v>0</v>
      </c>
      <c r="T382" s="189">
        <v>0</v>
      </c>
      <c r="U382" s="189">
        <v>0</v>
      </c>
      <c r="V382" s="189">
        <v>0</v>
      </c>
      <c r="W382" s="189">
        <v>0</v>
      </c>
      <c r="X382" s="189">
        <v>0</v>
      </c>
      <c r="Y382" s="189">
        <v>0</v>
      </c>
      <c r="Z382" s="189">
        <v>0</v>
      </c>
      <c r="AA382" s="189">
        <v>0</v>
      </c>
      <c r="AB382" s="189">
        <v>0</v>
      </c>
      <c r="AC382" s="189">
        <v>0</v>
      </c>
      <c r="AD382" s="189">
        <v>0</v>
      </c>
      <c r="AE382" s="189">
        <v>0</v>
      </c>
      <c r="AF382" s="189">
        <v>0</v>
      </c>
      <c r="AG382" s="189">
        <v>0</v>
      </c>
      <c r="AH382" s="189">
        <v>0</v>
      </c>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c r="BJ382" s="20"/>
      <c r="BK382" s="20"/>
      <c r="BL382" s="20"/>
      <c r="BM382" s="20"/>
    </row>
    <row r="383" spans="2:65" s="8" customFormat="1" ht="14" x14ac:dyDescent="0.2">
      <c r="B383" s="215" t="s">
        <v>576</v>
      </c>
      <c r="D383" s="15"/>
      <c r="E383" s="180"/>
      <c r="F383" s="220"/>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c r="BJ383" s="20"/>
      <c r="BK383" s="20"/>
      <c r="BL383" s="20"/>
      <c r="BM383" s="20"/>
    </row>
    <row r="384" spans="2:65" s="8" customFormat="1" ht="14" x14ac:dyDescent="0.2">
      <c r="B384" s="211" t="s">
        <v>38</v>
      </c>
      <c r="D384" s="8" t="s">
        <v>15</v>
      </c>
      <c r="E384" s="188">
        <f>IF(E368=2,0,F384/100)</f>
        <v>1</v>
      </c>
      <c r="F384" s="220">
        <v>100</v>
      </c>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c r="BJ384" s="20"/>
      <c r="BK384" s="20"/>
      <c r="BL384" s="20"/>
      <c r="BM384" s="20"/>
    </row>
    <row r="385" spans="1:65" s="20" customFormat="1" ht="14" x14ac:dyDescent="0.2">
      <c r="B385" s="216" t="s">
        <v>268</v>
      </c>
      <c r="D385" s="122" t="str">
        <f>'Assumptions - General'!$E$27 &amp;" per unit"</f>
        <v>R$ per unit</v>
      </c>
      <c r="E385" s="192">
        <f>IF(E380&gt;0,E380*1000000/E381,0)</f>
        <v>500000</v>
      </c>
      <c r="F385" s="192">
        <f>E385*(1+F386)*IF($E$368=1,($E384*'Assumptions - General'!F$37+1),1)</f>
        <v>515000</v>
      </c>
      <c r="G385" s="192">
        <f>F385*(1+G386)*IF($E$368=1,($E384*'Assumptions - General'!G$37+1),1)</f>
        <v>530450</v>
      </c>
      <c r="H385" s="192">
        <f>G385*(1+H386)*IF($E$368=1,($E384*'Assumptions - General'!H$37+1),1)</f>
        <v>546363.5</v>
      </c>
      <c r="I385" s="192">
        <f>H385*(1+I386)*IF($E$368=1,($E384*'Assumptions - General'!I$37+1),1)</f>
        <v>562754.40500000003</v>
      </c>
      <c r="J385" s="192">
        <f>I385*(1+J386)*IF($E$368=1,($E384*'Assumptions - General'!J$37+1),1)</f>
        <v>579637.03714999999</v>
      </c>
      <c r="K385" s="192">
        <f>J385*(1+K386)*IF($E$368=1,($E384*'Assumptions - General'!K$37+1),1)</f>
        <v>597026.14826449996</v>
      </c>
      <c r="L385" s="192">
        <f>K385*(1+L386)*IF($E$368=1,($E384*'Assumptions - General'!L$37+1),1)</f>
        <v>614936.93271243502</v>
      </c>
      <c r="M385" s="192">
        <f>L385*(1+M386)*IF($E$368=1,($E384*'Assumptions - General'!M$37+1),1)</f>
        <v>633385.04069380811</v>
      </c>
      <c r="N385" s="192">
        <f>M385*(1+N386)*IF($E$368=1,($E384*'Assumptions - General'!N$37+1),1)</f>
        <v>652386.59191462235</v>
      </c>
      <c r="O385" s="192">
        <f>N385*(1+O386)*IF($E$368=1,($E384*'Assumptions - General'!O$37+1),1)</f>
        <v>671958.18967206101</v>
      </c>
      <c r="P385" s="192">
        <f>O385*(1+P386)*IF($E$368=1,($E384*'Assumptions - General'!P$37+1),1)</f>
        <v>692116.93536222284</v>
      </c>
      <c r="Q385" s="192">
        <f>P385*(1+Q386)*IF($E$368=1,($E384*'Assumptions - General'!Q$37+1),1)</f>
        <v>712880.44342308957</v>
      </c>
      <c r="R385" s="192">
        <f>Q385*(1+R386)*IF($E$368=1,($E384*'Assumptions - General'!R$37+1),1)</f>
        <v>734266.85672578227</v>
      </c>
      <c r="S385" s="192">
        <f>R385*(1+S386)*IF($E$368=1,($E384*'Assumptions - General'!S$37+1),1)</f>
        <v>756294.86242755572</v>
      </c>
      <c r="T385" s="192">
        <f>S385*(1+T386)*IF($E$368=1,($E384*'Assumptions - General'!T$37+1),1)</f>
        <v>778983.70830038236</v>
      </c>
      <c r="U385" s="192">
        <f>T385*(1+U386)*IF($E$368=1,($E384*'Assumptions - General'!U$37+1),1)</f>
        <v>802353.21954939386</v>
      </c>
      <c r="V385" s="192">
        <f>U385*(1+V386)*IF($E$368=1,($E384*'Assumptions - General'!V$37+1),1)</f>
        <v>826423.81613587565</v>
      </c>
      <c r="W385" s="192">
        <f>V385*(1+W386)*IF($E$368=1,($E384*'Assumptions - General'!W$37+1),1)</f>
        <v>851216.5306199519</v>
      </c>
      <c r="X385" s="192">
        <f>W385*(1+X386)*IF($E$368=1,($E384*'Assumptions - General'!X$37+1),1)</f>
        <v>876753.0265385505</v>
      </c>
      <c r="Y385" s="192">
        <f>X385*(1+Y386)*IF($E$368=1,($E384*'Assumptions - General'!Y$37+1),1)</f>
        <v>903055.61733470706</v>
      </c>
      <c r="Z385" s="192">
        <f>Y385*(1+Z386)*IF($E$368=1,($E384*'Assumptions - General'!Z$37+1),1)</f>
        <v>930147.28585474833</v>
      </c>
      <c r="AA385" s="192">
        <f>Z385*(1+AA386)*IF($E$368=1,($E384*'Assumptions - General'!AA$37+1),1)</f>
        <v>958051.70443039085</v>
      </c>
      <c r="AB385" s="192">
        <f>AA385*(1+AB386)*IF($E$368=1,($E384*'Assumptions - General'!AB$37+1),1)</f>
        <v>986793.25556330255</v>
      </c>
      <c r="AC385" s="192">
        <f>AB385*(1+AC386)*IF($E$368=1,($E384*'Assumptions - General'!AC$37+1),1)</f>
        <v>1016397.0532302016</v>
      </c>
      <c r="AD385" s="192">
        <f>AC385*(1+AD386)*IF($E$368=1,($E384*'Assumptions - General'!AD$37+1),1)</f>
        <v>1046888.9648271076</v>
      </c>
      <c r="AE385" s="192">
        <f>AD385*(1+AE386)*IF($E$368=1,($E384*'Assumptions - General'!AE$37+1),1)</f>
        <v>1078295.6337719208</v>
      </c>
      <c r="AF385" s="192">
        <f>AE385*(1+AF386)*IF($E$368=1,($E384*'Assumptions - General'!AF$37+1),1)</f>
        <v>1110644.5027850785</v>
      </c>
      <c r="AG385" s="192">
        <f>AF385*(1+AG386)*IF($E$368=1,($E384*'Assumptions - General'!AG$37+1),1)</f>
        <v>1143963.8378686309</v>
      </c>
      <c r="AH385" s="192">
        <f>AG385*(1+AH386)*IF($E$368=1,($E384*'Assumptions - General'!AH$37+1),1)</f>
        <v>1178282.7530046899</v>
      </c>
    </row>
    <row r="386" spans="1:65" x14ac:dyDescent="0.2">
      <c r="B386" s="30" t="s">
        <v>401</v>
      </c>
      <c r="D386" s="15" t="s">
        <v>15</v>
      </c>
      <c r="E386" s="190"/>
      <c r="F386" s="188">
        <v>0</v>
      </c>
      <c r="G386" s="188">
        <v>0</v>
      </c>
      <c r="H386" s="188">
        <v>0</v>
      </c>
      <c r="I386" s="188">
        <v>0</v>
      </c>
      <c r="J386" s="188">
        <v>0</v>
      </c>
      <c r="K386" s="188">
        <v>0</v>
      </c>
      <c r="L386" s="188">
        <v>0</v>
      </c>
      <c r="M386" s="188">
        <v>0</v>
      </c>
      <c r="N386" s="188">
        <v>0</v>
      </c>
      <c r="O386" s="188">
        <v>0</v>
      </c>
      <c r="P386" s="188">
        <v>0</v>
      </c>
      <c r="Q386" s="188">
        <v>0</v>
      </c>
      <c r="R386" s="188">
        <v>0</v>
      </c>
      <c r="S386" s="188">
        <v>0</v>
      </c>
      <c r="T386" s="188">
        <v>0</v>
      </c>
      <c r="U386" s="188">
        <v>0</v>
      </c>
      <c r="V386" s="188">
        <v>0</v>
      </c>
      <c r="W386" s="188">
        <v>0</v>
      </c>
      <c r="X386" s="188">
        <v>0</v>
      </c>
      <c r="Y386" s="188">
        <v>0</v>
      </c>
      <c r="Z386" s="188">
        <v>0</v>
      </c>
      <c r="AA386" s="188">
        <v>0</v>
      </c>
      <c r="AB386" s="188">
        <v>0</v>
      </c>
      <c r="AC386" s="188">
        <v>0</v>
      </c>
      <c r="AD386" s="188">
        <v>0</v>
      </c>
      <c r="AE386" s="188">
        <v>0</v>
      </c>
      <c r="AF386" s="188">
        <v>0</v>
      </c>
      <c r="AG386" s="188">
        <v>0</v>
      </c>
      <c r="AH386" s="188">
        <v>0</v>
      </c>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row>
    <row r="387" spans="1:65" s="18" customFormat="1" x14ac:dyDescent="0.2">
      <c r="B387" s="32"/>
      <c r="D387" s="81"/>
      <c r="E387" s="204"/>
      <c r="F387" s="180"/>
      <c r="G387" s="180"/>
      <c r="H387" s="180"/>
      <c r="I387" s="180"/>
      <c r="J387" s="180"/>
      <c r="K387" s="180"/>
      <c r="L387" s="180"/>
      <c r="M387" s="180"/>
      <c r="N387" s="180"/>
      <c r="O387" s="180"/>
      <c r="P387" s="180"/>
      <c r="Q387" s="180"/>
      <c r="R387" s="180"/>
      <c r="S387" s="180"/>
      <c r="T387" s="180"/>
      <c r="U387" s="180"/>
      <c r="V387" s="180"/>
      <c r="W387" s="180"/>
      <c r="X387" s="180"/>
      <c r="Y387" s="180"/>
      <c r="Z387" s="180"/>
      <c r="AA387" s="180"/>
      <c r="AB387" s="180"/>
      <c r="AC387" s="180"/>
      <c r="AD387" s="180"/>
      <c r="AE387" s="180"/>
      <c r="AF387" s="180"/>
      <c r="AG387" s="180"/>
      <c r="AH387" s="180"/>
    </row>
    <row r="388" spans="1:65" s="20" customFormat="1" ht="14" x14ac:dyDescent="0.2">
      <c r="B388" s="19" t="s">
        <v>134</v>
      </c>
      <c r="D388" s="20" t="s">
        <v>2</v>
      </c>
      <c r="E388" s="188" t="s">
        <v>73</v>
      </c>
      <c r="F388" s="221"/>
      <c r="G388" s="182"/>
      <c r="H388" s="182"/>
      <c r="I388" s="182"/>
      <c r="J388" s="182"/>
      <c r="K388" s="182"/>
      <c r="L388" s="182"/>
      <c r="M388" s="182"/>
      <c r="N388" s="182"/>
      <c r="O388" s="182"/>
      <c r="P388" s="182"/>
      <c r="Q388" s="182"/>
      <c r="R388" s="182"/>
      <c r="S388" s="182"/>
      <c r="T388" s="182"/>
      <c r="U388" s="182"/>
      <c r="V388" s="182"/>
      <c r="W388" s="182"/>
      <c r="X388" s="182"/>
      <c r="Y388" s="182"/>
      <c r="Z388" s="182"/>
      <c r="AA388" s="182"/>
      <c r="AB388" s="182"/>
      <c r="AC388" s="182"/>
      <c r="AD388" s="182"/>
      <c r="AE388" s="182"/>
      <c r="AF388" s="182"/>
      <c r="AG388" s="182"/>
      <c r="AH388" s="182"/>
    </row>
    <row r="389" spans="1:65" s="8" customFormat="1" ht="14" x14ac:dyDescent="0.2">
      <c r="B389" s="14" t="s">
        <v>377</v>
      </c>
      <c r="D389" s="10" t="str">
        <f>'Assumptions - General'!$E$27 &amp;" millions"</f>
        <v>R$ millions</v>
      </c>
      <c r="E389" s="176">
        <v>50</v>
      </c>
      <c r="F389" s="183"/>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row>
    <row r="390" spans="1:65" s="8" customFormat="1" ht="14" x14ac:dyDescent="0.2">
      <c r="B390" s="215" t="s">
        <v>385</v>
      </c>
      <c r="D390" s="8" t="s">
        <v>256</v>
      </c>
      <c r="E390" s="176">
        <v>100</v>
      </c>
      <c r="F390" s="458">
        <f t="shared" ref="F390:AH390" si="20">E390*(1+F391)</f>
        <v>100</v>
      </c>
      <c r="G390" s="458">
        <f t="shared" si="20"/>
        <v>100</v>
      </c>
      <c r="H390" s="458">
        <f t="shared" si="20"/>
        <v>100</v>
      </c>
      <c r="I390" s="458">
        <f t="shared" si="20"/>
        <v>100</v>
      </c>
      <c r="J390" s="458">
        <f t="shared" si="20"/>
        <v>100</v>
      </c>
      <c r="K390" s="458">
        <f t="shared" si="20"/>
        <v>100</v>
      </c>
      <c r="L390" s="458">
        <f t="shared" si="20"/>
        <v>100</v>
      </c>
      <c r="M390" s="458">
        <f t="shared" si="20"/>
        <v>100</v>
      </c>
      <c r="N390" s="458">
        <f t="shared" si="20"/>
        <v>100</v>
      </c>
      <c r="O390" s="458">
        <f t="shared" si="20"/>
        <v>100</v>
      </c>
      <c r="P390" s="458">
        <f t="shared" si="20"/>
        <v>100</v>
      </c>
      <c r="Q390" s="458">
        <f t="shared" si="20"/>
        <v>100</v>
      </c>
      <c r="R390" s="458">
        <f t="shared" si="20"/>
        <v>100</v>
      </c>
      <c r="S390" s="458">
        <f t="shared" si="20"/>
        <v>100</v>
      </c>
      <c r="T390" s="458">
        <f t="shared" si="20"/>
        <v>100</v>
      </c>
      <c r="U390" s="458">
        <f t="shared" si="20"/>
        <v>100</v>
      </c>
      <c r="V390" s="458">
        <f t="shared" si="20"/>
        <v>100</v>
      </c>
      <c r="W390" s="458">
        <f t="shared" si="20"/>
        <v>100</v>
      </c>
      <c r="X390" s="458">
        <f t="shared" si="20"/>
        <v>100</v>
      </c>
      <c r="Y390" s="458">
        <f t="shared" si="20"/>
        <v>100</v>
      </c>
      <c r="Z390" s="458">
        <f t="shared" si="20"/>
        <v>100</v>
      </c>
      <c r="AA390" s="458">
        <f t="shared" si="20"/>
        <v>100</v>
      </c>
      <c r="AB390" s="458">
        <f t="shared" si="20"/>
        <v>100</v>
      </c>
      <c r="AC390" s="458">
        <f t="shared" si="20"/>
        <v>100</v>
      </c>
      <c r="AD390" s="458">
        <f t="shared" si="20"/>
        <v>100</v>
      </c>
      <c r="AE390" s="458">
        <f t="shared" si="20"/>
        <v>100</v>
      </c>
      <c r="AF390" s="458">
        <f t="shared" si="20"/>
        <v>100</v>
      </c>
      <c r="AG390" s="458">
        <f t="shared" si="20"/>
        <v>100</v>
      </c>
      <c r="AH390" s="458">
        <f t="shared" si="20"/>
        <v>100</v>
      </c>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c r="BJ390" s="20"/>
      <c r="BK390" s="20"/>
      <c r="BL390" s="20"/>
      <c r="BM390" s="20"/>
    </row>
    <row r="391" spans="1:65" s="8" customFormat="1" ht="14" x14ac:dyDescent="0.2">
      <c r="B391" s="211" t="s">
        <v>263</v>
      </c>
      <c r="D391" s="8" t="s">
        <v>15</v>
      </c>
      <c r="E391" s="192"/>
      <c r="F391" s="189">
        <v>0</v>
      </c>
      <c r="G391" s="189">
        <v>0</v>
      </c>
      <c r="H391" s="189">
        <v>0</v>
      </c>
      <c r="I391" s="189">
        <v>0</v>
      </c>
      <c r="J391" s="189">
        <v>0</v>
      </c>
      <c r="K391" s="189">
        <v>0</v>
      </c>
      <c r="L391" s="189">
        <v>0</v>
      </c>
      <c r="M391" s="189">
        <v>0</v>
      </c>
      <c r="N391" s="189">
        <v>0</v>
      </c>
      <c r="O391" s="189">
        <v>0</v>
      </c>
      <c r="P391" s="189">
        <v>0</v>
      </c>
      <c r="Q391" s="189">
        <v>0</v>
      </c>
      <c r="R391" s="189">
        <v>0</v>
      </c>
      <c r="S391" s="189">
        <v>0</v>
      </c>
      <c r="T391" s="189">
        <v>0</v>
      </c>
      <c r="U391" s="189">
        <v>0</v>
      </c>
      <c r="V391" s="189">
        <v>0</v>
      </c>
      <c r="W391" s="189">
        <v>0</v>
      </c>
      <c r="X391" s="189">
        <v>0</v>
      </c>
      <c r="Y391" s="189">
        <v>0</v>
      </c>
      <c r="Z391" s="189">
        <v>0</v>
      </c>
      <c r="AA391" s="189">
        <v>0</v>
      </c>
      <c r="AB391" s="189">
        <v>0</v>
      </c>
      <c r="AC391" s="189">
        <v>0</v>
      </c>
      <c r="AD391" s="189">
        <v>0</v>
      </c>
      <c r="AE391" s="189">
        <v>0</v>
      </c>
      <c r="AF391" s="189">
        <v>0</v>
      </c>
      <c r="AG391" s="189">
        <v>0</v>
      </c>
      <c r="AH391" s="189">
        <v>0</v>
      </c>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c r="BJ391" s="20"/>
      <c r="BK391" s="20"/>
      <c r="BL391" s="20"/>
      <c r="BM391" s="20"/>
    </row>
    <row r="392" spans="1:65" s="8" customFormat="1" ht="14" x14ac:dyDescent="0.2">
      <c r="B392" s="215" t="s">
        <v>575</v>
      </c>
      <c r="D392" s="15"/>
      <c r="E392" s="180"/>
      <c r="F392" s="220"/>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c r="BJ392" s="20"/>
      <c r="BK392" s="20"/>
      <c r="BL392" s="20"/>
      <c r="BM392" s="20"/>
    </row>
    <row r="393" spans="1:65" s="8" customFormat="1" ht="14" x14ac:dyDescent="0.2">
      <c r="B393" s="211" t="s">
        <v>38</v>
      </c>
      <c r="D393" s="8" t="s">
        <v>15</v>
      </c>
      <c r="E393" s="188">
        <f>IF(E368=2,0,F393/100)</f>
        <v>1</v>
      </c>
      <c r="F393" s="220">
        <v>100</v>
      </c>
      <c r="G393" s="183"/>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c r="BJ393" s="20"/>
      <c r="BK393" s="20"/>
      <c r="BL393" s="20"/>
      <c r="BM393" s="20"/>
    </row>
    <row r="394" spans="1:65" s="20" customFormat="1" ht="14" x14ac:dyDescent="0.2">
      <c r="B394" s="216" t="s">
        <v>268</v>
      </c>
      <c r="D394" s="122" t="str">
        <f>'Assumptions - General'!$E$27 &amp;" per unit"</f>
        <v>R$ per unit</v>
      </c>
      <c r="E394" s="192">
        <f>IF(E389&gt;0,E389*1000000/E390,0)</f>
        <v>500000</v>
      </c>
      <c r="F394" s="192">
        <f>E394*(1+F395)*IF($E$368=1,($E393*'Assumptions - General'!F$37+1),1)</f>
        <v>515000</v>
      </c>
      <c r="G394" s="192">
        <f>F394*(1+G395)*IF($E$368=1,($E393*'Assumptions - General'!G$37+1),1)</f>
        <v>530450</v>
      </c>
      <c r="H394" s="192">
        <f>G394*(1+H395)*IF($E$368=1,($E393*'Assumptions - General'!H$37+1),1)</f>
        <v>546363.5</v>
      </c>
      <c r="I394" s="192">
        <f>H394*(1+I395)*IF($E$368=1,($E393*'Assumptions - General'!I$37+1),1)</f>
        <v>562754.40500000003</v>
      </c>
      <c r="J394" s="192">
        <f>I394*(1+J395)*IF($E$368=1,($E393*'Assumptions - General'!J$37+1),1)</f>
        <v>579637.03714999999</v>
      </c>
      <c r="K394" s="192">
        <f>J394*(1+K395)*IF($E$368=1,($E393*'Assumptions - General'!K$37+1),1)</f>
        <v>597026.14826449996</v>
      </c>
      <c r="L394" s="192">
        <f>K394*(1+L395)*IF($E$368=1,($E393*'Assumptions - General'!L$37+1),1)</f>
        <v>614936.93271243502</v>
      </c>
      <c r="M394" s="192">
        <f>L394*(1+M395)*IF($E$368=1,($E393*'Assumptions - General'!M$37+1),1)</f>
        <v>633385.04069380811</v>
      </c>
      <c r="N394" s="192">
        <f>M394*(1+N395)*IF($E$368=1,($E393*'Assumptions - General'!N$37+1),1)</f>
        <v>652386.59191462235</v>
      </c>
      <c r="O394" s="192">
        <f>N394*(1+O395)*IF($E$368=1,($E393*'Assumptions - General'!O$37+1),1)</f>
        <v>671958.18967206101</v>
      </c>
      <c r="P394" s="192">
        <f>O394*(1+P395)*IF($E$368=1,($E393*'Assumptions - General'!P$37+1),1)</f>
        <v>692116.93536222284</v>
      </c>
      <c r="Q394" s="192">
        <f>P394*(1+Q395)*IF($E$368=1,($E393*'Assumptions - General'!Q$37+1),1)</f>
        <v>712880.44342308957</v>
      </c>
      <c r="R394" s="192">
        <f>Q394*(1+R395)*IF($E$368=1,($E393*'Assumptions - General'!R$37+1),1)</f>
        <v>734266.85672578227</v>
      </c>
      <c r="S394" s="192">
        <f>R394*(1+S395)*IF($E$368=1,($E393*'Assumptions - General'!S$37+1),1)</f>
        <v>756294.86242755572</v>
      </c>
      <c r="T394" s="192">
        <f>S394*(1+T395)*IF($E$368=1,($E393*'Assumptions - General'!T$37+1),1)</f>
        <v>778983.70830038236</v>
      </c>
      <c r="U394" s="192">
        <f>T394*(1+U395)*IF($E$368=1,($E393*'Assumptions - General'!U$37+1),1)</f>
        <v>802353.21954939386</v>
      </c>
      <c r="V394" s="192">
        <f>U394*(1+V395)*IF($E$368=1,($E393*'Assumptions - General'!V$37+1),1)</f>
        <v>826423.81613587565</v>
      </c>
      <c r="W394" s="192">
        <f>V394*(1+W395)*IF($E$368=1,($E393*'Assumptions - General'!W$37+1),1)</f>
        <v>851216.5306199519</v>
      </c>
      <c r="X394" s="192">
        <f>W394*(1+X395)*IF($E$368=1,($E393*'Assumptions - General'!X$37+1),1)</f>
        <v>876753.0265385505</v>
      </c>
      <c r="Y394" s="192">
        <f>X394*(1+Y395)*IF($E$368=1,($E393*'Assumptions - General'!Y$37+1),1)</f>
        <v>903055.61733470706</v>
      </c>
      <c r="Z394" s="192">
        <f>Y394*(1+Z395)*IF($E$368=1,($E393*'Assumptions - General'!Z$37+1),1)</f>
        <v>930147.28585474833</v>
      </c>
      <c r="AA394" s="192">
        <f>Z394*(1+AA395)*IF($E$368=1,($E393*'Assumptions - General'!AA$37+1),1)</f>
        <v>958051.70443039085</v>
      </c>
      <c r="AB394" s="192">
        <f>AA394*(1+AB395)*IF($E$368=1,($E393*'Assumptions - General'!AB$37+1),1)</f>
        <v>986793.25556330255</v>
      </c>
      <c r="AC394" s="192">
        <f>AB394*(1+AC395)*IF($E$368=1,($E393*'Assumptions - General'!AC$37+1),1)</f>
        <v>1016397.0532302016</v>
      </c>
      <c r="AD394" s="192">
        <f>AC394*(1+AD395)*IF($E$368=1,($E393*'Assumptions - General'!AD$37+1),1)</f>
        <v>1046888.9648271076</v>
      </c>
      <c r="AE394" s="192">
        <f>AD394*(1+AE395)*IF($E$368=1,($E393*'Assumptions - General'!AE$37+1),1)</f>
        <v>1078295.6337719208</v>
      </c>
      <c r="AF394" s="192">
        <f>AE394*(1+AF395)*IF($E$368=1,($E393*'Assumptions - General'!AF$37+1),1)</f>
        <v>1110644.5027850785</v>
      </c>
      <c r="AG394" s="192">
        <f>AF394*(1+AG395)*IF($E$368=1,($E393*'Assumptions - General'!AG$37+1),1)</f>
        <v>1143963.8378686309</v>
      </c>
      <c r="AH394" s="192">
        <f>AG394*(1+AH395)*IF($E$368=1,($E393*'Assumptions - General'!AH$37+1),1)</f>
        <v>1178282.7530046899</v>
      </c>
    </row>
    <row r="395" spans="1:65" x14ac:dyDescent="0.2">
      <c r="B395" s="30" t="s">
        <v>401</v>
      </c>
      <c r="D395" s="15" t="s">
        <v>15</v>
      </c>
      <c r="E395" s="190"/>
      <c r="F395" s="188">
        <v>0</v>
      </c>
      <c r="G395" s="188">
        <v>0</v>
      </c>
      <c r="H395" s="188">
        <v>0</v>
      </c>
      <c r="I395" s="188">
        <v>0</v>
      </c>
      <c r="J395" s="188">
        <v>0</v>
      </c>
      <c r="K395" s="188">
        <v>0</v>
      </c>
      <c r="L395" s="188">
        <v>0</v>
      </c>
      <c r="M395" s="188">
        <v>0</v>
      </c>
      <c r="N395" s="188">
        <v>0</v>
      </c>
      <c r="O395" s="188">
        <v>0</v>
      </c>
      <c r="P395" s="188">
        <v>0</v>
      </c>
      <c r="Q395" s="188">
        <v>0</v>
      </c>
      <c r="R395" s="188">
        <v>0</v>
      </c>
      <c r="S395" s="188">
        <v>0</v>
      </c>
      <c r="T395" s="188">
        <v>0</v>
      </c>
      <c r="U395" s="188">
        <v>0</v>
      </c>
      <c r="V395" s="188">
        <v>0</v>
      </c>
      <c r="W395" s="188">
        <v>0</v>
      </c>
      <c r="X395" s="188">
        <v>0</v>
      </c>
      <c r="Y395" s="188">
        <v>0</v>
      </c>
      <c r="Z395" s="188">
        <v>0</v>
      </c>
      <c r="AA395" s="188">
        <v>0</v>
      </c>
      <c r="AB395" s="188">
        <v>0</v>
      </c>
      <c r="AC395" s="188">
        <v>0</v>
      </c>
      <c r="AD395" s="188">
        <v>0</v>
      </c>
      <c r="AE395" s="188">
        <v>0</v>
      </c>
      <c r="AF395" s="188">
        <v>0</v>
      </c>
      <c r="AG395" s="188">
        <v>0</v>
      </c>
      <c r="AH395" s="188">
        <v>0</v>
      </c>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row>
    <row r="396" spans="1:65" s="18" customFormat="1" x14ac:dyDescent="0.2"/>
    <row r="397" spans="1:65" s="18" customFormat="1" outlineLevel="1" x14ac:dyDescent="0.2">
      <c r="B397" s="57" t="str">
        <f>E370&amp; " - total annual cost in forecast period"</f>
        <v>Provisions and legal claims - total annual cost in forecast period</v>
      </c>
      <c r="D397" s="10" t="str">
        <f>'Assumptions - General'!$E$27 &amp;" millions"</f>
        <v>R$ millions</v>
      </c>
      <c r="E397" s="261">
        <f>Calculations!E275</f>
        <v>200</v>
      </c>
      <c r="F397" s="261">
        <f>Calculations!F275</f>
        <v>206</v>
      </c>
      <c r="G397" s="261">
        <f>Calculations!G275</f>
        <v>212.18</v>
      </c>
      <c r="H397" s="261">
        <f>Calculations!H275</f>
        <v>218.5454</v>
      </c>
      <c r="I397" s="261">
        <f>Calculations!I275</f>
        <v>225.10176200000001</v>
      </c>
      <c r="J397" s="261">
        <f>Calculations!J275</f>
        <v>231.85481485999998</v>
      </c>
      <c r="K397" s="261">
        <f>Calculations!K275</f>
        <v>238.81045930579998</v>
      </c>
      <c r="L397" s="261">
        <f>Calculations!L275</f>
        <v>245.97477308497403</v>
      </c>
      <c r="M397" s="261">
        <f>Calculations!M275</f>
        <v>253.35401627752324</v>
      </c>
      <c r="N397" s="261">
        <f>Calculations!N275</f>
        <v>260.95463676584893</v>
      </c>
      <c r="O397" s="261">
        <f>Calculations!O275</f>
        <v>268.78327586882443</v>
      </c>
      <c r="P397" s="261">
        <f>Calculations!P275</f>
        <v>276.84677414488914</v>
      </c>
      <c r="Q397" s="261">
        <f>Calculations!Q275</f>
        <v>285.1521773692358</v>
      </c>
      <c r="R397" s="261">
        <f>Calculations!R275</f>
        <v>293.70674269031292</v>
      </c>
      <c r="S397" s="261">
        <f>Calculations!S275</f>
        <v>302.5179449710223</v>
      </c>
      <c r="T397" s="261">
        <f>Calculations!T275</f>
        <v>311.59348332015293</v>
      </c>
      <c r="U397" s="261">
        <f>Calculations!U275</f>
        <v>320.94128781975752</v>
      </c>
      <c r="V397" s="261">
        <f>Calculations!V275</f>
        <v>330.56952645435024</v>
      </c>
      <c r="W397" s="261">
        <f>Calculations!W275</f>
        <v>340.48661224798076</v>
      </c>
      <c r="X397" s="261">
        <f>Calculations!X275</f>
        <v>350.70121061542022</v>
      </c>
      <c r="Y397" s="261">
        <f>Calculations!Y275</f>
        <v>361.22224693388284</v>
      </c>
      <c r="Z397" s="261">
        <f>Calculations!Z275</f>
        <v>372.05891434189931</v>
      </c>
      <c r="AA397" s="261">
        <f>Calculations!AA275</f>
        <v>383.22068177215635</v>
      </c>
      <c r="AB397" s="261">
        <f>Calculations!AB275</f>
        <v>394.71730222532102</v>
      </c>
      <c r="AC397" s="261">
        <f>Calculations!AC275</f>
        <v>406.55882129208067</v>
      </c>
      <c r="AD397" s="261">
        <f>Calculations!AD275</f>
        <v>418.75558593084304</v>
      </c>
      <c r="AE397" s="261">
        <f>Calculations!AE275</f>
        <v>431.31825350876829</v>
      </c>
      <c r="AF397" s="261">
        <f>Calculations!AF275</f>
        <v>444.25780111403139</v>
      </c>
      <c r="AG397" s="261">
        <f>Calculations!AG275</f>
        <v>457.58553514745233</v>
      </c>
      <c r="AH397" s="261">
        <f>Calculations!AH275</f>
        <v>471.31310120187601</v>
      </c>
    </row>
    <row r="398" spans="1:65" s="18" customFormat="1" outlineLevel="1" x14ac:dyDescent="0.2">
      <c r="B398" s="57" t="str">
        <f>E379&amp; " - total annual cost in forecast period"</f>
        <v>Investment losses - total annual cost in forecast period</v>
      </c>
      <c r="D398" s="10" t="str">
        <f>'Assumptions - General'!$E$27 &amp;" millions"</f>
        <v>R$ millions</v>
      </c>
      <c r="E398" s="261">
        <f>Calculations!E276</f>
        <v>50</v>
      </c>
      <c r="F398" s="261">
        <f>Calculations!F276</f>
        <v>51.5</v>
      </c>
      <c r="G398" s="261">
        <f>Calculations!G276</f>
        <v>53.045000000000002</v>
      </c>
      <c r="H398" s="261">
        <f>Calculations!H276</f>
        <v>54.63635</v>
      </c>
      <c r="I398" s="261">
        <f>Calculations!I276</f>
        <v>56.275440500000002</v>
      </c>
      <c r="J398" s="261">
        <f>Calculations!J276</f>
        <v>57.963703714999994</v>
      </c>
      <c r="K398" s="261">
        <f>Calculations!K276</f>
        <v>59.702614826449995</v>
      </c>
      <c r="L398" s="261">
        <f>Calculations!L276</f>
        <v>61.493693271243508</v>
      </c>
      <c r="M398" s="261">
        <f>Calculations!M276</f>
        <v>63.338504069380811</v>
      </c>
      <c r="N398" s="261">
        <f>Calculations!N276</f>
        <v>65.238659191462233</v>
      </c>
      <c r="O398" s="261">
        <f>Calculations!O276</f>
        <v>67.195818967206108</v>
      </c>
      <c r="P398" s="261">
        <f>Calculations!P276</f>
        <v>69.211693536222285</v>
      </c>
      <c r="Q398" s="261">
        <f>Calculations!Q276</f>
        <v>71.28804434230895</v>
      </c>
      <c r="R398" s="261">
        <f>Calculations!R276</f>
        <v>73.42668567257823</v>
      </c>
      <c r="S398" s="261">
        <f>Calculations!S276</f>
        <v>75.629486242755576</v>
      </c>
      <c r="T398" s="261">
        <f>Calculations!T276</f>
        <v>77.898370830038232</v>
      </c>
      <c r="U398" s="261">
        <f>Calculations!U276</f>
        <v>80.23532195493938</v>
      </c>
      <c r="V398" s="261">
        <f>Calculations!V276</f>
        <v>82.64238161358756</v>
      </c>
      <c r="W398" s="261">
        <f>Calculations!W276</f>
        <v>85.12165306199519</v>
      </c>
      <c r="X398" s="261">
        <f>Calculations!X276</f>
        <v>87.675302653855056</v>
      </c>
      <c r="Y398" s="261">
        <f>Calculations!Y276</f>
        <v>90.305561733470711</v>
      </c>
      <c r="Z398" s="261">
        <f>Calculations!Z276</f>
        <v>93.014728585474828</v>
      </c>
      <c r="AA398" s="261">
        <f>Calculations!AA276</f>
        <v>95.805170443039088</v>
      </c>
      <c r="AB398" s="261">
        <f>Calculations!AB276</f>
        <v>98.679325556330255</v>
      </c>
      <c r="AC398" s="261">
        <f>Calculations!AC276</f>
        <v>101.63970532302017</v>
      </c>
      <c r="AD398" s="261">
        <f>Calculations!AD276</f>
        <v>104.68889648271076</v>
      </c>
      <c r="AE398" s="261">
        <f>Calculations!AE276</f>
        <v>107.82956337719207</v>
      </c>
      <c r="AF398" s="261">
        <f>Calculations!AF276</f>
        <v>111.06445027850785</v>
      </c>
      <c r="AG398" s="261">
        <f>Calculations!AG276</f>
        <v>114.39638378686308</v>
      </c>
      <c r="AH398" s="261">
        <f>Calculations!AH276</f>
        <v>117.828275300469</v>
      </c>
    </row>
    <row r="399" spans="1:65" s="18" customFormat="1" outlineLevel="1" x14ac:dyDescent="0.2">
      <c r="B399" s="57" t="str">
        <f>E388&amp; " - total annual cost in forecast period"</f>
        <v>Other - total annual cost in forecast period</v>
      </c>
      <c r="D399" s="10" t="str">
        <f>'Assumptions - General'!$E$27 &amp;" millions"</f>
        <v>R$ millions</v>
      </c>
      <c r="E399" s="261">
        <f>Calculations!E278</f>
        <v>50</v>
      </c>
      <c r="F399" s="261">
        <f>Calculations!F278</f>
        <v>51.5</v>
      </c>
      <c r="G399" s="261">
        <f>Calculations!G278</f>
        <v>53.045000000000002</v>
      </c>
      <c r="H399" s="261">
        <f>Calculations!H278</f>
        <v>54.63635</v>
      </c>
      <c r="I399" s="261">
        <f>Calculations!I278</f>
        <v>56.275440500000002</v>
      </c>
      <c r="J399" s="261">
        <f>Calculations!J278</f>
        <v>57.963703714999994</v>
      </c>
      <c r="K399" s="261">
        <f>Calculations!K278</f>
        <v>59.702614826449995</v>
      </c>
      <c r="L399" s="261">
        <f>Calculations!L278</f>
        <v>61.493693271243508</v>
      </c>
      <c r="M399" s="261">
        <f>Calculations!M278</f>
        <v>63.338504069380811</v>
      </c>
      <c r="N399" s="261">
        <f>Calculations!N278</f>
        <v>65.238659191462233</v>
      </c>
      <c r="O399" s="261">
        <f>Calculations!O278</f>
        <v>67.195818967206108</v>
      </c>
      <c r="P399" s="261">
        <f>Calculations!P278</f>
        <v>69.211693536222285</v>
      </c>
      <c r="Q399" s="261">
        <f>Calculations!Q278</f>
        <v>71.28804434230895</v>
      </c>
      <c r="R399" s="261">
        <f>Calculations!R278</f>
        <v>73.42668567257823</v>
      </c>
      <c r="S399" s="261">
        <f>Calculations!S278</f>
        <v>75.629486242755576</v>
      </c>
      <c r="T399" s="261">
        <f>Calculations!T278</f>
        <v>77.898370830038232</v>
      </c>
      <c r="U399" s="261">
        <f>Calculations!U278</f>
        <v>80.23532195493938</v>
      </c>
      <c r="V399" s="261">
        <f>Calculations!V278</f>
        <v>82.64238161358756</v>
      </c>
      <c r="W399" s="261">
        <f>Calculations!W278</f>
        <v>85.12165306199519</v>
      </c>
      <c r="X399" s="261">
        <f>Calculations!X278</f>
        <v>87.675302653855056</v>
      </c>
      <c r="Y399" s="261">
        <f>Calculations!Y278</f>
        <v>90.305561733470711</v>
      </c>
      <c r="Z399" s="261">
        <f>Calculations!Z278</f>
        <v>93.014728585474828</v>
      </c>
      <c r="AA399" s="261">
        <f>Calculations!AA278</f>
        <v>95.805170443039088</v>
      </c>
      <c r="AB399" s="261">
        <f>Calculations!AB278</f>
        <v>98.679325556330255</v>
      </c>
      <c r="AC399" s="261">
        <f>Calculations!AC278</f>
        <v>101.63970532302017</v>
      </c>
      <c r="AD399" s="261">
        <f>Calculations!AD278</f>
        <v>104.68889648271076</v>
      </c>
      <c r="AE399" s="261">
        <f>Calculations!AE278</f>
        <v>107.82956337719207</v>
      </c>
      <c r="AF399" s="261">
        <f>Calculations!AF278</f>
        <v>111.06445027850785</v>
      </c>
      <c r="AG399" s="261">
        <f>Calculations!AG278</f>
        <v>114.39638378686308</v>
      </c>
      <c r="AH399" s="261">
        <f>Calculations!AH278</f>
        <v>117.828275300469</v>
      </c>
    </row>
    <row r="400" spans="1:65" s="18" customFormat="1" x14ac:dyDescent="0.2">
      <c r="A400" s="7" t="s">
        <v>405</v>
      </c>
      <c r="B400" s="20"/>
    </row>
    <row r="401" spans="1:34" s="18" customFormat="1" x14ac:dyDescent="0.2">
      <c r="A401" s="7"/>
      <c r="B401" s="20"/>
    </row>
    <row r="402" spans="1:34" s="320" customFormat="1" x14ac:dyDescent="0.2">
      <c r="B402" s="319" t="str">
        <f>"Taxes and dividends for "&amp;'Assumptions - General'!E24</f>
        <v>Taxes and dividends for Ruritania Freight Rail Company</v>
      </c>
    </row>
    <row r="404" spans="1:34" s="8" customFormat="1" ht="14" x14ac:dyDescent="0.2">
      <c r="B404" s="169" t="s">
        <v>47</v>
      </c>
      <c r="D404" s="169" t="s">
        <v>15</v>
      </c>
      <c r="E404" s="240">
        <f>F404/100</f>
        <v>0.35</v>
      </c>
      <c r="F404" s="87">
        <v>35</v>
      </c>
    </row>
    <row r="405" spans="1:34" s="8" customFormat="1" ht="14" x14ac:dyDescent="0.2">
      <c r="B405" s="169"/>
      <c r="D405" s="169"/>
      <c r="E405" s="240"/>
      <c r="F405" s="87"/>
    </row>
    <row r="406" spans="1:34" s="8" customFormat="1" ht="14" x14ac:dyDescent="0.2">
      <c r="B406" s="169" t="s">
        <v>524</v>
      </c>
      <c r="D406" s="169" t="s">
        <v>149</v>
      </c>
      <c r="E406" s="241">
        <f>F406/100</f>
        <v>1.2</v>
      </c>
      <c r="F406" s="87">
        <v>120</v>
      </c>
    </row>
    <row r="407" spans="1:34" s="8" customFormat="1" ht="14" x14ac:dyDescent="0.2">
      <c r="B407" s="169"/>
      <c r="D407" s="169"/>
      <c r="E407" s="241"/>
      <c r="F407" s="87"/>
    </row>
    <row r="408" spans="1:34" s="8" customFormat="1" ht="14" x14ac:dyDescent="0.2">
      <c r="B408" s="169" t="s">
        <v>150</v>
      </c>
      <c r="D408" s="169" t="s">
        <v>15</v>
      </c>
      <c r="E408" s="242">
        <f>F408/100</f>
        <v>0.7</v>
      </c>
      <c r="F408" s="87">
        <v>70</v>
      </c>
    </row>
    <row r="409" spans="1:34" s="8" customFormat="1" ht="14" x14ac:dyDescent="0.2">
      <c r="E409" s="195"/>
    </row>
    <row r="410" spans="1:34" s="320" customFormat="1" x14ac:dyDescent="0.2">
      <c r="B410" s="319" t="str">
        <f>"Working capital assumptions for " &amp;'Assumptions - General'!$E$24</f>
        <v>Working capital assumptions for Ruritania Freight Rail Company</v>
      </c>
      <c r="E410" s="327"/>
    </row>
    <row r="411" spans="1:34" s="18" customFormat="1" x14ac:dyDescent="0.2"/>
    <row r="412" spans="1:34" x14ac:dyDescent="0.2">
      <c r="B412" s="21" t="s">
        <v>347</v>
      </c>
      <c r="D412" s="10" t="str">
        <f>'Assumptions - General'!$E$27 &amp;" millions"</f>
        <v>R$ millions</v>
      </c>
      <c r="E412" s="176">
        <v>5000</v>
      </c>
    </row>
    <row r="413" spans="1:34" s="8" customFormat="1" ht="14" x14ac:dyDescent="0.2">
      <c r="B413" s="8" t="s">
        <v>48</v>
      </c>
      <c r="D413" s="8" t="s">
        <v>51</v>
      </c>
      <c r="E413" s="197">
        <f>IF($E$412&lt;&gt;0,IF(Calculations!E16=1,(E412*365)/('Income statement'!E59-'Income statement'!E58)," "),0)</f>
        <v>44.50134113630822</v>
      </c>
      <c r="F413" s="218">
        <f>IF($E$412&lt;&gt;0,IF(Calculations!F16=1,E413+F414," "),0)</f>
        <v>44.50134113630822</v>
      </c>
      <c r="G413" s="218">
        <f>IF($E$412&lt;&gt;0,IF(Calculations!G16=1,F413+G414," "),0)</f>
        <v>44.50134113630822</v>
      </c>
      <c r="H413" s="218">
        <f>IF($E$412&lt;&gt;0,IF(Calculations!H16=1,G413+H414," "),0)</f>
        <v>44.50134113630822</v>
      </c>
      <c r="I413" s="218">
        <f>IF($E$412&lt;&gt;0,IF(Calculations!I16=1,H413+I414," "),0)</f>
        <v>44.50134113630822</v>
      </c>
      <c r="J413" s="218">
        <f>IF($E$412&lt;&gt;0,IF(Calculations!J16=1,I413+J414," "),0)</f>
        <v>44.50134113630822</v>
      </c>
      <c r="K413" s="218">
        <f>IF($E$412&lt;&gt;0,IF(Calculations!K16=1,J413+K414," "),0)</f>
        <v>44.50134113630822</v>
      </c>
      <c r="L413" s="218">
        <f>IF($E$412&lt;&gt;0,IF(Calculations!L16=1,K413+L414," "),0)</f>
        <v>44.50134113630822</v>
      </c>
      <c r="M413" s="218">
        <f>IF($E$412&lt;&gt;0,IF(Calculations!M16=1,L413+M414," "),0)</f>
        <v>44.50134113630822</v>
      </c>
      <c r="N413" s="218">
        <f>IF($E$412&lt;&gt;0,IF(Calculations!N16=1,M413+N414," "),0)</f>
        <v>44.50134113630822</v>
      </c>
      <c r="O413" s="218">
        <f>IF($E$412&lt;&gt;0,IF(Calculations!O16=1,N413+O414," "),0)</f>
        <v>44.50134113630822</v>
      </c>
      <c r="P413" s="218">
        <f>IF($E$412&lt;&gt;0,IF(Calculations!P16=1,O413+P414," "),0)</f>
        <v>44.50134113630822</v>
      </c>
      <c r="Q413" s="218">
        <f>IF($E$412&lt;&gt;0,IF(Calculations!Q16=1,P413+Q414," "),0)</f>
        <v>44.50134113630822</v>
      </c>
      <c r="R413" s="218">
        <f>IF($E$412&lt;&gt;0,IF(Calculations!R16=1,Q413+R414," "),0)</f>
        <v>44.50134113630822</v>
      </c>
      <c r="S413" s="218">
        <f>IF($E$412&lt;&gt;0,IF(Calculations!S16=1,R413+S414," "),0)</f>
        <v>44.50134113630822</v>
      </c>
      <c r="T413" s="218">
        <f>IF($E$412&lt;&gt;0,IF(Calculations!T16=1,S413+T414," "),0)</f>
        <v>44.50134113630822</v>
      </c>
      <c r="U413" s="218">
        <f>IF($E$412&lt;&gt;0,IF(Calculations!U16=1,T413+U414," "),0)</f>
        <v>44.50134113630822</v>
      </c>
      <c r="V413" s="218">
        <f>IF($E$412&lt;&gt;0,IF(Calculations!V16=1,U413+V414," "),0)</f>
        <v>44.50134113630822</v>
      </c>
      <c r="W413" s="218">
        <f>IF($E$412&lt;&gt;0,IF(Calculations!W16=1,V413+W414," "),0)</f>
        <v>44.50134113630822</v>
      </c>
      <c r="X413" s="218">
        <f>IF($E$412&lt;&gt;0,IF(Calculations!X16=1,W413+X414," "),0)</f>
        <v>44.50134113630822</v>
      </c>
      <c r="Y413" s="218">
        <f>IF($E$412&lt;&gt;0,IF(Calculations!Y16=1,X413+Y414," "),0)</f>
        <v>44.50134113630822</v>
      </c>
      <c r="Z413" s="218">
        <f>IF($E$412&lt;&gt;0,IF(Calculations!Z16=1,Y413+Z414," "),0)</f>
        <v>44.50134113630822</v>
      </c>
      <c r="AA413" s="218">
        <f>IF($E$412&lt;&gt;0,IF(Calculations!AA16=1,Z413+AA414," "),0)</f>
        <v>44.50134113630822</v>
      </c>
      <c r="AB413" s="218">
        <f>IF($E$412&lt;&gt;0,IF(Calculations!AB16=1,AA413+AB414," "),0)</f>
        <v>44.50134113630822</v>
      </c>
      <c r="AC413" s="218">
        <f>IF($E$412&lt;&gt;0,IF(Calculations!AC16=1,AB413+AC414," "),0)</f>
        <v>44.50134113630822</v>
      </c>
      <c r="AD413" s="218">
        <f>IF($E$412&lt;&gt;0,IF(Calculations!AD16=1,AC413+AD414," "),0)</f>
        <v>44.50134113630822</v>
      </c>
      <c r="AE413" s="218">
        <f>IF($E$412&lt;&gt;0,IF(Calculations!AE16=1,AD413+AE414," "),0)</f>
        <v>44.50134113630822</v>
      </c>
      <c r="AF413" s="218">
        <f>IF($E$412&lt;&gt;0,IF(Calculations!AF16=1,AE413+AF414," "),0)</f>
        <v>44.50134113630822</v>
      </c>
      <c r="AG413" s="218">
        <f>IF($E$412&lt;&gt;0,IF(Calculations!AG16=1,AF413+AG414," "),0)</f>
        <v>44.50134113630822</v>
      </c>
      <c r="AH413" s="218">
        <f>IF($E$412&lt;&gt;0,IF(Calculations!AH16=1,AG413+AH414," "),0)</f>
        <v>44.50134113630822</v>
      </c>
    </row>
    <row r="414" spans="1:34" s="8" customFormat="1" ht="14" x14ac:dyDescent="0.2">
      <c r="B414" s="8" t="s">
        <v>269</v>
      </c>
      <c r="D414" s="8" t="s">
        <v>270</v>
      </c>
      <c r="E414" s="182"/>
      <c r="F414" s="191">
        <v>0</v>
      </c>
      <c r="G414" s="191">
        <v>0</v>
      </c>
      <c r="H414" s="191">
        <v>0</v>
      </c>
      <c r="I414" s="191">
        <v>0</v>
      </c>
      <c r="J414" s="191">
        <v>0</v>
      </c>
      <c r="K414" s="191">
        <v>0</v>
      </c>
      <c r="L414" s="191">
        <v>0</v>
      </c>
      <c r="M414" s="191">
        <v>0</v>
      </c>
      <c r="N414" s="191">
        <v>0</v>
      </c>
      <c r="O414" s="191">
        <v>0</v>
      </c>
      <c r="P414" s="191">
        <v>0</v>
      </c>
      <c r="Q414" s="191">
        <v>0</v>
      </c>
      <c r="R414" s="191">
        <v>0</v>
      </c>
      <c r="S414" s="191">
        <v>0</v>
      </c>
      <c r="T414" s="191">
        <v>0</v>
      </c>
      <c r="U414" s="191">
        <v>0</v>
      </c>
      <c r="V414" s="191">
        <v>0</v>
      </c>
      <c r="W414" s="191">
        <v>0</v>
      </c>
      <c r="X414" s="191">
        <v>0</v>
      </c>
      <c r="Y414" s="191">
        <v>0</v>
      </c>
      <c r="Z414" s="191">
        <v>0</v>
      </c>
      <c r="AA414" s="191">
        <v>0</v>
      </c>
      <c r="AB414" s="191">
        <v>0</v>
      </c>
      <c r="AC414" s="191">
        <v>0</v>
      </c>
      <c r="AD414" s="191">
        <v>0</v>
      </c>
      <c r="AE414" s="191">
        <v>0</v>
      </c>
      <c r="AF414" s="191">
        <v>0</v>
      </c>
      <c r="AG414" s="191">
        <v>0</v>
      </c>
      <c r="AH414" s="191">
        <v>0</v>
      </c>
    </row>
    <row r="415" spans="1:34" s="20" customFormat="1" ht="14" x14ac:dyDescent="0.2">
      <c r="E415" s="182"/>
      <c r="F415" s="192"/>
      <c r="G415" s="192"/>
      <c r="H415" s="192"/>
      <c r="I415" s="192"/>
      <c r="J415" s="192"/>
      <c r="K415" s="192"/>
      <c r="L415" s="192"/>
      <c r="M415" s="192"/>
      <c r="N415" s="192"/>
      <c r="O415" s="192"/>
      <c r="P415" s="192"/>
      <c r="Q415" s="192"/>
      <c r="R415" s="192"/>
      <c r="S415" s="192"/>
      <c r="T415" s="192"/>
      <c r="U415" s="192"/>
      <c r="V415" s="192"/>
      <c r="W415" s="192"/>
      <c r="X415" s="192"/>
      <c r="Y415" s="192"/>
      <c r="Z415" s="192"/>
      <c r="AA415" s="192"/>
      <c r="AB415" s="192"/>
      <c r="AC415" s="192"/>
      <c r="AD415" s="192"/>
      <c r="AE415" s="192"/>
      <c r="AF415" s="192"/>
      <c r="AG415" s="192"/>
      <c r="AH415" s="192"/>
    </row>
    <row r="416" spans="1:34" s="8" customFormat="1" ht="14" x14ac:dyDescent="0.2">
      <c r="B416" s="21" t="s">
        <v>348</v>
      </c>
      <c r="D416" s="10" t="str">
        <f>'Assumptions - General'!$E$27 &amp;" millions"</f>
        <v>R$ millions</v>
      </c>
      <c r="E416" s="181">
        <v>100</v>
      </c>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row>
    <row r="417" spans="2:34" s="8" customFormat="1" ht="14" x14ac:dyDescent="0.2">
      <c r="B417" s="8" t="s">
        <v>49</v>
      </c>
      <c r="D417" s="8" t="s">
        <v>51</v>
      </c>
      <c r="E417" s="193">
        <f>IF($E$416&lt;&gt;0,IF(Calculations!E16=1,(E416*365)/(Calculations!E262+Calculations!E264)," "),0)</f>
        <v>36.5</v>
      </c>
      <c r="F417" s="218">
        <f>IF($E$416&lt;&gt;0,IF(Calculations!F16=1,E417+F418," "),0)</f>
        <v>36.5</v>
      </c>
      <c r="G417" s="218">
        <f>IF($E$416&lt;&gt;0,IF(Calculations!G16=1,F417+G418," "),0)</f>
        <v>36.5</v>
      </c>
      <c r="H417" s="218">
        <f>IF($E$416&lt;&gt;0,IF(Calculations!H16=1,G417+H418," "),0)</f>
        <v>36.5</v>
      </c>
      <c r="I417" s="218">
        <f>IF($E$416&lt;&gt;0,IF(Calculations!I16=1,H417+I418," "),0)</f>
        <v>36.5</v>
      </c>
      <c r="J417" s="218">
        <f>IF($E$416&lt;&gt;0,IF(Calculations!J16=1,I417+J418," "),0)</f>
        <v>36.5</v>
      </c>
      <c r="K417" s="218">
        <f>IF($E$416&lt;&gt;0,IF(Calculations!K16=1,J417+K418," "),0)</f>
        <v>36.5</v>
      </c>
      <c r="L417" s="218">
        <f>IF($E$416&lt;&gt;0,IF(Calculations!L16=1,K417+L418," "),0)</f>
        <v>36.5</v>
      </c>
      <c r="M417" s="218">
        <f>IF($E$416&lt;&gt;0,IF(Calculations!M16=1,L417+M418," "),0)</f>
        <v>36.5</v>
      </c>
      <c r="N417" s="218">
        <f>IF($E$416&lt;&gt;0,IF(Calculations!N16=1,M417+N418," "),0)</f>
        <v>36.5</v>
      </c>
      <c r="O417" s="218">
        <f>IF($E$416&lt;&gt;0,IF(Calculations!O16=1,N417+O418," "),0)</f>
        <v>36.5</v>
      </c>
      <c r="P417" s="218">
        <f>IF($E$416&lt;&gt;0,IF(Calculations!P16=1,O417+P418," "),0)</f>
        <v>36.5</v>
      </c>
      <c r="Q417" s="218">
        <f>IF($E$416&lt;&gt;0,IF(Calculations!Q16=1,P417+Q418," "),0)</f>
        <v>36.5</v>
      </c>
      <c r="R417" s="218">
        <f>IF($E$416&lt;&gt;0,IF(Calculations!R16=1,Q417+R418," "),0)</f>
        <v>36.5</v>
      </c>
      <c r="S417" s="218">
        <f>IF($E$416&lt;&gt;0,IF(Calculations!S16=1,R417+S418," "),0)</f>
        <v>36.5</v>
      </c>
      <c r="T417" s="218">
        <f>IF($E$416&lt;&gt;0,IF(Calculations!T16=1,S417+T418," "),0)</f>
        <v>36.5</v>
      </c>
      <c r="U417" s="218">
        <f>IF($E$416&lt;&gt;0,IF(Calculations!U16=1,T417+U418," "),0)</f>
        <v>36.5</v>
      </c>
      <c r="V417" s="218">
        <f>IF($E$416&lt;&gt;0,IF(Calculations!V16=1,U417+V418," "),0)</f>
        <v>36.5</v>
      </c>
      <c r="W417" s="218">
        <f>IF($E$416&lt;&gt;0,IF(Calculations!W16=1,V417+W418," "),0)</f>
        <v>36.5</v>
      </c>
      <c r="X417" s="218">
        <f>IF($E$416&lt;&gt;0,IF(Calculations!X16=1,W417+X418," "),0)</f>
        <v>36.5</v>
      </c>
      <c r="Y417" s="218">
        <f>IF($E$416&lt;&gt;0,IF(Calculations!Y16=1,X417+Y418," "),0)</f>
        <v>36.5</v>
      </c>
      <c r="Z417" s="218">
        <f>IF($E$416&lt;&gt;0,IF(Calculations!Z16=1,Y417+Z418," "),0)</f>
        <v>36.5</v>
      </c>
      <c r="AA417" s="218">
        <f>IF($E$416&lt;&gt;0,IF(Calculations!AA16=1,Z417+AA418," "),0)</f>
        <v>36.5</v>
      </c>
      <c r="AB417" s="218">
        <f>IF($E$416&lt;&gt;0,IF(Calculations!AB16=1,AA417+AB418," "),0)</f>
        <v>36.5</v>
      </c>
      <c r="AC417" s="218">
        <f>IF($E$416&lt;&gt;0,IF(Calculations!AC16=1,AB417+AC418," "),0)</f>
        <v>36.5</v>
      </c>
      <c r="AD417" s="218">
        <f>IF($E$416&lt;&gt;0,IF(Calculations!AD16=1,AC417+AD418," "),0)</f>
        <v>36.5</v>
      </c>
      <c r="AE417" s="218">
        <f>IF($E$416&lt;&gt;0,IF(Calculations!AE16=1,AD417+AE418," "),0)</f>
        <v>36.5</v>
      </c>
      <c r="AF417" s="218">
        <f>IF($E$416&lt;&gt;0,IF(Calculations!AF16=1,AE417+AF418," "),0)</f>
        <v>36.5</v>
      </c>
      <c r="AG417" s="218">
        <f>IF($E$416&lt;&gt;0,IF(Calculations!AG16=1,AF417+AG418," "),0)</f>
        <v>36.5</v>
      </c>
      <c r="AH417" s="218">
        <f>IF($E$416&lt;&gt;0,IF(Calculations!AH16=1,AG417+AH418," "),0)</f>
        <v>36.5</v>
      </c>
    </row>
    <row r="418" spans="2:34" s="8" customFormat="1" ht="14" x14ac:dyDescent="0.2">
      <c r="B418" s="8" t="s">
        <v>271</v>
      </c>
      <c r="D418" s="8" t="s">
        <v>270</v>
      </c>
      <c r="E418" s="182"/>
      <c r="F418" s="191">
        <v>0</v>
      </c>
      <c r="G418" s="191">
        <v>0</v>
      </c>
      <c r="H418" s="191">
        <v>0</v>
      </c>
      <c r="I418" s="191">
        <v>0</v>
      </c>
      <c r="J418" s="191">
        <v>0</v>
      </c>
      <c r="K418" s="191">
        <v>0</v>
      </c>
      <c r="L418" s="191">
        <v>0</v>
      </c>
      <c r="M418" s="191">
        <v>0</v>
      </c>
      <c r="N418" s="191">
        <v>0</v>
      </c>
      <c r="O418" s="191">
        <v>0</v>
      </c>
      <c r="P418" s="191">
        <v>0</v>
      </c>
      <c r="Q418" s="191">
        <v>0</v>
      </c>
      <c r="R418" s="191">
        <v>0</v>
      </c>
      <c r="S418" s="191">
        <v>0</v>
      </c>
      <c r="T418" s="191">
        <v>0</v>
      </c>
      <c r="U418" s="191">
        <v>0</v>
      </c>
      <c r="V418" s="191">
        <v>0</v>
      </c>
      <c r="W418" s="191">
        <v>0</v>
      </c>
      <c r="X418" s="191">
        <v>0</v>
      </c>
      <c r="Y418" s="191">
        <v>0</v>
      </c>
      <c r="Z418" s="191">
        <v>0</v>
      </c>
      <c r="AA418" s="191">
        <v>0</v>
      </c>
      <c r="AB418" s="191">
        <v>0</v>
      </c>
      <c r="AC418" s="191">
        <v>0</v>
      </c>
      <c r="AD418" s="191">
        <v>0</v>
      </c>
      <c r="AE418" s="191">
        <v>0</v>
      </c>
      <c r="AF418" s="191">
        <v>0</v>
      </c>
      <c r="AG418" s="191">
        <v>0</v>
      </c>
      <c r="AH418" s="191">
        <v>0</v>
      </c>
    </row>
    <row r="419" spans="2:34" s="20" customFormat="1" ht="14" x14ac:dyDescent="0.2">
      <c r="E419" s="182"/>
      <c r="F419" s="192"/>
      <c r="G419" s="192"/>
      <c r="H419" s="192"/>
      <c r="I419" s="192"/>
      <c r="J419" s="192"/>
      <c r="K419" s="192"/>
      <c r="L419" s="192"/>
      <c r="M419" s="192"/>
      <c r="N419" s="192"/>
      <c r="O419" s="192"/>
      <c r="P419" s="192"/>
      <c r="Q419" s="192"/>
      <c r="R419" s="192"/>
      <c r="S419" s="192"/>
      <c r="T419" s="192"/>
      <c r="U419" s="192"/>
      <c r="V419" s="192"/>
      <c r="W419" s="192"/>
      <c r="X419" s="192"/>
      <c r="Y419" s="192"/>
      <c r="Z419" s="192"/>
      <c r="AA419" s="192"/>
      <c r="AB419" s="192"/>
      <c r="AC419" s="192"/>
      <c r="AD419" s="192"/>
      <c r="AE419" s="192"/>
      <c r="AF419" s="192"/>
      <c r="AG419" s="192"/>
      <c r="AH419" s="192"/>
    </row>
    <row r="420" spans="2:34" x14ac:dyDescent="0.2">
      <c r="B420" s="21" t="s">
        <v>349</v>
      </c>
      <c r="D420" s="10" t="str">
        <f>'Assumptions - General'!$E$27 &amp;" millions"</f>
        <v>R$ millions</v>
      </c>
      <c r="E420" s="176">
        <v>100</v>
      </c>
      <c r="F420" s="190"/>
      <c r="G420" s="190"/>
      <c r="H420" s="190"/>
      <c r="I420" s="190"/>
      <c r="J420" s="190"/>
      <c r="K420" s="190"/>
      <c r="L420" s="190"/>
      <c r="M420" s="190"/>
      <c r="N420" s="190"/>
      <c r="O420" s="190"/>
      <c r="P420" s="190"/>
      <c r="Q420" s="190"/>
      <c r="R420" s="190"/>
      <c r="S420" s="190"/>
      <c r="T420" s="190"/>
      <c r="U420" s="190"/>
      <c r="V420" s="190"/>
      <c r="W420" s="190"/>
      <c r="X420" s="190"/>
      <c r="Y420" s="190"/>
      <c r="Z420" s="190"/>
      <c r="AA420" s="190"/>
      <c r="AB420" s="190"/>
      <c r="AC420" s="190"/>
      <c r="AD420" s="190"/>
      <c r="AE420" s="190"/>
      <c r="AF420" s="190"/>
      <c r="AG420" s="190"/>
      <c r="AH420" s="190"/>
    </row>
    <row r="421" spans="2:34" s="8" customFormat="1" ht="14" x14ac:dyDescent="0.2">
      <c r="B421" s="8" t="s">
        <v>273</v>
      </c>
      <c r="D421" s="8" t="s">
        <v>51</v>
      </c>
      <c r="E421" s="218">
        <f>IF($E$420&lt;&gt;0,IF(Calculations!E16=1,(E420*365)/(E210+E217+E226+E235)," "),0)</f>
        <v>50.694444444444443</v>
      </c>
      <c r="F421" s="218">
        <f>IF($E$420&lt;&gt;0,IF(Calculations!F16=1,E421+F422," "),0)</f>
        <v>50.694444444444443</v>
      </c>
      <c r="G421" s="218">
        <f>IF($E$420&lt;&gt;0,IF(Calculations!G16=1,F421+G422," "),0)</f>
        <v>50.694444444444443</v>
      </c>
      <c r="H421" s="218">
        <f>IF($E$420&lt;&gt;0,IF(Calculations!H16=1,G421+H422," "),0)</f>
        <v>50.694444444444443</v>
      </c>
      <c r="I421" s="218">
        <f>IF($E$420&lt;&gt;0,IF(Calculations!I16=1,H421+I422," "),0)</f>
        <v>50.694444444444443</v>
      </c>
      <c r="J421" s="218">
        <f>IF($E$420&lt;&gt;0,IF(Calculations!J16=1,I421+J422," "),0)</f>
        <v>50.694444444444443</v>
      </c>
      <c r="K421" s="218">
        <f>IF($E$420&lt;&gt;0,IF(Calculations!K16=1,J421+K422," "),0)</f>
        <v>50.694444444444443</v>
      </c>
      <c r="L421" s="218">
        <f>IF($E$420&lt;&gt;0,IF(Calculations!L16=1,K421+L422," "),0)</f>
        <v>50.694444444444443</v>
      </c>
      <c r="M421" s="218">
        <f>IF($E$420&lt;&gt;0,IF(Calculations!M16=1,L421+M422," "),0)</f>
        <v>50.694444444444443</v>
      </c>
      <c r="N421" s="218">
        <f>IF($E$420&lt;&gt;0,IF(Calculations!N16=1,M421+N422," "),0)</f>
        <v>50.694444444444443</v>
      </c>
      <c r="O421" s="218">
        <f>IF($E$420&lt;&gt;0,IF(Calculations!O16=1,N421+O422," "),0)</f>
        <v>50.694444444444443</v>
      </c>
      <c r="P421" s="218">
        <f>IF($E$420&lt;&gt;0,IF(Calculations!P16=1,O421+P422," "),0)</f>
        <v>50.694444444444443</v>
      </c>
      <c r="Q421" s="218">
        <f>IF($E$420&lt;&gt;0,IF(Calculations!Q16=1,P421+Q422," "),0)</f>
        <v>50.694444444444443</v>
      </c>
      <c r="R421" s="218">
        <f>IF($E$420&lt;&gt;0,IF(Calculations!R16=1,Q421+R422," "),0)</f>
        <v>50.694444444444443</v>
      </c>
      <c r="S421" s="218">
        <f>IF($E$420&lt;&gt;0,IF(Calculations!S16=1,R421+S422," "),0)</f>
        <v>50.694444444444443</v>
      </c>
      <c r="T421" s="218">
        <f>IF($E$420&lt;&gt;0,IF(Calculations!T16=1,S421+T422," "),0)</f>
        <v>50.694444444444443</v>
      </c>
      <c r="U421" s="218">
        <f>IF($E$420&lt;&gt;0,IF(Calculations!U16=1,T421+U422," "),0)</f>
        <v>50.694444444444443</v>
      </c>
      <c r="V421" s="218">
        <f>IF($E$420&lt;&gt;0,IF(Calculations!V16=1,U421+V422," "),0)</f>
        <v>50.694444444444443</v>
      </c>
      <c r="W421" s="218">
        <f>IF($E$420&lt;&gt;0,IF(Calculations!W16=1,V421+W422," "),0)</f>
        <v>50.694444444444443</v>
      </c>
      <c r="X421" s="218">
        <f>IF($E$420&lt;&gt;0,IF(Calculations!X16=1,W421+X422," "),0)</f>
        <v>50.694444444444443</v>
      </c>
      <c r="Y421" s="218">
        <f>IF($E$420&lt;&gt;0,IF(Calculations!Y16=1,X421+Y422," "),0)</f>
        <v>50.694444444444443</v>
      </c>
      <c r="Z421" s="218">
        <f>IF($E$420&lt;&gt;0,IF(Calculations!Z16=1,Y421+Z422," "),0)</f>
        <v>50.694444444444443</v>
      </c>
      <c r="AA421" s="218">
        <f>IF($E$420&lt;&gt;0,IF(Calculations!AA16=1,Z421+AA422," "),0)</f>
        <v>50.694444444444443</v>
      </c>
      <c r="AB421" s="218">
        <f>IF($E$420&lt;&gt;0,IF(Calculations!AB16=1,AA421+AB422," "),0)</f>
        <v>50.694444444444443</v>
      </c>
      <c r="AC421" s="218">
        <f>IF($E$420&lt;&gt;0,IF(Calculations!AC16=1,AB421+AC422," "),0)</f>
        <v>50.694444444444443</v>
      </c>
      <c r="AD421" s="218">
        <f>IF($E$420&lt;&gt;0,IF(Calculations!AD16=1,AC421+AD422," "),0)</f>
        <v>50.694444444444443</v>
      </c>
      <c r="AE421" s="218">
        <f>IF($E$420&lt;&gt;0,IF(Calculations!AE16=1,AD421+AE422," "),0)</f>
        <v>50.694444444444443</v>
      </c>
      <c r="AF421" s="218">
        <f>IF($E$420&lt;&gt;0,IF(Calculations!AF16=1,AE421+AF422," "),0)</f>
        <v>50.694444444444443</v>
      </c>
      <c r="AG421" s="218">
        <f>IF($E$420&lt;&gt;0,IF(Calculations!AG16=1,AF421+AG422," "),0)</f>
        <v>50.694444444444443</v>
      </c>
      <c r="AH421" s="218">
        <f>IF($E$420&lt;&gt;0,IF(Calculations!AH16=1,AG421+AH422," "),0)</f>
        <v>50.694444444444443</v>
      </c>
    </row>
    <row r="422" spans="2:34" s="8" customFormat="1" ht="14" x14ac:dyDescent="0.2">
      <c r="B422" s="8" t="s">
        <v>274</v>
      </c>
      <c r="D422" s="8" t="s">
        <v>270</v>
      </c>
      <c r="E422" s="182"/>
      <c r="F422" s="191">
        <v>0</v>
      </c>
      <c r="G422" s="191">
        <v>0</v>
      </c>
      <c r="H422" s="191">
        <v>0</v>
      </c>
      <c r="I422" s="191">
        <v>0</v>
      </c>
      <c r="J422" s="191">
        <v>0</v>
      </c>
      <c r="K422" s="191">
        <v>0</v>
      </c>
      <c r="L422" s="191">
        <v>0</v>
      </c>
      <c r="M422" s="191">
        <v>0</v>
      </c>
      <c r="N422" s="191">
        <v>0</v>
      </c>
      <c r="O422" s="191">
        <v>0</v>
      </c>
      <c r="P422" s="191">
        <v>0</v>
      </c>
      <c r="Q422" s="191">
        <v>0</v>
      </c>
      <c r="R422" s="191">
        <v>0</v>
      </c>
      <c r="S422" s="191">
        <v>0</v>
      </c>
      <c r="T422" s="191">
        <v>0</v>
      </c>
      <c r="U422" s="191">
        <v>0</v>
      </c>
      <c r="V422" s="191">
        <v>0</v>
      </c>
      <c r="W422" s="191">
        <v>0</v>
      </c>
      <c r="X422" s="191">
        <v>0</v>
      </c>
      <c r="Y422" s="191">
        <v>0</v>
      </c>
      <c r="Z422" s="191">
        <v>0</v>
      </c>
      <c r="AA422" s="191">
        <v>0</v>
      </c>
      <c r="AB422" s="191">
        <v>0</v>
      </c>
      <c r="AC422" s="191">
        <v>0</v>
      </c>
      <c r="AD422" s="191">
        <v>0</v>
      </c>
      <c r="AE422" s="191">
        <v>0</v>
      </c>
      <c r="AF422" s="191">
        <v>0</v>
      </c>
      <c r="AG422" s="191">
        <v>0</v>
      </c>
      <c r="AH422" s="191">
        <v>0</v>
      </c>
    </row>
    <row r="423" spans="2:34" s="20" customFormat="1" ht="14" x14ac:dyDescent="0.2">
      <c r="E423" s="182"/>
      <c r="F423" s="192"/>
      <c r="G423" s="192"/>
      <c r="H423" s="192"/>
      <c r="I423" s="192"/>
      <c r="J423" s="192"/>
      <c r="K423" s="192"/>
      <c r="L423" s="192"/>
      <c r="M423" s="192"/>
      <c r="N423" s="192"/>
      <c r="O423" s="192"/>
      <c r="P423" s="192"/>
      <c r="Q423" s="192"/>
      <c r="R423" s="192"/>
      <c r="S423" s="192"/>
      <c r="T423" s="192"/>
      <c r="U423" s="192"/>
      <c r="V423" s="192"/>
      <c r="W423" s="192"/>
      <c r="X423" s="192"/>
      <c r="Y423" s="192"/>
      <c r="Z423" s="192"/>
      <c r="AA423" s="192"/>
      <c r="AB423" s="192"/>
      <c r="AC423" s="192"/>
      <c r="AD423" s="192"/>
      <c r="AE423" s="192"/>
      <c r="AF423" s="192"/>
      <c r="AG423" s="192"/>
      <c r="AH423" s="192"/>
    </row>
    <row r="424" spans="2:34" x14ac:dyDescent="0.2">
      <c r="B424" s="21" t="s">
        <v>350</v>
      </c>
      <c r="D424" s="10" t="str">
        <f>'Assumptions - General'!$E$27 &amp;" millions"</f>
        <v>R$ millions</v>
      </c>
      <c r="E424" s="176">
        <v>2000</v>
      </c>
      <c r="F424" s="190"/>
      <c r="G424" s="190"/>
      <c r="H424" s="190"/>
      <c r="I424" s="190"/>
      <c r="J424" s="190"/>
      <c r="K424" s="190"/>
      <c r="L424" s="190"/>
      <c r="M424" s="190"/>
      <c r="N424" s="190"/>
      <c r="O424" s="190"/>
      <c r="P424" s="190"/>
      <c r="Q424" s="190"/>
      <c r="R424" s="190"/>
      <c r="S424" s="190"/>
      <c r="T424" s="190"/>
      <c r="U424" s="190"/>
      <c r="V424" s="190"/>
      <c r="W424" s="190"/>
      <c r="X424" s="190"/>
      <c r="Y424" s="190"/>
      <c r="Z424" s="190"/>
      <c r="AA424" s="190"/>
      <c r="AB424" s="190"/>
      <c r="AC424" s="190"/>
      <c r="AD424" s="190"/>
      <c r="AE424" s="190"/>
      <c r="AF424" s="190"/>
      <c r="AG424" s="190"/>
      <c r="AH424" s="190"/>
    </row>
    <row r="425" spans="2:34" s="8" customFormat="1" ht="14" x14ac:dyDescent="0.2">
      <c r="B425" s="8" t="s">
        <v>50</v>
      </c>
      <c r="D425" s="8" t="s">
        <v>51</v>
      </c>
      <c r="E425" s="193">
        <f>IF($E$424&lt;&gt;0,IF(Calculations!E16=1,(E424*365)/((Calculations!E260+Calculations!E262+Calculations!E264+Calculations!E266+Calculations!E268+Calculations!E270+Calculations!E1117+Calculations!E1118))," "),0)</f>
        <v>45.334575376494328</v>
      </c>
      <c r="F425" s="218">
        <f>IF($E$424&lt;&gt;0,IF(Calculations!F16=1,E425+F426," "),0)</f>
        <v>45.334575376494328</v>
      </c>
      <c r="G425" s="218">
        <f>IF($E$424&lt;&gt;0,IF(Calculations!G16=1,F425+G426," "),0)</f>
        <v>45.334575376494328</v>
      </c>
      <c r="H425" s="218">
        <f>IF($E$424&lt;&gt;0,IF(Calculations!H16=1,G425+H426," "),0)</f>
        <v>45.334575376494328</v>
      </c>
      <c r="I425" s="218">
        <f>IF($E$424&lt;&gt;0,IF(Calculations!I16=1,H425+I426," "),0)</f>
        <v>45.334575376494328</v>
      </c>
      <c r="J425" s="218">
        <f>IF($E$424&lt;&gt;0,IF(Calculations!J16=1,I425+J426," "),0)</f>
        <v>45.334575376494328</v>
      </c>
      <c r="K425" s="218">
        <f>IF($E$424&lt;&gt;0,IF(Calculations!K16=1,J425+K426," "),0)</f>
        <v>45.334575376494328</v>
      </c>
      <c r="L425" s="218">
        <f>IF($E$424&lt;&gt;0,IF(Calculations!L16=1,K425+L426," "),0)</f>
        <v>45.334575376494328</v>
      </c>
      <c r="M425" s="218">
        <f>IF($E$424&lt;&gt;0,IF(Calculations!M16=1,L425+M426," "),0)</f>
        <v>45.334575376494328</v>
      </c>
      <c r="N425" s="218">
        <f>IF($E$424&lt;&gt;0,IF(Calculations!N16=1,M425+N426," "),0)</f>
        <v>45.334575376494328</v>
      </c>
      <c r="O425" s="218">
        <f>IF($E$424&lt;&gt;0,IF(Calculations!O16=1,N425+O426," "),0)</f>
        <v>45.334575376494328</v>
      </c>
      <c r="P425" s="218">
        <f>IF($E$424&lt;&gt;0,IF(Calculations!P16=1,O425+P426," "),0)</f>
        <v>45.334575376494328</v>
      </c>
      <c r="Q425" s="218">
        <f>IF($E$424&lt;&gt;0,IF(Calculations!Q16=1,P425+Q426," "),0)</f>
        <v>45.334575376494328</v>
      </c>
      <c r="R425" s="218">
        <f>IF($E$424&lt;&gt;0,IF(Calculations!R16=1,Q425+R426," "),0)</f>
        <v>45.334575376494328</v>
      </c>
      <c r="S425" s="218">
        <f>IF($E$424&lt;&gt;0,IF(Calculations!S16=1,R425+S426," "),0)</f>
        <v>45.334575376494328</v>
      </c>
      <c r="T425" s="218">
        <f>IF($E$424&lt;&gt;0,IF(Calculations!T16=1,S425+T426," "),0)</f>
        <v>45.334575376494328</v>
      </c>
      <c r="U425" s="218">
        <f>IF($E$424&lt;&gt;0,IF(Calculations!U16=1,T425+U426," "),0)</f>
        <v>45.334575376494328</v>
      </c>
      <c r="V425" s="218">
        <f>IF($E$424&lt;&gt;0,IF(Calculations!V16=1,U425+V426," "),0)</f>
        <v>45.334575376494328</v>
      </c>
      <c r="W425" s="218">
        <f>IF($E$424&lt;&gt;0,IF(Calculations!W16=1,V425+W426," "),0)</f>
        <v>45.334575376494328</v>
      </c>
      <c r="X425" s="218">
        <f>IF($E$424&lt;&gt;0,IF(Calculations!X16=1,W425+X426," "),0)</f>
        <v>45.334575376494328</v>
      </c>
      <c r="Y425" s="218">
        <f>IF($E$424&lt;&gt;0,IF(Calculations!Y16=1,X425+Y426," "),0)</f>
        <v>45.334575376494328</v>
      </c>
      <c r="Z425" s="218">
        <f>IF($E$424&lt;&gt;0,IF(Calculations!Z16=1,Y425+Z426," "),0)</f>
        <v>45.334575376494328</v>
      </c>
      <c r="AA425" s="218">
        <f>IF($E$424&lt;&gt;0,IF(Calculations!AA16=1,Z425+AA426," "),0)</f>
        <v>45.334575376494328</v>
      </c>
      <c r="AB425" s="218">
        <f>IF($E$424&lt;&gt;0,IF(Calculations!AB16=1,AA425+AB426," "),0)</f>
        <v>45.334575376494328</v>
      </c>
      <c r="AC425" s="218">
        <f>IF($E$424&lt;&gt;0,IF(Calculations!AC16=1,AB425+AC426," "),0)</f>
        <v>45.334575376494328</v>
      </c>
      <c r="AD425" s="218">
        <f>IF($E$424&lt;&gt;0,IF(Calculations!AD16=1,AC425+AD426," "),0)</f>
        <v>45.334575376494328</v>
      </c>
      <c r="AE425" s="218">
        <f>IF($E$424&lt;&gt;0,IF(Calculations!AE16=1,AD425+AE426," "),0)</f>
        <v>45.334575376494328</v>
      </c>
      <c r="AF425" s="218">
        <f>IF($E$424&lt;&gt;0,IF(Calculations!AF16=1,AE425+AF426," "),0)</f>
        <v>45.334575376494328</v>
      </c>
      <c r="AG425" s="218">
        <f>IF($E$424&lt;&gt;0,IF(Calculations!AG16=1,AF425+AG426," "),0)</f>
        <v>45.334575376494328</v>
      </c>
      <c r="AH425" s="218">
        <f>IF($E$424&lt;&gt;0,IF(Calculations!AH16=1,AG425+AH426," "),0)</f>
        <v>45.334575376494328</v>
      </c>
    </row>
    <row r="426" spans="2:34" s="8" customFormat="1" ht="14" x14ac:dyDescent="0.2">
      <c r="B426" s="8" t="s">
        <v>272</v>
      </c>
      <c r="D426" s="8" t="s">
        <v>270</v>
      </c>
      <c r="E426" s="182"/>
      <c r="F426" s="191">
        <v>0</v>
      </c>
      <c r="G426" s="191">
        <v>0</v>
      </c>
      <c r="H426" s="191">
        <v>0</v>
      </c>
      <c r="I426" s="191">
        <v>0</v>
      </c>
      <c r="J426" s="191">
        <v>0</v>
      </c>
      <c r="K426" s="191">
        <v>0</v>
      </c>
      <c r="L426" s="191">
        <v>0</v>
      </c>
      <c r="M426" s="191">
        <v>0</v>
      </c>
      <c r="N426" s="191">
        <v>0</v>
      </c>
      <c r="O426" s="191">
        <v>0</v>
      </c>
      <c r="P426" s="191">
        <v>0</v>
      </c>
      <c r="Q426" s="191">
        <v>0</v>
      </c>
      <c r="R426" s="191">
        <v>0</v>
      </c>
      <c r="S426" s="191">
        <v>0</v>
      </c>
      <c r="T426" s="191">
        <v>0</v>
      </c>
      <c r="U426" s="191">
        <v>0</v>
      </c>
      <c r="V426" s="191">
        <v>0</v>
      </c>
      <c r="W426" s="191">
        <v>0</v>
      </c>
      <c r="X426" s="191">
        <v>0</v>
      </c>
      <c r="Y426" s="191">
        <v>0</v>
      </c>
      <c r="Z426" s="191">
        <v>0</v>
      </c>
      <c r="AA426" s="191">
        <v>0</v>
      </c>
      <c r="AB426" s="191">
        <v>0</v>
      </c>
      <c r="AC426" s="191">
        <v>0</v>
      </c>
      <c r="AD426" s="191">
        <v>0</v>
      </c>
      <c r="AE426" s="191">
        <v>0</v>
      </c>
      <c r="AF426" s="191">
        <v>0</v>
      </c>
      <c r="AG426" s="191">
        <v>0</v>
      </c>
      <c r="AH426" s="191">
        <v>0</v>
      </c>
    </row>
    <row r="427" spans="2:34" s="20" customFormat="1" ht="14" x14ac:dyDescent="0.2">
      <c r="E427" s="182"/>
      <c r="F427" s="192"/>
      <c r="G427" s="192"/>
      <c r="H427" s="192"/>
      <c r="I427" s="192"/>
      <c r="J427" s="192"/>
      <c r="K427" s="192"/>
      <c r="L427" s="192"/>
      <c r="M427" s="192"/>
      <c r="N427" s="192"/>
      <c r="O427" s="192"/>
      <c r="P427" s="192"/>
      <c r="Q427" s="192"/>
      <c r="R427" s="192"/>
      <c r="S427" s="192"/>
      <c r="T427" s="192"/>
      <c r="U427" s="192"/>
      <c r="V427" s="192"/>
      <c r="W427" s="192"/>
      <c r="X427" s="192"/>
      <c r="Y427" s="192"/>
      <c r="Z427" s="192"/>
      <c r="AA427" s="192"/>
      <c r="AB427" s="192"/>
      <c r="AC427" s="192"/>
      <c r="AD427" s="192"/>
      <c r="AE427" s="192"/>
      <c r="AF427" s="192"/>
      <c r="AG427" s="192"/>
      <c r="AH427" s="192"/>
    </row>
    <row r="428" spans="2:34" x14ac:dyDescent="0.2">
      <c r="B428" s="21" t="s">
        <v>351</v>
      </c>
      <c r="D428" s="10" t="str">
        <f>'Assumptions - General'!$E$27 &amp;" millions"</f>
        <v>R$ millions</v>
      </c>
      <c r="E428" s="176">
        <v>100</v>
      </c>
      <c r="F428" s="190"/>
      <c r="G428" s="190"/>
      <c r="H428" s="190"/>
      <c r="I428" s="190"/>
      <c r="J428" s="190"/>
      <c r="K428" s="190"/>
      <c r="L428" s="190"/>
      <c r="M428" s="190"/>
      <c r="N428" s="190"/>
      <c r="O428" s="190"/>
      <c r="P428" s="190"/>
      <c r="Q428" s="190"/>
      <c r="R428" s="190"/>
      <c r="S428" s="190"/>
      <c r="T428" s="190"/>
      <c r="U428" s="190"/>
      <c r="V428" s="190"/>
      <c r="W428" s="190"/>
      <c r="X428" s="190"/>
      <c r="Y428" s="190"/>
      <c r="Z428" s="190"/>
      <c r="AA428" s="190"/>
      <c r="AB428" s="190"/>
      <c r="AC428" s="190"/>
      <c r="AD428" s="190"/>
      <c r="AE428" s="190"/>
      <c r="AF428" s="190"/>
      <c r="AG428" s="190"/>
      <c r="AH428" s="190"/>
    </row>
    <row r="429" spans="2:34" s="8" customFormat="1" ht="14" x14ac:dyDescent="0.2">
      <c r="B429" s="8" t="s">
        <v>275</v>
      </c>
      <c r="D429" s="8" t="s">
        <v>51</v>
      </c>
      <c r="E429" s="193">
        <f>IF($E$428&lt;&gt;0,IF(Calculations!E16=1,(E428*365)/(SUM(Calculations!E275:E278))," "),0)</f>
        <v>121.66666666666667</v>
      </c>
      <c r="F429" s="218">
        <f>IF($E$428&lt;&gt;0,IF(Calculations!F16=1,E429+F430," "),0)</f>
        <v>121.66666666666667</v>
      </c>
      <c r="G429" s="218">
        <f>IF($E$428&lt;&gt;0,IF(Calculations!G16=1,F429+G430," "),0)</f>
        <v>121.66666666666667</v>
      </c>
      <c r="H429" s="218">
        <f>IF($E$428&lt;&gt;0,IF(Calculations!H16=1,G429+H430," "),0)</f>
        <v>121.66666666666667</v>
      </c>
      <c r="I429" s="218">
        <f>IF($E$428&lt;&gt;0,IF(Calculations!I16=1,H429+I430," "),0)</f>
        <v>121.66666666666667</v>
      </c>
      <c r="J429" s="218">
        <f>IF($E$428&lt;&gt;0,IF(Calculations!J16=1,I429+J430," "),0)</f>
        <v>121.66666666666667</v>
      </c>
      <c r="K429" s="218">
        <f>IF($E$428&lt;&gt;0,IF(Calculations!K16=1,J429+K430," "),0)</f>
        <v>121.66666666666667</v>
      </c>
      <c r="L429" s="218">
        <f>IF($E$428&lt;&gt;0,IF(Calculations!L16=1,K429+L430," "),0)</f>
        <v>121.66666666666667</v>
      </c>
      <c r="M429" s="218">
        <f>IF($E$428&lt;&gt;0,IF(Calculations!M16=1,L429+M430," "),0)</f>
        <v>121.66666666666667</v>
      </c>
      <c r="N429" s="218">
        <f>IF($E$428&lt;&gt;0,IF(Calculations!N16=1,M429+N430," "),0)</f>
        <v>121.66666666666667</v>
      </c>
      <c r="O429" s="218">
        <f>IF($E$428&lt;&gt;0,IF(Calculations!O16=1,N429+O430," "),0)</f>
        <v>121.66666666666667</v>
      </c>
      <c r="P429" s="218">
        <f>IF($E$428&lt;&gt;0,IF(Calculations!P16=1,O429+P430," "),0)</f>
        <v>121.66666666666667</v>
      </c>
      <c r="Q429" s="218">
        <f>IF($E$428&lt;&gt;0,IF(Calculations!Q16=1,P429+Q430," "),0)</f>
        <v>121.66666666666667</v>
      </c>
      <c r="R429" s="218">
        <f>IF($E$428&lt;&gt;0,IF(Calculations!R16=1,Q429+R430," "),0)</f>
        <v>121.66666666666667</v>
      </c>
      <c r="S429" s="218">
        <f>IF($E$428&lt;&gt;0,IF(Calculations!S16=1,R429+S430," "),0)</f>
        <v>121.66666666666667</v>
      </c>
      <c r="T429" s="218">
        <f>IF($E$428&lt;&gt;0,IF(Calculations!T16=1,S429+T430," "),0)</f>
        <v>121.66666666666667</v>
      </c>
      <c r="U429" s="218">
        <f>IF($E$428&lt;&gt;0,IF(Calculations!U16=1,T429+U430," "),0)</f>
        <v>121.66666666666667</v>
      </c>
      <c r="V429" s="218">
        <f>IF($E$428&lt;&gt;0,IF(Calculations!V16=1,U429+V430," "),0)</f>
        <v>121.66666666666667</v>
      </c>
      <c r="W429" s="218">
        <f>IF($E$428&lt;&gt;0,IF(Calculations!W16=1,V429+W430," "),0)</f>
        <v>121.66666666666667</v>
      </c>
      <c r="X429" s="218">
        <f>IF($E$428&lt;&gt;0,IF(Calculations!X16=1,W429+X430," "),0)</f>
        <v>121.66666666666667</v>
      </c>
      <c r="Y429" s="218">
        <f>IF($E$428&lt;&gt;0,IF(Calculations!Y16=1,X429+Y430," "),0)</f>
        <v>121.66666666666667</v>
      </c>
      <c r="Z429" s="218">
        <f>IF($E$428&lt;&gt;0,IF(Calculations!Z16=1,Y429+Z430," "),0)</f>
        <v>121.66666666666667</v>
      </c>
      <c r="AA429" s="218">
        <f>IF($E$428&lt;&gt;0,IF(Calculations!AA16=1,Z429+AA430," "),0)</f>
        <v>121.66666666666667</v>
      </c>
      <c r="AB429" s="218">
        <f>IF($E$428&lt;&gt;0,IF(Calculations!AB16=1,AA429+AB430," "),0)</f>
        <v>121.66666666666667</v>
      </c>
      <c r="AC429" s="218">
        <f>IF($E$428&lt;&gt;0,IF(Calculations!AC16=1,AB429+AC430," "),0)</f>
        <v>121.66666666666667</v>
      </c>
      <c r="AD429" s="218">
        <f>IF($E$428&lt;&gt;0,IF(Calculations!AD16=1,AC429+AD430," "),0)</f>
        <v>121.66666666666667</v>
      </c>
      <c r="AE429" s="218">
        <f>IF($E$428&lt;&gt;0,IF(Calculations!AE16=1,AD429+AE430," "),0)</f>
        <v>121.66666666666667</v>
      </c>
      <c r="AF429" s="218">
        <f>IF($E$428&lt;&gt;0,IF(Calculations!AF16=1,AE429+AF430," "),0)</f>
        <v>121.66666666666667</v>
      </c>
      <c r="AG429" s="218">
        <f>IF($E$428&lt;&gt;0,IF(Calculations!AG16=1,AF429+AG430," "),0)</f>
        <v>121.66666666666667</v>
      </c>
      <c r="AH429" s="218">
        <f>IF($E$428&lt;&gt;0,IF(Calculations!AH16=1,AG429+AH430," "),0)</f>
        <v>121.66666666666667</v>
      </c>
    </row>
    <row r="430" spans="2:34" s="8" customFormat="1" ht="14" x14ac:dyDescent="0.2">
      <c r="B430" s="8" t="s">
        <v>276</v>
      </c>
      <c r="D430" s="8" t="s">
        <v>270</v>
      </c>
      <c r="E430" s="182"/>
      <c r="F430" s="191">
        <v>0</v>
      </c>
      <c r="G430" s="191">
        <v>0</v>
      </c>
      <c r="H430" s="191">
        <v>0</v>
      </c>
      <c r="I430" s="191">
        <v>0</v>
      </c>
      <c r="J430" s="191">
        <v>0</v>
      </c>
      <c r="K430" s="191">
        <v>0</v>
      </c>
      <c r="L430" s="191">
        <v>0</v>
      </c>
      <c r="M430" s="191">
        <v>0</v>
      </c>
      <c r="N430" s="191">
        <v>0</v>
      </c>
      <c r="O430" s="191">
        <v>0</v>
      </c>
      <c r="P430" s="191">
        <v>0</v>
      </c>
      <c r="Q430" s="191">
        <v>0</v>
      </c>
      <c r="R430" s="191">
        <v>0</v>
      </c>
      <c r="S430" s="191">
        <v>0</v>
      </c>
      <c r="T430" s="191">
        <v>0</v>
      </c>
      <c r="U430" s="191">
        <v>0</v>
      </c>
      <c r="V430" s="191">
        <v>0</v>
      </c>
      <c r="W430" s="191">
        <v>0</v>
      </c>
      <c r="X430" s="191">
        <v>0</v>
      </c>
      <c r="Y430" s="191">
        <v>0</v>
      </c>
      <c r="Z430" s="191">
        <v>0</v>
      </c>
      <c r="AA430" s="191">
        <v>0</v>
      </c>
      <c r="AB430" s="191">
        <v>0</v>
      </c>
      <c r="AC430" s="191">
        <v>0</v>
      </c>
      <c r="AD430" s="191">
        <v>0</v>
      </c>
      <c r="AE430" s="191">
        <v>0</v>
      </c>
      <c r="AF430" s="191">
        <v>0</v>
      </c>
      <c r="AG430" s="191">
        <v>0</v>
      </c>
      <c r="AH430" s="191">
        <v>0</v>
      </c>
    </row>
    <row r="431" spans="2:34" s="20" customFormat="1" ht="14" x14ac:dyDescent="0.2">
      <c r="E431" s="182"/>
      <c r="F431" s="121"/>
      <c r="G431" s="121"/>
      <c r="H431" s="121"/>
      <c r="I431" s="121"/>
      <c r="J431" s="121"/>
      <c r="K431" s="121"/>
      <c r="L431" s="121"/>
      <c r="M431" s="121"/>
      <c r="N431" s="121"/>
      <c r="O431" s="121"/>
      <c r="P431" s="121"/>
      <c r="Q431" s="121"/>
      <c r="R431" s="121"/>
      <c r="S431" s="121"/>
      <c r="T431" s="121"/>
      <c r="U431" s="121"/>
      <c r="V431" s="121"/>
      <c r="W431" s="121"/>
      <c r="X431" s="121"/>
      <c r="Y431" s="121"/>
      <c r="Z431" s="121"/>
      <c r="AA431" s="121"/>
      <c r="AB431" s="121"/>
      <c r="AC431" s="121"/>
      <c r="AD431" s="121"/>
      <c r="AE431" s="121"/>
      <c r="AF431" s="121"/>
      <c r="AG431" s="121"/>
      <c r="AH431" s="121"/>
    </row>
    <row r="432" spans="2:34" s="8" customFormat="1" ht="14" x14ac:dyDescent="0.2">
      <c r="B432" s="21" t="s">
        <v>352</v>
      </c>
      <c r="D432" s="8" t="str">
        <f>'Assumptions - General'!$E$27 &amp;" millions"</f>
        <v>R$ millions</v>
      </c>
      <c r="E432" s="181">
        <v>100</v>
      </c>
    </row>
    <row r="433" spans="1:34" s="8" customFormat="1" ht="14" x14ac:dyDescent="0.2">
      <c r="B433" s="169" t="s">
        <v>332</v>
      </c>
      <c r="C433" s="169"/>
      <c r="D433" s="169" t="s">
        <v>32</v>
      </c>
      <c r="E433" s="177">
        <f>IF(F433="Yes",1,2)</f>
        <v>1</v>
      </c>
      <c r="F433" s="87" t="s">
        <v>33</v>
      </c>
    </row>
    <row r="434" spans="1:34" s="8" customFormat="1" ht="14" x14ac:dyDescent="0.2">
      <c r="B434" s="169"/>
      <c r="C434" s="169"/>
      <c r="D434" s="169"/>
      <c r="E434" s="177"/>
    </row>
    <row r="435" spans="1:34" s="8" customFormat="1" ht="14" x14ac:dyDescent="0.2">
      <c r="B435" s="169" t="s">
        <v>333</v>
      </c>
      <c r="C435" s="169"/>
      <c r="D435" s="169" t="s">
        <v>15</v>
      </c>
      <c r="E435" s="198">
        <v>0.01</v>
      </c>
    </row>
    <row r="437" spans="1:34" outlineLevel="1" x14ac:dyDescent="0.2">
      <c r="B437" s="8" t="s">
        <v>387</v>
      </c>
      <c r="D437" s="10" t="str">
        <f>'Assumptions - General'!$E$27 &amp;" millions"</f>
        <v>R$ millions</v>
      </c>
      <c r="E437" s="218">
        <f>Calculations!E303</f>
        <v>5000</v>
      </c>
      <c r="F437" s="218">
        <f>Calculations!F303</f>
        <v>5012.4237990733973</v>
      </c>
      <c r="G437" s="218">
        <f>Calculations!G303</f>
        <v>5150.6310704706166</v>
      </c>
      <c r="H437" s="218">
        <f>Calculations!H303</f>
        <v>5292.8132520390145</v>
      </c>
      <c r="I437" s="218">
        <f>Calculations!I303</f>
        <v>5439.0865885161975</v>
      </c>
      <c r="J437" s="218">
        <f>Calculations!J303</f>
        <v>5589.5707471307669</v>
      </c>
      <c r="K437" s="218">
        <f>Calculations!K303</f>
        <v>6462.255557723016</v>
      </c>
      <c r="L437" s="218">
        <f>Calculations!L303</f>
        <v>6641.4389766854174</v>
      </c>
      <c r="M437" s="218">
        <f>Calculations!M303</f>
        <v>6825.7875394329776</v>
      </c>
      <c r="N437" s="218">
        <f>Calculations!N303</f>
        <v>7015.4524390595916</v>
      </c>
      <c r="O437" s="218">
        <f>Calculations!O303</f>
        <v>7210.5893219734025</v>
      </c>
      <c r="P437" s="218">
        <f>Calculations!P303</f>
        <v>7411.3584194376808</v>
      </c>
      <c r="Q437" s="218">
        <f>Calculations!Q303</f>
        <v>7617.9246830031416</v>
      </c>
      <c r="R437" s="218">
        <f>Calculations!R303</f>
        <v>7830.4579239469767</v>
      </c>
      <c r="S437" s="218">
        <f>Calculations!S303</f>
        <v>8049.1329568372603</v>
      </c>
      <c r="T437" s="218">
        <f>Calculations!T303</f>
        <v>8274.1297473448776</v>
      </c>
      <c r="U437" s="218">
        <f>Calculations!U303</f>
        <v>8505.633564428852</v>
      </c>
      <c r="V437" s="218">
        <f>Calculations!V303</f>
        <v>8743.8351370244782</v>
      </c>
      <c r="W437" s="218">
        <f>Calculations!W303</f>
        <v>8988.9308153677575</v>
      </c>
      <c r="X437" s="218">
        <f>Calculations!X303</f>
        <v>9241.1227370933757</v>
      </c>
      <c r="Y437" s="218">
        <f>Calculations!Y303</f>
        <v>9500.618998247628</v>
      </c>
      <c r="Z437" s="218">
        <f>Calculations!Z303</f>
        <v>9767.6338293619265</v>
      </c>
      <c r="AA437" s="218">
        <f>Calculations!AA303</f>
        <v>10042.387776736705</v>
      </c>
      <c r="AB437" s="218">
        <f>Calculations!AB303</f>
        <v>10325.107889090134</v>
      </c>
      <c r="AC437" s="218">
        <f>Calculations!AC303</f>
        <v>10616.027909730548</v>
      </c>
      <c r="AD437" s="218">
        <f>Calculations!AD303</f>
        <v>10915.388474416197</v>
      </c>
      <c r="AE437" s="218">
        <f>Calculations!AE303</f>
        <v>11223.437315070827</v>
      </c>
      <c r="AF437" s="218">
        <f>Calculations!AF303</f>
        <v>11540.429469528535</v>
      </c>
      <c r="AG437" s="218">
        <f>Calculations!AG303</f>
        <v>11866.627497486579</v>
      </c>
      <c r="AH437" s="218">
        <f>Calculations!AH303</f>
        <v>12202.301702849996</v>
      </c>
    </row>
    <row r="438" spans="1:34" outlineLevel="1" x14ac:dyDescent="0.2">
      <c r="B438" s="8" t="s">
        <v>388</v>
      </c>
      <c r="D438" s="10" t="str">
        <f>'Assumptions - General'!$E$27 &amp;" millions"</f>
        <v>R$ millions</v>
      </c>
      <c r="E438" s="218">
        <f>Calculations!E304</f>
        <v>100</v>
      </c>
      <c r="F438" s="218">
        <f>Calculations!F304</f>
        <v>99.482926829268308</v>
      </c>
      <c r="G438" s="218">
        <f>Calculations!G304</f>
        <v>101.43239024390245</v>
      </c>
      <c r="H438" s="218">
        <f>Calculations!H304</f>
        <v>103.4092868292683</v>
      </c>
      <c r="I438" s="218">
        <f>Calculations!I304</f>
        <v>105.41350805853659</v>
      </c>
      <c r="J438" s="218">
        <f>Calculations!J304</f>
        <v>107.44491420341465</v>
      </c>
      <c r="K438" s="218">
        <f>Calculations!K304</f>
        <v>123.19124912969929</v>
      </c>
      <c r="L438" s="218">
        <f>Calculations!L304</f>
        <v>125.5371250439776</v>
      </c>
      <c r="M438" s="218">
        <f>Calculations!M304</f>
        <v>127.91288138889587</v>
      </c>
      <c r="N438" s="218">
        <f>Calculations!N304</f>
        <v>130.31819970196966</v>
      </c>
      <c r="O438" s="218">
        <f>Calculations!O304</f>
        <v>132.75271552057788</v>
      </c>
      <c r="P438" s="218">
        <f>Calculations!P304</f>
        <v>135.21601590857082</v>
      </c>
      <c r="Q438" s="218">
        <f>Calculations!Q304</f>
        <v>137.70763687587484</v>
      </c>
      <c r="R438" s="218">
        <f>Calculations!R304</f>
        <v>140.22706068689936</v>
      </c>
      <c r="S438" s="218">
        <f>Calculations!S304</f>
        <v>142.77371305339713</v>
      </c>
      <c r="T438" s="218">
        <f>Calculations!T304</f>
        <v>145.34696020726645</v>
      </c>
      <c r="U438" s="218">
        <f>Calculations!U304</f>
        <v>147.94610584861991</v>
      </c>
      <c r="V438" s="218">
        <f>Calculations!V304</f>
        <v>150.57038796426809</v>
      </c>
      <c r="W438" s="218">
        <f>Calculations!W304</f>
        <v>153.21897551159137</v>
      </c>
      <c r="X438" s="218">
        <f>Calculations!X304</f>
        <v>155.89096496258617</v>
      </c>
      <c r="Y438" s="218">
        <f>Calculations!Y304</f>
        <v>158.58537670268026</v>
      </c>
      <c r="Z438" s="218">
        <f>Calculations!Z304</f>
        <v>161.30115127871363</v>
      </c>
      <c r="AA438" s="218">
        <f>Calculations!AA304</f>
        <v>164.03714549027666</v>
      </c>
      <c r="AB438" s="218">
        <f>Calculations!AB304</f>
        <v>166.79212831838254</v>
      </c>
      <c r="AC438" s="218">
        <f>Calculations!AC304</f>
        <v>169.5647766852336</v>
      </c>
      <c r="AD438" s="218">
        <f>Calculations!AD304</f>
        <v>172.35367103860915</v>
      </c>
      <c r="AE438" s="218">
        <f>Calculations!AE304</f>
        <v>175.15729075417053</v>
      </c>
      <c r="AF438" s="218">
        <f>Calculations!AF304</f>
        <v>177.97400934873082</v>
      </c>
      <c r="AG438" s="218">
        <f>Calculations!AG304</f>
        <v>180.802089497286</v>
      </c>
      <c r="AH438" s="218">
        <f>Calculations!AH304</f>
        <v>183.63967784634065</v>
      </c>
    </row>
    <row r="439" spans="1:34" outlineLevel="1" x14ac:dyDescent="0.2">
      <c r="B439" s="8" t="s">
        <v>407</v>
      </c>
      <c r="D439" s="10" t="str">
        <f>'Assumptions - General'!$E$27 &amp;" millions"</f>
        <v>R$ millions</v>
      </c>
      <c r="E439" s="218">
        <f>Calculations!E305</f>
        <v>100</v>
      </c>
      <c r="F439" s="218">
        <f>Calculations!F305</f>
        <v>100.91666666666667</v>
      </c>
      <c r="G439" s="218">
        <f>Calculations!G305</f>
        <v>101.86083333333335</v>
      </c>
      <c r="H439" s="218">
        <f>Calculations!H305</f>
        <v>102.833325</v>
      </c>
      <c r="I439" s="218">
        <f>Calculations!I305</f>
        <v>103.83499141666667</v>
      </c>
      <c r="J439" s="218">
        <f>Calculations!J305</f>
        <v>104.86670782583333</v>
      </c>
      <c r="K439" s="218">
        <f>Calculations!K305</f>
        <v>105.929375727275</v>
      </c>
      <c r="L439" s="218">
        <f>Calculations!L305</f>
        <v>107.02392366575992</v>
      </c>
      <c r="M439" s="218">
        <f>Calculations!M305</f>
        <v>108.15130804239939</v>
      </c>
      <c r="N439" s="218">
        <f>Calculations!N305</f>
        <v>109.31251395033804</v>
      </c>
      <c r="O439" s="218">
        <f>Calculations!O305</f>
        <v>110.50855603551484</v>
      </c>
      <c r="P439" s="218">
        <f>Calculations!P305</f>
        <v>111.74047938324696</v>
      </c>
      <c r="Q439" s="218">
        <f>Calculations!Q305</f>
        <v>113.00936043141103</v>
      </c>
      <c r="R439" s="218">
        <f>Calculations!R305</f>
        <v>114.31630791102003</v>
      </c>
      <c r="S439" s="218">
        <f>Calculations!S305</f>
        <v>115.66246381501732</v>
      </c>
      <c r="T439" s="218">
        <f>Calculations!T305</f>
        <v>117.04900439613448</v>
      </c>
      <c r="U439" s="218">
        <f>Calculations!U305</f>
        <v>118.47714119468517</v>
      </c>
      <c r="V439" s="218">
        <f>Calculations!V305</f>
        <v>119.94812209719241</v>
      </c>
      <c r="W439" s="218">
        <f>Calculations!W305</f>
        <v>121.46323242677487</v>
      </c>
      <c r="X439" s="218">
        <f>Calculations!X305</f>
        <v>123.02379606624477</v>
      </c>
      <c r="Y439" s="218">
        <f>Calculations!Y305</f>
        <v>124.63117661489878</v>
      </c>
      <c r="Z439" s="218">
        <f>Calculations!Z305</f>
        <v>126.28677858001242</v>
      </c>
      <c r="AA439" s="218">
        <f>Calculations!AA305</f>
        <v>127.99204860407946</v>
      </c>
      <c r="AB439" s="218">
        <f>Calculations!AB305</f>
        <v>129.7484767288685</v>
      </c>
      <c r="AC439" s="218">
        <f>Calculations!AC305</f>
        <v>131.55759769740121</v>
      </c>
      <c r="AD439" s="218">
        <f>Calculations!AD305</f>
        <v>133.4209922949899</v>
      </c>
      <c r="AE439" s="218">
        <f>Calculations!AE305</f>
        <v>135.3402887305063</v>
      </c>
      <c r="AF439" s="218">
        <f>Calculations!AF305</f>
        <v>137.31716405908816</v>
      </c>
      <c r="AG439" s="218">
        <f>Calculations!AG305</f>
        <v>139.35334564752748</v>
      </c>
      <c r="AH439" s="218">
        <f>Calculations!AH305</f>
        <v>141.45061268361997</v>
      </c>
    </row>
    <row r="440" spans="1:34" outlineLevel="1" x14ac:dyDescent="0.2">
      <c r="B440" s="8" t="s">
        <v>389</v>
      </c>
      <c r="D440" s="10" t="str">
        <f>'Assumptions - General'!$E$27 &amp;" millions"</f>
        <v>R$ millions</v>
      </c>
      <c r="E440" s="218">
        <f>Calculations!E306</f>
        <v>2000</v>
      </c>
      <c r="F440" s="218">
        <f>Calculations!F306</f>
        <v>2015.9966071016092</v>
      </c>
      <c r="G440" s="218">
        <f>Calculations!G306</f>
        <v>2076.4765053146571</v>
      </c>
      <c r="H440" s="218">
        <f>Calculations!H306</f>
        <v>2165.9150824178951</v>
      </c>
      <c r="I440" s="218">
        <f>Calculations!I306</f>
        <v>2249.5316084918391</v>
      </c>
      <c r="J440" s="218">
        <f>Calculations!J306</f>
        <v>2317.0175567465944</v>
      </c>
      <c r="K440" s="218">
        <f>Calculations!K306</f>
        <v>2641.5880462906994</v>
      </c>
      <c r="L440" s="218">
        <f>Calculations!L306</f>
        <v>2720.8356876794205</v>
      </c>
      <c r="M440" s="218">
        <f>Calculations!M306</f>
        <v>2802.4607583098032</v>
      </c>
      <c r="N440" s="218">
        <f>Calculations!N306</f>
        <v>2886.534581059097</v>
      </c>
      <c r="O440" s="218">
        <f>Calculations!O306</f>
        <v>2973.1306184908699</v>
      </c>
      <c r="P440" s="218">
        <f>Calculations!P306</f>
        <v>3062.3245370455961</v>
      </c>
      <c r="Q440" s="218">
        <f>Calculations!Q306</f>
        <v>3154.1942731569638</v>
      </c>
      <c r="R440" s="218">
        <f>Calculations!R306</f>
        <v>3248.8201013516737</v>
      </c>
      <c r="S440" s="218">
        <f>Calculations!S306</f>
        <v>3346.2847043922238</v>
      </c>
      <c r="T440" s="218">
        <f>Calculations!T306</f>
        <v>3446.6732455239903</v>
      </c>
      <c r="U440" s="218">
        <f>Calculations!U306</f>
        <v>3550.0734428897103</v>
      </c>
      <c r="V440" s="218">
        <f>Calculations!V306</f>
        <v>3656.5756461764017</v>
      </c>
      <c r="W440" s="218">
        <f>Calculations!W306</f>
        <v>3766.2729155616939</v>
      </c>
      <c r="X440" s="218">
        <f>Calculations!X306</f>
        <v>3879.2611030285448</v>
      </c>
      <c r="Y440" s="218">
        <f>Calculations!Y306</f>
        <v>3995.6389361194015</v>
      </c>
      <c r="Z440" s="218">
        <f>Calculations!Z306</f>
        <v>4115.5081042029842</v>
      </c>
      <c r="AA440" s="218">
        <f>Calculations!AA306</f>
        <v>4238.9733473290735</v>
      </c>
      <c r="AB440" s="218">
        <f>Calculations!AB306</f>
        <v>4366.1425477489465</v>
      </c>
      <c r="AC440" s="218">
        <f>Calculations!AC306</f>
        <v>4497.126824181415</v>
      </c>
      <c r="AD440" s="218">
        <f>Calculations!AD306</f>
        <v>4632.0406289068569</v>
      </c>
      <c r="AE440" s="218">
        <f>Calculations!AE306</f>
        <v>4771.0018477740623</v>
      </c>
      <c r="AF440" s="218">
        <f>Calculations!AF306</f>
        <v>4914.1319032072843</v>
      </c>
      <c r="AG440" s="218">
        <f>Calculations!AG306</f>
        <v>5061.5558603035024</v>
      </c>
      <c r="AH440" s="218">
        <f>Calculations!AH306</f>
        <v>5213.4025361126087</v>
      </c>
    </row>
    <row r="441" spans="1:34" outlineLevel="1" x14ac:dyDescent="0.2">
      <c r="B441" s="8" t="s">
        <v>390</v>
      </c>
      <c r="D441" s="10" t="str">
        <f>'Assumptions - General'!$E$27 &amp;" millions"</f>
        <v>R$ millions</v>
      </c>
      <c r="E441" s="218">
        <f>Calculations!E307</f>
        <v>100</v>
      </c>
      <c r="F441" s="218">
        <f>Calculations!F307</f>
        <v>103.00000000000001</v>
      </c>
      <c r="G441" s="218">
        <f>Calculations!G307</f>
        <v>106.09000000000002</v>
      </c>
      <c r="H441" s="218">
        <f>Calculations!H307</f>
        <v>109.27270000000001</v>
      </c>
      <c r="I441" s="218">
        <f>Calculations!I307</f>
        <v>112.55088100000002</v>
      </c>
      <c r="J441" s="218">
        <f>Calculations!J307</f>
        <v>115.92740743000002</v>
      </c>
      <c r="K441" s="218">
        <f>Calculations!K307</f>
        <v>119.4052296529</v>
      </c>
      <c r="L441" s="218">
        <f>Calculations!L307</f>
        <v>122.98738654248703</v>
      </c>
      <c r="M441" s="218">
        <f>Calculations!M307</f>
        <v>126.67700813876164</v>
      </c>
      <c r="N441" s="218">
        <f>Calculations!N307</f>
        <v>130.47731838292449</v>
      </c>
      <c r="O441" s="218">
        <f>Calculations!O307</f>
        <v>134.39163793441222</v>
      </c>
      <c r="P441" s="218">
        <f>Calculations!P307</f>
        <v>138.4233870724446</v>
      </c>
      <c r="Q441" s="218">
        <f>Calculations!Q307</f>
        <v>142.5760886846179</v>
      </c>
      <c r="R441" s="218">
        <f>Calculations!R307</f>
        <v>146.85337134515649</v>
      </c>
      <c r="S441" s="218">
        <f>Calculations!S307</f>
        <v>151.25897248551115</v>
      </c>
      <c r="T441" s="218">
        <f>Calculations!T307</f>
        <v>155.79674166007649</v>
      </c>
      <c r="U441" s="218">
        <f>Calculations!U307</f>
        <v>160.47064390987876</v>
      </c>
      <c r="V441" s="218">
        <f>Calculations!V307</f>
        <v>165.28476322717512</v>
      </c>
      <c r="W441" s="218">
        <f>Calculations!W307</f>
        <v>170.24330612399038</v>
      </c>
      <c r="X441" s="218">
        <f>Calculations!X307</f>
        <v>175.35060530771014</v>
      </c>
      <c r="Y441" s="218">
        <f>Calculations!Y307</f>
        <v>180.61112346694145</v>
      </c>
      <c r="Z441" s="218">
        <f>Calculations!Z307</f>
        <v>186.02945717094968</v>
      </c>
      <c r="AA441" s="218">
        <f>Calculations!AA307</f>
        <v>191.61034088607818</v>
      </c>
      <c r="AB441" s="218">
        <f>Calculations!AB307</f>
        <v>197.35865111266054</v>
      </c>
      <c r="AC441" s="218">
        <f>Calculations!AC307</f>
        <v>203.27941064604036</v>
      </c>
      <c r="AD441" s="218">
        <f>Calculations!AD307</f>
        <v>209.37779296542155</v>
      </c>
      <c r="AE441" s="218">
        <f>Calculations!AE307</f>
        <v>215.65912675438415</v>
      </c>
      <c r="AF441" s="218">
        <f>Calculations!AF307</f>
        <v>222.1289005570157</v>
      </c>
      <c r="AG441" s="218">
        <f>Calculations!AG307</f>
        <v>228.79276757372622</v>
      </c>
      <c r="AH441" s="218">
        <f>Calculations!AH307</f>
        <v>235.65655060093803</v>
      </c>
    </row>
    <row r="442" spans="1:34" outlineLevel="1" x14ac:dyDescent="0.2">
      <c r="B442" s="8" t="s">
        <v>406</v>
      </c>
      <c r="D442" s="10" t="str">
        <f>'Assumptions - General'!$E$27 &amp;" millions"</f>
        <v>R$ millions</v>
      </c>
      <c r="E442" s="218">
        <f>Calculations!E309</f>
        <v>100</v>
      </c>
      <c r="F442" s="218">
        <f>Calculations!F309</f>
        <v>5005.599091188953</v>
      </c>
      <c r="G442" s="218">
        <f>Calculations!G309</f>
        <v>10025.072598088243</v>
      </c>
      <c r="H442" s="218">
        <f>Calculations!H309</f>
        <v>15200.496896913775</v>
      </c>
      <c r="I442" s="218">
        <f>Calculations!I309</f>
        <v>20545.537369598438</v>
      </c>
      <c r="J442" s="218">
        <f>Calculations!J309</f>
        <v>26095.548466989076</v>
      </c>
      <c r="K442" s="218">
        <f>Calculations!K309</f>
        <v>32468.820195622291</v>
      </c>
      <c r="L442" s="218">
        <f>Calculations!L309</f>
        <v>39204.2119710673</v>
      </c>
      <c r="M442" s="218">
        <f>Calculations!M309</f>
        <v>46207.603890697501</v>
      </c>
      <c r="N442" s="218">
        <f>Calculations!N309</f>
        <v>53487.279113867466</v>
      </c>
      <c r="O442" s="218">
        <f>Calculations!O309</f>
        <v>60952.663298322004</v>
      </c>
      <c r="P442" s="218">
        <f>Calculations!P309</f>
        <v>68688.863762680325</v>
      </c>
      <c r="Q442" s="218">
        <f>Calculations!Q309</f>
        <v>76701.147110148202</v>
      </c>
      <c r="R442" s="218">
        <f>Calculations!R309</f>
        <v>84997.916806745547</v>
      </c>
      <c r="S442" s="218">
        <f>Calculations!S309</f>
        <v>93587.823172323377</v>
      </c>
      <c r="T442" s="218">
        <f>Calculations!T309</f>
        <v>102479.7705755028</v>
      </c>
      <c r="U442" s="218">
        <f>Calculations!U309</f>
        <v>111557.78921359946</v>
      </c>
      <c r="V442" s="218">
        <f>Calculations!V309</f>
        <v>121083.92902234613</v>
      </c>
      <c r="W442" s="218">
        <f>Calculations!W309</f>
        <v>130938.66056948928</v>
      </c>
      <c r="X442" s="218">
        <f>Calculations!X309</f>
        <v>141133.7745096359</v>
      </c>
      <c r="Y442" s="218">
        <f>Calculations!Y309</f>
        <v>151679.56138746743</v>
      </c>
      <c r="Z442" s="218">
        <f>Calculations!Z309</f>
        <v>162586.36160375198</v>
      </c>
      <c r="AA442" s="218">
        <f>Calculations!AA309</f>
        <v>173865.32726528731</v>
      </c>
      <c r="AB442" s="218">
        <f>Calculations!AB309</f>
        <v>185527.68110213368</v>
      </c>
      <c r="AC442" s="218">
        <f>Calculations!AC309</f>
        <v>197584.97487228073</v>
      </c>
      <c r="AD442" s="218">
        <f>Calculations!AD309</f>
        <v>210049.09895234814</v>
      </c>
      <c r="AE442" s="218">
        <f>Calculations!AE309</f>
        <v>222932.29220793332</v>
      </c>
      <c r="AF442" s="218">
        <f>Calculations!AF309</f>
        <v>236247.15215175902</v>
      </c>
      <c r="AG442" s="218">
        <f>Calculations!AG309</f>
        <v>250006.64539801379</v>
      </c>
      <c r="AH442" s="218">
        <f>Calculations!AH309</f>
        <v>264224.11842152697</v>
      </c>
    </row>
    <row r="443" spans="1:34" x14ac:dyDescent="0.2">
      <c r="A443" s="7" t="s">
        <v>405</v>
      </c>
    </row>
    <row r="444" spans="1:34" x14ac:dyDescent="0.2">
      <c r="A444" s="7"/>
    </row>
    <row r="445" spans="1:34" s="320" customFormat="1" x14ac:dyDescent="0.2">
      <c r="B445" s="319" t="str">
        <f>"Debt financing assumptions for " &amp;'Assumptions - General'!$E$24</f>
        <v>Debt financing assumptions for Ruritania Freight Rail Company</v>
      </c>
    </row>
    <row r="446" spans="1:34" s="18" customFormat="1" x14ac:dyDescent="0.2">
      <c r="B446" s="17"/>
    </row>
    <row r="447" spans="1:34" s="20" customFormat="1" ht="14" x14ac:dyDescent="0.2">
      <c r="B447" s="19" t="s">
        <v>394</v>
      </c>
      <c r="E447" s="199" t="str">
        <f>IF(E451&lt;&gt;SUM(E453:AH453),"WARNING: PRINCIPAL REPAYMENTS NOT EQUAL TO OUTSTANDING PRINCIPAL", " ")</f>
        <v xml:space="preserve"> </v>
      </c>
      <c r="F447" s="310" t="s">
        <v>277</v>
      </c>
      <c r="G447" s="173"/>
      <c r="J447" s="173"/>
      <c r="M447" s="173"/>
      <c r="P447" s="173"/>
      <c r="S447" s="173"/>
      <c r="V447" s="173"/>
      <c r="Y447" s="173"/>
      <c r="AB447" s="173"/>
      <c r="AE447" s="173"/>
      <c r="AH447" s="173"/>
    </row>
    <row r="448" spans="1:34" s="8" customFormat="1" ht="14" x14ac:dyDescent="0.2">
      <c r="B448" s="169" t="s">
        <v>62</v>
      </c>
      <c r="D448" s="169" t="s">
        <v>2</v>
      </c>
      <c r="E448" s="177" t="s">
        <v>395</v>
      </c>
      <c r="F448" s="226" t="str">
        <f>'Assumptions - General'!$E$27</f>
        <v>R$</v>
      </c>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row>
    <row r="449" spans="2:34" s="8" customFormat="1" ht="14" x14ac:dyDescent="0.2">
      <c r="B449" s="169" t="s">
        <v>52</v>
      </c>
      <c r="D449" s="169" t="s">
        <v>209</v>
      </c>
      <c r="E449" s="177">
        <f>IF(F447=F448,1,IF(F447=F449,2,3))</f>
        <v>2</v>
      </c>
      <c r="F449" s="226" t="str">
        <f>'Assumptions - General'!$E$39</f>
        <v>USD</v>
      </c>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row>
    <row r="450" spans="2:34" s="8" customFormat="1" ht="14" x14ac:dyDescent="0.2">
      <c r="B450" s="169"/>
      <c r="D450" s="169"/>
      <c r="E450" s="177"/>
      <c r="F450" s="226" t="str">
        <f>'Assumptions - General'!$E$40</f>
        <v>EUR</v>
      </c>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row>
    <row r="451" spans="2:34" s="20" customFormat="1" ht="14" x14ac:dyDescent="0.2">
      <c r="B451" s="228" t="s">
        <v>582</v>
      </c>
      <c r="D451" s="20" t="str">
        <f>IF(E449=1,F448&amp;" millions",IF(E449=2,F449&amp;" millions",IF(E449=3,F450&amp;" millions"," ")))</f>
        <v>USD millions</v>
      </c>
      <c r="E451" s="217">
        <v>50</v>
      </c>
      <c r="F451" s="407"/>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row>
    <row r="452" spans="2:34" s="20" customFormat="1" ht="14" x14ac:dyDescent="0.2">
      <c r="B452" s="119" t="s">
        <v>583</v>
      </c>
      <c r="D452" s="20" t="str">
        <f>D451</f>
        <v>USD millions</v>
      </c>
      <c r="E452" s="207">
        <v>2.5</v>
      </c>
      <c r="F452" s="495"/>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row>
    <row r="453" spans="2:34" s="20" customFormat="1" ht="14" x14ac:dyDescent="0.2">
      <c r="B453" s="228" t="s">
        <v>119</v>
      </c>
      <c r="D453" s="228" t="str">
        <f>D451</f>
        <v>USD millions</v>
      </c>
      <c r="E453" s="193"/>
      <c r="F453" s="496"/>
      <c r="G453" s="200">
        <v>10</v>
      </c>
      <c r="H453" s="200">
        <v>5</v>
      </c>
      <c r="I453" s="200">
        <v>5</v>
      </c>
      <c r="J453" s="200">
        <v>5</v>
      </c>
      <c r="K453" s="200">
        <v>5</v>
      </c>
      <c r="L453" s="200">
        <v>5</v>
      </c>
      <c r="M453" s="200">
        <v>5</v>
      </c>
      <c r="N453" s="200">
        <v>5</v>
      </c>
      <c r="O453" s="200">
        <v>5</v>
      </c>
      <c r="P453" s="177"/>
      <c r="Q453" s="177"/>
      <c r="R453" s="177"/>
      <c r="S453" s="177"/>
      <c r="T453" s="177"/>
      <c r="U453" s="177"/>
      <c r="V453" s="177"/>
      <c r="W453" s="177"/>
      <c r="X453" s="177"/>
      <c r="Y453" s="177"/>
      <c r="Z453" s="177"/>
      <c r="AA453" s="177"/>
      <c r="AB453" s="177"/>
      <c r="AC453" s="177"/>
      <c r="AD453" s="177"/>
      <c r="AE453" s="177"/>
      <c r="AF453" s="177"/>
      <c r="AG453" s="177"/>
      <c r="AH453" s="177"/>
    </row>
    <row r="454" spans="2:34" s="8" customFormat="1" ht="14" x14ac:dyDescent="0.2">
      <c r="B454" s="169" t="s">
        <v>415</v>
      </c>
      <c r="D454" s="169" t="s">
        <v>209</v>
      </c>
      <c r="E454" s="177">
        <f>IF(F456="Fixed",1,2)</f>
        <v>2</v>
      </c>
      <c r="F454" s="310" t="s">
        <v>280</v>
      </c>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row>
    <row r="455" spans="2:34" s="8" customFormat="1" ht="14" x14ac:dyDescent="0.2">
      <c r="B455" s="169"/>
      <c r="D455" s="169"/>
      <c r="E455" s="177"/>
      <c r="F455" s="226" t="s">
        <v>281</v>
      </c>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row>
    <row r="456" spans="2:34" s="8" customFormat="1" ht="14" x14ac:dyDescent="0.2">
      <c r="B456" s="89" t="str">
        <f>IF(E454=1,"If fixed, enter interest rate"," ")</f>
        <v xml:space="preserve"> </v>
      </c>
      <c r="D456" s="169" t="str">
        <f>IF(E454=1,"%"," ")</f>
        <v xml:space="preserve"> </v>
      </c>
      <c r="E456" s="188">
        <v>0.05</v>
      </c>
      <c r="F456" s="226" t="s">
        <v>281</v>
      </c>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row>
    <row r="457" spans="2:34" s="8" customFormat="1" ht="14" x14ac:dyDescent="0.2">
      <c r="B457" s="89" t="str">
        <f>IF(E454=2,"if variable, enter margin on LIBOR"," ")</f>
        <v>if variable, enter margin on LIBOR</v>
      </c>
      <c r="D457" s="169" t="str">
        <f>IF(E454=2,"%"," ")</f>
        <v>%</v>
      </c>
      <c r="E457" s="188">
        <v>0.02</v>
      </c>
      <c r="F457" s="226"/>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row>
    <row r="458" spans="2:34" s="20" customFormat="1" ht="14" x14ac:dyDescent="0.2">
      <c r="B458" s="16"/>
      <c r="E458" s="182"/>
      <c r="F458" s="310"/>
      <c r="G458" s="182"/>
      <c r="H458" s="182"/>
      <c r="I458" s="182"/>
      <c r="J458" s="182"/>
      <c r="K458" s="182"/>
      <c r="L458" s="182"/>
      <c r="M458" s="182"/>
      <c r="N458" s="182"/>
      <c r="O458" s="182"/>
      <c r="P458" s="182"/>
      <c r="Q458" s="182"/>
      <c r="R458" s="182"/>
      <c r="S458" s="182"/>
      <c r="T458" s="182"/>
      <c r="U458" s="182"/>
      <c r="V458" s="182"/>
      <c r="W458" s="182"/>
      <c r="X458" s="182"/>
      <c r="Y458" s="182"/>
      <c r="Z458" s="182"/>
      <c r="AA458" s="182"/>
      <c r="AB458" s="182"/>
      <c r="AC458" s="182"/>
      <c r="AD458" s="182"/>
      <c r="AE458" s="182"/>
      <c r="AF458" s="182"/>
      <c r="AG458" s="182"/>
      <c r="AH458" s="182"/>
    </row>
    <row r="459" spans="2:34" s="20" customFormat="1" ht="14" x14ac:dyDescent="0.2">
      <c r="B459" s="19" t="s">
        <v>398</v>
      </c>
      <c r="E459" s="199" t="str">
        <f>IF(E463&lt;&gt;SUM(F465:AH465),"WARNING: PRINCIPAL REPAYMENTS NOT EQUAL TO OUTSTANDING PRINCIPAL", " ")</f>
        <v xml:space="preserve"> </v>
      </c>
      <c r="F459" s="226" t="s">
        <v>277</v>
      </c>
      <c r="G459" s="173"/>
      <c r="J459" s="173"/>
      <c r="M459" s="173"/>
      <c r="P459" s="173"/>
      <c r="S459" s="173"/>
      <c r="V459" s="173"/>
      <c r="Y459" s="173"/>
      <c r="AB459" s="173"/>
      <c r="AE459" s="173"/>
      <c r="AH459" s="173"/>
    </row>
    <row r="460" spans="2:34" s="8" customFormat="1" ht="14" x14ac:dyDescent="0.2">
      <c r="B460" s="169" t="s">
        <v>62</v>
      </c>
      <c r="D460" s="8" t="s">
        <v>2</v>
      </c>
      <c r="E460" s="177" t="s">
        <v>396</v>
      </c>
      <c r="F460" s="226" t="str">
        <f>'Assumptions - General'!$E$27</f>
        <v>R$</v>
      </c>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row>
    <row r="461" spans="2:34" s="8" customFormat="1" ht="14" x14ac:dyDescent="0.2">
      <c r="B461" s="169" t="s">
        <v>52</v>
      </c>
      <c r="D461" s="8" t="s">
        <v>209</v>
      </c>
      <c r="E461" s="177">
        <f>IF(F459=F460,1,IF(F459=F461,2,3))</f>
        <v>2</v>
      </c>
      <c r="F461" s="226" t="str">
        <f>'Assumptions - General'!$E$39</f>
        <v>USD</v>
      </c>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row>
    <row r="462" spans="2:34" s="8" customFormat="1" ht="14" x14ac:dyDescent="0.2">
      <c r="B462" s="169"/>
      <c r="E462" s="177"/>
      <c r="F462" s="310" t="str">
        <f>'Assumptions - General'!$E$40</f>
        <v>EUR</v>
      </c>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row>
    <row r="463" spans="2:34" s="20" customFormat="1" ht="14" x14ac:dyDescent="0.2">
      <c r="B463" s="228" t="s">
        <v>582</v>
      </c>
      <c r="D463" s="20" t="str">
        <f>IF(E461=1,F460&amp;" millions",IF(E461=2,F461&amp;" millions",IF(E461=3,F462&amp;" millions"," ")))</f>
        <v>USD millions</v>
      </c>
      <c r="E463" s="217">
        <v>50</v>
      </c>
      <c r="F463" s="407"/>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row>
    <row r="464" spans="2:34" s="20" customFormat="1" ht="14" x14ac:dyDescent="0.2">
      <c r="B464" s="119" t="s">
        <v>583</v>
      </c>
      <c r="D464" s="20" t="str">
        <f>D463</f>
        <v>USD millions</v>
      </c>
      <c r="E464" s="207">
        <v>2.5</v>
      </c>
      <c r="F464" s="495"/>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row>
    <row r="465" spans="2:34" s="20" customFormat="1" ht="14" x14ac:dyDescent="0.2">
      <c r="B465" s="119" t="s">
        <v>119</v>
      </c>
      <c r="D465" s="10" t="str">
        <f>D463</f>
        <v>USD millions</v>
      </c>
      <c r="E465" s="182"/>
      <c r="F465" s="496">
        <v>5</v>
      </c>
      <c r="G465" s="200">
        <v>5</v>
      </c>
      <c r="H465" s="200">
        <v>5</v>
      </c>
      <c r="I465" s="200">
        <v>5</v>
      </c>
      <c r="J465" s="200">
        <v>5</v>
      </c>
      <c r="K465" s="200">
        <v>5</v>
      </c>
      <c r="L465" s="200">
        <v>5</v>
      </c>
      <c r="M465" s="200">
        <v>5</v>
      </c>
      <c r="N465" s="200">
        <v>5</v>
      </c>
      <c r="O465" s="200">
        <v>5</v>
      </c>
      <c r="P465" s="177"/>
      <c r="Q465" s="177"/>
      <c r="R465" s="177"/>
      <c r="S465" s="177"/>
      <c r="T465" s="177"/>
      <c r="U465" s="177"/>
      <c r="V465" s="177"/>
      <c r="W465" s="177"/>
      <c r="X465" s="177"/>
      <c r="Y465" s="177"/>
      <c r="Z465" s="177"/>
      <c r="AA465" s="177"/>
      <c r="AB465" s="177"/>
      <c r="AC465" s="177"/>
      <c r="AD465" s="177"/>
      <c r="AE465" s="177"/>
      <c r="AF465" s="177"/>
      <c r="AG465" s="177"/>
      <c r="AH465" s="177"/>
    </row>
    <row r="466" spans="2:34" s="8" customFormat="1" ht="14" x14ac:dyDescent="0.2">
      <c r="B466" s="169" t="s">
        <v>279</v>
      </c>
      <c r="D466" s="8" t="s">
        <v>209</v>
      </c>
      <c r="E466" s="177">
        <f>IF(F468="Fixed",1,2)</f>
        <v>1</v>
      </c>
      <c r="F466" s="310" t="s">
        <v>280</v>
      </c>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row>
    <row r="467" spans="2:34" s="8" customFormat="1" ht="14" x14ac:dyDescent="0.2">
      <c r="B467" s="169"/>
      <c r="E467" s="177"/>
      <c r="F467" s="226" t="s">
        <v>281</v>
      </c>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row>
    <row r="468" spans="2:34" s="8" customFormat="1" ht="14" x14ac:dyDescent="0.2">
      <c r="B468" s="89" t="str">
        <f>IF(E466=1,"If fixed, enter interest rate"," ")</f>
        <v>If fixed, enter interest rate</v>
      </c>
      <c r="D468" s="169" t="str">
        <f>IF(E466=1,"%"," ")</f>
        <v>%</v>
      </c>
      <c r="E468" s="188">
        <v>0.05</v>
      </c>
      <c r="F468" s="226" t="s">
        <v>280</v>
      </c>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row>
    <row r="469" spans="2:34" s="8" customFormat="1" ht="14" x14ac:dyDescent="0.2">
      <c r="B469" s="89" t="str">
        <f>IF(E466=2,"if variable, enter margin on LIBOR"," ")</f>
        <v xml:space="preserve"> </v>
      </c>
      <c r="D469" s="169" t="str">
        <f>IF(E466=2,"%"," ")</f>
        <v xml:space="preserve"> </v>
      </c>
      <c r="E469" s="188">
        <v>0.02</v>
      </c>
      <c r="F469" s="226"/>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row>
    <row r="470" spans="2:34" s="20" customFormat="1" ht="14" x14ac:dyDescent="0.2">
      <c r="B470" s="16"/>
      <c r="E470" s="182"/>
      <c r="F470" s="310"/>
      <c r="G470" s="182"/>
      <c r="H470" s="182"/>
      <c r="I470" s="182"/>
      <c r="J470" s="182"/>
      <c r="K470" s="182"/>
      <c r="L470" s="182"/>
      <c r="M470" s="182"/>
      <c r="N470" s="182"/>
      <c r="O470" s="182"/>
      <c r="P470" s="182"/>
      <c r="Q470" s="182"/>
      <c r="R470" s="182"/>
      <c r="S470" s="182"/>
      <c r="T470" s="182"/>
      <c r="U470" s="182"/>
      <c r="V470" s="182"/>
      <c r="W470" s="182"/>
      <c r="X470" s="182"/>
      <c r="Y470" s="182"/>
      <c r="Z470" s="182"/>
      <c r="AA470" s="182"/>
      <c r="AB470" s="182"/>
      <c r="AC470" s="182"/>
      <c r="AD470" s="182"/>
      <c r="AE470" s="182"/>
      <c r="AF470" s="182"/>
      <c r="AG470" s="182"/>
      <c r="AH470" s="182"/>
    </row>
    <row r="471" spans="2:34" s="20" customFormat="1" ht="14" x14ac:dyDescent="0.2">
      <c r="B471" s="19" t="s">
        <v>399</v>
      </c>
      <c r="E471" s="199" t="str">
        <f>IF(E475&lt;&gt;SUM(F477:AH477),"WARNING: PRINCIPAL REPAYMENTS NOT EQUAL TO OUTSTANDING PRINCIPAL", " ")</f>
        <v xml:space="preserve"> </v>
      </c>
      <c r="F471" s="226"/>
      <c r="G471" s="173"/>
      <c r="J471" s="173"/>
      <c r="M471" s="173"/>
      <c r="P471" s="173"/>
      <c r="S471" s="173"/>
      <c r="V471" s="173"/>
      <c r="Y471" s="173"/>
      <c r="AB471" s="173"/>
      <c r="AE471" s="173"/>
      <c r="AH471" s="173"/>
    </row>
    <row r="472" spans="2:34" s="8" customFormat="1" ht="14" x14ac:dyDescent="0.2">
      <c r="B472" s="169" t="s">
        <v>62</v>
      </c>
      <c r="D472" s="169" t="s">
        <v>2</v>
      </c>
      <c r="E472" s="177" t="s">
        <v>397</v>
      </c>
      <c r="F472" s="226" t="str">
        <f>'Assumptions - General'!$E$27</f>
        <v>R$</v>
      </c>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row>
    <row r="473" spans="2:34" s="8" customFormat="1" ht="14" x14ac:dyDescent="0.2">
      <c r="B473" s="169" t="s">
        <v>52</v>
      </c>
      <c r="D473" s="169" t="s">
        <v>209</v>
      </c>
      <c r="E473" s="177">
        <f>IF(F475=F472,1,IF(F475=F473,2,3))</f>
        <v>1</v>
      </c>
      <c r="F473" s="226" t="str">
        <f>'Assumptions - General'!$E$39</f>
        <v>USD</v>
      </c>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row>
    <row r="474" spans="2:34" s="8" customFormat="1" ht="14" x14ac:dyDescent="0.2">
      <c r="B474" s="169"/>
      <c r="D474" s="169"/>
      <c r="E474" s="177"/>
      <c r="F474" s="310" t="str">
        <f>'Assumptions - General'!$E$40</f>
        <v>EUR</v>
      </c>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row>
    <row r="475" spans="2:34" s="20" customFormat="1" ht="14" x14ac:dyDescent="0.2">
      <c r="B475" s="228" t="s">
        <v>582</v>
      </c>
      <c r="D475" s="20" t="str">
        <f>IF(E473=1,F472&amp;" millions",IF(E473=2,F473&amp;" millions",IF(E473=3,F474&amp;" millions"," ")))</f>
        <v>R$ millions</v>
      </c>
      <c r="E475" s="217">
        <v>50</v>
      </c>
      <c r="F475" s="310" t="s">
        <v>653</v>
      </c>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row>
    <row r="476" spans="2:34" s="20" customFormat="1" ht="14" x14ac:dyDescent="0.2">
      <c r="B476" s="119" t="s">
        <v>583</v>
      </c>
      <c r="D476" s="20" t="str">
        <f>D475</f>
        <v>R$ millions</v>
      </c>
      <c r="E476" s="207">
        <v>2.5</v>
      </c>
      <c r="F476" s="495"/>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row>
    <row r="477" spans="2:34" s="20" customFormat="1" ht="14" x14ac:dyDescent="0.2">
      <c r="B477" s="119" t="s">
        <v>119</v>
      </c>
      <c r="D477" s="228" t="str">
        <f>D475</f>
        <v>R$ millions</v>
      </c>
      <c r="E477" s="182"/>
      <c r="F477" s="496">
        <v>5</v>
      </c>
      <c r="G477" s="200">
        <v>5</v>
      </c>
      <c r="H477" s="200">
        <v>5</v>
      </c>
      <c r="I477" s="200">
        <v>5</v>
      </c>
      <c r="J477" s="200">
        <v>5</v>
      </c>
      <c r="K477" s="200">
        <v>5</v>
      </c>
      <c r="L477" s="200">
        <v>5</v>
      </c>
      <c r="M477" s="200">
        <v>5</v>
      </c>
      <c r="N477" s="200">
        <v>5</v>
      </c>
      <c r="O477" s="200">
        <v>5</v>
      </c>
      <c r="P477" s="177"/>
      <c r="Q477" s="177"/>
      <c r="R477" s="177"/>
      <c r="S477" s="177"/>
      <c r="T477" s="177"/>
      <c r="U477" s="177"/>
      <c r="V477" s="177"/>
      <c r="W477" s="177"/>
      <c r="X477" s="177"/>
      <c r="Y477" s="177"/>
      <c r="Z477" s="177"/>
      <c r="AA477" s="177"/>
      <c r="AB477" s="177"/>
      <c r="AC477" s="177"/>
      <c r="AD477" s="177"/>
      <c r="AE477" s="177"/>
      <c r="AF477" s="177"/>
      <c r="AG477" s="177"/>
      <c r="AH477" s="177"/>
    </row>
    <row r="478" spans="2:34" s="8" customFormat="1" ht="14" x14ac:dyDescent="0.2">
      <c r="B478" s="169" t="s">
        <v>279</v>
      </c>
      <c r="D478" s="169" t="s">
        <v>209</v>
      </c>
      <c r="E478" s="177">
        <f>IF(F480=F478,1,2)</f>
        <v>1</v>
      </c>
      <c r="F478" s="310" t="s">
        <v>280</v>
      </c>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row>
    <row r="479" spans="2:34" s="8" customFormat="1" ht="14" x14ac:dyDescent="0.2">
      <c r="B479" s="169"/>
      <c r="D479" s="169"/>
      <c r="E479" s="177"/>
      <c r="F479" s="226" t="s">
        <v>281</v>
      </c>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row>
    <row r="480" spans="2:34" s="8" customFormat="1" ht="14" x14ac:dyDescent="0.2">
      <c r="B480" s="89" t="str">
        <f>IF(E478=1,"If fixed, enter interest rate"," ")</f>
        <v>If fixed, enter interest rate</v>
      </c>
      <c r="D480" s="169" t="str">
        <f>IF(E478=1,"%"," ")</f>
        <v>%</v>
      </c>
      <c r="E480" s="188">
        <v>0.05</v>
      </c>
      <c r="F480" s="226" t="s">
        <v>280</v>
      </c>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row>
    <row r="481" spans="2:34" s="8" customFormat="1" ht="14" x14ac:dyDescent="0.2">
      <c r="B481" s="89" t="str">
        <f>IF(E478=2,"if variable, enter margin on LIBOR"," ")</f>
        <v xml:space="preserve"> </v>
      </c>
      <c r="D481" s="169" t="str">
        <f>IF(E478=2,"%"," ")</f>
        <v xml:space="preserve"> </v>
      </c>
      <c r="E481" s="188">
        <v>0</v>
      </c>
      <c r="F481" s="226"/>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row>
    <row r="482" spans="2:34" s="20" customFormat="1" ht="14" x14ac:dyDescent="0.2">
      <c r="B482" s="16"/>
      <c r="E482" s="182"/>
      <c r="F482" s="310"/>
      <c r="G482" s="182"/>
      <c r="H482" s="182"/>
      <c r="I482" s="182"/>
      <c r="J482" s="182"/>
      <c r="K482" s="182"/>
      <c r="L482" s="182"/>
      <c r="M482" s="182"/>
      <c r="N482" s="182"/>
      <c r="O482" s="182"/>
      <c r="P482" s="182"/>
      <c r="Q482" s="182"/>
      <c r="R482" s="182"/>
      <c r="S482" s="182"/>
      <c r="T482" s="182"/>
      <c r="U482" s="182"/>
      <c r="V482" s="182"/>
      <c r="W482" s="182"/>
      <c r="X482" s="182"/>
      <c r="Y482" s="182"/>
      <c r="Z482" s="182"/>
      <c r="AA482" s="182"/>
      <c r="AB482" s="182"/>
      <c r="AC482" s="182"/>
      <c r="AD482" s="182"/>
      <c r="AE482" s="182"/>
      <c r="AF482" s="182"/>
      <c r="AG482" s="182"/>
      <c r="AH482" s="182"/>
    </row>
    <row r="483" spans="2:34" s="8" customFormat="1" ht="14" x14ac:dyDescent="0.2">
      <c r="B483" s="21" t="s">
        <v>120</v>
      </c>
      <c r="E483" s="199" t="str">
        <f>IF(E488&lt;&gt;SUM(F489:AH489),"WARNING: PRINCIPAL NOT EQUAL TO DRAWDOWN", " ")</f>
        <v xml:space="preserve"> </v>
      </c>
      <c r="F483" s="226"/>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row>
    <row r="484" spans="2:34" s="8" customFormat="1" ht="14" x14ac:dyDescent="0.2">
      <c r="B484" s="169" t="s">
        <v>62</v>
      </c>
      <c r="D484" s="8" t="s">
        <v>2</v>
      </c>
      <c r="E484" s="177" t="s">
        <v>291</v>
      </c>
      <c r="F484" s="226" t="str">
        <f>'Assumptions - General'!E27</f>
        <v>R$</v>
      </c>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row>
    <row r="485" spans="2:34" s="8" customFormat="1" ht="14" x14ac:dyDescent="0.2">
      <c r="B485" s="169" t="s">
        <v>386</v>
      </c>
      <c r="D485" s="8" t="s">
        <v>649</v>
      </c>
      <c r="E485" s="200">
        <v>3</v>
      </c>
      <c r="F485" s="226" t="str">
        <f>'Assumptions - General'!E39</f>
        <v>USD</v>
      </c>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row>
    <row r="486" spans="2:34" s="8" customFormat="1" ht="14" x14ac:dyDescent="0.2">
      <c r="B486" s="169" t="s">
        <v>52</v>
      </c>
      <c r="D486" s="8" t="s">
        <v>209</v>
      </c>
      <c r="E486" s="177">
        <f>IF(F487=F484,1,IF(F487=F485,2,3))</f>
        <v>2</v>
      </c>
      <c r="F486" s="310" t="str">
        <f>'Assumptions - General'!E40</f>
        <v>EUR</v>
      </c>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row>
    <row r="487" spans="2:34" s="8" customFormat="1" ht="14" x14ac:dyDescent="0.2">
      <c r="B487" s="169"/>
      <c r="E487" s="177"/>
      <c r="F487" s="310" t="s">
        <v>277</v>
      </c>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row>
    <row r="488" spans="2:34" s="8" customFormat="1" ht="14" x14ac:dyDescent="0.2">
      <c r="B488" s="169" t="s">
        <v>60</v>
      </c>
      <c r="D488" s="20" t="str">
        <f>IF(E486=1,F484&amp;" millions",IF(E486=2,F485&amp;" millions",IF(E486=3,F486&amp;" millions"," ")))</f>
        <v>USD millions</v>
      </c>
      <c r="E488" s="177">
        <v>50</v>
      </c>
      <c r="F488" s="219"/>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row>
    <row r="489" spans="2:34" s="8" customFormat="1" ht="14" x14ac:dyDescent="0.2">
      <c r="B489" s="169" t="s">
        <v>121</v>
      </c>
      <c r="D489" s="20" t="str">
        <f>D488</f>
        <v>USD millions</v>
      </c>
      <c r="E489" s="201"/>
      <c r="F489" s="178"/>
      <c r="G489" s="177">
        <v>10</v>
      </c>
      <c r="H489" s="177">
        <v>10</v>
      </c>
      <c r="I489" s="177">
        <v>10</v>
      </c>
      <c r="J489" s="177">
        <v>10</v>
      </c>
      <c r="K489" s="177">
        <v>10</v>
      </c>
      <c r="L489" s="177"/>
      <c r="M489" s="177"/>
      <c r="N489" s="177"/>
      <c r="O489" s="177"/>
      <c r="P489" s="177"/>
      <c r="Q489" s="177"/>
      <c r="R489" s="177"/>
      <c r="S489" s="177"/>
      <c r="T489" s="177"/>
      <c r="U489" s="177"/>
      <c r="V489" s="177"/>
      <c r="W489" s="177"/>
      <c r="X489" s="177"/>
      <c r="Y489" s="177"/>
      <c r="Z489" s="177"/>
      <c r="AA489" s="177"/>
      <c r="AB489" s="177"/>
      <c r="AC489" s="177"/>
      <c r="AD489" s="177"/>
      <c r="AE489" s="177"/>
      <c r="AF489" s="177"/>
      <c r="AG489" s="177"/>
      <c r="AH489" s="177"/>
    </row>
    <row r="490" spans="2:34" s="8" customFormat="1" ht="14" x14ac:dyDescent="0.2">
      <c r="B490" s="169" t="s">
        <v>279</v>
      </c>
      <c r="D490" s="8" t="s">
        <v>209</v>
      </c>
      <c r="E490" s="177">
        <f>IF(F492=F490,1,2)</f>
        <v>1</v>
      </c>
      <c r="F490" s="310" t="s">
        <v>280</v>
      </c>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row>
    <row r="491" spans="2:34" s="8" customFormat="1" ht="14" x14ac:dyDescent="0.2">
      <c r="B491" s="169"/>
      <c r="E491" s="177"/>
      <c r="F491" s="226" t="s">
        <v>281</v>
      </c>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row>
    <row r="492" spans="2:34" s="8" customFormat="1" ht="14" x14ac:dyDescent="0.2">
      <c r="B492" s="89" t="str">
        <f>IF(E490=1,"If fixed, enter interest rate"," ")</f>
        <v>If fixed, enter interest rate</v>
      </c>
      <c r="D492" s="169" t="str">
        <f>IF(E490=1,"%"," ")</f>
        <v>%</v>
      </c>
      <c r="E492" s="188">
        <v>0.05</v>
      </c>
      <c r="F492" s="226" t="s">
        <v>280</v>
      </c>
      <c r="G492" s="183"/>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row>
    <row r="493" spans="2:34" s="8" customFormat="1" ht="14" x14ac:dyDescent="0.2">
      <c r="B493" s="89" t="str">
        <f>IF(E490=2,"if variable, enter margin on LIBOR"," ")</f>
        <v xml:space="preserve"> </v>
      </c>
      <c r="D493" s="169" t="str">
        <f>IF(E490=2,"%"," ")</f>
        <v xml:space="preserve"> </v>
      </c>
      <c r="E493" s="188">
        <v>0.02</v>
      </c>
      <c r="F493" s="226"/>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row>
    <row r="494" spans="2:34" s="8" customFormat="1" ht="14" x14ac:dyDescent="0.2">
      <c r="B494" s="169" t="s">
        <v>54</v>
      </c>
      <c r="D494" s="8" t="s">
        <v>56</v>
      </c>
      <c r="E494" s="200">
        <v>15</v>
      </c>
      <c r="F494" s="310"/>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row>
    <row r="495" spans="2:34" s="8" customFormat="1" ht="14" x14ac:dyDescent="0.2">
      <c r="B495" s="169" t="s">
        <v>57</v>
      </c>
      <c r="D495" s="8" t="s">
        <v>56</v>
      </c>
      <c r="E495" s="200">
        <v>5</v>
      </c>
      <c r="F495" s="226"/>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row>
    <row r="496" spans="2:34" s="8" customFormat="1" ht="14" x14ac:dyDescent="0.2">
      <c r="B496" s="169" t="s">
        <v>282</v>
      </c>
      <c r="E496" s="177">
        <f>IF(F499=F496,1,IF(F499=F497,2,3))</f>
        <v>1</v>
      </c>
      <c r="F496" s="226" t="s">
        <v>283</v>
      </c>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row>
    <row r="497" spans="2:34" s="8" customFormat="1" ht="14" x14ac:dyDescent="0.2">
      <c r="B497" s="169"/>
      <c r="E497" s="177"/>
      <c r="F497" s="497" t="s">
        <v>284</v>
      </c>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row>
    <row r="498" spans="2:34" s="8" customFormat="1" ht="14" x14ac:dyDescent="0.2">
      <c r="B498" s="169" t="s">
        <v>53</v>
      </c>
      <c r="D498" s="8" t="s">
        <v>58</v>
      </c>
      <c r="E498" s="202">
        <v>2.5000000000000001E-3</v>
      </c>
      <c r="F498" s="310" t="s">
        <v>680</v>
      </c>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row>
    <row r="499" spans="2:34" s="8" customFormat="1" ht="14" x14ac:dyDescent="0.2">
      <c r="B499" s="169" t="s">
        <v>55</v>
      </c>
      <c r="D499" s="8" t="s">
        <v>141</v>
      </c>
      <c r="E499" s="202">
        <v>0</v>
      </c>
      <c r="F499" s="310" t="s">
        <v>283</v>
      </c>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row>
    <row r="500" spans="2:34" s="8" customFormat="1" ht="14" x14ac:dyDescent="0.2">
      <c r="E500" s="183"/>
      <c r="F500" s="310"/>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row>
    <row r="501" spans="2:34" s="8" customFormat="1" ht="14" x14ac:dyDescent="0.2">
      <c r="B501" s="21" t="s">
        <v>122</v>
      </c>
      <c r="E501" s="199" t="str">
        <f>IF(E506&lt;&gt;SUM(F507:AH507),"WARNING: PRINCIPAL NOT EQUAL TO DRAWDOWN", " ")</f>
        <v xml:space="preserve"> </v>
      </c>
      <c r="F501" s="226"/>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row>
    <row r="502" spans="2:34" s="8" customFormat="1" ht="14" x14ac:dyDescent="0.2">
      <c r="B502" s="8" t="s">
        <v>62</v>
      </c>
      <c r="D502" s="8" t="s">
        <v>2</v>
      </c>
      <c r="E502" s="177" t="s">
        <v>59</v>
      </c>
      <c r="F502" s="226"/>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row>
    <row r="503" spans="2:34" s="8" customFormat="1" ht="14" x14ac:dyDescent="0.2">
      <c r="B503" s="8" t="s">
        <v>386</v>
      </c>
      <c r="D503" s="8" t="s">
        <v>649</v>
      </c>
      <c r="E503" s="200">
        <v>3</v>
      </c>
      <c r="F503" s="226" t="str">
        <f>F485</f>
        <v>USD</v>
      </c>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row>
    <row r="504" spans="2:34" s="8" customFormat="1" ht="14" x14ac:dyDescent="0.2">
      <c r="B504" s="8" t="s">
        <v>52</v>
      </c>
      <c r="D504" s="8" t="s">
        <v>209</v>
      </c>
      <c r="E504" s="177">
        <f>IF(F505=F484,1,IF(F505=F485,2,3))</f>
        <v>3</v>
      </c>
      <c r="F504" s="310" t="str">
        <f>F486</f>
        <v>EUR</v>
      </c>
      <c r="G504" s="183"/>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row>
    <row r="505" spans="2:34" s="8" customFormat="1" ht="14" x14ac:dyDescent="0.2">
      <c r="E505" s="177"/>
      <c r="F505" s="226" t="s">
        <v>278</v>
      </c>
      <c r="G505" s="183"/>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row>
    <row r="506" spans="2:34" s="8" customFormat="1" ht="14" x14ac:dyDescent="0.2">
      <c r="B506" s="8" t="s">
        <v>60</v>
      </c>
      <c r="D506" s="20" t="str">
        <f>IF(E504=1,D451,IF(E504=2,F503&amp;" millions",IF(E504=3,F504&amp;" millions"," ")))</f>
        <v>EUR millions</v>
      </c>
      <c r="E506" s="177">
        <v>50</v>
      </c>
      <c r="F506" s="219"/>
      <c r="G506" s="183"/>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row>
    <row r="507" spans="2:34" s="8" customFormat="1" ht="14" x14ac:dyDescent="0.2">
      <c r="B507" s="8" t="s">
        <v>121</v>
      </c>
      <c r="D507" s="20" t="str">
        <f>D506</f>
        <v>EUR millions</v>
      </c>
      <c r="E507" s="201"/>
      <c r="F507" s="178"/>
      <c r="G507" s="177">
        <v>10</v>
      </c>
      <c r="H507" s="177">
        <v>10</v>
      </c>
      <c r="I507" s="177">
        <v>10</v>
      </c>
      <c r="J507" s="177">
        <v>10</v>
      </c>
      <c r="K507" s="177">
        <v>10</v>
      </c>
      <c r="L507" s="177"/>
      <c r="M507" s="177"/>
      <c r="N507" s="177"/>
      <c r="O507" s="177"/>
      <c r="P507" s="177"/>
      <c r="Q507" s="177"/>
      <c r="R507" s="177"/>
      <c r="S507" s="177"/>
      <c r="T507" s="177"/>
      <c r="U507" s="177"/>
      <c r="V507" s="177"/>
      <c r="W507" s="177"/>
      <c r="X507" s="177"/>
      <c r="Y507" s="177"/>
      <c r="Z507" s="177"/>
      <c r="AA507" s="177"/>
      <c r="AB507" s="177"/>
      <c r="AC507" s="177"/>
      <c r="AD507" s="177"/>
      <c r="AE507" s="177"/>
      <c r="AF507" s="177"/>
      <c r="AG507" s="177"/>
      <c r="AH507" s="177"/>
    </row>
    <row r="508" spans="2:34" s="8" customFormat="1" ht="14" x14ac:dyDescent="0.2">
      <c r="B508" s="8" t="s">
        <v>279</v>
      </c>
      <c r="D508" s="8" t="s">
        <v>209</v>
      </c>
      <c r="E508" s="177">
        <f>IF(F510=F508,1,2)</f>
        <v>2</v>
      </c>
      <c r="F508" s="310" t="s">
        <v>280</v>
      </c>
      <c r="G508" s="183"/>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row>
    <row r="509" spans="2:34" s="8" customFormat="1" ht="14" x14ac:dyDescent="0.2">
      <c r="E509" s="177"/>
      <c r="F509" s="226" t="s">
        <v>281</v>
      </c>
      <c r="G509" s="183"/>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row>
    <row r="510" spans="2:34" s="8" customFormat="1" ht="14" x14ac:dyDescent="0.2">
      <c r="B510" s="89" t="str">
        <f>IF(E508=1,"If fixed, enter interest rate"," ")</f>
        <v xml:space="preserve"> </v>
      </c>
      <c r="D510" s="169" t="str">
        <f>IF(E508=1,"%"," ")</f>
        <v xml:space="preserve"> </v>
      </c>
      <c r="E510" s="188">
        <v>0.02</v>
      </c>
      <c r="F510" s="226" t="s">
        <v>281</v>
      </c>
      <c r="G510" s="183"/>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row>
    <row r="511" spans="2:34" s="8" customFormat="1" ht="14" x14ac:dyDescent="0.2">
      <c r="B511" s="89" t="str">
        <f>IF(E508=2,"if variable, enter margin on LIBOR"," ")</f>
        <v>if variable, enter margin on LIBOR</v>
      </c>
      <c r="D511" s="169" t="str">
        <f>IF(E508=2,"%"," ")</f>
        <v>%</v>
      </c>
      <c r="E511" s="188">
        <v>0.02</v>
      </c>
      <c r="F511" s="226"/>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row>
    <row r="512" spans="2:34" s="8" customFormat="1" ht="14" x14ac:dyDescent="0.2">
      <c r="B512" s="8" t="s">
        <v>54</v>
      </c>
      <c r="D512" s="8" t="s">
        <v>56</v>
      </c>
      <c r="E512" s="177">
        <v>15</v>
      </c>
      <c r="F512" s="310"/>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row>
    <row r="513" spans="2:34" s="8" customFormat="1" ht="14" x14ac:dyDescent="0.2">
      <c r="B513" s="8" t="s">
        <v>57</v>
      </c>
      <c r="D513" s="8" t="s">
        <v>56</v>
      </c>
      <c r="E513" s="177">
        <v>5</v>
      </c>
      <c r="F513" s="226"/>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row>
    <row r="514" spans="2:34" s="8" customFormat="1" ht="14" x14ac:dyDescent="0.2">
      <c r="B514" s="8" t="s">
        <v>282</v>
      </c>
      <c r="E514" s="177">
        <f>IF(F517=F514,1,IF(F517=F515,2,3))</f>
        <v>1</v>
      </c>
      <c r="F514" s="226" t="s">
        <v>283</v>
      </c>
      <c r="G514" s="183"/>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row>
    <row r="515" spans="2:34" s="8" customFormat="1" ht="14" x14ac:dyDescent="0.2">
      <c r="E515" s="177"/>
      <c r="F515" s="497" t="s">
        <v>284</v>
      </c>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row>
    <row r="516" spans="2:34" s="8" customFormat="1" ht="14" x14ac:dyDescent="0.2">
      <c r="B516" s="8" t="s">
        <v>53</v>
      </c>
      <c r="D516" s="8" t="s">
        <v>58</v>
      </c>
      <c r="E516" s="202">
        <v>2.5000000000000001E-3</v>
      </c>
      <c r="F516" s="310" t="s">
        <v>285</v>
      </c>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row>
    <row r="517" spans="2:34" s="8" customFormat="1" ht="14" x14ac:dyDescent="0.2">
      <c r="B517" s="8" t="s">
        <v>55</v>
      </c>
      <c r="D517" s="8" t="s">
        <v>141</v>
      </c>
      <c r="E517" s="202">
        <v>0</v>
      </c>
      <c r="F517" s="310" t="s">
        <v>283</v>
      </c>
      <c r="G517" s="183"/>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row>
    <row r="518" spans="2:34" s="8" customFormat="1" ht="14" x14ac:dyDescent="0.2">
      <c r="E518" s="203"/>
      <c r="F518" s="310"/>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183"/>
      <c r="AD518" s="183"/>
      <c r="AE518" s="183"/>
      <c r="AF518" s="183"/>
      <c r="AG518" s="183"/>
      <c r="AH518" s="183"/>
    </row>
    <row r="519" spans="2:34" s="8" customFormat="1" ht="14" x14ac:dyDescent="0.2">
      <c r="B519" s="21" t="s">
        <v>123</v>
      </c>
      <c r="E519" s="199" t="str">
        <f>IF(E524&lt;&gt;SUM(F525:AH525),"WARNING: PRINCIPAL NOT EQUAL TO DRAWDOWN", " ")</f>
        <v xml:space="preserve"> </v>
      </c>
      <c r="F519" s="226"/>
      <c r="G519" s="183"/>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183"/>
      <c r="AD519" s="183"/>
      <c r="AE519" s="183"/>
      <c r="AF519" s="183"/>
      <c r="AG519" s="183"/>
      <c r="AH519" s="183"/>
    </row>
    <row r="520" spans="2:34" s="8" customFormat="1" ht="14" x14ac:dyDescent="0.2">
      <c r="B520" s="8" t="s">
        <v>62</v>
      </c>
      <c r="D520" s="8" t="s">
        <v>2</v>
      </c>
      <c r="E520" s="177" t="s">
        <v>292</v>
      </c>
      <c r="F520" s="226" t="str">
        <f>'Assumptions - General'!E27</f>
        <v>R$</v>
      </c>
      <c r="G520" s="183"/>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183"/>
      <c r="AD520" s="183"/>
      <c r="AE520" s="183"/>
      <c r="AF520" s="183"/>
      <c r="AG520" s="183"/>
      <c r="AH520" s="183"/>
    </row>
    <row r="521" spans="2:34" s="8" customFormat="1" ht="14" x14ac:dyDescent="0.2">
      <c r="B521" s="8" t="s">
        <v>386</v>
      </c>
      <c r="D521" s="8" t="s">
        <v>649</v>
      </c>
      <c r="E521" s="200">
        <v>3</v>
      </c>
      <c r="F521" s="226" t="str">
        <f>F485</f>
        <v>USD</v>
      </c>
      <c r="G521" s="183"/>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183"/>
      <c r="AD521" s="183"/>
      <c r="AE521" s="183"/>
      <c r="AF521" s="183"/>
      <c r="AG521" s="183"/>
      <c r="AH521" s="183"/>
    </row>
    <row r="522" spans="2:34" s="8" customFormat="1" ht="14" x14ac:dyDescent="0.2">
      <c r="B522" s="8" t="s">
        <v>52</v>
      </c>
      <c r="D522" s="8" t="s">
        <v>209</v>
      </c>
      <c r="E522" s="177">
        <f>IF(F523=F484,1,IF(F523=F485,2,3))</f>
        <v>1</v>
      </c>
      <c r="F522" s="310" t="str">
        <f>F486</f>
        <v>EUR</v>
      </c>
      <c r="G522" s="183"/>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183"/>
      <c r="AD522" s="183"/>
      <c r="AE522" s="183"/>
      <c r="AF522" s="183"/>
      <c r="AG522" s="183"/>
      <c r="AH522" s="183"/>
    </row>
    <row r="523" spans="2:34" s="8" customFormat="1" ht="14" x14ac:dyDescent="0.2">
      <c r="E523" s="177"/>
      <c r="F523" s="226" t="s">
        <v>653</v>
      </c>
      <c r="G523" s="183"/>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183"/>
      <c r="AD523" s="183"/>
      <c r="AE523" s="183"/>
      <c r="AF523" s="183"/>
      <c r="AG523" s="183"/>
      <c r="AH523" s="183"/>
    </row>
    <row r="524" spans="2:34" s="8" customFormat="1" ht="14" x14ac:dyDescent="0.2">
      <c r="B524" s="8" t="s">
        <v>60</v>
      </c>
      <c r="D524" s="20" t="str">
        <f>IF(E522=1,F520&amp;" millions",IF(E522=2,F521&amp;" millions",IF(E522=3,F522&amp;" millions"," ")))</f>
        <v>R$ millions</v>
      </c>
      <c r="E524" s="177">
        <v>50</v>
      </c>
      <c r="F524" s="219"/>
      <c r="G524" s="183"/>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183"/>
      <c r="AD524" s="183"/>
      <c r="AE524" s="183"/>
      <c r="AF524" s="183"/>
      <c r="AG524" s="183"/>
      <c r="AH524" s="183"/>
    </row>
    <row r="525" spans="2:34" s="8" customFormat="1" ht="14" x14ac:dyDescent="0.2">
      <c r="B525" s="8" t="s">
        <v>121</v>
      </c>
      <c r="D525" s="20" t="str">
        <f>D524</f>
        <v>R$ millions</v>
      </c>
      <c r="E525" s="201"/>
      <c r="F525" s="178"/>
      <c r="G525" s="177">
        <v>10</v>
      </c>
      <c r="H525" s="177">
        <v>10</v>
      </c>
      <c r="I525" s="177">
        <v>10</v>
      </c>
      <c r="J525" s="177">
        <v>10</v>
      </c>
      <c r="K525" s="177">
        <v>10</v>
      </c>
      <c r="L525" s="177"/>
      <c r="M525" s="177"/>
      <c r="N525" s="177"/>
      <c r="O525" s="177"/>
      <c r="P525" s="177"/>
      <c r="Q525" s="177"/>
      <c r="R525" s="177"/>
      <c r="S525" s="177"/>
      <c r="T525" s="177"/>
      <c r="U525" s="177"/>
      <c r="V525" s="177"/>
      <c r="W525" s="177"/>
      <c r="X525" s="177"/>
      <c r="Y525" s="177"/>
      <c r="Z525" s="177"/>
      <c r="AA525" s="177"/>
      <c r="AB525" s="177"/>
      <c r="AC525" s="177"/>
      <c r="AD525" s="177"/>
      <c r="AE525" s="177"/>
      <c r="AF525" s="177"/>
      <c r="AG525" s="177"/>
      <c r="AH525" s="177"/>
    </row>
    <row r="526" spans="2:34" s="8" customFormat="1" ht="14" x14ac:dyDescent="0.2">
      <c r="B526" s="8" t="s">
        <v>279</v>
      </c>
      <c r="D526" s="8" t="s">
        <v>209</v>
      </c>
      <c r="E526" s="177">
        <f>IF(F528=F526,1,2)</f>
        <v>1</v>
      </c>
      <c r="F526" s="310" t="s">
        <v>280</v>
      </c>
      <c r="G526" s="183"/>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183"/>
      <c r="AD526" s="183"/>
      <c r="AE526" s="183"/>
      <c r="AF526" s="183"/>
      <c r="AG526" s="183"/>
      <c r="AH526" s="183"/>
    </row>
    <row r="527" spans="2:34" s="8" customFormat="1" ht="14" x14ac:dyDescent="0.2">
      <c r="E527" s="177"/>
      <c r="F527" s="226" t="s">
        <v>281</v>
      </c>
      <c r="G527" s="183"/>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183"/>
      <c r="AD527" s="183"/>
      <c r="AE527" s="183"/>
      <c r="AF527" s="183"/>
      <c r="AG527" s="183"/>
      <c r="AH527" s="183"/>
    </row>
    <row r="528" spans="2:34" s="8" customFormat="1" ht="14" x14ac:dyDescent="0.2">
      <c r="B528" s="89" t="str">
        <f>IF(E526=1,"If fixed, enter interest rate"," ")</f>
        <v>If fixed, enter interest rate</v>
      </c>
      <c r="D528" s="169" t="str">
        <f>IF(E526=1,"%"," ")</f>
        <v>%</v>
      </c>
      <c r="E528" s="188">
        <v>0.02</v>
      </c>
      <c r="F528" s="226" t="s">
        <v>280</v>
      </c>
      <c r="G528" s="183"/>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183"/>
      <c r="AD528" s="183"/>
      <c r="AE528" s="183"/>
      <c r="AF528" s="183"/>
      <c r="AG528" s="183"/>
      <c r="AH528" s="183"/>
    </row>
    <row r="529" spans="2:34" s="8" customFormat="1" ht="14" x14ac:dyDescent="0.2">
      <c r="B529" s="89" t="str">
        <f>IF(E526=2,"if variable, enter margin on LIBOR"," ")</f>
        <v xml:space="preserve"> </v>
      </c>
      <c r="D529" s="169" t="str">
        <f>IF(E526=2,"%"," ")</f>
        <v xml:space="preserve"> </v>
      </c>
      <c r="E529" s="188">
        <v>0.02</v>
      </c>
      <c r="F529" s="226"/>
      <c r="G529" s="183"/>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183"/>
      <c r="AD529" s="183"/>
      <c r="AE529" s="183"/>
      <c r="AF529" s="183"/>
      <c r="AG529" s="183"/>
      <c r="AH529" s="183"/>
    </row>
    <row r="530" spans="2:34" s="8" customFormat="1" ht="14" x14ac:dyDescent="0.2">
      <c r="B530" s="8" t="s">
        <v>54</v>
      </c>
      <c r="D530" s="8" t="s">
        <v>56</v>
      </c>
      <c r="E530" s="177">
        <v>15</v>
      </c>
      <c r="F530" s="310"/>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183"/>
      <c r="AD530" s="183"/>
      <c r="AE530" s="183"/>
      <c r="AF530" s="183"/>
      <c r="AG530" s="183"/>
      <c r="AH530" s="183"/>
    </row>
    <row r="531" spans="2:34" s="8" customFormat="1" ht="14" x14ac:dyDescent="0.2">
      <c r="B531" s="8" t="s">
        <v>57</v>
      </c>
      <c r="D531" s="8" t="s">
        <v>56</v>
      </c>
      <c r="E531" s="177">
        <v>5</v>
      </c>
      <c r="F531" s="226"/>
      <c r="G531" s="183"/>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183"/>
      <c r="AD531" s="183"/>
      <c r="AE531" s="183"/>
      <c r="AF531" s="183"/>
      <c r="AG531" s="183"/>
      <c r="AH531" s="183"/>
    </row>
    <row r="532" spans="2:34" s="8" customFormat="1" ht="14" x14ac:dyDescent="0.2">
      <c r="B532" s="8" t="s">
        <v>282</v>
      </c>
      <c r="E532" s="177" t="b">
        <f>IF(F535=F5321,IF(F535=F533,2,3))</f>
        <v>0</v>
      </c>
      <c r="F532" s="226" t="s">
        <v>283</v>
      </c>
      <c r="G532" s="183"/>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183"/>
      <c r="AD532" s="183"/>
      <c r="AE532" s="183"/>
      <c r="AF532" s="183"/>
      <c r="AG532" s="183"/>
      <c r="AH532" s="183"/>
    </row>
    <row r="533" spans="2:34" s="8" customFormat="1" ht="14" x14ac:dyDescent="0.2">
      <c r="E533" s="177"/>
      <c r="F533" s="497" t="s">
        <v>284</v>
      </c>
      <c r="G533" s="183"/>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183"/>
      <c r="AD533" s="183"/>
      <c r="AE533" s="183"/>
      <c r="AF533" s="183"/>
      <c r="AG533" s="183"/>
      <c r="AH533" s="183"/>
    </row>
    <row r="534" spans="2:34" s="8" customFormat="1" ht="14" x14ac:dyDescent="0.2">
      <c r="B534" s="8" t="s">
        <v>53</v>
      </c>
      <c r="D534" s="8" t="s">
        <v>58</v>
      </c>
      <c r="E534" s="202">
        <v>2.5000000000000001E-3</v>
      </c>
      <c r="F534" s="310" t="s">
        <v>285</v>
      </c>
      <c r="G534" s="183"/>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183"/>
      <c r="AD534" s="183"/>
      <c r="AE534" s="183"/>
      <c r="AF534" s="183"/>
      <c r="AG534" s="183"/>
      <c r="AH534" s="183"/>
    </row>
    <row r="535" spans="2:34" s="8" customFormat="1" ht="14" x14ac:dyDescent="0.2">
      <c r="B535" s="8" t="s">
        <v>55</v>
      </c>
      <c r="D535" s="8" t="s">
        <v>141</v>
      </c>
      <c r="E535" s="202">
        <v>0</v>
      </c>
      <c r="F535" s="310" t="s">
        <v>283</v>
      </c>
      <c r="G535" s="183"/>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183"/>
      <c r="AD535" s="183"/>
      <c r="AE535" s="183"/>
      <c r="AF535" s="183"/>
      <c r="AG535" s="183"/>
      <c r="AH535" s="183"/>
    </row>
    <row r="536" spans="2:34" s="8" customFormat="1" ht="14" x14ac:dyDescent="0.2">
      <c r="E536" s="203"/>
      <c r="F536" s="310"/>
      <c r="G536" s="183"/>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183"/>
      <c r="AD536" s="183"/>
      <c r="AE536" s="183"/>
      <c r="AF536" s="183"/>
      <c r="AG536" s="183"/>
      <c r="AH536" s="183"/>
    </row>
    <row r="537" spans="2:34" s="8" customFormat="1" ht="14" x14ac:dyDescent="0.2">
      <c r="B537" s="21" t="s">
        <v>124</v>
      </c>
      <c r="E537" s="199" t="str">
        <f>IF(E542&lt;&gt;SUM(F543:AH543),"WARNING: PRINCIPAL NOT EQUAL TO DRAWDOWN", " ")</f>
        <v xml:space="preserve"> </v>
      </c>
      <c r="F537" s="226"/>
      <c r="G537" s="183"/>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183"/>
      <c r="AD537" s="183"/>
      <c r="AE537" s="183"/>
      <c r="AF537" s="183"/>
      <c r="AG537" s="183"/>
      <c r="AH537" s="183"/>
    </row>
    <row r="538" spans="2:34" s="8" customFormat="1" ht="14" x14ac:dyDescent="0.2">
      <c r="B538" s="8" t="s">
        <v>62</v>
      </c>
      <c r="D538" s="8" t="s">
        <v>2</v>
      </c>
      <c r="E538" s="177" t="s">
        <v>143</v>
      </c>
      <c r="F538" s="226" t="str">
        <f>'Assumptions - General'!E27</f>
        <v>R$</v>
      </c>
      <c r="G538" s="183"/>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183"/>
      <c r="AD538" s="183"/>
      <c r="AE538" s="183"/>
      <c r="AF538" s="183"/>
      <c r="AG538" s="183"/>
      <c r="AH538" s="183"/>
    </row>
    <row r="539" spans="2:34" s="8" customFormat="1" ht="14" x14ac:dyDescent="0.2">
      <c r="B539" s="8" t="s">
        <v>386</v>
      </c>
      <c r="D539" s="8" t="s">
        <v>649</v>
      </c>
      <c r="E539" s="200">
        <v>3</v>
      </c>
      <c r="F539" s="226" t="str">
        <f>F485</f>
        <v>USD</v>
      </c>
      <c r="G539" s="183"/>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183"/>
      <c r="AD539" s="183"/>
      <c r="AE539" s="183"/>
      <c r="AF539" s="183"/>
      <c r="AG539" s="183"/>
      <c r="AH539" s="183"/>
    </row>
    <row r="540" spans="2:34" s="8" customFormat="1" ht="14" x14ac:dyDescent="0.2">
      <c r="B540" s="8" t="s">
        <v>52</v>
      </c>
      <c r="D540" s="8" t="s">
        <v>209</v>
      </c>
      <c r="E540" s="177">
        <f>IF(F541=F484,1,IF(F541=F485,2,3))</f>
        <v>3</v>
      </c>
      <c r="F540" s="310" t="str">
        <f>F486</f>
        <v>EUR</v>
      </c>
      <c r="G540" s="183"/>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183"/>
      <c r="AD540" s="183"/>
      <c r="AE540" s="183"/>
      <c r="AF540" s="183"/>
      <c r="AG540" s="183"/>
      <c r="AH540" s="183"/>
    </row>
    <row r="541" spans="2:34" s="8" customFormat="1" ht="14" x14ac:dyDescent="0.2">
      <c r="E541" s="177"/>
      <c r="F541" s="226" t="s">
        <v>278</v>
      </c>
      <c r="G541" s="183"/>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183"/>
      <c r="AD541" s="183"/>
      <c r="AE541" s="183"/>
      <c r="AF541" s="183"/>
      <c r="AG541" s="183"/>
      <c r="AH541" s="183"/>
    </row>
    <row r="542" spans="2:34" s="8" customFormat="1" ht="14" x14ac:dyDescent="0.2">
      <c r="B542" s="8" t="s">
        <v>60</v>
      </c>
      <c r="D542" s="20" t="str">
        <f>IF(E540=1,F538&amp;" millions",IF(E540=2,F539&amp;" millions",IF(E540=3,F540&amp;" millions"," ")))</f>
        <v>EUR millions</v>
      </c>
      <c r="E542" s="177">
        <v>50</v>
      </c>
      <c r="F542" s="219"/>
      <c r="G542" s="183"/>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183"/>
      <c r="AD542" s="183"/>
      <c r="AE542" s="183"/>
      <c r="AF542" s="183"/>
      <c r="AG542" s="183"/>
      <c r="AH542" s="183"/>
    </row>
    <row r="543" spans="2:34" s="8" customFormat="1" ht="14" x14ac:dyDescent="0.2">
      <c r="B543" s="8" t="s">
        <v>121</v>
      </c>
      <c r="D543" s="20" t="str">
        <f>D542</f>
        <v>EUR millions</v>
      </c>
      <c r="E543" s="201"/>
      <c r="F543" s="178"/>
      <c r="G543" s="177">
        <v>10</v>
      </c>
      <c r="H543" s="177">
        <v>10</v>
      </c>
      <c r="I543" s="177">
        <v>10</v>
      </c>
      <c r="J543" s="177">
        <v>10</v>
      </c>
      <c r="K543" s="177">
        <v>10</v>
      </c>
      <c r="L543" s="177"/>
      <c r="M543" s="177"/>
      <c r="N543" s="177"/>
      <c r="O543" s="177"/>
      <c r="P543" s="177"/>
      <c r="Q543" s="177"/>
      <c r="R543" s="177"/>
      <c r="S543" s="177"/>
      <c r="T543" s="177"/>
      <c r="U543" s="177"/>
      <c r="V543" s="177"/>
      <c r="W543" s="177"/>
      <c r="X543" s="177"/>
      <c r="Y543" s="177"/>
      <c r="Z543" s="177"/>
      <c r="AA543" s="177"/>
      <c r="AB543" s="177"/>
      <c r="AC543" s="177"/>
      <c r="AD543" s="177"/>
      <c r="AE543" s="177"/>
      <c r="AF543" s="177"/>
      <c r="AG543" s="177"/>
      <c r="AH543" s="177"/>
    </row>
    <row r="544" spans="2:34" s="8" customFormat="1" ht="14" x14ac:dyDescent="0.2">
      <c r="B544" s="8" t="s">
        <v>279</v>
      </c>
      <c r="D544" s="8" t="s">
        <v>209</v>
      </c>
      <c r="E544" s="177">
        <f>IF(F546=F544,1,2)</f>
        <v>1</v>
      </c>
      <c r="F544" s="310" t="s">
        <v>280</v>
      </c>
      <c r="G544" s="183"/>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183"/>
      <c r="AD544" s="183"/>
      <c r="AE544" s="183"/>
      <c r="AF544" s="183"/>
      <c r="AG544" s="183"/>
      <c r="AH544" s="183"/>
    </row>
    <row r="545" spans="2:34" s="8" customFormat="1" ht="14" x14ac:dyDescent="0.2">
      <c r="E545" s="177"/>
      <c r="F545" s="226" t="s">
        <v>281</v>
      </c>
      <c r="G545" s="183"/>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183"/>
      <c r="AD545" s="183"/>
      <c r="AE545" s="183"/>
      <c r="AF545" s="183"/>
      <c r="AG545" s="183"/>
      <c r="AH545" s="183"/>
    </row>
    <row r="546" spans="2:34" s="8" customFormat="1" ht="14" x14ac:dyDescent="0.2">
      <c r="B546" s="89" t="str">
        <f>IF(E544=1,"If fixed, enter interest rate"," ")</f>
        <v>If fixed, enter interest rate</v>
      </c>
      <c r="D546" s="169" t="str">
        <f>IF(E544=1,"%"," ")</f>
        <v>%</v>
      </c>
      <c r="E546" s="188">
        <v>0.05</v>
      </c>
      <c r="F546" s="226" t="s">
        <v>280</v>
      </c>
      <c r="G546" s="183"/>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183"/>
      <c r="AD546" s="183"/>
      <c r="AE546" s="183"/>
      <c r="AF546" s="183"/>
      <c r="AG546" s="183"/>
      <c r="AH546" s="183"/>
    </row>
    <row r="547" spans="2:34" s="8" customFormat="1" ht="14" x14ac:dyDescent="0.2">
      <c r="B547" s="89" t="str">
        <f>IF(E544=2,"if variable, enter margin on LIBOR"," ")</f>
        <v xml:space="preserve"> </v>
      </c>
      <c r="D547" s="169" t="str">
        <f>IF(E544=2,"%"," ")</f>
        <v xml:space="preserve"> </v>
      </c>
      <c r="E547" s="188">
        <v>0.02</v>
      </c>
      <c r="F547" s="226"/>
      <c r="G547" s="183"/>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183"/>
      <c r="AD547" s="183"/>
      <c r="AE547" s="183"/>
      <c r="AF547" s="183"/>
      <c r="AG547" s="183"/>
      <c r="AH547" s="183"/>
    </row>
    <row r="548" spans="2:34" s="8" customFormat="1" ht="14" x14ac:dyDescent="0.2">
      <c r="B548" s="8" t="s">
        <v>54</v>
      </c>
      <c r="D548" s="8" t="s">
        <v>56</v>
      </c>
      <c r="E548" s="177">
        <v>15</v>
      </c>
      <c r="F548" s="310"/>
      <c r="G548" s="183"/>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183"/>
      <c r="AD548" s="183"/>
      <c r="AE548" s="183"/>
      <c r="AF548" s="183"/>
      <c r="AG548" s="183"/>
      <c r="AH548" s="183"/>
    </row>
    <row r="549" spans="2:34" s="8" customFormat="1" ht="14" x14ac:dyDescent="0.2">
      <c r="B549" s="8" t="s">
        <v>57</v>
      </c>
      <c r="D549" s="8" t="s">
        <v>56</v>
      </c>
      <c r="E549" s="177">
        <v>1</v>
      </c>
      <c r="F549" s="226"/>
      <c r="G549" s="183"/>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183"/>
      <c r="AD549" s="183"/>
      <c r="AE549" s="183"/>
      <c r="AF549" s="183"/>
      <c r="AG549" s="183"/>
      <c r="AH549" s="183"/>
    </row>
    <row r="550" spans="2:34" s="8" customFormat="1" ht="14" x14ac:dyDescent="0.2">
      <c r="B550" s="8" t="s">
        <v>282</v>
      </c>
      <c r="E550" s="177">
        <f>IF(F553=F550,1,IF(F554=F551,2,3))</f>
        <v>1</v>
      </c>
      <c r="F550" s="226" t="s">
        <v>283</v>
      </c>
      <c r="G550" s="183"/>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183"/>
      <c r="AD550" s="183"/>
      <c r="AE550" s="183"/>
      <c r="AF550" s="183"/>
      <c r="AG550" s="183"/>
      <c r="AH550" s="183"/>
    </row>
    <row r="551" spans="2:34" s="8" customFormat="1" ht="14" x14ac:dyDescent="0.2">
      <c r="E551" s="177"/>
      <c r="F551" s="497" t="s">
        <v>284</v>
      </c>
      <c r="G551" s="183"/>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183"/>
      <c r="AD551" s="183"/>
      <c r="AE551" s="183"/>
      <c r="AF551" s="183"/>
      <c r="AG551" s="183"/>
      <c r="AH551" s="183"/>
    </row>
    <row r="552" spans="2:34" s="8" customFormat="1" ht="14" x14ac:dyDescent="0.2">
      <c r="B552" s="8" t="s">
        <v>53</v>
      </c>
      <c r="D552" s="8" t="s">
        <v>58</v>
      </c>
      <c r="E552" s="202">
        <v>2.5000000000000001E-3</v>
      </c>
      <c r="F552" s="310" t="s">
        <v>285</v>
      </c>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183"/>
      <c r="AD552" s="183"/>
      <c r="AE552" s="183"/>
      <c r="AF552" s="183"/>
      <c r="AG552" s="183"/>
      <c r="AH552" s="183"/>
    </row>
    <row r="553" spans="2:34" s="8" customFormat="1" ht="14" x14ac:dyDescent="0.2">
      <c r="B553" s="8" t="s">
        <v>55</v>
      </c>
      <c r="D553" s="8" t="s">
        <v>141</v>
      </c>
      <c r="E553" s="202">
        <v>0</v>
      </c>
      <c r="F553" s="310" t="s">
        <v>283</v>
      </c>
      <c r="G553" s="183"/>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183"/>
      <c r="AD553" s="183"/>
      <c r="AE553" s="183"/>
      <c r="AF553" s="183"/>
      <c r="AG553" s="183"/>
      <c r="AH553" s="183"/>
    </row>
    <row r="554" spans="2:34" s="8" customFormat="1" ht="14" x14ac:dyDescent="0.2">
      <c r="E554" s="203"/>
      <c r="F554" s="220"/>
      <c r="G554" s="183"/>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183"/>
      <c r="AD554" s="183"/>
      <c r="AE554" s="183"/>
      <c r="AF554" s="183"/>
      <c r="AG554" s="183"/>
      <c r="AH554" s="183"/>
    </row>
    <row r="555" spans="2:34" s="320" customFormat="1" x14ac:dyDescent="0.2">
      <c r="B555" s="319" t="str">
        <f>"Other long-term liabilities for " &amp;'Assumptions - General'!$E$24</f>
        <v>Other long-term liabilities for Ruritania Freight Rail Company</v>
      </c>
    </row>
    <row r="556" spans="2:34" s="18" customFormat="1" x14ac:dyDescent="0.2">
      <c r="B556" s="17"/>
    </row>
    <row r="557" spans="2:34" s="8" customFormat="1" ht="14" x14ac:dyDescent="0.2">
      <c r="B557" s="21" t="s">
        <v>327</v>
      </c>
      <c r="E557" s="168"/>
      <c r="F557" s="87"/>
    </row>
    <row r="558" spans="2:34" s="8" customFormat="1" ht="14" x14ac:dyDescent="0.2">
      <c r="B558" s="30" t="s">
        <v>329</v>
      </c>
      <c r="D558" s="10" t="str">
        <f>'Assumptions - General'!$E$27 &amp;" millions"</f>
        <v>R$ millions</v>
      </c>
      <c r="E558" s="176">
        <v>20</v>
      </c>
      <c r="F558" s="191">
        <v>20</v>
      </c>
      <c r="G558" s="191">
        <v>20</v>
      </c>
      <c r="H558" s="191">
        <v>20</v>
      </c>
      <c r="I558" s="191">
        <v>20</v>
      </c>
      <c r="J558" s="191">
        <v>20</v>
      </c>
      <c r="K558" s="191">
        <v>20</v>
      </c>
      <c r="L558" s="191">
        <v>20</v>
      </c>
      <c r="M558" s="191">
        <v>20</v>
      </c>
      <c r="N558" s="191">
        <v>20</v>
      </c>
      <c r="O558" s="191">
        <v>20</v>
      </c>
      <c r="P558" s="191">
        <v>20</v>
      </c>
      <c r="Q558" s="191">
        <v>20</v>
      </c>
      <c r="R558" s="191">
        <v>20</v>
      </c>
      <c r="S558" s="191">
        <v>20</v>
      </c>
      <c r="T558" s="191">
        <v>20</v>
      </c>
      <c r="U558" s="191">
        <v>20</v>
      </c>
      <c r="V558" s="191">
        <v>20</v>
      </c>
      <c r="W558" s="191">
        <v>20</v>
      </c>
      <c r="X558" s="191">
        <v>20</v>
      </c>
      <c r="Y558" s="191">
        <v>20</v>
      </c>
      <c r="Z558" s="191">
        <v>20</v>
      </c>
      <c r="AA558" s="191">
        <v>20</v>
      </c>
      <c r="AB558" s="191">
        <v>20</v>
      </c>
      <c r="AC558" s="191">
        <v>20</v>
      </c>
      <c r="AD558" s="191">
        <v>20</v>
      </c>
      <c r="AE558" s="191">
        <v>20</v>
      </c>
      <c r="AF558" s="191">
        <v>20</v>
      </c>
      <c r="AG558" s="191">
        <v>20</v>
      </c>
      <c r="AH558" s="191">
        <v>20</v>
      </c>
    </row>
    <row r="559" spans="2:34" s="20" customFormat="1" ht="14" x14ac:dyDescent="0.2">
      <c r="B559" s="230"/>
      <c r="D559" s="12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c r="AA559" s="192"/>
      <c r="AB559" s="192"/>
      <c r="AC559" s="192"/>
      <c r="AD559" s="192"/>
      <c r="AE559" s="192"/>
      <c r="AF559" s="192"/>
      <c r="AG559" s="192"/>
      <c r="AH559" s="192"/>
    </row>
    <row r="560" spans="2:34" s="320" customFormat="1" x14ac:dyDescent="0.2">
      <c r="B560" s="319" t="str">
        <f>"Equity assumptions for " &amp;'Assumptions - General'!$E$24</f>
        <v>Equity assumptions for Ruritania Freight Rail Company</v>
      </c>
    </row>
    <row r="561" spans="2:34" s="18" customFormat="1" x14ac:dyDescent="0.2">
      <c r="B561" s="17"/>
    </row>
    <row r="562" spans="2:34" s="8" customFormat="1" ht="14" x14ac:dyDescent="0.2">
      <c r="B562" s="21" t="s">
        <v>65</v>
      </c>
      <c r="E562" s="182"/>
      <c r="F562" s="183"/>
      <c r="G562" s="183"/>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183"/>
      <c r="AD562" s="183"/>
      <c r="AE562" s="183"/>
      <c r="AF562" s="183"/>
      <c r="AG562" s="183"/>
      <c r="AH562" s="183"/>
    </row>
    <row r="563" spans="2:34" s="8" customFormat="1" ht="14" x14ac:dyDescent="0.2">
      <c r="B563" s="8" t="s">
        <v>63</v>
      </c>
      <c r="D563" s="8" t="s">
        <v>2</v>
      </c>
      <c r="E563" s="177" t="s">
        <v>64</v>
      </c>
      <c r="F563" s="183"/>
      <c r="G563" s="183"/>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183"/>
      <c r="AD563" s="183"/>
      <c r="AE563" s="183"/>
      <c r="AF563" s="183"/>
      <c r="AG563" s="183"/>
      <c r="AH563" s="183"/>
    </row>
    <row r="564" spans="2:34" s="8" customFormat="1" ht="14" x14ac:dyDescent="0.2">
      <c r="B564" s="8" t="s">
        <v>391</v>
      </c>
      <c r="D564" s="10" t="str">
        <f>'Assumptions - General'!$E$27 &amp;" millions"</f>
        <v>R$ millions</v>
      </c>
      <c r="E564" s="176">
        <v>3800</v>
      </c>
      <c r="F564" s="183"/>
      <c r="G564" s="183"/>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183"/>
      <c r="AD564" s="183"/>
      <c r="AE564" s="183"/>
      <c r="AF564" s="183"/>
      <c r="AG564" s="183"/>
      <c r="AH564" s="183"/>
    </row>
    <row r="565" spans="2:34" s="8" customFormat="1" ht="14" x14ac:dyDescent="0.2">
      <c r="B565" s="14" t="s">
        <v>393</v>
      </c>
      <c r="D565" s="10" t="str">
        <f>'Assumptions - General'!$E$27 &amp;" millions"</f>
        <v>R$ millions</v>
      </c>
      <c r="E565" s="192"/>
      <c r="F565" s="177"/>
      <c r="G565" s="177"/>
      <c r="H565" s="177"/>
      <c r="I565" s="177"/>
      <c r="J565" s="177"/>
      <c r="K565" s="177"/>
      <c r="L565" s="177"/>
      <c r="M565" s="177"/>
      <c r="N565" s="177"/>
      <c r="O565" s="177"/>
      <c r="P565" s="177"/>
      <c r="Q565" s="177"/>
      <c r="R565" s="177"/>
      <c r="S565" s="177"/>
      <c r="T565" s="177"/>
      <c r="U565" s="177"/>
      <c r="V565" s="177"/>
      <c r="W565" s="177"/>
      <c r="X565" s="177"/>
      <c r="Y565" s="177"/>
      <c r="Z565" s="177"/>
      <c r="AA565" s="177"/>
      <c r="AB565" s="177"/>
      <c r="AC565" s="177"/>
      <c r="AD565" s="177"/>
      <c r="AE565" s="177"/>
      <c r="AF565" s="177"/>
      <c r="AG565" s="177"/>
      <c r="AH565" s="177"/>
    </row>
    <row r="566" spans="2:34" s="8" customFormat="1" ht="14" x14ac:dyDescent="0.2">
      <c r="B566" s="8" t="s">
        <v>392</v>
      </c>
      <c r="D566" s="10" t="str">
        <f>'Assumptions - General'!$E$27 &amp;" millions"</f>
        <v>R$ millions</v>
      </c>
      <c r="E566" s="181">
        <v>180</v>
      </c>
      <c r="F566" s="183"/>
      <c r="G566" s="183"/>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183"/>
      <c r="AD566" s="183"/>
      <c r="AE566" s="183"/>
      <c r="AF566" s="183"/>
      <c r="AG566" s="183"/>
      <c r="AH566" s="183"/>
    </row>
    <row r="567" spans="2:34" s="8" customFormat="1" ht="14" collapsed="1" x14ac:dyDescent="0.2">
      <c r="B567" s="8" t="s">
        <v>527</v>
      </c>
      <c r="D567" s="10" t="str">
        <f>'Assumptions - General'!$E$27 &amp;" millions"</f>
        <v>R$ millions</v>
      </c>
      <c r="E567" s="192">
        <f>E564+E566</f>
        <v>3980</v>
      </c>
      <c r="F567" s="183"/>
      <c r="G567" s="183"/>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183"/>
      <c r="AD567" s="183"/>
      <c r="AE567" s="183"/>
      <c r="AF567" s="183"/>
      <c r="AG567" s="183"/>
      <c r="AH567" s="183"/>
    </row>
    <row r="568" spans="2:34" s="8" customFormat="1" ht="14" x14ac:dyDescent="0.2">
      <c r="B568" s="356"/>
      <c r="C568" s="356"/>
      <c r="D568" s="10"/>
      <c r="E568" s="112"/>
    </row>
  </sheetData>
  <sortState xmlns:xlrd2="http://schemas.microsoft.com/office/spreadsheetml/2017/richdata2" ref="D53:AH59">
    <sortCondition sortBy="cellColor" ref="E58" dxfId="1"/>
  </sortState>
  <mergeCells count="1">
    <mergeCell ref="E8:E1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BM521"/>
  <sheetViews>
    <sheetView zoomScale="75" zoomScaleNormal="75" workbookViewId="0">
      <pane xSplit="4" ySplit="6" topLeftCell="I7" activePane="bottomRight" state="frozen"/>
      <selection pane="topRight" activeCell="E1" sqref="E1"/>
      <selection pane="bottomLeft" activeCell="A7" sqref="A7"/>
      <selection pane="bottomRight" activeCell="E329" sqref="E329"/>
    </sheetView>
  </sheetViews>
  <sheetFormatPr baseColWidth="10" defaultColWidth="0" defaultRowHeight="15" outlineLevelRow="1" x14ac:dyDescent="0.2"/>
  <cols>
    <col min="1" max="1" width="9.1640625" style="1" customWidth="1"/>
    <col min="2" max="2" width="15.33203125" style="1" customWidth="1"/>
    <col min="3" max="3" width="46" style="1" customWidth="1"/>
    <col min="4" max="4" width="22.6640625" style="1" customWidth="1"/>
    <col min="5" max="5" width="34.6640625" style="1" customWidth="1"/>
    <col min="6" max="6" width="11.1640625" style="1" bestFit="1" customWidth="1"/>
    <col min="7" max="13" width="11.5" style="1" bestFit="1" customWidth="1"/>
    <col min="14" max="14" width="11.1640625" style="1" bestFit="1" customWidth="1"/>
    <col min="15" max="15" width="11.5" style="1" bestFit="1" customWidth="1"/>
    <col min="16" max="28" width="10.5" style="1" bestFit="1" customWidth="1"/>
    <col min="29" max="29" width="11" style="1" customWidth="1"/>
    <col min="30" max="30" width="10.83203125" style="1" customWidth="1"/>
    <col min="31" max="31" width="11.33203125" style="1" customWidth="1"/>
    <col min="32" max="32" width="11.1640625" style="1" customWidth="1"/>
    <col min="33" max="33" width="11.6640625" style="1" customWidth="1"/>
    <col min="34" max="34" width="12.5" style="1" customWidth="1"/>
    <col min="35" max="35" width="9.1640625" style="1" customWidth="1"/>
    <col min="36" max="16384" width="9.1640625" style="1" hidden="1"/>
  </cols>
  <sheetData>
    <row r="1" spans="2:34" s="324" customFormat="1" x14ac:dyDescent="0.2">
      <c r="B1" s="323" t="s">
        <v>0</v>
      </c>
    </row>
    <row r="2" spans="2:34" s="324" customFormat="1" x14ac:dyDescent="0.2">
      <c r="B2" s="325" t="str">
        <f>'Assumptions - General'!E25</f>
        <v>Ruritania Passenger Rail Company</v>
      </c>
    </row>
    <row r="3" spans="2:34" s="324" customFormat="1" x14ac:dyDescent="0.2">
      <c r="B3" s="325" t="str">
        <f>"All units in "  &amp;'Assumptions - General'!E27&amp;  " millions unless otherwise stated"</f>
        <v>All units in R$ millions unless otherwise stated</v>
      </c>
      <c r="C3" s="326"/>
    </row>
    <row r="4" spans="2:34" s="8" customFormat="1" ht="14" x14ac:dyDescent="0.2">
      <c r="B4" s="7" t="s">
        <v>99</v>
      </c>
      <c r="E4" s="8">
        <v>1</v>
      </c>
      <c r="F4" s="8">
        <v>2</v>
      </c>
      <c r="G4" s="8">
        <v>3</v>
      </c>
      <c r="H4" s="8">
        <v>4</v>
      </c>
      <c r="I4" s="8">
        <v>5</v>
      </c>
      <c r="J4" s="8">
        <v>6</v>
      </c>
      <c r="K4" s="8">
        <v>7</v>
      </c>
      <c r="L4" s="8">
        <v>8</v>
      </c>
      <c r="M4" s="8">
        <v>9</v>
      </c>
      <c r="N4" s="8">
        <v>10</v>
      </c>
      <c r="O4" s="8">
        <v>11</v>
      </c>
      <c r="P4" s="8">
        <v>12</v>
      </c>
      <c r="Q4" s="8">
        <v>13</v>
      </c>
      <c r="R4" s="8">
        <v>14</v>
      </c>
      <c r="S4" s="8">
        <v>15</v>
      </c>
      <c r="T4" s="8">
        <v>16</v>
      </c>
      <c r="U4" s="8">
        <v>17</v>
      </c>
      <c r="V4" s="8">
        <v>18</v>
      </c>
      <c r="W4" s="8">
        <v>19</v>
      </c>
      <c r="X4" s="8">
        <v>20</v>
      </c>
      <c r="Y4" s="8">
        <v>21</v>
      </c>
      <c r="Z4" s="8">
        <v>22</v>
      </c>
      <c r="AA4" s="8">
        <v>23</v>
      </c>
      <c r="AB4" s="8">
        <v>24</v>
      </c>
      <c r="AC4" s="8">
        <v>25</v>
      </c>
      <c r="AD4" s="8">
        <v>26</v>
      </c>
      <c r="AE4" s="8">
        <v>27</v>
      </c>
      <c r="AF4" s="8">
        <v>28</v>
      </c>
      <c r="AG4" s="8">
        <v>29</v>
      </c>
      <c r="AH4" s="8">
        <v>30</v>
      </c>
    </row>
    <row r="5" spans="2:34" s="8" customFormat="1" ht="14" x14ac:dyDescent="0.2">
      <c r="B5" s="7" t="s">
        <v>12</v>
      </c>
      <c r="E5" s="9">
        <f>'Assumptions - General'!$E$28</f>
        <v>40179</v>
      </c>
      <c r="F5" s="9">
        <f t="shared" ref="F5:AH5" si="0">E6+1</f>
        <v>40544</v>
      </c>
      <c r="G5" s="9">
        <f t="shared" si="0"/>
        <v>40909</v>
      </c>
      <c r="H5" s="9">
        <f t="shared" si="0"/>
        <v>41275</v>
      </c>
      <c r="I5" s="9">
        <f t="shared" si="0"/>
        <v>41640</v>
      </c>
      <c r="J5" s="9">
        <f t="shared" si="0"/>
        <v>42005</v>
      </c>
      <c r="K5" s="9">
        <f t="shared" si="0"/>
        <v>42370</v>
      </c>
      <c r="L5" s="9">
        <f t="shared" si="0"/>
        <v>42736</v>
      </c>
      <c r="M5" s="9">
        <f t="shared" si="0"/>
        <v>43101</v>
      </c>
      <c r="N5" s="9">
        <f t="shared" si="0"/>
        <v>43466</v>
      </c>
      <c r="O5" s="9">
        <f t="shared" si="0"/>
        <v>43831</v>
      </c>
      <c r="P5" s="9">
        <f t="shared" si="0"/>
        <v>44197</v>
      </c>
      <c r="Q5" s="9">
        <f t="shared" si="0"/>
        <v>44562</v>
      </c>
      <c r="R5" s="9">
        <f t="shared" si="0"/>
        <v>44927</v>
      </c>
      <c r="S5" s="9">
        <f t="shared" si="0"/>
        <v>45292</v>
      </c>
      <c r="T5" s="9">
        <f t="shared" si="0"/>
        <v>45658</v>
      </c>
      <c r="U5" s="9">
        <f t="shared" si="0"/>
        <v>46023</v>
      </c>
      <c r="V5" s="9">
        <f t="shared" si="0"/>
        <v>46388</v>
      </c>
      <c r="W5" s="9">
        <f t="shared" si="0"/>
        <v>46753</v>
      </c>
      <c r="X5" s="9">
        <f t="shared" si="0"/>
        <v>47119</v>
      </c>
      <c r="Y5" s="9">
        <f t="shared" si="0"/>
        <v>47484</v>
      </c>
      <c r="Z5" s="9">
        <f t="shared" si="0"/>
        <v>47849</v>
      </c>
      <c r="AA5" s="9">
        <f t="shared" si="0"/>
        <v>48214</v>
      </c>
      <c r="AB5" s="9">
        <f t="shared" si="0"/>
        <v>48580</v>
      </c>
      <c r="AC5" s="9">
        <f t="shared" si="0"/>
        <v>48945</v>
      </c>
      <c r="AD5" s="9">
        <f t="shared" si="0"/>
        <v>49310</v>
      </c>
      <c r="AE5" s="9">
        <f t="shared" si="0"/>
        <v>49675</v>
      </c>
      <c r="AF5" s="9">
        <f t="shared" si="0"/>
        <v>50041</v>
      </c>
      <c r="AG5" s="9">
        <f t="shared" si="0"/>
        <v>50406</v>
      </c>
      <c r="AH5" s="9">
        <f t="shared" si="0"/>
        <v>50771</v>
      </c>
    </row>
    <row r="6" spans="2:34" s="8" customFormat="1" ht="14" x14ac:dyDescent="0.2">
      <c r="B6" s="7" t="s">
        <v>13</v>
      </c>
      <c r="E6" s="9">
        <f t="shared" ref="E6:AH6" si="1">DATE(YEAR(E5)+1, MONTH(E5), DAY(E5)-1)</f>
        <v>40543</v>
      </c>
      <c r="F6" s="9">
        <f t="shared" si="1"/>
        <v>40908</v>
      </c>
      <c r="G6" s="9">
        <f t="shared" si="1"/>
        <v>41274</v>
      </c>
      <c r="H6" s="9">
        <f t="shared" si="1"/>
        <v>41639</v>
      </c>
      <c r="I6" s="9">
        <f t="shared" si="1"/>
        <v>42004</v>
      </c>
      <c r="J6" s="9">
        <f t="shared" si="1"/>
        <v>42369</v>
      </c>
      <c r="K6" s="9">
        <f t="shared" si="1"/>
        <v>42735</v>
      </c>
      <c r="L6" s="9">
        <f t="shared" si="1"/>
        <v>43100</v>
      </c>
      <c r="M6" s="9">
        <f t="shared" si="1"/>
        <v>43465</v>
      </c>
      <c r="N6" s="9">
        <f t="shared" si="1"/>
        <v>43830</v>
      </c>
      <c r="O6" s="9">
        <f t="shared" si="1"/>
        <v>44196</v>
      </c>
      <c r="P6" s="9">
        <f t="shared" si="1"/>
        <v>44561</v>
      </c>
      <c r="Q6" s="9">
        <f t="shared" si="1"/>
        <v>44926</v>
      </c>
      <c r="R6" s="9">
        <f t="shared" si="1"/>
        <v>45291</v>
      </c>
      <c r="S6" s="9">
        <f t="shared" si="1"/>
        <v>45657</v>
      </c>
      <c r="T6" s="9">
        <f t="shared" si="1"/>
        <v>46022</v>
      </c>
      <c r="U6" s="9">
        <f t="shared" si="1"/>
        <v>46387</v>
      </c>
      <c r="V6" s="9">
        <f t="shared" si="1"/>
        <v>46752</v>
      </c>
      <c r="W6" s="9">
        <f t="shared" si="1"/>
        <v>47118</v>
      </c>
      <c r="X6" s="9">
        <f t="shared" si="1"/>
        <v>47483</v>
      </c>
      <c r="Y6" s="9">
        <f t="shared" si="1"/>
        <v>47848</v>
      </c>
      <c r="Z6" s="9">
        <f t="shared" si="1"/>
        <v>48213</v>
      </c>
      <c r="AA6" s="9">
        <f t="shared" si="1"/>
        <v>48579</v>
      </c>
      <c r="AB6" s="9">
        <f t="shared" si="1"/>
        <v>48944</v>
      </c>
      <c r="AC6" s="9">
        <f t="shared" si="1"/>
        <v>49309</v>
      </c>
      <c r="AD6" s="9">
        <f t="shared" si="1"/>
        <v>49674</v>
      </c>
      <c r="AE6" s="9">
        <f t="shared" si="1"/>
        <v>50040</v>
      </c>
      <c r="AF6" s="9">
        <f t="shared" si="1"/>
        <v>50405</v>
      </c>
      <c r="AG6" s="9">
        <f t="shared" si="1"/>
        <v>50770</v>
      </c>
      <c r="AH6" s="9">
        <f t="shared" si="1"/>
        <v>51135</v>
      </c>
    </row>
    <row r="7" spans="2:34" s="8" customFormat="1" ht="14" x14ac:dyDescent="0.2"/>
    <row r="8" spans="2:34" s="8" customFormat="1" ht="14" x14ac:dyDescent="0.2">
      <c r="B8" s="110"/>
      <c r="C8" s="8" t="s">
        <v>217</v>
      </c>
      <c r="E8" s="510"/>
      <c r="F8" s="87">
        <v>1</v>
      </c>
    </row>
    <row r="9" spans="2:34" s="8" customFormat="1" ht="14" x14ac:dyDescent="0.2">
      <c r="B9" s="175"/>
      <c r="C9" s="8" t="s">
        <v>346</v>
      </c>
      <c r="E9" s="511"/>
      <c r="F9" s="87"/>
    </row>
    <row r="10" spans="2:34" x14ac:dyDescent="0.2">
      <c r="E10" s="511"/>
    </row>
    <row r="11" spans="2:34" s="324" customFormat="1" x14ac:dyDescent="0.2">
      <c r="B11" s="323" t="str">
        <f>"Network and operational assumptions for "&amp;'Assumptions - General'!E25</f>
        <v>Network and operational assumptions for Ruritania Passenger Rail Company</v>
      </c>
      <c r="D11" s="323"/>
      <c r="E11" s="323" t="str">
        <f>IF(OR(AND('Scenarios - Consolidated'!$F$3=1,'Scenarios - Consolidated'!$H$20=1),AND('Scenarios - Passenger'!$F$3=1,'Scenarios - Passenger'!$H$20=1)),"NOTE: SCENARIO ANALYSIS STAFF ASSUMPTIONS IN USE"," ")</f>
        <v xml:space="preserve"> </v>
      </c>
    </row>
    <row r="12" spans="2:34" s="18" customFormat="1" x14ac:dyDescent="0.2">
      <c r="B12" s="17"/>
      <c r="D12" s="17"/>
      <c r="E12" s="17"/>
    </row>
    <row r="13" spans="2:34" s="8" customFormat="1" ht="14" x14ac:dyDescent="0.2">
      <c r="B13" s="8" t="s">
        <v>335</v>
      </c>
      <c r="D13" s="8" t="s">
        <v>179</v>
      </c>
      <c r="E13" s="185">
        <v>15000</v>
      </c>
      <c r="F13" s="231">
        <v>15000</v>
      </c>
      <c r="G13" s="231">
        <v>15000</v>
      </c>
      <c r="H13" s="231">
        <v>15000</v>
      </c>
      <c r="I13" s="231">
        <v>15000</v>
      </c>
      <c r="J13" s="231">
        <v>15000</v>
      </c>
      <c r="K13" s="231">
        <v>15000</v>
      </c>
      <c r="L13" s="231">
        <v>15000</v>
      </c>
      <c r="M13" s="231">
        <v>15000</v>
      </c>
      <c r="N13" s="231">
        <v>15000</v>
      </c>
      <c r="O13" s="231">
        <v>15000</v>
      </c>
      <c r="P13" s="231">
        <v>15000</v>
      </c>
      <c r="Q13" s="231">
        <v>15000</v>
      </c>
      <c r="R13" s="231">
        <v>15000</v>
      </c>
      <c r="S13" s="231">
        <v>15000</v>
      </c>
      <c r="T13" s="231">
        <v>15000</v>
      </c>
      <c r="U13" s="231">
        <v>15000</v>
      </c>
      <c r="V13" s="231">
        <v>15000</v>
      </c>
      <c r="W13" s="231">
        <v>15000</v>
      </c>
      <c r="X13" s="231">
        <v>15000</v>
      </c>
      <c r="Y13" s="231">
        <v>15000</v>
      </c>
      <c r="Z13" s="231">
        <v>15000</v>
      </c>
      <c r="AA13" s="231">
        <v>15000</v>
      </c>
      <c r="AB13" s="231">
        <v>15000</v>
      </c>
      <c r="AC13" s="231">
        <v>15000</v>
      </c>
      <c r="AD13" s="231">
        <v>15000</v>
      </c>
      <c r="AE13" s="231">
        <v>15000</v>
      </c>
      <c r="AF13" s="231">
        <v>15000</v>
      </c>
      <c r="AG13" s="231">
        <v>15000</v>
      </c>
      <c r="AH13" s="231">
        <v>15000</v>
      </c>
    </row>
    <row r="14" spans="2:34" s="8" customFormat="1" ht="14" x14ac:dyDescent="0.2">
      <c r="B14" s="8" t="str">
        <f>"Staff of "&amp;'Assumptions - General'!E25</f>
        <v>Staff of Ruritania Passenger Rail Company</v>
      </c>
      <c r="D14" s="8" t="s">
        <v>39</v>
      </c>
      <c r="E14" s="185">
        <v>15000</v>
      </c>
      <c r="F14" s="191">
        <v>15000</v>
      </c>
      <c r="G14" s="191">
        <v>15000</v>
      </c>
      <c r="H14" s="191">
        <v>15000</v>
      </c>
      <c r="I14" s="191">
        <v>15000</v>
      </c>
      <c r="J14" s="191">
        <v>15000</v>
      </c>
      <c r="K14" s="191">
        <v>15000</v>
      </c>
      <c r="L14" s="191">
        <v>15000</v>
      </c>
      <c r="M14" s="191">
        <v>15000</v>
      </c>
      <c r="N14" s="191">
        <v>15000</v>
      </c>
      <c r="O14" s="191">
        <v>15000</v>
      </c>
      <c r="P14" s="191">
        <v>15000</v>
      </c>
      <c r="Q14" s="191">
        <v>15000</v>
      </c>
      <c r="R14" s="191">
        <v>15000</v>
      </c>
      <c r="S14" s="191">
        <v>15000</v>
      </c>
      <c r="T14" s="191">
        <v>15000</v>
      </c>
      <c r="U14" s="191">
        <v>15000</v>
      </c>
      <c r="V14" s="191">
        <v>15000</v>
      </c>
      <c r="W14" s="191">
        <v>15000</v>
      </c>
      <c r="X14" s="191">
        <v>15000</v>
      </c>
      <c r="Y14" s="191">
        <v>15000</v>
      </c>
      <c r="Z14" s="191">
        <v>15000</v>
      </c>
      <c r="AA14" s="191">
        <v>15000</v>
      </c>
      <c r="AB14" s="191">
        <v>15000</v>
      </c>
      <c r="AC14" s="191">
        <v>15000</v>
      </c>
      <c r="AD14" s="191">
        <v>15000</v>
      </c>
      <c r="AE14" s="191">
        <v>15000</v>
      </c>
      <c r="AF14" s="191">
        <v>15000</v>
      </c>
      <c r="AG14" s="191">
        <v>15000</v>
      </c>
      <c r="AH14" s="191">
        <v>15000</v>
      </c>
    </row>
    <row r="15" spans="2:34" s="8" customFormat="1" ht="14" x14ac:dyDescent="0.2">
      <c r="B15" s="8" t="s">
        <v>357</v>
      </c>
      <c r="D15" s="8" t="s">
        <v>239</v>
      </c>
      <c r="E15" s="176">
        <v>30000</v>
      </c>
      <c r="F15" s="182"/>
      <c r="G15" s="182"/>
      <c r="H15" s="182"/>
      <c r="I15" s="182"/>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c r="AG15" s="182"/>
      <c r="AH15" s="182"/>
    </row>
    <row r="16" spans="2:34" s="8" customFormat="1" ht="14" x14ac:dyDescent="0.2">
      <c r="B16" s="30" t="s">
        <v>353</v>
      </c>
      <c r="D16" s="8" t="s">
        <v>15</v>
      </c>
      <c r="E16" s="184">
        <v>0.5</v>
      </c>
      <c r="F16" s="180">
        <f t="shared" ref="F16:AH16" si="2">E16+F17</f>
        <v>0.5</v>
      </c>
      <c r="G16" s="180">
        <f t="shared" si="2"/>
        <v>0.5</v>
      </c>
      <c r="H16" s="180">
        <f t="shared" si="2"/>
        <v>0.5</v>
      </c>
      <c r="I16" s="180">
        <f t="shared" si="2"/>
        <v>0.5</v>
      </c>
      <c r="J16" s="180">
        <f t="shared" si="2"/>
        <v>0.5</v>
      </c>
      <c r="K16" s="180">
        <f t="shared" si="2"/>
        <v>0.5</v>
      </c>
      <c r="L16" s="180">
        <f t="shared" si="2"/>
        <v>0.5</v>
      </c>
      <c r="M16" s="180">
        <f t="shared" si="2"/>
        <v>0.5</v>
      </c>
      <c r="N16" s="180">
        <f t="shared" si="2"/>
        <v>0.5</v>
      </c>
      <c r="O16" s="180">
        <f t="shared" si="2"/>
        <v>0.5</v>
      </c>
      <c r="P16" s="180">
        <f t="shared" si="2"/>
        <v>0.5</v>
      </c>
      <c r="Q16" s="180">
        <f t="shared" si="2"/>
        <v>0.5</v>
      </c>
      <c r="R16" s="180">
        <f t="shared" si="2"/>
        <v>0.5</v>
      </c>
      <c r="S16" s="180">
        <f t="shared" si="2"/>
        <v>0.5</v>
      </c>
      <c r="T16" s="180">
        <f t="shared" si="2"/>
        <v>0.5</v>
      </c>
      <c r="U16" s="180">
        <f t="shared" si="2"/>
        <v>0.5</v>
      </c>
      <c r="V16" s="180">
        <f t="shared" si="2"/>
        <v>0.5</v>
      </c>
      <c r="W16" s="180">
        <f t="shared" si="2"/>
        <v>0.5</v>
      </c>
      <c r="X16" s="180">
        <f t="shared" si="2"/>
        <v>0.5</v>
      </c>
      <c r="Y16" s="180">
        <f t="shared" si="2"/>
        <v>0.5</v>
      </c>
      <c r="Z16" s="180">
        <f t="shared" si="2"/>
        <v>0.5</v>
      </c>
      <c r="AA16" s="180">
        <f t="shared" si="2"/>
        <v>0.5</v>
      </c>
      <c r="AB16" s="180">
        <f t="shared" si="2"/>
        <v>0.5</v>
      </c>
      <c r="AC16" s="180">
        <f t="shared" si="2"/>
        <v>0.5</v>
      </c>
      <c r="AD16" s="180">
        <f t="shared" si="2"/>
        <v>0.5</v>
      </c>
      <c r="AE16" s="180">
        <f t="shared" si="2"/>
        <v>0.5</v>
      </c>
      <c r="AF16" s="180">
        <f t="shared" si="2"/>
        <v>0.5</v>
      </c>
      <c r="AG16" s="180">
        <f t="shared" si="2"/>
        <v>0.5</v>
      </c>
      <c r="AH16" s="180">
        <f t="shared" si="2"/>
        <v>0.5</v>
      </c>
    </row>
    <row r="17" spans="2:34" s="8" customFormat="1" ht="14" x14ac:dyDescent="0.2">
      <c r="B17" s="211" t="s">
        <v>249</v>
      </c>
      <c r="D17" s="15" t="s">
        <v>247</v>
      </c>
      <c r="E17" s="180"/>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row>
    <row r="18" spans="2:34" s="8" customFormat="1" ht="14" x14ac:dyDescent="0.2">
      <c r="B18" s="30" t="s">
        <v>354</v>
      </c>
      <c r="D18" s="8" t="s">
        <v>15</v>
      </c>
      <c r="E18" s="180">
        <f t="shared" ref="E18:AH18" si="3">100%-E16</f>
        <v>0.5</v>
      </c>
      <c r="F18" s="180">
        <f t="shared" si="3"/>
        <v>0.5</v>
      </c>
      <c r="G18" s="180">
        <f t="shared" si="3"/>
        <v>0.5</v>
      </c>
      <c r="H18" s="180">
        <f t="shared" si="3"/>
        <v>0.5</v>
      </c>
      <c r="I18" s="180">
        <f t="shared" si="3"/>
        <v>0.5</v>
      </c>
      <c r="J18" s="180">
        <f t="shared" si="3"/>
        <v>0.5</v>
      </c>
      <c r="K18" s="180">
        <f t="shared" si="3"/>
        <v>0.5</v>
      </c>
      <c r="L18" s="180">
        <f t="shared" si="3"/>
        <v>0.5</v>
      </c>
      <c r="M18" s="180">
        <f t="shared" si="3"/>
        <v>0.5</v>
      </c>
      <c r="N18" s="180">
        <f t="shared" si="3"/>
        <v>0.5</v>
      </c>
      <c r="O18" s="180">
        <f t="shared" si="3"/>
        <v>0.5</v>
      </c>
      <c r="P18" s="180">
        <f t="shared" si="3"/>
        <v>0.5</v>
      </c>
      <c r="Q18" s="180">
        <f t="shared" si="3"/>
        <v>0.5</v>
      </c>
      <c r="R18" s="180">
        <f t="shared" si="3"/>
        <v>0.5</v>
      </c>
      <c r="S18" s="180">
        <f t="shared" si="3"/>
        <v>0.5</v>
      </c>
      <c r="T18" s="180">
        <f t="shared" si="3"/>
        <v>0.5</v>
      </c>
      <c r="U18" s="180">
        <f t="shared" si="3"/>
        <v>0.5</v>
      </c>
      <c r="V18" s="180">
        <f t="shared" si="3"/>
        <v>0.5</v>
      </c>
      <c r="W18" s="180">
        <f t="shared" si="3"/>
        <v>0.5</v>
      </c>
      <c r="X18" s="180">
        <f t="shared" si="3"/>
        <v>0.5</v>
      </c>
      <c r="Y18" s="180">
        <f t="shared" si="3"/>
        <v>0.5</v>
      </c>
      <c r="Z18" s="180">
        <f t="shared" si="3"/>
        <v>0.5</v>
      </c>
      <c r="AA18" s="180">
        <f t="shared" si="3"/>
        <v>0.5</v>
      </c>
      <c r="AB18" s="180">
        <f t="shared" si="3"/>
        <v>0.5</v>
      </c>
      <c r="AC18" s="180">
        <f t="shared" si="3"/>
        <v>0.5</v>
      </c>
      <c r="AD18" s="180">
        <f t="shared" si="3"/>
        <v>0.5</v>
      </c>
      <c r="AE18" s="180">
        <f t="shared" si="3"/>
        <v>0.5</v>
      </c>
      <c r="AF18" s="180">
        <f t="shared" si="3"/>
        <v>0.5</v>
      </c>
      <c r="AG18" s="180">
        <f t="shared" si="3"/>
        <v>0.5</v>
      </c>
      <c r="AH18" s="180">
        <f t="shared" si="3"/>
        <v>0.5</v>
      </c>
    </row>
    <row r="19" spans="2:34" s="8" customFormat="1" ht="14" x14ac:dyDescent="0.2">
      <c r="B19" s="8" t="s">
        <v>300</v>
      </c>
      <c r="D19" s="8" t="s">
        <v>2</v>
      </c>
      <c r="E19" s="177" t="s">
        <v>301</v>
      </c>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row>
    <row r="20" spans="2:34" s="8" customFormat="1" ht="14" x14ac:dyDescent="0.2">
      <c r="B20" s="30" t="s">
        <v>303</v>
      </c>
      <c r="D20" s="8" t="s">
        <v>118</v>
      </c>
      <c r="E20" s="268">
        <v>1</v>
      </c>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row>
    <row r="21" spans="2:34" s="8" customFormat="1" ht="14" x14ac:dyDescent="0.2">
      <c r="B21" s="30" t="s">
        <v>304</v>
      </c>
      <c r="D21" s="8" t="s">
        <v>118</v>
      </c>
      <c r="E21" s="268">
        <v>1</v>
      </c>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row>
    <row r="22" spans="2:34" s="8" customFormat="1" ht="14" x14ac:dyDescent="0.2">
      <c r="B22" s="30" t="s">
        <v>302</v>
      </c>
      <c r="D22" s="8" t="s">
        <v>118</v>
      </c>
      <c r="E22" s="268">
        <v>1</v>
      </c>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row>
    <row r="23" spans="2:34" s="8" customFormat="1" ht="14" x14ac:dyDescent="0.2">
      <c r="B23" s="30"/>
      <c r="E23" s="192"/>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row>
    <row r="24" spans="2:34" s="324" customFormat="1" x14ac:dyDescent="0.2">
      <c r="B24" s="323" t="str">
        <f>"Fixed asset assumptions for "&amp;'Assumptions - General'!E25</f>
        <v>Fixed asset assumptions for Ruritania Passenger Rail Company</v>
      </c>
      <c r="D24" s="323"/>
      <c r="E24" s="323" t="str">
        <f>IF(OR(AND('Scenarios - Consolidated'!$F$3=1,'Scenarios - Consolidated'!$I$20=1),AND('Scenarios - Passenger'!$F$3=1,'Scenarios - Passenger'!$I$20=1)),"NOTE: SCENARIO ANALYSIS CAPEX ASSUMPTIONS IN USE"," ")</f>
        <v xml:space="preserve"> </v>
      </c>
    </row>
    <row r="26" spans="2:34" s="8" customFormat="1" ht="14" x14ac:dyDescent="0.2">
      <c r="B26" s="8" t="s">
        <v>336</v>
      </c>
      <c r="D26" s="8" t="s">
        <v>2</v>
      </c>
      <c r="E26" s="177" t="s">
        <v>662</v>
      </c>
      <c r="F26" s="8" t="str">
        <f>IF(E26&lt;&gt;"Land", "Note: first asset class should be land"," ")</f>
        <v xml:space="preserve"> </v>
      </c>
    </row>
    <row r="27" spans="2:34" s="8" customFormat="1" ht="14" x14ac:dyDescent="0.2">
      <c r="B27" s="8" t="s">
        <v>337</v>
      </c>
      <c r="D27" s="8" t="s">
        <v>2</v>
      </c>
      <c r="E27" s="177" t="s">
        <v>18</v>
      </c>
    </row>
    <row r="28" spans="2:34" s="8" customFormat="1" ht="14" x14ac:dyDescent="0.2">
      <c r="B28" s="8" t="s">
        <v>338</v>
      </c>
      <c r="D28" s="8" t="s">
        <v>2</v>
      </c>
      <c r="E28" s="177" t="s">
        <v>19</v>
      </c>
    </row>
    <row r="29" spans="2:34" s="8" customFormat="1" ht="14" x14ac:dyDescent="0.2">
      <c r="B29" s="8" t="s">
        <v>339</v>
      </c>
      <c r="D29" s="8" t="s">
        <v>2</v>
      </c>
      <c r="E29" s="177" t="s">
        <v>20</v>
      </c>
    </row>
    <row r="30" spans="2:34" s="8" customFormat="1" ht="14" x14ac:dyDescent="0.2">
      <c r="B30" s="8" t="s">
        <v>340</v>
      </c>
      <c r="D30" s="8" t="s">
        <v>2</v>
      </c>
      <c r="E30" s="177" t="s">
        <v>22</v>
      </c>
    </row>
    <row r="31" spans="2:34" s="8" customFormat="1" ht="14" x14ac:dyDescent="0.2">
      <c r="B31" s="8" t="s">
        <v>341</v>
      </c>
      <c r="D31" s="8" t="s">
        <v>2</v>
      </c>
      <c r="E31" s="177" t="s">
        <v>21</v>
      </c>
    </row>
    <row r="33" spans="2:34" s="8" customFormat="1" ht="14" x14ac:dyDescent="0.2">
      <c r="B33" s="8" t="str">
        <f t="shared" ref="B33:B38" si="4">"Net asset value at the end of first year of " &amp;E26</f>
        <v>Net asset value at the end of first year of Land</v>
      </c>
      <c r="D33" s="10" t="str">
        <f>'Assumptions - General'!$E$27 &amp;" millions"</f>
        <v>R$ millions</v>
      </c>
      <c r="E33" s="181">
        <v>100</v>
      </c>
    </row>
    <row r="34" spans="2:34" s="8" customFormat="1" ht="14" x14ac:dyDescent="0.2">
      <c r="B34" s="8" t="str">
        <f t="shared" si="4"/>
        <v>Net asset value at the end of first year of Buildings and structures</v>
      </c>
      <c r="D34" s="10" t="str">
        <f>'Assumptions - General'!$E$27 &amp;" millions"</f>
        <v>R$ millions</v>
      </c>
      <c r="E34" s="181">
        <v>150</v>
      </c>
    </row>
    <row r="35" spans="2:34" s="8" customFormat="1" ht="14" x14ac:dyDescent="0.2">
      <c r="B35" s="8" t="str">
        <f t="shared" si="4"/>
        <v>Net asset value at the end of first year of Track and infrastructure</v>
      </c>
      <c r="D35" s="10" t="str">
        <f>'Assumptions - General'!$E$27 &amp;" millions"</f>
        <v>R$ millions</v>
      </c>
      <c r="E35" s="181">
        <v>200</v>
      </c>
    </row>
    <row r="36" spans="2:34" s="8" customFormat="1" ht="14" x14ac:dyDescent="0.2">
      <c r="B36" s="8" t="str">
        <f t="shared" si="4"/>
        <v>Net asset value at the end of first year of Locomotives and railway cars</v>
      </c>
      <c r="D36" s="10" t="str">
        <f>'Assumptions - General'!$E$27 &amp;" millions"</f>
        <v>R$ millions</v>
      </c>
      <c r="E36" s="181">
        <v>300</v>
      </c>
    </row>
    <row r="37" spans="2:34" s="8" customFormat="1" ht="14" x14ac:dyDescent="0.2">
      <c r="B37" s="8" t="str">
        <f t="shared" si="4"/>
        <v>Net asset value at the end of first year of Machines, equipment and spare parts</v>
      </c>
      <c r="D37" s="10" t="str">
        <f>'Assumptions - General'!$E$27 &amp;" millions"</f>
        <v>R$ millions</v>
      </c>
      <c r="E37" s="181">
        <v>300</v>
      </c>
    </row>
    <row r="38" spans="2:34" s="8" customFormat="1" ht="14" x14ac:dyDescent="0.2">
      <c r="B38" s="8" t="str">
        <f t="shared" si="4"/>
        <v>Net asset value at the end of first year of Others</v>
      </c>
      <c r="D38" s="10" t="str">
        <f>'Assumptions - General'!$E$27 &amp;" millions"</f>
        <v>R$ millions</v>
      </c>
      <c r="E38" s="181">
        <v>50</v>
      </c>
    </row>
    <row r="39" spans="2:34" s="8" customFormat="1" ht="14" x14ac:dyDescent="0.2">
      <c r="E39" s="182"/>
    </row>
    <row r="40" spans="2:34" s="8" customFormat="1" ht="14" x14ac:dyDescent="0.2">
      <c r="B40" s="8" t="str">
        <f t="shared" ref="B40:B45" si="5">"Annual capital expenditure on " &amp;E26</f>
        <v>Annual capital expenditure on Land</v>
      </c>
      <c r="D40" s="10" t="str">
        <f>'Assumptions - General'!$E$27 &amp;" millions"</f>
        <v>R$ millions</v>
      </c>
      <c r="E40" s="183"/>
      <c r="F40" s="191">
        <v>10</v>
      </c>
      <c r="G40" s="191">
        <v>10</v>
      </c>
      <c r="H40" s="191">
        <v>10</v>
      </c>
      <c r="I40" s="191">
        <v>10</v>
      </c>
      <c r="J40" s="191">
        <v>10</v>
      </c>
      <c r="K40" s="191">
        <v>10</v>
      </c>
      <c r="L40" s="191">
        <v>10</v>
      </c>
      <c r="M40" s="191">
        <v>10</v>
      </c>
      <c r="N40" s="191">
        <v>10</v>
      </c>
      <c r="O40" s="191">
        <v>10</v>
      </c>
      <c r="P40" s="191">
        <v>10</v>
      </c>
      <c r="Q40" s="191">
        <v>10</v>
      </c>
      <c r="R40" s="191">
        <v>10</v>
      </c>
      <c r="S40" s="191">
        <v>10</v>
      </c>
      <c r="T40" s="191">
        <v>10</v>
      </c>
      <c r="U40" s="191">
        <v>10</v>
      </c>
      <c r="V40" s="191">
        <v>10</v>
      </c>
      <c r="W40" s="191">
        <v>10</v>
      </c>
      <c r="X40" s="191">
        <v>10</v>
      </c>
      <c r="Y40" s="191">
        <v>10</v>
      </c>
      <c r="Z40" s="191">
        <v>10</v>
      </c>
      <c r="AA40" s="191">
        <v>10</v>
      </c>
      <c r="AB40" s="191">
        <v>10</v>
      </c>
      <c r="AC40" s="191">
        <v>10</v>
      </c>
      <c r="AD40" s="191">
        <v>10</v>
      </c>
      <c r="AE40" s="191">
        <v>10</v>
      </c>
      <c r="AF40" s="191">
        <v>10</v>
      </c>
      <c r="AG40" s="191">
        <v>10</v>
      </c>
      <c r="AH40" s="191">
        <v>10</v>
      </c>
    </row>
    <row r="41" spans="2:34" s="8" customFormat="1" ht="14" x14ac:dyDescent="0.2">
      <c r="B41" s="8" t="str">
        <f t="shared" si="5"/>
        <v>Annual capital expenditure on Buildings and structures</v>
      </c>
      <c r="D41" s="10" t="str">
        <f>'Assumptions - General'!$E$27 &amp;" millions"</f>
        <v>R$ millions</v>
      </c>
      <c r="E41" s="183"/>
      <c r="F41" s="191">
        <v>20</v>
      </c>
      <c r="G41" s="191">
        <v>20</v>
      </c>
      <c r="H41" s="191">
        <v>20</v>
      </c>
      <c r="I41" s="191">
        <v>20</v>
      </c>
      <c r="J41" s="191">
        <v>20</v>
      </c>
      <c r="K41" s="191">
        <v>20</v>
      </c>
      <c r="L41" s="191">
        <v>20</v>
      </c>
      <c r="M41" s="191">
        <v>20</v>
      </c>
      <c r="N41" s="191">
        <v>20</v>
      </c>
      <c r="O41" s="191">
        <v>20</v>
      </c>
      <c r="P41" s="191">
        <v>20</v>
      </c>
      <c r="Q41" s="191">
        <v>20</v>
      </c>
      <c r="R41" s="191">
        <v>20</v>
      </c>
      <c r="S41" s="191">
        <v>20</v>
      </c>
      <c r="T41" s="191">
        <v>20</v>
      </c>
      <c r="U41" s="191">
        <v>20</v>
      </c>
      <c r="V41" s="191">
        <v>20</v>
      </c>
      <c r="W41" s="191">
        <v>20</v>
      </c>
      <c r="X41" s="191">
        <v>20</v>
      </c>
      <c r="Y41" s="191">
        <v>20</v>
      </c>
      <c r="Z41" s="191">
        <v>20</v>
      </c>
      <c r="AA41" s="191">
        <v>20</v>
      </c>
      <c r="AB41" s="191">
        <v>20</v>
      </c>
      <c r="AC41" s="191">
        <v>20</v>
      </c>
      <c r="AD41" s="191">
        <v>20</v>
      </c>
      <c r="AE41" s="191">
        <v>20</v>
      </c>
      <c r="AF41" s="191">
        <v>20</v>
      </c>
      <c r="AG41" s="191">
        <v>20</v>
      </c>
      <c r="AH41" s="191">
        <v>20</v>
      </c>
    </row>
    <row r="42" spans="2:34" s="8" customFormat="1" ht="14" x14ac:dyDescent="0.2">
      <c r="B42" s="8" t="str">
        <f t="shared" si="5"/>
        <v>Annual capital expenditure on Track and infrastructure</v>
      </c>
      <c r="D42" s="10" t="str">
        <f>'Assumptions - General'!$E$27 &amp;" millions"</f>
        <v>R$ millions</v>
      </c>
      <c r="E42" s="183"/>
      <c r="F42" s="191">
        <v>100</v>
      </c>
      <c r="G42" s="191">
        <v>100</v>
      </c>
      <c r="H42" s="191">
        <v>100</v>
      </c>
      <c r="I42" s="191">
        <v>100</v>
      </c>
      <c r="J42" s="191">
        <v>100</v>
      </c>
      <c r="K42" s="191">
        <v>100</v>
      </c>
      <c r="L42" s="191">
        <v>100</v>
      </c>
      <c r="M42" s="191">
        <v>100</v>
      </c>
      <c r="N42" s="191">
        <v>100</v>
      </c>
      <c r="O42" s="191">
        <v>100</v>
      </c>
      <c r="P42" s="191">
        <v>100</v>
      </c>
      <c r="Q42" s="191">
        <v>100</v>
      </c>
      <c r="R42" s="191">
        <v>100</v>
      </c>
      <c r="S42" s="191">
        <v>100</v>
      </c>
      <c r="T42" s="191">
        <v>100</v>
      </c>
      <c r="U42" s="191">
        <v>100</v>
      </c>
      <c r="V42" s="191">
        <v>100</v>
      </c>
      <c r="W42" s="191">
        <v>100</v>
      </c>
      <c r="X42" s="191">
        <v>100</v>
      </c>
      <c r="Y42" s="191">
        <v>100</v>
      </c>
      <c r="Z42" s="191">
        <v>100</v>
      </c>
      <c r="AA42" s="191">
        <v>100</v>
      </c>
      <c r="AB42" s="191">
        <v>100</v>
      </c>
      <c r="AC42" s="191">
        <v>100</v>
      </c>
      <c r="AD42" s="191">
        <v>100</v>
      </c>
      <c r="AE42" s="191">
        <v>100</v>
      </c>
      <c r="AF42" s="191">
        <v>100</v>
      </c>
      <c r="AG42" s="191">
        <v>100</v>
      </c>
      <c r="AH42" s="191">
        <v>100</v>
      </c>
    </row>
    <row r="43" spans="2:34" s="8" customFormat="1" ht="14" x14ac:dyDescent="0.2">
      <c r="B43" s="8" t="str">
        <f t="shared" si="5"/>
        <v>Annual capital expenditure on Locomotives and railway cars</v>
      </c>
      <c r="D43" s="10" t="str">
        <f>'Assumptions - General'!$E$27 &amp;" millions"</f>
        <v>R$ millions</v>
      </c>
      <c r="E43" s="183"/>
      <c r="F43" s="191">
        <v>100</v>
      </c>
      <c r="G43" s="191">
        <v>100</v>
      </c>
      <c r="H43" s="191">
        <v>100</v>
      </c>
      <c r="I43" s="191">
        <v>100</v>
      </c>
      <c r="J43" s="191">
        <v>100</v>
      </c>
      <c r="K43" s="191">
        <v>100</v>
      </c>
      <c r="L43" s="191">
        <v>100</v>
      </c>
      <c r="M43" s="191">
        <v>100</v>
      </c>
      <c r="N43" s="191">
        <v>100</v>
      </c>
      <c r="O43" s="191">
        <v>100</v>
      </c>
      <c r="P43" s="191">
        <v>100</v>
      </c>
      <c r="Q43" s="191">
        <v>100</v>
      </c>
      <c r="R43" s="191">
        <v>100</v>
      </c>
      <c r="S43" s="191">
        <v>100</v>
      </c>
      <c r="T43" s="191">
        <v>100</v>
      </c>
      <c r="U43" s="191">
        <v>100</v>
      </c>
      <c r="V43" s="191">
        <v>100</v>
      </c>
      <c r="W43" s="191">
        <v>100</v>
      </c>
      <c r="X43" s="191">
        <v>100</v>
      </c>
      <c r="Y43" s="191">
        <v>100</v>
      </c>
      <c r="Z43" s="191">
        <v>100</v>
      </c>
      <c r="AA43" s="191">
        <v>100</v>
      </c>
      <c r="AB43" s="191">
        <v>100</v>
      </c>
      <c r="AC43" s="191">
        <v>100</v>
      </c>
      <c r="AD43" s="191">
        <v>100</v>
      </c>
      <c r="AE43" s="191">
        <v>100</v>
      </c>
      <c r="AF43" s="191">
        <v>100</v>
      </c>
      <c r="AG43" s="191">
        <v>100</v>
      </c>
      <c r="AH43" s="191">
        <v>100</v>
      </c>
    </row>
    <row r="44" spans="2:34" s="8" customFormat="1" ht="14" x14ac:dyDescent="0.2">
      <c r="B44" s="8" t="str">
        <f t="shared" si="5"/>
        <v>Annual capital expenditure on Machines, equipment and spare parts</v>
      </c>
      <c r="D44" s="10" t="str">
        <f>'Assumptions - General'!$E$27 &amp;" millions"</f>
        <v>R$ millions</v>
      </c>
      <c r="E44" s="183"/>
      <c r="F44" s="191">
        <v>25</v>
      </c>
      <c r="G44" s="191">
        <v>25</v>
      </c>
      <c r="H44" s="191">
        <v>25</v>
      </c>
      <c r="I44" s="191">
        <v>25</v>
      </c>
      <c r="J44" s="191">
        <v>25</v>
      </c>
      <c r="K44" s="191">
        <v>25</v>
      </c>
      <c r="L44" s="191">
        <v>25</v>
      </c>
      <c r="M44" s="191">
        <v>25</v>
      </c>
      <c r="N44" s="191">
        <v>25</v>
      </c>
      <c r="O44" s="191">
        <v>25</v>
      </c>
      <c r="P44" s="191">
        <v>25</v>
      </c>
      <c r="Q44" s="191">
        <v>25</v>
      </c>
      <c r="R44" s="191">
        <v>25</v>
      </c>
      <c r="S44" s="191">
        <v>25</v>
      </c>
      <c r="T44" s="191">
        <v>25</v>
      </c>
      <c r="U44" s="191">
        <v>25</v>
      </c>
      <c r="V44" s="191">
        <v>25</v>
      </c>
      <c r="W44" s="191">
        <v>25</v>
      </c>
      <c r="X44" s="191">
        <v>25</v>
      </c>
      <c r="Y44" s="191">
        <v>25</v>
      </c>
      <c r="Z44" s="191">
        <v>25</v>
      </c>
      <c r="AA44" s="191">
        <v>25</v>
      </c>
      <c r="AB44" s="191">
        <v>25</v>
      </c>
      <c r="AC44" s="191">
        <v>25</v>
      </c>
      <c r="AD44" s="191">
        <v>25</v>
      </c>
      <c r="AE44" s="191">
        <v>25</v>
      </c>
      <c r="AF44" s="191">
        <v>25</v>
      </c>
      <c r="AG44" s="191">
        <v>25</v>
      </c>
      <c r="AH44" s="191">
        <v>25</v>
      </c>
    </row>
    <row r="45" spans="2:34" s="8" customFormat="1" ht="14" x14ac:dyDescent="0.2">
      <c r="B45" s="8" t="str">
        <f t="shared" si="5"/>
        <v>Annual capital expenditure on Others</v>
      </c>
      <c r="D45" s="10" t="str">
        <f>'Assumptions - General'!$E$27 &amp;" millions"</f>
        <v>R$ millions</v>
      </c>
      <c r="E45" s="183"/>
      <c r="F45" s="191">
        <v>25</v>
      </c>
      <c r="G45" s="191">
        <v>25</v>
      </c>
      <c r="H45" s="191">
        <v>25</v>
      </c>
      <c r="I45" s="191">
        <v>25</v>
      </c>
      <c r="J45" s="191">
        <v>25</v>
      </c>
      <c r="K45" s="191">
        <v>25</v>
      </c>
      <c r="L45" s="191">
        <v>25</v>
      </c>
      <c r="M45" s="191">
        <v>25</v>
      </c>
      <c r="N45" s="191">
        <v>25</v>
      </c>
      <c r="O45" s="191">
        <v>25</v>
      </c>
      <c r="P45" s="191">
        <v>25</v>
      </c>
      <c r="Q45" s="191">
        <v>25</v>
      </c>
      <c r="R45" s="191">
        <v>25</v>
      </c>
      <c r="S45" s="191">
        <v>25</v>
      </c>
      <c r="T45" s="191">
        <v>25</v>
      </c>
      <c r="U45" s="191">
        <v>25</v>
      </c>
      <c r="V45" s="191">
        <v>25</v>
      </c>
      <c r="W45" s="191">
        <v>25</v>
      </c>
      <c r="X45" s="191">
        <v>25</v>
      </c>
      <c r="Y45" s="191">
        <v>25</v>
      </c>
      <c r="Z45" s="191">
        <v>25</v>
      </c>
      <c r="AA45" s="191">
        <v>25</v>
      </c>
      <c r="AB45" s="191">
        <v>25</v>
      </c>
      <c r="AC45" s="191">
        <v>25</v>
      </c>
      <c r="AD45" s="191">
        <v>25</v>
      </c>
      <c r="AE45" s="191">
        <v>25</v>
      </c>
      <c r="AF45" s="191">
        <v>25</v>
      </c>
      <c r="AG45" s="191">
        <v>25</v>
      </c>
      <c r="AH45" s="191">
        <v>25</v>
      </c>
    </row>
    <row r="46" spans="2:34" s="8" customFormat="1" ht="14" x14ac:dyDescent="0.2">
      <c r="B46" s="8" t="s">
        <v>460</v>
      </c>
      <c r="E46" s="183"/>
      <c r="F46" s="218">
        <f>SUM(F40:F45)</f>
        <v>280</v>
      </c>
      <c r="G46" s="218">
        <f t="shared" ref="G46:AH46" si="6">SUM(G40:G45)</f>
        <v>280</v>
      </c>
      <c r="H46" s="218">
        <f t="shared" si="6"/>
        <v>280</v>
      </c>
      <c r="I46" s="218">
        <f t="shared" si="6"/>
        <v>280</v>
      </c>
      <c r="J46" s="218">
        <f t="shared" si="6"/>
        <v>280</v>
      </c>
      <c r="K46" s="218">
        <f t="shared" si="6"/>
        <v>280</v>
      </c>
      <c r="L46" s="218">
        <f t="shared" si="6"/>
        <v>280</v>
      </c>
      <c r="M46" s="218">
        <f t="shared" si="6"/>
        <v>280</v>
      </c>
      <c r="N46" s="218">
        <f t="shared" si="6"/>
        <v>280</v>
      </c>
      <c r="O46" s="218">
        <f t="shared" si="6"/>
        <v>280</v>
      </c>
      <c r="P46" s="218">
        <f t="shared" si="6"/>
        <v>280</v>
      </c>
      <c r="Q46" s="218">
        <f t="shared" si="6"/>
        <v>280</v>
      </c>
      <c r="R46" s="218">
        <f t="shared" si="6"/>
        <v>280</v>
      </c>
      <c r="S46" s="218">
        <f t="shared" si="6"/>
        <v>280</v>
      </c>
      <c r="T46" s="218">
        <f t="shared" si="6"/>
        <v>280</v>
      </c>
      <c r="U46" s="218">
        <f t="shared" si="6"/>
        <v>280</v>
      </c>
      <c r="V46" s="218">
        <f t="shared" si="6"/>
        <v>280</v>
      </c>
      <c r="W46" s="218">
        <f t="shared" si="6"/>
        <v>280</v>
      </c>
      <c r="X46" s="218">
        <f t="shared" si="6"/>
        <v>280</v>
      </c>
      <c r="Y46" s="218">
        <f t="shared" si="6"/>
        <v>280</v>
      </c>
      <c r="Z46" s="218">
        <f t="shared" si="6"/>
        <v>280</v>
      </c>
      <c r="AA46" s="218">
        <f t="shared" si="6"/>
        <v>280</v>
      </c>
      <c r="AB46" s="218">
        <f t="shared" si="6"/>
        <v>280</v>
      </c>
      <c r="AC46" s="218">
        <f t="shared" si="6"/>
        <v>280</v>
      </c>
      <c r="AD46" s="218">
        <f t="shared" si="6"/>
        <v>280</v>
      </c>
      <c r="AE46" s="218">
        <f t="shared" si="6"/>
        <v>280</v>
      </c>
      <c r="AF46" s="218">
        <f t="shared" si="6"/>
        <v>280</v>
      </c>
      <c r="AG46" s="218">
        <f t="shared" si="6"/>
        <v>280</v>
      </c>
      <c r="AH46" s="218">
        <f t="shared" si="6"/>
        <v>280</v>
      </c>
    </row>
    <row r="47" spans="2:34" s="8" customFormat="1" ht="14" x14ac:dyDescent="0.2">
      <c r="E47" s="183"/>
      <c r="F47" s="218"/>
      <c r="G47" s="218"/>
      <c r="H47" s="218"/>
      <c r="I47" s="218"/>
      <c r="J47" s="218"/>
      <c r="K47" s="218"/>
      <c r="L47" s="218"/>
      <c r="M47" s="218"/>
      <c r="N47" s="218"/>
      <c r="O47" s="218"/>
      <c r="P47" s="218"/>
      <c r="Q47" s="218"/>
      <c r="R47" s="218"/>
      <c r="S47" s="218"/>
      <c r="T47" s="218"/>
      <c r="U47" s="218"/>
      <c r="V47" s="218"/>
      <c r="W47" s="218"/>
      <c r="X47" s="218"/>
      <c r="Y47" s="218"/>
      <c r="Z47" s="218"/>
      <c r="AA47" s="218"/>
      <c r="AB47" s="218"/>
      <c r="AC47" s="218"/>
      <c r="AD47" s="218"/>
      <c r="AE47" s="218"/>
      <c r="AF47" s="218"/>
      <c r="AG47" s="218"/>
      <c r="AH47" s="218"/>
    </row>
    <row r="48" spans="2:34" s="8" customFormat="1" ht="14" x14ac:dyDescent="0.2">
      <c r="B48" s="8" t="str">
        <f>"Annual sale of " &amp;E$26</f>
        <v>Annual sale of Land</v>
      </c>
      <c r="D48" s="10" t="str">
        <f>'Assumptions - General'!$E$27 &amp;" millions"</f>
        <v>R$ millions</v>
      </c>
      <c r="E48" s="434" t="str">
        <f t="shared" ref="E48:E53" si="7">IF(SUM(F48:AH48)&gt;E33,"WARNING: ASSETS SALES&gt;INITIAL VALUE"," ")</f>
        <v xml:space="preserve"> </v>
      </c>
      <c r="F48" s="191">
        <v>5</v>
      </c>
      <c r="G48" s="191">
        <v>5</v>
      </c>
      <c r="H48" s="191">
        <v>5</v>
      </c>
      <c r="I48" s="191">
        <v>5</v>
      </c>
      <c r="J48" s="191">
        <v>5</v>
      </c>
      <c r="K48" s="191">
        <v>5</v>
      </c>
      <c r="L48" s="191">
        <v>5</v>
      </c>
      <c r="M48" s="191">
        <v>5</v>
      </c>
      <c r="N48" s="191">
        <v>5</v>
      </c>
      <c r="O48" s="191">
        <v>5</v>
      </c>
      <c r="P48" s="191">
        <f>O48</f>
        <v>5</v>
      </c>
      <c r="Q48" s="191">
        <v>5</v>
      </c>
      <c r="R48" s="191">
        <v>5</v>
      </c>
      <c r="S48" s="191">
        <v>5</v>
      </c>
      <c r="T48" s="191">
        <v>5</v>
      </c>
      <c r="U48" s="191">
        <v>5</v>
      </c>
      <c r="V48" s="191">
        <v>5</v>
      </c>
      <c r="W48" s="191">
        <v>5</v>
      </c>
      <c r="X48" s="191">
        <v>5</v>
      </c>
      <c r="Y48" s="191">
        <v>5</v>
      </c>
      <c r="Z48" s="191">
        <v>0</v>
      </c>
      <c r="AA48" s="191">
        <v>0</v>
      </c>
      <c r="AB48" s="191">
        <v>0</v>
      </c>
      <c r="AC48" s="191">
        <v>0</v>
      </c>
      <c r="AD48" s="191">
        <v>0</v>
      </c>
      <c r="AE48" s="191">
        <v>0</v>
      </c>
      <c r="AF48" s="191">
        <v>0</v>
      </c>
      <c r="AG48" s="191">
        <v>0</v>
      </c>
      <c r="AH48" s="191">
        <v>0</v>
      </c>
    </row>
    <row r="49" spans="2:34" s="8" customFormat="1" ht="14" x14ac:dyDescent="0.2">
      <c r="B49" s="8" t="str">
        <f>"Annual sale of " &amp;E$27</f>
        <v>Annual sale of Buildings and structures</v>
      </c>
      <c r="D49" s="10" t="str">
        <f>'Assumptions - General'!$E$27 &amp;" millions"</f>
        <v>R$ millions</v>
      </c>
      <c r="E49" s="434" t="str">
        <f t="shared" si="7"/>
        <v xml:space="preserve"> </v>
      </c>
      <c r="F49" s="191">
        <v>5</v>
      </c>
      <c r="G49" s="191">
        <v>5</v>
      </c>
      <c r="H49" s="191">
        <v>5</v>
      </c>
      <c r="I49" s="191">
        <v>5</v>
      </c>
      <c r="J49" s="191">
        <v>5</v>
      </c>
      <c r="K49" s="191">
        <v>5</v>
      </c>
      <c r="L49" s="191">
        <v>5</v>
      </c>
      <c r="M49" s="191">
        <v>5</v>
      </c>
      <c r="N49" s="191">
        <v>5</v>
      </c>
      <c r="O49" s="191">
        <v>5</v>
      </c>
      <c r="P49" s="191">
        <f>O49</f>
        <v>5</v>
      </c>
      <c r="Q49" s="191">
        <v>5</v>
      </c>
      <c r="R49" s="191">
        <v>5</v>
      </c>
      <c r="S49" s="191">
        <v>5</v>
      </c>
      <c r="T49" s="191">
        <v>5</v>
      </c>
      <c r="U49" s="191">
        <v>5</v>
      </c>
      <c r="V49" s="191">
        <v>5</v>
      </c>
      <c r="W49" s="191">
        <v>5</v>
      </c>
      <c r="X49" s="191">
        <v>5</v>
      </c>
      <c r="Y49" s="191">
        <v>5</v>
      </c>
      <c r="Z49" s="191">
        <v>5</v>
      </c>
      <c r="AA49" s="191">
        <v>5</v>
      </c>
      <c r="AB49" s="191">
        <v>5</v>
      </c>
      <c r="AC49" s="191">
        <v>5</v>
      </c>
      <c r="AD49" s="191">
        <v>5</v>
      </c>
      <c r="AE49" s="191">
        <v>5</v>
      </c>
      <c r="AF49" s="191">
        <v>5</v>
      </c>
      <c r="AG49" s="191">
        <v>5</v>
      </c>
      <c r="AH49" s="191">
        <v>5</v>
      </c>
    </row>
    <row r="50" spans="2:34" s="8" customFormat="1" ht="14" x14ac:dyDescent="0.2">
      <c r="B50" s="8" t="str">
        <f>"Annual sale of " &amp;E$28</f>
        <v>Annual sale of Track and infrastructure</v>
      </c>
      <c r="D50" s="10" t="str">
        <f>'Assumptions - General'!$E$27 &amp;" millions"</f>
        <v>R$ millions</v>
      </c>
      <c r="E50" s="434" t="str">
        <f t="shared" si="7"/>
        <v xml:space="preserve"> </v>
      </c>
      <c r="F50" s="191">
        <v>5</v>
      </c>
      <c r="G50" s="191">
        <v>5</v>
      </c>
      <c r="H50" s="191">
        <v>5</v>
      </c>
      <c r="I50" s="191">
        <v>5</v>
      </c>
      <c r="J50" s="191">
        <v>5</v>
      </c>
      <c r="K50" s="191">
        <v>5</v>
      </c>
      <c r="L50" s="191">
        <v>5</v>
      </c>
      <c r="M50" s="191">
        <v>5</v>
      </c>
      <c r="N50" s="191">
        <v>5</v>
      </c>
      <c r="O50" s="191">
        <v>5</v>
      </c>
      <c r="P50" s="191">
        <f>O50</f>
        <v>5</v>
      </c>
      <c r="Q50" s="191">
        <v>5</v>
      </c>
      <c r="R50" s="191">
        <v>5</v>
      </c>
      <c r="S50" s="191">
        <v>5</v>
      </c>
      <c r="T50" s="191">
        <v>5</v>
      </c>
      <c r="U50" s="191">
        <v>5</v>
      </c>
      <c r="V50" s="191">
        <v>5</v>
      </c>
      <c r="W50" s="191">
        <v>5</v>
      </c>
      <c r="X50" s="191">
        <v>5</v>
      </c>
      <c r="Y50" s="191">
        <v>5</v>
      </c>
      <c r="Z50" s="191">
        <v>5</v>
      </c>
      <c r="AA50" s="191">
        <v>5</v>
      </c>
      <c r="AB50" s="191">
        <v>5</v>
      </c>
      <c r="AC50" s="191">
        <v>5</v>
      </c>
      <c r="AD50" s="191">
        <v>5</v>
      </c>
      <c r="AE50" s="191">
        <v>5</v>
      </c>
      <c r="AF50" s="191">
        <v>5</v>
      </c>
      <c r="AG50" s="191">
        <v>5</v>
      </c>
      <c r="AH50" s="191">
        <v>5</v>
      </c>
    </row>
    <row r="51" spans="2:34" s="8" customFormat="1" ht="14" x14ac:dyDescent="0.2">
      <c r="B51" s="8" t="str">
        <f>"Annual sale of " &amp;E$29</f>
        <v>Annual sale of Locomotives and railway cars</v>
      </c>
      <c r="D51" s="10" t="str">
        <f>'Assumptions - General'!$E$27 &amp;" millions"</f>
        <v>R$ millions</v>
      </c>
      <c r="E51" s="434" t="str">
        <f t="shared" si="7"/>
        <v xml:space="preserve"> </v>
      </c>
      <c r="F51" s="191">
        <v>5</v>
      </c>
      <c r="G51" s="191">
        <v>5</v>
      </c>
      <c r="H51" s="191">
        <v>5</v>
      </c>
      <c r="I51" s="191">
        <v>5</v>
      </c>
      <c r="J51" s="191">
        <v>5</v>
      </c>
      <c r="K51" s="191">
        <v>5</v>
      </c>
      <c r="L51" s="191">
        <v>5</v>
      </c>
      <c r="M51" s="191">
        <v>5</v>
      </c>
      <c r="N51" s="191">
        <v>5</v>
      </c>
      <c r="O51" s="191">
        <v>5</v>
      </c>
      <c r="P51" s="191">
        <f>O51</f>
        <v>5</v>
      </c>
      <c r="Q51" s="191">
        <v>5</v>
      </c>
      <c r="R51" s="191">
        <v>5</v>
      </c>
      <c r="S51" s="191">
        <v>5</v>
      </c>
      <c r="T51" s="191">
        <v>5</v>
      </c>
      <c r="U51" s="191">
        <v>5</v>
      </c>
      <c r="V51" s="191">
        <v>5</v>
      </c>
      <c r="W51" s="191">
        <v>5</v>
      </c>
      <c r="X51" s="191">
        <v>5</v>
      </c>
      <c r="Y51" s="191">
        <v>5</v>
      </c>
      <c r="Z51" s="191">
        <v>5</v>
      </c>
      <c r="AA51" s="191">
        <v>5</v>
      </c>
      <c r="AB51" s="191">
        <v>5</v>
      </c>
      <c r="AC51" s="191">
        <v>5</v>
      </c>
      <c r="AD51" s="191">
        <v>5</v>
      </c>
      <c r="AE51" s="191">
        <v>5</v>
      </c>
      <c r="AF51" s="191">
        <v>5</v>
      </c>
      <c r="AG51" s="191">
        <v>5</v>
      </c>
      <c r="AH51" s="191">
        <v>5</v>
      </c>
    </row>
    <row r="52" spans="2:34" s="8" customFormat="1" ht="14" x14ac:dyDescent="0.2">
      <c r="B52" s="8" t="str">
        <f>"Annual sale of " &amp;E$30</f>
        <v>Annual sale of Machines, equipment and spare parts</v>
      </c>
      <c r="D52" s="10" t="str">
        <f>'Assumptions - General'!$E$27 &amp;" millions"</f>
        <v>R$ millions</v>
      </c>
      <c r="E52" s="434" t="str">
        <f t="shared" si="7"/>
        <v xml:space="preserve"> </v>
      </c>
      <c r="F52" s="191">
        <v>5</v>
      </c>
      <c r="G52" s="191">
        <v>5</v>
      </c>
      <c r="H52" s="191">
        <v>5</v>
      </c>
      <c r="I52" s="191">
        <v>5</v>
      </c>
      <c r="J52" s="191">
        <v>5</v>
      </c>
      <c r="K52" s="191">
        <v>5</v>
      </c>
      <c r="L52" s="191">
        <v>5</v>
      </c>
      <c r="M52" s="191">
        <v>5</v>
      </c>
      <c r="N52" s="191">
        <v>5</v>
      </c>
      <c r="O52" s="191">
        <v>5</v>
      </c>
      <c r="P52" s="191">
        <f>O52</f>
        <v>5</v>
      </c>
      <c r="Q52" s="191">
        <v>5</v>
      </c>
      <c r="R52" s="191">
        <v>5</v>
      </c>
      <c r="S52" s="191">
        <v>5</v>
      </c>
      <c r="T52" s="191">
        <v>5</v>
      </c>
      <c r="U52" s="191">
        <v>5</v>
      </c>
      <c r="V52" s="191">
        <v>5</v>
      </c>
      <c r="W52" s="191">
        <v>5</v>
      </c>
      <c r="X52" s="191">
        <v>5</v>
      </c>
      <c r="Y52" s="191">
        <v>5</v>
      </c>
      <c r="Z52" s="191">
        <v>5</v>
      </c>
      <c r="AA52" s="191">
        <v>5</v>
      </c>
      <c r="AB52" s="191">
        <v>5</v>
      </c>
      <c r="AC52" s="191">
        <v>5</v>
      </c>
      <c r="AD52" s="191">
        <v>5</v>
      </c>
      <c r="AE52" s="191">
        <v>5</v>
      </c>
      <c r="AF52" s="191">
        <v>5</v>
      </c>
      <c r="AG52" s="191">
        <v>5</v>
      </c>
      <c r="AH52" s="191">
        <v>5</v>
      </c>
    </row>
    <row r="53" spans="2:34" s="8" customFormat="1" ht="14" x14ac:dyDescent="0.2">
      <c r="B53" s="8" t="str">
        <f>"Annual sale of " &amp;E$31</f>
        <v>Annual sale of Others</v>
      </c>
      <c r="D53" s="10" t="str">
        <f>'Assumptions - General'!$E$27 &amp;" millions"</f>
        <v>R$ millions</v>
      </c>
      <c r="E53" s="434" t="str">
        <f t="shared" si="7"/>
        <v xml:space="preserve"> </v>
      </c>
      <c r="F53" s="191">
        <v>5</v>
      </c>
      <c r="G53" s="191">
        <v>5</v>
      </c>
      <c r="H53" s="191">
        <v>5</v>
      </c>
      <c r="I53" s="191">
        <v>5</v>
      </c>
      <c r="J53" s="191">
        <v>5</v>
      </c>
      <c r="K53" s="191">
        <v>5</v>
      </c>
      <c r="L53" s="191">
        <v>5</v>
      </c>
      <c r="M53" s="191">
        <v>5</v>
      </c>
      <c r="N53" s="191">
        <v>0</v>
      </c>
      <c r="O53" s="191">
        <v>0</v>
      </c>
      <c r="P53" s="191">
        <v>0</v>
      </c>
      <c r="Q53" s="191">
        <v>0</v>
      </c>
      <c r="R53" s="191">
        <v>0</v>
      </c>
      <c r="S53" s="191">
        <v>0</v>
      </c>
      <c r="T53" s="191">
        <v>0</v>
      </c>
      <c r="U53" s="191">
        <v>0</v>
      </c>
      <c r="V53" s="191">
        <v>0</v>
      </c>
      <c r="W53" s="191">
        <v>0</v>
      </c>
      <c r="X53" s="191">
        <v>0</v>
      </c>
      <c r="Y53" s="191">
        <v>0</v>
      </c>
      <c r="Z53" s="191">
        <v>0</v>
      </c>
      <c r="AA53" s="191">
        <v>0</v>
      </c>
      <c r="AB53" s="191">
        <v>0</v>
      </c>
      <c r="AC53" s="191">
        <v>0</v>
      </c>
      <c r="AD53" s="191">
        <v>0</v>
      </c>
      <c r="AE53" s="191">
        <v>0</v>
      </c>
      <c r="AF53" s="191">
        <v>0</v>
      </c>
      <c r="AG53" s="191">
        <v>0</v>
      </c>
      <c r="AH53" s="191">
        <v>0</v>
      </c>
    </row>
    <row r="54" spans="2:34" s="8" customFormat="1" ht="14" x14ac:dyDescent="0.2">
      <c r="B54" s="8" t="s">
        <v>460</v>
      </c>
      <c r="D54" s="10" t="str">
        <f>'Assumptions - General'!$E$27 &amp;" millions"</f>
        <v>R$ millions</v>
      </c>
      <c r="E54" s="183"/>
      <c r="F54" s="218">
        <f t="shared" ref="F54:AH54" si="8">SUM(F48:F53)</f>
        <v>30</v>
      </c>
      <c r="G54" s="218">
        <f t="shared" si="8"/>
        <v>30</v>
      </c>
      <c r="H54" s="218">
        <f t="shared" si="8"/>
        <v>30</v>
      </c>
      <c r="I54" s="218">
        <f t="shared" si="8"/>
        <v>30</v>
      </c>
      <c r="J54" s="218">
        <f t="shared" si="8"/>
        <v>30</v>
      </c>
      <c r="K54" s="218">
        <f t="shared" si="8"/>
        <v>30</v>
      </c>
      <c r="L54" s="218">
        <f t="shared" si="8"/>
        <v>30</v>
      </c>
      <c r="M54" s="218">
        <f t="shared" si="8"/>
        <v>30</v>
      </c>
      <c r="N54" s="218">
        <f t="shared" si="8"/>
        <v>25</v>
      </c>
      <c r="O54" s="218">
        <f t="shared" si="8"/>
        <v>25</v>
      </c>
      <c r="P54" s="218">
        <f t="shared" si="8"/>
        <v>25</v>
      </c>
      <c r="Q54" s="218">
        <f t="shared" si="8"/>
        <v>25</v>
      </c>
      <c r="R54" s="218">
        <f t="shared" si="8"/>
        <v>25</v>
      </c>
      <c r="S54" s="218">
        <f t="shared" si="8"/>
        <v>25</v>
      </c>
      <c r="T54" s="218">
        <f t="shared" si="8"/>
        <v>25</v>
      </c>
      <c r="U54" s="218">
        <f t="shared" si="8"/>
        <v>25</v>
      </c>
      <c r="V54" s="218">
        <f t="shared" si="8"/>
        <v>25</v>
      </c>
      <c r="W54" s="218">
        <f t="shared" si="8"/>
        <v>25</v>
      </c>
      <c r="X54" s="218">
        <f t="shared" si="8"/>
        <v>25</v>
      </c>
      <c r="Y54" s="218">
        <f t="shared" si="8"/>
        <v>25</v>
      </c>
      <c r="Z54" s="218">
        <f t="shared" si="8"/>
        <v>20</v>
      </c>
      <c r="AA54" s="218">
        <f t="shared" si="8"/>
        <v>20</v>
      </c>
      <c r="AB54" s="218">
        <f t="shared" si="8"/>
        <v>20</v>
      </c>
      <c r="AC54" s="218">
        <f t="shared" si="8"/>
        <v>20</v>
      </c>
      <c r="AD54" s="218">
        <f t="shared" si="8"/>
        <v>20</v>
      </c>
      <c r="AE54" s="218">
        <f t="shared" si="8"/>
        <v>20</v>
      </c>
      <c r="AF54" s="218">
        <f t="shared" si="8"/>
        <v>20</v>
      </c>
      <c r="AG54" s="218">
        <f t="shared" si="8"/>
        <v>20</v>
      </c>
      <c r="AH54" s="218">
        <f t="shared" si="8"/>
        <v>20</v>
      </c>
    </row>
    <row r="55" spans="2:34" s="8" customFormat="1" ht="14" x14ac:dyDescent="0.2">
      <c r="D55" s="10"/>
      <c r="E55" s="183"/>
      <c r="F55" s="218"/>
      <c r="G55" s="218"/>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row>
    <row r="56" spans="2:34" s="8" customFormat="1" ht="14" x14ac:dyDescent="0.2">
      <c r="B56" s="8" t="s">
        <v>414</v>
      </c>
      <c r="D56" s="10" t="str">
        <f>'Assumptions - General'!$E$27 &amp;" millions"</f>
        <v>R$ millions</v>
      </c>
      <c r="E56" s="181">
        <v>45</v>
      </c>
    </row>
    <row r="57" spans="2:34" s="8" customFormat="1" ht="14" x14ac:dyDescent="0.2"/>
    <row r="58" spans="2:34" s="8" customFormat="1" ht="14" x14ac:dyDescent="0.2">
      <c r="B58" s="21" t="str">
        <f>"Depreciation of " &amp;E26</f>
        <v>Depreciation of Land</v>
      </c>
      <c r="D58" s="86"/>
      <c r="E58" s="208" t="str">
        <f>IF(AND(E60=1,SUM(E63:AH63)&gt;0),"WARNING: MANUAL INPUT OF DEPRECIATION WITH MODEL CALCULATION",IF(AND(E60=2,SUM(E63:AH63)=0),"WARNING: DEPRECIATION MISSING WITH MANUAL ENTRY"," "))</f>
        <v xml:space="preserve"> </v>
      </c>
    </row>
    <row r="59" spans="2:34" s="8" customFormat="1" ht="14" x14ac:dyDescent="0.2">
      <c r="B59" s="14" t="s">
        <v>669</v>
      </c>
      <c r="D59" s="10" t="str">
        <f>'Assumptions - General'!$E$27 &amp;" millions"</f>
        <v>R$ millions</v>
      </c>
      <c r="E59" s="208"/>
      <c r="F59" s="461">
        <v>0</v>
      </c>
      <c r="G59" s="461">
        <v>0</v>
      </c>
      <c r="H59" s="461">
        <v>0</v>
      </c>
      <c r="I59" s="461">
        <v>0</v>
      </c>
      <c r="J59" s="461">
        <v>0</v>
      </c>
      <c r="K59" s="461">
        <v>0</v>
      </c>
      <c r="L59" s="461">
        <v>0</v>
      </c>
      <c r="M59" s="461">
        <v>0</v>
      </c>
      <c r="N59" s="461">
        <v>0</v>
      </c>
      <c r="O59" s="461">
        <v>0</v>
      </c>
      <c r="P59" s="461">
        <v>0</v>
      </c>
      <c r="Q59" s="461">
        <v>0</v>
      </c>
      <c r="R59" s="461">
        <v>0</v>
      </c>
      <c r="S59" s="461">
        <v>0</v>
      </c>
      <c r="T59" s="461">
        <v>0</v>
      </c>
      <c r="U59" s="461">
        <v>0</v>
      </c>
      <c r="V59" s="461">
        <v>0</v>
      </c>
      <c r="W59" s="461">
        <v>0</v>
      </c>
      <c r="X59" s="461">
        <v>0</v>
      </c>
      <c r="Y59" s="461">
        <v>0</v>
      </c>
      <c r="Z59" s="461">
        <v>0</v>
      </c>
      <c r="AA59" s="461">
        <v>0</v>
      </c>
      <c r="AB59" s="461">
        <v>0</v>
      </c>
      <c r="AC59" s="461">
        <v>0</v>
      </c>
      <c r="AD59" s="461">
        <v>0</v>
      </c>
      <c r="AE59" s="461">
        <v>0</v>
      </c>
      <c r="AF59" s="461">
        <v>0</v>
      </c>
      <c r="AG59" s="461">
        <v>0</v>
      </c>
      <c r="AH59" s="461">
        <v>0</v>
      </c>
    </row>
    <row r="60" spans="2:34" s="8" customFormat="1" ht="14" x14ac:dyDescent="0.2">
      <c r="B60" s="14" t="s">
        <v>670</v>
      </c>
      <c r="D60" s="8" t="s">
        <v>209</v>
      </c>
      <c r="E60" s="177">
        <f>IF(F60="Model",1,2)</f>
        <v>1</v>
      </c>
      <c r="F60" s="87" t="s">
        <v>355</v>
      </c>
      <c r="G60" s="87"/>
    </row>
    <row r="61" spans="2:34" s="8" customFormat="1" ht="14" x14ac:dyDescent="0.2">
      <c r="B61" s="14"/>
      <c r="E61" s="177"/>
      <c r="G61" s="87"/>
    </row>
    <row r="62" spans="2:34" s="8" customFormat="1" ht="14" x14ac:dyDescent="0.2">
      <c r="B62" s="89" t="str">
        <f>IF(E60=1,"If calculated, define the average life of new assets"," ")</f>
        <v>If calculated, define the average life of new assets</v>
      </c>
      <c r="C62" s="119"/>
      <c r="D62" s="209" t="str">
        <f>IF(E60=1,"Years"," ")</f>
        <v>Years</v>
      </c>
      <c r="E62" s="200">
        <v>100</v>
      </c>
    </row>
    <row r="63" spans="2:34" s="8" customFormat="1" ht="14" x14ac:dyDescent="0.2">
      <c r="B63" s="14" t="str">
        <f>IF(E60=2,"If entered manually, define annual depreciation expense"," ")</f>
        <v xml:space="preserve"> </v>
      </c>
      <c r="D63" s="10" t="str">
        <f>IF(E60=2,'Assumptions - General'!$E$27 &amp;" millions"," ")</f>
        <v xml:space="preserve"> </v>
      </c>
      <c r="E63" s="182"/>
      <c r="F63" s="110"/>
      <c r="G63" s="110"/>
      <c r="H63" s="110"/>
      <c r="I63" s="110"/>
      <c r="J63" s="110"/>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row>
    <row r="64" spans="2:34" s="8" customFormat="1" ht="14" x14ac:dyDescent="0.2">
      <c r="B64" s="21" t="str">
        <f>"Depreciation of " &amp;E27</f>
        <v>Depreciation of Buildings and structures</v>
      </c>
      <c r="D64" s="10"/>
      <c r="E64" s="208" t="str">
        <f>IF(AND(E65=1,SUM(E70:AH70)&gt;0),"WARNING: MANUAL INPUT OF DEPRECIATION WITH MODEL CALCULATION",IF(AND(E65=2,SUM(E70:AH70)=0),"WARNING: DEPRECIATION MISSING WITH MANUAL ENTRY"," "))</f>
        <v xml:space="preserve"> </v>
      </c>
    </row>
    <row r="65" spans="2:34" s="8" customFormat="1" ht="14" x14ac:dyDescent="0.2">
      <c r="B65" s="14" t="s">
        <v>342</v>
      </c>
      <c r="D65" s="8" t="s">
        <v>209</v>
      </c>
      <c r="E65" s="177">
        <f>IF(F65="Model",1,2)</f>
        <v>1</v>
      </c>
      <c r="F65" s="87" t="s">
        <v>355</v>
      </c>
    </row>
    <row r="66" spans="2:34" s="8" customFormat="1" ht="14" x14ac:dyDescent="0.2">
      <c r="B66" s="14"/>
      <c r="E66" s="177"/>
    </row>
    <row r="67" spans="2:34" s="8" customFormat="1" ht="14" x14ac:dyDescent="0.2">
      <c r="B67" s="89" t="str">
        <f>IF(E65=1,"If calculated, define the average remaining life of existing assets"," ")</f>
        <v>If calculated, define the average remaining life of existing assets</v>
      </c>
      <c r="C67" s="119"/>
      <c r="D67" s="209" t="str">
        <f>IF(E65=1,"Years"," ")</f>
        <v>Years</v>
      </c>
      <c r="E67" s="200">
        <v>38</v>
      </c>
      <c r="G67" s="87"/>
    </row>
    <row r="68" spans="2:34" s="8" customFormat="1" ht="14" x14ac:dyDescent="0.2">
      <c r="B68" s="89"/>
      <c r="C68" s="119"/>
      <c r="D68" s="209"/>
      <c r="E68" s="200"/>
      <c r="G68" s="87"/>
    </row>
    <row r="69" spans="2:34" s="8" customFormat="1" ht="14" x14ac:dyDescent="0.2">
      <c r="B69" s="89" t="str">
        <f>IF(E65=1,"If calculated, define the average life of new assets"," ")</f>
        <v>If calculated, define the average life of new assets</v>
      </c>
      <c r="C69" s="119"/>
      <c r="D69" s="209" t="str">
        <f>IF(E65=1,"Years"," ")</f>
        <v>Years</v>
      </c>
      <c r="E69" s="200">
        <v>38</v>
      </c>
    </row>
    <row r="70" spans="2:34" s="8" customFormat="1" ht="14" x14ac:dyDescent="0.2">
      <c r="B70" s="14" t="str">
        <f>IF(E65=2,"If entered manually, define annual depreciation expense"," ")</f>
        <v xml:space="preserve"> </v>
      </c>
      <c r="D70" s="10" t="str">
        <f>IF(E65=2,'Assumptions - General'!$E$27 &amp;" millions"," ")</f>
        <v xml:space="preserve"> </v>
      </c>
      <c r="E70" s="182"/>
      <c r="F70" s="110"/>
      <c r="G70" s="110"/>
      <c r="H70" s="110"/>
      <c r="I70" s="110"/>
      <c r="J70" s="110"/>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row>
    <row r="71" spans="2:34" s="20" customFormat="1" ht="14" x14ac:dyDescent="0.2">
      <c r="B71" s="32"/>
      <c r="D71" s="122"/>
      <c r="E71" s="182"/>
    </row>
    <row r="72" spans="2:34" s="8" customFormat="1" ht="14" x14ac:dyDescent="0.2">
      <c r="B72" s="21" t="str">
        <f>"Depreciation of " &amp;E28</f>
        <v>Depreciation of Track and infrastructure</v>
      </c>
      <c r="D72" s="10"/>
      <c r="E72" s="208" t="str">
        <f>IF(AND(E73=1,SUM(E78:AH78)&gt;0),"WARNING: MANUAL INPUT OF DEPRECIATION WITH MODEL CALCULATION",IF(AND(E73=2,SUM(E78:AH78)=0),"WARNING: DEPRECIATION MISSING WITH MANUAL ENTRY"," "))</f>
        <v xml:space="preserve"> </v>
      </c>
    </row>
    <row r="73" spans="2:34" s="8" customFormat="1" ht="14" x14ac:dyDescent="0.2">
      <c r="B73" s="14" t="s">
        <v>342</v>
      </c>
      <c r="D73" s="8" t="s">
        <v>209</v>
      </c>
      <c r="E73" s="177">
        <f>IF(F73="Model",1,2)</f>
        <v>1</v>
      </c>
      <c r="F73" s="87" t="s">
        <v>355</v>
      </c>
    </row>
    <row r="74" spans="2:34" s="8" customFormat="1" ht="14" x14ac:dyDescent="0.2">
      <c r="B74" s="14"/>
      <c r="E74" s="177"/>
    </row>
    <row r="75" spans="2:34" s="8" customFormat="1" ht="14" x14ac:dyDescent="0.2">
      <c r="B75" s="89" t="str">
        <f>IF(E73=1,"If calculated, define the average remaining life of existing assets"," ")</f>
        <v>If calculated, define the average remaining life of existing assets</v>
      </c>
      <c r="C75" s="119"/>
      <c r="D75" s="209" t="str">
        <f>IF(E73=1,"Years"," ")</f>
        <v>Years</v>
      </c>
      <c r="E75" s="200">
        <v>38</v>
      </c>
      <c r="G75" s="87"/>
    </row>
    <row r="76" spans="2:34" s="8" customFormat="1" ht="14" x14ac:dyDescent="0.2">
      <c r="B76" s="89"/>
      <c r="C76" s="119"/>
      <c r="D76" s="209"/>
      <c r="E76" s="200"/>
      <c r="G76" s="87"/>
    </row>
    <row r="77" spans="2:34" s="8" customFormat="1" ht="14" x14ac:dyDescent="0.2">
      <c r="B77" s="89" t="str">
        <f>IF(E73=1,"If calculated, define the average life of new assets"," ")</f>
        <v>If calculated, define the average life of new assets</v>
      </c>
      <c r="C77" s="119"/>
      <c r="D77" s="209" t="str">
        <f>IF(E73=1,"Years"," ")</f>
        <v>Years</v>
      </c>
      <c r="E77" s="200">
        <v>38</v>
      </c>
    </row>
    <row r="78" spans="2:34" s="8" customFormat="1" ht="14" x14ac:dyDescent="0.2">
      <c r="B78" s="14" t="str">
        <f>IF(E73=2,"If entered manually, define annual depreciation expense"," ")</f>
        <v xml:space="preserve"> </v>
      </c>
      <c r="D78" s="10" t="str">
        <f>IF(E73=2,'Assumptions - General'!$E$27 &amp;" millions"," ")</f>
        <v xml:space="preserve"> </v>
      </c>
      <c r="E78" s="182"/>
      <c r="F78" s="110"/>
      <c r="G78" s="110"/>
      <c r="H78" s="110"/>
      <c r="I78" s="110"/>
      <c r="J78" s="110"/>
      <c r="K78" s="110"/>
      <c r="L78" s="110"/>
      <c r="M78" s="110"/>
      <c r="N78" s="110"/>
      <c r="O78" s="110"/>
      <c r="P78" s="110"/>
      <c r="Q78" s="110"/>
      <c r="R78" s="110"/>
      <c r="S78" s="110"/>
      <c r="T78" s="110"/>
      <c r="U78" s="110"/>
      <c r="V78" s="110"/>
      <c r="W78" s="110"/>
      <c r="X78" s="110"/>
      <c r="Y78" s="110"/>
      <c r="Z78" s="110"/>
      <c r="AA78" s="110"/>
      <c r="AB78" s="110"/>
      <c r="AC78" s="110"/>
      <c r="AD78" s="110"/>
      <c r="AE78" s="110"/>
      <c r="AF78" s="110"/>
      <c r="AG78" s="110"/>
      <c r="AH78" s="110"/>
    </row>
    <row r="79" spans="2:34" s="20" customFormat="1" ht="14" x14ac:dyDescent="0.2">
      <c r="B79" s="32"/>
      <c r="D79" s="122"/>
      <c r="E79" s="182"/>
    </row>
    <row r="80" spans="2:34" s="8" customFormat="1" ht="14" x14ac:dyDescent="0.2">
      <c r="B80" s="21" t="str">
        <f>"Depreciation of " &amp;E29</f>
        <v>Depreciation of Locomotives and railway cars</v>
      </c>
      <c r="D80" s="10"/>
      <c r="E80" s="208" t="str">
        <f>IF(AND(E81=1,SUM(E86:AH86)&gt;0),"WARNING: MANUAL INPUT OF DEPRECIATION WITH MODEL CALCULATION",IF(AND(E81=2,SUM(E86:AH86)=0),"WARNING: DEPRECIATION MISSING WITH MANUAL ENTRY"," "))</f>
        <v xml:space="preserve"> </v>
      </c>
    </row>
    <row r="81" spans="2:34" s="8" customFormat="1" ht="14" x14ac:dyDescent="0.2">
      <c r="B81" s="14" t="s">
        <v>342</v>
      </c>
      <c r="D81" s="8" t="s">
        <v>209</v>
      </c>
      <c r="E81" s="177">
        <f>IF(F81="Model",1,2)</f>
        <v>1</v>
      </c>
      <c r="F81" s="87" t="s">
        <v>355</v>
      </c>
    </row>
    <row r="82" spans="2:34" s="8" customFormat="1" ht="14" x14ac:dyDescent="0.2">
      <c r="B82" s="14"/>
      <c r="E82" s="177"/>
    </row>
    <row r="83" spans="2:34" s="8" customFormat="1" ht="14" x14ac:dyDescent="0.2">
      <c r="B83" s="89" t="str">
        <f>IF(E81=1,"If calculated, define the average remaining life of existing assets"," ")</f>
        <v>If calculated, define the average remaining life of existing assets</v>
      </c>
      <c r="C83" s="119"/>
      <c r="D83" s="209" t="str">
        <f>IF(E81=1,"Years"," ")</f>
        <v>Years</v>
      </c>
      <c r="E83" s="200">
        <v>23</v>
      </c>
      <c r="G83" s="87"/>
    </row>
    <row r="84" spans="2:34" s="8" customFormat="1" ht="14" x14ac:dyDescent="0.2">
      <c r="B84" s="89"/>
      <c r="C84" s="119"/>
      <c r="D84" s="209"/>
      <c r="E84" s="200"/>
      <c r="G84" s="87"/>
    </row>
    <row r="85" spans="2:34" s="8" customFormat="1" ht="14" x14ac:dyDescent="0.2">
      <c r="B85" s="89" t="str">
        <f>IF(E81=1,"If calculated, define the average life of new assets"," ")</f>
        <v>If calculated, define the average life of new assets</v>
      </c>
      <c r="C85" s="119"/>
      <c r="D85" s="209" t="str">
        <f>IF(E81=1,"Years"," ")</f>
        <v>Years</v>
      </c>
      <c r="E85" s="200">
        <v>53</v>
      </c>
    </row>
    <row r="86" spans="2:34" s="8" customFormat="1" ht="14" x14ac:dyDescent="0.2">
      <c r="B86" s="14" t="str">
        <f>IF(E81=2,"If entered manually, define annual depreciation expense"," ")</f>
        <v xml:space="preserve"> </v>
      </c>
      <c r="D86" s="10" t="str">
        <f>IF(E81=2,'Assumptions - General'!$E$27 &amp;" millions"," ")</f>
        <v xml:space="preserve"> </v>
      </c>
      <c r="E86" s="182"/>
      <c r="F86" s="110"/>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row>
    <row r="87" spans="2:34" s="20" customFormat="1" ht="14" x14ac:dyDescent="0.2">
      <c r="B87" s="32"/>
      <c r="D87" s="122"/>
      <c r="E87" s="182"/>
    </row>
    <row r="88" spans="2:34" s="8" customFormat="1" ht="14" x14ac:dyDescent="0.2">
      <c r="B88" s="21" t="str">
        <f>"Depreciation of " &amp;E30</f>
        <v>Depreciation of Machines, equipment and spare parts</v>
      </c>
      <c r="D88" s="10"/>
      <c r="E88" s="208" t="str">
        <f>IF(AND(E89=1,SUM(E94:AH94)&gt;0),"WARNING: MANUAL INPUT OF DEPRECIATION WITH MODEL CALCULATION",IF(AND(E89=2,SUM(E94:AH94)=0),"WARNING: DEPRECIATION MISSING WITH MANUAL ENTRY"," "))</f>
        <v xml:space="preserve"> </v>
      </c>
    </row>
    <row r="89" spans="2:34" s="8" customFormat="1" ht="14" x14ac:dyDescent="0.2">
      <c r="B89" s="14" t="s">
        <v>342</v>
      </c>
      <c r="D89" s="8" t="s">
        <v>209</v>
      </c>
      <c r="E89" s="177">
        <f>IF(F89="Model",1,2)</f>
        <v>1</v>
      </c>
      <c r="F89" s="87" t="s">
        <v>355</v>
      </c>
    </row>
    <row r="90" spans="2:34" s="8" customFormat="1" ht="14" x14ac:dyDescent="0.2">
      <c r="B90" s="14"/>
      <c r="E90" s="177"/>
    </row>
    <row r="91" spans="2:34" s="8" customFormat="1" ht="14" x14ac:dyDescent="0.2">
      <c r="B91" s="89" t="str">
        <f>IF(E89=1,"If calculated, define the average remaining life of existing assets"," ")</f>
        <v>If calculated, define the average remaining life of existing assets</v>
      </c>
      <c r="C91" s="119"/>
      <c r="D91" s="209" t="str">
        <f>IF(E89=1,"Years"," ")</f>
        <v>Years</v>
      </c>
      <c r="E91" s="200">
        <v>23</v>
      </c>
      <c r="G91" s="87"/>
    </row>
    <row r="92" spans="2:34" s="8" customFormat="1" ht="14" x14ac:dyDescent="0.2">
      <c r="B92" s="89"/>
      <c r="C92" s="119"/>
      <c r="D92" s="209"/>
      <c r="E92" s="200"/>
      <c r="G92" s="87"/>
    </row>
    <row r="93" spans="2:34" s="8" customFormat="1" ht="14" x14ac:dyDescent="0.2">
      <c r="B93" s="89" t="str">
        <f>IF(E89=1,"If calculated, define the average life of new assets"," ")</f>
        <v>If calculated, define the average life of new assets</v>
      </c>
      <c r="C93" s="119"/>
      <c r="D93" s="209" t="str">
        <f>IF(E89=1,"Years"," ")</f>
        <v>Years</v>
      </c>
      <c r="E93" s="200">
        <v>46</v>
      </c>
    </row>
    <row r="94" spans="2:34" s="8" customFormat="1" ht="14" x14ac:dyDescent="0.2">
      <c r="B94" s="14" t="str">
        <f>IF(E89=2,"If entered manually, define annual depreciation expense"," ")</f>
        <v xml:space="preserve"> </v>
      </c>
      <c r="D94" s="10" t="str">
        <f>IF(E89=2,'Assumptions - General'!$E$27 &amp;" millions"," ")</f>
        <v xml:space="preserve"> </v>
      </c>
      <c r="E94" s="182"/>
      <c r="F94" s="110"/>
      <c r="G94" s="110"/>
      <c r="H94" s="110"/>
      <c r="I94" s="110"/>
      <c r="J94" s="110"/>
      <c r="K94" s="110"/>
      <c r="L94" s="110"/>
      <c r="M94" s="110"/>
      <c r="N94" s="110"/>
      <c r="O94" s="110"/>
      <c r="P94" s="110"/>
      <c r="Q94" s="110"/>
      <c r="R94" s="110"/>
      <c r="S94" s="110"/>
      <c r="T94" s="110"/>
      <c r="U94" s="110"/>
      <c r="V94" s="110"/>
      <c r="W94" s="110"/>
      <c r="X94" s="110"/>
      <c r="Y94" s="110"/>
      <c r="Z94" s="110"/>
      <c r="AA94" s="110"/>
      <c r="AB94" s="110"/>
      <c r="AC94" s="110"/>
      <c r="AD94" s="110"/>
      <c r="AE94" s="110"/>
      <c r="AF94" s="110"/>
      <c r="AG94" s="110"/>
      <c r="AH94" s="110"/>
    </row>
    <row r="95" spans="2:34" s="20" customFormat="1" ht="14" x14ac:dyDescent="0.2">
      <c r="B95" s="32"/>
      <c r="D95" s="122"/>
      <c r="E95" s="182"/>
    </row>
    <row r="96" spans="2:34" s="8" customFormat="1" ht="14" x14ac:dyDescent="0.2">
      <c r="B96" s="21" t="str">
        <f>"Depreciation of " &amp;E31</f>
        <v>Depreciation of Others</v>
      </c>
      <c r="D96" s="10"/>
      <c r="E96" s="208" t="str">
        <f>IF(AND(E97=1,SUM(E102:AH102)&gt;0),"WARNING: MANUAL INPUT OF DEPRECIATION WITH MODEL CALCULATION",IF(AND(E97=2,SUM(E102:AH102)=0),"WARNING: DEPRECIATION MISSING WITH MANUAL ENTRY"," "))</f>
        <v xml:space="preserve"> </v>
      </c>
    </row>
    <row r="97" spans="1:34" s="8" customFormat="1" ht="14" x14ac:dyDescent="0.2">
      <c r="B97" s="14" t="s">
        <v>342</v>
      </c>
      <c r="D97" s="8" t="s">
        <v>209</v>
      </c>
      <c r="E97" s="177">
        <f>IF(F97="Model",1,2)</f>
        <v>1</v>
      </c>
      <c r="F97" s="87" t="s">
        <v>355</v>
      </c>
    </row>
    <row r="98" spans="1:34" s="8" customFormat="1" ht="14" x14ac:dyDescent="0.2">
      <c r="B98" s="14"/>
      <c r="E98" s="177"/>
    </row>
    <row r="99" spans="1:34" s="8" customFormat="1" ht="14" x14ac:dyDescent="0.2">
      <c r="B99" s="89" t="str">
        <f>IF(E97=1,"If calculated, define the average remaining life of existing assets"," ")</f>
        <v>If calculated, define the average remaining life of existing assets</v>
      </c>
      <c r="C99" s="119"/>
      <c r="D99" s="209" t="str">
        <f>IF(E97=1,"Years"," ")</f>
        <v>Years</v>
      </c>
      <c r="E99" s="200">
        <v>23</v>
      </c>
      <c r="G99" s="87"/>
    </row>
    <row r="100" spans="1:34" s="8" customFormat="1" ht="14" x14ac:dyDescent="0.2">
      <c r="B100" s="89"/>
      <c r="C100" s="119"/>
      <c r="D100" s="209"/>
      <c r="E100" s="200"/>
      <c r="G100" s="87"/>
    </row>
    <row r="101" spans="1:34" s="8" customFormat="1" ht="14" x14ac:dyDescent="0.2">
      <c r="B101" s="89" t="str">
        <f>IF(E97=1,"If calculated, define the average life of new assets"," ")</f>
        <v>If calculated, define the average life of new assets</v>
      </c>
      <c r="C101" s="119"/>
      <c r="D101" s="209" t="str">
        <f>IF(E97=1,"Years"," ")</f>
        <v>Years</v>
      </c>
      <c r="E101" s="200">
        <v>23</v>
      </c>
    </row>
    <row r="102" spans="1:34" s="8" customFormat="1" ht="14" x14ac:dyDescent="0.2">
      <c r="A102" s="87" t="s">
        <v>355</v>
      </c>
      <c r="B102" s="14" t="str">
        <f>IF(E97=2,"If entered manually, define annual depreciation expense"," ")</f>
        <v xml:space="preserve"> </v>
      </c>
      <c r="D102" s="10" t="str">
        <f>IF(E97=2,'Assumptions - General'!$E$27 &amp;" millions"," ")</f>
        <v xml:space="preserve"> </v>
      </c>
      <c r="E102" s="20"/>
      <c r="F102" s="110"/>
      <c r="G102" s="110"/>
      <c r="H102" s="110"/>
      <c r="I102" s="110"/>
      <c r="J102" s="110"/>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row>
    <row r="103" spans="1:34" x14ac:dyDescent="0.2">
      <c r="A103" s="87" t="s">
        <v>229</v>
      </c>
    </row>
    <row r="104" spans="1:34" s="324" customFormat="1" x14ac:dyDescent="0.2">
      <c r="B104" s="323" t="str">
        <f>"Other long-term assets for " &amp;'Assumptions - General'!$E$25</f>
        <v>Other long-term assets for Ruritania Passenger Rail Company</v>
      </c>
    </row>
    <row r="105" spans="1:34" s="18" customFormat="1" x14ac:dyDescent="0.2">
      <c r="B105" s="17"/>
    </row>
    <row r="106" spans="1:34" s="8" customFormat="1" ht="14" x14ac:dyDescent="0.2">
      <c r="B106" s="8" t="s">
        <v>328</v>
      </c>
      <c r="E106" s="168"/>
      <c r="F106" s="87"/>
    </row>
    <row r="107" spans="1:34" s="8" customFormat="1" ht="14" x14ac:dyDescent="0.2">
      <c r="B107" s="30" t="s">
        <v>329</v>
      </c>
      <c r="D107" s="10" t="str">
        <f>'Assumptions - General'!$E$27 &amp;" millions"</f>
        <v>R$ millions</v>
      </c>
      <c r="E107" s="176">
        <v>10</v>
      </c>
      <c r="F107" s="191">
        <f>E107</f>
        <v>10</v>
      </c>
      <c r="G107" s="191">
        <f t="shared" ref="G107:AH107" si="9">F107</f>
        <v>10</v>
      </c>
      <c r="H107" s="191">
        <f t="shared" si="9"/>
        <v>10</v>
      </c>
      <c r="I107" s="191">
        <f t="shared" si="9"/>
        <v>10</v>
      </c>
      <c r="J107" s="191">
        <f t="shared" si="9"/>
        <v>10</v>
      </c>
      <c r="K107" s="191">
        <f t="shared" si="9"/>
        <v>10</v>
      </c>
      <c r="L107" s="191">
        <f t="shared" si="9"/>
        <v>10</v>
      </c>
      <c r="M107" s="191">
        <f t="shared" si="9"/>
        <v>10</v>
      </c>
      <c r="N107" s="191">
        <f t="shared" si="9"/>
        <v>10</v>
      </c>
      <c r="O107" s="191">
        <f t="shared" si="9"/>
        <v>10</v>
      </c>
      <c r="P107" s="191">
        <f t="shared" si="9"/>
        <v>10</v>
      </c>
      <c r="Q107" s="191">
        <f t="shared" si="9"/>
        <v>10</v>
      </c>
      <c r="R107" s="191">
        <f t="shared" si="9"/>
        <v>10</v>
      </c>
      <c r="S107" s="191">
        <f t="shared" si="9"/>
        <v>10</v>
      </c>
      <c r="T107" s="191">
        <f t="shared" si="9"/>
        <v>10</v>
      </c>
      <c r="U107" s="191">
        <f t="shared" si="9"/>
        <v>10</v>
      </c>
      <c r="V107" s="191">
        <f t="shared" si="9"/>
        <v>10</v>
      </c>
      <c r="W107" s="191">
        <f t="shared" si="9"/>
        <v>10</v>
      </c>
      <c r="X107" s="191">
        <f t="shared" si="9"/>
        <v>10</v>
      </c>
      <c r="Y107" s="191">
        <f t="shared" si="9"/>
        <v>10</v>
      </c>
      <c r="Z107" s="191">
        <f t="shared" si="9"/>
        <v>10</v>
      </c>
      <c r="AA107" s="191">
        <f t="shared" si="9"/>
        <v>10</v>
      </c>
      <c r="AB107" s="191">
        <f t="shared" si="9"/>
        <v>10</v>
      </c>
      <c r="AC107" s="191">
        <f t="shared" si="9"/>
        <v>10</v>
      </c>
      <c r="AD107" s="191">
        <f t="shared" si="9"/>
        <v>10</v>
      </c>
      <c r="AE107" s="191">
        <f t="shared" si="9"/>
        <v>10</v>
      </c>
      <c r="AF107" s="191">
        <f t="shared" si="9"/>
        <v>10</v>
      </c>
      <c r="AG107" s="191">
        <f t="shared" si="9"/>
        <v>10</v>
      </c>
      <c r="AH107" s="191">
        <f t="shared" si="9"/>
        <v>10</v>
      </c>
    </row>
    <row r="108" spans="1:34" s="8" customFormat="1" ht="14" collapsed="1" x14ac:dyDescent="0.2">
      <c r="D108" s="10"/>
      <c r="E108" s="121"/>
      <c r="F108" s="121"/>
      <c r="G108" s="121"/>
      <c r="H108" s="121"/>
      <c r="I108" s="121"/>
      <c r="J108" s="121"/>
      <c r="K108" s="121"/>
      <c r="L108" s="121"/>
      <c r="M108" s="121"/>
      <c r="N108" s="121"/>
      <c r="O108" s="121"/>
      <c r="P108" s="121"/>
      <c r="Q108" s="121"/>
      <c r="R108" s="121"/>
      <c r="S108" s="121"/>
      <c r="T108" s="121"/>
      <c r="U108" s="121"/>
      <c r="V108" s="121"/>
      <c r="W108" s="121"/>
      <c r="X108" s="121"/>
      <c r="Y108" s="121"/>
      <c r="Z108" s="121"/>
      <c r="AA108" s="121"/>
      <c r="AB108" s="121"/>
      <c r="AC108" s="121"/>
      <c r="AD108" s="121"/>
      <c r="AE108" s="121"/>
      <c r="AF108" s="121"/>
      <c r="AG108" s="121"/>
      <c r="AH108" s="121"/>
    </row>
    <row r="109" spans="1:34" s="324" customFormat="1" collapsed="1" x14ac:dyDescent="0.2">
      <c r="B109" s="323" t="s">
        <v>233</v>
      </c>
      <c r="D109" s="323"/>
      <c r="E109" s="323" t="str">
        <f>IF(OR(AND('Scenarios - Consolidated'!$F$3=1,OR('Scenarios - Consolidated'!$F$20=1,'Scenarios - Consolidated'!$G$20=1)),AND('Scenarios - Infra'!$F$3=1,OR('Scenarios - Infra'!$F$20=1,'Scenarios - Infra'!$G$20=1)),AND('Scenarios - Passenger'!$F$3=1,OR('Scenarios - Passenger'!$F$20=1,'Scenarios - Passenger'!$G$20=1))),"NOTE: SCENARIO ANALYSIS TRAFFIC ASSUMPTIONS IN USE"," ")</f>
        <v xml:space="preserve"> </v>
      </c>
    </row>
    <row r="110" spans="1:34" s="8" customFormat="1" ht="14" x14ac:dyDescent="0.2">
      <c r="B110" s="89"/>
      <c r="D110" s="15"/>
      <c r="E110" s="114"/>
      <c r="F110" s="87" t="s">
        <v>236</v>
      </c>
    </row>
    <row r="111" spans="1:34" s="8" customFormat="1" ht="30" x14ac:dyDescent="0.2">
      <c r="B111" s="118" t="s">
        <v>238</v>
      </c>
      <c r="D111" s="117" t="s">
        <v>246</v>
      </c>
      <c r="E111" s="186">
        <f>IF(F110="Passenger-km",1,2)</f>
        <v>1</v>
      </c>
      <c r="F111" s="87" t="s">
        <v>236</v>
      </c>
      <c r="G111" s="87" t="s">
        <v>33</v>
      </c>
    </row>
    <row r="112" spans="1:34" s="8" customFormat="1" ht="14" x14ac:dyDescent="0.2">
      <c r="B112" s="16" t="s">
        <v>244</v>
      </c>
      <c r="D112" s="8" t="s">
        <v>17</v>
      </c>
      <c r="E112" s="177">
        <v>100</v>
      </c>
      <c r="F112" s="87" t="s">
        <v>237</v>
      </c>
      <c r="G112" s="87" t="s">
        <v>211</v>
      </c>
    </row>
    <row r="113" spans="2:34" s="8" customFormat="1" ht="14" x14ac:dyDescent="0.2">
      <c r="B113" s="14"/>
      <c r="E113" s="16"/>
    </row>
    <row r="114" spans="2:34" s="8" customFormat="1" ht="14" x14ac:dyDescent="0.2">
      <c r="B114" s="8" t="s">
        <v>23</v>
      </c>
      <c r="D114" s="8" t="s">
        <v>2</v>
      </c>
      <c r="E114" s="177" t="s">
        <v>29</v>
      </c>
      <c r="F114" s="220"/>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row>
    <row r="115" spans="2:34" s="8" customFormat="1" ht="14" x14ac:dyDescent="0.2">
      <c r="B115" s="8" t="s">
        <v>24</v>
      </c>
      <c r="D115" s="8" t="s">
        <v>2</v>
      </c>
      <c r="E115" s="177" t="s">
        <v>30</v>
      </c>
      <c r="F115" s="225"/>
      <c r="G115" s="192"/>
      <c r="H115" s="192"/>
      <c r="I115" s="192"/>
      <c r="J115" s="192"/>
      <c r="K115" s="192"/>
      <c r="L115" s="192"/>
      <c r="M115" s="192"/>
      <c r="N115" s="192"/>
      <c r="O115" s="192"/>
      <c r="P115" s="192"/>
      <c r="Q115" s="192"/>
      <c r="R115" s="192"/>
      <c r="S115" s="192"/>
      <c r="T115" s="192"/>
      <c r="U115" s="192"/>
      <c r="V115" s="192"/>
      <c r="W115" s="192"/>
      <c r="X115" s="192"/>
      <c r="Y115" s="192"/>
      <c r="Z115" s="192"/>
      <c r="AA115" s="192"/>
      <c r="AB115" s="192"/>
      <c r="AC115" s="192"/>
      <c r="AD115" s="192"/>
      <c r="AE115" s="192"/>
      <c r="AF115" s="192"/>
      <c r="AG115" s="192"/>
      <c r="AH115" s="192"/>
    </row>
    <row r="116" spans="2:34" s="8" customFormat="1" ht="14" x14ac:dyDescent="0.2">
      <c r="B116" s="8" t="s">
        <v>25</v>
      </c>
      <c r="D116" s="8" t="s">
        <v>2</v>
      </c>
      <c r="E116" s="177" t="s">
        <v>31</v>
      </c>
      <c r="F116" s="225"/>
      <c r="G116" s="192"/>
      <c r="H116" s="192"/>
      <c r="I116" s="192"/>
      <c r="J116" s="192"/>
      <c r="K116" s="192"/>
      <c r="L116" s="192"/>
      <c r="M116" s="192"/>
      <c r="N116" s="192"/>
      <c r="O116" s="192"/>
      <c r="P116" s="192"/>
      <c r="Q116" s="192"/>
      <c r="R116" s="192"/>
      <c r="S116" s="192"/>
      <c r="T116" s="192"/>
      <c r="U116" s="192"/>
      <c r="V116" s="192"/>
      <c r="W116" s="192"/>
      <c r="X116" s="192"/>
      <c r="Y116" s="192"/>
      <c r="Z116" s="192"/>
      <c r="AA116" s="192"/>
      <c r="AB116" s="192"/>
      <c r="AC116" s="192"/>
      <c r="AD116" s="192"/>
      <c r="AE116" s="192"/>
      <c r="AF116" s="192"/>
      <c r="AG116" s="192"/>
      <c r="AH116" s="192"/>
    </row>
    <row r="117" spans="2:34" s="8" customFormat="1" ht="14" x14ac:dyDescent="0.2">
      <c r="E117" s="182"/>
      <c r="F117" s="225"/>
      <c r="G117" s="192"/>
      <c r="H117" s="192"/>
      <c r="I117" s="192"/>
      <c r="J117" s="192"/>
      <c r="K117" s="192"/>
      <c r="L117" s="192"/>
      <c r="M117" s="192"/>
      <c r="N117" s="192"/>
      <c r="O117" s="192"/>
      <c r="P117" s="192"/>
      <c r="Q117" s="192"/>
      <c r="R117" s="192"/>
      <c r="S117" s="192"/>
      <c r="T117" s="192"/>
      <c r="U117" s="192"/>
      <c r="V117" s="192"/>
      <c r="W117" s="192"/>
      <c r="X117" s="192"/>
      <c r="Y117" s="192"/>
      <c r="Z117" s="192"/>
      <c r="AA117" s="192"/>
      <c r="AB117" s="192"/>
      <c r="AC117" s="192"/>
      <c r="AD117" s="192"/>
      <c r="AE117" s="192"/>
      <c r="AF117" s="192"/>
      <c r="AG117" s="192"/>
      <c r="AH117" s="192"/>
    </row>
    <row r="118" spans="2:34" s="8" customFormat="1" ht="14" x14ac:dyDescent="0.2">
      <c r="B118" s="7" t="s">
        <v>99</v>
      </c>
      <c r="E118" s="8">
        <v>1</v>
      </c>
      <c r="F118" s="8">
        <v>2</v>
      </c>
      <c r="G118" s="8">
        <v>3</v>
      </c>
      <c r="H118" s="8">
        <v>4</v>
      </c>
      <c r="I118" s="8">
        <v>5</v>
      </c>
      <c r="J118" s="8">
        <v>6</v>
      </c>
      <c r="K118" s="8">
        <v>7</v>
      </c>
      <c r="L118" s="8">
        <v>8</v>
      </c>
      <c r="M118" s="8">
        <v>9</v>
      </c>
      <c r="N118" s="8">
        <v>10</v>
      </c>
      <c r="O118" s="8">
        <v>11</v>
      </c>
      <c r="P118" s="8">
        <v>12</v>
      </c>
      <c r="Q118" s="8">
        <v>13</v>
      </c>
      <c r="R118" s="8">
        <v>14</v>
      </c>
      <c r="S118" s="8">
        <v>15</v>
      </c>
      <c r="T118" s="8">
        <v>16</v>
      </c>
      <c r="U118" s="8">
        <v>17</v>
      </c>
      <c r="V118" s="8">
        <v>18</v>
      </c>
      <c r="W118" s="8">
        <v>19</v>
      </c>
      <c r="X118" s="8">
        <v>20</v>
      </c>
      <c r="Y118" s="8">
        <v>21</v>
      </c>
      <c r="Z118" s="8">
        <v>22</v>
      </c>
      <c r="AA118" s="8">
        <v>23</v>
      </c>
      <c r="AB118" s="8">
        <v>24</v>
      </c>
      <c r="AC118" s="8">
        <v>25</v>
      </c>
      <c r="AD118" s="8">
        <v>26</v>
      </c>
      <c r="AE118" s="8">
        <v>27</v>
      </c>
      <c r="AF118" s="8">
        <v>28</v>
      </c>
      <c r="AG118" s="8">
        <v>29</v>
      </c>
      <c r="AH118" s="8">
        <v>30</v>
      </c>
    </row>
    <row r="119" spans="2:34" s="8" customFormat="1" ht="14" x14ac:dyDescent="0.2">
      <c r="B119" s="7" t="s">
        <v>12</v>
      </c>
      <c r="E119" s="9">
        <f>'Assumptions - General'!$E$28</f>
        <v>40179</v>
      </c>
      <c r="F119" s="9">
        <f t="shared" ref="F119:AH119" si="10">E120+1</f>
        <v>40544</v>
      </c>
      <c r="G119" s="9">
        <f t="shared" si="10"/>
        <v>40909</v>
      </c>
      <c r="H119" s="9">
        <f t="shared" si="10"/>
        <v>41275</v>
      </c>
      <c r="I119" s="9">
        <f t="shared" si="10"/>
        <v>41640</v>
      </c>
      <c r="J119" s="9">
        <f t="shared" si="10"/>
        <v>42005</v>
      </c>
      <c r="K119" s="9">
        <f t="shared" si="10"/>
        <v>42370</v>
      </c>
      <c r="L119" s="9">
        <f t="shared" si="10"/>
        <v>42736</v>
      </c>
      <c r="M119" s="9">
        <f t="shared" si="10"/>
        <v>43101</v>
      </c>
      <c r="N119" s="9">
        <f t="shared" si="10"/>
        <v>43466</v>
      </c>
      <c r="O119" s="9">
        <f t="shared" si="10"/>
        <v>43831</v>
      </c>
      <c r="P119" s="9">
        <f t="shared" si="10"/>
        <v>44197</v>
      </c>
      <c r="Q119" s="9">
        <f t="shared" si="10"/>
        <v>44562</v>
      </c>
      <c r="R119" s="9">
        <f t="shared" si="10"/>
        <v>44927</v>
      </c>
      <c r="S119" s="9">
        <f t="shared" si="10"/>
        <v>45292</v>
      </c>
      <c r="T119" s="9">
        <f t="shared" si="10"/>
        <v>45658</v>
      </c>
      <c r="U119" s="9">
        <f t="shared" si="10"/>
        <v>46023</v>
      </c>
      <c r="V119" s="9">
        <f t="shared" si="10"/>
        <v>46388</v>
      </c>
      <c r="W119" s="9">
        <f t="shared" si="10"/>
        <v>46753</v>
      </c>
      <c r="X119" s="9">
        <f t="shared" si="10"/>
        <v>47119</v>
      </c>
      <c r="Y119" s="9">
        <f t="shared" si="10"/>
        <v>47484</v>
      </c>
      <c r="Z119" s="9">
        <f t="shared" si="10"/>
        <v>47849</v>
      </c>
      <c r="AA119" s="9">
        <f t="shared" si="10"/>
        <v>48214</v>
      </c>
      <c r="AB119" s="9">
        <f t="shared" si="10"/>
        <v>48580</v>
      </c>
      <c r="AC119" s="9">
        <f t="shared" si="10"/>
        <v>48945</v>
      </c>
      <c r="AD119" s="9">
        <f t="shared" si="10"/>
        <v>49310</v>
      </c>
      <c r="AE119" s="9">
        <f t="shared" si="10"/>
        <v>49675</v>
      </c>
      <c r="AF119" s="9">
        <f t="shared" si="10"/>
        <v>50041</v>
      </c>
      <c r="AG119" s="9">
        <f t="shared" si="10"/>
        <v>50406</v>
      </c>
      <c r="AH119" s="9">
        <f t="shared" si="10"/>
        <v>50771</v>
      </c>
    </row>
    <row r="120" spans="2:34" s="8" customFormat="1" ht="14" x14ac:dyDescent="0.2">
      <c r="B120" s="7" t="s">
        <v>13</v>
      </c>
      <c r="E120" s="9">
        <f t="shared" ref="E120:AH120" si="11">DATE(YEAR(E119)+1, MONTH(E119), DAY(E119)-1)</f>
        <v>40543</v>
      </c>
      <c r="F120" s="9">
        <f t="shared" si="11"/>
        <v>40908</v>
      </c>
      <c r="G120" s="9">
        <f t="shared" si="11"/>
        <v>41274</v>
      </c>
      <c r="H120" s="9">
        <f t="shared" si="11"/>
        <v>41639</v>
      </c>
      <c r="I120" s="9">
        <f t="shared" si="11"/>
        <v>42004</v>
      </c>
      <c r="J120" s="9">
        <f t="shared" si="11"/>
        <v>42369</v>
      </c>
      <c r="K120" s="9">
        <f t="shared" si="11"/>
        <v>42735</v>
      </c>
      <c r="L120" s="9">
        <f t="shared" si="11"/>
        <v>43100</v>
      </c>
      <c r="M120" s="9">
        <f t="shared" si="11"/>
        <v>43465</v>
      </c>
      <c r="N120" s="9">
        <f t="shared" si="11"/>
        <v>43830</v>
      </c>
      <c r="O120" s="9">
        <f t="shared" si="11"/>
        <v>44196</v>
      </c>
      <c r="P120" s="9">
        <f t="shared" si="11"/>
        <v>44561</v>
      </c>
      <c r="Q120" s="9">
        <f t="shared" si="11"/>
        <v>44926</v>
      </c>
      <c r="R120" s="9">
        <f t="shared" si="11"/>
        <v>45291</v>
      </c>
      <c r="S120" s="9">
        <f t="shared" si="11"/>
        <v>45657</v>
      </c>
      <c r="T120" s="9">
        <f t="shared" si="11"/>
        <v>46022</v>
      </c>
      <c r="U120" s="9">
        <f t="shared" si="11"/>
        <v>46387</v>
      </c>
      <c r="V120" s="9">
        <f t="shared" si="11"/>
        <v>46752</v>
      </c>
      <c r="W120" s="9">
        <f t="shared" si="11"/>
        <v>47118</v>
      </c>
      <c r="X120" s="9">
        <f t="shared" si="11"/>
        <v>47483</v>
      </c>
      <c r="Y120" s="9">
        <f t="shared" si="11"/>
        <v>47848</v>
      </c>
      <c r="Z120" s="9">
        <f t="shared" si="11"/>
        <v>48213</v>
      </c>
      <c r="AA120" s="9">
        <f t="shared" si="11"/>
        <v>48579</v>
      </c>
      <c r="AB120" s="9">
        <f t="shared" si="11"/>
        <v>48944</v>
      </c>
      <c r="AC120" s="9">
        <f t="shared" si="11"/>
        <v>49309</v>
      </c>
      <c r="AD120" s="9">
        <f t="shared" si="11"/>
        <v>49674</v>
      </c>
      <c r="AE120" s="9">
        <f t="shared" si="11"/>
        <v>50040</v>
      </c>
      <c r="AF120" s="9">
        <f t="shared" si="11"/>
        <v>50405</v>
      </c>
      <c r="AG120" s="9">
        <f t="shared" si="11"/>
        <v>50770</v>
      </c>
      <c r="AH120" s="9">
        <f t="shared" si="11"/>
        <v>51135</v>
      </c>
    </row>
    <row r="121" spans="2:34" s="8" customFormat="1" ht="14" x14ac:dyDescent="0.2">
      <c r="B121" s="7"/>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2:34" s="8" customFormat="1" ht="14" x14ac:dyDescent="0.2">
      <c r="B122" s="8" t="s">
        <v>245</v>
      </c>
      <c r="D122" s="8" t="s">
        <v>118</v>
      </c>
      <c r="E122" s="233">
        <f>IF(E15&lt;&gt;0,IF($E$111=1,E15/(E125+E127+E129),E15/($E$112*(E125+E127+E129))),0)</f>
        <v>1.25</v>
      </c>
      <c r="F122" s="224">
        <f t="shared" ref="F122:AH122" si="12">E122*(1+F123)</f>
        <v>1.25</v>
      </c>
      <c r="G122" s="224">
        <f t="shared" si="12"/>
        <v>1.25</v>
      </c>
      <c r="H122" s="224">
        <f t="shared" si="12"/>
        <v>1.25</v>
      </c>
      <c r="I122" s="224">
        <f t="shared" si="12"/>
        <v>1.25</v>
      </c>
      <c r="J122" s="224">
        <f t="shared" si="12"/>
        <v>1.25</v>
      </c>
      <c r="K122" s="224">
        <f t="shared" si="12"/>
        <v>1.25</v>
      </c>
      <c r="L122" s="224">
        <f t="shared" si="12"/>
        <v>1.25</v>
      </c>
      <c r="M122" s="224">
        <f t="shared" si="12"/>
        <v>1.25</v>
      </c>
      <c r="N122" s="224">
        <f t="shared" si="12"/>
        <v>1.25</v>
      </c>
      <c r="O122" s="224">
        <f t="shared" si="12"/>
        <v>1.25</v>
      </c>
      <c r="P122" s="224">
        <f t="shared" si="12"/>
        <v>1.25</v>
      </c>
      <c r="Q122" s="224">
        <f t="shared" si="12"/>
        <v>1.25</v>
      </c>
      <c r="R122" s="224">
        <f t="shared" si="12"/>
        <v>1.25</v>
      </c>
      <c r="S122" s="224">
        <f t="shared" si="12"/>
        <v>1.25</v>
      </c>
      <c r="T122" s="224">
        <f t="shared" si="12"/>
        <v>1.25</v>
      </c>
      <c r="U122" s="224">
        <f t="shared" si="12"/>
        <v>1.25</v>
      </c>
      <c r="V122" s="224">
        <f t="shared" si="12"/>
        <v>1.25</v>
      </c>
      <c r="W122" s="224">
        <f t="shared" si="12"/>
        <v>1.25</v>
      </c>
      <c r="X122" s="224">
        <f t="shared" si="12"/>
        <v>1.25</v>
      </c>
      <c r="Y122" s="224">
        <f t="shared" si="12"/>
        <v>1.25</v>
      </c>
      <c r="Z122" s="224">
        <f t="shared" si="12"/>
        <v>1.25</v>
      </c>
      <c r="AA122" s="224">
        <f t="shared" si="12"/>
        <v>1.25</v>
      </c>
      <c r="AB122" s="224">
        <f t="shared" si="12"/>
        <v>1.25</v>
      </c>
      <c r="AC122" s="224">
        <f t="shared" si="12"/>
        <v>1.25</v>
      </c>
      <c r="AD122" s="224">
        <f t="shared" si="12"/>
        <v>1.25</v>
      </c>
      <c r="AE122" s="224">
        <f t="shared" si="12"/>
        <v>1.25</v>
      </c>
      <c r="AF122" s="224">
        <f t="shared" si="12"/>
        <v>1.25</v>
      </c>
      <c r="AG122" s="224">
        <f t="shared" si="12"/>
        <v>1.25</v>
      </c>
      <c r="AH122" s="224">
        <f t="shared" si="12"/>
        <v>1.25</v>
      </c>
    </row>
    <row r="123" spans="2:34" s="8" customFormat="1" ht="14" x14ac:dyDescent="0.2">
      <c r="B123" s="8" t="s">
        <v>368</v>
      </c>
      <c r="D123" s="8" t="s">
        <v>15</v>
      </c>
      <c r="E123" s="9"/>
      <c r="F123" s="189">
        <v>0</v>
      </c>
      <c r="G123" s="189">
        <v>0</v>
      </c>
      <c r="H123" s="189">
        <v>0</v>
      </c>
      <c r="I123" s="189">
        <v>0</v>
      </c>
      <c r="J123" s="189">
        <v>0</v>
      </c>
      <c r="K123" s="189">
        <v>0</v>
      </c>
      <c r="L123" s="189">
        <v>0</v>
      </c>
      <c r="M123" s="189">
        <v>0</v>
      </c>
      <c r="N123" s="189">
        <v>0</v>
      </c>
      <c r="O123" s="189">
        <v>0</v>
      </c>
      <c r="P123" s="189">
        <v>0</v>
      </c>
      <c r="Q123" s="189">
        <v>0</v>
      </c>
      <c r="R123" s="189">
        <v>0</v>
      </c>
      <c r="S123" s="189">
        <v>0</v>
      </c>
      <c r="T123" s="189">
        <v>0</v>
      </c>
      <c r="U123" s="189">
        <v>0</v>
      </c>
      <c r="V123" s="189">
        <v>0</v>
      </c>
      <c r="W123" s="189">
        <v>0</v>
      </c>
      <c r="X123" s="189">
        <v>0</v>
      </c>
      <c r="Y123" s="189">
        <v>0</v>
      </c>
      <c r="Z123" s="189">
        <v>0</v>
      </c>
      <c r="AA123" s="189">
        <v>0</v>
      </c>
      <c r="AB123" s="189">
        <v>0</v>
      </c>
      <c r="AC123" s="189">
        <v>0</v>
      </c>
      <c r="AD123" s="189">
        <v>0</v>
      </c>
      <c r="AE123" s="189">
        <v>0</v>
      </c>
      <c r="AF123" s="189">
        <v>0</v>
      </c>
      <c r="AG123" s="189">
        <v>0</v>
      </c>
      <c r="AH123" s="189">
        <v>0</v>
      </c>
    </row>
    <row r="124" spans="2:34" s="8" customFormat="1" ht="14" x14ac:dyDescent="0.2">
      <c r="E124" s="9"/>
      <c r="F124" s="212"/>
      <c r="G124" s="212"/>
      <c r="H124" s="212"/>
      <c r="I124" s="212"/>
      <c r="J124" s="212"/>
      <c r="K124" s="212"/>
      <c r="L124" s="212"/>
      <c r="M124" s="212"/>
      <c r="N124" s="212"/>
      <c r="O124" s="212"/>
      <c r="P124" s="212"/>
      <c r="Q124" s="212"/>
      <c r="R124" s="212"/>
      <c r="S124" s="212"/>
      <c r="T124" s="212"/>
      <c r="U124" s="212"/>
      <c r="V124" s="212"/>
      <c r="W124" s="212"/>
      <c r="X124" s="212"/>
      <c r="Y124" s="212"/>
      <c r="Z124" s="212"/>
      <c r="AA124" s="212"/>
      <c r="AB124" s="212"/>
      <c r="AC124" s="212"/>
      <c r="AD124" s="212"/>
      <c r="AE124" s="212"/>
      <c r="AF124" s="212"/>
      <c r="AG124" s="212"/>
      <c r="AH124" s="212"/>
    </row>
    <row r="125" spans="2:34" s="8" customFormat="1" ht="14" x14ac:dyDescent="0.2">
      <c r="B125" s="89" t="str">
        <f>E114&amp;" annual traffic volume"</f>
        <v>Domestic passenger annual traffic volume</v>
      </c>
      <c r="D125" s="8" t="str">
        <f>IF($E$111=1,"Passenger-km (million)", "Number of trips (million)")</f>
        <v>Passenger-km (million)</v>
      </c>
      <c r="E125" s="187">
        <v>8000</v>
      </c>
      <c r="F125" s="191">
        <v>8500</v>
      </c>
      <c r="G125" s="191">
        <v>8500</v>
      </c>
      <c r="H125" s="191">
        <v>9000</v>
      </c>
      <c r="I125" s="191">
        <v>10000</v>
      </c>
      <c r="J125" s="191">
        <v>10500</v>
      </c>
      <c r="K125" s="191">
        <v>11000</v>
      </c>
      <c r="L125" s="191">
        <v>11500</v>
      </c>
      <c r="M125" s="191">
        <v>12000</v>
      </c>
      <c r="N125" s="191">
        <v>12500</v>
      </c>
      <c r="O125" s="191">
        <v>13000</v>
      </c>
      <c r="P125" s="191">
        <v>13500</v>
      </c>
      <c r="Q125" s="191">
        <v>14000</v>
      </c>
      <c r="R125" s="191">
        <v>14500</v>
      </c>
      <c r="S125" s="191">
        <v>15000</v>
      </c>
      <c r="T125" s="191">
        <v>15500</v>
      </c>
      <c r="U125" s="191">
        <v>16000</v>
      </c>
      <c r="V125" s="191">
        <v>16500</v>
      </c>
      <c r="W125" s="191">
        <v>17000</v>
      </c>
      <c r="X125" s="191">
        <v>17500</v>
      </c>
      <c r="Y125" s="191">
        <v>18000</v>
      </c>
      <c r="Z125" s="191">
        <v>18500</v>
      </c>
      <c r="AA125" s="191">
        <v>19000</v>
      </c>
      <c r="AB125" s="191">
        <v>19500</v>
      </c>
      <c r="AC125" s="191">
        <v>20000</v>
      </c>
      <c r="AD125" s="191">
        <v>20500</v>
      </c>
      <c r="AE125" s="191">
        <v>21000</v>
      </c>
      <c r="AF125" s="191">
        <v>21500</v>
      </c>
      <c r="AG125" s="191">
        <v>22000</v>
      </c>
      <c r="AH125" s="191">
        <v>22500</v>
      </c>
    </row>
    <row r="126" spans="2:34" s="8" customFormat="1" ht="14" x14ac:dyDescent="0.2">
      <c r="B126" s="89" t="str">
        <f>E114&amp;" annual traffic volume"</f>
        <v>Domestic passenger annual traffic volume</v>
      </c>
      <c r="D126" s="8" t="s">
        <v>362</v>
      </c>
      <c r="E126" s="187">
        <v>500</v>
      </c>
      <c r="F126" s="191">
        <v>500</v>
      </c>
      <c r="G126" s="191">
        <v>500</v>
      </c>
      <c r="H126" s="191">
        <v>500</v>
      </c>
      <c r="I126" s="191">
        <v>500</v>
      </c>
      <c r="J126" s="191">
        <v>500</v>
      </c>
      <c r="K126" s="191">
        <v>500</v>
      </c>
      <c r="L126" s="191">
        <v>500</v>
      </c>
      <c r="M126" s="191">
        <v>500</v>
      </c>
      <c r="N126" s="191">
        <v>500</v>
      </c>
      <c r="O126" s="191">
        <v>500</v>
      </c>
      <c r="P126" s="191">
        <v>500</v>
      </c>
      <c r="Q126" s="191">
        <v>500</v>
      </c>
      <c r="R126" s="191">
        <v>500</v>
      </c>
      <c r="S126" s="191">
        <v>500</v>
      </c>
      <c r="T126" s="191">
        <v>500</v>
      </c>
      <c r="U126" s="191">
        <v>500</v>
      </c>
      <c r="V126" s="191">
        <v>500</v>
      </c>
      <c r="W126" s="191">
        <v>500</v>
      </c>
      <c r="X126" s="191">
        <v>500</v>
      </c>
      <c r="Y126" s="191">
        <v>500</v>
      </c>
      <c r="Z126" s="191">
        <v>500</v>
      </c>
      <c r="AA126" s="191">
        <v>500</v>
      </c>
      <c r="AB126" s="191">
        <v>500</v>
      </c>
      <c r="AC126" s="191">
        <v>500</v>
      </c>
      <c r="AD126" s="191">
        <v>500</v>
      </c>
      <c r="AE126" s="191">
        <v>500</v>
      </c>
      <c r="AF126" s="191">
        <v>500</v>
      </c>
      <c r="AG126" s="191">
        <v>500</v>
      </c>
      <c r="AH126" s="191">
        <v>500</v>
      </c>
    </row>
    <row r="127" spans="2:34" s="8" customFormat="1" ht="14" x14ac:dyDescent="0.2">
      <c r="B127" s="89" t="str">
        <f>E115&amp;" annual traffic volume"</f>
        <v>International passenger annual traffic volume</v>
      </c>
      <c r="D127" s="8" t="str">
        <f>IF($E$111=1,"Passenger-km (million)", "Number of trips (million)")</f>
        <v>Passenger-km (million)</v>
      </c>
      <c r="E127" s="187">
        <v>8000</v>
      </c>
      <c r="F127" s="191">
        <v>8500</v>
      </c>
      <c r="G127" s="191">
        <v>8500</v>
      </c>
      <c r="H127" s="191">
        <v>9000</v>
      </c>
      <c r="I127" s="191">
        <v>10000</v>
      </c>
      <c r="J127" s="191">
        <v>10500</v>
      </c>
      <c r="K127" s="191">
        <v>11000</v>
      </c>
      <c r="L127" s="191">
        <v>11500</v>
      </c>
      <c r="M127" s="191">
        <v>12000</v>
      </c>
      <c r="N127" s="191">
        <v>12500</v>
      </c>
      <c r="O127" s="191">
        <v>13000</v>
      </c>
      <c r="P127" s="191">
        <v>13500</v>
      </c>
      <c r="Q127" s="191">
        <v>14000</v>
      </c>
      <c r="R127" s="191">
        <v>14500</v>
      </c>
      <c r="S127" s="191">
        <v>15000</v>
      </c>
      <c r="T127" s="191">
        <v>15500</v>
      </c>
      <c r="U127" s="191">
        <v>16000</v>
      </c>
      <c r="V127" s="191">
        <v>16500</v>
      </c>
      <c r="W127" s="191">
        <v>17000</v>
      </c>
      <c r="X127" s="191">
        <v>17500</v>
      </c>
      <c r="Y127" s="191">
        <v>18000</v>
      </c>
      <c r="Z127" s="191">
        <v>18500</v>
      </c>
      <c r="AA127" s="191">
        <v>19000</v>
      </c>
      <c r="AB127" s="191">
        <v>19500</v>
      </c>
      <c r="AC127" s="191">
        <v>20000</v>
      </c>
      <c r="AD127" s="191">
        <v>20500</v>
      </c>
      <c r="AE127" s="191">
        <v>21000</v>
      </c>
      <c r="AF127" s="191">
        <v>21500</v>
      </c>
      <c r="AG127" s="191">
        <v>22000</v>
      </c>
      <c r="AH127" s="191">
        <v>22500</v>
      </c>
    </row>
    <row r="128" spans="2:34" s="8" customFormat="1" ht="14" x14ac:dyDescent="0.2">
      <c r="B128" s="89" t="str">
        <f>E115&amp;" annual traffic volume"</f>
        <v>International passenger annual traffic volume</v>
      </c>
      <c r="D128" s="8" t="s">
        <v>362</v>
      </c>
      <c r="E128" s="187">
        <v>500</v>
      </c>
      <c r="F128" s="191">
        <v>500</v>
      </c>
      <c r="G128" s="191">
        <v>500</v>
      </c>
      <c r="H128" s="191">
        <v>500</v>
      </c>
      <c r="I128" s="191">
        <v>500</v>
      </c>
      <c r="J128" s="191">
        <v>500</v>
      </c>
      <c r="K128" s="191">
        <v>500</v>
      </c>
      <c r="L128" s="191">
        <v>500</v>
      </c>
      <c r="M128" s="191">
        <v>500</v>
      </c>
      <c r="N128" s="191">
        <v>500</v>
      </c>
      <c r="O128" s="191">
        <v>500</v>
      </c>
      <c r="P128" s="191">
        <v>500</v>
      </c>
      <c r="Q128" s="191">
        <v>500</v>
      </c>
      <c r="R128" s="191">
        <v>500</v>
      </c>
      <c r="S128" s="191">
        <v>500</v>
      </c>
      <c r="T128" s="191">
        <v>500</v>
      </c>
      <c r="U128" s="191">
        <v>500</v>
      </c>
      <c r="V128" s="191">
        <v>500</v>
      </c>
      <c r="W128" s="191">
        <v>500</v>
      </c>
      <c r="X128" s="191">
        <v>500</v>
      </c>
      <c r="Y128" s="191">
        <v>500</v>
      </c>
      <c r="Z128" s="191">
        <v>500</v>
      </c>
      <c r="AA128" s="191">
        <v>500</v>
      </c>
      <c r="AB128" s="191">
        <v>500</v>
      </c>
      <c r="AC128" s="191">
        <v>500</v>
      </c>
      <c r="AD128" s="191">
        <v>500</v>
      </c>
      <c r="AE128" s="191">
        <v>500</v>
      </c>
      <c r="AF128" s="191">
        <v>500</v>
      </c>
      <c r="AG128" s="191">
        <v>500</v>
      </c>
      <c r="AH128" s="191">
        <v>500</v>
      </c>
    </row>
    <row r="129" spans="2:34" s="8" customFormat="1" ht="14" x14ac:dyDescent="0.2">
      <c r="B129" s="89" t="str">
        <f>E116&amp;" annual traffic volume"</f>
        <v>Sub-urban passenger annual traffic volume</v>
      </c>
      <c r="D129" s="8" t="str">
        <f>IF($E$111=1,"Passenger-km (million)", "Number of trips (million)")</f>
        <v>Passenger-km (million)</v>
      </c>
      <c r="E129" s="187">
        <v>8000</v>
      </c>
      <c r="F129" s="191">
        <v>8500</v>
      </c>
      <c r="G129" s="191">
        <v>8500</v>
      </c>
      <c r="H129" s="191">
        <v>9000</v>
      </c>
      <c r="I129" s="191">
        <v>10000</v>
      </c>
      <c r="J129" s="191">
        <v>10500</v>
      </c>
      <c r="K129" s="191">
        <v>11000</v>
      </c>
      <c r="L129" s="191">
        <v>11500</v>
      </c>
      <c r="M129" s="191">
        <v>12000</v>
      </c>
      <c r="N129" s="191">
        <v>12500</v>
      </c>
      <c r="O129" s="191">
        <v>13000</v>
      </c>
      <c r="P129" s="191">
        <v>13500</v>
      </c>
      <c r="Q129" s="191">
        <v>14000</v>
      </c>
      <c r="R129" s="191">
        <v>14500</v>
      </c>
      <c r="S129" s="191">
        <v>15000</v>
      </c>
      <c r="T129" s="191">
        <v>15500</v>
      </c>
      <c r="U129" s="191">
        <v>16000</v>
      </c>
      <c r="V129" s="191">
        <v>16500</v>
      </c>
      <c r="W129" s="191">
        <v>17000</v>
      </c>
      <c r="X129" s="191">
        <v>17500</v>
      </c>
      <c r="Y129" s="191">
        <v>18000</v>
      </c>
      <c r="Z129" s="191">
        <v>18500</v>
      </c>
      <c r="AA129" s="191">
        <v>19000</v>
      </c>
      <c r="AB129" s="191">
        <v>19500</v>
      </c>
      <c r="AC129" s="191">
        <v>20000</v>
      </c>
      <c r="AD129" s="191">
        <v>20500</v>
      </c>
      <c r="AE129" s="191">
        <v>21000</v>
      </c>
      <c r="AF129" s="191">
        <v>21500</v>
      </c>
      <c r="AG129" s="191">
        <v>22000</v>
      </c>
      <c r="AH129" s="191">
        <v>22500</v>
      </c>
    </row>
    <row r="130" spans="2:34" s="8" customFormat="1" ht="14" x14ac:dyDescent="0.2">
      <c r="B130" s="89" t="str">
        <f>E116&amp;" annual traffic volume"</f>
        <v>Sub-urban passenger annual traffic volume</v>
      </c>
      <c r="D130" s="8" t="s">
        <v>362</v>
      </c>
      <c r="E130" s="187">
        <v>500</v>
      </c>
      <c r="F130" s="191">
        <v>500</v>
      </c>
      <c r="G130" s="191">
        <v>500</v>
      </c>
      <c r="H130" s="191">
        <v>500</v>
      </c>
      <c r="I130" s="191">
        <v>500</v>
      </c>
      <c r="J130" s="191">
        <v>500</v>
      </c>
      <c r="K130" s="191">
        <v>500</v>
      </c>
      <c r="L130" s="191">
        <v>500</v>
      </c>
      <c r="M130" s="191">
        <v>500</v>
      </c>
      <c r="N130" s="191">
        <v>500</v>
      </c>
      <c r="O130" s="191">
        <v>500</v>
      </c>
      <c r="P130" s="191">
        <v>500</v>
      </c>
      <c r="Q130" s="191">
        <v>500</v>
      </c>
      <c r="R130" s="191">
        <v>500</v>
      </c>
      <c r="S130" s="191">
        <v>500</v>
      </c>
      <c r="T130" s="191">
        <v>500</v>
      </c>
      <c r="U130" s="191">
        <v>500</v>
      </c>
      <c r="V130" s="191">
        <v>500</v>
      </c>
      <c r="W130" s="191">
        <v>500</v>
      </c>
      <c r="X130" s="191">
        <v>500</v>
      </c>
      <c r="Y130" s="191">
        <v>500</v>
      </c>
      <c r="Z130" s="191">
        <v>500</v>
      </c>
      <c r="AA130" s="191">
        <v>500</v>
      </c>
      <c r="AB130" s="191">
        <v>500</v>
      </c>
      <c r="AC130" s="191">
        <v>500</v>
      </c>
      <c r="AD130" s="191">
        <v>500</v>
      </c>
      <c r="AE130" s="191">
        <v>500</v>
      </c>
      <c r="AF130" s="191">
        <v>500</v>
      </c>
      <c r="AG130" s="191">
        <v>500</v>
      </c>
      <c r="AH130" s="191">
        <v>500</v>
      </c>
    </row>
    <row r="131" spans="2:34" s="8" customFormat="1" ht="14" collapsed="1" x14ac:dyDescent="0.2">
      <c r="B131" s="14"/>
      <c r="E131" s="183"/>
    </row>
    <row r="132" spans="2:34" s="324" customFormat="1" x14ac:dyDescent="0.2">
      <c r="B132" s="323" t="s">
        <v>622</v>
      </c>
      <c r="D132" s="323"/>
      <c r="E132" s="323" t="str">
        <f>IF(OR(AND('Scenarios - Consolidated'!$F$3=1,OR('Scenarios - Consolidated'!$D$20=1,'Scenarios - Consolidated'!$E$20=1)),AND('Scenarios - Passenger'!$F$3=1,OR('Scenarios - Passenger'!$D$20=1,'Scenarios - Passenger'!$E$20=1))),"NOTE: SCENARIO ANALYSIS TARIFF ASSUMPTIONS IN USE"," ")</f>
        <v xml:space="preserve"> </v>
      </c>
    </row>
    <row r="133" spans="2:34" x14ac:dyDescent="0.2">
      <c r="F133" s="5" t="s">
        <v>33</v>
      </c>
    </row>
    <row r="134" spans="2:34" s="8" customFormat="1" ht="14" x14ac:dyDescent="0.2">
      <c r="B134" s="16" t="s">
        <v>623</v>
      </c>
      <c r="D134" s="8" t="s">
        <v>32</v>
      </c>
      <c r="E134" s="177">
        <f>IF(F133=F134,1,2)</f>
        <v>1</v>
      </c>
      <c r="F134" s="87" t="s">
        <v>33</v>
      </c>
    </row>
    <row r="135" spans="2:34" x14ac:dyDescent="0.2">
      <c r="F135" s="87" t="s">
        <v>211</v>
      </c>
    </row>
    <row r="136" spans="2:34" s="8" customFormat="1" ht="14" x14ac:dyDescent="0.2">
      <c r="B136" s="21" t="str">
        <f>E114</f>
        <v>Domestic passenger</v>
      </c>
    </row>
    <row r="137" spans="2:34" s="8" customFormat="1" ht="14" x14ac:dyDescent="0.2">
      <c r="B137" s="14" t="s">
        <v>624</v>
      </c>
      <c r="D137" s="8" t="str">
        <f>'Assumptions - General'!$E$27 &amp; "/Passenger-km"</f>
        <v>R$/Passenger-km</v>
      </c>
      <c r="E137" s="181">
        <v>1</v>
      </c>
    </row>
    <row r="138" spans="2:34" s="8" customFormat="1" ht="14" x14ac:dyDescent="0.2">
      <c r="B138" s="14" t="s">
        <v>234</v>
      </c>
      <c r="D138" s="15" t="s">
        <v>15</v>
      </c>
      <c r="E138" s="189">
        <f>F138/100</f>
        <v>1</v>
      </c>
      <c r="F138" s="87">
        <v>100</v>
      </c>
    </row>
    <row r="139" spans="2:34" s="8" customFormat="1" ht="14" x14ac:dyDescent="0.2">
      <c r="B139" s="14" t="s">
        <v>625</v>
      </c>
      <c r="D139" s="8" t="s">
        <v>15</v>
      </c>
      <c r="E139" s="180"/>
      <c r="F139" s="188"/>
      <c r="G139" s="188"/>
      <c r="H139" s="188"/>
      <c r="I139" s="188"/>
      <c r="J139" s="188"/>
      <c r="K139" s="188"/>
      <c r="L139" s="188"/>
      <c r="M139" s="188"/>
      <c r="N139" s="188"/>
      <c r="O139" s="188"/>
      <c r="P139" s="188"/>
      <c r="Q139" s="188"/>
      <c r="R139" s="188"/>
      <c r="S139" s="188"/>
      <c r="T139" s="188"/>
      <c r="U139" s="188"/>
      <c r="V139" s="188"/>
      <c r="W139" s="188"/>
      <c r="X139" s="188"/>
      <c r="Y139" s="188"/>
      <c r="Z139" s="188"/>
      <c r="AA139" s="188"/>
      <c r="AB139" s="188"/>
      <c r="AC139" s="188"/>
      <c r="AD139" s="188"/>
      <c r="AE139" s="188"/>
      <c r="AF139" s="188"/>
      <c r="AG139" s="188"/>
      <c r="AH139" s="188"/>
    </row>
    <row r="140" spans="2:34" s="20" customFormat="1" ht="14" x14ac:dyDescent="0.2">
      <c r="B140" s="32"/>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c r="AG140" s="180"/>
      <c r="AH140" s="180"/>
    </row>
    <row r="141" spans="2:34" s="8" customFormat="1" ht="14" x14ac:dyDescent="0.2">
      <c r="B141" s="21" t="str">
        <f>E115</f>
        <v>International passenger</v>
      </c>
      <c r="E141" s="182"/>
      <c r="F141" s="183"/>
      <c r="G141" s="183"/>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row>
    <row r="142" spans="2:34" s="8" customFormat="1" ht="14" x14ac:dyDescent="0.2">
      <c r="B142" s="14" t="s">
        <v>624</v>
      </c>
      <c r="D142" s="8" t="str">
        <f>D137</f>
        <v>R$/Passenger-km</v>
      </c>
      <c r="E142" s="181">
        <v>1</v>
      </c>
      <c r="F142" s="183"/>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row>
    <row r="143" spans="2:34" s="8" customFormat="1" ht="14" x14ac:dyDescent="0.2">
      <c r="B143" s="14" t="s">
        <v>234</v>
      </c>
      <c r="D143" s="15" t="s">
        <v>15</v>
      </c>
      <c r="E143" s="188">
        <f>F143/100</f>
        <v>1</v>
      </c>
      <c r="F143" s="223">
        <v>100</v>
      </c>
      <c r="G143" s="183"/>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row>
    <row r="144" spans="2:34" s="8" customFormat="1" ht="14" x14ac:dyDescent="0.2">
      <c r="B144" s="14" t="s">
        <v>625</v>
      </c>
      <c r="D144" s="8" t="s">
        <v>15</v>
      </c>
      <c r="E144" s="180"/>
      <c r="F144" s="188"/>
      <c r="G144" s="188"/>
      <c r="H144" s="188"/>
      <c r="I144" s="188"/>
      <c r="J144" s="188"/>
      <c r="K144" s="188"/>
      <c r="L144" s="188"/>
      <c r="M144" s="188"/>
      <c r="N144" s="188"/>
      <c r="O144" s="188"/>
      <c r="P144" s="188"/>
      <c r="Q144" s="188"/>
      <c r="R144" s="188"/>
      <c r="S144" s="188"/>
      <c r="T144" s="188"/>
      <c r="U144" s="188"/>
      <c r="V144" s="188"/>
      <c r="W144" s="188"/>
      <c r="X144" s="188"/>
      <c r="Y144" s="188"/>
      <c r="Z144" s="188"/>
      <c r="AA144" s="188"/>
      <c r="AB144" s="188"/>
      <c r="AC144" s="188"/>
      <c r="AD144" s="188"/>
      <c r="AE144" s="188"/>
      <c r="AF144" s="188"/>
      <c r="AG144" s="188"/>
      <c r="AH144" s="188"/>
    </row>
    <row r="145" spans="1:34" s="20" customFormat="1" ht="14" x14ac:dyDescent="0.2">
      <c r="B145" s="32"/>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c r="AE145" s="180"/>
      <c r="AF145" s="180"/>
      <c r="AG145" s="180"/>
      <c r="AH145" s="180"/>
    </row>
    <row r="146" spans="1:34" s="8" customFormat="1" ht="14" x14ac:dyDescent="0.2">
      <c r="B146" s="21" t="str">
        <f>E116</f>
        <v>Sub-urban passenger</v>
      </c>
      <c r="E146" s="182"/>
      <c r="F146" s="220"/>
      <c r="G146" s="183"/>
      <c r="H146" s="183"/>
      <c r="I146" s="183"/>
      <c r="J146" s="183"/>
      <c r="K146" s="183"/>
      <c r="L146" s="183"/>
      <c r="M146" s="183"/>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row>
    <row r="147" spans="1:34" s="8" customFormat="1" ht="14" x14ac:dyDescent="0.2">
      <c r="B147" s="14" t="s">
        <v>624</v>
      </c>
      <c r="D147" s="8" t="str">
        <f>D142</f>
        <v>R$/Passenger-km</v>
      </c>
      <c r="E147" s="181">
        <v>1</v>
      </c>
      <c r="F147" s="183"/>
      <c r="G147" s="183"/>
      <c r="H147" s="183"/>
      <c r="I147" s="183"/>
      <c r="J147" s="183"/>
      <c r="K147" s="183"/>
      <c r="L147" s="183"/>
      <c r="M147" s="18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row>
    <row r="148" spans="1:34" s="8" customFormat="1" ht="14" x14ac:dyDescent="0.2">
      <c r="B148" s="14" t="s">
        <v>234</v>
      </c>
      <c r="D148" s="15" t="s">
        <v>15</v>
      </c>
      <c r="E148" s="188">
        <f>F148/100</f>
        <v>1</v>
      </c>
      <c r="F148" s="220">
        <v>100</v>
      </c>
      <c r="G148" s="183"/>
      <c r="H148" s="183"/>
      <c r="I148" s="183"/>
      <c r="J148" s="183"/>
      <c r="K148" s="183"/>
      <c r="L148" s="183"/>
      <c r="M148" s="183"/>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row>
    <row r="149" spans="1:34" s="8" customFormat="1" ht="14" x14ac:dyDescent="0.2">
      <c r="B149" s="14" t="s">
        <v>625</v>
      </c>
      <c r="D149" s="8" t="s">
        <v>15</v>
      </c>
      <c r="E149" s="81"/>
      <c r="F149" s="111"/>
      <c r="G149" s="111"/>
      <c r="H149" s="111"/>
      <c r="I149" s="111"/>
      <c r="J149" s="111"/>
      <c r="K149" s="111"/>
      <c r="L149" s="111"/>
      <c r="M149" s="111"/>
      <c r="N149" s="111"/>
      <c r="O149" s="111"/>
      <c r="P149" s="111"/>
      <c r="Q149" s="111"/>
      <c r="R149" s="111"/>
      <c r="S149" s="111"/>
      <c r="T149" s="111"/>
      <c r="U149" s="111"/>
      <c r="V149" s="111"/>
      <c r="W149" s="111"/>
      <c r="X149" s="111"/>
      <c r="Y149" s="111"/>
      <c r="Z149" s="111"/>
      <c r="AA149" s="111"/>
      <c r="AB149" s="111"/>
      <c r="AC149" s="111"/>
      <c r="AD149" s="111"/>
      <c r="AE149" s="111"/>
      <c r="AF149" s="111"/>
      <c r="AG149" s="111"/>
      <c r="AH149" s="111"/>
    </row>
    <row r="150" spans="1:34" s="8" customFormat="1" ht="14" x14ac:dyDescent="0.2">
      <c r="B150" s="14"/>
      <c r="D150" s="15"/>
      <c r="E150" s="8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row>
    <row r="151" spans="1:34" s="8" customFormat="1" ht="14" outlineLevel="1" x14ac:dyDescent="0.2">
      <c r="B151" s="14" t="str">
        <f>B136&amp; " - fare in forecast period"</f>
        <v>Domestic passenger - fare in forecast period</v>
      </c>
      <c r="D151" s="15" t="str">
        <f>D137</f>
        <v>R$/Passenger-km</v>
      </c>
      <c r="E151" s="212"/>
      <c r="F151" s="222">
        <f>Calculations!F651</f>
        <v>1.03</v>
      </c>
      <c r="G151" s="222">
        <f>Calculations!G651</f>
        <v>1.0609</v>
      </c>
      <c r="H151" s="222">
        <f>Calculations!H651</f>
        <v>1.092727</v>
      </c>
      <c r="I151" s="222">
        <f>Calculations!I651</f>
        <v>1.1255088100000001</v>
      </c>
      <c r="J151" s="222">
        <f>Calculations!J651</f>
        <v>1.1592740743000001</v>
      </c>
      <c r="K151" s="222">
        <f>Calculations!K651</f>
        <v>1.1940522965290001</v>
      </c>
      <c r="L151" s="222">
        <f>Calculations!L651</f>
        <v>1.2298738654248702</v>
      </c>
      <c r="M151" s="222">
        <f>Calculations!M651</f>
        <v>1.2667700813876164</v>
      </c>
      <c r="N151" s="222">
        <f>Calculations!N651</f>
        <v>1.3047731838292449</v>
      </c>
      <c r="O151" s="222">
        <f>Calculations!O651</f>
        <v>1.3439163793441222</v>
      </c>
      <c r="P151" s="222">
        <f>Calculations!P651</f>
        <v>1.3842338707244459</v>
      </c>
      <c r="Q151" s="222">
        <f>Calculations!Q651</f>
        <v>1.4257608868461793</v>
      </c>
      <c r="R151" s="222">
        <f>Calculations!R651</f>
        <v>1.4685337134515648</v>
      </c>
      <c r="S151" s="222">
        <f>Calculations!S651</f>
        <v>1.5125897248551119</v>
      </c>
      <c r="T151" s="222">
        <f>Calculations!T651</f>
        <v>1.5579674166007653</v>
      </c>
      <c r="U151" s="222">
        <f>Calculations!U651</f>
        <v>1.6047064390987884</v>
      </c>
      <c r="V151" s="222">
        <f>Calculations!V651</f>
        <v>1.652847632271752</v>
      </c>
      <c r="W151" s="222">
        <f>Calculations!W651</f>
        <v>1.7024330612399046</v>
      </c>
      <c r="X151" s="222">
        <f>Calculations!X651</f>
        <v>1.7535060530771018</v>
      </c>
      <c r="Y151" s="222">
        <f>Calculations!Y651</f>
        <v>1.806111234669415</v>
      </c>
      <c r="Z151" s="222">
        <f>Calculations!Z651</f>
        <v>1.8602945717094976</v>
      </c>
      <c r="AA151" s="222">
        <f>Calculations!AA651</f>
        <v>1.9161034088607827</v>
      </c>
      <c r="AB151" s="222">
        <f>Calculations!AB651</f>
        <v>1.9735865111266062</v>
      </c>
      <c r="AC151" s="222">
        <f>Calculations!AC651</f>
        <v>2.0327941064604045</v>
      </c>
      <c r="AD151" s="222">
        <f>Calculations!AD651</f>
        <v>2.0937779296542165</v>
      </c>
      <c r="AE151" s="222">
        <f>Calculations!AE651</f>
        <v>2.1565912675438432</v>
      </c>
      <c r="AF151" s="222">
        <f>Calculations!AF651</f>
        <v>2.2212890055701586</v>
      </c>
      <c r="AG151" s="222">
        <f>Calculations!AG651</f>
        <v>2.2879276757372633</v>
      </c>
      <c r="AH151" s="222">
        <f>Calculations!AH651</f>
        <v>2.3565655060093813</v>
      </c>
    </row>
    <row r="152" spans="1:34" s="8" customFormat="1" ht="14" outlineLevel="1" x14ac:dyDescent="0.2">
      <c r="B152" s="14" t="str">
        <f>B141&amp; " - fare in forecast period"</f>
        <v>International passenger - fare in forecast period</v>
      </c>
      <c r="D152" s="15" t="str">
        <f>D142</f>
        <v>R$/Passenger-km</v>
      </c>
      <c r="E152" s="212"/>
      <c r="F152" s="222">
        <f>Calculations!F653</f>
        <v>1.03</v>
      </c>
      <c r="G152" s="222">
        <f>Calculations!G653</f>
        <v>1.0609</v>
      </c>
      <c r="H152" s="222">
        <f>Calculations!H653</f>
        <v>1.092727</v>
      </c>
      <c r="I152" s="222">
        <f>Calculations!I653</f>
        <v>1.1255088100000001</v>
      </c>
      <c r="J152" s="222">
        <f>Calculations!J653</f>
        <v>1.1592740743000001</v>
      </c>
      <c r="K152" s="222">
        <f>Calculations!K653</f>
        <v>1.1940522965290001</v>
      </c>
      <c r="L152" s="222">
        <f>Calculations!L653</f>
        <v>1.2298738654248702</v>
      </c>
      <c r="M152" s="222">
        <f>Calculations!M653</f>
        <v>1.2667700813876164</v>
      </c>
      <c r="N152" s="222">
        <f>Calculations!N653</f>
        <v>1.3047731838292449</v>
      </c>
      <c r="O152" s="222">
        <f>Calculations!O653</f>
        <v>1.3439163793441222</v>
      </c>
      <c r="P152" s="222">
        <f>Calculations!P653</f>
        <v>1.3842338707244459</v>
      </c>
      <c r="Q152" s="222">
        <f>Calculations!Q653</f>
        <v>1.4257608868461793</v>
      </c>
      <c r="R152" s="222">
        <f>Calculations!R653</f>
        <v>1.4685337134515648</v>
      </c>
      <c r="S152" s="222">
        <f>Calculations!S653</f>
        <v>1.5125897248551119</v>
      </c>
      <c r="T152" s="222">
        <f>Calculations!T653</f>
        <v>1.5579674166007653</v>
      </c>
      <c r="U152" s="222">
        <f>Calculations!U653</f>
        <v>1.6047064390987884</v>
      </c>
      <c r="V152" s="222">
        <f>Calculations!V653</f>
        <v>1.652847632271752</v>
      </c>
      <c r="W152" s="222">
        <f>Calculations!W653</f>
        <v>1.7024330612399046</v>
      </c>
      <c r="X152" s="222">
        <f>Calculations!X653</f>
        <v>1.7535060530771018</v>
      </c>
      <c r="Y152" s="222">
        <f>Calculations!Y653</f>
        <v>1.806111234669415</v>
      </c>
      <c r="Z152" s="222">
        <f>Calculations!Z653</f>
        <v>1.8602945717094976</v>
      </c>
      <c r="AA152" s="222">
        <f>Calculations!AA653</f>
        <v>1.9161034088607827</v>
      </c>
      <c r="AB152" s="222">
        <f>Calculations!AB653</f>
        <v>1.9735865111266062</v>
      </c>
      <c r="AC152" s="222">
        <f>Calculations!AC653</f>
        <v>2.0327941064604045</v>
      </c>
      <c r="AD152" s="222">
        <f>Calculations!AD653</f>
        <v>2.0937779296542165</v>
      </c>
      <c r="AE152" s="222">
        <f>Calculations!AE653</f>
        <v>2.1565912675438432</v>
      </c>
      <c r="AF152" s="222">
        <f>Calculations!AF653</f>
        <v>2.2212890055701586</v>
      </c>
      <c r="AG152" s="222">
        <f>Calculations!AG653</f>
        <v>2.2879276757372633</v>
      </c>
      <c r="AH152" s="222">
        <f>Calculations!AH653</f>
        <v>2.3565655060093813</v>
      </c>
    </row>
    <row r="153" spans="1:34" s="8" customFormat="1" ht="14" outlineLevel="1" x14ac:dyDescent="0.2">
      <c r="B153" s="14" t="str">
        <f>B146&amp; " - fare in forecast period"</f>
        <v>Sub-urban passenger - fare in forecast period</v>
      </c>
      <c r="D153" s="15" t="str">
        <f>D147</f>
        <v>R$/Passenger-km</v>
      </c>
      <c r="E153" s="212"/>
      <c r="F153" s="222">
        <f>Calculations!F655</f>
        <v>1.03</v>
      </c>
      <c r="G153" s="222">
        <f>Calculations!G655</f>
        <v>1.0609</v>
      </c>
      <c r="H153" s="222">
        <f>Calculations!H655</f>
        <v>1.092727</v>
      </c>
      <c r="I153" s="222">
        <f>Calculations!I655</f>
        <v>1.1255088100000001</v>
      </c>
      <c r="J153" s="222">
        <f>Calculations!J655</f>
        <v>1.1592740743000001</v>
      </c>
      <c r="K153" s="222">
        <f>Calculations!K655</f>
        <v>1.1940522965290001</v>
      </c>
      <c r="L153" s="222">
        <f>Calculations!L655</f>
        <v>1.2298738654248702</v>
      </c>
      <c r="M153" s="222">
        <f>Calculations!M655</f>
        <v>1.2667700813876164</v>
      </c>
      <c r="N153" s="222">
        <f>Calculations!N655</f>
        <v>1.3047731838292449</v>
      </c>
      <c r="O153" s="222">
        <f>Calculations!O655</f>
        <v>1.3439163793441222</v>
      </c>
      <c r="P153" s="222">
        <f>Calculations!P655</f>
        <v>1.3842338707244459</v>
      </c>
      <c r="Q153" s="222">
        <f>Calculations!Q655</f>
        <v>1.4257608868461793</v>
      </c>
      <c r="R153" s="222">
        <f>Calculations!R655</f>
        <v>1.4685337134515648</v>
      </c>
      <c r="S153" s="222">
        <f>Calculations!S655</f>
        <v>1.5125897248551119</v>
      </c>
      <c r="T153" s="222">
        <f>Calculations!T655</f>
        <v>1.5579674166007653</v>
      </c>
      <c r="U153" s="222">
        <f>Calculations!U655</f>
        <v>1.6047064390987884</v>
      </c>
      <c r="V153" s="222">
        <f>Calculations!V655</f>
        <v>1.652847632271752</v>
      </c>
      <c r="W153" s="222">
        <f>Calculations!W655</f>
        <v>1.7024330612399046</v>
      </c>
      <c r="X153" s="222">
        <f>Calculations!X655</f>
        <v>1.7535060530771018</v>
      </c>
      <c r="Y153" s="222">
        <f>Calculations!Y655</f>
        <v>1.806111234669415</v>
      </c>
      <c r="Z153" s="222">
        <f>Calculations!Z655</f>
        <v>1.8602945717094976</v>
      </c>
      <c r="AA153" s="222">
        <f>Calculations!AA655</f>
        <v>1.9161034088607827</v>
      </c>
      <c r="AB153" s="222">
        <f>Calculations!AB655</f>
        <v>1.9735865111266062</v>
      </c>
      <c r="AC153" s="222">
        <f>Calculations!AC655</f>
        <v>2.0327941064604045</v>
      </c>
      <c r="AD153" s="222">
        <f>Calculations!AD655</f>
        <v>2.0937779296542165</v>
      </c>
      <c r="AE153" s="222">
        <f>Calculations!AE655</f>
        <v>2.1565912675438432</v>
      </c>
      <c r="AF153" s="222">
        <f>Calculations!AF655</f>
        <v>2.2212890055701586</v>
      </c>
      <c r="AG153" s="222">
        <f>Calculations!AG655</f>
        <v>2.2879276757372633</v>
      </c>
      <c r="AH153" s="222">
        <f>Calculations!AH655</f>
        <v>2.3565655060093813</v>
      </c>
    </row>
    <row r="154" spans="1:34" s="8" customFormat="1" ht="14" x14ac:dyDescent="0.2">
      <c r="A154" s="7" t="s">
        <v>405</v>
      </c>
      <c r="B154" s="14"/>
      <c r="D154" s="15"/>
      <c r="E154" s="212"/>
      <c r="F154" s="222"/>
      <c r="G154" s="222"/>
      <c r="H154" s="222"/>
      <c r="I154" s="222"/>
      <c r="J154" s="222"/>
      <c r="K154" s="222"/>
      <c r="L154" s="222"/>
      <c r="M154" s="222"/>
      <c r="N154" s="222"/>
      <c r="O154" s="222"/>
      <c r="P154" s="222"/>
      <c r="Q154" s="222"/>
      <c r="R154" s="222"/>
      <c r="S154" s="222"/>
      <c r="T154" s="222"/>
      <c r="U154" s="222"/>
      <c r="V154" s="222"/>
      <c r="W154" s="222"/>
      <c r="X154" s="222"/>
      <c r="Y154" s="222"/>
      <c r="Z154" s="222"/>
      <c r="AA154" s="222"/>
      <c r="AB154" s="222"/>
      <c r="AC154" s="222"/>
      <c r="AD154" s="222"/>
      <c r="AE154" s="222"/>
      <c r="AF154" s="222"/>
      <c r="AG154" s="222"/>
      <c r="AH154" s="222"/>
    </row>
    <row r="155" spans="1:34" s="8" customFormat="1" ht="14" x14ac:dyDescent="0.2">
      <c r="A155" s="7"/>
      <c r="B155" s="14"/>
      <c r="D155" s="15"/>
      <c r="E155" s="212"/>
      <c r="F155" s="222"/>
      <c r="G155" s="222"/>
      <c r="H155" s="222"/>
      <c r="I155" s="222"/>
      <c r="J155" s="222"/>
      <c r="K155" s="222"/>
      <c r="L155" s="222"/>
      <c r="M155" s="222"/>
      <c r="N155" s="222"/>
      <c r="O155" s="222"/>
      <c r="P155" s="222"/>
      <c r="Q155" s="222"/>
      <c r="R155" s="222"/>
      <c r="S155" s="222"/>
      <c r="T155" s="222"/>
      <c r="U155" s="222"/>
      <c r="V155" s="222"/>
      <c r="W155" s="222"/>
      <c r="X155" s="222"/>
      <c r="Y155" s="222"/>
      <c r="Z155" s="222"/>
      <c r="AA155" s="222"/>
      <c r="AB155" s="222"/>
      <c r="AC155" s="222"/>
      <c r="AD155" s="222"/>
      <c r="AE155" s="222"/>
      <c r="AF155" s="222"/>
      <c r="AG155" s="222"/>
      <c r="AH155" s="222"/>
    </row>
    <row r="156" spans="1:34" s="324" customFormat="1" x14ac:dyDescent="0.2">
      <c r="B156" s="323" t="str">
        <f>"Other operating revenue for " &amp;'Assumptions - General'!$E$25</f>
        <v>Other operating revenue for Ruritania Passenger Rail Company</v>
      </c>
    </row>
    <row r="157" spans="1:34" s="18" customFormat="1" x14ac:dyDescent="0.2">
      <c r="B157" s="17"/>
    </row>
    <row r="158" spans="1:34" s="8" customFormat="1" ht="14" x14ac:dyDescent="0.2">
      <c r="B158" s="8" t="s">
        <v>330</v>
      </c>
      <c r="E158" s="168"/>
      <c r="F158" s="87"/>
    </row>
    <row r="159" spans="1:34" s="8" customFormat="1" ht="14" x14ac:dyDescent="0.2">
      <c r="B159" s="30" t="s">
        <v>329</v>
      </c>
      <c r="D159" s="10" t="str">
        <f>'Assumptions - General'!$E$27 &amp;" millions"</f>
        <v>R$ millions</v>
      </c>
      <c r="E159" s="176">
        <v>500</v>
      </c>
      <c r="F159" s="191">
        <v>500</v>
      </c>
      <c r="G159" s="191">
        <v>500</v>
      </c>
      <c r="H159" s="191">
        <v>500</v>
      </c>
      <c r="I159" s="191">
        <v>500</v>
      </c>
      <c r="J159" s="191">
        <v>500</v>
      </c>
      <c r="K159" s="191">
        <v>500</v>
      </c>
      <c r="L159" s="191">
        <v>500</v>
      </c>
      <c r="M159" s="191">
        <v>500</v>
      </c>
      <c r="N159" s="191">
        <v>500</v>
      </c>
      <c r="O159" s="191">
        <v>500</v>
      </c>
      <c r="P159" s="191">
        <v>500</v>
      </c>
      <c r="Q159" s="191">
        <v>500</v>
      </c>
      <c r="R159" s="191">
        <v>500</v>
      </c>
      <c r="S159" s="191">
        <v>500</v>
      </c>
      <c r="T159" s="191">
        <v>500</v>
      </c>
      <c r="U159" s="191">
        <v>500</v>
      </c>
      <c r="V159" s="191">
        <v>500</v>
      </c>
      <c r="W159" s="191">
        <v>500</v>
      </c>
      <c r="X159" s="191">
        <v>500</v>
      </c>
      <c r="Y159" s="191">
        <v>500</v>
      </c>
      <c r="Z159" s="191">
        <v>500</v>
      </c>
      <c r="AA159" s="191">
        <v>500</v>
      </c>
      <c r="AB159" s="191">
        <v>500</v>
      </c>
      <c r="AC159" s="191">
        <v>500</v>
      </c>
      <c r="AD159" s="191">
        <v>500</v>
      </c>
      <c r="AE159" s="191">
        <v>500</v>
      </c>
      <c r="AF159" s="191">
        <v>500</v>
      </c>
      <c r="AG159" s="191">
        <v>500</v>
      </c>
      <c r="AH159" s="191">
        <v>500</v>
      </c>
    </row>
    <row r="160" spans="1:34" s="8" customFormat="1" ht="14" x14ac:dyDescent="0.2">
      <c r="D160" s="10"/>
      <c r="E160" s="121"/>
      <c r="F160" s="121"/>
      <c r="G160" s="121"/>
      <c r="H160" s="121"/>
      <c r="I160" s="121"/>
      <c r="J160" s="121"/>
      <c r="K160" s="121"/>
      <c r="L160" s="121"/>
      <c r="M160" s="121"/>
      <c r="N160" s="121"/>
      <c r="O160" s="121"/>
      <c r="P160" s="121"/>
      <c r="Q160" s="121"/>
      <c r="R160" s="121"/>
      <c r="S160" s="121"/>
      <c r="T160" s="121"/>
      <c r="U160" s="121"/>
      <c r="V160" s="121"/>
      <c r="W160" s="121"/>
      <c r="X160" s="121"/>
      <c r="Y160" s="121"/>
      <c r="Z160" s="121"/>
      <c r="AA160" s="121"/>
      <c r="AB160" s="121"/>
      <c r="AC160" s="121"/>
      <c r="AD160" s="121"/>
      <c r="AE160" s="121"/>
      <c r="AF160" s="121"/>
      <c r="AG160" s="121"/>
      <c r="AH160" s="121"/>
    </row>
    <row r="161" spans="2:65" s="324" customFormat="1" x14ac:dyDescent="0.2">
      <c r="B161" s="323" t="str">
        <f>"Non-operating revenue of " &amp;'Assumptions - General'!$E$25</f>
        <v>Non-operating revenue of Ruritania Passenger Rail Company</v>
      </c>
      <c r="F161" s="501" t="s">
        <v>33</v>
      </c>
    </row>
    <row r="162" spans="2:65" s="8" customFormat="1" ht="14" x14ac:dyDescent="0.2">
      <c r="B162" s="7"/>
      <c r="E162" s="9"/>
      <c r="F162" s="431" t="s">
        <v>33</v>
      </c>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row>
    <row r="163" spans="2:65" s="8" customFormat="1" ht="14" x14ac:dyDescent="0.2">
      <c r="B163" s="16" t="s">
        <v>584</v>
      </c>
      <c r="D163" s="8" t="s">
        <v>32</v>
      </c>
      <c r="E163" s="177">
        <f>IF(F161=F162,1,2)</f>
        <v>1</v>
      </c>
      <c r="F163" s="87" t="s">
        <v>211</v>
      </c>
    </row>
    <row r="164" spans="2:65" s="8" customFormat="1" ht="14" x14ac:dyDescent="0.2">
      <c r="B164" s="16"/>
      <c r="E164" s="182"/>
    </row>
    <row r="165" spans="2:65" s="20" customFormat="1" ht="14" x14ac:dyDescent="0.2">
      <c r="B165" s="19" t="s">
        <v>585</v>
      </c>
      <c r="D165" s="20" t="s">
        <v>2</v>
      </c>
      <c r="E165" s="188" t="s">
        <v>590</v>
      </c>
    </row>
    <row r="166" spans="2:65" s="8" customFormat="1" ht="14" x14ac:dyDescent="0.2">
      <c r="B166" s="14" t="s">
        <v>586</v>
      </c>
      <c r="D166" s="10" t="str">
        <f>'Assumptions - General'!$E$27 &amp;" millions"</f>
        <v>R$ millions</v>
      </c>
      <c r="E166" s="176">
        <v>100</v>
      </c>
    </row>
    <row r="167" spans="2:65" s="8" customFormat="1" ht="14" x14ac:dyDescent="0.2">
      <c r="B167" s="215" t="s">
        <v>587</v>
      </c>
      <c r="D167" s="8" t="s">
        <v>256</v>
      </c>
      <c r="E167" s="176">
        <v>100</v>
      </c>
      <c r="F167" s="219">
        <f t="shared" ref="F167:AH167" si="13">E167*(1+F168)</f>
        <v>100</v>
      </c>
      <c r="G167" s="219">
        <f t="shared" si="13"/>
        <v>100</v>
      </c>
      <c r="H167" s="219">
        <f t="shared" si="13"/>
        <v>100</v>
      </c>
      <c r="I167" s="219">
        <f t="shared" si="13"/>
        <v>100</v>
      </c>
      <c r="J167" s="219">
        <f t="shared" si="13"/>
        <v>100</v>
      </c>
      <c r="K167" s="219">
        <f t="shared" si="13"/>
        <v>100</v>
      </c>
      <c r="L167" s="219">
        <f t="shared" si="13"/>
        <v>100</v>
      </c>
      <c r="M167" s="219">
        <f t="shared" si="13"/>
        <v>100</v>
      </c>
      <c r="N167" s="219">
        <f t="shared" si="13"/>
        <v>100</v>
      </c>
      <c r="O167" s="219">
        <f t="shared" si="13"/>
        <v>100</v>
      </c>
      <c r="P167" s="219">
        <f t="shared" si="13"/>
        <v>100</v>
      </c>
      <c r="Q167" s="219">
        <f t="shared" si="13"/>
        <v>100</v>
      </c>
      <c r="R167" s="219">
        <f t="shared" si="13"/>
        <v>100</v>
      </c>
      <c r="S167" s="219">
        <f t="shared" si="13"/>
        <v>100</v>
      </c>
      <c r="T167" s="219">
        <f t="shared" si="13"/>
        <v>100</v>
      </c>
      <c r="U167" s="219">
        <f t="shared" si="13"/>
        <v>100</v>
      </c>
      <c r="V167" s="219">
        <f t="shared" si="13"/>
        <v>100</v>
      </c>
      <c r="W167" s="219">
        <f t="shared" si="13"/>
        <v>100</v>
      </c>
      <c r="X167" s="219">
        <f t="shared" si="13"/>
        <v>100</v>
      </c>
      <c r="Y167" s="219">
        <f t="shared" si="13"/>
        <v>100</v>
      </c>
      <c r="Z167" s="219">
        <f t="shared" si="13"/>
        <v>100</v>
      </c>
      <c r="AA167" s="219">
        <f t="shared" si="13"/>
        <v>100</v>
      </c>
      <c r="AB167" s="219">
        <f t="shared" si="13"/>
        <v>100</v>
      </c>
      <c r="AC167" s="219">
        <f t="shared" si="13"/>
        <v>100</v>
      </c>
      <c r="AD167" s="219">
        <f t="shared" si="13"/>
        <v>100</v>
      </c>
      <c r="AE167" s="219">
        <f t="shared" si="13"/>
        <v>100</v>
      </c>
      <c r="AF167" s="219">
        <f t="shared" si="13"/>
        <v>100</v>
      </c>
      <c r="AG167" s="219">
        <f t="shared" si="13"/>
        <v>100</v>
      </c>
      <c r="AH167" s="219">
        <f t="shared" si="13"/>
        <v>100</v>
      </c>
      <c r="AI167" s="20"/>
      <c r="AJ167" s="20"/>
      <c r="AK167" s="20"/>
      <c r="AL167" s="20"/>
      <c r="AM167" s="20"/>
      <c r="AN167" s="20"/>
      <c r="AO167" s="20"/>
      <c r="AP167" s="20"/>
      <c r="AQ167" s="20"/>
      <c r="AR167" s="20"/>
      <c r="AS167" s="20"/>
      <c r="AT167" s="20"/>
      <c r="AU167" s="20"/>
      <c r="AV167" s="20"/>
      <c r="AW167" s="20"/>
      <c r="AX167" s="20"/>
      <c r="AY167" s="20"/>
      <c r="AZ167" s="20"/>
      <c r="BA167" s="20"/>
      <c r="BB167" s="20"/>
      <c r="BC167" s="20"/>
      <c r="BD167" s="20"/>
      <c r="BE167" s="20"/>
      <c r="BF167" s="20"/>
      <c r="BG167" s="20"/>
      <c r="BH167" s="20"/>
      <c r="BI167" s="20"/>
      <c r="BJ167" s="20"/>
      <c r="BK167" s="20"/>
      <c r="BL167" s="20"/>
      <c r="BM167" s="20"/>
    </row>
    <row r="168" spans="2:65" s="8" customFormat="1" ht="14" x14ac:dyDescent="0.2">
      <c r="B168" s="211" t="s">
        <v>263</v>
      </c>
      <c r="D168" s="8" t="s">
        <v>15</v>
      </c>
      <c r="E168" s="192"/>
      <c r="F168" s="189">
        <v>0</v>
      </c>
      <c r="G168" s="189">
        <v>0</v>
      </c>
      <c r="H168" s="189">
        <v>0</v>
      </c>
      <c r="I168" s="189">
        <v>0</v>
      </c>
      <c r="J168" s="189">
        <v>0</v>
      </c>
      <c r="K168" s="189">
        <v>0</v>
      </c>
      <c r="L168" s="189">
        <v>0</v>
      </c>
      <c r="M168" s="189">
        <v>0</v>
      </c>
      <c r="N168" s="189">
        <v>0</v>
      </c>
      <c r="O168" s="189">
        <v>0</v>
      </c>
      <c r="P168" s="189">
        <v>0</v>
      </c>
      <c r="Q168" s="189">
        <v>0</v>
      </c>
      <c r="R168" s="189">
        <v>0</v>
      </c>
      <c r="S168" s="189">
        <v>0</v>
      </c>
      <c r="T168" s="189">
        <v>0</v>
      </c>
      <c r="U168" s="189">
        <v>0</v>
      </c>
      <c r="V168" s="189">
        <v>0</v>
      </c>
      <c r="W168" s="189">
        <v>0</v>
      </c>
      <c r="X168" s="189">
        <v>0</v>
      </c>
      <c r="Y168" s="189">
        <v>0</v>
      </c>
      <c r="Z168" s="189">
        <v>0</v>
      </c>
      <c r="AA168" s="189">
        <v>0</v>
      </c>
      <c r="AB168" s="189">
        <v>0</v>
      </c>
      <c r="AC168" s="189">
        <v>0</v>
      </c>
      <c r="AD168" s="189">
        <v>0</v>
      </c>
      <c r="AE168" s="189">
        <v>0</v>
      </c>
      <c r="AF168" s="189">
        <v>0</v>
      </c>
      <c r="AG168" s="189">
        <v>0</v>
      </c>
      <c r="AH168" s="189">
        <v>0</v>
      </c>
      <c r="AI168" s="20"/>
      <c r="AJ168" s="20"/>
      <c r="AK168" s="20"/>
      <c r="AL168" s="20"/>
      <c r="AM168" s="20"/>
      <c r="AN168" s="20"/>
      <c r="AO168" s="20"/>
      <c r="AP168" s="20"/>
      <c r="AQ168" s="20"/>
      <c r="AR168" s="20"/>
      <c r="AS168" s="20"/>
      <c r="AT168" s="20"/>
      <c r="AU168" s="20"/>
      <c r="AV168" s="20"/>
      <c r="AW168" s="20"/>
      <c r="AX168" s="20"/>
      <c r="AY168" s="20"/>
      <c r="AZ168" s="20"/>
      <c r="BA168" s="20"/>
      <c r="BB168" s="20"/>
      <c r="BC168" s="20"/>
      <c r="BD168" s="20"/>
      <c r="BE168" s="20"/>
      <c r="BF168" s="20"/>
      <c r="BG168" s="20"/>
      <c r="BH168" s="20"/>
      <c r="BI168" s="20"/>
      <c r="BJ168" s="20"/>
      <c r="BK168" s="20"/>
      <c r="BL168" s="20"/>
      <c r="BM168" s="20"/>
    </row>
    <row r="169" spans="2:65" s="8" customFormat="1" ht="14" x14ac:dyDescent="0.2">
      <c r="B169" s="215" t="s">
        <v>588</v>
      </c>
      <c r="D169" s="15"/>
      <c r="E169" s="180"/>
      <c r="F169" s="220"/>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20"/>
      <c r="AJ169" s="20"/>
      <c r="AK169" s="20"/>
      <c r="AL169" s="20"/>
      <c r="AM169" s="20"/>
      <c r="AN169" s="20"/>
      <c r="AO169" s="20"/>
      <c r="AP169" s="20"/>
      <c r="AQ169" s="20"/>
      <c r="AR169" s="20"/>
      <c r="AS169" s="20"/>
      <c r="AT169" s="20"/>
      <c r="AU169" s="20"/>
      <c r="AV169" s="20"/>
      <c r="AW169" s="20"/>
      <c r="AX169" s="20"/>
      <c r="AY169" s="20"/>
      <c r="AZ169" s="20"/>
      <c r="BA169" s="20"/>
      <c r="BB169" s="20"/>
      <c r="BC169" s="20"/>
      <c r="BD169" s="20"/>
      <c r="BE169" s="20"/>
      <c r="BF169" s="20"/>
      <c r="BG169" s="20"/>
      <c r="BH169" s="20"/>
      <c r="BI169" s="20"/>
      <c r="BJ169" s="20"/>
      <c r="BK169" s="20"/>
      <c r="BL169" s="20"/>
      <c r="BM169" s="20"/>
    </row>
    <row r="170" spans="2:65" s="8" customFormat="1" ht="14" x14ac:dyDescent="0.2">
      <c r="B170" s="211" t="s">
        <v>38</v>
      </c>
      <c r="D170" s="8" t="s">
        <v>15</v>
      </c>
      <c r="E170" s="188">
        <f>IF(E163=2,0,F170/100)</f>
        <v>0</v>
      </c>
      <c r="F170" s="220">
        <v>0</v>
      </c>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20"/>
      <c r="AJ170" s="20"/>
      <c r="AK170" s="20"/>
      <c r="AL170" s="20"/>
      <c r="AM170" s="20"/>
      <c r="AN170" s="20"/>
      <c r="AO170" s="20"/>
      <c r="AP170" s="20"/>
      <c r="AQ170" s="20"/>
      <c r="AR170" s="20"/>
      <c r="AS170" s="20"/>
      <c r="AT170" s="20"/>
      <c r="AU170" s="20"/>
      <c r="AV170" s="20"/>
      <c r="AW170" s="20"/>
      <c r="AX170" s="20"/>
      <c r="AY170" s="20"/>
      <c r="AZ170" s="20"/>
      <c r="BA170" s="20"/>
      <c r="BB170" s="20"/>
      <c r="BC170" s="20"/>
      <c r="BD170" s="20"/>
      <c r="BE170" s="20"/>
      <c r="BF170" s="20"/>
      <c r="BG170" s="20"/>
      <c r="BH170" s="20"/>
      <c r="BI170" s="20"/>
      <c r="BJ170" s="20"/>
      <c r="BK170" s="20"/>
      <c r="BL170" s="20"/>
      <c r="BM170" s="20"/>
    </row>
    <row r="171" spans="2:65" s="20" customFormat="1" ht="14" x14ac:dyDescent="0.2">
      <c r="B171" s="216" t="s">
        <v>589</v>
      </c>
      <c r="D171" s="122" t="str">
        <f>'Assumptions - General'!$E$27 &amp;" per unit"</f>
        <v>R$ per unit</v>
      </c>
      <c r="E171" s="192">
        <f>E166*1000000/E167</f>
        <v>1000000</v>
      </c>
      <c r="F171" s="192">
        <f>E171*(1+F172)*IF($E$163=1,($E170*'Assumptions - General'!F$37+1),1)</f>
        <v>1000000</v>
      </c>
      <c r="G171" s="192">
        <f>F171*(1+G172)*IF($E$163=1,($E170*'Assumptions - General'!G$37+1),1)</f>
        <v>1000000</v>
      </c>
      <c r="H171" s="192">
        <f>G171*(1+H172)*IF($E$163=1,($E170*'Assumptions - General'!H$37+1),1)</f>
        <v>1000000</v>
      </c>
      <c r="I171" s="192">
        <f>H171*(1+I172)*IF($E$163=1,($E170*'Assumptions - General'!I$37+1),1)</f>
        <v>1000000</v>
      </c>
      <c r="J171" s="192">
        <f>I171*(1+J172)*IF($E$163=1,($E170*'Assumptions - General'!J$37+1),1)</f>
        <v>1000000</v>
      </c>
      <c r="K171" s="192">
        <f>J171*(1+K172)*IF($E$163=1,($E170*'Assumptions - General'!K$37+1),1)</f>
        <v>1000000</v>
      </c>
      <c r="L171" s="192">
        <f>K171*(1+L172)*IF($E$163=1,($E170*'Assumptions - General'!L$37+1),1)</f>
        <v>1000000</v>
      </c>
      <c r="M171" s="192">
        <f>L171*(1+M172)*IF($E$163=1,($E170*'Assumptions - General'!M$37+1),1)</f>
        <v>1000000</v>
      </c>
      <c r="N171" s="192">
        <f>M171*(1+N172)*IF($E$163=1,($E170*'Assumptions - General'!N$37+1),1)</f>
        <v>1000000</v>
      </c>
      <c r="O171" s="192">
        <f>N171*(1+O172)*IF($E$163=1,($E170*'Assumptions - General'!O$37+1),1)</f>
        <v>1000000</v>
      </c>
      <c r="P171" s="192">
        <f>O171*(1+P172)*IF($E$163=1,($E170*'Assumptions - General'!P$37+1),1)</f>
        <v>1000000</v>
      </c>
      <c r="Q171" s="192">
        <f>P171*(1+Q172)*IF($E$163=1,($E170*'Assumptions - General'!Q$37+1),1)</f>
        <v>1000000</v>
      </c>
      <c r="R171" s="192">
        <f>Q171*(1+R172)*IF($E$163=1,($E170*'Assumptions - General'!R$37+1),1)</f>
        <v>1000000</v>
      </c>
      <c r="S171" s="192">
        <f>R171*(1+S172)*IF($E$163=1,($E170*'Assumptions - General'!S$37+1),1)</f>
        <v>1000000</v>
      </c>
      <c r="T171" s="192">
        <f>S171*(1+T172)*IF($E$163=1,($E170*'Assumptions - General'!T$37+1),1)</f>
        <v>1000000</v>
      </c>
      <c r="U171" s="192">
        <f>T171*(1+U172)*IF($E$163=1,($E170*'Assumptions - General'!U$37+1),1)</f>
        <v>1000000</v>
      </c>
      <c r="V171" s="192">
        <f>U171*(1+V172)*IF($E$163=1,($E170*'Assumptions - General'!V$37+1),1)</f>
        <v>1000000</v>
      </c>
      <c r="W171" s="192">
        <f>V171*(1+W172)*IF($E$163=1,($E170*'Assumptions - General'!W$37+1),1)</f>
        <v>1000000</v>
      </c>
      <c r="X171" s="192">
        <f>W171*(1+X172)*IF($E$163=1,($E170*'Assumptions - General'!X$37+1),1)</f>
        <v>1000000</v>
      </c>
      <c r="Y171" s="192">
        <f>X171*(1+Y172)*IF($E$163=1,($E170*'Assumptions - General'!Y$37+1),1)</f>
        <v>1000000</v>
      </c>
      <c r="Z171" s="192">
        <f>Y171*(1+Z172)*IF($E$163=1,($E170*'Assumptions - General'!Z$37+1),1)</f>
        <v>1000000</v>
      </c>
      <c r="AA171" s="192">
        <f>Z171*(1+AA172)*IF($E$163=1,($E170*'Assumptions - General'!AA$37+1),1)</f>
        <v>1000000</v>
      </c>
      <c r="AB171" s="192">
        <f>AA171*(1+AB172)*IF($E$163=1,($E170*'Assumptions - General'!AB$37+1),1)</f>
        <v>1000000</v>
      </c>
      <c r="AC171" s="192">
        <f>AB171*(1+AC172)*IF($E$163=1,($E170*'Assumptions - General'!AC$37+1),1)</f>
        <v>1000000</v>
      </c>
      <c r="AD171" s="192">
        <f>AC171*(1+AD172)*IF($E$163=1,($E170*'Assumptions - General'!AD$37+1),1)</f>
        <v>1000000</v>
      </c>
      <c r="AE171" s="192">
        <f>AD171*(1+AE172)*IF($E$163=1,($E170*'Assumptions - General'!AE$37+1),1)</f>
        <v>1000000</v>
      </c>
      <c r="AF171" s="192">
        <f>AE171*(1+AF172)*IF($E$163=1,($E170*'Assumptions - General'!AF$37+1),1)</f>
        <v>1000000</v>
      </c>
      <c r="AG171" s="192">
        <f>AF171*(1+AG172)*IF($E$163=1,($E170*'Assumptions - General'!AG$37+1),1)</f>
        <v>1000000</v>
      </c>
      <c r="AH171" s="192">
        <f>AG171*(1+AH172)*IF($E$163=1,($E170*'Assumptions - General'!AH$37+1),1)</f>
        <v>1000000</v>
      </c>
    </row>
    <row r="172" spans="2:65" x14ac:dyDescent="0.2">
      <c r="B172" s="30" t="s">
        <v>401</v>
      </c>
      <c r="D172" s="15" t="s">
        <v>15</v>
      </c>
      <c r="E172" s="190"/>
      <c r="F172" s="188">
        <v>0</v>
      </c>
      <c r="G172" s="188">
        <v>0</v>
      </c>
      <c r="H172" s="188">
        <v>0</v>
      </c>
      <c r="I172" s="188">
        <v>0</v>
      </c>
      <c r="J172" s="188">
        <v>0</v>
      </c>
      <c r="K172" s="188">
        <v>0</v>
      </c>
      <c r="L172" s="188">
        <v>0</v>
      </c>
      <c r="M172" s="188">
        <v>0</v>
      </c>
      <c r="N172" s="188">
        <v>0</v>
      </c>
      <c r="O172" s="188">
        <v>0</v>
      </c>
      <c r="P172" s="188">
        <v>0</v>
      </c>
      <c r="Q172" s="188">
        <v>0</v>
      </c>
      <c r="R172" s="188">
        <v>0</v>
      </c>
      <c r="S172" s="188">
        <v>0</v>
      </c>
      <c r="T172" s="188">
        <v>0</v>
      </c>
      <c r="U172" s="188">
        <v>0</v>
      </c>
      <c r="V172" s="188">
        <v>0</v>
      </c>
      <c r="W172" s="188">
        <v>0</v>
      </c>
      <c r="X172" s="188">
        <v>0</v>
      </c>
      <c r="Y172" s="188">
        <v>0</v>
      </c>
      <c r="Z172" s="188">
        <v>0</v>
      </c>
      <c r="AA172" s="188">
        <v>0</v>
      </c>
      <c r="AB172" s="188">
        <v>0</v>
      </c>
      <c r="AC172" s="188">
        <v>0</v>
      </c>
      <c r="AD172" s="188">
        <v>0</v>
      </c>
      <c r="AE172" s="188">
        <v>0</v>
      </c>
      <c r="AF172" s="188">
        <v>0</v>
      </c>
      <c r="AG172" s="188">
        <v>0</v>
      </c>
      <c r="AH172" s="188">
        <v>0</v>
      </c>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row>
    <row r="173" spans="2:65" s="18" customFormat="1" x14ac:dyDescent="0.2">
      <c r="B173" s="32"/>
      <c r="D173" s="81"/>
      <c r="E173" s="204"/>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c r="AG173" s="180"/>
      <c r="AH173" s="180"/>
    </row>
    <row r="174" spans="2:65" s="20" customFormat="1" ht="14" x14ac:dyDescent="0.2">
      <c r="B174" s="19" t="s">
        <v>591</v>
      </c>
      <c r="D174" s="20" t="s">
        <v>2</v>
      </c>
      <c r="E174" s="188" t="s">
        <v>694</v>
      </c>
      <c r="F174" s="221"/>
      <c r="G174" s="182"/>
      <c r="H174" s="182"/>
      <c r="I174" s="182"/>
      <c r="J174" s="182"/>
      <c r="K174" s="182"/>
      <c r="L174" s="182"/>
      <c r="M174" s="182"/>
      <c r="N174" s="182"/>
      <c r="O174" s="182"/>
      <c r="P174" s="182"/>
      <c r="Q174" s="182"/>
      <c r="R174" s="182"/>
      <c r="S174" s="182"/>
      <c r="T174" s="182"/>
      <c r="U174" s="182"/>
      <c r="V174" s="182"/>
      <c r="W174" s="182"/>
      <c r="X174" s="182"/>
      <c r="Y174" s="182"/>
      <c r="Z174" s="182"/>
      <c r="AA174" s="182"/>
      <c r="AB174" s="182"/>
      <c r="AC174" s="182"/>
      <c r="AD174" s="182"/>
      <c r="AE174" s="182"/>
      <c r="AF174" s="182"/>
      <c r="AG174" s="182"/>
      <c r="AH174" s="182"/>
    </row>
    <row r="175" spans="2:65" s="8" customFormat="1" ht="14" x14ac:dyDescent="0.2">
      <c r="B175" s="14" t="s">
        <v>586</v>
      </c>
      <c r="D175" s="10" t="str">
        <f>'Assumptions - General'!$E$27 &amp;" millions"</f>
        <v>R$ millions</v>
      </c>
      <c r="E175" s="176">
        <v>50</v>
      </c>
      <c r="F175" s="183"/>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row>
    <row r="176" spans="2:65" s="8" customFormat="1" ht="14" x14ac:dyDescent="0.2">
      <c r="B176" s="215" t="s">
        <v>587</v>
      </c>
      <c r="D176" s="8" t="s">
        <v>256</v>
      </c>
      <c r="E176" s="176">
        <v>100</v>
      </c>
      <c r="F176" s="219">
        <f t="shared" ref="F176:AH176" si="14">E176*(1+F177)</f>
        <v>100</v>
      </c>
      <c r="G176" s="219">
        <f t="shared" si="14"/>
        <v>100</v>
      </c>
      <c r="H176" s="219">
        <f t="shared" si="14"/>
        <v>100</v>
      </c>
      <c r="I176" s="219">
        <f t="shared" si="14"/>
        <v>100</v>
      </c>
      <c r="J176" s="219">
        <f t="shared" si="14"/>
        <v>100</v>
      </c>
      <c r="K176" s="219">
        <f t="shared" si="14"/>
        <v>100</v>
      </c>
      <c r="L176" s="219">
        <f t="shared" si="14"/>
        <v>100</v>
      </c>
      <c r="M176" s="219">
        <f t="shared" si="14"/>
        <v>100</v>
      </c>
      <c r="N176" s="219">
        <f t="shared" si="14"/>
        <v>100</v>
      </c>
      <c r="O176" s="219">
        <f t="shared" si="14"/>
        <v>100</v>
      </c>
      <c r="P176" s="219">
        <f t="shared" si="14"/>
        <v>100</v>
      </c>
      <c r="Q176" s="219">
        <f t="shared" si="14"/>
        <v>100</v>
      </c>
      <c r="R176" s="219">
        <f t="shared" si="14"/>
        <v>100</v>
      </c>
      <c r="S176" s="219">
        <f t="shared" si="14"/>
        <v>100</v>
      </c>
      <c r="T176" s="219">
        <f t="shared" si="14"/>
        <v>100</v>
      </c>
      <c r="U176" s="219">
        <f t="shared" si="14"/>
        <v>100</v>
      </c>
      <c r="V176" s="219">
        <f t="shared" si="14"/>
        <v>100</v>
      </c>
      <c r="W176" s="219">
        <f t="shared" si="14"/>
        <v>100</v>
      </c>
      <c r="X176" s="219">
        <f t="shared" si="14"/>
        <v>100</v>
      </c>
      <c r="Y176" s="219">
        <f t="shared" si="14"/>
        <v>100</v>
      </c>
      <c r="Z176" s="219">
        <f t="shared" si="14"/>
        <v>100</v>
      </c>
      <c r="AA176" s="219">
        <f t="shared" si="14"/>
        <v>100</v>
      </c>
      <c r="AB176" s="219">
        <f t="shared" si="14"/>
        <v>100</v>
      </c>
      <c r="AC176" s="219">
        <f t="shared" si="14"/>
        <v>100</v>
      </c>
      <c r="AD176" s="219">
        <f t="shared" si="14"/>
        <v>100</v>
      </c>
      <c r="AE176" s="219">
        <f t="shared" si="14"/>
        <v>100</v>
      </c>
      <c r="AF176" s="219">
        <f t="shared" si="14"/>
        <v>100</v>
      </c>
      <c r="AG176" s="219">
        <f t="shared" si="14"/>
        <v>100</v>
      </c>
      <c r="AH176" s="219">
        <f t="shared" si="14"/>
        <v>100</v>
      </c>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20"/>
      <c r="BG176" s="20"/>
      <c r="BH176" s="20"/>
      <c r="BI176" s="20"/>
      <c r="BJ176" s="20"/>
      <c r="BK176" s="20"/>
      <c r="BL176" s="20"/>
      <c r="BM176" s="20"/>
    </row>
    <row r="177" spans="2:65" s="8" customFormat="1" ht="14" x14ac:dyDescent="0.2">
      <c r="B177" s="211" t="s">
        <v>263</v>
      </c>
      <c r="D177" s="8" t="s">
        <v>15</v>
      </c>
      <c r="E177" s="192"/>
      <c r="F177" s="189">
        <v>0</v>
      </c>
      <c r="G177" s="189">
        <v>0</v>
      </c>
      <c r="H177" s="189">
        <v>0</v>
      </c>
      <c r="I177" s="189">
        <v>0</v>
      </c>
      <c r="J177" s="189">
        <v>0</v>
      </c>
      <c r="K177" s="189">
        <v>0</v>
      </c>
      <c r="L177" s="189">
        <v>0</v>
      </c>
      <c r="M177" s="189">
        <v>0</v>
      </c>
      <c r="N177" s="189">
        <v>0</v>
      </c>
      <c r="O177" s="189">
        <v>0</v>
      </c>
      <c r="P177" s="189">
        <v>0</v>
      </c>
      <c r="Q177" s="189">
        <v>0</v>
      </c>
      <c r="R177" s="189">
        <v>0</v>
      </c>
      <c r="S177" s="189">
        <v>0</v>
      </c>
      <c r="T177" s="189">
        <v>0</v>
      </c>
      <c r="U177" s="189">
        <v>0</v>
      </c>
      <c r="V177" s="189">
        <v>0</v>
      </c>
      <c r="W177" s="189">
        <v>0</v>
      </c>
      <c r="X177" s="189">
        <v>0</v>
      </c>
      <c r="Y177" s="189">
        <v>0</v>
      </c>
      <c r="Z177" s="189">
        <v>0</v>
      </c>
      <c r="AA177" s="189">
        <v>0</v>
      </c>
      <c r="AB177" s="189">
        <v>0</v>
      </c>
      <c r="AC177" s="189">
        <v>0</v>
      </c>
      <c r="AD177" s="189">
        <v>0</v>
      </c>
      <c r="AE177" s="189">
        <v>0</v>
      </c>
      <c r="AF177" s="189">
        <v>0</v>
      </c>
      <c r="AG177" s="189">
        <v>0</v>
      </c>
      <c r="AH177" s="189">
        <v>0</v>
      </c>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20"/>
      <c r="BG177" s="20"/>
      <c r="BH177" s="20"/>
      <c r="BI177" s="20"/>
      <c r="BJ177" s="20"/>
      <c r="BK177" s="20"/>
      <c r="BL177" s="20"/>
      <c r="BM177" s="20"/>
    </row>
    <row r="178" spans="2:65" s="8" customFormat="1" ht="14" x14ac:dyDescent="0.2">
      <c r="B178" s="215" t="s">
        <v>588</v>
      </c>
      <c r="D178" s="15"/>
      <c r="E178" s="180"/>
      <c r="F178" s="220"/>
      <c r="G178" s="183"/>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20"/>
      <c r="BG178" s="20"/>
      <c r="BH178" s="20"/>
      <c r="BI178" s="20"/>
      <c r="BJ178" s="20"/>
      <c r="BK178" s="20"/>
      <c r="BL178" s="20"/>
      <c r="BM178" s="20"/>
    </row>
    <row r="179" spans="2:65" s="8" customFormat="1" ht="14" x14ac:dyDescent="0.2">
      <c r="B179" s="211" t="s">
        <v>38</v>
      </c>
      <c r="D179" s="8" t="s">
        <v>15</v>
      </c>
      <c r="E179" s="188">
        <f>IF(E163=2,0,F179/100)</f>
        <v>1</v>
      </c>
      <c r="F179" s="220">
        <v>100</v>
      </c>
      <c r="G179" s="183"/>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0"/>
      <c r="BI179" s="20"/>
      <c r="BJ179" s="20"/>
      <c r="BK179" s="20"/>
      <c r="BL179" s="20"/>
      <c r="BM179" s="20"/>
    </row>
    <row r="180" spans="2:65" s="20" customFormat="1" ht="14" x14ac:dyDescent="0.2">
      <c r="B180" s="216" t="s">
        <v>589</v>
      </c>
      <c r="D180" s="122" t="str">
        <f>'Assumptions - General'!$E$27 &amp;" per unit"</f>
        <v>R$ per unit</v>
      </c>
      <c r="E180" s="192">
        <f>E175*1000000/E176</f>
        <v>500000</v>
      </c>
      <c r="F180" s="192">
        <f>E180*(1+F181)*IF($E$163=1,($E179*'Assumptions - General'!F$37+1),1)</f>
        <v>515000</v>
      </c>
      <c r="G180" s="192">
        <f>F180*(1+G181)*IF($E$163=1,($E179*'Assumptions - General'!G$37+1),1)</f>
        <v>530450</v>
      </c>
      <c r="H180" s="192">
        <f>G180*(1+H181)*IF($E$163=1,($E179*'Assumptions - General'!H$37+1),1)</f>
        <v>546363.5</v>
      </c>
      <c r="I180" s="192">
        <f>H180*(1+I181)*IF($E$163=1,($E179*'Assumptions - General'!I$37+1),1)</f>
        <v>562754.40500000003</v>
      </c>
      <c r="J180" s="192">
        <f>I180*(1+J181)*IF($E$163=1,($E179*'Assumptions - General'!J$37+1),1)</f>
        <v>579637.03714999999</v>
      </c>
      <c r="K180" s="192">
        <f>J180*(1+K181)*IF($E$163=1,($E179*'Assumptions - General'!K$37+1),1)</f>
        <v>597026.14826449996</v>
      </c>
      <c r="L180" s="192">
        <f>K180*(1+L181)*IF($E$163=1,($E179*'Assumptions - General'!L$37+1),1)</f>
        <v>614936.93271243502</v>
      </c>
      <c r="M180" s="192">
        <f>L180*(1+M181)*IF($E$163=1,($E179*'Assumptions - General'!M$37+1),1)</f>
        <v>633385.04069380811</v>
      </c>
      <c r="N180" s="192">
        <f>M180*(1+N181)*IF($E$163=1,($E179*'Assumptions - General'!N$37+1),1)</f>
        <v>652386.59191462235</v>
      </c>
      <c r="O180" s="192">
        <f>N180*(1+O181)*IF($E$163=1,($E179*'Assumptions - General'!O$37+1),1)</f>
        <v>671958.18967206101</v>
      </c>
      <c r="P180" s="192">
        <f>O180*(1+P181)*IF($E$163=1,($E179*'Assumptions - General'!P$37+1),1)</f>
        <v>692116.93536222284</v>
      </c>
      <c r="Q180" s="192">
        <f>P180*(1+Q181)*IF($E$163=1,($E179*'Assumptions - General'!Q$37+1),1)</f>
        <v>712880.44342308957</v>
      </c>
      <c r="R180" s="192">
        <f>Q180*(1+R181)*IF($E$163=1,($E179*'Assumptions - General'!R$37+1),1)</f>
        <v>734266.85672578227</v>
      </c>
      <c r="S180" s="192">
        <f>R180*(1+S181)*IF($E$163=1,($E179*'Assumptions - General'!S$37+1),1)</f>
        <v>756294.86242755572</v>
      </c>
      <c r="T180" s="192">
        <f>S180*(1+T181)*IF($E$163=1,($E179*'Assumptions - General'!T$37+1),1)</f>
        <v>778983.70830038236</v>
      </c>
      <c r="U180" s="192">
        <f>T180*(1+U181)*IF($E$163=1,($E179*'Assumptions - General'!U$37+1),1)</f>
        <v>802353.21954939386</v>
      </c>
      <c r="V180" s="192">
        <f>U180*(1+V181)*IF($E$163=1,($E179*'Assumptions - General'!V$37+1),1)</f>
        <v>826423.81613587565</v>
      </c>
      <c r="W180" s="192">
        <f>V180*(1+W181)*IF($E$163=1,($E179*'Assumptions - General'!W$37+1),1)</f>
        <v>851216.5306199519</v>
      </c>
      <c r="X180" s="192">
        <f>W180*(1+X181)*IF($E$163=1,($E179*'Assumptions - General'!X$37+1),1)</f>
        <v>876753.0265385505</v>
      </c>
      <c r="Y180" s="192">
        <f>X180*(1+Y181)*IF($E$163=1,($E179*'Assumptions - General'!Y$37+1),1)</f>
        <v>903055.61733470706</v>
      </c>
      <c r="Z180" s="192">
        <f>Y180*(1+Z181)*IF($E$163=1,($E179*'Assumptions - General'!Z$37+1),1)</f>
        <v>930147.28585474833</v>
      </c>
      <c r="AA180" s="192">
        <f>Z180*(1+AA181)*IF($E$163=1,($E179*'Assumptions - General'!AA$37+1),1)</f>
        <v>958051.70443039085</v>
      </c>
      <c r="AB180" s="192">
        <f>AA180*(1+AB181)*IF($E$163=1,($E179*'Assumptions - General'!AB$37+1),1)</f>
        <v>986793.25556330255</v>
      </c>
      <c r="AC180" s="192">
        <f>AB180*(1+AC181)*IF($E$163=1,($E179*'Assumptions - General'!AC$37+1),1)</f>
        <v>1016397.0532302016</v>
      </c>
      <c r="AD180" s="192">
        <f>AC180*(1+AD181)*IF($E$163=1,($E179*'Assumptions - General'!AD$37+1),1)</f>
        <v>1046888.9648271076</v>
      </c>
      <c r="AE180" s="192">
        <f>AD180*(1+AE181)*IF($E$163=1,($E179*'Assumptions - General'!AE$37+1),1)</f>
        <v>1078295.6337719208</v>
      </c>
      <c r="AF180" s="192">
        <f>AE180*(1+AF181)*IF($E$163=1,($E179*'Assumptions - General'!AF$37+1),1)</f>
        <v>1110644.5027850785</v>
      </c>
      <c r="AG180" s="192">
        <f>AF180*(1+AG181)*IF($E$163=1,($E179*'Assumptions - General'!AG$37+1),1)</f>
        <v>1143963.8378686309</v>
      </c>
      <c r="AH180" s="192">
        <f>AG180*(1+AH181)*IF($E$163=1,($E179*'Assumptions - General'!AH$37+1),1)</f>
        <v>1178282.7530046899</v>
      </c>
    </row>
    <row r="181" spans="2:65" x14ac:dyDescent="0.2">
      <c r="B181" s="30" t="s">
        <v>401</v>
      </c>
      <c r="D181" s="15" t="s">
        <v>15</v>
      </c>
      <c r="E181" s="190"/>
      <c r="F181" s="188">
        <v>0</v>
      </c>
      <c r="G181" s="188">
        <v>0</v>
      </c>
      <c r="H181" s="188">
        <v>0</v>
      </c>
      <c r="I181" s="188">
        <v>0</v>
      </c>
      <c r="J181" s="188">
        <v>0</v>
      </c>
      <c r="K181" s="188">
        <v>0</v>
      </c>
      <c r="L181" s="188">
        <v>0</v>
      </c>
      <c r="M181" s="188">
        <v>0</v>
      </c>
      <c r="N181" s="188">
        <v>0</v>
      </c>
      <c r="O181" s="188">
        <v>0</v>
      </c>
      <c r="P181" s="188">
        <v>0</v>
      </c>
      <c r="Q181" s="188">
        <v>0</v>
      </c>
      <c r="R181" s="188">
        <v>0</v>
      </c>
      <c r="S181" s="188">
        <v>0</v>
      </c>
      <c r="T181" s="188">
        <v>0</v>
      </c>
      <c r="U181" s="188">
        <v>0</v>
      </c>
      <c r="V181" s="188">
        <v>0</v>
      </c>
      <c r="W181" s="188">
        <v>0</v>
      </c>
      <c r="X181" s="188">
        <v>0</v>
      </c>
      <c r="Y181" s="188">
        <v>0</v>
      </c>
      <c r="Z181" s="188">
        <v>0</v>
      </c>
      <c r="AA181" s="188">
        <v>0</v>
      </c>
      <c r="AB181" s="188">
        <v>0</v>
      </c>
      <c r="AC181" s="188">
        <v>0</v>
      </c>
      <c r="AD181" s="188">
        <v>0</v>
      </c>
      <c r="AE181" s="188">
        <v>0</v>
      </c>
      <c r="AF181" s="188">
        <v>0</v>
      </c>
      <c r="AG181" s="188">
        <v>0</v>
      </c>
      <c r="AH181" s="188">
        <v>0</v>
      </c>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row>
    <row r="182" spans="2:65" s="18" customFormat="1" x14ac:dyDescent="0.2">
      <c r="B182" s="32"/>
      <c r="D182" s="81"/>
      <c r="E182" s="204"/>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row>
    <row r="183" spans="2:65" s="20" customFormat="1" ht="14" x14ac:dyDescent="0.2">
      <c r="B183" s="19" t="s">
        <v>592</v>
      </c>
      <c r="D183" s="20" t="s">
        <v>2</v>
      </c>
      <c r="E183" s="188" t="s">
        <v>73</v>
      </c>
      <c r="F183" s="221"/>
      <c r="G183" s="182"/>
      <c r="H183" s="182"/>
      <c r="I183" s="182"/>
      <c r="J183" s="182"/>
      <c r="K183" s="182"/>
      <c r="L183" s="182"/>
      <c r="M183" s="182"/>
      <c r="N183" s="182"/>
      <c r="O183" s="182"/>
      <c r="P183" s="182"/>
      <c r="Q183" s="182"/>
      <c r="R183" s="182"/>
      <c r="S183" s="182"/>
      <c r="T183" s="182"/>
      <c r="U183" s="182"/>
      <c r="V183" s="182"/>
      <c r="W183" s="182"/>
      <c r="X183" s="182"/>
      <c r="Y183" s="182"/>
      <c r="Z183" s="182"/>
      <c r="AA183" s="182"/>
      <c r="AB183" s="182"/>
      <c r="AC183" s="182"/>
      <c r="AD183" s="182"/>
      <c r="AE183" s="182"/>
      <c r="AF183" s="182"/>
      <c r="AG183" s="182"/>
      <c r="AH183" s="182"/>
    </row>
    <row r="184" spans="2:65" s="8" customFormat="1" ht="14" x14ac:dyDescent="0.2">
      <c r="B184" s="14" t="s">
        <v>586</v>
      </c>
      <c r="D184" s="10" t="str">
        <f>'Assumptions - General'!$E$27 &amp;" millions"</f>
        <v>R$ millions</v>
      </c>
      <c r="E184" s="176">
        <v>50</v>
      </c>
      <c r="F184" s="183"/>
      <c r="G184" s="183"/>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row>
    <row r="185" spans="2:65" s="8" customFormat="1" ht="14" x14ac:dyDescent="0.2">
      <c r="B185" s="215" t="s">
        <v>587</v>
      </c>
      <c r="D185" s="8" t="s">
        <v>256</v>
      </c>
      <c r="E185" s="176">
        <v>100</v>
      </c>
      <c r="F185" s="219">
        <f t="shared" ref="F185:AH185" si="15">E185*(1+F186)</f>
        <v>100</v>
      </c>
      <c r="G185" s="219">
        <f t="shared" si="15"/>
        <v>100</v>
      </c>
      <c r="H185" s="219">
        <f t="shared" si="15"/>
        <v>100</v>
      </c>
      <c r="I185" s="219">
        <f t="shared" si="15"/>
        <v>100</v>
      </c>
      <c r="J185" s="219">
        <f t="shared" si="15"/>
        <v>100</v>
      </c>
      <c r="K185" s="219">
        <f t="shared" si="15"/>
        <v>100</v>
      </c>
      <c r="L185" s="219">
        <f t="shared" si="15"/>
        <v>100</v>
      </c>
      <c r="M185" s="219">
        <f t="shared" si="15"/>
        <v>100</v>
      </c>
      <c r="N185" s="219">
        <f t="shared" si="15"/>
        <v>100</v>
      </c>
      <c r="O185" s="219">
        <f t="shared" si="15"/>
        <v>100</v>
      </c>
      <c r="P185" s="219">
        <f t="shared" si="15"/>
        <v>100</v>
      </c>
      <c r="Q185" s="219">
        <f t="shared" si="15"/>
        <v>100</v>
      </c>
      <c r="R185" s="219">
        <f t="shared" si="15"/>
        <v>100</v>
      </c>
      <c r="S185" s="219">
        <f t="shared" si="15"/>
        <v>100</v>
      </c>
      <c r="T185" s="219">
        <f t="shared" si="15"/>
        <v>100</v>
      </c>
      <c r="U185" s="219">
        <f t="shared" si="15"/>
        <v>100</v>
      </c>
      <c r="V185" s="219">
        <f t="shared" si="15"/>
        <v>100</v>
      </c>
      <c r="W185" s="219">
        <f t="shared" si="15"/>
        <v>100</v>
      </c>
      <c r="X185" s="219">
        <f t="shared" si="15"/>
        <v>100</v>
      </c>
      <c r="Y185" s="219">
        <f t="shared" si="15"/>
        <v>100</v>
      </c>
      <c r="Z185" s="219">
        <f t="shared" si="15"/>
        <v>100</v>
      </c>
      <c r="AA185" s="219">
        <f t="shared" si="15"/>
        <v>100</v>
      </c>
      <c r="AB185" s="219">
        <f t="shared" si="15"/>
        <v>100</v>
      </c>
      <c r="AC185" s="219">
        <f t="shared" si="15"/>
        <v>100</v>
      </c>
      <c r="AD185" s="219">
        <f t="shared" si="15"/>
        <v>100</v>
      </c>
      <c r="AE185" s="219">
        <f t="shared" si="15"/>
        <v>100</v>
      </c>
      <c r="AF185" s="219">
        <f t="shared" si="15"/>
        <v>100</v>
      </c>
      <c r="AG185" s="219">
        <f t="shared" si="15"/>
        <v>100</v>
      </c>
      <c r="AH185" s="219">
        <f t="shared" si="15"/>
        <v>100</v>
      </c>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20"/>
      <c r="BG185" s="20"/>
      <c r="BH185" s="20"/>
      <c r="BI185" s="20"/>
      <c r="BJ185" s="20"/>
      <c r="BK185" s="20"/>
      <c r="BL185" s="20"/>
      <c r="BM185" s="20"/>
    </row>
    <row r="186" spans="2:65" s="8" customFormat="1" ht="14" x14ac:dyDescent="0.2">
      <c r="B186" s="211" t="s">
        <v>263</v>
      </c>
      <c r="D186" s="8" t="s">
        <v>15</v>
      </c>
      <c r="E186" s="192"/>
      <c r="F186" s="189">
        <v>0</v>
      </c>
      <c r="G186" s="189">
        <v>0</v>
      </c>
      <c r="H186" s="189">
        <v>0</v>
      </c>
      <c r="I186" s="189">
        <v>0</v>
      </c>
      <c r="J186" s="189">
        <v>0</v>
      </c>
      <c r="K186" s="189">
        <v>0</v>
      </c>
      <c r="L186" s="189">
        <v>0</v>
      </c>
      <c r="M186" s="189">
        <v>0</v>
      </c>
      <c r="N186" s="189">
        <v>0</v>
      </c>
      <c r="O186" s="189">
        <v>0</v>
      </c>
      <c r="P186" s="189">
        <v>0</v>
      </c>
      <c r="Q186" s="189">
        <v>0</v>
      </c>
      <c r="R186" s="189">
        <v>0</v>
      </c>
      <c r="S186" s="189">
        <v>0</v>
      </c>
      <c r="T186" s="189">
        <v>0</v>
      </c>
      <c r="U186" s="189">
        <v>0</v>
      </c>
      <c r="V186" s="189">
        <v>0</v>
      </c>
      <c r="W186" s="189">
        <v>0</v>
      </c>
      <c r="X186" s="189">
        <v>0</v>
      </c>
      <c r="Y186" s="189">
        <v>0</v>
      </c>
      <c r="Z186" s="189">
        <v>0</v>
      </c>
      <c r="AA186" s="189">
        <v>0</v>
      </c>
      <c r="AB186" s="189">
        <v>0</v>
      </c>
      <c r="AC186" s="189">
        <v>0</v>
      </c>
      <c r="AD186" s="189">
        <v>0</v>
      </c>
      <c r="AE186" s="189">
        <v>0</v>
      </c>
      <c r="AF186" s="189">
        <v>0</v>
      </c>
      <c r="AG186" s="189">
        <v>0</v>
      </c>
      <c r="AH186" s="189">
        <v>0</v>
      </c>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20"/>
      <c r="BG186" s="20"/>
      <c r="BH186" s="20"/>
      <c r="BI186" s="20"/>
      <c r="BJ186" s="20"/>
      <c r="BK186" s="20"/>
      <c r="BL186" s="20"/>
      <c r="BM186" s="20"/>
    </row>
    <row r="187" spans="2:65" s="8" customFormat="1" ht="14" x14ac:dyDescent="0.2">
      <c r="B187" s="215" t="s">
        <v>588</v>
      </c>
      <c r="D187" s="15"/>
      <c r="E187" s="180"/>
      <c r="F187" s="220"/>
      <c r="G187" s="183"/>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20"/>
      <c r="BG187" s="20"/>
      <c r="BH187" s="20"/>
      <c r="BI187" s="20"/>
      <c r="BJ187" s="20"/>
      <c r="BK187" s="20"/>
      <c r="BL187" s="20"/>
      <c r="BM187" s="20"/>
    </row>
    <row r="188" spans="2:65" s="8" customFormat="1" ht="14" x14ac:dyDescent="0.2">
      <c r="B188" s="211" t="s">
        <v>38</v>
      </c>
      <c r="D188" s="8" t="s">
        <v>15</v>
      </c>
      <c r="E188" s="188">
        <f>IF(E163=2,0,F188/100)</f>
        <v>1</v>
      </c>
      <c r="F188" s="220">
        <v>100</v>
      </c>
      <c r="G188" s="183"/>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20"/>
      <c r="BG188" s="20"/>
      <c r="BH188" s="20"/>
      <c r="BI188" s="20"/>
      <c r="BJ188" s="20"/>
      <c r="BK188" s="20"/>
      <c r="BL188" s="20"/>
      <c r="BM188" s="20"/>
    </row>
    <row r="189" spans="2:65" s="20" customFormat="1" ht="14" x14ac:dyDescent="0.2">
      <c r="B189" s="216" t="s">
        <v>589</v>
      </c>
      <c r="D189" s="122" t="str">
        <f>'Assumptions - General'!$E$27 &amp;" per unit"</f>
        <v>R$ per unit</v>
      </c>
      <c r="E189" s="192">
        <f>E184*1000000/E185</f>
        <v>500000</v>
      </c>
      <c r="F189" s="192">
        <f>E189*(1+F190)*IF($E$163=1,($E188*'Assumptions - General'!F$37+1),1)</f>
        <v>515000</v>
      </c>
      <c r="G189" s="192">
        <f>F189*(1+G190)*IF($E$163=1,($E188*'Assumptions - General'!G$37+1),1)</f>
        <v>530450</v>
      </c>
      <c r="H189" s="192">
        <f>G189*(1+H190)*IF($E$163=1,($E188*'Assumptions - General'!H$37+1),1)</f>
        <v>546363.5</v>
      </c>
      <c r="I189" s="192">
        <f>H189*(1+I190)*IF($E$163=1,($E188*'Assumptions - General'!I$37+1),1)</f>
        <v>562754.40500000003</v>
      </c>
      <c r="J189" s="192">
        <f>I189*(1+J190)*IF($E$163=1,($E188*'Assumptions - General'!J$37+1),1)</f>
        <v>579637.03714999999</v>
      </c>
      <c r="K189" s="192">
        <f>J189*(1+K190)*IF($E$163=1,($E188*'Assumptions - General'!K$37+1),1)</f>
        <v>597026.14826449996</v>
      </c>
      <c r="L189" s="192">
        <f>K189*(1+L190)*IF($E$163=1,($E188*'Assumptions - General'!L$37+1),1)</f>
        <v>614936.93271243502</v>
      </c>
      <c r="M189" s="192">
        <f>L189*(1+M190)*IF($E$163=1,($E188*'Assumptions - General'!M$37+1),1)</f>
        <v>633385.04069380811</v>
      </c>
      <c r="N189" s="192">
        <f>M189*(1+N190)*IF($E$163=1,($E188*'Assumptions - General'!N$37+1),1)</f>
        <v>652386.59191462235</v>
      </c>
      <c r="O189" s="192">
        <f>N189*(1+O190)*IF($E$163=1,($E188*'Assumptions - General'!O$37+1),1)</f>
        <v>671958.18967206101</v>
      </c>
      <c r="P189" s="192">
        <f>O189*(1+P190)*IF($E$163=1,($E188*'Assumptions - General'!P$37+1),1)</f>
        <v>692116.93536222284</v>
      </c>
      <c r="Q189" s="192">
        <f>P189*(1+Q190)*IF($E$163=1,($E188*'Assumptions - General'!Q$37+1),1)</f>
        <v>712880.44342308957</v>
      </c>
      <c r="R189" s="192">
        <f>Q189*(1+R190)*IF($E$163=1,($E188*'Assumptions - General'!R$37+1),1)</f>
        <v>734266.85672578227</v>
      </c>
      <c r="S189" s="192">
        <f>R189*(1+S190)*IF($E$163=1,($E188*'Assumptions - General'!S$37+1),1)</f>
        <v>756294.86242755572</v>
      </c>
      <c r="T189" s="192">
        <f>S189*(1+T190)*IF($E$163=1,($E188*'Assumptions - General'!T$37+1),1)</f>
        <v>778983.70830038236</v>
      </c>
      <c r="U189" s="192">
        <f>T189*(1+U190)*IF($E$163=1,($E188*'Assumptions - General'!U$37+1),1)</f>
        <v>802353.21954939386</v>
      </c>
      <c r="V189" s="192">
        <f>U189*(1+V190)*IF($E$163=1,($E188*'Assumptions - General'!V$37+1),1)</f>
        <v>826423.81613587565</v>
      </c>
      <c r="W189" s="192">
        <f>V189*(1+W190)*IF($E$163=1,($E188*'Assumptions - General'!W$37+1),1)</f>
        <v>851216.5306199519</v>
      </c>
      <c r="X189" s="192">
        <f>W189*(1+X190)*IF($E$163=1,($E188*'Assumptions - General'!X$37+1),1)</f>
        <v>876753.0265385505</v>
      </c>
      <c r="Y189" s="192">
        <f>X189*(1+Y190)*IF($E$163=1,($E188*'Assumptions - General'!Y$37+1),1)</f>
        <v>903055.61733470706</v>
      </c>
      <c r="Z189" s="192">
        <f>Y189*(1+Z190)*IF($E$163=1,($E188*'Assumptions - General'!Z$37+1),1)</f>
        <v>930147.28585474833</v>
      </c>
      <c r="AA189" s="192">
        <f>Z189*(1+AA190)*IF($E$163=1,($E188*'Assumptions - General'!AA$37+1),1)</f>
        <v>958051.70443039085</v>
      </c>
      <c r="AB189" s="192">
        <f>AA189*(1+AB190)*IF($E$163=1,($E188*'Assumptions - General'!AB$37+1),1)</f>
        <v>986793.25556330255</v>
      </c>
      <c r="AC189" s="192">
        <f>AB189*(1+AC190)*IF($E$163=1,($E188*'Assumptions - General'!AC$37+1),1)</f>
        <v>1016397.0532302016</v>
      </c>
      <c r="AD189" s="192">
        <f>AC189*(1+AD190)*IF($E$163=1,($E188*'Assumptions - General'!AD$37+1),1)</f>
        <v>1046888.9648271076</v>
      </c>
      <c r="AE189" s="192">
        <f>AD189*(1+AE190)*IF($E$163=1,($E188*'Assumptions - General'!AE$37+1),1)</f>
        <v>1078295.6337719208</v>
      </c>
      <c r="AF189" s="192">
        <f>AE189*(1+AF190)*IF($E$163=1,($E188*'Assumptions - General'!AF$37+1),1)</f>
        <v>1110644.5027850785</v>
      </c>
      <c r="AG189" s="192">
        <f>AF189*(1+AG190)*IF($E$163=1,($E188*'Assumptions - General'!AG$37+1),1)</f>
        <v>1143963.8378686309</v>
      </c>
      <c r="AH189" s="192">
        <f>AG189*(1+AH190)*IF($E$163=1,($E188*'Assumptions - General'!AH$37+1),1)</f>
        <v>1178282.7530046899</v>
      </c>
    </row>
    <row r="190" spans="2:65" x14ac:dyDescent="0.2">
      <c r="B190" s="30" t="s">
        <v>401</v>
      </c>
      <c r="D190" s="15" t="s">
        <v>15</v>
      </c>
      <c r="E190" s="190"/>
      <c r="F190" s="188">
        <v>0</v>
      </c>
      <c r="G190" s="188">
        <v>0</v>
      </c>
      <c r="H190" s="188">
        <v>0</v>
      </c>
      <c r="I190" s="188">
        <v>0</v>
      </c>
      <c r="J190" s="188">
        <v>0</v>
      </c>
      <c r="K190" s="188">
        <v>0</v>
      </c>
      <c r="L190" s="188">
        <v>0</v>
      </c>
      <c r="M190" s="188">
        <v>0</v>
      </c>
      <c r="N190" s="188">
        <v>0</v>
      </c>
      <c r="O190" s="188">
        <v>0</v>
      </c>
      <c r="P190" s="188">
        <v>0</v>
      </c>
      <c r="Q190" s="188">
        <v>0</v>
      </c>
      <c r="R190" s="188">
        <v>0</v>
      </c>
      <c r="S190" s="188">
        <v>0</v>
      </c>
      <c r="T190" s="188">
        <v>0</v>
      </c>
      <c r="U190" s="188">
        <v>0</v>
      </c>
      <c r="V190" s="188">
        <v>0</v>
      </c>
      <c r="W190" s="188">
        <v>0</v>
      </c>
      <c r="X190" s="188">
        <v>0</v>
      </c>
      <c r="Y190" s="188">
        <v>0</v>
      </c>
      <c r="Z190" s="188">
        <v>0</v>
      </c>
      <c r="AA190" s="188">
        <v>0</v>
      </c>
      <c r="AB190" s="188">
        <v>0</v>
      </c>
      <c r="AC190" s="188">
        <v>0</v>
      </c>
      <c r="AD190" s="188">
        <v>0</v>
      </c>
      <c r="AE190" s="188">
        <v>0</v>
      </c>
      <c r="AF190" s="188">
        <v>0</v>
      </c>
      <c r="AG190" s="188">
        <v>0</v>
      </c>
      <c r="AH190" s="188">
        <v>0</v>
      </c>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row>
    <row r="191" spans="2:65" s="18" customFormat="1" x14ac:dyDescent="0.2"/>
    <row r="192" spans="2:65" s="18" customFormat="1" outlineLevel="1" x14ac:dyDescent="0.2">
      <c r="B192" s="57" t="str">
        <f>E165&amp; " - total annual cost in forecast period"</f>
        <v>Tax credit - total annual cost in forecast period</v>
      </c>
      <c r="D192" s="10" t="str">
        <f>'Assumptions - General'!$E$27 &amp;" millions"</f>
        <v>R$ millions</v>
      </c>
      <c r="E192" s="192">
        <f>Calculations!E664</f>
        <v>100</v>
      </c>
      <c r="F192" s="192">
        <f>Calculations!F664</f>
        <v>100</v>
      </c>
      <c r="G192" s="192">
        <f>Calculations!G664</f>
        <v>100</v>
      </c>
      <c r="H192" s="192">
        <f>Calculations!H664</f>
        <v>100</v>
      </c>
      <c r="I192" s="192">
        <f>Calculations!I664</f>
        <v>100</v>
      </c>
      <c r="J192" s="192">
        <f>Calculations!J664</f>
        <v>100</v>
      </c>
      <c r="K192" s="192">
        <f>Calculations!K664</f>
        <v>100</v>
      </c>
      <c r="L192" s="192">
        <f>Calculations!L664</f>
        <v>100</v>
      </c>
      <c r="M192" s="192">
        <f>Calculations!M664</f>
        <v>100</v>
      </c>
      <c r="N192" s="192">
        <f>Calculations!N664</f>
        <v>100</v>
      </c>
      <c r="O192" s="192">
        <f>Calculations!O664</f>
        <v>100</v>
      </c>
      <c r="P192" s="192">
        <f>Calculations!P664</f>
        <v>100</v>
      </c>
      <c r="Q192" s="192">
        <f>Calculations!Q664</f>
        <v>100</v>
      </c>
      <c r="R192" s="192">
        <f>Calculations!R664</f>
        <v>100</v>
      </c>
      <c r="S192" s="192">
        <f>Calculations!S664</f>
        <v>100</v>
      </c>
      <c r="T192" s="192">
        <f>Calculations!T664</f>
        <v>100</v>
      </c>
      <c r="U192" s="192">
        <f>Calculations!U664</f>
        <v>100</v>
      </c>
      <c r="V192" s="192">
        <f>Calculations!V664</f>
        <v>100</v>
      </c>
      <c r="W192" s="192">
        <f>Calculations!W664</f>
        <v>100</v>
      </c>
      <c r="X192" s="192">
        <f>Calculations!X664</f>
        <v>100</v>
      </c>
      <c r="Y192" s="192">
        <f>Calculations!Y664</f>
        <v>100</v>
      </c>
      <c r="Z192" s="192">
        <f>Calculations!Z664</f>
        <v>100</v>
      </c>
      <c r="AA192" s="192">
        <f>Calculations!AA664</f>
        <v>100</v>
      </c>
      <c r="AB192" s="192">
        <f>Calculations!AB664</f>
        <v>100</v>
      </c>
      <c r="AC192" s="192">
        <f>Calculations!AC664</f>
        <v>100</v>
      </c>
      <c r="AD192" s="192">
        <f>Calculations!AD664</f>
        <v>100</v>
      </c>
      <c r="AE192" s="192">
        <f>Calculations!AE664</f>
        <v>100</v>
      </c>
      <c r="AF192" s="192">
        <f>Calculations!AF664</f>
        <v>100</v>
      </c>
      <c r="AG192" s="192">
        <f>Calculations!AG664</f>
        <v>100</v>
      </c>
      <c r="AH192" s="192">
        <f>Calculations!AH664</f>
        <v>100</v>
      </c>
    </row>
    <row r="193" spans="1:34" s="18" customFormat="1" outlineLevel="1" x14ac:dyDescent="0.2">
      <c r="B193" s="57" t="str">
        <f>E174&amp; " - total annual cost in forecast period"</f>
        <v>Investment income - total annual cost in forecast period</v>
      </c>
      <c r="D193" s="10" t="str">
        <f>'Assumptions - General'!$E$27 &amp;" millions"</f>
        <v>R$ millions</v>
      </c>
      <c r="E193" s="192">
        <f>Calculations!E665</f>
        <v>50</v>
      </c>
      <c r="F193" s="192">
        <f>Calculations!F665</f>
        <v>51.5</v>
      </c>
      <c r="G193" s="192">
        <f>Calculations!G665</f>
        <v>53.045000000000002</v>
      </c>
      <c r="H193" s="192">
        <f>Calculations!H665</f>
        <v>54.63635</v>
      </c>
      <c r="I193" s="192">
        <f>Calculations!I665</f>
        <v>56.275440500000002</v>
      </c>
      <c r="J193" s="192">
        <f>Calculations!J665</f>
        <v>57.963703714999994</v>
      </c>
      <c r="K193" s="192">
        <f>Calculations!K665</f>
        <v>59.702614826449995</v>
      </c>
      <c r="L193" s="192">
        <f>Calculations!L665</f>
        <v>61.493693271243508</v>
      </c>
      <c r="M193" s="192">
        <f>Calculations!M665</f>
        <v>63.338504069380811</v>
      </c>
      <c r="N193" s="192">
        <f>Calculations!N665</f>
        <v>65.238659191462233</v>
      </c>
      <c r="O193" s="192">
        <f>Calculations!O665</f>
        <v>67.195818967206108</v>
      </c>
      <c r="P193" s="192">
        <f>Calculations!P665</f>
        <v>69.211693536222285</v>
      </c>
      <c r="Q193" s="192">
        <f>Calculations!Q665</f>
        <v>71.28804434230895</v>
      </c>
      <c r="R193" s="192">
        <f>Calculations!R665</f>
        <v>73.42668567257823</v>
      </c>
      <c r="S193" s="192">
        <f>Calculations!S665</f>
        <v>75.629486242755576</v>
      </c>
      <c r="T193" s="192">
        <f>Calculations!T665</f>
        <v>77.898370830038232</v>
      </c>
      <c r="U193" s="192">
        <f>Calculations!U665</f>
        <v>80.23532195493938</v>
      </c>
      <c r="V193" s="192">
        <f>Calculations!V665</f>
        <v>82.64238161358756</v>
      </c>
      <c r="W193" s="192">
        <f>Calculations!W665</f>
        <v>85.12165306199519</v>
      </c>
      <c r="X193" s="192">
        <f>Calculations!X665</f>
        <v>87.675302653855056</v>
      </c>
      <c r="Y193" s="192">
        <f>Calculations!Y665</f>
        <v>90.305561733470711</v>
      </c>
      <c r="Z193" s="192">
        <f>Calculations!Z665</f>
        <v>93.014728585474828</v>
      </c>
      <c r="AA193" s="192">
        <f>Calculations!AA665</f>
        <v>95.805170443039088</v>
      </c>
      <c r="AB193" s="192">
        <f>Calculations!AB665</f>
        <v>98.679325556330255</v>
      </c>
      <c r="AC193" s="192">
        <f>Calculations!AC665</f>
        <v>101.63970532302017</v>
      </c>
      <c r="AD193" s="192">
        <f>Calculations!AD665</f>
        <v>104.68889648271076</v>
      </c>
      <c r="AE193" s="192">
        <f>Calculations!AE665</f>
        <v>107.82956337719207</v>
      </c>
      <c r="AF193" s="192">
        <f>Calculations!AF665</f>
        <v>111.06445027850785</v>
      </c>
      <c r="AG193" s="192">
        <f>Calculations!AG665</f>
        <v>114.39638378686308</v>
      </c>
      <c r="AH193" s="192">
        <f>Calculations!AH665</f>
        <v>117.828275300469</v>
      </c>
    </row>
    <row r="194" spans="1:34" s="18" customFormat="1" outlineLevel="1" x14ac:dyDescent="0.2">
      <c r="B194" s="57" t="str">
        <f>E183&amp; " - total annual cost in forecast period"</f>
        <v>Other - total annual cost in forecast period</v>
      </c>
      <c r="D194" s="10" t="str">
        <f>'Assumptions - General'!$E$27 &amp;" millions"</f>
        <v>R$ millions</v>
      </c>
      <c r="E194" s="192">
        <f>Calculations!E667</f>
        <v>50</v>
      </c>
      <c r="F194" s="192">
        <f>Calculations!F667</f>
        <v>51.5</v>
      </c>
      <c r="G194" s="192">
        <f>Calculations!G667</f>
        <v>53.045000000000002</v>
      </c>
      <c r="H194" s="192">
        <f>Calculations!H667</f>
        <v>54.63635</v>
      </c>
      <c r="I194" s="192">
        <f>Calculations!I667</f>
        <v>56.275440500000002</v>
      </c>
      <c r="J194" s="192">
        <f>Calculations!J667</f>
        <v>57.963703714999994</v>
      </c>
      <c r="K194" s="192">
        <f>Calculations!K667</f>
        <v>59.702614826449995</v>
      </c>
      <c r="L194" s="192">
        <f>Calculations!L667</f>
        <v>61.493693271243508</v>
      </c>
      <c r="M194" s="192">
        <f>Calculations!M667</f>
        <v>63.338504069380811</v>
      </c>
      <c r="N194" s="192">
        <f>Calculations!N667</f>
        <v>65.238659191462233</v>
      </c>
      <c r="O194" s="192">
        <f>Calculations!O667</f>
        <v>67.195818967206108</v>
      </c>
      <c r="P194" s="192">
        <f>Calculations!P667</f>
        <v>69.211693536222285</v>
      </c>
      <c r="Q194" s="192">
        <f>Calculations!Q667</f>
        <v>71.28804434230895</v>
      </c>
      <c r="R194" s="192">
        <f>Calculations!R667</f>
        <v>73.42668567257823</v>
      </c>
      <c r="S194" s="192">
        <f>Calculations!S667</f>
        <v>75.629486242755576</v>
      </c>
      <c r="T194" s="192">
        <f>Calculations!T667</f>
        <v>77.898370830038232</v>
      </c>
      <c r="U194" s="192">
        <f>Calculations!U667</f>
        <v>80.23532195493938</v>
      </c>
      <c r="V194" s="192">
        <f>Calculations!V667</f>
        <v>82.64238161358756</v>
      </c>
      <c r="W194" s="192">
        <f>Calculations!W667</f>
        <v>85.12165306199519</v>
      </c>
      <c r="X194" s="192">
        <f>Calculations!X667</f>
        <v>87.675302653855056</v>
      </c>
      <c r="Y194" s="192">
        <f>Calculations!Y667</f>
        <v>90.305561733470711</v>
      </c>
      <c r="Z194" s="192">
        <f>Calculations!Z667</f>
        <v>93.014728585474828</v>
      </c>
      <c r="AA194" s="192">
        <f>Calculations!AA667</f>
        <v>95.805170443039088</v>
      </c>
      <c r="AB194" s="192">
        <f>Calculations!AB667</f>
        <v>98.679325556330255</v>
      </c>
      <c r="AC194" s="192">
        <f>Calculations!AC667</f>
        <v>101.63970532302017</v>
      </c>
      <c r="AD194" s="192">
        <f>Calculations!AD667</f>
        <v>104.68889648271076</v>
      </c>
      <c r="AE194" s="192">
        <f>Calculations!AE667</f>
        <v>107.82956337719207</v>
      </c>
      <c r="AF194" s="192">
        <f>Calculations!AF667</f>
        <v>111.06445027850785</v>
      </c>
      <c r="AG194" s="192">
        <f>Calculations!AG667</f>
        <v>114.39638378686308</v>
      </c>
      <c r="AH194" s="192">
        <f>Calculations!AH667</f>
        <v>117.828275300469</v>
      </c>
    </row>
    <row r="195" spans="1:34" s="18" customFormat="1" x14ac:dyDescent="0.2">
      <c r="A195" s="7" t="s">
        <v>405</v>
      </c>
      <c r="B195" s="20"/>
    </row>
    <row r="196" spans="1:34" s="18" customFormat="1" x14ac:dyDescent="0.2">
      <c r="A196" s="7"/>
      <c r="B196" s="20"/>
    </row>
    <row r="197" spans="1:34" s="324" customFormat="1" x14ac:dyDescent="0.2">
      <c r="B197" s="323" t="str">
        <f>"Public subsidy assumptions for "&amp;'Assumptions - General'!E25</f>
        <v>Public subsidy assumptions for Ruritania Passenger Rail Company</v>
      </c>
    </row>
    <row r="198" spans="1:34" s="8" customFormat="1" ht="14" x14ac:dyDescent="0.2">
      <c r="B198" s="7"/>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row>
    <row r="199" spans="1:34" s="8" customFormat="1" ht="14" x14ac:dyDescent="0.2">
      <c r="B199" s="21" t="s">
        <v>610</v>
      </c>
      <c r="E199" s="208" t="str">
        <f>IF(E200=1,IF(AND(E203=1,SUM(E209:AH209)&gt;0),"WARNING: MANUAL INPUT OF SUBSIDY WITH MODEL CALCULATION",IF(AND(E203=2,SUM(E209:AH209)=0),"WARNING: SUBSIDY MISSING WITH MANUAL ENTRY"," "))," ")</f>
        <v xml:space="preserve"> </v>
      </c>
      <c r="F199" s="87" t="s">
        <v>540</v>
      </c>
    </row>
    <row r="200" spans="1:34" s="8" customFormat="1" ht="14" x14ac:dyDescent="0.2">
      <c r="B200" s="14" t="s">
        <v>251</v>
      </c>
      <c r="D200" s="8" t="s">
        <v>32</v>
      </c>
      <c r="E200" s="177">
        <f>IF(F199=F200,1,2)</f>
        <v>1</v>
      </c>
      <c r="F200" s="87" t="s">
        <v>540</v>
      </c>
      <c r="G200" s="87"/>
    </row>
    <row r="201" spans="1:34" s="8" customFormat="1" ht="14" x14ac:dyDescent="0.2">
      <c r="B201" s="14"/>
      <c r="E201" s="177"/>
      <c r="F201" s="87" t="s">
        <v>211</v>
      </c>
      <c r="G201" s="87"/>
    </row>
    <row r="202" spans="1:34" s="8" customFormat="1" ht="14" x14ac:dyDescent="0.2">
      <c r="B202" s="14" t="str">
        <f>IF(E200=1,"Subsidy in first year"," ")</f>
        <v>Subsidy in first year</v>
      </c>
      <c r="D202" s="8" t="str">
        <f>IF(E200=1,'Assumptions - General'!$E$27 &amp;" millions"," ")</f>
        <v>R$ millions</v>
      </c>
      <c r="E202" s="181">
        <v>10</v>
      </c>
      <c r="F202" s="87" t="s">
        <v>355</v>
      </c>
      <c r="G202" s="87" t="s">
        <v>541</v>
      </c>
    </row>
    <row r="203" spans="1:34" s="8" customFormat="1" ht="14" x14ac:dyDescent="0.2">
      <c r="B203" s="14" t="str">
        <f>IF(E200=1,IF(E200=1,"Let model calculate change in subsidy or enter it manually?"," ")," ")</f>
        <v>Let model calculate change in subsidy or enter it manually?</v>
      </c>
      <c r="D203" s="8" t="str">
        <f>IF(E200=1,"Select"," ")</f>
        <v>Select</v>
      </c>
      <c r="E203" s="177">
        <f>IF(F202=F203,1,2)</f>
        <v>1</v>
      </c>
      <c r="F203" s="87" t="s">
        <v>355</v>
      </c>
      <c r="G203" s="87" t="s">
        <v>541</v>
      </c>
    </row>
    <row r="204" spans="1:34" s="8" customFormat="1" ht="14" x14ac:dyDescent="0.2">
      <c r="B204" s="14"/>
      <c r="E204" s="177"/>
      <c r="F204" s="87" t="s">
        <v>229</v>
      </c>
      <c r="G204" s="87" t="s">
        <v>252</v>
      </c>
    </row>
    <row r="205" spans="1:34" s="8" customFormat="1" ht="14" x14ac:dyDescent="0.2">
      <c r="B205" s="14" t="str">
        <f>IF(E200=1,IF(E203=1,"If calculated, is it inflation-indexed or traffic-dependent or both?"," ")," ")</f>
        <v>If calculated, is it inflation-indexed or traffic-dependent or both?</v>
      </c>
      <c r="D205" s="8" t="str">
        <f>IF(E200=1,IF(E203=1,"Select"," ")," ")</f>
        <v>Select</v>
      </c>
      <c r="E205" s="177">
        <f>IF(G202=G203,1,IF(G202=G204,2,3))</f>
        <v>1</v>
      </c>
      <c r="G205" s="87" t="s">
        <v>253</v>
      </c>
    </row>
    <row r="206" spans="1:34" s="8" customFormat="1" ht="14" x14ac:dyDescent="0.2">
      <c r="B206" s="14"/>
      <c r="E206" s="177"/>
      <c r="F206" s="87"/>
      <c r="G206" s="87"/>
    </row>
    <row r="207" spans="1:34" s="8" customFormat="1" ht="14" x14ac:dyDescent="0.2">
      <c r="B207" s="30" t="str">
        <f>IF(E200=1,IF(E203=1,"If yes, proportion of inflation indexation after year 1"," ")," ")</f>
        <v>If yes, proportion of inflation indexation after year 1</v>
      </c>
      <c r="D207" s="15" t="str">
        <f>IF(E200=1,IF(E203=1,"%"," ")," ")</f>
        <v>%</v>
      </c>
      <c r="E207" s="188">
        <f>F207/100</f>
        <v>1</v>
      </c>
      <c r="F207" s="87">
        <v>100</v>
      </c>
      <c r="G207" s="87"/>
    </row>
    <row r="208" spans="1:34" x14ac:dyDescent="0.2">
      <c r="B208" s="30" t="str">
        <f>IF(E200=1,IF(E203=1,"Enter additional annual change"," ")," ")</f>
        <v>Enter additional annual change</v>
      </c>
      <c r="D208" s="15" t="str">
        <f>IF(E200=1,IF(E203=1,"%"," ")," ")</f>
        <v>%</v>
      </c>
      <c r="F208" s="111"/>
      <c r="G208" s="111"/>
      <c r="H208" s="111"/>
      <c r="I208" s="111"/>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row>
    <row r="209" spans="2:34" s="8" customFormat="1" ht="14" x14ac:dyDescent="0.2">
      <c r="B209" s="14" t="str">
        <f>IF(E200=1,IF(E203=1," ","If entered manually, define annual subsidy")," ")</f>
        <v xml:space="preserve"> </v>
      </c>
      <c r="D209" s="8" t="str">
        <f>IF(E200=1,IF(E203=1," ",'Assumptions - General'!$E$27 &amp;" millions")," ")</f>
        <v xml:space="preserve"> </v>
      </c>
      <c r="E209" s="180"/>
      <c r="F209" s="239"/>
      <c r="G209" s="239"/>
      <c r="H209" s="239"/>
      <c r="I209" s="239"/>
      <c r="J209" s="239"/>
      <c r="K209" s="239"/>
      <c r="L209" s="239"/>
      <c r="M209" s="239"/>
      <c r="N209" s="239"/>
      <c r="O209" s="239"/>
      <c r="P209" s="239"/>
      <c r="Q209" s="239"/>
      <c r="R209" s="239"/>
      <c r="S209" s="239"/>
      <c r="T209" s="239"/>
      <c r="U209" s="239"/>
      <c r="V209" s="239"/>
      <c r="W209" s="239"/>
      <c r="X209" s="239"/>
      <c r="Y209" s="239"/>
      <c r="Z209" s="239"/>
      <c r="AA209" s="239"/>
      <c r="AB209" s="239"/>
      <c r="AC209" s="239"/>
      <c r="AD209" s="239"/>
      <c r="AE209" s="239"/>
      <c r="AF209" s="239"/>
      <c r="AG209" s="239"/>
      <c r="AH209" s="239"/>
    </row>
    <row r="210" spans="2:34" s="8" customFormat="1" ht="14" x14ac:dyDescent="0.2">
      <c r="B210" s="21" t="s">
        <v>609</v>
      </c>
      <c r="C210" s="440" t="str">
        <f>IF(E211=1,IF(SUM(E226:AH226)&gt;0,"WARNING: CAPITAL SUBSIDY&gt;CAPEX"," ")," ")</f>
        <v xml:space="preserve"> </v>
      </c>
      <c r="E210" s="208" t="str">
        <f>IF(E211=1,IF(AND(E215=1,SUM(E221:AH221)&gt;0),"WARNING: MANUAL INPUT OF SUBSDIY WITH MODEL CALCULATION",IF(AND(E215=2,SUM(E221:AH221)=0),"WARNING: SUBSIDY MISSING WITH MANUAL ENTRY"," "))," ")</f>
        <v xml:space="preserve"> </v>
      </c>
      <c r="F210" s="87" t="s">
        <v>33</v>
      </c>
    </row>
    <row r="211" spans="2:34" s="8" customFormat="1" ht="14" x14ac:dyDescent="0.2">
      <c r="B211" s="14" t="s">
        <v>251</v>
      </c>
      <c r="D211" s="8" t="s">
        <v>32</v>
      </c>
      <c r="E211" s="177">
        <f>IF(F210=F211,1,2)</f>
        <v>1</v>
      </c>
      <c r="F211" s="87" t="s">
        <v>33</v>
      </c>
    </row>
    <row r="212" spans="2:34" s="8" customFormat="1" ht="14" x14ac:dyDescent="0.2">
      <c r="B212" s="14"/>
      <c r="E212" s="177"/>
      <c r="F212" s="87" t="s">
        <v>211</v>
      </c>
    </row>
    <row r="213" spans="2:34" s="8" customFormat="1" ht="14" x14ac:dyDescent="0.2">
      <c r="B213" s="14" t="str">
        <f>IF(E211=1,"Subsidy in first year"," ")</f>
        <v>Subsidy in first year</v>
      </c>
      <c r="D213" s="8" t="str">
        <f>'Assumptions - General'!$E$27 &amp;" millions"</f>
        <v>R$ millions</v>
      </c>
      <c r="E213" s="181">
        <v>15</v>
      </c>
      <c r="F213" s="87"/>
    </row>
    <row r="214" spans="2:34" s="8" customFormat="1" ht="14" x14ac:dyDescent="0.2">
      <c r="B214" s="14" t="str">
        <f>IF(E211=1,"Amortization of grant in first year", " ")</f>
        <v>Amortization of grant in first year</v>
      </c>
      <c r="D214" s="8" t="str">
        <f>'Assumptions - General'!$E$27 &amp;" millions"</f>
        <v>R$ millions</v>
      </c>
      <c r="E214" s="181">
        <v>2</v>
      </c>
      <c r="F214" s="87" t="s">
        <v>355</v>
      </c>
    </row>
    <row r="215" spans="2:34" s="8" customFormat="1" ht="14" x14ac:dyDescent="0.2">
      <c r="B215" s="14" t="str">
        <f>IF(E211=1,IF(E211=1,"Let model calculate change in subsidy or enter it manually?"," ")," ")</f>
        <v>Let model calculate change in subsidy or enter it manually?</v>
      </c>
      <c r="D215" s="8" t="str">
        <f>IF(E211=1,"Select"," ")</f>
        <v>Select</v>
      </c>
      <c r="E215" s="177">
        <f>IF(F214=F215,1,2)</f>
        <v>1</v>
      </c>
      <c r="F215" s="87" t="s">
        <v>355</v>
      </c>
      <c r="G215" s="213"/>
    </row>
    <row r="216" spans="2:34" s="8" customFormat="1" ht="14" x14ac:dyDescent="0.2">
      <c r="B216" s="14"/>
      <c r="E216" s="177"/>
      <c r="F216" s="87" t="s">
        <v>229</v>
      </c>
      <c r="G216" s="226"/>
    </row>
    <row r="217" spans="2:34" s="8" customFormat="1" ht="14" x14ac:dyDescent="0.2">
      <c r="B217" s="14" t="str">
        <f>IF(E211=1,IF(E215=1,"If calculated, grow subsidy by inflation rate after year 1?"," ")," ")</f>
        <v>If calculated, grow subsidy by inflation rate after year 1?</v>
      </c>
      <c r="D217" s="8" t="str">
        <f>IF(E211=1,IF(E215=1,"yes/no"," ")," ")</f>
        <v>yes/no</v>
      </c>
      <c r="E217" s="177">
        <f>IF(F217="Yes",1,2)</f>
        <v>1</v>
      </c>
      <c r="F217" s="87" t="s">
        <v>33</v>
      </c>
      <c r="G217" s="226"/>
    </row>
    <row r="218" spans="2:34" s="8" customFormat="1" ht="14" x14ac:dyDescent="0.2">
      <c r="B218" s="14"/>
      <c r="E218" s="177"/>
      <c r="F218" s="87"/>
      <c r="G218" s="226"/>
    </row>
    <row r="219" spans="2:34" s="8" customFormat="1" ht="14" x14ac:dyDescent="0.2">
      <c r="B219" s="30" t="str">
        <f>IF(E211=1,IF(E215=1,"If yes, proportion of inflation indexation after year 1"," ")," ")</f>
        <v>If yes, proportion of inflation indexation after year 1</v>
      </c>
      <c r="D219" s="15" t="str">
        <f>IF(E211=1,IF(E215=1,"%"," ")," ")</f>
        <v>%</v>
      </c>
      <c r="E219" s="188">
        <f>F219/100</f>
        <v>1</v>
      </c>
      <c r="F219" s="87">
        <v>100</v>
      </c>
    </row>
    <row r="220" spans="2:34" s="8" customFormat="1" ht="14" x14ac:dyDescent="0.2">
      <c r="B220" s="30" t="str">
        <f>IF(E211=1,IF(E215=1,"Enter additional annual change"," ")," ")</f>
        <v>Enter additional annual change</v>
      </c>
      <c r="D220" s="15" t="str">
        <f>IF(E211=1,IF(E215=1,"%"," ")," ")</f>
        <v>%</v>
      </c>
      <c r="E220" s="180"/>
      <c r="F220" s="111"/>
      <c r="G220" s="435"/>
      <c r="H220" s="111"/>
      <c r="I220" s="111"/>
      <c r="J220" s="111"/>
      <c r="K220" s="111"/>
      <c r="L220" s="111"/>
      <c r="M220" s="111"/>
      <c r="N220" s="111"/>
      <c r="O220" s="111"/>
      <c r="P220" s="111"/>
      <c r="Q220" s="111"/>
      <c r="R220" s="111"/>
      <c r="S220" s="111"/>
      <c r="T220" s="111"/>
      <c r="U220" s="111"/>
      <c r="V220" s="111"/>
      <c r="W220" s="111"/>
      <c r="X220" s="111"/>
      <c r="Y220" s="111"/>
      <c r="Z220" s="111"/>
      <c r="AA220" s="111"/>
      <c r="AB220" s="111"/>
      <c r="AC220" s="111"/>
      <c r="AD220" s="111"/>
      <c r="AE220" s="111"/>
      <c r="AF220" s="111"/>
      <c r="AG220" s="111"/>
      <c r="AH220" s="111"/>
    </row>
    <row r="221" spans="2:34" s="8" customFormat="1" ht="14" x14ac:dyDescent="0.2">
      <c r="B221" s="14" t="str">
        <f>IF(E211=1,IF(E215=1," ","If entered manually, define annual subsidy")," ")</f>
        <v xml:space="preserve"> </v>
      </c>
      <c r="D221" s="8" t="str">
        <f>IF(E211=1,IF(E215=1," ",'Assumptions - General'!$E$27 &amp;" millions")," ")</f>
        <v xml:space="preserve"> </v>
      </c>
      <c r="E221" s="180"/>
      <c r="F221" s="438"/>
      <c r="G221" s="439"/>
      <c r="H221" s="438"/>
      <c r="I221" s="438"/>
      <c r="J221" s="438"/>
      <c r="K221" s="438"/>
      <c r="L221" s="438"/>
      <c r="M221" s="438"/>
      <c r="N221" s="438"/>
      <c r="O221" s="438"/>
      <c r="P221" s="438"/>
      <c r="Q221" s="438"/>
      <c r="R221" s="438"/>
      <c r="S221" s="438"/>
      <c r="T221" s="438"/>
      <c r="U221" s="438"/>
      <c r="V221" s="438"/>
      <c r="W221" s="438"/>
      <c r="X221" s="438"/>
      <c r="Y221" s="438"/>
      <c r="Z221" s="438"/>
      <c r="AA221" s="438"/>
      <c r="AB221" s="438"/>
      <c r="AC221" s="438"/>
      <c r="AD221" s="438"/>
      <c r="AE221" s="438"/>
      <c r="AF221" s="438"/>
      <c r="AG221" s="438"/>
      <c r="AH221" s="438"/>
    </row>
    <row r="222" spans="2:34" s="20" customFormat="1" ht="14" x14ac:dyDescent="0.2">
      <c r="B222" s="230"/>
      <c r="D222" s="81"/>
      <c r="E222" s="180"/>
      <c r="F222" s="81"/>
      <c r="G222" s="436"/>
      <c r="H222" s="81"/>
      <c r="I222" s="81"/>
      <c r="J222" s="81"/>
      <c r="K222" s="81"/>
      <c r="L222" s="81"/>
      <c r="M222" s="81"/>
      <c r="N222" s="81"/>
      <c r="O222" s="81"/>
      <c r="P222" s="81"/>
      <c r="Q222" s="81"/>
      <c r="R222" s="81"/>
      <c r="S222" s="81"/>
      <c r="T222" s="81"/>
      <c r="U222" s="81"/>
      <c r="V222" s="81"/>
      <c r="W222" s="81"/>
      <c r="X222" s="81"/>
      <c r="Y222" s="81"/>
      <c r="Z222" s="81"/>
      <c r="AA222" s="81"/>
      <c r="AB222" s="81"/>
      <c r="AC222" s="81"/>
      <c r="AD222" s="81"/>
      <c r="AE222" s="81"/>
      <c r="AF222" s="81"/>
      <c r="AG222" s="81"/>
      <c r="AH222" s="81"/>
    </row>
    <row r="223" spans="2:34" s="8" customFormat="1" ht="14" outlineLevel="1" x14ac:dyDescent="0.2">
      <c r="B223" s="14" t="s">
        <v>617</v>
      </c>
      <c r="D223" s="8" t="str">
        <f>'Assumptions - General'!$E$27 &amp;" millions"</f>
        <v>R$ millions</v>
      </c>
      <c r="E223" s="213">
        <f>Calculations!E672</f>
        <v>10</v>
      </c>
      <c r="F223" s="213">
        <f>Calculations!F672</f>
        <v>10.3</v>
      </c>
      <c r="G223" s="213">
        <f>Calculations!G672</f>
        <v>10.609000000000002</v>
      </c>
      <c r="H223" s="213">
        <f>Calculations!H672</f>
        <v>10.927270000000002</v>
      </c>
      <c r="I223" s="213">
        <f>Calculations!I672</f>
        <v>11.255088100000002</v>
      </c>
      <c r="J223" s="213">
        <f>Calculations!J672</f>
        <v>11.592740743000002</v>
      </c>
      <c r="K223" s="213">
        <f>Calculations!K672</f>
        <v>11.940522965290002</v>
      </c>
      <c r="L223" s="213">
        <f>Calculations!L672</f>
        <v>12.298738654248703</v>
      </c>
      <c r="M223" s="213">
        <f>Calculations!M672</f>
        <v>12.667700813876165</v>
      </c>
      <c r="N223" s="213">
        <f>Calculations!N672</f>
        <v>13.047731838292449</v>
      </c>
      <c r="O223" s="213">
        <f>Calculations!O672</f>
        <v>13.439163793441223</v>
      </c>
      <c r="P223" s="213">
        <f>Calculations!P672</f>
        <v>13.84233870724446</v>
      </c>
      <c r="Q223" s="213">
        <f>Calculations!Q672</f>
        <v>14.257608868461794</v>
      </c>
      <c r="R223" s="213">
        <f>Calculations!R672</f>
        <v>14.685337134515649</v>
      </c>
      <c r="S223" s="213">
        <f>Calculations!S672</f>
        <v>15.125897248551119</v>
      </c>
      <c r="T223" s="213">
        <f>Calculations!T672</f>
        <v>15.579674166007653</v>
      </c>
      <c r="U223" s="213">
        <f>Calculations!U672</f>
        <v>16.047064390987885</v>
      </c>
      <c r="V223" s="213">
        <f>Calculations!V672</f>
        <v>16.52847632271752</v>
      </c>
      <c r="W223" s="213">
        <f>Calculations!W672</f>
        <v>17.024330612399044</v>
      </c>
      <c r="X223" s="213">
        <f>Calculations!X672</f>
        <v>17.535060530771016</v>
      </c>
      <c r="Y223" s="213">
        <f>Calculations!Y672</f>
        <v>18.061112346694149</v>
      </c>
      <c r="Z223" s="213">
        <f>Calculations!Z672</f>
        <v>18.602945717094972</v>
      </c>
      <c r="AA223" s="213">
        <f>Calculations!AA672</f>
        <v>19.161034088607821</v>
      </c>
      <c r="AB223" s="213">
        <f>Calculations!AB672</f>
        <v>19.735865111266055</v>
      </c>
      <c r="AC223" s="213">
        <f>Calculations!AC672</f>
        <v>20.327941064604037</v>
      </c>
      <c r="AD223" s="213">
        <f>Calculations!AD672</f>
        <v>20.937779296542157</v>
      </c>
      <c r="AE223" s="213">
        <f>Calculations!AE672</f>
        <v>21.565912675438422</v>
      </c>
      <c r="AF223" s="213">
        <f>Calculations!AF672</f>
        <v>22.212890055701575</v>
      </c>
      <c r="AG223" s="213">
        <f>Calculations!AG672</f>
        <v>22.879276757372622</v>
      </c>
      <c r="AH223" s="213">
        <f>Calculations!AH672</f>
        <v>23.565655060093803</v>
      </c>
    </row>
    <row r="224" spans="2:34" s="8" customFormat="1" ht="14" outlineLevel="1" x14ac:dyDescent="0.2">
      <c r="B224" s="14" t="s">
        <v>618</v>
      </c>
      <c r="D224" s="8" t="str">
        <f>'Assumptions - General'!$E$27 &amp;" millions"</f>
        <v>R$ millions</v>
      </c>
      <c r="E224" s="213">
        <f>Calculations!E673</f>
        <v>15</v>
      </c>
      <c r="F224" s="213">
        <f>Calculations!F673</f>
        <v>15.450000000000001</v>
      </c>
      <c r="G224" s="213">
        <f>Calculations!G673</f>
        <v>15.913500000000001</v>
      </c>
      <c r="H224" s="213">
        <f>Calculations!H673</f>
        <v>16.390905</v>
      </c>
      <c r="I224" s="213">
        <f>Calculations!I673</f>
        <v>16.882632149999999</v>
      </c>
      <c r="J224" s="213">
        <f>Calculations!J673</f>
        <v>17.3891111145</v>
      </c>
      <c r="K224" s="213">
        <f>Calculations!K673</f>
        <v>17.910784447935001</v>
      </c>
      <c r="L224" s="213">
        <f>Calculations!L673</f>
        <v>18.448107981373052</v>
      </c>
      <c r="M224" s="213">
        <f>Calculations!M673</f>
        <v>19.001551220814246</v>
      </c>
      <c r="N224" s="213">
        <f>Calculations!N673</f>
        <v>19.571597757438674</v>
      </c>
      <c r="O224" s="213">
        <f>Calculations!O673</f>
        <v>20.158745690161833</v>
      </c>
      <c r="P224" s="213">
        <f>Calculations!P673</f>
        <v>20.763508060866688</v>
      </c>
      <c r="Q224" s="213">
        <f>Calculations!Q673</f>
        <v>21.386413302692688</v>
      </c>
      <c r="R224" s="213">
        <f>Calculations!R673</f>
        <v>22.02800570177347</v>
      </c>
      <c r="S224" s="213">
        <f>Calculations!S673</f>
        <v>22.688845872826676</v>
      </c>
      <c r="T224" s="213">
        <f>Calculations!T673</f>
        <v>23.369511249011477</v>
      </c>
      <c r="U224" s="213">
        <f>Calculations!U673</f>
        <v>24.070596586481823</v>
      </c>
      <c r="V224" s="213">
        <f>Calculations!V673</f>
        <v>24.792714484076278</v>
      </c>
      <c r="W224" s="213">
        <f>Calculations!W673</f>
        <v>25.536495918598568</v>
      </c>
      <c r="X224" s="213">
        <f>Calculations!X673</f>
        <v>26.302590796156526</v>
      </c>
      <c r="Y224" s="213">
        <f>Calculations!Y673</f>
        <v>27.091668520041221</v>
      </c>
      <c r="Z224" s="213">
        <f>Calculations!Z673</f>
        <v>27.90441857564246</v>
      </c>
      <c r="AA224" s="213">
        <f>Calculations!AA673</f>
        <v>28.741551132911734</v>
      </c>
      <c r="AB224" s="213">
        <f>Calculations!AB673</f>
        <v>29.603797666899087</v>
      </c>
      <c r="AC224" s="213">
        <f>Calculations!AC673</f>
        <v>30.491911596906061</v>
      </c>
      <c r="AD224" s="213">
        <f>Calculations!AD673</f>
        <v>31.406668944813244</v>
      </c>
      <c r="AE224" s="213">
        <f>Calculations!AE673</f>
        <v>32.348869013157639</v>
      </c>
      <c r="AF224" s="213">
        <f>Calculations!AF673</f>
        <v>33.319335083552367</v>
      </c>
      <c r="AG224" s="213">
        <f>Calculations!AG673</f>
        <v>34.318915136058941</v>
      </c>
      <c r="AH224" s="213">
        <f>Calculations!AH673</f>
        <v>35.348482590140712</v>
      </c>
    </row>
    <row r="225" spans="1:34" s="8" customFormat="1" ht="14" outlineLevel="1" x14ac:dyDescent="0.2">
      <c r="B225" s="14" t="s">
        <v>644</v>
      </c>
      <c r="D225" s="8" t="str">
        <f>'Assumptions - General'!$E$27 &amp;" millions"</f>
        <v>R$ millions</v>
      </c>
      <c r="E225" s="213">
        <f>Calculations!E674</f>
        <v>2</v>
      </c>
      <c r="F225" s="213">
        <f>Calculations!F674</f>
        <v>1.624713958810069</v>
      </c>
      <c r="G225" s="213">
        <f>Calculations!G674</f>
        <v>2.7058838578518354</v>
      </c>
      <c r="H225" s="213">
        <f>Calculations!H674</f>
        <v>3.061810946355104</v>
      </c>
      <c r="I225" s="213">
        <f>Calculations!I674</f>
        <v>3.4296362899238444</v>
      </c>
      <c r="J225" s="213">
        <f>Calculations!J674</f>
        <v>3.8097168362100216</v>
      </c>
      <c r="K225" s="213">
        <f>Calculations!K674</f>
        <v>4.2024202412951563</v>
      </c>
      <c r="L225" s="213">
        <f>Calculations!L674</f>
        <v>4.6081251909432197</v>
      </c>
      <c r="M225" s="213">
        <f>Calculations!M674</f>
        <v>5.0272217314910987</v>
      </c>
      <c r="N225" s="213">
        <f>Calculations!N674</f>
        <v>5.4697734464145791</v>
      </c>
      <c r="O225" s="213">
        <f>Calculations!O674</f>
        <v>5.9072086286260914</v>
      </c>
      <c r="P225" s="213">
        <f>Calculations!P674</f>
        <v>6.3786008352843702</v>
      </c>
      <c r="Q225" s="213">
        <f>Calculations!Q674</f>
        <v>6.8650653954803067</v>
      </c>
      <c r="R225" s="213">
        <f>Calculations!R674</f>
        <v>7.3670544798200304</v>
      </c>
      <c r="S225" s="213">
        <f>Calculations!S674</f>
        <v>7.8850338240278601</v>
      </c>
      <c r="T225" s="213">
        <f>Calculations!T674</f>
        <v>8.4194831358998314</v>
      </c>
      <c r="U225" s="213">
        <f>Calculations!U674</f>
        <v>8.9708965144658723</v>
      </c>
      <c r="V225" s="213">
        <f>Calculations!V674</f>
        <v>9.5397828817268042</v>
      </c>
      <c r="W225" s="213">
        <f>Calculations!W674</f>
        <v>10.126666427343475</v>
      </c>
      <c r="X225" s="213">
        <f>Calculations!X674</f>
        <v>10.596821366183459</v>
      </c>
      <c r="Y225" s="213">
        <f>Calculations!Y674</f>
        <v>10.509578971798215</v>
      </c>
      <c r="Z225" s="213">
        <f>Calculations!Z674</f>
        <v>11.152643124917637</v>
      </c>
      <c r="AA225" s="213">
        <f>Calculations!AA674</f>
        <v>11.815202914774906</v>
      </c>
      <c r="AB225" s="213">
        <f>Calculations!AB674</f>
        <v>12.497830000947729</v>
      </c>
      <c r="AC225" s="213">
        <f>Calculations!AC674</f>
        <v>13.097403244006497</v>
      </c>
      <c r="AD225" s="213">
        <f>Calculations!AD674</f>
        <v>13.816780570797858</v>
      </c>
      <c r="AE225" s="213">
        <f>Calculations!AE674</f>
        <v>14.557717892969226</v>
      </c>
      <c r="AF225" s="213">
        <f>Calculations!AF674</f>
        <v>15.320850983973695</v>
      </c>
      <c r="AG225" s="213">
        <f>Calculations!AG674</f>
        <v>16.106835912809736</v>
      </c>
      <c r="AH225" s="213">
        <f>Calculations!AH674</f>
        <v>16.916349442060309</v>
      </c>
    </row>
    <row r="226" spans="1:34" x14ac:dyDescent="0.2">
      <c r="A226" s="7" t="s">
        <v>405</v>
      </c>
      <c r="B226" s="14"/>
      <c r="D226" s="15"/>
      <c r="F226" s="87">
        <f t="shared" ref="F226:AH226" si="16">IF(F224&gt;F46,1,0)</f>
        <v>0</v>
      </c>
      <c r="G226" s="87">
        <f t="shared" si="16"/>
        <v>0</v>
      </c>
      <c r="H226" s="87">
        <f t="shared" si="16"/>
        <v>0</v>
      </c>
      <c r="I226" s="87">
        <f t="shared" si="16"/>
        <v>0</v>
      </c>
      <c r="J226" s="87">
        <f t="shared" si="16"/>
        <v>0</v>
      </c>
      <c r="K226" s="87">
        <f t="shared" si="16"/>
        <v>0</v>
      </c>
      <c r="L226" s="87">
        <f t="shared" si="16"/>
        <v>0</v>
      </c>
      <c r="M226" s="87">
        <f t="shared" si="16"/>
        <v>0</v>
      </c>
      <c r="N226" s="87">
        <f t="shared" si="16"/>
        <v>0</v>
      </c>
      <c r="O226" s="87">
        <f t="shared" si="16"/>
        <v>0</v>
      </c>
      <c r="P226" s="87">
        <f t="shared" si="16"/>
        <v>0</v>
      </c>
      <c r="Q226" s="87">
        <f t="shared" si="16"/>
        <v>0</v>
      </c>
      <c r="R226" s="87">
        <f t="shared" si="16"/>
        <v>0</v>
      </c>
      <c r="S226" s="87">
        <f t="shared" si="16"/>
        <v>0</v>
      </c>
      <c r="T226" s="87">
        <f t="shared" si="16"/>
        <v>0</v>
      </c>
      <c r="U226" s="87">
        <f t="shared" si="16"/>
        <v>0</v>
      </c>
      <c r="V226" s="87">
        <f t="shared" si="16"/>
        <v>0</v>
      </c>
      <c r="W226" s="87">
        <f t="shared" si="16"/>
        <v>0</v>
      </c>
      <c r="X226" s="87">
        <f t="shared" si="16"/>
        <v>0</v>
      </c>
      <c r="Y226" s="87">
        <f t="shared" si="16"/>
        <v>0</v>
      </c>
      <c r="Z226" s="87">
        <f t="shared" si="16"/>
        <v>0</v>
      </c>
      <c r="AA226" s="87">
        <f t="shared" si="16"/>
        <v>0</v>
      </c>
      <c r="AB226" s="87">
        <f t="shared" si="16"/>
        <v>0</v>
      </c>
      <c r="AC226" s="87">
        <f t="shared" si="16"/>
        <v>0</v>
      </c>
      <c r="AD226" s="87">
        <f t="shared" si="16"/>
        <v>0</v>
      </c>
      <c r="AE226" s="87">
        <f t="shared" si="16"/>
        <v>0</v>
      </c>
      <c r="AF226" s="87">
        <f t="shared" si="16"/>
        <v>0</v>
      </c>
      <c r="AG226" s="87">
        <f t="shared" si="16"/>
        <v>0</v>
      </c>
      <c r="AH226" s="87">
        <f t="shared" si="16"/>
        <v>0</v>
      </c>
    </row>
    <row r="227" spans="1:34" collapsed="1" x14ac:dyDescent="0.2">
      <c r="A227" s="8"/>
      <c r="B227" s="14"/>
      <c r="D227" s="15"/>
      <c r="E227" s="8"/>
    </row>
    <row r="228" spans="1:34" s="324" customFormat="1" x14ac:dyDescent="0.2">
      <c r="B228" s="323" t="s">
        <v>539</v>
      </c>
      <c r="E228" s="323" t="str">
        <f>IF(AND('Scenarios - Infra'!F16=1,OR('Scenarios - Infra'!D33=1,'Scenarios - Infra'!E33=1)),"NOTE: SCENARIO ANALYSIS TRACK ACCESS CHARGE ASSUMPTIONS IN USE"," ")</f>
        <v xml:space="preserve"> </v>
      </c>
    </row>
    <row r="229" spans="1:34" s="8" customFormat="1" ht="14" x14ac:dyDescent="0.2">
      <c r="B229" s="7"/>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row>
    <row r="230" spans="1:34" s="8" customFormat="1" ht="14" x14ac:dyDescent="0.2">
      <c r="B230" s="21" t="s">
        <v>250</v>
      </c>
      <c r="E230" s="183"/>
      <c r="F230" s="220" t="s">
        <v>33</v>
      </c>
      <c r="G230" s="183"/>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row>
    <row r="231" spans="1:34" s="8" customFormat="1" ht="14" x14ac:dyDescent="0.2">
      <c r="B231" s="89" t="s">
        <v>367</v>
      </c>
      <c r="D231" s="8" t="str">
        <f>'Assumptions - General'!$E$27 &amp;"/GTK"</f>
        <v>R$/GTK</v>
      </c>
      <c r="E231" s="181">
        <v>0.25</v>
      </c>
      <c r="F231" s="220" t="s">
        <v>33</v>
      </c>
      <c r="G231" s="183"/>
      <c r="H231" s="183"/>
      <c r="I231" s="183"/>
      <c r="J231" s="183"/>
      <c r="K231" s="183"/>
      <c r="L231" s="183"/>
      <c r="M231" s="183"/>
      <c r="N231" s="183"/>
      <c r="O231" s="183"/>
      <c r="P231" s="183"/>
      <c r="Q231" s="183"/>
      <c r="R231" s="183"/>
      <c r="S231" s="183"/>
      <c r="T231" s="183"/>
      <c r="U231" s="183"/>
      <c r="V231" s="183"/>
      <c r="W231" s="183"/>
      <c r="X231" s="183"/>
      <c r="Y231" s="183"/>
      <c r="Z231" s="183"/>
      <c r="AA231" s="183"/>
      <c r="AB231" s="183"/>
      <c r="AC231" s="183"/>
      <c r="AD231" s="183"/>
      <c r="AE231" s="183"/>
      <c r="AF231" s="183"/>
      <c r="AG231" s="183"/>
      <c r="AH231" s="183"/>
    </row>
    <row r="232" spans="1:34" s="8" customFormat="1" ht="14" x14ac:dyDescent="0.2">
      <c r="B232" s="89" t="s">
        <v>367</v>
      </c>
      <c r="D232" s="8" t="str">
        <f>'Assumptions - General'!$E$27 &amp;"/Train-km"</f>
        <v>R$/Train-km</v>
      </c>
      <c r="E232" s="181">
        <v>0.25</v>
      </c>
      <c r="F232" s="220" t="s">
        <v>211</v>
      </c>
      <c r="G232" s="183"/>
      <c r="H232" s="183"/>
      <c r="I232" s="183"/>
      <c r="J232" s="183"/>
      <c r="K232" s="183"/>
      <c r="L232" s="183"/>
      <c r="M232" s="183"/>
      <c r="N232" s="183"/>
      <c r="O232" s="183"/>
      <c r="P232" s="183"/>
      <c r="Q232" s="183"/>
      <c r="R232" s="183"/>
      <c r="S232" s="183"/>
      <c r="T232" s="183"/>
      <c r="U232" s="183"/>
      <c r="V232" s="183"/>
      <c r="W232" s="183"/>
      <c r="X232" s="183"/>
      <c r="Y232" s="183"/>
      <c r="Z232" s="183"/>
      <c r="AA232" s="183"/>
      <c r="AB232" s="183"/>
      <c r="AC232" s="183"/>
      <c r="AD232" s="183"/>
      <c r="AE232" s="183"/>
      <c r="AF232" s="183"/>
      <c r="AG232" s="183"/>
      <c r="AH232" s="183"/>
    </row>
    <row r="233" spans="1:34" s="8" customFormat="1" ht="14" x14ac:dyDescent="0.2">
      <c r="B233" s="14" t="s">
        <v>36</v>
      </c>
      <c r="D233" s="8" t="s">
        <v>32</v>
      </c>
      <c r="E233" s="177">
        <f>IF(F230=F231,1,2)</f>
        <v>1</v>
      </c>
      <c r="F233" s="220"/>
      <c r="G233" s="183"/>
      <c r="H233" s="183"/>
      <c r="I233" s="183"/>
      <c r="J233" s="183"/>
      <c r="K233" s="183"/>
      <c r="L233" s="183"/>
      <c r="M233" s="183"/>
      <c r="N233" s="183"/>
      <c r="O233" s="183"/>
      <c r="P233" s="183"/>
      <c r="Q233" s="183"/>
      <c r="R233" s="183"/>
      <c r="S233" s="183"/>
      <c r="T233" s="183"/>
      <c r="U233" s="183"/>
      <c r="V233" s="183"/>
      <c r="W233" s="183"/>
      <c r="X233" s="183"/>
      <c r="Y233" s="183"/>
      <c r="Z233" s="183"/>
      <c r="AA233" s="183"/>
      <c r="AB233" s="183"/>
      <c r="AC233" s="183"/>
      <c r="AD233" s="183"/>
      <c r="AE233" s="183"/>
      <c r="AF233" s="183"/>
      <c r="AG233" s="183"/>
      <c r="AH233" s="183"/>
    </row>
    <row r="234" spans="1:34" s="8" customFormat="1" ht="14" x14ac:dyDescent="0.2">
      <c r="B234" s="14"/>
      <c r="E234" s="177"/>
      <c r="F234" s="220"/>
      <c r="G234" s="183"/>
      <c r="H234" s="183"/>
      <c r="I234" s="183"/>
      <c r="J234" s="183"/>
      <c r="K234" s="183"/>
      <c r="L234" s="183"/>
      <c r="M234" s="183"/>
      <c r="N234" s="183"/>
      <c r="O234" s="183"/>
      <c r="P234" s="183"/>
      <c r="Q234" s="183"/>
      <c r="R234" s="183"/>
      <c r="S234" s="183"/>
      <c r="T234" s="183"/>
      <c r="U234" s="183"/>
      <c r="V234" s="183"/>
      <c r="W234" s="183"/>
      <c r="X234" s="183"/>
      <c r="Y234" s="183"/>
      <c r="Z234" s="183"/>
      <c r="AA234" s="183"/>
      <c r="AB234" s="183"/>
      <c r="AC234" s="183"/>
      <c r="AD234" s="183"/>
      <c r="AE234" s="183"/>
      <c r="AF234" s="183"/>
      <c r="AG234" s="183"/>
      <c r="AH234" s="183"/>
    </row>
    <row r="235" spans="1:34" s="8" customFormat="1" ht="14" x14ac:dyDescent="0.2">
      <c r="B235" s="14" t="s">
        <v>34</v>
      </c>
      <c r="D235" s="15" t="s">
        <v>15</v>
      </c>
      <c r="E235" s="188">
        <f>F235/100</f>
        <v>1</v>
      </c>
      <c r="F235" s="220">
        <v>100</v>
      </c>
      <c r="G235" s="183"/>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row>
    <row r="236" spans="1:34" x14ac:dyDescent="0.2">
      <c r="B236" s="30" t="s">
        <v>401</v>
      </c>
      <c r="D236" s="15" t="s">
        <v>15</v>
      </c>
      <c r="F236" s="111"/>
      <c r="G236" s="111"/>
      <c r="H236" s="111"/>
      <c r="I236" s="111"/>
      <c r="J236" s="111"/>
      <c r="K236" s="111"/>
      <c r="L236" s="111"/>
      <c r="M236" s="111"/>
      <c r="N236" s="111"/>
      <c r="O236" s="111"/>
      <c r="P236" s="111"/>
      <c r="Q236" s="111"/>
      <c r="R236" s="111"/>
      <c r="S236" s="111"/>
      <c r="T236" s="111"/>
      <c r="U236" s="111"/>
      <c r="V236" s="111"/>
      <c r="W236" s="111"/>
      <c r="X236" s="111"/>
      <c r="Y236" s="111"/>
      <c r="Z236" s="111"/>
      <c r="AA236" s="111"/>
      <c r="AB236" s="111"/>
      <c r="AC236" s="111"/>
      <c r="AD236" s="111"/>
      <c r="AE236" s="111"/>
      <c r="AF236" s="111"/>
      <c r="AG236" s="111"/>
      <c r="AH236" s="111"/>
    </row>
    <row r="237" spans="1:34" s="18" customFormat="1" x14ac:dyDescent="0.2">
      <c r="B237" s="230"/>
      <c r="D237" s="81"/>
      <c r="F237" s="81"/>
      <c r="G237" s="81"/>
      <c r="H237" s="81"/>
      <c r="I237" s="81"/>
      <c r="J237" s="81"/>
      <c r="K237" s="81"/>
      <c r="L237" s="81"/>
      <c r="M237" s="81"/>
      <c r="N237" s="81"/>
      <c r="O237" s="81"/>
      <c r="P237" s="81"/>
      <c r="Q237" s="81"/>
      <c r="R237" s="81"/>
      <c r="S237" s="81"/>
      <c r="T237" s="81"/>
      <c r="U237" s="81"/>
      <c r="V237" s="81"/>
      <c r="W237" s="81"/>
      <c r="X237" s="81"/>
      <c r="Y237" s="81"/>
      <c r="Z237" s="81"/>
      <c r="AA237" s="81"/>
      <c r="AB237" s="81"/>
      <c r="AC237" s="81"/>
      <c r="AD237" s="81"/>
      <c r="AE237" s="81"/>
      <c r="AF237" s="81"/>
      <c r="AG237" s="81"/>
      <c r="AH237" s="81"/>
    </row>
    <row r="238" spans="1:34" s="8" customFormat="1" ht="14" outlineLevel="1" x14ac:dyDescent="0.2">
      <c r="B238" s="14" t="s">
        <v>404</v>
      </c>
      <c r="D238" s="15" t="str">
        <f>D231</f>
        <v>R$/GTK</v>
      </c>
      <c r="E238" s="212"/>
      <c r="F238" s="222">
        <f>Calculations!F1123</f>
        <v>0.25750000000000001</v>
      </c>
      <c r="G238" s="222">
        <f>Calculations!G1123</f>
        <v>0.26522499999999999</v>
      </c>
      <c r="H238" s="222">
        <f>Calculations!H1123</f>
        <v>0.27318175</v>
      </c>
      <c r="I238" s="222">
        <f>Calculations!I1123</f>
        <v>0.28137720250000003</v>
      </c>
      <c r="J238" s="222">
        <f>Calculations!J1123</f>
        <v>0.28981851857500002</v>
      </c>
      <c r="K238" s="222">
        <f>Calculations!K1123</f>
        <v>0.29851307413225003</v>
      </c>
      <c r="L238" s="222">
        <f>Calculations!L1123</f>
        <v>0.30746846635621755</v>
      </c>
      <c r="M238" s="222">
        <f>Calculations!M1123</f>
        <v>0.31669252034690409</v>
      </c>
      <c r="N238" s="222">
        <f>Calculations!N1123</f>
        <v>0.32619329595731122</v>
      </c>
      <c r="O238" s="222">
        <f>Calculations!O1123</f>
        <v>0.33597909483603056</v>
      </c>
      <c r="P238" s="222">
        <f>Calculations!P1123</f>
        <v>0.34605846768111148</v>
      </c>
      <c r="Q238" s="222">
        <f>Calculations!Q1123</f>
        <v>0.35644022171154482</v>
      </c>
      <c r="R238" s="222">
        <f>Calculations!R1123</f>
        <v>0.3671334283628912</v>
      </c>
      <c r="S238" s="222">
        <f>Calculations!S1123</f>
        <v>0.37814743121377797</v>
      </c>
      <c r="T238" s="222">
        <f>Calculations!T1123</f>
        <v>0.38949185415019133</v>
      </c>
      <c r="U238" s="222">
        <f>Calculations!U1123</f>
        <v>0.4011766097746971</v>
      </c>
      <c r="V238" s="222">
        <f>Calculations!V1123</f>
        <v>0.41321190806793801</v>
      </c>
      <c r="W238" s="222">
        <f>Calculations!W1123</f>
        <v>0.42560826530997614</v>
      </c>
      <c r="X238" s="222">
        <f>Calculations!X1123</f>
        <v>0.43837651326927546</v>
      </c>
      <c r="Y238" s="222">
        <f>Calculations!Y1123</f>
        <v>0.45152780866735376</v>
      </c>
      <c r="Z238" s="222">
        <f>Calculations!Z1123</f>
        <v>0.46507364292737441</v>
      </c>
      <c r="AA238" s="222">
        <f>Calculations!AA1123</f>
        <v>0.47902585221519567</v>
      </c>
      <c r="AB238" s="222">
        <f>Calculations!AB1123</f>
        <v>0.49339662778165155</v>
      </c>
      <c r="AC238" s="222">
        <f>Calculations!AC1123</f>
        <v>0.50819852661510112</v>
      </c>
      <c r="AD238" s="222">
        <f>Calculations!AD1123</f>
        <v>0.52344448241355412</v>
      </c>
      <c r="AE238" s="222">
        <f>Calculations!AE1123</f>
        <v>0.53914781688596081</v>
      </c>
      <c r="AF238" s="222">
        <f>Calculations!AF1123</f>
        <v>0.55532225139253966</v>
      </c>
      <c r="AG238" s="222">
        <f>Calculations!AG1123</f>
        <v>0.57198191893431582</v>
      </c>
      <c r="AH238" s="222">
        <f>Calculations!AH1123</f>
        <v>0.58914137650234533</v>
      </c>
    </row>
    <row r="239" spans="1:34" s="8" customFormat="1" ht="14" outlineLevel="1" x14ac:dyDescent="0.2">
      <c r="B239" s="14" t="s">
        <v>404</v>
      </c>
      <c r="D239" s="15" t="str">
        <f>D232</f>
        <v>R$/Train-km</v>
      </c>
      <c r="E239" s="212"/>
      <c r="F239" s="222">
        <f>Calculations!F1124</f>
        <v>0.25750000000000001</v>
      </c>
      <c r="G239" s="222">
        <f>Calculations!G1124</f>
        <v>0.26522499999999999</v>
      </c>
      <c r="H239" s="222">
        <f>Calculations!H1124</f>
        <v>0.27318175</v>
      </c>
      <c r="I239" s="222">
        <f>Calculations!I1124</f>
        <v>0.28137720250000003</v>
      </c>
      <c r="J239" s="222">
        <f>Calculations!J1124</f>
        <v>0.28981851857500002</v>
      </c>
      <c r="K239" s="222">
        <f>Calculations!K1124</f>
        <v>0.29851307413225003</v>
      </c>
      <c r="L239" s="222">
        <f>Calculations!L1124</f>
        <v>0.30746846635621755</v>
      </c>
      <c r="M239" s="222">
        <f>Calculations!M1124</f>
        <v>0.31669252034690409</v>
      </c>
      <c r="N239" s="222">
        <f>Calculations!N1124</f>
        <v>0.32619329595731122</v>
      </c>
      <c r="O239" s="222">
        <f>Calculations!O1124</f>
        <v>0.33597909483603056</v>
      </c>
      <c r="P239" s="222">
        <f>Calculations!P1124</f>
        <v>0.34605846768111148</v>
      </c>
      <c r="Q239" s="222">
        <f>Calculations!Q1124</f>
        <v>0.35644022171154482</v>
      </c>
      <c r="R239" s="222">
        <f>Calculations!R1124</f>
        <v>0.3671334283628912</v>
      </c>
      <c r="S239" s="222">
        <f>Calculations!S1124</f>
        <v>0.37814743121377797</v>
      </c>
      <c r="T239" s="222">
        <f>Calculations!T1124</f>
        <v>0.38949185415019133</v>
      </c>
      <c r="U239" s="222">
        <f>Calculations!U1124</f>
        <v>0.4011766097746971</v>
      </c>
      <c r="V239" s="222">
        <f>Calculations!V1124</f>
        <v>0.41321190806793801</v>
      </c>
      <c r="W239" s="222">
        <f>Calculations!W1124</f>
        <v>0.42560826530997614</v>
      </c>
      <c r="X239" s="222">
        <f>Calculations!X1124</f>
        <v>0.43837651326927546</v>
      </c>
      <c r="Y239" s="222">
        <f>Calculations!Y1124</f>
        <v>0.45152780866735376</v>
      </c>
      <c r="Z239" s="222">
        <f>Calculations!Z1124</f>
        <v>0.46507364292737441</v>
      </c>
      <c r="AA239" s="222">
        <f>Calculations!AA1124</f>
        <v>0.47902585221519567</v>
      </c>
      <c r="AB239" s="222">
        <f>Calculations!AB1124</f>
        <v>0.49339662778165155</v>
      </c>
      <c r="AC239" s="222">
        <f>Calculations!AC1124</f>
        <v>0.50819852661510112</v>
      </c>
      <c r="AD239" s="222">
        <f>Calculations!AD1124</f>
        <v>0.52344448241355412</v>
      </c>
      <c r="AE239" s="222">
        <f>Calculations!AE1124</f>
        <v>0.53914781688596081</v>
      </c>
      <c r="AF239" s="222">
        <f>Calculations!AF1124</f>
        <v>0.55532225139253966</v>
      </c>
      <c r="AG239" s="222">
        <f>Calculations!AG1124</f>
        <v>0.57198191893431582</v>
      </c>
      <c r="AH239" s="222">
        <f>Calculations!AH1124</f>
        <v>0.58914137650234533</v>
      </c>
    </row>
    <row r="240" spans="1:34" x14ac:dyDescent="0.2">
      <c r="A240" s="7" t="s">
        <v>405</v>
      </c>
    </row>
    <row r="241" spans="1:64" collapsed="1" x14ac:dyDescent="0.2">
      <c r="A241" s="8"/>
    </row>
    <row r="242" spans="1:64" s="324" customFormat="1" x14ac:dyDescent="0.2">
      <c r="B242" s="323" t="str">
        <f>"Operating costs of " &amp;'Assumptions - General'!$E$25</f>
        <v>Operating costs of Ruritania Passenger Rail Company</v>
      </c>
    </row>
    <row r="243" spans="1:64" s="8" customFormat="1" ht="14" x14ac:dyDescent="0.2">
      <c r="B243" s="7"/>
      <c r="E243" s="9"/>
      <c r="F243" s="492" t="s">
        <v>33</v>
      </c>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9"/>
      <c r="AH243" s="9"/>
    </row>
    <row r="244" spans="1:64" s="8" customFormat="1" ht="14" x14ac:dyDescent="0.2">
      <c r="B244" s="16" t="s">
        <v>376</v>
      </c>
      <c r="D244" s="8" t="s">
        <v>32</v>
      </c>
      <c r="E244" s="177">
        <f>IF(F243=F244,1,2)</f>
        <v>1</v>
      </c>
      <c r="F244" s="87" t="s">
        <v>33</v>
      </c>
    </row>
    <row r="245" spans="1:64" s="8" customFormat="1" ht="14" x14ac:dyDescent="0.2">
      <c r="B245" s="16"/>
      <c r="E245" s="182"/>
      <c r="F245" s="87" t="s">
        <v>211</v>
      </c>
    </row>
    <row r="246" spans="1:64" outlineLevel="1" x14ac:dyDescent="0.2">
      <c r="B246" s="8" t="s">
        <v>474</v>
      </c>
      <c r="C246" s="8"/>
      <c r="D246" s="287">
        <f>IF('Scenarios - Consolidated'!$F$3=1,1,'Scenarios - Passenger'!F3)</f>
        <v>2</v>
      </c>
      <c r="E246" s="9"/>
      <c r="F246" s="9"/>
      <c r="G246" s="9"/>
      <c r="H246" s="9"/>
      <c r="I246" s="9"/>
      <c r="J246" s="9"/>
      <c r="K246" s="9"/>
      <c r="L246" s="9"/>
      <c r="M246" s="9"/>
      <c r="N246" s="9"/>
      <c r="O246" s="9"/>
      <c r="P246" s="9"/>
      <c r="Q246" s="9"/>
      <c r="R246" s="9"/>
      <c r="S246" s="9"/>
      <c r="T246" s="9"/>
      <c r="U246" s="9"/>
      <c r="V246" s="9"/>
      <c r="W246" s="9"/>
      <c r="X246" s="9"/>
      <c r="Y246" s="9"/>
      <c r="Z246" s="9"/>
      <c r="AA246" s="9"/>
      <c r="AB246" s="9"/>
      <c r="AC246" s="9"/>
      <c r="AD246" s="9"/>
      <c r="AE246" s="9"/>
      <c r="AF246" s="9"/>
      <c r="AG246" s="9"/>
      <c r="AH246" s="9"/>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row>
    <row r="247" spans="1:64" outlineLevel="1" x14ac:dyDescent="0.2">
      <c r="B247" s="8" t="s">
        <v>479</v>
      </c>
      <c r="C247" s="8"/>
      <c r="D247" s="224">
        <f>IF(AND('Scenarios - Consolidated'!$F$3=1,'Scenarios - Consolidated'!$H$20=1),'Scenarios - Consolidated'!$H$25,'Scenarios - Passenger'!H25)</f>
        <v>1</v>
      </c>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9"/>
      <c r="AH247" s="9"/>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row>
    <row r="248" spans="1:64" x14ac:dyDescent="0.2">
      <c r="B248" s="7" t="s">
        <v>473</v>
      </c>
      <c r="C248" s="8"/>
      <c r="D248" s="8"/>
      <c r="E248" s="9"/>
      <c r="F248" s="9"/>
      <c r="G248" s="9"/>
      <c r="H248" s="9"/>
      <c r="I248" s="9"/>
      <c r="J248" s="9"/>
      <c r="K248" s="9"/>
      <c r="L248" s="9"/>
      <c r="M248" s="9"/>
      <c r="N248" s="9"/>
      <c r="O248" s="9"/>
      <c r="P248" s="9"/>
      <c r="Q248" s="9"/>
      <c r="R248" s="9"/>
      <c r="S248" s="9"/>
      <c r="T248" s="9"/>
      <c r="U248" s="9"/>
      <c r="V248" s="9"/>
      <c r="W248" s="9"/>
      <c r="X248" s="9"/>
      <c r="Y248" s="9"/>
      <c r="Z248" s="9"/>
      <c r="AA248" s="9"/>
      <c r="AB248" s="9"/>
      <c r="AC248" s="9"/>
      <c r="AD248" s="9"/>
      <c r="AE248" s="9"/>
      <c r="AF248" s="9"/>
      <c r="AG248" s="9"/>
      <c r="AH248" s="9"/>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row>
    <row r="249" spans="1:64" x14ac:dyDescent="0.2">
      <c r="B249" s="7"/>
      <c r="C249" s="8"/>
      <c r="D249" s="8"/>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9"/>
      <c r="AH249" s="9"/>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row>
    <row r="250" spans="1:64" s="8" customFormat="1" ht="14" x14ac:dyDescent="0.2">
      <c r="B250" s="21" t="s">
        <v>37</v>
      </c>
      <c r="E250" s="183"/>
    </row>
    <row r="251" spans="1:64" s="8" customFormat="1" ht="14" x14ac:dyDescent="0.2">
      <c r="B251" s="14" t="s">
        <v>377</v>
      </c>
      <c r="D251" s="10" t="str">
        <f>'Assumptions - General'!$E$27 &amp;" millions"</f>
        <v>R$ millions</v>
      </c>
      <c r="E251" s="176">
        <v>1000</v>
      </c>
    </row>
    <row r="252" spans="1:64" s="8" customFormat="1" ht="14" x14ac:dyDescent="0.2">
      <c r="B252" s="215" t="s">
        <v>379</v>
      </c>
      <c r="E252" s="182"/>
      <c r="F252" s="87"/>
    </row>
    <row r="253" spans="1:64" s="8" customFormat="1" ht="14" x14ac:dyDescent="0.2">
      <c r="B253" s="211" t="s">
        <v>255</v>
      </c>
      <c r="D253" s="15" t="s">
        <v>15</v>
      </c>
      <c r="E253" s="188">
        <f>F253/100</f>
        <v>1</v>
      </c>
      <c r="F253" s="87">
        <v>100</v>
      </c>
    </row>
    <row r="254" spans="1:64" s="8" customFormat="1" ht="14" x14ac:dyDescent="0.2">
      <c r="B254" s="211" t="s">
        <v>681</v>
      </c>
      <c r="D254" s="15" t="s">
        <v>39</v>
      </c>
      <c r="E254" s="192">
        <f>IF(D246=1,E14*D247,E14)</f>
        <v>15000</v>
      </c>
      <c r="F254" s="192">
        <f>IF($E$254&lt;&gt;0,IF(OR(Calculations!F$17=1,Calculations!F18=1),E254*(1+(F14/E14-1)*$E$253),0),0)</f>
        <v>15000</v>
      </c>
      <c r="G254" s="192">
        <f>IF($E$254&lt;&gt;0,IF(OR(Calculations!G$17=1,Calculations!G18=1),F254*(1+(G14/F14-1)*$E$253),0),0)</f>
        <v>15000</v>
      </c>
      <c r="H254" s="192">
        <f>IF($E$254&lt;&gt;0,IF(OR(Calculations!H$17=1,Calculations!H18=1),G254*(1+(H14/G14-1)*$E$253),0),0)</f>
        <v>15000</v>
      </c>
      <c r="I254" s="192">
        <f>IF($E$254&lt;&gt;0,IF(OR(Calculations!I$17=1,Calculations!I18=1),H254*(1+(I14/H14-1)*$E$253),0),0)</f>
        <v>15000</v>
      </c>
      <c r="J254" s="192">
        <f>IF($E$254&lt;&gt;0,IF(OR(Calculations!J$17=1,Calculations!J18=1),I254*(1+(J14/I14-1)*$E$253),0),0)</f>
        <v>15000</v>
      </c>
      <c r="K254" s="192">
        <f>IF($E$254&lt;&gt;0,IF(OR(Calculations!K$17=1,Calculations!K18=1),J254*(1+(K14/J14-1)*$E$253),0),0)</f>
        <v>15000</v>
      </c>
      <c r="L254" s="192">
        <f>IF($E$254&lt;&gt;0,IF(OR(Calculations!L$17=1,Calculations!L18=1),K254*(1+(L14/K14-1)*$E$253),0),0)</f>
        <v>15000</v>
      </c>
      <c r="M254" s="192">
        <f>IF($E$254&lt;&gt;0,IF(OR(Calculations!M$17=1,Calculations!M18=1),L254*(1+(M14/L14-1)*$E$253),0),0)</f>
        <v>15000</v>
      </c>
      <c r="N254" s="192">
        <f>IF($E$254&lt;&gt;0,IF(OR(Calculations!N$17=1,Calculations!N18=1),M254*(1+(N14/M14-1)*$E$253),0),0)</f>
        <v>15000</v>
      </c>
      <c r="O254" s="192">
        <f>IF($E$254&lt;&gt;0,IF(OR(Calculations!O$17=1,Calculations!O18=1),N254*(1+(O14/N14-1)*$E$253),0),0)</f>
        <v>15000</v>
      </c>
      <c r="P254" s="192">
        <f>IF($E$254&lt;&gt;0,IF(OR(Calculations!P$17=1,Calculations!P18=1),O254*(1+(P14/O14-1)*$E$253),0),0)</f>
        <v>15000</v>
      </c>
      <c r="Q254" s="192">
        <f>IF($E$254&lt;&gt;0,IF(OR(Calculations!Q$17=1,Calculations!Q18=1),P254*(1+(Q14/P14-1)*$E$253),0),0)</f>
        <v>15000</v>
      </c>
      <c r="R254" s="192">
        <f>IF($E$254&lt;&gt;0,IF(OR(Calculations!R$17=1,Calculations!R18=1),Q254*(1+(R14/Q14-1)*$E$253),0),0)</f>
        <v>15000</v>
      </c>
      <c r="S254" s="192">
        <f>IF($E$254&lt;&gt;0,IF(OR(Calculations!S$17=1,Calculations!S18=1),R254*(1+(S14/R14-1)*$E$253),0),0)</f>
        <v>15000</v>
      </c>
      <c r="T254" s="192">
        <f>IF($E$254&lt;&gt;0,IF(OR(Calculations!T$17=1,Calculations!T18=1),S254*(1+(T14/S14-1)*$E$253),0),0)</f>
        <v>15000</v>
      </c>
      <c r="U254" s="192">
        <f>IF($E$254&lt;&gt;0,IF(OR(Calculations!U$17=1,Calculations!U18=1),T254*(1+(U14/T14-1)*$E$253),0),0)</f>
        <v>15000</v>
      </c>
      <c r="V254" s="192">
        <f>IF($E$254&lt;&gt;0,IF(OR(Calculations!V$17=1,Calculations!V18=1),U254*(1+(V14/U14-1)*$E$253),0),0)</f>
        <v>15000</v>
      </c>
      <c r="W254" s="192">
        <f>IF($E$254&lt;&gt;0,IF(OR(Calculations!W$17=1,Calculations!W18=1),V254*(1+(W14/V14-1)*$E$253),0),0)</f>
        <v>15000</v>
      </c>
      <c r="X254" s="192">
        <f>IF($E$254&lt;&gt;0,IF(OR(Calculations!X$17=1,Calculations!X18=1),W254*(1+(X14/W14-1)*$E$253),0),0)</f>
        <v>15000</v>
      </c>
      <c r="Y254" s="192">
        <f>IF($E$254&lt;&gt;0,IF(OR(Calculations!Y$17=1,Calculations!Y18=1),X254*(1+(Y14/X14-1)*$E$253),0),0)</f>
        <v>15000</v>
      </c>
      <c r="Z254" s="192">
        <f>IF($E$254&lt;&gt;0,IF(OR(Calculations!Z$17=1,Calculations!Z18=1),Y254*(1+(Z14/Y14-1)*$E$253),0),0)</f>
        <v>15000</v>
      </c>
      <c r="AA254" s="192">
        <f>IF($E$254&lt;&gt;0,IF(OR(Calculations!AA$17=1,Calculations!AA18=1),Z254*(1+(AA14/Z14-1)*$E$253),0),0)</f>
        <v>15000</v>
      </c>
      <c r="AB254" s="192">
        <f>IF($E$254&lt;&gt;0,IF(OR(Calculations!AB$17=1,Calculations!AB18=1),AA254*(1+(AB14/AA14-1)*$E$253),0),0)</f>
        <v>15000</v>
      </c>
      <c r="AC254" s="192">
        <f>IF($E$254&lt;&gt;0,IF(OR(Calculations!AC$17=1,Calculations!AC18=1),AB254*(1+(AC14/AB14-1)*$E$253),0),0)</f>
        <v>15000</v>
      </c>
      <c r="AD254" s="192">
        <f>IF($E$254&lt;&gt;0,IF(OR(Calculations!AD$17=1,Calculations!AD18=1),AC254*(1+(AD14/AC14-1)*$E$253),0),0)</f>
        <v>15000</v>
      </c>
      <c r="AE254" s="192">
        <f>IF($E$254&lt;&gt;0,IF(OR(Calculations!AE$17=1,Calculations!AE18=1),AD254*(1+(AE14/AD14-1)*$E$253),0),0)</f>
        <v>15000</v>
      </c>
      <c r="AF254" s="192">
        <f>IF($E$254&lt;&gt;0,IF(OR(Calculations!AF$17=1,Calculations!AF18=1),AE254*(1+(AF14/AE14-1)*$E$253),0),0)</f>
        <v>15000</v>
      </c>
      <c r="AG254" s="192">
        <f>IF($E$254&lt;&gt;0,IF(OR(Calculations!AG$17=1,Calculations!AG18=1),AF254*(1+(AG14/AF14-1)*$E$253),0),0)</f>
        <v>15000</v>
      </c>
      <c r="AH254" s="192">
        <f>IF($E$254&lt;&gt;0,IF(OR(Calculations!AH$17=1,Calculations!AH18=1),AG254*(1+(AH14/AG14-1)*$E$253),0),0)</f>
        <v>15000</v>
      </c>
    </row>
    <row r="255" spans="1:64" s="8" customFormat="1" ht="14" x14ac:dyDescent="0.2">
      <c r="B255" s="215" t="s">
        <v>577</v>
      </c>
      <c r="D255" s="15"/>
      <c r="E255" s="180"/>
      <c r="F255" s="220"/>
      <c r="G255" s="183"/>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row>
    <row r="256" spans="1:64" s="8" customFormat="1" ht="14" x14ac:dyDescent="0.2">
      <c r="B256" s="211" t="s">
        <v>38</v>
      </c>
      <c r="D256" s="8" t="s">
        <v>15</v>
      </c>
      <c r="E256" s="188">
        <f>IF(E244=2,0,F256/100)</f>
        <v>1</v>
      </c>
      <c r="F256" s="220">
        <v>100</v>
      </c>
      <c r="G256" s="183"/>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row>
    <row r="257" spans="2:65" s="20" customFormat="1" ht="14" x14ac:dyDescent="0.2">
      <c r="B257" s="216" t="s">
        <v>378</v>
      </c>
      <c r="D257" s="10" t="str">
        <f>'Assumptions - General'!$E$27&amp;" per staff member"</f>
        <v>R$ per staff member</v>
      </c>
      <c r="E257" s="192">
        <f>IF(E251&gt;0,(E251/E14)*1000000,0)</f>
        <v>66666.666666666672</v>
      </c>
      <c r="F257" s="192">
        <f>E257*(1+F258)*IF($E$244=1,($E256*'Assumptions - General'!F37+1),1)</f>
        <v>68666.666666666672</v>
      </c>
      <c r="G257" s="192">
        <f>F257*(1+G258)*IF($E$244=1,($E256*'Assumptions - General'!G37+1),1)</f>
        <v>70726.666666666672</v>
      </c>
      <c r="H257" s="192">
        <f>G257*(1+H258)*IF($E$244=1,($E256*'Assumptions - General'!H37+1),1)</f>
        <v>72848.466666666674</v>
      </c>
      <c r="I257" s="192">
        <f>H257*(1+I258)*IF($E$244=1,($E256*'Assumptions - General'!I37+1),1)</f>
        <v>75033.920666666672</v>
      </c>
      <c r="J257" s="192">
        <f>I257*(1+J258)*IF($E$244=1,($E256*'Assumptions - General'!J37+1),1)</f>
        <v>77284.938286666671</v>
      </c>
      <c r="K257" s="192">
        <f>J257*(1+K258)*IF($E$244=1,($E256*'Assumptions - General'!K37+1),1)</f>
        <v>79603.486435266677</v>
      </c>
      <c r="L257" s="192">
        <f>K257*(1+L258)*IF($E$244=1,($E256*'Assumptions - General'!L37+1),1)</f>
        <v>81991.591028324678</v>
      </c>
      <c r="M257" s="192">
        <f>L257*(1+M258)*IF($E$244=1,($E256*'Assumptions - General'!M37+1),1)</f>
        <v>84451.338759174425</v>
      </c>
      <c r="N257" s="192">
        <f>M257*(1+N258)*IF($E$244=1,($E256*'Assumptions - General'!N37+1),1)</f>
        <v>86984.878921949654</v>
      </c>
      <c r="O257" s="192">
        <f>N257*(1+O258)*IF($E$244=1,($E256*'Assumptions - General'!O37+1),1)</f>
        <v>89594.425289608145</v>
      </c>
      <c r="P257" s="192">
        <f>O257*(1+P258)*IF($E$244=1,($E256*'Assumptions - General'!P37+1),1)</f>
        <v>92282.258048296397</v>
      </c>
      <c r="Q257" s="192">
        <f>P257*(1+Q258)*IF($E$244=1,($E256*'Assumptions - General'!Q37+1),1)</f>
        <v>95050.725789745295</v>
      </c>
      <c r="R257" s="192">
        <f>Q257*(1+R258)*IF($E$244=1,($E256*'Assumptions - General'!R37+1),1)</f>
        <v>97902.247563437661</v>
      </c>
      <c r="S257" s="192">
        <f>R257*(1+S258)*IF($E$244=1,($E256*'Assumptions - General'!S37+1),1)</f>
        <v>100839.31499034079</v>
      </c>
      <c r="T257" s="192">
        <f>S257*(1+T258)*IF($E$244=1,($E256*'Assumptions - General'!T37+1),1)</f>
        <v>103864.49444005101</v>
      </c>
      <c r="U257" s="192">
        <f>T257*(1+U258)*IF($E$244=1,($E256*'Assumptions - General'!U37+1),1)</f>
        <v>106980.42927325255</v>
      </c>
      <c r="V257" s="192">
        <f>U257*(1+V258)*IF($E$244=1,($E256*'Assumptions - General'!V37+1),1)</f>
        <v>110189.84215145012</v>
      </c>
      <c r="W257" s="192">
        <f>V257*(1+W258)*IF($E$244=1,($E256*'Assumptions - General'!W37+1),1)</f>
        <v>113495.53741599363</v>
      </c>
      <c r="X257" s="192">
        <f>W257*(1+X258)*IF($E$244=1,($E256*'Assumptions - General'!X37+1),1)</f>
        <v>116900.40353847345</v>
      </c>
      <c r="Y257" s="192">
        <f>X257*(1+Y258)*IF($E$244=1,($E256*'Assumptions - General'!Y37+1),1)</f>
        <v>120407.41564462765</v>
      </c>
      <c r="Z257" s="192">
        <f>Y257*(1+Z258)*IF($E$244=1,($E256*'Assumptions - General'!Z37+1),1)</f>
        <v>124019.63811396647</v>
      </c>
      <c r="AA257" s="192">
        <f>Z257*(1+AA258)*IF($E$244=1,($E256*'Assumptions - General'!AA37+1),1)</f>
        <v>127740.22725738547</v>
      </c>
      <c r="AB257" s="192">
        <f>AA257*(1+AB258)*IF($E$244=1,($E256*'Assumptions - General'!AB37+1),1)</f>
        <v>131572.43407510704</v>
      </c>
      <c r="AC257" s="192">
        <f>AB257*(1+AC258)*IF($E$244=1,($E256*'Assumptions - General'!AC37+1),1)</f>
        <v>135519.60709736025</v>
      </c>
      <c r="AD257" s="192">
        <f>AC257*(1+AD258)*IF($E$244=1,($E256*'Assumptions - General'!AD37+1),1)</f>
        <v>139585.19531028107</v>
      </c>
      <c r="AE257" s="192">
        <f>AD257*(1+AE258)*IF($E$244=1,($E256*'Assumptions - General'!AE37+1),1)</f>
        <v>143772.75116958949</v>
      </c>
      <c r="AF257" s="192">
        <f>AE257*(1+AF258)*IF($E$244=1,($E256*'Assumptions - General'!AF37+1),1)</f>
        <v>148085.93370467718</v>
      </c>
      <c r="AG257" s="192">
        <f>AF257*(1+AG258)*IF($E$244=1,($E256*'Assumptions - General'!AG37+1),1)</f>
        <v>152528.5117158175</v>
      </c>
      <c r="AH257" s="192">
        <f>AG257*(1+AH258)*IF($E$244=1,($E256*'Assumptions - General'!AH37+1),1)</f>
        <v>157104.36706729201</v>
      </c>
    </row>
    <row r="258" spans="2:65" x14ac:dyDescent="0.2">
      <c r="B258" s="30" t="s">
        <v>401</v>
      </c>
      <c r="D258" s="15" t="s">
        <v>15</v>
      </c>
      <c r="E258" s="190"/>
      <c r="F258" s="188">
        <v>0</v>
      </c>
      <c r="G258" s="188">
        <v>0</v>
      </c>
      <c r="H258" s="188">
        <v>0</v>
      </c>
      <c r="I258" s="188">
        <v>0</v>
      </c>
      <c r="J258" s="188">
        <v>0</v>
      </c>
      <c r="K258" s="188">
        <v>0</v>
      </c>
      <c r="L258" s="188">
        <v>0</v>
      </c>
      <c r="M258" s="188">
        <v>0</v>
      </c>
      <c r="N258" s="188">
        <v>0</v>
      </c>
      <c r="O258" s="188">
        <v>0</v>
      </c>
      <c r="P258" s="188">
        <v>0</v>
      </c>
      <c r="Q258" s="188">
        <v>0</v>
      </c>
      <c r="R258" s="188">
        <v>0</v>
      </c>
      <c r="S258" s="188">
        <v>0</v>
      </c>
      <c r="T258" s="188">
        <v>0</v>
      </c>
      <c r="U258" s="188">
        <v>0</v>
      </c>
      <c r="V258" s="188">
        <v>0</v>
      </c>
      <c r="W258" s="188">
        <v>0</v>
      </c>
      <c r="X258" s="188">
        <v>0</v>
      </c>
      <c r="Y258" s="188">
        <v>0</v>
      </c>
      <c r="Z258" s="188">
        <v>0</v>
      </c>
      <c r="AA258" s="188">
        <v>0</v>
      </c>
      <c r="AB258" s="188">
        <v>0</v>
      </c>
      <c r="AC258" s="188">
        <v>0</v>
      </c>
      <c r="AD258" s="188">
        <v>0</v>
      </c>
      <c r="AE258" s="188">
        <v>0</v>
      </c>
      <c r="AF258" s="188">
        <v>0</v>
      </c>
      <c r="AG258" s="188">
        <v>0</v>
      </c>
      <c r="AH258" s="188">
        <v>0</v>
      </c>
    </row>
    <row r="259" spans="2:65" s="18" customFormat="1" x14ac:dyDescent="0.2">
      <c r="B259" s="32"/>
      <c r="D259" s="81"/>
      <c r="E259" s="204"/>
      <c r="F259" s="180"/>
      <c r="G259" s="180"/>
      <c r="H259" s="180"/>
      <c r="I259" s="180"/>
      <c r="J259" s="180"/>
      <c r="K259" s="180"/>
      <c r="L259" s="180"/>
      <c r="M259" s="180"/>
      <c r="N259" s="180"/>
      <c r="O259" s="180"/>
      <c r="P259" s="180"/>
      <c r="Q259" s="180"/>
      <c r="R259" s="180"/>
      <c r="S259" s="180"/>
      <c r="T259" s="180"/>
      <c r="U259" s="180"/>
      <c r="V259" s="180"/>
      <c r="W259" s="180"/>
      <c r="X259" s="180"/>
      <c r="Y259" s="180"/>
      <c r="Z259" s="180"/>
      <c r="AA259" s="180"/>
      <c r="AB259" s="180"/>
      <c r="AC259" s="180"/>
      <c r="AD259" s="180"/>
      <c r="AE259" s="180"/>
      <c r="AF259" s="180"/>
      <c r="AG259" s="180"/>
      <c r="AH259" s="180"/>
    </row>
    <row r="260" spans="2:65" s="8" customFormat="1" ht="14" x14ac:dyDescent="0.2">
      <c r="B260" s="21" t="s">
        <v>40</v>
      </c>
      <c r="E260" s="182"/>
      <c r="F260" s="220"/>
      <c r="G260" s="183"/>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row>
    <row r="261" spans="2:65" s="8" customFormat="1" ht="14" x14ac:dyDescent="0.2">
      <c r="B261" s="14" t="s">
        <v>377</v>
      </c>
      <c r="D261" s="10" t="str">
        <f>'Assumptions - General'!$E$27 &amp;" millions"</f>
        <v>R$ millions</v>
      </c>
      <c r="E261" s="176">
        <v>500</v>
      </c>
      <c r="F261" s="183"/>
      <c r="G261" s="183"/>
      <c r="H261" s="183"/>
      <c r="I261" s="183"/>
      <c r="J261" s="183"/>
      <c r="K261" s="183"/>
      <c r="L261" s="183"/>
      <c r="M261" s="183"/>
      <c r="N261" s="183"/>
      <c r="O261" s="183"/>
      <c r="P261" s="183"/>
      <c r="Q261" s="183"/>
      <c r="R261" s="183"/>
      <c r="S261" s="183"/>
      <c r="T261" s="183"/>
      <c r="U261" s="183"/>
      <c r="V261" s="183"/>
      <c r="W261" s="183"/>
      <c r="X261" s="183"/>
      <c r="Y261" s="183"/>
      <c r="Z261" s="183"/>
      <c r="AA261" s="183"/>
      <c r="AB261" s="183"/>
      <c r="AC261" s="183"/>
      <c r="AD261" s="183"/>
      <c r="AE261" s="183"/>
      <c r="AF261" s="183"/>
      <c r="AG261" s="183"/>
      <c r="AH261" s="183"/>
    </row>
    <row r="262" spans="2:65" s="8" customFormat="1" ht="14" x14ac:dyDescent="0.2">
      <c r="B262" s="215" t="s">
        <v>380</v>
      </c>
      <c r="E262" s="193"/>
      <c r="F262" s="219"/>
      <c r="G262" s="219"/>
      <c r="H262" s="219"/>
      <c r="I262" s="219"/>
      <c r="J262" s="219"/>
      <c r="K262" s="219"/>
      <c r="L262" s="219"/>
      <c r="M262" s="219"/>
      <c r="N262" s="219"/>
      <c r="O262" s="219"/>
      <c r="P262" s="219"/>
      <c r="Q262" s="219"/>
      <c r="R262" s="219"/>
      <c r="S262" s="219"/>
      <c r="T262" s="219"/>
      <c r="U262" s="219"/>
      <c r="V262" s="219"/>
      <c r="W262" s="219"/>
      <c r="X262" s="219"/>
      <c r="Y262" s="219"/>
      <c r="Z262" s="219"/>
      <c r="AA262" s="219"/>
      <c r="AB262" s="219"/>
      <c r="AC262" s="219"/>
      <c r="AD262" s="219"/>
      <c r="AE262" s="219"/>
      <c r="AF262" s="219"/>
      <c r="AG262" s="219"/>
      <c r="AH262" s="219"/>
    </row>
    <row r="263" spans="2:65" s="8" customFormat="1" ht="14" x14ac:dyDescent="0.2">
      <c r="B263" s="211" t="s">
        <v>257</v>
      </c>
      <c r="D263" s="15" t="s">
        <v>15</v>
      </c>
      <c r="E263" s="188">
        <f>F263/100</f>
        <v>1</v>
      </c>
      <c r="F263" s="220">
        <v>100</v>
      </c>
      <c r="G263" s="183"/>
      <c r="H263" s="183"/>
      <c r="I263" s="183"/>
      <c r="J263" s="183"/>
      <c r="K263" s="183"/>
      <c r="L263" s="183"/>
      <c r="M263" s="183"/>
      <c r="N263" s="183"/>
      <c r="O263" s="183"/>
      <c r="P263" s="183"/>
      <c r="Q263" s="183"/>
      <c r="R263" s="183"/>
      <c r="S263" s="183"/>
      <c r="T263" s="183"/>
      <c r="U263" s="183"/>
      <c r="V263" s="183"/>
      <c r="W263" s="183"/>
      <c r="X263" s="183"/>
      <c r="Y263" s="183"/>
      <c r="Z263" s="183"/>
      <c r="AA263" s="183"/>
      <c r="AB263" s="183"/>
      <c r="AC263" s="183"/>
      <c r="AD263" s="183"/>
      <c r="AE263" s="183"/>
      <c r="AF263" s="183"/>
      <c r="AG263" s="183"/>
      <c r="AH263" s="183"/>
    </row>
    <row r="264" spans="2:65" s="8" customFormat="1" ht="14" x14ac:dyDescent="0.2">
      <c r="B264" s="215" t="s">
        <v>570</v>
      </c>
      <c r="D264" s="15"/>
      <c r="E264" s="180"/>
      <c r="F264" s="220"/>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20"/>
      <c r="BG264" s="20"/>
      <c r="BH264" s="20"/>
      <c r="BI264" s="20"/>
      <c r="BJ264" s="20"/>
      <c r="BK264" s="20"/>
      <c r="BL264" s="20"/>
      <c r="BM264" s="20"/>
    </row>
    <row r="265" spans="2:65" s="8" customFormat="1" ht="14" x14ac:dyDescent="0.2">
      <c r="B265" s="211" t="s">
        <v>38</v>
      </c>
      <c r="D265" s="8" t="s">
        <v>15</v>
      </c>
      <c r="E265" s="188">
        <f>IF(E244=2,0,F265/100)</f>
        <v>1</v>
      </c>
      <c r="F265" s="220">
        <v>100</v>
      </c>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20"/>
      <c r="AJ265" s="20"/>
      <c r="AK265" s="20"/>
      <c r="AL265" s="20"/>
      <c r="AM265" s="20"/>
      <c r="AN265" s="20"/>
      <c r="AO265" s="20"/>
      <c r="AP265" s="20"/>
      <c r="AQ265" s="20"/>
      <c r="AR265" s="20"/>
      <c r="AS265" s="20"/>
      <c r="AT265" s="20"/>
      <c r="AU265" s="20"/>
      <c r="AV265" s="20"/>
      <c r="AW265" s="20"/>
      <c r="AX265" s="20"/>
      <c r="AY265" s="20"/>
      <c r="AZ265" s="20"/>
      <c r="BA265" s="20"/>
      <c r="BB265" s="20"/>
      <c r="BC265" s="20"/>
      <c r="BD265" s="20"/>
      <c r="BE265" s="20"/>
      <c r="BF265" s="20"/>
      <c r="BG265" s="20"/>
      <c r="BH265" s="20"/>
      <c r="BI265" s="20"/>
      <c r="BJ265" s="20"/>
      <c r="BK265" s="20"/>
      <c r="BL265" s="20"/>
      <c r="BM265" s="20"/>
    </row>
    <row r="266" spans="2:65" s="20" customFormat="1" ht="14" x14ac:dyDescent="0.2">
      <c r="B266" s="216" t="s">
        <v>258</v>
      </c>
      <c r="D266" s="122" t="str">
        <f>'Assumptions - General'!$E$27 &amp;" per GTK"</f>
        <v>R$ per GTK</v>
      </c>
      <c r="E266" s="214">
        <f>IF(E261&gt;0,E261/(SUM(Calculations!E628:E630)),0)</f>
        <v>1.6666666666666666E-2</v>
      </c>
      <c r="F266" s="214">
        <f>E266*(1+F267)*IF($E$244=1,($E265*'Assumptions - General'!F$37+1),1)</f>
        <v>1.7166666666666667E-2</v>
      </c>
      <c r="G266" s="214">
        <f>F266*(1+G267)*IF($E$244=1,($E265*'Assumptions - General'!G$37+1),1)</f>
        <v>1.7681666666666668E-2</v>
      </c>
      <c r="H266" s="214">
        <f>G266*(1+H267)*IF($E$244=1,($E265*'Assumptions - General'!H$37+1),1)</f>
        <v>1.821211666666667E-2</v>
      </c>
      <c r="I266" s="214">
        <f>H266*(1+I267)*IF($E$244=1,($E265*'Assumptions - General'!I$37+1),1)</f>
        <v>1.8758480166666671E-2</v>
      </c>
      <c r="J266" s="214">
        <f>I266*(1+J267)*IF($E$244=1,($E265*'Assumptions - General'!J$37+1),1)</f>
        <v>1.9321234571666672E-2</v>
      </c>
      <c r="K266" s="214">
        <f>J266*(1+K267)*IF($E$244=1,($E265*'Assumptions - General'!K$37+1),1)</f>
        <v>1.9900871608816671E-2</v>
      </c>
      <c r="L266" s="214">
        <f>K266*(1+L267)*IF($E$244=1,($E265*'Assumptions - General'!L$37+1),1)</f>
        <v>2.0497897757081173E-2</v>
      </c>
      <c r="M266" s="214">
        <f>L266*(1+M267)*IF($E$244=1,($E265*'Assumptions - General'!M$37+1),1)</f>
        <v>2.1112834689793608E-2</v>
      </c>
      <c r="N266" s="214">
        <f>M266*(1+N267)*IF($E$244=1,($E265*'Assumptions - General'!N$37+1),1)</f>
        <v>2.1746219730487418E-2</v>
      </c>
      <c r="O266" s="214">
        <f>N266*(1+O267)*IF($E$244=1,($E265*'Assumptions - General'!O$37+1),1)</f>
        <v>2.2398606322402041E-2</v>
      </c>
      <c r="P266" s="214">
        <f>O266*(1+P267)*IF($E$244=1,($E265*'Assumptions - General'!P$37+1),1)</f>
        <v>2.3070564512074104E-2</v>
      </c>
      <c r="Q266" s="214">
        <f>P266*(1+Q267)*IF($E$244=1,($E265*'Assumptions - General'!Q$37+1),1)</f>
        <v>2.3762681447436328E-2</v>
      </c>
      <c r="R266" s="214">
        <f>Q266*(1+R267)*IF($E$244=1,($E265*'Assumptions - General'!R$37+1),1)</f>
        <v>2.4475561890859417E-2</v>
      </c>
      <c r="S266" s="214">
        <f>R266*(1+S267)*IF($E$244=1,($E265*'Assumptions - General'!S$37+1),1)</f>
        <v>2.5209828747585202E-2</v>
      </c>
      <c r="T266" s="214">
        <f>S266*(1+T267)*IF($E$244=1,($E265*'Assumptions - General'!T$37+1),1)</f>
        <v>2.596612361001276E-2</v>
      </c>
      <c r="U266" s="214">
        <f>T266*(1+U267)*IF($E$244=1,($E265*'Assumptions - General'!U$37+1),1)</f>
        <v>2.6745107318313144E-2</v>
      </c>
      <c r="V266" s="214">
        <f>U266*(1+V267)*IF($E$244=1,($E265*'Assumptions - General'!V$37+1),1)</f>
        <v>2.7547460537862539E-2</v>
      </c>
      <c r="W266" s="214">
        <f>V266*(1+W267)*IF($E$244=1,($E265*'Assumptions - General'!W$37+1),1)</f>
        <v>2.8373884353998416E-2</v>
      </c>
      <c r="X266" s="214">
        <f>W266*(1+X267)*IF($E$244=1,($E265*'Assumptions - General'!X$37+1),1)</f>
        <v>2.9225100884618369E-2</v>
      </c>
      <c r="Y266" s="214">
        <f>X266*(1+Y267)*IF($E$244=1,($E265*'Assumptions - General'!Y$37+1),1)</f>
        <v>3.0101853911156922E-2</v>
      </c>
      <c r="Z266" s="214">
        <f>Y266*(1+Z267)*IF($E$244=1,($E265*'Assumptions - General'!Z$37+1),1)</f>
        <v>3.100490952849163E-2</v>
      </c>
      <c r="AA266" s="214">
        <f>Z266*(1+AA267)*IF($E$244=1,($E265*'Assumptions - General'!AA$37+1),1)</f>
        <v>3.1935056814346378E-2</v>
      </c>
      <c r="AB266" s="214">
        <f>AA266*(1+AB267)*IF($E$244=1,($E265*'Assumptions - General'!AB$37+1),1)</f>
        <v>3.2893108518776769E-2</v>
      </c>
      <c r="AC266" s="214">
        <f>AB266*(1+AC267)*IF($E$244=1,($E265*'Assumptions - General'!AC$37+1),1)</f>
        <v>3.3879901774340075E-2</v>
      </c>
      <c r="AD266" s="214">
        <f>AC266*(1+AD267)*IF($E$244=1,($E265*'Assumptions - General'!AD$37+1),1)</f>
        <v>3.4896298827570275E-2</v>
      </c>
      <c r="AE266" s="214">
        <f>AD266*(1+AE267)*IF($E$244=1,($E265*'Assumptions - General'!AE$37+1),1)</f>
        <v>3.5943187792397385E-2</v>
      </c>
      <c r="AF266" s="214">
        <f>AE266*(1+AF267)*IF($E$244=1,($E265*'Assumptions - General'!AF$37+1),1)</f>
        <v>3.7021483426169309E-2</v>
      </c>
      <c r="AG266" s="214">
        <f>AF266*(1+AG267)*IF($E$244=1,($E265*'Assumptions - General'!AG$37+1),1)</f>
        <v>3.8132127928954387E-2</v>
      </c>
      <c r="AH266" s="214">
        <f>AG266*(1+AH267)*IF($E$244=1,($E265*'Assumptions - General'!AH$37+1),1)</f>
        <v>3.9276091766823021E-2</v>
      </c>
    </row>
    <row r="267" spans="2:65" x14ac:dyDescent="0.2">
      <c r="B267" s="30" t="s">
        <v>401</v>
      </c>
      <c r="D267" s="15" t="s">
        <v>15</v>
      </c>
      <c r="E267" s="190"/>
      <c r="F267" s="188">
        <v>0</v>
      </c>
      <c r="G267" s="188">
        <v>0</v>
      </c>
      <c r="H267" s="188">
        <v>0</v>
      </c>
      <c r="I267" s="188">
        <v>0</v>
      </c>
      <c r="J267" s="188">
        <v>0</v>
      </c>
      <c r="K267" s="188">
        <v>0</v>
      </c>
      <c r="L267" s="188">
        <v>0</v>
      </c>
      <c r="M267" s="188">
        <v>0</v>
      </c>
      <c r="N267" s="188">
        <v>0</v>
      </c>
      <c r="O267" s="188">
        <v>0</v>
      </c>
      <c r="P267" s="188">
        <v>0</v>
      </c>
      <c r="Q267" s="188">
        <v>0</v>
      </c>
      <c r="R267" s="188">
        <v>0</v>
      </c>
      <c r="S267" s="188">
        <v>0</v>
      </c>
      <c r="T267" s="188">
        <v>0</v>
      </c>
      <c r="U267" s="188">
        <v>0</v>
      </c>
      <c r="V267" s="188">
        <v>0</v>
      </c>
      <c r="W267" s="188">
        <v>0</v>
      </c>
      <c r="X267" s="188">
        <v>0</v>
      </c>
      <c r="Y267" s="188">
        <v>0</v>
      </c>
      <c r="Z267" s="188">
        <v>0</v>
      </c>
      <c r="AA267" s="188">
        <v>0</v>
      </c>
      <c r="AB267" s="188">
        <v>0</v>
      </c>
      <c r="AC267" s="188">
        <v>0</v>
      </c>
      <c r="AD267" s="188">
        <v>0</v>
      </c>
      <c r="AE267" s="188">
        <v>0</v>
      </c>
      <c r="AF267" s="188">
        <v>0</v>
      </c>
      <c r="AG267" s="188">
        <v>0</v>
      </c>
      <c r="AH267" s="188">
        <v>0</v>
      </c>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row>
    <row r="268" spans="2:65" s="18" customFormat="1" x14ac:dyDescent="0.2">
      <c r="B268" s="32"/>
      <c r="D268" s="81"/>
      <c r="E268" s="204"/>
      <c r="F268" s="180"/>
      <c r="G268" s="180"/>
      <c r="H268" s="180"/>
      <c r="I268" s="180"/>
      <c r="J268" s="180"/>
      <c r="K268" s="180"/>
      <c r="L268" s="180"/>
      <c r="M268" s="180"/>
      <c r="N268" s="180"/>
      <c r="O268" s="180"/>
      <c r="P268" s="180"/>
      <c r="Q268" s="180"/>
      <c r="R268" s="180"/>
      <c r="S268" s="180"/>
      <c r="T268" s="180"/>
      <c r="U268" s="180"/>
      <c r="V268" s="180"/>
      <c r="W268" s="180"/>
      <c r="X268" s="180"/>
      <c r="Y268" s="180"/>
      <c r="Z268" s="180"/>
      <c r="AA268" s="180"/>
      <c r="AB268" s="180"/>
      <c r="AC268" s="180"/>
      <c r="AD268" s="180"/>
      <c r="AE268" s="180"/>
      <c r="AF268" s="180"/>
      <c r="AG268" s="180"/>
      <c r="AH268" s="180"/>
    </row>
    <row r="269" spans="2:65" s="8" customFormat="1" ht="14" x14ac:dyDescent="0.2">
      <c r="B269" s="21" t="s">
        <v>41</v>
      </c>
      <c r="E269" s="182"/>
      <c r="F269" s="220"/>
      <c r="G269" s="183"/>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0"/>
      <c r="BJ269" s="20"/>
      <c r="BK269" s="20"/>
      <c r="BL269" s="20"/>
      <c r="BM269" s="20"/>
    </row>
    <row r="270" spans="2:65" s="8" customFormat="1" ht="14" x14ac:dyDescent="0.2">
      <c r="B270" s="14" t="s">
        <v>377</v>
      </c>
      <c r="D270" s="10" t="str">
        <f>'Assumptions - General'!$E$27 &amp;" millions"</f>
        <v>R$ millions</v>
      </c>
      <c r="E270" s="176">
        <v>500</v>
      </c>
      <c r="F270" s="183"/>
      <c r="G270" s="183"/>
      <c r="H270" s="183"/>
      <c r="I270" s="183"/>
      <c r="J270" s="183"/>
      <c r="K270" s="183"/>
      <c r="L270" s="183"/>
      <c r="M270" s="183"/>
      <c r="N270" s="183"/>
      <c r="O270" s="183"/>
      <c r="P270" s="183"/>
      <c r="Q270" s="183"/>
      <c r="R270" s="183"/>
      <c r="S270" s="183"/>
      <c r="T270" s="183"/>
      <c r="U270" s="183"/>
      <c r="V270" s="183"/>
      <c r="W270" s="183"/>
      <c r="X270" s="183"/>
      <c r="Y270" s="183"/>
      <c r="Z270" s="183"/>
      <c r="AA270" s="183"/>
      <c r="AB270" s="183"/>
      <c r="AC270" s="183"/>
      <c r="AD270" s="183"/>
      <c r="AE270" s="183"/>
      <c r="AF270" s="183"/>
      <c r="AG270" s="183"/>
      <c r="AH270" s="183"/>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20"/>
      <c r="BG270" s="20"/>
      <c r="BH270" s="20"/>
      <c r="BI270" s="20"/>
      <c r="BJ270" s="20"/>
      <c r="BK270" s="20"/>
      <c r="BL270" s="20"/>
      <c r="BM270" s="20"/>
    </row>
    <row r="271" spans="2:65" s="8" customFormat="1" ht="14" x14ac:dyDescent="0.2">
      <c r="B271" s="215" t="s">
        <v>381</v>
      </c>
      <c r="E271" s="193"/>
      <c r="F271" s="219"/>
      <c r="G271" s="219"/>
      <c r="H271" s="219"/>
      <c r="I271" s="219"/>
      <c r="J271" s="219"/>
      <c r="K271" s="219"/>
      <c r="L271" s="219"/>
      <c r="M271" s="219"/>
      <c r="N271" s="219"/>
      <c r="O271" s="219"/>
      <c r="P271" s="219"/>
      <c r="Q271" s="219"/>
      <c r="R271" s="219"/>
      <c r="S271" s="219"/>
      <c r="T271" s="219"/>
      <c r="U271" s="219"/>
      <c r="V271" s="219"/>
      <c r="W271" s="219"/>
      <c r="X271" s="219"/>
      <c r="Y271" s="219"/>
      <c r="Z271" s="219"/>
      <c r="AA271" s="219"/>
      <c r="AB271" s="219"/>
      <c r="AC271" s="219"/>
      <c r="AD271" s="219"/>
      <c r="AE271" s="219"/>
      <c r="AF271" s="219"/>
      <c r="AG271" s="219"/>
      <c r="AH271" s="219"/>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20"/>
      <c r="BG271" s="20"/>
      <c r="BH271" s="20"/>
      <c r="BI271" s="20"/>
      <c r="BJ271" s="20"/>
      <c r="BK271" s="20"/>
      <c r="BL271" s="20"/>
      <c r="BM271" s="20"/>
    </row>
    <row r="272" spans="2:65" s="8" customFormat="1" ht="14" x14ac:dyDescent="0.2">
      <c r="B272" s="211" t="s">
        <v>259</v>
      </c>
      <c r="D272" s="15" t="s">
        <v>15</v>
      </c>
      <c r="E272" s="188">
        <f>F272/100</f>
        <v>1</v>
      </c>
      <c r="F272" s="220">
        <v>100</v>
      </c>
      <c r="G272" s="183"/>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20"/>
      <c r="AJ272" s="20"/>
      <c r="AK272" s="20"/>
      <c r="AL272" s="20"/>
      <c r="AM272" s="20"/>
      <c r="AN272" s="20"/>
      <c r="AO272" s="20"/>
      <c r="AP272" s="20"/>
      <c r="AQ272" s="20"/>
      <c r="AR272" s="20"/>
      <c r="AS272" s="20"/>
      <c r="AT272" s="20"/>
      <c r="AU272" s="20"/>
      <c r="AV272" s="20"/>
      <c r="AW272" s="20"/>
      <c r="AX272" s="20"/>
      <c r="AY272" s="20"/>
      <c r="AZ272" s="20"/>
      <c r="BA272" s="20"/>
      <c r="BB272" s="20"/>
      <c r="BC272" s="20"/>
      <c r="BD272" s="20"/>
      <c r="BE272" s="20"/>
      <c r="BF272" s="20"/>
      <c r="BG272" s="20"/>
      <c r="BH272" s="20"/>
      <c r="BI272" s="20"/>
      <c r="BJ272" s="20"/>
      <c r="BK272" s="20"/>
      <c r="BL272" s="20"/>
      <c r="BM272" s="20"/>
    </row>
    <row r="273" spans="1:65" s="8" customFormat="1" ht="14" x14ac:dyDescent="0.2">
      <c r="B273" s="215" t="s">
        <v>571</v>
      </c>
      <c r="D273" s="15"/>
      <c r="E273" s="180"/>
      <c r="F273" s="220"/>
      <c r="G273" s="183"/>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20"/>
      <c r="AJ273" s="20"/>
      <c r="AK273" s="20"/>
      <c r="AL273" s="20"/>
      <c r="AM273" s="20"/>
      <c r="AN273" s="20"/>
      <c r="AO273" s="20"/>
      <c r="AP273" s="20"/>
      <c r="AQ273" s="20"/>
      <c r="AR273" s="20"/>
      <c r="AS273" s="20"/>
      <c r="AT273" s="20"/>
      <c r="AU273" s="20"/>
      <c r="AV273" s="20"/>
      <c r="AW273" s="20"/>
      <c r="AX273" s="20"/>
      <c r="AY273" s="20"/>
      <c r="AZ273" s="20"/>
      <c r="BA273" s="20"/>
      <c r="BB273" s="20"/>
      <c r="BC273" s="20"/>
      <c r="BD273" s="20"/>
      <c r="BE273" s="20"/>
      <c r="BF273" s="20"/>
      <c r="BG273" s="20"/>
      <c r="BH273" s="20"/>
      <c r="BI273" s="20"/>
      <c r="BJ273" s="20"/>
      <c r="BK273" s="20"/>
      <c r="BL273" s="20"/>
      <c r="BM273" s="20"/>
    </row>
    <row r="274" spans="1:65" s="8" customFormat="1" ht="14" x14ac:dyDescent="0.2">
      <c r="B274" s="211" t="s">
        <v>38</v>
      </c>
      <c r="D274" s="8" t="s">
        <v>15</v>
      </c>
      <c r="E274" s="188">
        <f>IF(E244=2,0,F274/100)</f>
        <v>1</v>
      </c>
      <c r="F274" s="220">
        <v>100</v>
      </c>
      <c r="G274" s="183"/>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20"/>
      <c r="AJ274" s="20"/>
      <c r="AK274" s="20"/>
      <c r="AL274" s="20"/>
      <c r="AM274" s="20"/>
      <c r="AN274" s="20"/>
      <c r="AO274" s="20"/>
      <c r="AP274" s="20"/>
      <c r="AQ274" s="20"/>
      <c r="AR274" s="20"/>
      <c r="AS274" s="20"/>
      <c r="AT274" s="20"/>
      <c r="AU274" s="20"/>
      <c r="AV274" s="20"/>
      <c r="AW274" s="20"/>
      <c r="AX274" s="20"/>
      <c r="AY274" s="20"/>
      <c r="AZ274" s="20"/>
      <c r="BA274" s="20"/>
      <c r="BB274" s="20"/>
      <c r="BC274" s="20"/>
      <c r="BD274" s="20"/>
      <c r="BE274" s="20"/>
      <c r="BF274" s="20"/>
      <c r="BG274" s="20"/>
      <c r="BH274" s="20"/>
      <c r="BI274" s="20"/>
      <c r="BJ274" s="20"/>
      <c r="BK274" s="20"/>
      <c r="BL274" s="20"/>
      <c r="BM274" s="20"/>
    </row>
    <row r="275" spans="1:65" s="120" customFormat="1" ht="14" x14ac:dyDescent="0.2">
      <c r="A275" s="20"/>
      <c r="B275" s="216" t="s">
        <v>260</v>
      </c>
      <c r="C275" s="20"/>
      <c r="D275" s="122" t="str">
        <f>'Assumptions - General'!$E$27 &amp;" per GTK"</f>
        <v>R$ per GTK</v>
      </c>
      <c r="E275" s="214">
        <f>IF(E270&gt;0,E270/(SUM(Calculations!E$628:E$630)*'Assumptions - Passenger'!E18),0)</f>
        <v>3.3333333333333333E-2</v>
      </c>
      <c r="F275" s="214">
        <f>E275*(1+F276)*IF($E$244=1,($E274*'Assumptions - General'!F$37+1),1)</f>
        <v>3.4333333333333334E-2</v>
      </c>
      <c r="G275" s="214">
        <f>F275*(1+G276)*IF($E$244=1,($E274*'Assumptions - General'!G$37+1),1)</f>
        <v>3.5363333333333337E-2</v>
      </c>
      <c r="H275" s="214">
        <f>G275*(1+H276)*IF($E$244=1,($E274*'Assumptions - General'!H$37+1),1)</f>
        <v>3.642423333333334E-2</v>
      </c>
      <c r="I275" s="214">
        <f>H275*(1+I276)*IF($E$244=1,($E274*'Assumptions - General'!I$37+1),1)</f>
        <v>3.7516960333333342E-2</v>
      </c>
      <c r="J275" s="214">
        <f>I275*(1+J276)*IF($E$244=1,($E274*'Assumptions - General'!J$37+1),1)</f>
        <v>3.8642469143333344E-2</v>
      </c>
      <c r="K275" s="214">
        <f>J275*(1+K276)*IF($E$244=1,($E274*'Assumptions - General'!K$37+1),1)</f>
        <v>3.9801743217633342E-2</v>
      </c>
      <c r="L275" s="214">
        <f>K275*(1+L276)*IF($E$244=1,($E274*'Assumptions - General'!L$37+1),1)</f>
        <v>4.0995795514162346E-2</v>
      </c>
      <c r="M275" s="214">
        <f>L275*(1+M276)*IF($E$244=1,($E274*'Assumptions - General'!M$37+1),1)</f>
        <v>4.2225669379587216E-2</v>
      </c>
      <c r="N275" s="214">
        <f>M275*(1+N276)*IF($E$244=1,($E274*'Assumptions - General'!N$37+1),1)</f>
        <v>4.3492439460974835E-2</v>
      </c>
      <c r="O275" s="214">
        <f>N275*(1+O276)*IF($E$244=1,($E274*'Assumptions - General'!O$37+1),1)</f>
        <v>4.4797212644804081E-2</v>
      </c>
      <c r="P275" s="214">
        <f>O275*(1+P276)*IF($E$244=1,($E274*'Assumptions - General'!P$37+1),1)</f>
        <v>4.6141129024148207E-2</v>
      </c>
      <c r="Q275" s="214">
        <f>P275*(1+Q276)*IF($E$244=1,($E274*'Assumptions - General'!Q$37+1),1)</f>
        <v>4.7525362894872657E-2</v>
      </c>
      <c r="R275" s="214">
        <f>Q275*(1+R276)*IF($E$244=1,($E274*'Assumptions - General'!R$37+1),1)</f>
        <v>4.8951123781718835E-2</v>
      </c>
      <c r="S275" s="214">
        <f>R275*(1+S276)*IF($E$244=1,($E274*'Assumptions - General'!S$37+1),1)</f>
        <v>5.0419657495170404E-2</v>
      </c>
      <c r="T275" s="214">
        <f>S275*(1+T276)*IF($E$244=1,($E274*'Assumptions - General'!T$37+1),1)</f>
        <v>5.1932247220025519E-2</v>
      </c>
      <c r="U275" s="214">
        <f>T275*(1+U276)*IF($E$244=1,($E274*'Assumptions - General'!U$37+1),1)</f>
        <v>5.3490214636626288E-2</v>
      </c>
      <c r="V275" s="214">
        <f>U275*(1+V276)*IF($E$244=1,($E274*'Assumptions - General'!V$37+1),1)</f>
        <v>5.5094921075725077E-2</v>
      </c>
      <c r="W275" s="214">
        <f>V275*(1+W276)*IF($E$244=1,($E274*'Assumptions - General'!W$37+1),1)</f>
        <v>5.6747768707996832E-2</v>
      </c>
      <c r="X275" s="214">
        <f>W275*(1+X276)*IF($E$244=1,($E274*'Assumptions - General'!X$37+1),1)</f>
        <v>5.8450201769236737E-2</v>
      </c>
      <c r="Y275" s="214">
        <f>X275*(1+Y276)*IF($E$244=1,($E274*'Assumptions - General'!Y$37+1),1)</f>
        <v>6.0203707822313844E-2</v>
      </c>
      <c r="Z275" s="214">
        <f>Y275*(1+Z276)*IF($E$244=1,($E274*'Assumptions - General'!Z$37+1),1)</f>
        <v>6.2009819056983259E-2</v>
      </c>
      <c r="AA275" s="214">
        <f>Z275*(1+AA276)*IF($E$244=1,($E274*'Assumptions - General'!AA$37+1),1)</f>
        <v>6.3870113628692757E-2</v>
      </c>
      <c r="AB275" s="214">
        <f>AA275*(1+AB276)*IF($E$244=1,($E274*'Assumptions - General'!AB$37+1),1)</f>
        <v>6.5786217037553538E-2</v>
      </c>
      <c r="AC275" s="214">
        <f>AB275*(1+AC276)*IF($E$244=1,($E274*'Assumptions - General'!AC$37+1),1)</f>
        <v>6.775980354868015E-2</v>
      </c>
      <c r="AD275" s="214">
        <f>AC275*(1+AD276)*IF($E$244=1,($E274*'Assumptions - General'!AD$37+1),1)</f>
        <v>6.9792597655140551E-2</v>
      </c>
      <c r="AE275" s="214">
        <f>AD275*(1+AE276)*IF($E$244=1,($E274*'Assumptions - General'!AE$37+1),1)</f>
        <v>7.1886375584794771E-2</v>
      </c>
      <c r="AF275" s="214">
        <f>AE275*(1+AF276)*IF($E$244=1,($E274*'Assumptions - General'!AF$37+1),1)</f>
        <v>7.4042966852338618E-2</v>
      </c>
      <c r="AG275" s="214">
        <f>AF275*(1+AG276)*IF($E$244=1,($E274*'Assumptions - General'!AG$37+1),1)</f>
        <v>7.6264255857908775E-2</v>
      </c>
      <c r="AH275" s="214">
        <f>AG275*(1+AH276)*IF($E$244=1,($E274*'Assumptions - General'!AH$37+1),1)</f>
        <v>7.8552183533646042E-2</v>
      </c>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20"/>
      <c r="BG275" s="20"/>
      <c r="BH275" s="20"/>
      <c r="BI275" s="20"/>
      <c r="BJ275" s="20"/>
      <c r="BK275" s="20"/>
      <c r="BL275" s="20"/>
      <c r="BM275" s="20"/>
    </row>
    <row r="276" spans="1:65" x14ac:dyDescent="0.2">
      <c r="B276" s="30" t="s">
        <v>401</v>
      </c>
      <c r="D276" s="15" t="s">
        <v>15</v>
      </c>
      <c r="E276" s="190"/>
      <c r="F276" s="188">
        <v>0</v>
      </c>
      <c r="G276" s="188">
        <v>0</v>
      </c>
      <c r="H276" s="188">
        <v>0</v>
      </c>
      <c r="I276" s="188">
        <v>0</v>
      </c>
      <c r="J276" s="188">
        <v>0</v>
      </c>
      <c r="K276" s="188">
        <v>0</v>
      </c>
      <c r="L276" s="188">
        <v>0</v>
      </c>
      <c r="M276" s="188">
        <v>0</v>
      </c>
      <c r="N276" s="188">
        <v>0</v>
      </c>
      <c r="O276" s="188">
        <v>0</v>
      </c>
      <c r="P276" s="188">
        <v>0</v>
      </c>
      <c r="Q276" s="188">
        <v>0</v>
      </c>
      <c r="R276" s="188">
        <v>0</v>
      </c>
      <c r="S276" s="188">
        <v>0</v>
      </c>
      <c r="T276" s="188">
        <v>0</v>
      </c>
      <c r="U276" s="188">
        <v>0</v>
      </c>
      <c r="V276" s="188">
        <v>0</v>
      </c>
      <c r="W276" s="188">
        <v>0</v>
      </c>
      <c r="X276" s="188">
        <v>0</v>
      </c>
      <c r="Y276" s="188">
        <v>0</v>
      </c>
      <c r="Z276" s="188">
        <v>0</v>
      </c>
      <c r="AA276" s="188">
        <v>0</v>
      </c>
      <c r="AB276" s="188">
        <v>0</v>
      </c>
      <c r="AC276" s="188">
        <v>0</v>
      </c>
      <c r="AD276" s="188">
        <v>0</v>
      </c>
      <c r="AE276" s="188">
        <v>0</v>
      </c>
      <c r="AF276" s="188">
        <v>0</v>
      </c>
      <c r="AG276" s="188">
        <v>0</v>
      </c>
      <c r="AH276" s="188">
        <v>0</v>
      </c>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row>
    <row r="277" spans="1:65" s="18" customFormat="1" x14ac:dyDescent="0.2">
      <c r="B277" s="32"/>
      <c r="D277" s="81"/>
      <c r="E277" s="204"/>
      <c r="F277" s="180"/>
      <c r="G277" s="180"/>
      <c r="H277" s="180"/>
      <c r="I277" s="180"/>
      <c r="J277" s="180"/>
      <c r="K277" s="180"/>
      <c r="L277" s="180"/>
      <c r="M277" s="180"/>
      <c r="N277" s="180"/>
      <c r="O277" s="180"/>
      <c r="P277" s="180"/>
      <c r="Q277" s="180"/>
      <c r="R277" s="180"/>
      <c r="S277" s="180"/>
      <c r="T277" s="180"/>
      <c r="U277" s="180"/>
      <c r="V277" s="180"/>
      <c r="W277" s="180"/>
      <c r="X277" s="180"/>
      <c r="Y277" s="180"/>
      <c r="Z277" s="180"/>
      <c r="AA277" s="180"/>
      <c r="AB277" s="180"/>
      <c r="AC277" s="180"/>
      <c r="AD277" s="180"/>
      <c r="AE277" s="180"/>
      <c r="AF277" s="180"/>
      <c r="AG277" s="180"/>
      <c r="AH277" s="180"/>
    </row>
    <row r="278" spans="1:65" s="8" customFormat="1" ht="14" x14ac:dyDescent="0.2">
      <c r="B278" s="21" t="s">
        <v>218</v>
      </c>
      <c r="E278" s="182"/>
      <c r="F278" s="220"/>
      <c r="G278" s="183"/>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20"/>
      <c r="BG278" s="20"/>
      <c r="BH278" s="20"/>
      <c r="BI278" s="20"/>
      <c r="BJ278" s="20"/>
      <c r="BK278" s="20"/>
      <c r="BL278" s="20"/>
      <c r="BM278" s="20"/>
    </row>
    <row r="279" spans="1:65" s="8" customFormat="1" ht="14" x14ac:dyDescent="0.2">
      <c r="B279" s="14" t="s">
        <v>377</v>
      </c>
      <c r="D279" s="10" t="str">
        <f>'Assumptions - General'!$E$27 &amp;" millions"</f>
        <v>R$ millions</v>
      </c>
      <c r="E279" s="176">
        <v>500</v>
      </c>
      <c r="F279" s="183"/>
      <c r="G279" s="183"/>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20"/>
      <c r="BG279" s="20"/>
      <c r="BH279" s="20"/>
      <c r="BI279" s="20"/>
      <c r="BJ279" s="20"/>
      <c r="BK279" s="20"/>
      <c r="BL279" s="20"/>
      <c r="BM279" s="20"/>
    </row>
    <row r="280" spans="1:65" s="8" customFormat="1" ht="14" x14ac:dyDescent="0.2">
      <c r="B280" s="215" t="s">
        <v>382</v>
      </c>
      <c r="E280" s="193"/>
      <c r="F280" s="219"/>
      <c r="G280" s="219"/>
      <c r="H280" s="219"/>
      <c r="I280" s="219"/>
      <c r="J280" s="219"/>
      <c r="K280" s="219"/>
      <c r="L280" s="219"/>
      <c r="M280" s="219"/>
      <c r="N280" s="219"/>
      <c r="O280" s="219"/>
      <c r="P280" s="219"/>
      <c r="Q280" s="219"/>
      <c r="R280" s="219"/>
      <c r="S280" s="219"/>
      <c r="T280" s="219"/>
      <c r="U280" s="219"/>
      <c r="V280" s="219"/>
      <c r="W280" s="219"/>
      <c r="X280" s="219"/>
      <c r="Y280" s="219"/>
      <c r="Z280" s="219"/>
      <c r="AA280" s="219"/>
      <c r="AB280" s="219"/>
      <c r="AC280" s="219"/>
      <c r="AD280" s="219"/>
      <c r="AE280" s="219"/>
      <c r="AF280" s="219"/>
      <c r="AG280" s="219"/>
      <c r="AH280" s="219"/>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20"/>
      <c r="BG280" s="20"/>
      <c r="BH280" s="20"/>
      <c r="BI280" s="20"/>
      <c r="BJ280" s="20"/>
      <c r="BK280" s="20"/>
      <c r="BL280" s="20"/>
      <c r="BM280" s="20"/>
    </row>
    <row r="281" spans="1:65" s="8" customFormat="1" ht="14" x14ac:dyDescent="0.2">
      <c r="B281" s="211" t="s">
        <v>261</v>
      </c>
      <c r="D281" s="15" t="s">
        <v>15</v>
      </c>
      <c r="E281" s="188">
        <f>F281/100</f>
        <v>1</v>
      </c>
      <c r="F281" s="220">
        <v>100</v>
      </c>
      <c r="G281" s="183"/>
      <c r="H281" s="183"/>
      <c r="I281" s="183"/>
      <c r="J281" s="183"/>
      <c r="K281" s="183"/>
      <c r="L281" s="183"/>
      <c r="M281" s="183"/>
      <c r="N281" s="183"/>
      <c r="O281" s="183"/>
      <c r="P281" s="183"/>
      <c r="Q281" s="183"/>
      <c r="R281" s="183"/>
      <c r="S281" s="183"/>
      <c r="T281" s="183"/>
      <c r="U281" s="183"/>
      <c r="V281" s="183"/>
      <c r="W281" s="183"/>
      <c r="X281" s="183"/>
      <c r="Y281" s="183"/>
      <c r="Z281" s="183"/>
      <c r="AA281" s="183"/>
      <c r="AB281" s="183"/>
      <c r="AC281" s="183"/>
      <c r="AD281" s="183"/>
      <c r="AE281" s="183"/>
      <c r="AF281" s="183"/>
      <c r="AG281" s="183"/>
      <c r="AH281" s="183"/>
      <c r="AI281" s="20"/>
      <c r="AJ281" s="20"/>
      <c r="AK281" s="20"/>
      <c r="AL281" s="20"/>
      <c r="AM281" s="20"/>
      <c r="AN281" s="20"/>
      <c r="AO281" s="20"/>
      <c r="AP281" s="20"/>
      <c r="AQ281" s="20"/>
      <c r="AR281" s="20"/>
      <c r="AS281" s="20"/>
      <c r="AT281" s="20"/>
      <c r="AU281" s="20"/>
      <c r="AV281" s="20"/>
      <c r="AW281" s="20"/>
      <c r="AX281" s="20"/>
      <c r="AY281" s="20"/>
      <c r="AZ281" s="20"/>
      <c r="BA281" s="20"/>
      <c r="BB281" s="20"/>
      <c r="BC281" s="20"/>
      <c r="BD281" s="20"/>
      <c r="BE281" s="20"/>
      <c r="BF281" s="20"/>
      <c r="BG281" s="20"/>
      <c r="BH281" s="20"/>
      <c r="BI281" s="20"/>
      <c r="BJ281" s="20"/>
      <c r="BK281" s="20"/>
      <c r="BL281" s="20"/>
      <c r="BM281" s="20"/>
    </row>
    <row r="282" spans="1:65" s="8" customFormat="1" ht="14" x14ac:dyDescent="0.2">
      <c r="B282" s="215" t="s">
        <v>578</v>
      </c>
      <c r="C282" s="14"/>
      <c r="D282" s="15"/>
      <c r="E282" s="180"/>
      <c r="F282" s="220"/>
      <c r="G282" s="183"/>
      <c r="H282" s="183"/>
      <c r="I282" s="183"/>
      <c r="J282" s="183"/>
      <c r="K282" s="183"/>
      <c r="L282" s="183"/>
      <c r="M282" s="183"/>
      <c r="N282" s="183"/>
      <c r="O282" s="183"/>
      <c r="P282" s="183"/>
      <c r="Q282" s="183"/>
      <c r="R282" s="183"/>
      <c r="S282" s="183"/>
      <c r="T282" s="183"/>
      <c r="U282" s="183"/>
      <c r="V282" s="183"/>
      <c r="W282" s="183"/>
      <c r="X282" s="183"/>
      <c r="Y282" s="183"/>
      <c r="Z282" s="183"/>
      <c r="AA282" s="183"/>
      <c r="AB282" s="183"/>
      <c r="AC282" s="183"/>
      <c r="AD282" s="183"/>
      <c r="AE282" s="183"/>
      <c r="AF282" s="183"/>
      <c r="AG282" s="183"/>
      <c r="AH282" s="183"/>
      <c r="AI282" s="20"/>
      <c r="AJ282" s="20"/>
      <c r="AK282" s="20"/>
      <c r="AL282" s="20"/>
      <c r="AM282" s="20"/>
      <c r="AN282" s="20"/>
      <c r="AO282" s="20"/>
      <c r="AP282" s="20"/>
      <c r="AQ282" s="20"/>
      <c r="AR282" s="20"/>
      <c r="AS282" s="20"/>
      <c r="AT282" s="20"/>
      <c r="AU282" s="20"/>
      <c r="AV282" s="20"/>
      <c r="AW282" s="20"/>
      <c r="AX282" s="20"/>
      <c r="AY282" s="20"/>
      <c r="AZ282" s="20"/>
      <c r="BA282" s="20"/>
      <c r="BB282" s="20"/>
      <c r="BC282" s="20"/>
      <c r="BD282" s="20"/>
      <c r="BE282" s="20"/>
      <c r="BF282" s="20"/>
      <c r="BG282" s="20"/>
      <c r="BH282" s="20"/>
      <c r="BI282" s="20"/>
      <c r="BJ282" s="20"/>
      <c r="BK282" s="20"/>
      <c r="BL282" s="20"/>
      <c r="BM282" s="20"/>
    </row>
    <row r="283" spans="1:65" s="8" customFormat="1" ht="14" x14ac:dyDescent="0.2">
      <c r="B283" s="211" t="s">
        <v>38</v>
      </c>
      <c r="D283" s="8" t="s">
        <v>15</v>
      </c>
      <c r="E283" s="188">
        <f>IF(E244=2,0,F283/100)</f>
        <v>1</v>
      </c>
      <c r="F283" s="220">
        <v>100</v>
      </c>
      <c r="G283" s="183"/>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c r="AI283" s="20"/>
      <c r="AJ283" s="20"/>
      <c r="AK283" s="20"/>
      <c r="AL283" s="20"/>
      <c r="AM283" s="20"/>
      <c r="AN283" s="20"/>
      <c r="AO283" s="20"/>
      <c r="AP283" s="20"/>
      <c r="AQ283" s="20"/>
      <c r="AR283" s="20"/>
      <c r="AS283" s="20"/>
      <c r="AT283" s="20"/>
      <c r="AU283" s="20"/>
      <c r="AV283" s="20"/>
      <c r="AW283" s="20"/>
      <c r="AX283" s="20"/>
      <c r="AY283" s="20"/>
      <c r="AZ283" s="20"/>
      <c r="BA283" s="20"/>
      <c r="BB283" s="20"/>
      <c r="BC283" s="20"/>
      <c r="BD283" s="20"/>
      <c r="BE283" s="20"/>
      <c r="BF283" s="20"/>
      <c r="BG283" s="20"/>
      <c r="BH283" s="20"/>
      <c r="BI283" s="20"/>
      <c r="BJ283" s="20"/>
      <c r="BK283" s="20"/>
      <c r="BL283" s="20"/>
      <c r="BM283" s="20"/>
    </row>
    <row r="284" spans="1:65" s="120" customFormat="1" ht="14" x14ac:dyDescent="0.2">
      <c r="A284" s="20"/>
      <c r="B284" s="216" t="s">
        <v>262</v>
      </c>
      <c r="C284" s="20"/>
      <c r="D284" s="122" t="str">
        <f>'Assumptions - General'!$E$27 &amp;" per GTK"</f>
        <v>R$ per GTK</v>
      </c>
      <c r="E284" s="214">
        <f>IF(E279&gt;0,E279/(SUM(Calculations!E$628:E$630)*'Assumptions - Passenger'!E16),0)</f>
        <v>3.3333333333333333E-2</v>
      </c>
      <c r="F284" s="214">
        <f>E284*(1+F285)*IF($E$244=1,($E283*'Assumptions - General'!F$37+1),1)</f>
        <v>3.4333333333333334E-2</v>
      </c>
      <c r="G284" s="214">
        <f>F284*(1+G285)*IF($E$244=1,($E283*'Assumptions - General'!G$37+1),1)</f>
        <v>3.5363333333333337E-2</v>
      </c>
      <c r="H284" s="214">
        <f>G284*(1+H285)*IF($E$244=1,($E283*'Assumptions - General'!H$37+1),1)</f>
        <v>3.642423333333334E-2</v>
      </c>
      <c r="I284" s="214">
        <f>H284*(1+I285)*IF($E$244=1,($E283*'Assumptions - General'!I$37+1),1)</f>
        <v>3.7516960333333342E-2</v>
      </c>
      <c r="J284" s="214">
        <f>I284*(1+J285)*IF($E$244=1,($E283*'Assumptions - General'!J$37+1),1)</f>
        <v>3.8642469143333344E-2</v>
      </c>
      <c r="K284" s="214">
        <f>J284*(1+K285)*IF($E$244=1,($E283*'Assumptions - General'!K$37+1),1)</f>
        <v>3.9801743217633342E-2</v>
      </c>
      <c r="L284" s="214">
        <f>K284*(1+L285)*IF($E$244=1,($E283*'Assumptions - General'!L$37+1),1)</f>
        <v>4.0995795514162346E-2</v>
      </c>
      <c r="M284" s="214">
        <f>L284*(1+M285)*IF($E$244=1,($E283*'Assumptions - General'!M$37+1),1)</f>
        <v>4.2225669379587216E-2</v>
      </c>
      <c r="N284" s="214">
        <f>M284*(1+N285)*IF($E$244=1,($E283*'Assumptions - General'!N$37+1),1)</f>
        <v>4.3492439460974835E-2</v>
      </c>
      <c r="O284" s="214">
        <f>N284*(1+O285)*IF($E$244=1,($E283*'Assumptions - General'!O$37+1),1)</f>
        <v>4.4797212644804081E-2</v>
      </c>
      <c r="P284" s="214">
        <f>O284*(1+P285)*IF($E$244=1,($E283*'Assumptions - General'!P$37+1),1)</f>
        <v>4.6141129024148207E-2</v>
      </c>
      <c r="Q284" s="214">
        <f>P284*(1+Q285)*IF($E$244=1,($E283*'Assumptions - General'!Q$37+1),1)</f>
        <v>4.7525362894872657E-2</v>
      </c>
      <c r="R284" s="214">
        <f>Q284*(1+R285)*IF($E$244=1,($E283*'Assumptions - General'!R$37+1),1)</f>
        <v>4.8951123781718835E-2</v>
      </c>
      <c r="S284" s="214">
        <f>R284*(1+S285)*IF($E$244=1,($E283*'Assumptions - General'!S$37+1),1)</f>
        <v>5.0419657495170404E-2</v>
      </c>
      <c r="T284" s="214">
        <f>S284*(1+T285)*IF($E$244=1,($E283*'Assumptions - General'!T$37+1),1)</f>
        <v>5.1932247220025519E-2</v>
      </c>
      <c r="U284" s="214">
        <f>T284*(1+U285)*IF($E$244=1,($E283*'Assumptions - General'!U$37+1),1)</f>
        <v>5.3490214636626288E-2</v>
      </c>
      <c r="V284" s="214">
        <f>U284*(1+V285)*IF($E$244=1,($E283*'Assumptions - General'!V$37+1),1)</f>
        <v>5.5094921075725077E-2</v>
      </c>
      <c r="W284" s="214">
        <f>V284*(1+W285)*IF($E$244=1,($E283*'Assumptions - General'!W$37+1),1)</f>
        <v>5.6747768707996832E-2</v>
      </c>
      <c r="X284" s="214">
        <f>W284*(1+X285)*IF($E$244=1,($E283*'Assumptions - General'!X$37+1),1)</f>
        <v>5.8450201769236737E-2</v>
      </c>
      <c r="Y284" s="214">
        <f>X284*(1+Y285)*IF($E$244=1,($E283*'Assumptions - General'!Y$37+1),1)</f>
        <v>6.0203707822313844E-2</v>
      </c>
      <c r="Z284" s="214">
        <f>Y284*(1+Z285)*IF($E$244=1,($E283*'Assumptions - General'!Z$37+1),1)</f>
        <v>6.2009819056983259E-2</v>
      </c>
      <c r="AA284" s="214">
        <f>Z284*(1+AA285)*IF($E$244=1,($E283*'Assumptions - General'!AA$37+1),1)</f>
        <v>6.3870113628692757E-2</v>
      </c>
      <c r="AB284" s="214">
        <f>AA284*(1+AB285)*IF($E$244=1,($E283*'Assumptions - General'!AB$37+1),1)</f>
        <v>6.5786217037553538E-2</v>
      </c>
      <c r="AC284" s="214">
        <f>AB284*(1+AC285)*IF($E$244=1,($E283*'Assumptions - General'!AC$37+1),1)</f>
        <v>6.775980354868015E-2</v>
      </c>
      <c r="AD284" s="214">
        <f>AC284*(1+AD285)*IF($E$244=1,($E283*'Assumptions - General'!AD$37+1),1)</f>
        <v>6.9792597655140551E-2</v>
      </c>
      <c r="AE284" s="214">
        <f>AD284*(1+AE285)*IF($E$244=1,($E283*'Assumptions - General'!AE$37+1),1)</f>
        <v>7.1886375584794771E-2</v>
      </c>
      <c r="AF284" s="214">
        <f>AE284*(1+AF285)*IF($E$244=1,($E283*'Assumptions - General'!AF$37+1),1)</f>
        <v>7.4042966852338618E-2</v>
      </c>
      <c r="AG284" s="214">
        <f>AF284*(1+AG285)*IF($E$244=1,($E283*'Assumptions - General'!AG$37+1),1)</f>
        <v>7.6264255857908775E-2</v>
      </c>
      <c r="AH284" s="214">
        <f>AG284*(1+AH285)*IF($E$244=1,($E283*'Assumptions - General'!AH$37+1),1)</f>
        <v>7.8552183533646042E-2</v>
      </c>
      <c r="AI284" s="20"/>
      <c r="AJ284" s="20"/>
      <c r="AK284" s="20"/>
      <c r="AL284" s="20"/>
      <c r="AM284" s="20"/>
      <c r="AN284" s="20"/>
      <c r="AO284" s="20"/>
      <c r="AP284" s="20"/>
      <c r="AQ284" s="20"/>
      <c r="AR284" s="20"/>
      <c r="AS284" s="20"/>
      <c r="AT284" s="20"/>
      <c r="AU284" s="20"/>
      <c r="AV284" s="20"/>
      <c r="AW284" s="20"/>
      <c r="AX284" s="20"/>
      <c r="AY284" s="20"/>
      <c r="AZ284" s="20"/>
      <c r="BA284" s="20"/>
      <c r="BB284" s="20"/>
      <c r="BC284" s="20"/>
      <c r="BD284" s="20"/>
      <c r="BE284" s="20"/>
      <c r="BF284" s="20"/>
      <c r="BG284" s="20"/>
      <c r="BH284" s="20"/>
      <c r="BI284" s="20"/>
      <c r="BJ284" s="20"/>
      <c r="BK284" s="20"/>
      <c r="BL284" s="20"/>
      <c r="BM284" s="20"/>
    </row>
    <row r="285" spans="1:65" x14ac:dyDescent="0.2">
      <c r="B285" s="30" t="s">
        <v>401</v>
      </c>
      <c r="D285" s="15" t="s">
        <v>15</v>
      </c>
      <c r="E285" s="190"/>
      <c r="F285" s="188">
        <v>0</v>
      </c>
      <c r="G285" s="188">
        <v>0</v>
      </c>
      <c r="H285" s="188">
        <v>0</v>
      </c>
      <c r="I285" s="188">
        <v>0</v>
      </c>
      <c r="J285" s="188">
        <v>0</v>
      </c>
      <c r="K285" s="188">
        <v>0</v>
      </c>
      <c r="L285" s="188">
        <v>0</v>
      </c>
      <c r="M285" s="188">
        <v>0</v>
      </c>
      <c r="N285" s="188">
        <v>0</v>
      </c>
      <c r="O285" s="188">
        <v>0</v>
      </c>
      <c r="P285" s="188">
        <v>0</v>
      </c>
      <c r="Q285" s="188">
        <v>0</v>
      </c>
      <c r="R285" s="188">
        <v>0</v>
      </c>
      <c r="S285" s="188">
        <v>0</v>
      </c>
      <c r="T285" s="188">
        <v>0</v>
      </c>
      <c r="U285" s="188">
        <v>0</v>
      </c>
      <c r="V285" s="188">
        <v>0</v>
      </c>
      <c r="W285" s="188">
        <v>0</v>
      </c>
      <c r="X285" s="188">
        <v>0</v>
      </c>
      <c r="Y285" s="188">
        <v>0</v>
      </c>
      <c r="Z285" s="188">
        <v>0</v>
      </c>
      <c r="AA285" s="188">
        <v>0</v>
      </c>
      <c r="AB285" s="188">
        <v>0</v>
      </c>
      <c r="AC285" s="188">
        <v>0</v>
      </c>
      <c r="AD285" s="188">
        <v>0</v>
      </c>
      <c r="AE285" s="188">
        <v>0</v>
      </c>
      <c r="AF285" s="188">
        <v>0</v>
      </c>
      <c r="AG285" s="188">
        <v>0</v>
      </c>
      <c r="AH285" s="188">
        <v>0</v>
      </c>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row>
    <row r="286" spans="1:65" s="18" customFormat="1" x14ac:dyDescent="0.2">
      <c r="B286" s="32"/>
      <c r="D286" s="81"/>
      <c r="E286" s="204"/>
      <c r="F286" s="180"/>
      <c r="G286" s="180"/>
      <c r="H286" s="180"/>
      <c r="I286" s="180"/>
      <c r="J286" s="180"/>
      <c r="K286" s="180"/>
      <c r="L286" s="180"/>
      <c r="M286" s="180"/>
      <c r="N286" s="180"/>
      <c r="O286" s="180"/>
      <c r="P286" s="180"/>
      <c r="Q286" s="180"/>
      <c r="R286" s="180"/>
      <c r="S286" s="180"/>
      <c r="T286" s="180"/>
      <c r="U286" s="180"/>
      <c r="V286" s="180"/>
      <c r="W286" s="180"/>
      <c r="X286" s="180"/>
      <c r="Y286" s="180"/>
      <c r="Z286" s="180"/>
      <c r="AA286" s="180"/>
      <c r="AB286" s="180"/>
      <c r="AC286" s="180"/>
      <c r="AD286" s="180"/>
      <c r="AE286" s="180"/>
      <c r="AF286" s="180"/>
      <c r="AG286" s="180"/>
      <c r="AH286" s="180"/>
    </row>
    <row r="287" spans="1:65" s="8" customFormat="1" ht="14" x14ac:dyDescent="0.2">
      <c r="B287" s="21" t="s">
        <v>42</v>
      </c>
      <c r="E287" s="182"/>
      <c r="F287" s="220"/>
      <c r="G287" s="183"/>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20"/>
      <c r="AJ287" s="20"/>
      <c r="AK287" s="20"/>
      <c r="AL287" s="20"/>
      <c r="AM287" s="20"/>
      <c r="AN287" s="20"/>
      <c r="AO287" s="20"/>
      <c r="AP287" s="20"/>
      <c r="AQ287" s="20"/>
      <c r="AR287" s="20"/>
      <c r="AS287" s="20"/>
      <c r="AT287" s="20"/>
      <c r="AU287" s="20"/>
      <c r="AV287" s="20"/>
      <c r="AW287" s="20"/>
      <c r="AX287" s="20"/>
      <c r="AY287" s="20"/>
      <c r="AZ287" s="20"/>
      <c r="BA287" s="20"/>
      <c r="BB287" s="20"/>
      <c r="BC287" s="20"/>
      <c r="BD287" s="20"/>
      <c r="BE287" s="20"/>
      <c r="BF287" s="20"/>
      <c r="BG287" s="20"/>
      <c r="BH287" s="20"/>
      <c r="BI287" s="20"/>
      <c r="BJ287" s="20"/>
      <c r="BK287" s="20"/>
      <c r="BL287" s="20"/>
      <c r="BM287" s="20"/>
    </row>
    <row r="288" spans="1:65" s="8" customFormat="1" ht="14" x14ac:dyDescent="0.2">
      <c r="B288" s="14" t="s">
        <v>377</v>
      </c>
      <c r="D288" s="10" t="str">
        <f>'Assumptions - General'!$E$27 &amp;" millions"</f>
        <v>R$ millions</v>
      </c>
      <c r="E288" s="176">
        <v>500</v>
      </c>
      <c r="F288" s="183"/>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20"/>
      <c r="BG288" s="20"/>
      <c r="BH288" s="20"/>
      <c r="BI288" s="20"/>
      <c r="BJ288" s="20"/>
      <c r="BK288" s="20"/>
      <c r="BL288" s="20"/>
      <c r="BM288" s="20"/>
    </row>
    <row r="289" spans="1:65" s="8" customFormat="1" ht="14" x14ac:dyDescent="0.2">
      <c r="B289" s="215" t="s">
        <v>383</v>
      </c>
      <c r="D289" s="8" t="s">
        <v>256</v>
      </c>
      <c r="E289" s="176">
        <v>100</v>
      </c>
      <c r="F289" s="219">
        <f>E289*(1+F290*$E$291)</f>
        <v>100</v>
      </c>
      <c r="G289" s="219">
        <f t="shared" ref="G289:AH289" si="17">F289*(1+G290*$E$291)</f>
        <v>100</v>
      </c>
      <c r="H289" s="219">
        <f t="shared" si="17"/>
        <v>100</v>
      </c>
      <c r="I289" s="219">
        <f t="shared" si="17"/>
        <v>100</v>
      </c>
      <c r="J289" s="219">
        <f t="shared" si="17"/>
        <v>100</v>
      </c>
      <c r="K289" s="219">
        <f t="shared" si="17"/>
        <v>100</v>
      </c>
      <c r="L289" s="219">
        <f t="shared" si="17"/>
        <v>100</v>
      </c>
      <c r="M289" s="219">
        <f t="shared" si="17"/>
        <v>100</v>
      </c>
      <c r="N289" s="219">
        <f t="shared" si="17"/>
        <v>100</v>
      </c>
      <c r="O289" s="219">
        <f t="shared" si="17"/>
        <v>100</v>
      </c>
      <c r="P289" s="219">
        <f t="shared" si="17"/>
        <v>100</v>
      </c>
      <c r="Q289" s="219">
        <f t="shared" si="17"/>
        <v>100</v>
      </c>
      <c r="R289" s="219">
        <f t="shared" si="17"/>
        <v>100</v>
      </c>
      <c r="S289" s="219">
        <f t="shared" si="17"/>
        <v>100</v>
      </c>
      <c r="T289" s="219">
        <f t="shared" si="17"/>
        <v>100</v>
      </c>
      <c r="U289" s="219">
        <f t="shared" si="17"/>
        <v>100</v>
      </c>
      <c r="V289" s="219">
        <f t="shared" si="17"/>
        <v>100</v>
      </c>
      <c r="W289" s="219">
        <f t="shared" si="17"/>
        <v>100</v>
      </c>
      <c r="X289" s="219">
        <f t="shared" si="17"/>
        <v>100</v>
      </c>
      <c r="Y289" s="219">
        <f t="shared" si="17"/>
        <v>100</v>
      </c>
      <c r="Z289" s="219">
        <f t="shared" si="17"/>
        <v>100</v>
      </c>
      <c r="AA289" s="219">
        <f t="shared" si="17"/>
        <v>100</v>
      </c>
      <c r="AB289" s="219">
        <f t="shared" si="17"/>
        <v>100</v>
      </c>
      <c r="AC289" s="219">
        <f t="shared" si="17"/>
        <v>100</v>
      </c>
      <c r="AD289" s="219">
        <f t="shared" si="17"/>
        <v>100</v>
      </c>
      <c r="AE289" s="219">
        <f t="shared" si="17"/>
        <v>100</v>
      </c>
      <c r="AF289" s="219">
        <f t="shared" si="17"/>
        <v>100</v>
      </c>
      <c r="AG289" s="219">
        <f t="shared" si="17"/>
        <v>100</v>
      </c>
      <c r="AH289" s="219">
        <f t="shared" si="17"/>
        <v>100</v>
      </c>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20"/>
      <c r="BG289" s="20"/>
      <c r="BH289" s="20"/>
      <c r="BI289" s="20"/>
      <c r="BJ289" s="20"/>
      <c r="BK289" s="20"/>
      <c r="BL289" s="20"/>
      <c r="BM289" s="20"/>
    </row>
    <row r="290" spans="1:65" s="8" customFormat="1" ht="14" x14ac:dyDescent="0.2">
      <c r="B290" s="211" t="s">
        <v>263</v>
      </c>
      <c r="D290" s="8" t="s">
        <v>15</v>
      </c>
      <c r="E290" s="192"/>
      <c r="F290" s="189">
        <v>0</v>
      </c>
      <c r="G290" s="189">
        <v>0</v>
      </c>
      <c r="H290" s="189">
        <v>0</v>
      </c>
      <c r="I290" s="189">
        <v>0</v>
      </c>
      <c r="J290" s="189">
        <v>0</v>
      </c>
      <c r="K290" s="189">
        <v>0</v>
      </c>
      <c r="L290" s="189">
        <v>0</v>
      </c>
      <c r="M290" s="189">
        <v>0</v>
      </c>
      <c r="N290" s="189">
        <v>0</v>
      </c>
      <c r="O290" s="189">
        <v>0</v>
      </c>
      <c r="P290" s="189">
        <v>0</v>
      </c>
      <c r="Q290" s="189">
        <v>0</v>
      </c>
      <c r="R290" s="189">
        <v>0</v>
      </c>
      <c r="S290" s="189">
        <v>0</v>
      </c>
      <c r="T290" s="189">
        <v>0</v>
      </c>
      <c r="U290" s="189">
        <v>0</v>
      </c>
      <c r="V290" s="189">
        <v>0</v>
      </c>
      <c r="W290" s="189">
        <v>0</v>
      </c>
      <c r="X290" s="189">
        <v>0</v>
      </c>
      <c r="Y290" s="189">
        <v>0</v>
      </c>
      <c r="Z290" s="189">
        <v>0</v>
      </c>
      <c r="AA290" s="189">
        <v>0</v>
      </c>
      <c r="AB290" s="189">
        <v>0</v>
      </c>
      <c r="AC290" s="189">
        <v>0</v>
      </c>
      <c r="AD290" s="189">
        <v>0</v>
      </c>
      <c r="AE290" s="189">
        <v>0</v>
      </c>
      <c r="AF290" s="189">
        <v>0</v>
      </c>
      <c r="AG290" s="189">
        <v>0</v>
      </c>
      <c r="AH290" s="189">
        <v>0</v>
      </c>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20"/>
      <c r="BG290" s="20"/>
      <c r="BH290" s="20"/>
      <c r="BI290" s="20"/>
      <c r="BJ290" s="20"/>
      <c r="BK290" s="20"/>
      <c r="BL290" s="20"/>
      <c r="BM290" s="20"/>
    </row>
    <row r="291" spans="1:65" s="8" customFormat="1" ht="14" x14ac:dyDescent="0.2">
      <c r="B291" s="211" t="s">
        <v>264</v>
      </c>
      <c r="D291" s="15" t="s">
        <v>15</v>
      </c>
      <c r="E291" s="188">
        <f>F291/100</f>
        <v>1</v>
      </c>
      <c r="F291" s="220">
        <v>100</v>
      </c>
      <c r="G291" s="183"/>
      <c r="H291" s="183"/>
      <c r="I291" s="183"/>
      <c r="J291" s="183"/>
      <c r="K291" s="183"/>
      <c r="L291" s="183"/>
      <c r="M291" s="183"/>
      <c r="N291" s="183"/>
      <c r="O291" s="183"/>
      <c r="P291" s="183"/>
      <c r="Q291" s="183"/>
      <c r="R291" s="183"/>
      <c r="S291" s="183"/>
      <c r="T291" s="183"/>
      <c r="U291" s="183"/>
      <c r="V291" s="183"/>
      <c r="W291" s="183"/>
      <c r="X291" s="183"/>
      <c r="Y291" s="183"/>
      <c r="Z291" s="183"/>
      <c r="AA291" s="183"/>
      <c r="AB291" s="183"/>
      <c r="AC291" s="183"/>
      <c r="AD291" s="183"/>
      <c r="AE291" s="183"/>
      <c r="AF291" s="183"/>
      <c r="AG291" s="183"/>
      <c r="AH291" s="183"/>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20"/>
      <c r="BG291" s="20"/>
      <c r="BH291" s="20"/>
      <c r="BI291" s="20"/>
      <c r="BJ291" s="20"/>
      <c r="BK291" s="20"/>
      <c r="BL291" s="20"/>
      <c r="BM291" s="20"/>
    </row>
    <row r="292" spans="1:65" s="8" customFormat="1" ht="14" x14ac:dyDescent="0.2">
      <c r="B292" s="215" t="s">
        <v>573</v>
      </c>
      <c r="D292" s="15"/>
      <c r="E292" s="180"/>
      <c r="F292" s="220"/>
      <c r="G292" s="183"/>
      <c r="H292" s="183"/>
      <c r="I292" s="183"/>
      <c r="J292" s="183"/>
      <c r="K292" s="183"/>
      <c r="L292" s="183"/>
      <c r="M292" s="183"/>
      <c r="N292" s="183"/>
      <c r="O292" s="183"/>
      <c r="P292" s="183"/>
      <c r="Q292" s="183"/>
      <c r="R292" s="183"/>
      <c r="S292" s="183"/>
      <c r="T292" s="183"/>
      <c r="U292" s="183"/>
      <c r="V292" s="183"/>
      <c r="W292" s="183"/>
      <c r="X292" s="183"/>
      <c r="Y292" s="183"/>
      <c r="Z292" s="183"/>
      <c r="AA292" s="183"/>
      <c r="AB292" s="183"/>
      <c r="AC292" s="183"/>
      <c r="AD292" s="183"/>
      <c r="AE292" s="183"/>
      <c r="AF292" s="183"/>
      <c r="AG292" s="183"/>
      <c r="AH292" s="183"/>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20"/>
      <c r="BG292" s="20"/>
      <c r="BH292" s="20"/>
      <c r="BI292" s="20"/>
      <c r="BJ292" s="20"/>
      <c r="BK292" s="20"/>
      <c r="BL292" s="20"/>
      <c r="BM292" s="20"/>
    </row>
    <row r="293" spans="1:65" s="8" customFormat="1" ht="14" x14ac:dyDescent="0.2">
      <c r="B293" s="211" t="s">
        <v>38</v>
      </c>
      <c r="D293" s="8" t="s">
        <v>15</v>
      </c>
      <c r="E293" s="188">
        <f>IF(E244=2,0,F293/100)</f>
        <v>1</v>
      </c>
      <c r="F293" s="220">
        <v>100</v>
      </c>
      <c r="G293" s="183"/>
      <c r="H293" s="183"/>
      <c r="I293" s="183"/>
      <c r="J293" s="183"/>
      <c r="K293" s="183"/>
      <c r="L293" s="183"/>
      <c r="M293" s="183"/>
      <c r="N293" s="183"/>
      <c r="O293" s="183"/>
      <c r="P293" s="183"/>
      <c r="Q293" s="183"/>
      <c r="R293" s="183"/>
      <c r="S293" s="183"/>
      <c r="T293" s="183"/>
      <c r="U293" s="183"/>
      <c r="V293" s="183"/>
      <c r="W293" s="183"/>
      <c r="X293" s="183"/>
      <c r="Y293" s="183"/>
      <c r="Z293" s="183"/>
      <c r="AA293" s="183"/>
      <c r="AB293" s="183"/>
      <c r="AC293" s="183"/>
      <c r="AD293" s="183"/>
      <c r="AE293" s="183"/>
      <c r="AF293" s="183"/>
      <c r="AG293" s="183"/>
      <c r="AH293" s="183"/>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20"/>
      <c r="BG293" s="20"/>
      <c r="BH293" s="20"/>
      <c r="BI293" s="20"/>
      <c r="BJ293" s="20"/>
      <c r="BK293" s="20"/>
      <c r="BL293" s="20"/>
      <c r="BM293" s="20"/>
    </row>
    <row r="294" spans="1:65" s="20" customFormat="1" ht="14" x14ac:dyDescent="0.2">
      <c r="B294" s="216" t="s">
        <v>265</v>
      </c>
      <c r="D294" s="122" t="str">
        <f>'Assumptions - General'!$E$27 &amp;" per unit"</f>
        <v>R$ per unit</v>
      </c>
      <c r="E294" s="192">
        <f>IF(E288&gt;0,E288*1000000/E289,0)</f>
        <v>5000000</v>
      </c>
      <c r="F294" s="192">
        <f>E294*(1+F295)*IF($E$244=1,($E293*'Assumptions - General'!F$37+1),1)</f>
        <v>5150000</v>
      </c>
      <c r="G294" s="192">
        <f>F294*(1+G295)*IF($E$244=1,($E293*'Assumptions - General'!G$37+1),1)</f>
        <v>5304500</v>
      </c>
      <c r="H294" s="192">
        <f>G294*(1+H295)*IF($E$244=1,($E293*'Assumptions - General'!H$37+1),1)</f>
        <v>5463635</v>
      </c>
      <c r="I294" s="192">
        <f>H294*(1+I295)*IF($E$244=1,($E293*'Assumptions - General'!I$37+1),1)</f>
        <v>5627544.0499999998</v>
      </c>
      <c r="J294" s="192">
        <f>I294*(1+J295)*IF($E$244=1,($E293*'Assumptions - General'!J$37+1),1)</f>
        <v>5796370.3715000004</v>
      </c>
      <c r="K294" s="192">
        <f>J294*(1+K295)*IF($E$244=1,($E293*'Assumptions - General'!K$37+1),1)</f>
        <v>5970261.4826450003</v>
      </c>
      <c r="L294" s="192">
        <f>K294*(1+L295)*IF($E$244=1,($E293*'Assumptions - General'!L$37+1),1)</f>
        <v>6149369.3271243507</v>
      </c>
      <c r="M294" s="192">
        <f>L294*(1+M295)*IF($E$244=1,($E293*'Assumptions - General'!M$37+1),1)</f>
        <v>6333850.4069380816</v>
      </c>
      <c r="N294" s="192">
        <f>M294*(1+N295)*IF($E$244=1,($E293*'Assumptions - General'!N$37+1),1)</f>
        <v>6523865.9191462239</v>
      </c>
      <c r="O294" s="192">
        <f>N294*(1+O295)*IF($E$244=1,($E293*'Assumptions - General'!O$37+1),1)</f>
        <v>6719581.8967206106</v>
      </c>
      <c r="P294" s="192">
        <f>O294*(1+P295)*IF($E$244=1,($E293*'Assumptions - General'!P$37+1),1)</f>
        <v>6921169.3536222288</v>
      </c>
      <c r="Q294" s="192">
        <f>P294*(1+Q295)*IF($E$244=1,($E293*'Assumptions - General'!Q$37+1),1)</f>
        <v>7128804.4342308957</v>
      </c>
      <c r="R294" s="192">
        <f>Q294*(1+R295)*IF($E$244=1,($E293*'Assumptions - General'!R$37+1),1)</f>
        <v>7342668.5672578225</v>
      </c>
      <c r="S294" s="192">
        <f>R294*(1+S295)*IF($E$244=1,($E293*'Assumptions - General'!S$37+1),1)</f>
        <v>7562948.6242755577</v>
      </c>
      <c r="T294" s="192">
        <f>S294*(1+T295)*IF($E$244=1,($E293*'Assumptions - General'!T$37+1),1)</f>
        <v>7789837.0830038246</v>
      </c>
      <c r="U294" s="192">
        <f>T294*(1+U295)*IF($E$244=1,($E293*'Assumptions - General'!U$37+1),1)</f>
        <v>8023532.1954939393</v>
      </c>
      <c r="V294" s="192">
        <f>U294*(1+V295)*IF($E$244=1,($E293*'Assumptions - General'!V$37+1),1)</f>
        <v>8264238.1613587579</v>
      </c>
      <c r="W294" s="192">
        <f>V294*(1+W295)*IF($E$244=1,($E293*'Assumptions - General'!W$37+1),1)</f>
        <v>8512165.3061995208</v>
      </c>
      <c r="X294" s="192">
        <f>W294*(1+X295)*IF($E$244=1,($E293*'Assumptions - General'!X$37+1),1)</f>
        <v>8767530.2653855067</v>
      </c>
      <c r="Y294" s="192">
        <f>X294*(1+Y295)*IF($E$244=1,($E293*'Assumptions - General'!Y$37+1),1)</f>
        <v>9030556.1733470727</v>
      </c>
      <c r="Z294" s="192">
        <f>Y294*(1+Z295)*IF($E$244=1,($E293*'Assumptions - General'!Z$37+1),1)</f>
        <v>9301472.8585474845</v>
      </c>
      <c r="AA294" s="192">
        <f>Z294*(1+AA295)*IF($E$244=1,($E293*'Assumptions - General'!AA$37+1),1)</f>
        <v>9580517.0443039089</v>
      </c>
      <c r="AB294" s="192">
        <f>AA294*(1+AB295)*IF($E$244=1,($E293*'Assumptions - General'!AB$37+1),1)</f>
        <v>9867932.5556330271</v>
      </c>
      <c r="AC294" s="192">
        <f>AB294*(1+AC295)*IF($E$244=1,($E293*'Assumptions - General'!AC$37+1),1)</f>
        <v>10163970.532302018</v>
      </c>
      <c r="AD294" s="192">
        <f>AC294*(1+AD295)*IF($E$244=1,($E293*'Assumptions - General'!AD$37+1),1)</f>
        <v>10468889.648271078</v>
      </c>
      <c r="AE294" s="192">
        <f>AD294*(1+AE295)*IF($E$244=1,($E293*'Assumptions - General'!AE$37+1),1)</f>
        <v>10782956.337719211</v>
      </c>
      <c r="AF294" s="192">
        <f>AE294*(1+AF295)*IF($E$244=1,($E293*'Assumptions - General'!AF$37+1),1)</f>
        <v>11106445.027850788</v>
      </c>
      <c r="AG294" s="192">
        <f>AF294*(1+AG295)*IF($E$244=1,($E293*'Assumptions - General'!AG$37+1),1)</f>
        <v>11439638.378686313</v>
      </c>
      <c r="AH294" s="192">
        <f>AG294*(1+AH295)*IF($E$244=1,($E293*'Assumptions - General'!AH$37+1),1)</f>
        <v>11782827.530046903</v>
      </c>
    </row>
    <row r="295" spans="1:65" x14ac:dyDescent="0.2">
      <c r="B295" s="30" t="s">
        <v>401</v>
      </c>
      <c r="D295" s="15" t="s">
        <v>15</v>
      </c>
      <c r="E295" s="190"/>
      <c r="F295" s="188">
        <v>0</v>
      </c>
      <c r="G295" s="188">
        <v>0</v>
      </c>
      <c r="H295" s="188">
        <v>0</v>
      </c>
      <c r="I295" s="188">
        <v>0</v>
      </c>
      <c r="J295" s="188">
        <v>0</v>
      </c>
      <c r="K295" s="188">
        <v>0</v>
      </c>
      <c r="L295" s="188">
        <v>0</v>
      </c>
      <c r="M295" s="188">
        <v>0</v>
      </c>
      <c r="N295" s="188">
        <v>0</v>
      </c>
      <c r="O295" s="188">
        <v>0</v>
      </c>
      <c r="P295" s="188">
        <v>0</v>
      </c>
      <c r="Q295" s="188">
        <v>0</v>
      </c>
      <c r="R295" s="188">
        <v>0</v>
      </c>
      <c r="S295" s="188">
        <v>0</v>
      </c>
      <c r="T295" s="188">
        <v>0</v>
      </c>
      <c r="U295" s="188">
        <v>0</v>
      </c>
      <c r="V295" s="188">
        <v>0</v>
      </c>
      <c r="W295" s="188">
        <v>0</v>
      </c>
      <c r="X295" s="188">
        <v>0</v>
      </c>
      <c r="Y295" s="188">
        <v>0</v>
      </c>
      <c r="Z295" s="188">
        <v>0</v>
      </c>
      <c r="AA295" s="188">
        <v>0</v>
      </c>
      <c r="AB295" s="188">
        <v>0</v>
      </c>
      <c r="AC295" s="188">
        <v>0</v>
      </c>
      <c r="AD295" s="188">
        <v>0</v>
      </c>
      <c r="AE295" s="188">
        <v>0</v>
      </c>
      <c r="AF295" s="188">
        <v>0</v>
      </c>
      <c r="AG295" s="188">
        <v>0</v>
      </c>
      <c r="AH295" s="188">
        <v>0</v>
      </c>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row>
    <row r="296" spans="1:65" s="18" customFormat="1" x14ac:dyDescent="0.2">
      <c r="B296" s="32"/>
      <c r="D296" s="81"/>
      <c r="E296" s="204"/>
      <c r="F296" s="180"/>
      <c r="G296" s="180"/>
      <c r="H296" s="180"/>
      <c r="I296" s="180"/>
      <c r="J296" s="180"/>
      <c r="K296" s="180"/>
      <c r="L296" s="180"/>
      <c r="M296" s="180"/>
      <c r="N296" s="180"/>
      <c r="O296" s="180"/>
      <c r="P296" s="180"/>
      <c r="Q296" s="180"/>
      <c r="R296" s="180"/>
      <c r="S296" s="180"/>
      <c r="T296" s="180"/>
      <c r="U296" s="180"/>
      <c r="V296" s="180"/>
      <c r="W296" s="180"/>
      <c r="X296" s="180"/>
      <c r="Y296" s="180"/>
      <c r="Z296" s="180"/>
      <c r="AA296" s="180"/>
      <c r="AB296" s="180"/>
      <c r="AC296" s="180"/>
      <c r="AD296" s="180"/>
      <c r="AE296" s="180"/>
      <c r="AF296" s="180"/>
      <c r="AG296" s="180"/>
      <c r="AH296" s="180"/>
    </row>
    <row r="297" spans="1:65" s="8" customFormat="1" ht="14" x14ac:dyDescent="0.2">
      <c r="B297" s="21" t="s">
        <v>43</v>
      </c>
      <c r="E297" s="182"/>
      <c r="F297" s="220"/>
      <c r="G297" s="183"/>
      <c r="H297" s="183"/>
      <c r="I297" s="183"/>
      <c r="J297" s="183"/>
      <c r="K297" s="183"/>
      <c r="L297" s="183"/>
      <c r="M297" s="183"/>
      <c r="N297" s="183"/>
      <c r="O297" s="183"/>
      <c r="P297" s="183"/>
      <c r="Q297" s="183"/>
      <c r="R297" s="183"/>
      <c r="S297" s="183"/>
      <c r="T297" s="183"/>
      <c r="U297" s="183"/>
      <c r="V297" s="183"/>
      <c r="W297" s="183"/>
      <c r="X297" s="183"/>
      <c r="Y297" s="183"/>
      <c r="Z297" s="183"/>
      <c r="AA297" s="183"/>
      <c r="AB297" s="183"/>
      <c r="AC297" s="183"/>
      <c r="AD297" s="183"/>
      <c r="AE297" s="183"/>
      <c r="AF297" s="183"/>
      <c r="AG297" s="183"/>
      <c r="AH297" s="183"/>
    </row>
    <row r="298" spans="1:65" s="8" customFormat="1" ht="14" x14ac:dyDescent="0.2">
      <c r="B298" s="14" t="s">
        <v>377</v>
      </c>
      <c r="D298" s="10" t="str">
        <f>'Assumptions - General'!$E$27 &amp;" millions"</f>
        <v>R$ millions</v>
      </c>
      <c r="E298" s="176">
        <v>500</v>
      </c>
      <c r="F298" s="183"/>
      <c r="G298" s="183"/>
      <c r="H298" s="183"/>
      <c r="I298" s="183"/>
      <c r="J298" s="183"/>
      <c r="K298" s="183"/>
      <c r="L298" s="183"/>
      <c r="M298" s="183"/>
      <c r="N298" s="183"/>
      <c r="O298" s="183"/>
      <c r="P298" s="183"/>
      <c r="Q298" s="183"/>
      <c r="R298" s="183"/>
      <c r="S298" s="183"/>
      <c r="T298" s="183"/>
      <c r="U298" s="183"/>
      <c r="V298" s="183"/>
      <c r="W298" s="183"/>
      <c r="X298" s="183"/>
      <c r="Y298" s="183"/>
      <c r="Z298" s="183"/>
      <c r="AA298" s="183"/>
      <c r="AB298" s="183"/>
      <c r="AC298" s="183"/>
      <c r="AD298" s="183"/>
      <c r="AE298" s="183"/>
      <c r="AF298" s="183"/>
      <c r="AG298" s="183"/>
      <c r="AH298" s="183"/>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20"/>
      <c r="BG298" s="20"/>
      <c r="BH298" s="20"/>
      <c r="BI298" s="20"/>
      <c r="BJ298" s="20"/>
      <c r="BK298" s="20"/>
      <c r="BL298" s="20"/>
      <c r="BM298" s="20"/>
    </row>
    <row r="299" spans="1:65" s="8" customFormat="1" ht="14" x14ac:dyDescent="0.2">
      <c r="B299" s="215" t="s">
        <v>384</v>
      </c>
      <c r="D299" s="8" t="s">
        <v>256</v>
      </c>
      <c r="E299" s="176">
        <v>100</v>
      </c>
      <c r="F299" s="219">
        <f>E299*(1+F300*$E$301)</f>
        <v>100</v>
      </c>
      <c r="G299" s="219">
        <f t="shared" ref="G299:AH299" si="18">F299*(1+G300*$E$301)</f>
        <v>100</v>
      </c>
      <c r="H299" s="219">
        <f t="shared" si="18"/>
        <v>100</v>
      </c>
      <c r="I299" s="219">
        <f t="shared" si="18"/>
        <v>100</v>
      </c>
      <c r="J299" s="219">
        <f t="shared" si="18"/>
        <v>100</v>
      </c>
      <c r="K299" s="219">
        <f t="shared" si="18"/>
        <v>100</v>
      </c>
      <c r="L299" s="219">
        <f t="shared" si="18"/>
        <v>100</v>
      </c>
      <c r="M299" s="219">
        <f t="shared" si="18"/>
        <v>100</v>
      </c>
      <c r="N299" s="219">
        <f t="shared" si="18"/>
        <v>100</v>
      </c>
      <c r="O299" s="219">
        <f t="shared" si="18"/>
        <v>100</v>
      </c>
      <c r="P299" s="219">
        <f t="shared" si="18"/>
        <v>100</v>
      </c>
      <c r="Q299" s="219">
        <f t="shared" si="18"/>
        <v>100</v>
      </c>
      <c r="R299" s="219">
        <f t="shared" si="18"/>
        <v>100</v>
      </c>
      <c r="S299" s="219">
        <f t="shared" si="18"/>
        <v>100</v>
      </c>
      <c r="T299" s="219">
        <f t="shared" si="18"/>
        <v>100</v>
      </c>
      <c r="U299" s="219">
        <f t="shared" si="18"/>
        <v>100</v>
      </c>
      <c r="V299" s="219">
        <f t="shared" si="18"/>
        <v>100</v>
      </c>
      <c r="W299" s="219">
        <f t="shared" si="18"/>
        <v>100</v>
      </c>
      <c r="X299" s="219">
        <f t="shared" si="18"/>
        <v>100</v>
      </c>
      <c r="Y299" s="219">
        <f t="shared" si="18"/>
        <v>100</v>
      </c>
      <c r="Z299" s="219">
        <f t="shared" si="18"/>
        <v>100</v>
      </c>
      <c r="AA299" s="219">
        <f t="shared" si="18"/>
        <v>100</v>
      </c>
      <c r="AB299" s="219">
        <f t="shared" si="18"/>
        <v>100</v>
      </c>
      <c r="AC299" s="219">
        <f t="shared" si="18"/>
        <v>100</v>
      </c>
      <c r="AD299" s="219">
        <f t="shared" si="18"/>
        <v>100</v>
      </c>
      <c r="AE299" s="219">
        <f t="shared" si="18"/>
        <v>100</v>
      </c>
      <c r="AF299" s="219">
        <f t="shared" si="18"/>
        <v>100</v>
      </c>
      <c r="AG299" s="219">
        <f t="shared" si="18"/>
        <v>100</v>
      </c>
      <c r="AH299" s="219">
        <f t="shared" si="18"/>
        <v>100</v>
      </c>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0"/>
      <c r="BJ299" s="20"/>
      <c r="BK299" s="20"/>
      <c r="BL299" s="20"/>
      <c r="BM299" s="20"/>
    </row>
    <row r="300" spans="1:65" s="8" customFormat="1" ht="14" x14ac:dyDescent="0.2">
      <c r="B300" s="211" t="s">
        <v>263</v>
      </c>
      <c r="D300" s="8" t="s">
        <v>15</v>
      </c>
      <c r="E300" s="192"/>
      <c r="F300" s="189">
        <v>0</v>
      </c>
      <c r="G300" s="189">
        <v>0</v>
      </c>
      <c r="H300" s="189">
        <v>0</v>
      </c>
      <c r="I300" s="189">
        <v>0</v>
      </c>
      <c r="J300" s="189">
        <v>0</v>
      </c>
      <c r="K300" s="189">
        <v>0</v>
      </c>
      <c r="L300" s="189">
        <v>0</v>
      </c>
      <c r="M300" s="189">
        <v>0</v>
      </c>
      <c r="N300" s="189">
        <v>0</v>
      </c>
      <c r="O300" s="189">
        <v>0</v>
      </c>
      <c r="P300" s="189">
        <v>0</v>
      </c>
      <c r="Q300" s="189">
        <v>0</v>
      </c>
      <c r="R300" s="189">
        <v>0</v>
      </c>
      <c r="S300" s="189">
        <v>0</v>
      </c>
      <c r="T300" s="189">
        <v>0</v>
      </c>
      <c r="U300" s="189">
        <v>0</v>
      </c>
      <c r="V300" s="189">
        <v>0</v>
      </c>
      <c r="W300" s="189">
        <v>0</v>
      </c>
      <c r="X300" s="189">
        <v>0</v>
      </c>
      <c r="Y300" s="189">
        <v>0</v>
      </c>
      <c r="Z300" s="189">
        <v>0</v>
      </c>
      <c r="AA300" s="189">
        <v>0</v>
      </c>
      <c r="AB300" s="189">
        <v>0</v>
      </c>
      <c r="AC300" s="189">
        <v>0</v>
      </c>
      <c r="AD300" s="189">
        <v>0</v>
      </c>
      <c r="AE300" s="189">
        <v>0</v>
      </c>
      <c r="AF300" s="189">
        <v>0</v>
      </c>
      <c r="AG300" s="189">
        <v>0</v>
      </c>
      <c r="AH300" s="189">
        <v>0</v>
      </c>
      <c r="AI300" s="20"/>
      <c r="AJ300" s="20"/>
      <c r="AK300" s="20"/>
      <c r="AL300" s="20"/>
      <c r="AM300" s="20"/>
      <c r="AN300" s="20"/>
      <c r="AO300" s="20"/>
      <c r="AP300" s="20"/>
      <c r="AQ300" s="20"/>
      <c r="AR300" s="20"/>
      <c r="AS300" s="20"/>
      <c r="AT300" s="20"/>
      <c r="AU300" s="20"/>
      <c r="AV300" s="20"/>
      <c r="AW300" s="20"/>
      <c r="AX300" s="20"/>
      <c r="AY300" s="20"/>
      <c r="AZ300" s="20"/>
      <c r="BA300" s="20"/>
      <c r="BB300" s="20"/>
      <c r="BC300" s="20"/>
      <c r="BD300" s="20"/>
      <c r="BE300" s="20"/>
      <c r="BF300" s="20"/>
      <c r="BG300" s="20"/>
      <c r="BH300" s="20"/>
      <c r="BI300" s="20"/>
      <c r="BJ300" s="20"/>
      <c r="BK300" s="20"/>
      <c r="BL300" s="20"/>
      <c r="BM300" s="20"/>
    </row>
    <row r="301" spans="1:65" s="8" customFormat="1" ht="14" x14ac:dyDescent="0.2">
      <c r="B301" s="211" t="s">
        <v>266</v>
      </c>
      <c r="D301" s="15" t="s">
        <v>15</v>
      </c>
      <c r="E301" s="188">
        <f>F301/100</f>
        <v>1</v>
      </c>
      <c r="F301" s="220">
        <v>100</v>
      </c>
      <c r="G301" s="183"/>
      <c r="H301" s="183"/>
      <c r="I301" s="183"/>
      <c r="J301" s="183"/>
      <c r="K301" s="183"/>
      <c r="L301" s="183"/>
      <c r="M301" s="183"/>
      <c r="N301" s="183"/>
      <c r="O301" s="183"/>
      <c r="P301" s="183"/>
      <c r="Q301" s="183"/>
      <c r="R301" s="183"/>
      <c r="S301" s="183"/>
      <c r="T301" s="183"/>
      <c r="U301" s="183"/>
      <c r="V301" s="183"/>
      <c r="W301" s="183"/>
      <c r="X301" s="183"/>
      <c r="Y301" s="183"/>
      <c r="Z301" s="183"/>
      <c r="AA301" s="183"/>
      <c r="AB301" s="183"/>
      <c r="AC301" s="183"/>
      <c r="AD301" s="183"/>
      <c r="AE301" s="183"/>
      <c r="AF301" s="183"/>
      <c r="AG301" s="183"/>
      <c r="AH301" s="183"/>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20"/>
      <c r="BG301" s="20"/>
      <c r="BH301" s="20"/>
      <c r="BI301" s="20"/>
      <c r="BJ301" s="20"/>
      <c r="BK301" s="20"/>
      <c r="BL301" s="20"/>
      <c r="BM301" s="20"/>
    </row>
    <row r="302" spans="1:65" s="8" customFormat="1" ht="14" x14ac:dyDescent="0.2">
      <c r="B302" s="215" t="s">
        <v>574</v>
      </c>
      <c r="D302" s="15"/>
      <c r="E302" s="180"/>
      <c r="F302" s="220"/>
      <c r="G302" s="183"/>
      <c r="H302" s="183"/>
      <c r="I302" s="183"/>
      <c r="J302" s="183"/>
      <c r="K302" s="183"/>
      <c r="L302" s="183"/>
      <c r="M302" s="183"/>
      <c r="N302" s="183"/>
      <c r="O302" s="183"/>
      <c r="P302" s="183"/>
      <c r="Q302" s="183"/>
      <c r="R302" s="183"/>
      <c r="S302" s="183"/>
      <c r="T302" s="183"/>
      <c r="U302" s="183"/>
      <c r="V302" s="183"/>
      <c r="W302" s="183"/>
      <c r="X302" s="183"/>
      <c r="Y302" s="183"/>
      <c r="Z302" s="183"/>
      <c r="AA302" s="183"/>
      <c r="AB302" s="183"/>
      <c r="AC302" s="183"/>
      <c r="AD302" s="183"/>
      <c r="AE302" s="183"/>
      <c r="AF302" s="183"/>
      <c r="AG302" s="183"/>
      <c r="AH302" s="183"/>
      <c r="AI302" s="20"/>
      <c r="AJ302" s="20"/>
      <c r="AK302" s="20"/>
      <c r="AL302" s="20"/>
      <c r="AM302" s="20"/>
      <c r="AN302" s="20"/>
      <c r="AO302" s="20"/>
      <c r="AP302" s="20"/>
      <c r="AQ302" s="20"/>
      <c r="AR302" s="20"/>
      <c r="AS302" s="20"/>
      <c r="AT302" s="20"/>
      <c r="AU302" s="20"/>
      <c r="AV302" s="20"/>
      <c r="AW302" s="20"/>
      <c r="AX302" s="20"/>
      <c r="AY302" s="20"/>
      <c r="AZ302" s="20"/>
      <c r="BA302" s="20"/>
      <c r="BB302" s="20"/>
      <c r="BC302" s="20"/>
      <c r="BD302" s="20"/>
      <c r="BE302" s="20"/>
      <c r="BF302" s="20"/>
      <c r="BG302" s="20"/>
      <c r="BH302" s="20"/>
      <c r="BI302" s="20"/>
      <c r="BJ302" s="20"/>
      <c r="BK302" s="20"/>
      <c r="BL302" s="20"/>
      <c r="BM302" s="20"/>
    </row>
    <row r="303" spans="1:65" s="8" customFormat="1" ht="14" x14ac:dyDescent="0.2">
      <c r="B303" s="211" t="s">
        <v>38</v>
      </c>
      <c r="D303" s="8" t="s">
        <v>15</v>
      </c>
      <c r="E303" s="188">
        <f>IF(E244=2,0,F303/100)</f>
        <v>1</v>
      </c>
      <c r="F303" s="220">
        <v>100</v>
      </c>
      <c r="G303" s="183"/>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20"/>
      <c r="BG303" s="20"/>
      <c r="BH303" s="20"/>
      <c r="BI303" s="20"/>
      <c r="BJ303" s="20"/>
      <c r="BK303" s="20"/>
      <c r="BL303" s="20"/>
      <c r="BM303" s="20"/>
    </row>
    <row r="304" spans="1:65" s="120" customFormat="1" ht="14" x14ac:dyDescent="0.2">
      <c r="A304" s="20"/>
      <c r="B304" s="216" t="s">
        <v>267</v>
      </c>
      <c r="C304" s="20"/>
      <c r="D304" s="122" t="str">
        <f>'Assumptions - General'!$E$27 &amp;" per unit"</f>
        <v>R$ per unit</v>
      </c>
      <c r="E304" s="192">
        <f>IF(E298&gt;0,E298*1000000/E299,0)</f>
        <v>5000000</v>
      </c>
      <c r="F304" s="192">
        <f>E304*(1+F305)*IF($E$244=1,($E303*'Assumptions - General'!F$37+1),1)</f>
        <v>5150000</v>
      </c>
      <c r="G304" s="192">
        <f>F304*(1+G305)*IF($E$244=1,($E303*'Assumptions - General'!G$37+1),1)</f>
        <v>5304500</v>
      </c>
      <c r="H304" s="192">
        <f>G304*(1+H305)*IF($E$244=1,($E303*'Assumptions - General'!H$37+1),1)</f>
        <v>5463635</v>
      </c>
      <c r="I304" s="192">
        <f>H304*(1+I305)*IF($E$244=1,($E303*'Assumptions - General'!I$37+1),1)</f>
        <v>5627544.0499999998</v>
      </c>
      <c r="J304" s="192">
        <f>I304*(1+J305)*IF($E$244=1,($E303*'Assumptions - General'!J$37+1),1)</f>
        <v>5796370.3715000004</v>
      </c>
      <c r="K304" s="192">
        <f>J304*(1+K305)*IF($E$244=1,($E303*'Assumptions - General'!K$37+1),1)</f>
        <v>5970261.4826450003</v>
      </c>
      <c r="L304" s="192">
        <f>K304*(1+L305)*IF($E$244=1,($E303*'Assumptions - General'!L$37+1),1)</f>
        <v>6149369.3271243507</v>
      </c>
      <c r="M304" s="192">
        <f>L304*(1+M305)*IF($E$244=1,($E303*'Assumptions - General'!M$37+1),1)</f>
        <v>6333850.4069380816</v>
      </c>
      <c r="N304" s="192">
        <f>M304*(1+N305)*IF($E$244=1,($E303*'Assumptions - General'!N$37+1),1)</f>
        <v>6523865.9191462239</v>
      </c>
      <c r="O304" s="192">
        <f>N304*(1+O305)*IF($E$244=1,($E303*'Assumptions - General'!O$37+1),1)</f>
        <v>6719581.8967206106</v>
      </c>
      <c r="P304" s="192">
        <f>O304*(1+P305)*IF($E$244=1,($E303*'Assumptions - General'!P$37+1),1)</f>
        <v>6921169.3536222288</v>
      </c>
      <c r="Q304" s="192">
        <f>P304*(1+Q305)*IF($E$244=1,($E303*'Assumptions - General'!Q$37+1),1)</f>
        <v>7128804.4342308957</v>
      </c>
      <c r="R304" s="192">
        <f>Q304*(1+R305)*IF($E$244=1,($E303*'Assumptions - General'!R$37+1),1)</f>
        <v>7342668.5672578225</v>
      </c>
      <c r="S304" s="192">
        <f>R304*(1+S305)*IF($E$244=1,($E303*'Assumptions - General'!S$37+1),1)</f>
        <v>7562948.6242755577</v>
      </c>
      <c r="T304" s="192">
        <f>S304*(1+T305)*IF($E$244=1,($E303*'Assumptions - General'!T$37+1),1)</f>
        <v>7789837.0830038246</v>
      </c>
      <c r="U304" s="192">
        <f>T304*(1+U305)*IF($E$244=1,($E303*'Assumptions - General'!U$37+1),1)</f>
        <v>8023532.1954939393</v>
      </c>
      <c r="V304" s="192">
        <f>U304*(1+V305)*IF($E$244=1,($E303*'Assumptions - General'!V$37+1),1)</f>
        <v>8264238.1613587579</v>
      </c>
      <c r="W304" s="192">
        <f>V304*(1+W305)*IF($E$244=1,($E303*'Assumptions - General'!W$37+1),1)</f>
        <v>8512165.3061995208</v>
      </c>
      <c r="X304" s="192">
        <f>W304*(1+X305)*IF($E$244=1,($E303*'Assumptions - General'!X$37+1),1)</f>
        <v>8767530.2653855067</v>
      </c>
      <c r="Y304" s="192">
        <f>X304*(1+Y305)*IF($E$244=1,($E303*'Assumptions - General'!Y$37+1),1)</f>
        <v>9030556.1733470727</v>
      </c>
      <c r="Z304" s="192">
        <f>Y304*(1+Z305)*IF($E$244=1,($E303*'Assumptions - General'!Z$37+1),1)</f>
        <v>9301472.8585474845</v>
      </c>
      <c r="AA304" s="192">
        <f>Z304*(1+AA305)*IF($E$244=1,($E303*'Assumptions - General'!AA$37+1),1)</f>
        <v>9580517.0443039089</v>
      </c>
      <c r="AB304" s="192">
        <f>AA304*(1+AB305)*IF($E$244=1,($E303*'Assumptions - General'!AB$37+1),1)</f>
        <v>9867932.5556330271</v>
      </c>
      <c r="AC304" s="192">
        <f>AB304*(1+AC305)*IF($E$244=1,($E303*'Assumptions - General'!AC$37+1),1)</f>
        <v>10163970.532302018</v>
      </c>
      <c r="AD304" s="192">
        <f>AC304*(1+AD305)*IF($E$244=1,($E303*'Assumptions - General'!AD$37+1),1)</f>
        <v>10468889.648271078</v>
      </c>
      <c r="AE304" s="192">
        <f>AD304*(1+AE305)*IF($E$244=1,($E303*'Assumptions - General'!AE$37+1),1)</f>
        <v>10782956.337719211</v>
      </c>
      <c r="AF304" s="192">
        <f>AE304*(1+AF305)*IF($E$244=1,($E303*'Assumptions - General'!AF$37+1),1)</f>
        <v>11106445.027850788</v>
      </c>
      <c r="AG304" s="192">
        <f>AF304*(1+AG305)*IF($E$244=1,($E303*'Assumptions - General'!AG$37+1),1)</f>
        <v>11439638.378686313</v>
      </c>
      <c r="AH304" s="192">
        <f>AG304*(1+AH305)*IF($E$244=1,($E303*'Assumptions - General'!AH$37+1),1)</f>
        <v>11782827.530046903</v>
      </c>
      <c r="AI304" s="20"/>
      <c r="AJ304" s="20"/>
      <c r="AK304" s="20"/>
      <c r="AL304" s="20"/>
      <c r="AM304" s="20"/>
      <c r="AN304" s="20"/>
      <c r="AO304" s="20"/>
      <c r="AP304" s="20"/>
      <c r="AQ304" s="20"/>
      <c r="AR304" s="20"/>
      <c r="AS304" s="20"/>
      <c r="AT304" s="20"/>
      <c r="AU304" s="20"/>
      <c r="AV304" s="20"/>
      <c r="AW304" s="20"/>
      <c r="AX304" s="20"/>
      <c r="AY304" s="20"/>
      <c r="AZ304" s="20"/>
      <c r="BA304" s="20"/>
      <c r="BB304" s="20"/>
      <c r="BC304" s="20"/>
      <c r="BD304" s="20"/>
      <c r="BE304" s="20"/>
      <c r="BF304" s="20"/>
      <c r="BG304" s="20"/>
      <c r="BH304" s="20"/>
      <c r="BI304" s="20"/>
      <c r="BJ304" s="20"/>
      <c r="BK304" s="20"/>
      <c r="BL304" s="20"/>
      <c r="BM304" s="20"/>
    </row>
    <row r="305" spans="1:65" x14ac:dyDescent="0.2">
      <c r="B305" s="30" t="s">
        <v>401</v>
      </c>
      <c r="D305" s="15" t="s">
        <v>15</v>
      </c>
      <c r="E305" s="190"/>
      <c r="F305" s="188">
        <v>0</v>
      </c>
      <c r="G305" s="188">
        <v>0</v>
      </c>
      <c r="H305" s="188">
        <v>0</v>
      </c>
      <c r="I305" s="188">
        <v>0</v>
      </c>
      <c r="J305" s="188">
        <v>0</v>
      </c>
      <c r="K305" s="188">
        <v>0</v>
      </c>
      <c r="L305" s="188">
        <v>0</v>
      </c>
      <c r="M305" s="188">
        <v>0</v>
      </c>
      <c r="N305" s="188">
        <v>0</v>
      </c>
      <c r="O305" s="188">
        <v>0</v>
      </c>
      <c r="P305" s="188">
        <v>0</v>
      </c>
      <c r="Q305" s="188">
        <v>0</v>
      </c>
      <c r="R305" s="188">
        <v>0</v>
      </c>
      <c r="S305" s="188">
        <v>0</v>
      </c>
      <c r="T305" s="188">
        <v>0</v>
      </c>
      <c r="U305" s="188">
        <v>0</v>
      </c>
      <c r="V305" s="188">
        <v>0</v>
      </c>
      <c r="W305" s="188">
        <v>0</v>
      </c>
      <c r="X305" s="188">
        <v>0</v>
      </c>
      <c r="Y305" s="188">
        <v>0</v>
      </c>
      <c r="Z305" s="188">
        <v>0</v>
      </c>
      <c r="AA305" s="188">
        <v>0</v>
      </c>
      <c r="AB305" s="188">
        <v>0</v>
      </c>
      <c r="AC305" s="188">
        <v>0</v>
      </c>
      <c r="AD305" s="188">
        <v>0</v>
      </c>
      <c r="AE305" s="188">
        <v>0</v>
      </c>
      <c r="AF305" s="188">
        <v>0</v>
      </c>
      <c r="AG305" s="188">
        <v>0</v>
      </c>
      <c r="AH305" s="188">
        <v>0</v>
      </c>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row>
    <row r="306" spans="1:65" s="8" customFormat="1" ht="14" x14ac:dyDescent="0.2">
      <c r="B306" s="14"/>
      <c r="D306" s="15"/>
      <c r="E306" s="15"/>
    </row>
    <row r="307" spans="1:65" s="8" customFormat="1" ht="14" outlineLevel="1" x14ac:dyDescent="0.2">
      <c r="B307" s="14" t="str">
        <f>B250&amp; " - total annual cost in forecast period"</f>
        <v>Staff - total annual cost in forecast period</v>
      </c>
      <c r="D307" s="10" t="str">
        <f>'Assumptions - General'!$E$27 &amp;" millions"</f>
        <v>R$ millions</v>
      </c>
      <c r="E307" s="192">
        <f>Calculations!E678</f>
        <v>1000</v>
      </c>
      <c r="F307" s="192">
        <f>Calculations!F678</f>
        <v>1030.0000000000002</v>
      </c>
      <c r="G307" s="192">
        <f>Calculations!G678</f>
        <v>1060.9000000000001</v>
      </c>
      <c r="H307" s="192">
        <f>Calculations!H678</f>
        <v>1092.7270000000001</v>
      </c>
      <c r="I307" s="192">
        <f>Calculations!I678</f>
        <v>1125.50881</v>
      </c>
      <c r="J307" s="192">
        <f>Calculations!J678</f>
        <v>1159.2740742999999</v>
      </c>
      <c r="K307" s="192">
        <f>Calculations!K678</f>
        <v>1194.0522965289999</v>
      </c>
      <c r="L307" s="192">
        <f>Calculations!L678</f>
        <v>1229.8738654248702</v>
      </c>
      <c r="M307" s="192">
        <f>Calculations!M678</f>
        <v>1266.7700813876163</v>
      </c>
      <c r="N307" s="192">
        <f>Calculations!N678</f>
        <v>1304.7731838292448</v>
      </c>
      <c r="O307" s="192">
        <f>Calculations!O678</f>
        <v>1343.9163793441221</v>
      </c>
      <c r="P307" s="192">
        <f>Calculations!P678</f>
        <v>1384.233870724446</v>
      </c>
      <c r="Q307" s="192">
        <f>Calculations!Q678</f>
        <v>1425.7608868461796</v>
      </c>
      <c r="R307" s="192">
        <f>Calculations!R678</f>
        <v>1468.5337134515651</v>
      </c>
      <c r="S307" s="192">
        <f>Calculations!S678</f>
        <v>1512.5897248551119</v>
      </c>
      <c r="T307" s="192">
        <f>Calculations!T678</f>
        <v>1557.9674166007653</v>
      </c>
      <c r="U307" s="192">
        <f>Calculations!U678</f>
        <v>1604.7064390987882</v>
      </c>
      <c r="V307" s="192">
        <f>Calculations!V678</f>
        <v>1652.847632271752</v>
      </c>
      <c r="W307" s="192">
        <f>Calculations!W678</f>
        <v>1702.4330612399044</v>
      </c>
      <c r="X307" s="192">
        <f>Calculations!X678</f>
        <v>1753.5060530771018</v>
      </c>
      <c r="Y307" s="192">
        <f>Calculations!Y678</f>
        <v>1806.1112346694147</v>
      </c>
      <c r="Z307" s="192">
        <f>Calculations!Z678</f>
        <v>1860.2945717094972</v>
      </c>
      <c r="AA307" s="192">
        <f>Calculations!AA678</f>
        <v>1916.1034088607821</v>
      </c>
      <c r="AB307" s="192">
        <f>Calculations!AB678</f>
        <v>1973.5865111266055</v>
      </c>
      <c r="AC307" s="192">
        <f>Calculations!AC678</f>
        <v>2032.7941064604038</v>
      </c>
      <c r="AD307" s="192">
        <f>Calculations!AD678</f>
        <v>2093.7779296542162</v>
      </c>
      <c r="AE307" s="192">
        <f>Calculations!AE678</f>
        <v>2156.5912675438422</v>
      </c>
      <c r="AF307" s="192">
        <f>Calculations!AF678</f>
        <v>2221.2890055701573</v>
      </c>
      <c r="AG307" s="192">
        <f>Calculations!AG678</f>
        <v>2287.9276757372622</v>
      </c>
      <c r="AH307" s="192">
        <f>Calculations!AH678</f>
        <v>2356.5655060093804</v>
      </c>
    </row>
    <row r="308" spans="1:65" s="8" customFormat="1" ht="14" outlineLevel="1" x14ac:dyDescent="0.2">
      <c r="B308" s="14" t="str">
        <f>B260&amp; " - total annual cost in forecast period"</f>
        <v>Materials - total annual cost in forecast period</v>
      </c>
      <c r="D308" s="10" t="str">
        <f>'Assumptions - General'!$E$27 &amp;" millions"</f>
        <v>R$ millions</v>
      </c>
      <c r="E308" s="192">
        <f>Calculations!E680</f>
        <v>500</v>
      </c>
      <c r="F308" s="192">
        <f>Calculations!F680</f>
        <v>547.1875</v>
      </c>
      <c r="G308" s="192">
        <f>Calculations!G680</f>
        <v>563.60312499999998</v>
      </c>
      <c r="H308" s="192">
        <f>Calculations!H680</f>
        <v>614.65893750000009</v>
      </c>
      <c r="I308" s="192">
        <f>Calculations!I680</f>
        <v>703.44300625000017</v>
      </c>
      <c r="J308" s="192">
        <f>Calculations!J680</f>
        <v>760.77361125937534</v>
      </c>
      <c r="K308" s="192">
        <f>Calculations!K680</f>
        <v>820.91095386368795</v>
      </c>
      <c r="L308" s="192">
        <f>Calculations!L680</f>
        <v>883.97184077412578</v>
      </c>
      <c r="M308" s="192">
        <f>Calculations!M680</f>
        <v>950.07756104071257</v>
      </c>
      <c r="N308" s="192">
        <f>Calculations!N680</f>
        <v>1019.354049866598</v>
      </c>
      <c r="O308" s="192">
        <f>Calculations!O680</f>
        <v>1091.9320582170997</v>
      </c>
      <c r="P308" s="192">
        <f>Calculations!P680</f>
        <v>1167.9473284237517</v>
      </c>
      <c r="Q308" s="192">
        <f>Calculations!Q680</f>
        <v>1247.5407759904074</v>
      </c>
      <c r="R308" s="192">
        <f>Calculations!R680</f>
        <v>1330.8586778154811</v>
      </c>
      <c r="S308" s="192">
        <f>Calculations!S680</f>
        <v>1418.0528670516678</v>
      </c>
      <c r="T308" s="192">
        <f>Calculations!T680</f>
        <v>1509.280934831992</v>
      </c>
      <c r="U308" s="192">
        <f>Calculations!U680</f>
        <v>1604.7064390987891</v>
      </c>
      <c r="V308" s="192">
        <f>Calculations!V680</f>
        <v>1704.499120780245</v>
      </c>
      <c r="W308" s="192">
        <f>Calculations!W680</f>
        <v>1808.8351275673995</v>
      </c>
      <c r="X308" s="192">
        <f>Calculations!X680</f>
        <v>1917.8972455530807</v>
      </c>
      <c r="Y308" s="192">
        <f>Calculations!Y680</f>
        <v>2031.875139003092</v>
      </c>
      <c r="Z308" s="192">
        <f>Calculations!Z680</f>
        <v>2150.9655985391064</v>
      </c>
      <c r="AA308" s="192">
        <f>Calculations!AA680</f>
        <v>2275.3727980221793</v>
      </c>
      <c r="AB308" s="192">
        <f>Calculations!AB680</f>
        <v>2405.308560435551</v>
      </c>
      <c r="AC308" s="192">
        <f>Calculations!AC680</f>
        <v>2540.9926330755052</v>
      </c>
      <c r="AD308" s="192">
        <f>Calculations!AD680</f>
        <v>2682.6529723694644</v>
      </c>
      <c r="AE308" s="192">
        <f>Calculations!AE680</f>
        <v>2830.5260386512932</v>
      </c>
      <c r="AF308" s="192">
        <f>Calculations!AF680</f>
        <v>2984.8571012348993</v>
      </c>
      <c r="AG308" s="192">
        <f>Calculations!AG680</f>
        <v>3145.900554138736</v>
      </c>
      <c r="AH308" s="192">
        <f>Calculations!AH680</f>
        <v>3313.9202428256913</v>
      </c>
    </row>
    <row r="309" spans="1:65" s="8" customFormat="1" ht="14" outlineLevel="1" x14ac:dyDescent="0.2">
      <c r="B309" s="14" t="str">
        <f>B269&amp; " - total annual cost in forecast period"</f>
        <v>Diesel fuel - total annual cost in forecast period</v>
      </c>
      <c r="D309" s="10" t="str">
        <f>'Assumptions - General'!$E$27 &amp;" millions"</f>
        <v>R$ millions</v>
      </c>
      <c r="E309" s="192">
        <f>Calculations!E682</f>
        <v>500</v>
      </c>
      <c r="F309" s="192">
        <f>Calculations!F682</f>
        <v>547.1875</v>
      </c>
      <c r="G309" s="192">
        <f>Calculations!G682</f>
        <v>563.60312499999998</v>
      </c>
      <c r="H309" s="192">
        <f>Calculations!H682</f>
        <v>614.65893750000009</v>
      </c>
      <c r="I309" s="192">
        <f>Calculations!I682</f>
        <v>703.44300625000017</v>
      </c>
      <c r="J309" s="192">
        <f>Calculations!J682</f>
        <v>760.77361125937534</v>
      </c>
      <c r="K309" s="192">
        <f>Calculations!K682</f>
        <v>820.91095386368795</v>
      </c>
      <c r="L309" s="192">
        <f>Calculations!L682</f>
        <v>883.97184077412578</v>
      </c>
      <c r="M309" s="192">
        <f>Calculations!M682</f>
        <v>950.07756104071257</v>
      </c>
      <c r="N309" s="192">
        <f>Calculations!N682</f>
        <v>1019.354049866598</v>
      </c>
      <c r="O309" s="192">
        <f>Calculations!O682</f>
        <v>1091.9320582170997</v>
      </c>
      <c r="P309" s="192">
        <f>Calculations!P682</f>
        <v>1167.9473284237517</v>
      </c>
      <c r="Q309" s="192">
        <f>Calculations!Q682</f>
        <v>1247.5407759904074</v>
      </c>
      <c r="R309" s="192">
        <f>Calculations!R682</f>
        <v>1330.8586778154811</v>
      </c>
      <c r="S309" s="192">
        <f>Calculations!S682</f>
        <v>1418.0528670516678</v>
      </c>
      <c r="T309" s="192">
        <f>Calculations!T682</f>
        <v>1509.280934831992</v>
      </c>
      <c r="U309" s="192">
        <f>Calculations!U682</f>
        <v>1604.7064390987891</v>
      </c>
      <c r="V309" s="192">
        <f>Calculations!V682</f>
        <v>1704.499120780245</v>
      </c>
      <c r="W309" s="192">
        <f>Calculations!W682</f>
        <v>1808.8351275673995</v>
      </c>
      <c r="X309" s="192">
        <f>Calculations!X682</f>
        <v>1917.8972455530807</v>
      </c>
      <c r="Y309" s="192">
        <f>Calculations!Y682</f>
        <v>2031.875139003092</v>
      </c>
      <c r="Z309" s="192">
        <f>Calculations!Z682</f>
        <v>2150.9655985391064</v>
      </c>
      <c r="AA309" s="192">
        <f>Calculations!AA682</f>
        <v>2275.3727980221793</v>
      </c>
      <c r="AB309" s="192">
        <f>Calculations!AB682</f>
        <v>2405.308560435551</v>
      </c>
      <c r="AC309" s="192">
        <f>Calculations!AC682</f>
        <v>2540.9926330755052</v>
      </c>
      <c r="AD309" s="192">
        <f>Calculations!AD682</f>
        <v>2682.6529723694644</v>
      </c>
      <c r="AE309" s="192">
        <f>Calculations!AE682</f>
        <v>2830.5260386512932</v>
      </c>
      <c r="AF309" s="192">
        <f>Calculations!AF682</f>
        <v>2984.8571012348993</v>
      </c>
      <c r="AG309" s="192">
        <f>Calculations!AG682</f>
        <v>3145.900554138736</v>
      </c>
      <c r="AH309" s="192">
        <f>Calculations!AH682</f>
        <v>3313.9202428256913</v>
      </c>
    </row>
    <row r="310" spans="1:65" s="8" customFormat="1" ht="14" outlineLevel="1" x14ac:dyDescent="0.2">
      <c r="B310" s="14" t="str">
        <f>B278&amp; " - total annual cost in forecast period"</f>
        <v>Electricity - total annual cost in forecast period</v>
      </c>
      <c r="D310" s="10" t="str">
        <f>'Assumptions - General'!$E$27 &amp;" millions"</f>
        <v>R$ millions</v>
      </c>
      <c r="E310" s="192">
        <f>Calculations!E684</f>
        <v>500</v>
      </c>
      <c r="F310" s="192">
        <f>Calculations!F684</f>
        <v>547.1875</v>
      </c>
      <c r="G310" s="192">
        <f>Calculations!G684</f>
        <v>563.60312499999998</v>
      </c>
      <c r="H310" s="192">
        <f>Calculations!H684</f>
        <v>614.65893750000009</v>
      </c>
      <c r="I310" s="192">
        <f>Calculations!I684</f>
        <v>703.44300625000017</v>
      </c>
      <c r="J310" s="192">
        <f>Calculations!J684</f>
        <v>760.77361125937534</v>
      </c>
      <c r="K310" s="192">
        <f>Calculations!K684</f>
        <v>820.91095386368795</v>
      </c>
      <c r="L310" s="192">
        <f>Calculations!L684</f>
        <v>883.97184077412578</v>
      </c>
      <c r="M310" s="192">
        <f>Calculations!M684</f>
        <v>950.07756104071257</v>
      </c>
      <c r="N310" s="192">
        <f>Calculations!N684</f>
        <v>1019.354049866598</v>
      </c>
      <c r="O310" s="192">
        <f>Calculations!O684</f>
        <v>1091.9320582170997</v>
      </c>
      <c r="P310" s="192">
        <f>Calculations!P684</f>
        <v>1167.9473284237517</v>
      </c>
      <c r="Q310" s="192">
        <f>Calculations!Q684</f>
        <v>1247.5407759904074</v>
      </c>
      <c r="R310" s="192">
        <f>Calculations!R684</f>
        <v>1330.8586778154811</v>
      </c>
      <c r="S310" s="192">
        <f>Calculations!S684</f>
        <v>1418.0528670516678</v>
      </c>
      <c r="T310" s="192">
        <f>Calculations!T684</f>
        <v>1509.280934831992</v>
      </c>
      <c r="U310" s="192">
        <f>Calculations!U684</f>
        <v>1604.7064390987891</v>
      </c>
      <c r="V310" s="192">
        <f>Calculations!V684</f>
        <v>1704.499120780245</v>
      </c>
      <c r="W310" s="192">
        <f>Calculations!W684</f>
        <v>1808.8351275673995</v>
      </c>
      <c r="X310" s="192">
        <f>Calculations!X684</f>
        <v>1917.8972455530807</v>
      </c>
      <c r="Y310" s="192">
        <f>Calculations!Y684</f>
        <v>2031.875139003092</v>
      </c>
      <c r="Z310" s="192">
        <f>Calculations!Z684</f>
        <v>2150.9655985391064</v>
      </c>
      <c r="AA310" s="192">
        <f>Calculations!AA684</f>
        <v>2275.3727980221793</v>
      </c>
      <c r="AB310" s="192">
        <f>Calculations!AB684</f>
        <v>2405.308560435551</v>
      </c>
      <c r="AC310" s="192">
        <f>Calculations!AC684</f>
        <v>2540.9926330755052</v>
      </c>
      <c r="AD310" s="192">
        <f>Calculations!AD684</f>
        <v>2682.6529723694644</v>
      </c>
      <c r="AE310" s="192">
        <f>Calculations!AE684</f>
        <v>2830.5260386512932</v>
      </c>
      <c r="AF310" s="192">
        <f>Calculations!AF684</f>
        <v>2984.8571012348993</v>
      </c>
      <c r="AG310" s="192">
        <f>Calculations!AG684</f>
        <v>3145.900554138736</v>
      </c>
      <c r="AH310" s="192">
        <f>Calculations!AH684</f>
        <v>3313.9202428256913</v>
      </c>
    </row>
    <row r="311" spans="1:65" s="8" customFormat="1" ht="14" outlineLevel="1" x14ac:dyDescent="0.2">
      <c r="B311" s="14" t="str">
        <f>B287&amp; " - total annual cost in forecast period"</f>
        <v>External services - total annual cost in forecast period</v>
      </c>
      <c r="D311" s="10" t="str">
        <f>'Assumptions - General'!$E$27 &amp;" millions"</f>
        <v>R$ millions</v>
      </c>
      <c r="E311" s="192">
        <f>Calculations!E686</f>
        <v>500</v>
      </c>
      <c r="F311" s="192">
        <f>Calculations!F686</f>
        <v>515</v>
      </c>
      <c r="G311" s="192">
        <f>Calculations!G686</f>
        <v>530.45000000000005</v>
      </c>
      <c r="H311" s="192">
        <f>Calculations!H686</f>
        <v>546.36350000000004</v>
      </c>
      <c r="I311" s="192">
        <f>Calculations!I686</f>
        <v>562.75440500000002</v>
      </c>
      <c r="J311" s="192">
        <f>Calculations!J686</f>
        <v>579.63703715000008</v>
      </c>
      <c r="K311" s="192">
        <f>Calculations!K686</f>
        <v>597.02614826449997</v>
      </c>
      <c r="L311" s="192">
        <f>Calculations!L686</f>
        <v>614.93693271243512</v>
      </c>
      <c r="M311" s="192">
        <f>Calculations!M686</f>
        <v>633.38504069380815</v>
      </c>
      <c r="N311" s="192">
        <f>Calculations!N686</f>
        <v>652.38659191462239</v>
      </c>
      <c r="O311" s="192">
        <f>Calculations!O686</f>
        <v>671.95818967206105</v>
      </c>
      <c r="P311" s="192">
        <f>Calculations!P686</f>
        <v>692.11693536222288</v>
      </c>
      <c r="Q311" s="192">
        <f>Calculations!Q686</f>
        <v>712.88044342308967</v>
      </c>
      <c r="R311" s="192">
        <f>Calculations!R686</f>
        <v>734.2668567257823</v>
      </c>
      <c r="S311" s="192">
        <f>Calculations!S686</f>
        <v>756.29486242755581</v>
      </c>
      <c r="T311" s="192">
        <f>Calculations!T686</f>
        <v>778.98370830038255</v>
      </c>
      <c r="U311" s="192">
        <f>Calculations!U686</f>
        <v>802.35321954939388</v>
      </c>
      <c r="V311" s="192">
        <f>Calculations!V686</f>
        <v>826.42381613587577</v>
      </c>
      <c r="W311" s="192">
        <f>Calculations!W686</f>
        <v>851.2165306199521</v>
      </c>
      <c r="X311" s="192">
        <f>Calculations!X686</f>
        <v>876.75302653855067</v>
      </c>
      <c r="Y311" s="192">
        <f>Calculations!Y686</f>
        <v>903.05561733470722</v>
      </c>
      <c r="Z311" s="192">
        <f>Calculations!Z686</f>
        <v>930.14728585474847</v>
      </c>
      <c r="AA311" s="192">
        <f>Calculations!AA686</f>
        <v>958.05170443039083</v>
      </c>
      <c r="AB311" s="192">
        <f>Calculations!AB686</f>
        <v>986.79325556330275</v>
      </c>
      <c r="AC311" s="192">
        <f>Calculations!AC686</f>
        <v>1016.3970532302019</v>
      </c>
      <c r="AD311" s="192">
        <f>Calculations!AD686</f>
        <v>1046.8889648271079</v>
      </c>
      <c r="AE311" s="192">
        <f>Calculations!AE686</f>
        <v>1078.2956337719211</v>
      </c>
      <c r="AF311" s="192">
        <f>Calculations!AF686</f>
        <v>1110.6445027850787</v>
      </c>
      <c r="AG311" s="192">
        <f>Calculations!AG686</f>
        <v>1143.9638378686313</v>
      </c>
      <c r="AH311" s="192">
        <f>Calculations!AH686</f>
        <v>1178.2827530046902</v>
      </c>
    </row>
    <row r="312" spans="1:65" s="8" customFormat="1" ht="14" outlineLevel="1" x14ac:dyDescent="0.2">
      <c r="B312" s="14" t="str">
        <f>B297&amp; " - total annual cost in forecast period"</f>
        <v>Other operating expenses - total annual cost in forecast period</v>
      </c>
      <c r="D312" s="10" t="str">
        <f>'Assumptions - General'!$E$27 &amp;" millions"</f>
        <v>R$ millions</v>
      </c>
      <c r="E312" s="192">
        <f>Calculations!E688</f>
        <v>500</v>
      </c>
      <c r="F312" s="192">
        <f>Calculations!F688</f>
        <v>515</v>
      </c>
      <c r="G312" s="192">
        <f>Calculations!G688</f>
        <v>530.45000000000005</v>
      </c>
      <c r="H312" s="192">
        <f>Calculations!H688</f>
        <v>546.36350000000004</v>
      </c>
      <c r="I312" s="192">
        <f>Calculations!I688</f>
        <v>562.75440500000002</v>
      </c>
      <c r="J312" s="192">
        <f>Calculations!J688</f>
        <v>579.63703715000008</v>
      </c>
      <c r="K312" s="192">
        <f>Calculations!K688</f>
        <v>597.02614826449997</v>
      </c>
      <c r="L312" s="192">
        <f>Calculations!L688</f>
        <v>614.93693271243512</v>
      </c>
      <c r="M312" s="192">
        <f>Calculations!M688</f>
        <v>633.38504069380815</v>
      </c>
      <c r="N312" s="192">
        <f>Calculations!N688</f>
        <v>652.38659191462239</v>
      </c>
      <c r="O312" s="192">
        <f>Calculations!O688</f>
        <v>671.95818967206105</v>
      </c>
      <c r="P312" s="192">
        <f>Calculations!P688</f>
        <v>692.11693536222288</v>
      </c>
      <c r="Q312" s="192">
        <f>Calculations!Q688</f>
        <v>712.88044342308967</v>
      </c>
      <c r="R312" s="192">
        <f>Calculations!R688</f>
        <v>734.2668567257823</v>
      </c>
      <c r="S312" s="192">
        <f>Calculations!S688</f>
        <v>756.29486242755581</v>
      </c>
      <c r="T312" s="192">
        <f>Calculations!T688</f>
        <v>778.98370830038255</v>
      </c>
      <c r="U312" s="192">
        <f>Calculations!U688</f>
        <v>802.35321954939388</v>
      </c>
      <c r="V312" s="192">
        <f>Calculations!V688</f>
        <v>826.42381613587577</v>
      </c>
      <c r="W312" s="192">
        <f>Calculations!W688</f>
        <v>851.2165306199521</v>
      </c>
      <c r="X312" s="192">
        <f>Calculations!X688</f>
        <v>876.75302653855067</v>
      </c>
      <c r="Y312" s="192">
        <f>Calculations!Y688</f>
        <v>903.05561733470722</v>
      </c>
      <c r="Z312" s="192">
        <f>Calculations!Z688</f>
        <v>930.14728585474847</v>
      </c>
      <c r="AA312" s="192">
        <f>Calculations!AA688</f>
        <v>958.05170443039083</v>
      </c>
      <c r="AB312" s="192">
        <f>Calculations!AB688</f>
        <v>986.79325556330275</v>
      </c>
      <c r="AC312" s="192">
        <f>Calculations!AC688</f>
        <v>1016.3970532302019</v>
      </c>
      <c r="AD312" s="192">
        <f>Calculations!AD688</f>
        <v>1046.8889648271079</v>
      </c>
      <c r="AE312" s="192">
        <f>Calculations!AE688</f>
        <v>1078.2956337719211</v>
      </c>
      <c r="AF312" s="192">
        <f>Calculations!AF688</f>
        <v>1110.6445027850787</v>
      </c>
      <c r="AG312" s="192">
        <f>Calculations!AG688</f>
        <v>1143.9638378686313</v>
      </c>
      <c r="AH312" s="192">
        <f>Calculations!AH688</f>
        <v>1178.2827530046902</v>
      </c>
    </row>
    <row r="313" spans="1:65" s="8" customFormat="1" ht="14" x14ac:dyDescent="0.2">
      <c r="A313" s="7" t="s">
        <v>405</v>
      </c>
      <c r="B313" s="14"/>
      <c r="D313" s="15"/>
      <c r="E313" s="15"/>
    </row>
    <row r="314" spans="1:65" s="8" customFormat="1" ht="14" x14ac:dyDescent="0.2">
      <c r="A314" s="7"/>
      <c r="B314" s="14"/>
      <c r="D314" s="15"/>
      <c r="E314" s="15"/>
    </row>
    <row r="315" spans="1:65" s="324" customFormat="1" x14ac:dyDescent="0.2">
      <c r="B315" s="323" t="str">
        <f>"Non-operating costs of " &amp;'Assumptions - General'!$E$25</f>
        <v>Non-operating costs of Ruritania Passenger Rail Company</v>
      </c>
    </row>
    <row r="316" spans="1:65" s="8" customFormat="1" ht="14" x14ac:dyDescent="0.2">
      <c r="B316" s="7"/>
      <c r="E316" s="9"/>
      <c r="F316" s="492" t="s">
        <v>33</v>
      </c>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row>
    <row r="317" spans="1:65" s="8" customFormat="1" ht="14" x14ac:dyDescent="0.2">
      <c r="B317" s="16" t="s">
        <v>375</v>
      </c>
      <c r="D317" s="8" t="s">
        <v>32</v>
      </c>
      <c r="E317" s="177">
        <f>IF(F316=F317,1,2)</f>
        <v>1</v>
      </c>
      <c r="F317" s="87" t="s">
        <v>33</v>
      </c>
    </row>
    <row r="318" spans="1:65" s="8" customFormat="1" ht="14" x14ac:dyDescent="0.2">
      <c r="B318" s="16"/>
      <c r="E318" s="182"/>
      <c r="F318" s="87" t="s">
        <v>211</v>
      </c>
    </row>
    <row r="319" spans="1:65" s="20" customFormat="1" ht="14" x14ac:dyDescent="0.2">
      <c r="B319" s="19" t="s">
        <v>132</v>
      </c>
      <c r="D319" s="20" t="s">
        <v>2</v>
      </c>
      <c r="E319" s="188" t="s">
        <v>117</v>
      </c>
    </row>
    <row r="320" spans="1:65" s="8" customFormat="1" ht="14" x14ac:dyDescent="0.2">
      <c r="B320" s="14" t="s">
        <v>377</v>
      </c>
      <c r="D320" s="10" t="str">
        <f>'Assumptions - General'!$E$27 &amp;" millions"</f>
        <v>R$ millions</v>
      </c>
      <c r="E320" s="176">
        <v>200</v>
      </c>
    </row>
    <row r="321" spans="2:65" s="8" customFormat="1" ht="14" x14ac:dyDescent="0.2">
      <c r="B321" s="215" t="s">
        <v>385</v>
      </c>
      <c r="D321" s="8" t="s">
        <v>256</v>
      </c>
      <c r="E321" s="176">
        <v>100</v>
      </c>
      <c r="F321" s="219">
        <f t="shared" ref="F321:AH321" si="19">E321*(1+F322)</f>
        <v>100</v>
      </c>
      <c r="G321" s="219">
        <f t="shared" si="19"/>
        <v>100</v>
      </c>
      <c r="H321" s="219">
        <f t="shared" si="19"/>
        <v>100</v>
      </c>
      <c r="I321" s="219">
        <f t="shared" si="19"/>
        <v>100</v>
      </c>
      <c r="J321" s="219">
        <f t="shared" si="19"/>
        <v>100</v>
      </c>
      <c r="K321" s="219">
        <f t="shared" si="19"/>
        <v>100</v>
      </c>
      <c r="L321" s="219">
        <f t="shared" si="19"/>
        <v>100</v>
      </c>
      <c r="M321" s="219">
        <f t="shared" si="19"/>
        <v>100</v>
      </c>
      <c r="N321" s="219">
        <f t="shared" si="19"/>
        <v>100</v>
      </c>
      <c r="O321" s="219">
        <f t="shared" si="19"/>
        <v>100</v>
      </c>
      <c r="P321" s="219">
        <f t="shared" si="19"/>
        <v>100</v>
      </c>
      <c r="Q321" s="219">
        <f t="shared" si="19"/>
        <v>100</v>
      </c>
      <c r="R321" s="219">
        <f t="shared" si="19"/>
        <v>100</v>
      </c>
      <c r="S321" s="219">
        <f t="shared" si="19"/>
        <v>100</v>
      </c>
      <c r="T321" s="219">
        <f t="shared" si="19"/>
        <v>100</v>
      </c>
      <c r="U321" s="219">
        <f t="shared" si="19"/>
        <v>100</v>
      </c>
      <c r="V321" s="219">
        <f t="shared" si="19"/>
        <v>100</v>
      </c>
      <c r="W321" s="219">
        <f t="shared" si="19"/>
        <v>100</v>
      </c>
      <c r="X321" s="219">
        <f t="shared" si="19"/>
        <v>100</v>
      </c>
      <c r="Y321" s="219">
        <f t="shared" si="19"/>
        <v>100</v>
      </c>
      <c r="Z321" s="219">
        <f t="shared" si="19"/>
        <v>100</v>
      </c>
      <c r="AA321" s="219">
        <f t="shared" si="19"/>
        <v>100</v>
      </c>
      <c r="AB321" s="219">
        <f t="shared" si="19"/>
        <v>100</v>
      </c>
      <c r="AC321" s="219">
        <f t="shared" si="19"/>
        <v>100</v>
      </c>
      <c r="AD321" s="219">
        <f t="shared" si="19"/>
        <v>100</v>
      </c>
      <c r="AE321" s="219">
        <f t="shared" si="19"/>
        <v>100</v>
      </c>
      <c r="AF321" s="219">
        <f t="shared" si="19"/>
        <v>100</v>
      </c>
      <c r="AG321" s="219">
        <f t="shared" si="19"/>
        <v>100</v>
      </c>
      <c r="AH321" s="219">
        <f t="shared" si="19"/>
        <v>100</v>
      </c>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20"/>
      <c r="BG321" s="20"/>
      <c r="BH321" s="20"/>
      <c r="BI321" s="20"/>
      <c r="BJ321" s="20"/>
      <c r="BK321" s="20"/>
      <c r="BL321" s="20"/>
      <c r="BM321" s="20"/>
    </row>
    <row r="322" spans="2:65" s="8" customFormat="1" ht="14" x14ac:dyDescent="0.2">
      <c r="B322" s="211" t="s">
        <v>263</v>
      </c>
      <c r="D322" s="8" t="s">
        <v>15</v>
      </c>
      <c r="E322" s="192"/>
      <c r="F322" s="189">
        <v>0</v>
      </c>
      <c r="G322" s="189">
        <v>0</v>
      </c>
      <c r="H322" s="189">
        <v>0</v>
      </c>
      <c r="I322" s="189">
        <v>0</v>
      </c>
      <c r="J322" s="189">
        <v>0</v>
      </c>
      <c r="K322" s="189">
        <v>0</v>
      </c>
      <c r="L322" s="189">
        <v>0</v>
      </c>
      <c r="M322" s="189">
        <v>0</v>
      </c>
      <c r="N322" s="189">
        <v>0</v>
      </c>
      <c r="O322" s="189">
        <v>0</v>
      </c>
      <c r="P322" s="189">
        <v>0</v>
      </c>
      <c r="Q322" s="189">
        <v>0</v>
      </c>
      <c r="R322" s="189">
        <v>0</v>
      </c>
      <c r="S322" s="189">
        <v>0</v>
      </c>
      <c r="T322" s="189">
        <v>0</v>
      </c>
      <c r="U322" s="189">
        <v>0</v>
      </c>
      <c r="V322" s="189">
        <v>0</v>
      </c>
      <c r="W322" s="189">
        <v>0</v>
      </c>
      <c r="X322" s="189">
        <v>0</v>
      </c>
      <c r="Y322" s="189">
        <v>0</v>
      </c>
      <c r="Z322" s="189">
        <v>0</v>
      </c>
      <c r="AA322" s="189">
        <v>0</v>
      </c>
      <c r="AB322" s="189">
        <v>0</v>
      </c>
      <c r="AC322" s="189">
        <v>0</v>
      </c>
      <c r="AD322" s="189">
        <v>0</v>
      </c>
      <c r="AE322" s="189">
        <v>0</v>
      </c>
      <c r="AF322" s="189">
        <v>0</v>
      </c>
      <c r="AG322" s="189">
        <v>0</v>
      </c>
      <c r="AH322" s="189">
        <v>0</v>
      </c>
      <c r="AI322" s="20"/>
      <c r="AJ322" s="20"/>
      <c r="AK322" s="20"/>
      <c r="AL322" s="20"/>
      <c r="AM322" s="20"/>
      <c r="AN322" s="20"/>
      <c r="AO322" s="20"/>
      <c r="AP322" s="20"/>
      <c r="AQ322" s="20"/>
      <c r="AR322" s="20"/>
      <c r="AS322" s="20"/>
      <c r="AT322" s="20"/>
      <c r="AU322" s="20"/>
      <c r="AV322" s="20"/>
      <c r="AW322" s="20"/>
      <c r="AX322" s="20"/>
      <c r="AY322" s="20"/>
      <c r="AZ322" s="20"/>
      <c r="BA322" s="20"/>
      <c r="BB322" s="20"/>
      <c r="BC322" s="20"/>
      <c r="BD322" s="20"/>
      <c r="BE322" s="20"/>
      <c r="BF322" s="20"/>
      <c r="BG322" s="20"/>
      <c r="BH322" s="20"/>
      <c r="BI322" s="20"/>
      <c r="BJ322" s="20"/>
      <c r="BK322" s="20"/>
      <c r="BL322" s="20"/>
      <c r="BM322" s="20"/>
    </row>
    <row r="323" spans="2:65" s="8" customFormat="1" ht="14" x14ac:dyDescent="0.2">
      <c r="B323" s="215" t="s">
        <v>575</v>
      </c>
      <c r="D323" s="15"/>
      <c r="E323" s="180"/>
      <c r="F323" s="220"/>
      <c r="G323" s="183"/>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20"/>
      <c r="AJ323" s="20"/>
      <c r="AK323" s="20"/>
      <c r="AL323" s="20"/>
      <c r="AM323" s="20"/>
      <c r="AN323" s="20"/>
      <c r="AO323" s="20"/>
      <c r="AP323" s="20"/>
      <c r="AQ323" s="20"/>
      <c r="AR323" s="20"/>
      <c r="AS323" s="20"/>
      <c r="AT323" s="20"/>
      <c r="AU323" s="20"/>
      <c r="AV323" s="20"/>
      <c r="AW323" s="20"/>
      <c r="AX323" s="20"/>
      <c r="AY323" s="20"/>
      <c r="AZ323" s="20"/>
      <c r="BA323" s="20"/>
      <c r="BB323" s="20"/>
      <c r="BC323" s="20"/>
      <c r="BD323" s="20"/>
      <c r="BE323" s="20"/>
      <c r="BF323" s="20"/>
      <c r="BG323" s="20"/>
      <c r="BH323" s="20"/>
      <c r="BI323" s="20"/>
      <c r="BJ323" s="20"/>
      <c r="BK323" s="20"/>
      <c r="BL323" s="20"/>
      <c r="BM323" s="20"/>
    </row>
    <row r="324" spans="2:65" s="8" customFormat="1" ht="14" x14ac:dyDescent="0.2">
      <c r="B324" s="211" t="s">
        <v>38</v>
      </c>
      <c r="D324" s="8" t="s">
        <v>15</v>
      </c>
      <c r="E324" s="188">
        <f>IF(E317=2,0,F324/100)</f>
        <v>1</v>
      </c>
      <c r="F324" s="220">
        <v>100</v>
      </c>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20"/>
      <c r="AJ324" s="20"/>
      <c r="AK324" s="20"/>
      <c r="AL324" s="20"/>
      <c r="AM324" s="20"/>
      <c r="AN324" s="20"/>
      <c r="AO324" s="20"/>
      <c r="AP324" s="20"/>
      <c r="AQ324" s="20"/>
      <c r="AR324" s="20"/>
      <c r="AS324" s="20"/>
      <c r="AT324" s="20"/>
      <c r="AU324" s="20"/>
      <c r="AV324" s="20"/>
      <c r="AW324" s="20"/>
      <c r="AX324" s="20"/>
      <c r="AY324" s="20"/>
      <c r="AZ324" s="20"/>
      <c r="BA324" s="20"/>
      <c r="BB324" s="20"/>
      <c r="BC324" s="20"/>
      <c r="BD324" s="20"/>
      <c r="BE324" s="20"/>
      <c r="BF324" s="20"/>
      <c r="BG324" s="20"/>
      <c r="BH324" s="20"/>
      <c r="BI324" s="20"/>
      <c r="BJ324" s="20"/>
      <c r="BK324" s="20"/>
      <c r="BL324" s="20"/>
      <c r="BM324" s="20"/>
    </row>
    <row r="325" spans="2:65" s="20" customFormat="1" ht="14" x14ac:dyDescent="0.2">
      <c r="B325" s="216" t="s">
        <v>268</v>
      </c>
      <c r="D325" s="122" t="str">
        <f>'Assumptions - General'!$E$27 &amp;" per unit"</f>
        <v>R$ per unit</v>
      </c>
      <c r="E325" s="192">
        <f>IF(E320&gt;0,E320*1000000/E321,0)</f>
        <v>2000000</v>
      </c>
      <c r="F325" s="192">
        <f>E325*(1+F326)*IF($E$317=1,($E324*'Assumptions - General'!F$37+1),1)</f>
        <v>2060000</v>
      </c>
      <c r="G325" s="192">
        <f>F325*(1+G326)*IF($E$317=1,($E324*'Assumptions - General'!G$37+1),1)</f>
        <v>2121800</v>
      </c>
      <c r="H325" s="192">
        <f>G325*(1+H326)*IF($E$317=1,($E324*'Assumptions - General'!H$37+1),1)</f>
        <v>2185454</v>
      </c>
      <c r="I325" s="192">
        <f>H325*(1+I326)*IF($E$317=1,($E324*'Assumptions - General'!I$37+1),1)</f>
        <v>2251017.62</v>
      </c>
      <c r="J325" s="192">
        <f>I325*(1+J326)*IF($E$317=1,($E324*'Assumptions - General'!J$37+1),1)</f>
        <v>2318548.1486</v>
      </c>
      <c r="K325" s="192">
        <f>J325*(1+K326)*IF($E$317=1,($E324*'Assumptions - General'!K$37+1),1)</f>
        <v>2388104.5930579999</v>
      </c>
      <c r="L325" s="192">
        <f>K325*(1+L326)*IF($E$317=1,($E324*'Assumptions - General'!L$37+1),1)</f>
        <v>2459747.7308497401</v>
      </c>
      <c r="M325" s="192">
        <f>L325*(1+M326)*IF($E$317=1,($E324*'Assumptions - General'!M$37+1),1)</f>
        <v>2533540.1627752325</v>
      </c>
      <c r="N325" s="192">
        <f>M325*(1+N326)*IF($E$317=1,($E324*'Assumptions - General'!N$37+1),1)</f>
        <v>2609546.3676584894</v>
      </c>
      <c r="O325" s="192">
        <f>N325*(1+O326)*IF($E$317=1,($E324*'Assumptions - General'!O$37+1),1)</f>
        <v>2687832.758688244</v>
      </c>
      <c r="P325" s="192">
        <f>O325*(1+P326)*IF($E$317=1,($E324*'Assumptions - General'!P$37+1),1)</f>
        <v>2768467.7414488913</v>
      </c>
      <c r="Q325" s="192">
        <f>P325*(1+Q326)*IF($E$317=1,($E324*'Assumptions - General'!Q$37+1),1)</f>
        <v>2851521.7736923583</v>
      </c>
      <c r="R325" s="192">
        <f>Q325*(1+R326)*IF($E$317=1,($E324*'Assumptions - General'!R$37+1),1)</f>
        <v>2937067.4269031291</v>
      </c>
      <c r="S325" s="192">
        <f>R325*(1+S326)*IF($E$317=1,($E324*'Assumptions - General'!S$37+1),1)</f>
        <v>3025179.4497102229</v>
      </c>
      <c r="T325" s="192">
        <f>S325*(1+T326)*IF($E$317=1,($E324*'Assumptions - General'!T$37+1),1)</f>
        <v>3115934.8332015295</v>
      </c>
      <c r="U325" s="192">
        <f>T325*(1+U326)*IF($E$317=1,($E324*'Assumptions - General'!U$37+1),1)</f>
        <v>3209412.8781975755</v>
      </c>
      <c r="V325" s="192">
        <f>U325*(1+V326)*IF($E$317=1,($E324*'Assumptions - General'!V$37+1),1)</f>
        <v>3305695.2645435026</v>
      </c>
      <c r="W325" s="192">
        <f>V325*(1+W326)*IF($E$317=1,($E324*'Assumptions - General'!W$37+1),1)</f>
        <v>3404866.1224798076</v>
      </c>
      <c r="X325" s="192">
        <f>W325*(1+X326)*IF($E$317=1,($E324*'Assumptions - General'!X$37+1),1)</f>
        <v>3507012.106154202</v>
      </c>
      <c r="Y325" s="192">
        <f>X325*(1+Y326)*IF($E$317=1,($E324*'Assumptions - General'!Y$37+1),1)</f>
        <v>3612222.4693388282</v>
      </c>
      <c r="Z325" s="192">
        <f>Y325*(1+Z326)*IF($E$317=1,($E324*'Assumptions - General'!Z$37+1),1)</f>
        <v>3720589.1434189933</v>
      </c>
      <c r="AA325" s="192">
        <f>Z325*(1+AA326)*IF($E$317=1,($E324*'Assumptions - General'!AA$37+1),1)</f>
        <v>3832206.8177215634</v>
      </c>
      <c r="AB325" s="192">
        <f>AA325*(1+AB326)*IF($E$317=1,($E324*'Assumptions - General'!AB$37+1),1)</f>
        <v>3947173.0222532102</v>
      </c>
      <c r="AC325" s="192">
        <f>AB325*(1+AC326)*IF($E$317=1,($E324*'Assumptions - General'!AC$37+1),1)</f>
        <v>4065588.2129208064</v>
      </c>
      <c r="AD325" s="192">
        <f>AC325*(1+AD326)*IF($E$317=1,($E324*'Assumptions - General'!AD$37+1),1)</f>
        <v>4187555.8593084305</v>
      </c>
      <c r="AE325" s="192">
        <f>AD325*(1+AE326)*IF($E$317=1,($E324*'Assumptions - General'!AE$37+1),1)</f>
        <v>4313182.5350876832</v>
      </c>
      <c r="AF325" s="192">
        <f>AE325*(1+AF326)*IF($E$317=1,($E324*'Assumptions - General'!AF$37+1),1)</f>
        <v>4442578.0111403139</v>
      </c>
      <c r="AG325" s="192">
        <f>AF325*(1+AG326)*IF($E$317=1,($E324*'Assumptions - General'!AG$37+1),1)</f>
        <v>4575855.3514745235</v>
      </c>
      <c r="AH325" s="192">
        <f>AG325*(1+AH326)*IF($E$317=1,($E324*'Assumptions - General'!AH$37+1),1)</f>
        <v>4713131.0120187597</v>
      </c>
    </row>
    <row r="326" spans="2:65" x14ac:dyDescent="0.2">
      <c r="B326" s="30" t="s">
        <v>401</v>
      </c>
      <c r="D326" s="15" t="s">
        <v>15</v>
      </c>
      <c r="E326" s="190"/>
      <c r="F326" s="188">
        <v>0</v>
      </c>
      <c r="G326" s="188">
        <v>0</v>
      </c>
      <c r="H326" s="188">
        <v>0</v>
      </c>
      <c r="I326" s="188">
        <v>0</v>
      </c>
      <c r="J326" s="188">
        <v>0</v>
      </c>
      <c r="K326" s="188">
        <v>0</v>
      </c>
      <c r="L326" s="188">
        <v>0</v>
      </c>
      <c r="M326" s="188">
        <v>0</v>
      </c>
      <c r="N326" s="188">
        <v>0</v>
      </c>
      <c r="O326" s="188">
        <v>0</v>
      </c>
      <c r="P326" s="188">
        <v>0</v>
      </c>
      <c r="Q326" s="188">
        <v>0</v>
      </c>
      <c r="R326" s="188">
        <v>0</v>
      </c>
      <c r="S326" s="188">
        <v>0</v>
      </c>
      <c r="T326" s="188">
        <v>0</v>
      </c>
      <c r="U326" s="188">
        <v>0</v>
      </c>
      <c r="V326" s="188">
        <v>0</v>
      </c>
      <c r="W326" s="188">
        <v>0</v>
      </c>
      <c r="X326" s="188">
        <v>0</v>
      </c>
      <c r="Y326" s="188">
        <v>0</v>
      </c>
      <c r="Z326" s="188">
        <v>0</v>
      </c>
      <c r="AA326" s="188">
        <v>0</v>
      </c>
      <c r="AB326" s="188">
        <v>0</v>
      </c>
      <c r="AC326" s="188">
        <v>0</v>
      </c>
      <c r="AD326" s="188">
        <v>0</v>
      </c>
      <c r="AE326" s="188">
        <v>0</v>
      </c>
      <c r="AF326" s="188">
        <v>0</v>
      </c>
      <c r="AG326" s="188">
        <v>0</v>
      </c>
      <c r="AH326" s="188">
        <v>0</v>
      </c>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row>
    <row r="327" spans="2:65" s="18" customFormat="1" x14ac:dyDescent="0.2">
      <c r="B327" s="32"/>
      <c r="D327" s="81"/>
      <c r="E327" s="204"/>
      <c r="F327" s="180"/>
      <c r="G327" s="180"/>
      <c r="H327" s="180"/>
      <c r="I327" s="180"/>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H327" s="180"/>
    </row>
    <row r="328" spans="2:65" s="20" customFormat="1" ht="14" x14ac:dyDescent="0.2">
      <c r="B328" s="19" t="s">
        <v>133</v>
      </c>
      <c r="D328" s="20" t="s">
        <v>2</v>
      </c>
      <c r="E328" s="188" t="s">
        <v>695</v>
      </c>
      <c r="F328" s="221"/>
      <c r="G328" s="182"/>
      <c r="H328" s="182"/>
      <c r="I328" s="182"/>
      <c r="J328" s="182"/>
      <c r="K328" s="182"/>
      <c r="L328" s="182"/>
      <c r="M328" s="182"/>
      <c r="N328" s="182"/>
      <c r="O328" s="182"/>
      <c r="P328" s="182"/>
      <c r="Q328" s="182"/>
      <c r="R328" s="182"/>
      <c r="S328" s="182"/>
      <c r="T328" s="182"/>
      <c r="U328" s="182"/>
      <c r="V328" s="182"/>
      <c r="W328" s="182"/>
      <c r="X328" s="182"/>
      <c r="Y328" s="182"/>
      <c r="Z328" s="182"/>
      <c r="AA328" s="182"/>
      <c r="AB328" s="182"/>
      <c r="AC328" s="182"/>
      <c r="AD328" s="182"/>
      <c r="AE328" s="182"/>
      <c r="AF328" s="182"/>
      <c r="AG328" s="182"/>
      <c r="AH328" s="182"/>
    </row>
    <row r="329" spans="2:65" s="8" customFormat="1" ht="14" x14ac:dyDescent="0.2">
      <c r="B329" s="14" t="s">
        <v>377</v>
      </c>
      <c r="D329" s="10" t="str">
        <f>'Assumptions - General'!$E$27 &amp;" millions"</f>
        <v>R$ millions</v>
      </c>
      <c r="E329" s="176">
        <v>50</v>
      </c>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row>
    <row r="330" spans="2:65" s="8" customFormat="1" ht="14" x14ac:dyDescent="0.2">
      <c r="B330" s="215" t="s">
        <v>385</v>
      </c>
      <c r="D330" s="8" t="s">
        <v>256</v>
      </c>
      <c r="E330" s="176">
        <v>100</v>
      </c>
      <c r="F330" s="219">
        <f t="shared" ref="F330:AH330" si="20">E330*(1+F331)</f>
        <v>100</v>
      </c>
      <c r="G330" s="219">
        <f t="shared" si="20"/>
        <v>100</v>
      </c>
      <c r="H330" s="219">
        <v>100</v>
      </c>
      <c r="I330" s="219">
        <v>100</v>
      </c>
      <c r="J330" s="219">
        <f t="shared" si="20"/>
        <v>100</v>
      </c>
      <c r="K330" s="219">
        <f t="shared" si="20"/>
        <v>100</v>
      </c>
      <c r="L330" s="219">
        <f t="shared" si="20"/>
        <v>100</v>
      </c>
      <c r="M330" s="219">
        <f t="shared" si="20"/>
        <v>100</v>
      </c>
      <c r="N330" s="219">
        <f t="shared" si="20"/>
        <v>100</v>
      </c>
      <c r="O330" s="219">
        <f t="shared" si="20"/>
        <v>100</v>
      </c>
      <c r="P330" s="219">
        <f t="shared" si="20"/>
        <v>100</v>
      </c>
      <c r="Q330" s="219">
        <f t="shared" si="20"/>
        <v>100</v>
      </c>
      <c r="R330" s="219">
        <f t="shared" si="20"/>
        <v>100</v>
      </c>
      <c r="S330" s="219">
        <f t="shared" si="20"/>
        <v>100</v>
      </c>
      <c r="T330" s="219">
        <f t="shared" si="20"/>
        <v>100</v>
      </c>
      <c r="U330" s="219">
        <f t="shared" si="20"/>
        <v>100</v>
      </c>
      <c r="V330" s="219">
        <f t="shared" si="20"/>
        <v>100</v>
      </c>
      <c r="W330" s="219">
        <f t="shared" si="20"/>
        <v>100</v>
      </c>
      <c r="X330" s="219">
        <f t="shared" si="20"/>
        <v>100</v>
      </c>
      <c r="Y330" s="219">
        <f t="shared" si="20"/>
        <v>100</v>
      </c>
      <c r="Z330" s="219">
        <f t="shared" si="20"/>
        <v>100</v>
      </c>
      <c r="AA330" s="219">
        <f t="shared" si="20"/>
        <v>100</v>
      </c>
      <c r="AB330" s="219">
        <f t="shared" si="20"/>
        <v>100</v>
      </c>
      <c r="AC330" s="219">
        <f t="shared" si="20"/>
        <v>100</v>
      </c>
      <c r="AD330" s="219">
        <f t="shared" si="20"/>
        <v>100</v>
      </c>
      <c r="AE330" s="219">
        <f t="shared" si="20"/>
        <v>100</v>
      </c>
      <c r="AF330" s="219">
        <f t="shared" si="20"/>
        <v>100</v>
      </c>
      <c r="AG330" s="219">
        <f t="shared" si="20"/>
        <v>100</v>
      </c>
      <c r="AH330" s="219">
        <f t="shared" si="20"/>
        <v>100</v>
      </c>
      <c r="AI330" s="20"/>
      <c r="AJ330" s="20"/>
      <c r="AK330" s="20"/>
      <c r="AL330" s="20"/>
      <c r="AM330" s="20"/>
      <c r="AN330" s="20"/>
      <c r="AO330" s="20"/>
      <c r="AP330" s="20"/>
      <c r="AQ330" s="20"/>
      <c r="AR330" s="20"/>
      <c r="AS330" s="20"/>
      <c r="AT330" s="20"/>
      <c r="AU330" s="20"/>
      <c r="AV330" s="20"/>
      <c r="AW330" s="20"/>
      <c r="AX330" s="20"/>
      <c r="AY330" s="20"/>
      <c r="AZ330" s="20"/>
      <c r="BA330" s="20"/>
      <c r="BB330" s="20"/>
      <c r="BC330" s="20"/>
      <c r="BD330" s="20"/>
      <c r="BE330" s="20"/>
      <c r="BF330" s="20"/>
      <c r="BG330" s="20"/>
      <c r="BH330" s="20"/>
      <c r="BI330" s="20"/>
      <c r="BJ330" s="20"/>
      <c r="BK330" s="20"/>
      <c r="BL330" s="20"/>
      <c r="BM330" s="20"/>
    </row>
    <row r="331" spans="2:65" s="8" customFormat="1" ht="14" x14ac:dyDescent="0.2">
      <c r="B331" s="211" t="s">
        <v>263</v>
      </c>
      <c r="D331" s="8" t="s">
        <v>15</v>
      </c>
      <c r="E331" s="192"/>
      <c r="F331" s="189">
        <v>0</v>
      </c>
      <c r="G331" s="189">
        <v>0</v>
      </c>
      <c r="H331" s="189">
        <v>0</v>
      </c>
      <c r="I331" s="189">
        <v>0</v>
      </c>
      <c r="J331" s="189">
        <v>0</v>
      </c>
      <c r="K331" s="189">
        <v>0</v>
      </c>
      <c r="L331" s="189">
        <v>0</v>
      </c>
      <c r="M331" s="189">
        <v>0</v>
      </c>
      <c r="N331" s="189">
        <v>0</v>
      </c>
      <c r="O331" s="189">
        <v>0</v>
      </c>
      <c r="P331" s="189">
        <v>0</v>
      </c>
      <c r="Q331" s="189">
        <v>0</v>
      </c>
      <c r="R331" s="189">
        <v>0</v>
      </c>
      <c r="S331" s="189">
        <v>0</v>
      </c>
      <c r="T331" s="189">
        <v>0</v>
      </c>
      <c r="U331" s="189">
        <v>0</v>
      </c>
      <c r="V331" s="189">
        <v>0</v>
      </c>
      <c r="W331" s="189">
        <v>0</v>
      </c>
      <c r="X331" s="189">
        <v>0</v>
      </c>
      <c r="Y331" s="189">
        <v>0</v>
      </c>
      <c r="Z331" s="189">
        <v>0</v>
      </c>
      <c r="AA331" s="189">
        <v>0</v>
      </c>
      <c r="AB331" s="189">
        <v>0</v>
      </c>
      <c r="AC331" s="189">
        <v>0</v>
      </c>
      <c r="AD331" s="189">
        <v>0</v>
      </c>
      <c r="AE331" s="189">
        <v>0</v>
      </c>
      <c r="AF331" s="189">
        <v>0</v>
      </c>
      <c r="AG331" s="189">
        <v>0</v>
      </c>
      <c r="AH331" s="189">
        <v>0</v>
      </c>
      <c r="AI331" s="20"/>
      <c r="AJ331" s="20"/>
      <c r="AK331" s="20"/>
      <c r="AL331" s="20"/>
      <c r="AM331" s="20"/>
      <c r="AN331" s="20"/>
      <c r="AO331" s="20"/>
      <c r="AP331" s="20"/>
      <c r="AQ331" s="20"/>
      <c r="AR331" s="20"/>
      <c r="AS331" s="20"/>
      <c r="AT331" s="20"/>
      <c r="AU331" s="20"/>
      <c r="AV331" s="20"/>
      <c r="AW331" s="20"/>
      <c r="AX331" s="20"/>
      <c r="AY331" s="20"/>
      <c r="AZ331" s="20"/>
      <c r="BA331" s="20"/>
      <c r="BB331" s="20"/>
      <c r="BC331" s="20"/>
      <c r="BD331" s="20"/>
      <c r="BE331" s="20"/>
      <c r="BF331" s="20"/>
      <c r="BG331" s="20"/>
      <c r="BH331" s="20"/>
      <c r="BI331" s="20"/>
      <c r="BJ331" s="20"/>
      <c r="BK331" s="20"/>
      <c r="BL331" s="20"/>
      <c r="BM331" s="20"/>
    </row>
    <row r="332" spans="2:65" s="8" customFormat="1" ht="14" x14ac:dyDescent="0.2">
      <c r="B332" s="215" t="s">
        <v>575</v>
      </c>
      <c r="D332" s="15"/>
      <c r="E332" s="180"/>
      <c r="F332" s="220"/>
      <c r="G332" s="183"/>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20"/>
      <c r="AJ332" s="20"/>
      <c r="AK332" s="20"/>
      <c r="AL332" s="20"/>
      <c r="AM332" s="20"/>
      <c r="AN332" s="20"/>
      <c r="AO332" s="20"/>
      <c r="AP332" s="20"/>
      <c r="AQ332" s="20"/>
      <c r="AR332" s="20"/>
      <c r="AS332" s="20"/>
      <c r="AT332" s="20"/>
      <c r="AU332" s="20"/>
      <c r="AV332" s="20"/>
      <c r="AW332" s="20"/>
      <c r="AX332" s="20"/>
      <c r="AY332" s="20"/>
      <c r="AZ332" s="20"/>
      <c r="BA332" s="20"/>
      <c r="BB332" s="20"/>
      <c r="BC332" s="20"/>
      <c r="BD332" s="20"/>
      <c r="BE332" s="20"/>
      <c r="BF332" s="20"/>
      <c r="BG332" s="20"/>
      <c r="BH332" s="20"/>
      <c r="BI332" s="20"/>
      <c r="BJ332" s="20"/>
      <c r="BK332" s="20"/>
      <c r="BL332" s="20"/>
      <c r="BM332" s="20"/>
    </row>
    <row r="333" spans="2:65" s="8" customFormat="1" ht="14" x14ac:dyDescent="0.2">
      <c r="B333" s="211" t="s">
        <v>38</v>
      </c>
      <c r="D333" s="8" t="s">
        <v>15</v>
      </c>
      <c r="E333" s="188">
        <f>IF(E317=2,0,F333/100)</f>
        <v>1</v>
      </c>
      <c r="F333" s="220">
        <v>100</v>
      </c>
      <c r="G333" s="183"/>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20"/>
      <c r="BG333" s="20"/>
      <c r="BH333" s="20"/>
      <c r="BI333" s="20"/>
      <c r="BJ333" s="20"/>
      <c r="BK333" s="20"/>
      <c r="BL333" s="20"/>
      <c r="BM333" s="20"/>
    </row>
    <row r="334" spans="2:65" s="20" customFormat="1" ht="14" x14ac:dyDescent="0.2">
      <c r="B334" s="216" t="s">
        <v>268</v>
      </c>
      <c r="D334" s="122" t="str">
        <f>'Assumptions - General'!$E$27 &amp;" per unit"</f>
        <v>R$ per unit</v>
      </c>
      <c r="E334" s="192">
        <f>IF(E329&gt;0,E329*1000000/E330,0)</f>
        <v>500000</v>
      </c>
      <c r="F334" s="192">
        <f>E334*(1+F335)*IF($E$317=1,($E333*'Assumptions - General'!F$37+1),1)</f>
        <v>515000</v>
      </c>
      <c r="G334" s="192">
        <f>F334*(1+G335)*IF($E$317=1,($E333*'Assumptions - General'!G$37+1),1)</f>
        <v>530450</v>
      </c>
      <c r="H334" s="192">
        <f>G334*(1+H335)*IF($E$317=1,($E333*'Assumptions - General'!H$37+1),1)</f>
        <v>546363.5</v>
      </c>
      <c r="I334" s="192">
        <f>H334*(1+I335)*IF($E$317=1,($E333*'Assumptions - General'!I$37+1),1)</f>
        <v>562754.40500000003</v>
      </c>
      <c r="J334" s="192">
        <f>I334*(1+J335)*IF($E$317=1,($E333*'Assumptions - General'!J$37+1),1)</f>
        <v>579637.03714999999</v>
      </c>
      <c r="K334" s="192">
        <f>J334*(1+K335)*IF($E$317=1,($E333*'Assumptions - General'!K$37+1),1)</f>
        <v>597026.14826449996</v>
      </c>
      <c r="L334" s="192">
        <f>K334*(1+L335)*IF($E$317=1,($E333*'Assumptions - General'!L$37+1),1)</f>
        <v>614936.93271243502</v>
      </c>
      <c r="M334" s="192">
        <f>L334*(1+M335)*IF($E$317=1,($E333*'Assumptions - General'!M$37+1),1)</f>
        <v>633385.04069380811</v>
      </c>
      <c r="N334" s="192">
        <f>M334*(1+N335)*IF($E$317=1,($E333*'Assumptions - General'!N$37+1),1)</f>
        <v>652386.59191462235</v>
      </c>
      <c r="O334" s="192">
        <f>N334*(1+O335)*IF($E$317=1,($E333*'Assumptions - General'!O$37+1),1)</f>
        <v>671958.18967206101</v>
      </c>
      <c r="P334" s="192">
        <f>O334*(1+P335)*IF($E$317=1,($E333*'Assumptions - General'!P$37+1),1)</f>
        <v>692116.93536222284</v>
      </c>
      <c r="Q334" s="192">
        <f>P334*(1+Q335)*IF($E$317=1,($E333*'Assumptions - General'!Q$37+1),1)</f>
        <v>712880.44342308957</v>
      </c>
      <c r="R334" s="192">
        <f>Q334*(1+R335)*IF($E$317=1,($E333*'Assumptions - General'!R$37+1),1)</f>
        <v>734266.85672578227</v>
      </c>
      <c r="S334" s="192">
        <f>R334*(1+S335)*IF($E$317=1,($E333*'Assumptions - General'!S$37+1),1)</f>
        <v>756294.86242755572</v>
      </c>
      <c r="T334" s="192">
        <f>S334*(1+T335)*IF($E$317=1,($E333*'Assumptions - General'!T$37+1),1)</f>
        <v>778983.70830038236</v>
      </c>
      <c r="U334" s="192">
        <f>T334*(1+U335)*IF($E$317=1,($E333*'Assumptions - General'!U$37+1),1)</f>
        <v>802353.21954939386</v>
      </c>
      <c r="V334" s="192">
        <f>U334*(1+V335)*IF($E$317=1,($E333*'Assumptions - General'!V$37+1),1)</f>
        <v>826423.81613587565</v>
      </c>
      <c r="W334" s="192">
        <f>V334*(1+W335)*IF($E$317=1,($E333*'Assumptions - General'!W$37+1),1)</f>
        <v>851216.5306199519</v>
      </c>
      <c r="X334" s="192">
        <f>W334*(1+X335)*IF($E$317=1,($E333*'Assumptions - General'!X$37+1),1)</f>
        <v>876753.0265385505</v>
      </c>
      <c r="Y334" s="192">
        <f>X334*(1+Y335)*IF($E$317=1,($E333*'Assumptions - General'!Y$37+1),1)</f>
        <v>903055.61733470706</v>
      </c>
      <c r="Z334" s="192">
        <f>Y334*(1+Z335)*IF($E$317=1,($E333*'Assumptions - General'!Z$37+1),1)</f>
        <v>930147.28585474833</v>
      </c>
      <c r="AA334" s="192">
        <f>Z334*(1+AA335)*IF($E$317=1,($E333*'Assumptions - General'!AA$37+1),1)</f>
        <v>958051.70443039085</v>
      </c>
      <c r="AB334" s="192">
        <f>AA334*(1+AB335)*IF($E$317=1,($E333*'Assumptions - General'!AB$37+1),1)</f>
        <v>986793.25556330255</v>
      </c>
      <c r="AC334" s="192">
        <f>AB334*(1+AC335)*IF($E$317=1,($E333*'Assumptions - General'!AC$37+1),1)</f>
        <v>1016397.0532302016</v>
      </c>
      <c r="AD334" s="192">
        <f>AC334*(1+AD335)*IF($E$317=1,($E333*'Assumptions - General'!AD$37+1),1)</f>
        <v>1046888.9648271076</v>
      </c>
      <c r="AE334" s="192">
        <f>AD334*(1+AE335)*IF($E$317=1,($E333*'Assumptions - General'!AE$37+1),1)</f>
        <v>1078295.6337719208</v>
      </c>
      <c r="AF334" s="192">
        <f>AE334*(1+AF335)*IF($E$317=1,($E333*'Assumptions - General'!AF$37+1),1)</f>
        <v>1110644.5027850785</v>
      </c>
      <c r="AG334" s="192">
        <f>AF334*(1+AG335)*IF($E$317=1,($E333*'Assumptions - General'!AG$37+1),1)</f>
        <v>1143963.8378686309</v>
      </c>
      <c r="AH334" s="192">
        <f>AG334*(1+AH335)*IF($E$317=1,($E333*'Assumptions - General'!AH$37+1),1)</f>
        <v>1178282.7530046899</v>
      </c>
    </row>
    <row r="335" spans="2:65" x14ac:dyDescent="0.2">
      <c r="B335" s="30" t="s">
        <v>401</v>
      </c>
      <c r="D335" s="15" t="s">
        <v>15</v>
      </c>
      <c r="E335" s="190"/>
      <c r="F335" s="188">
        <v>0</v>
      </c>
      <c r="G335" s="188">
        <v>0</v>
      </c>
      <c r="H335" s="188">
        <v>0</v>
      </c>
      <c r="I335" s="188">
        <v>0</v>
      </c>
      <c r="J335" s="188">
        <v>0</v>
      </c>
      <c r="K335" s="188">
        <v>0</v>
      </c>
      <c r="L335" s="188">
        <v>0</v>
      </c>
      <c r="M335" s="188">
        <v>0</v>
      </c>
      <c r="N335" s="188">
        <v>0</v>
      </c>
      <c r="O335" s="188">
        <v>0</v>
      </c>
      <c r="P335" s="188">
        <v>0</v>
      </c>
      <c r="Q335" s="188">
        <v>0</v>
      </c>
      <c r="R335" s="188">
        <v>0</v>
      </c>
      <c r="S335" s="188">
        <v>0</v>
      </c>
      <c r="T335" s="188">
        <v>0</v>
      </c>
      <c r="U335" s="188">
        <v>0</v>
      </c>
      <c r="V335" s="188">
        <v>0</v>
      </c>
      <c r="W335" s="188">
        <v>0</v>
      </c>
      <c r="X335" s="188">
        <v>0</v>
      </c>
      <c r="Y335" s="188">
        <v>0</v>
      </c>
      <c r="Z335" s="188">
        <v>0</v>
      </c>
      <c r="AA335" s="188">
        <v>0</v>
      </c>
      <c r="AB335" s="188">
        <v>0</v>
      </c>
      <c r="AC335" s="188">
        <v>0</v>
      </c>
      <c r="AD335" s="188">
        <v>0</v>
      </c>
      <c r="AE335" s="188">
        <v>0</v>
      </c>
      <c r="AF335" s="188">
        <v>0</v>
      </c>
      <c r="AG335" s="188">
        <v>0</v>
      </c>
      <c r="AH335" s="188">
        <v>0</v>
      </c>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row>
    <row r="336" spans="2:65" s="18" customFormat="1" x14ac:dyDescent="0.2">
      <c r="B336" s="32"/>
      <c r="D336" s="81"/>
      <c r="E336" s="204"/>
      <c r="F336" s="180"/>
      <c r="G336" s="180"/>
      <c r="H336" s="180"/>
      <c r="I336" s="180"/>
      <c r="J336" s="180"/>
      <c r="K336" s="180"/>
      <c r="L336" s="180"/>
      <c r="M336" s="180"/>
      <c r="N336" s="180"/>
      <c r="O336" s="180"/>
      <c r="P336" s="180"/>
      <c r="Q336" s="180"/>
      <c r="R336" s="180"/>
      <c r="S336" s="180"/>
      <c r="T336" s="180"/>
      <c r="U336" s="180"/>
      <c r="V336" s="180"/>
      <c r="W336" s="180"/>
      <c r="X336" s="180"/>
      <c r="Y336" s="180"/>
      <c r="Z336" s="180"/>
      <c r="AA336" s="180"/>
      <c r="AB336" s="180"/>
      <c r="AC336" s="180"/>
      <c r="AD336" s="180"/>
      <c r="AE336" s="180"/>
      <c r="AF336" s="180"/>
      <c r="AG336" s="180"/>
      <c r="AH336" s="180"/>
    </row>
    <row r="337" spans="1:65" s="20" customFormat="1" ht="14" x14ac:dyDescent="0.2">
      <c r="B337" s="19" t="s">
        <v>134</v>
      </c>
      <c r="D337" s="20" t="s">
        <v>2</v>
      </c>
      <c r="E337" s="188" t="s">
        <v>73</v>
      </c>
      <c r="F337" s="221"/>
      <c r="G337" s="182"/>
      <c r="H337" s="182"/>
      <c r="I337" s="182"/>
      <c r="J337" s="182"/>
      <c r="K337" s="182"/>
      <c r="L337" s="182"/>
      <c r="M337" s="182"/>
      <c r="N337" s="182"/>
      <c r="O337" s="182"/>
      <c r="P337" s="182"/>
      <c r="Q337" s="182"/>
      <c r="R337" s="182"/>
      <c r="S337" s="182"/>
      <c r="T337" s="182"/>
      <c r="U337" s="182"/>
      <c r="V337" s="182"/>
      <c r="W337" s="182"/>
      <c r="X337" s="182"/>
      <c r="Y337" s="182"/>
      <c r="Z337" s="182"/>
      <c r="AA337" s="182"/>
      <c r="AB337" s="182"/>
      <c r="AC337" s="182"/>
      <c r="AD337" s="182"/>
      <c r="AE337" s="182"/>
      <c r="AF337" s="182"/>
      <c r="AG337" s="182"/>
      <c r="AH337" s="182"/>
    </row>
    <row r="338" spans="1:65" s="8" customFormat="1" ht="14" x14ac:dyDescent="0.2">
      <c r="B338" s="14" t="s">
        <v>377</v>
      </c>
      <c r="D338" s="10" t="str">
        <f>'Assumptions - General'!$E$27 &amp;" millions"</f>
        <v>R$ millions</v>
      </c>
      <c r="E338" s="176">
        <v>50</v>
      </c>
      <c r="F338" s="183"/>
      <c r="G338" s="183"/>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row>
    <row r="339" spans="1:65" s="8" customFormat="1" ht="14" x14ac:dyDescent="0.2">
      <c r="B339" s="215" t="s">
        <v>385</v>
      </c>
      <c r="D339" s="8" t="s">
        <v>256</v>
      </c>
      <c r="E339" s="176">
        <v>100</v>
      </c>
      <c r="F339" s="219">
        <f t="shared" ref="F339:AH339" si="21">E339*(1+F340)</f>
        <v>100</v>
      </c>
      <c r="G339" s="219">
        <f t="shared" si="21"/>
        <v>100</v>
      </c>
      <c r="H339" s="219">
        <f t="shared" si="21"/>
        <v>100</v>
      </c>
      <c r="I339" s="219">
        <f t="shared" si="21"/>
        <v>100</v>
      </c>
      <c r="J339" s="219">
        <f t="shared" si="21"/>
        <v>100</v>
      </c>
      <c r="K339" s="219">
        <f t="shared" si="21"/>
        <v>100</v>
      </c>
      <c r="L339" s="219">
        <f t="shared" si="21"/>
        <v>100</v>
      </c>
      <c r="M339" s="219">
        <f t="shared" si="21"/>
        <v>100</v>
      </c>
      <c r="N339" s="219">
        <f t="shared" si="21"/>
        <v>100</v>
      </c>
      <c r="O339" s="219">
        <f t="shared" si="21"/>
        <v>100</v>
      </c>
      <c r="P339" s="219">
        <f t="shared" si="21"/>
        <v>100</v>
      </c>
      <c r="Q339" s="219">
        <f t="shared" si="21"/>
        <v>100</v>
      </c>
      <c r="R339" s="219">
        <f t="shared" si="21"/>
        <v>100</v>
      </c>
      <c r="S339" s="219">
        <f t="shared" si="21"/>
        <v>100</v>
      </c>
      <c r="T339" s="219">
        <f t="shared" si="21"/>
        <v>100</v>
      </c>
      <c r="U339" s="219">
        <f t="shared" si="21"/>
        <v>100</v>
      </c>
      <c r="V339" s="219">
        <f t="shared" si="21"/>
        <v>100</v>
      </c>
      <c r="W339" s="219">
        <f t="shared" si="21"/>
        <v>100</v>
      </c>
      <c r="X339" s="219">
        <f t="shared" si="21"/>
        <v>100</v>
      </c>
      <c r="Y339" s="219">
        <f t="shared" si="21"/>
        <v>100</v>
      </c>
      <c r="Z339" s="219">
        <f t="shared" si="21"/>
        <v>100</v>
      </c>
      <c r="AA339" s="219">
        <f t="shared" si="21"/>
        <v>100</v>
      </c>
      <c r="AB339" s="219">
        <f t="shared" si="21"/>
        <v>100</v>
      </c>
      <c r="AC339" s="219">
        <f t="shared" si="21"/>
        <v>100</v>
      </c>
      <c r="AD339" s="219">
        <f t="shared" si="21"/>
        <v>100</v>
      </c>
      <c r="AE339" s="219">
        <f t="shared" si="21"/>
        <v>100</v>
      </c>
      <c r="AF339" s="219">
        <f t="shared" si="21"/>
        <v>100</v>
      </c>
      <c r="AG339" s="219">
        <f t="shared" si="21"/>
        <v>100</v>
      </c>
      <c r="AH339" s="219">
        <f t="shared" si="21"/>
        <v>100</v>
      </c>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20"/>
      <c r="BG339" s="20"/>
      <c r="BH339" s="20"/>
      <c r="BI339" s="20"/>
      <c r="BJ339" s="20"/>
      <c r="BK339" s="20"/>
      <c r="BL339" s="20"/>
      <c r="BM339" s="20"/>
    </row>
    <row r="340" spans="1:65" s="8" customFormat="1" ht="14" x14ac:dyDescent="0.2">
      <c r="B340" s="211" t="s">
        <v>263</v>
      </c>
      <c r="D340" s="8" t="s">
        <v>15</v>
      </c>
      <c r="E340" s="192"/>
      <c r="F340" s="189">
        <v>0</v>
      </c>
      <c r="G340" s="189">
        <v>0</v>
      </c>
      <c r="H340" s="189">
        <v>0</v>
      </c>
      <c r="I340" s="189">
        <v>0</v>
      </c>
      <c r="J340" s="189">
        <v>0</v>
      </c>
      <c r="K340" s="189">
        <v>0</v>
      </c>
      <c r="L340" s="189">
        <v>0</v>
      </c>
      <c r="M340" s="189">
        <v>0</v>
      </c>
      <c r="N340" s="189">
        <v>0</v>
      </c>
      <c r="O340" s="189">
        <v>0</v>
      </c>
      <c r="P340" s="189">
        <v>0</v>
      </c>
      <c r="Q340" s="189">
        <v>0</v>
      </c>
      <c r="R340" s="189">
        <v>0</v>
      </c>
      <c r="S340" s="189">
        <v>0</v>
      </c>
      <c r="T340" s="189">
        <v>0</v>
      </c>
      <c r="U340" s="189">
        <v>0</v>
      </c>
      <c r="V340" s="189">
        <v>0</v>
      </c>
      <c r="W340" s="189">
        <v>0</v>
      </c>
      <c r="X340" s="189">
        <v>0</v>
      </c>
      <c r="Y340" s="189">
        <v>0</v>
      </c>
      <c r="Z340" s="189">
        <v>0</v>
      </c>
      <c r="AA340" s="189">
        <v>0</v>
      </c>
      <c r="AB340" s="189">
        <v>0</v>
      </c>
      <c r="AC340" s="189">
        <v>0</v>
      </c>
      <c r="AD340" s="189">
        <v>0</v>
      </c>
      <c r="AE340" s="189">
        <v>0</v>
      </c>
      <c r="AF340" s="189">
        <v>0</v>
      </c>
      <c r="AG340" s="189">
        <v>0</v>
      </c>
      <c r="AH340" s="189">
        <v>0</v>
      </c>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20"/>
      <c r="BG340" s="20"/>
      <c r="BH340" s="20"/>
      <c r="BI340" s="20"/>
      <c r="BJ340" s="20"/>
      <c r="BK340" s="20"/>
      <c r="BL340" s="20"/>
      <c r="BM340" s="20"/>
    </row>
    <row r="341" spans="1:65" s="8" customFormat="1" ht="14" x14ac:dyDescent="0.2">
      <c r="B341" s="215" t="s">
        <v>576</v>
      </c>
      <c r="D341" s="15"/>
      <c r="E341" s="180"/>
      <c r="F341" s="220"/>
      <c r="G341" s="183"/>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20"/>
      <c r="BG341" s="20"/>
      <c r="BH341" s="20"/>
      <c r="BI341" s="20"/>
      <c r="BJ341" s="20"/>
      <c r="BK341" s="20"/>
      <c r="BL341" s="20"/>
      <c r="BM341" s="20"/>
    </row>
    <row r="342" spans="1:65" s="8" customFormat="1" ht="14" x14ac:dyDescent="0.2">
      <c r="B342" s="211" t="s">
        <v>38</v>
      </c>
      <c r="D342" s="8" t="s">
        <v>15</v>
      </c>
      <c r="E342" s="188">
        <f>IF(E317=2,0,F342/100)</f>
        <v>1</v>
      </c>
      <c r="F342" s="220">
        <v>100</v>
      </c>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20"/>
      <c r="BG342" s="20"/>
      <c r="BH342" s="20"/>
      <c r="BI342" s="20"/>
      <c r="BJ342" s="20"/>
      <c r="BK342" s="20"/>
      <c r="BL342" s="20"/>
      <c r="BM342" s="20"/>
    </row>
    <row r="343" spans="1:65" s="20" customFormat="1" ht="14" x14ac:dyDescent="0.2">
      <c r="B343" s="216" t="s">
        <v>268</v>
      </c>
      <c r="D343" s="122" t="str">
        <f>'Assumptions - General'!$E$27 &amp;" per unit"</f>
        <v>R$ per unit</v>
      </c>
      <c r="E343" s="192">
        <f>IF(E338&gt;0,E338*1000000/E339,0)</f>
        <v>500000</v>
      </c>
      <c r="F343" s="192">
        <f>E343*(1+F344)*IF($E$317=1,($E342*'Assumptions - General'!F$37+1),1)</f>
        <v>515000</v>
      </c>
      <c r="G343" s="192">
        <f>F343*(1+G344)*IF($E$317=1,($E342*'Assumptions - General'!G$37+1),1)</f>
        <v>530450</v>
      </c>
      <c r="H343" s="192">
        <f>G343*(1+H344)*IF($E$317=1,($E342*'Assumptions - General'!H$37+1),1)</f>
        <v>546363.5</v>
      </c>
      <c r="I343" s="192">
        <f>H343*(1+I344)*IF($E$317=1,($E342*'Assumptions - General'!I$37+1),1)</f>
        <v>562754.40500000003</v>
      </c>
      <c r="J343" s="192">
        <f>I343*(1+J344)*IF($E$317=1,($E342*'Assumptions - General'!J$37+1),1)</f>
        <v>579637.03714999999</v>
      </c>
      <c r="K343" s="192">
        <f>J343*(1+K344)*IF($E$317=1,($E342*'Assumptions - General'!K$37+1),1)</f>
        <v>597026.14826449996</v>
      </c>
      <c r="L343" s="192">
        <f>K343*(1+L344)*IF($E$317=1,($E342*'Assumptions - General'!L$37+1),1)</f>
        <v>614936.93271243502</v>
      </c>
      <c r="M343" s="192">
        <f>L343*(1+M344)*IF($E$317=1,($E342*'Assumptions - General'!M$37+1),1)</f>
        <v>633385.04069380811</v>
      </c>
      <c r="N343" s="192">
        <f>M343*(1+N344)*IF($E$317=1,($E342*'Assumptions - General'!N$37+1),1)</f>
        <v>652386.59191462235</v>
      </c>
      <c r="O343" s="192">
        <f>N343*(1+O344)*IF($E$317=1,($E342*'Assumptions - General'!O$37+1),1)</f>
        <v>671958.18967206101</v>
      </c>
      <c r="P343" s="192">
        <f>O343*(1+P344)*IF($E$317=1,($E342*'Assumptions - General'!P$37+1),1)</f>
        <v>692116.93536222284</v>
      </c>
      <c r="Q343" s="192">
        <f>P343*(1+Q344)*IF($E$317=1,($E342*'Assumptions - General'!Q$37+1),1)</f>
        <v>712880.44342308957</v>
      </c>
      <c r="R343" s="192">
        <f>Q343*(1+R344)*IF($E$317=1,($E342*'Assumptions - General'!R$37+1),1)</f>
        <v>734266.85672578227</v>
      </c>
      <c r="S343" s="192">
        <f>R343*(1+S344)*IF($E$317=1,($E342*'Assumptions - General'!S$37+1),1)</f>
        <v>756294.86242755572</v>
      </c>
      <c r="T343" s="192">
        <f>S343*(1+T344)*IF($E$317=1,($E342*'Assumptions - General'!T$37+1),1)</f>
        <v>778983.70830038236</v>
      </c>
      <c r="U343" s="192">
        <f>T343*(1+U344)*IF($E$317=1,($E342*'Assumptions - General'!U$37+1),1)</f>
        <v>802353.21954939386</v>
      </c>
      <c r="V343" s="192">
        <f>U343*(1+V344)*IF($E$317=1,($E342*'Assumptions - General'!V$37+1),1)</f>
        <v>826423.81613587565</v>
      </c>
      <c r="W343" s="192">
        <f>V343*(1+W344)*IF($E$317=1,($E342*'Assumptions - General'!W$37+1),1)</f>
        <v>851216.5306199519</v>
      </c>
      <c r="X343" s="192">
        <f>W343*(1+X344)*IF($E$317=1,($E342*'Assumptions - General'!X$37+1),1)</f>
        <v>876753.0265385505</v>
      </c>
      <c r="Y343" s="192">
        <f>X343*(1+Y344)*IF($E$317=1,($E342*'Assumptions - General'!Y$37+1),1)</f>
        <v>903055.61733470706</v>
      </c>
      <c r="Z343" s="192">
        <f>Y343*(1+Z344)*IF($E$317=1,($E342*'Assumptions - General'!Z$37+1),1)</f>
        <v>930147.28585474833</v>
      </c>
      <c r="AA343" s="192">
        <f>Z343*(1+AA344)*IF($E$317=1,($E342*'Assumptions - General'!AA$37+1),1)</f>
        <v>958051.70443039085</v>
      </c>
      <c r="AB343" s="192">
        <f>AA343*(1+AB344)*IF($E$317=1,($E342*'Assumptions - General'!AB$37+1),1)</f>
        <v>986793.25556330255</v>
      </c>
      <c r="AC343" s="192">
        <f>AB343*(1+AC344)*IF($E$317=1,($E342*'Assumptions - General'!AC$37+1),1)</f>
        <v>1016397.0532302016</v>
      </c>
      <c r="AD343" s="192">
        <f>AC343*(1+AD344)*IF($E$317=1,($E342*'Assumptions - General'!AD$37+1),1)</f>
        <v>1046888.9648271076</v>
      </c>
      <c r="AE343" s="192">
        <f>AD343*(1+AE344)*IF($E$317=1,($E342*'Assumptions - General'!AE$37+1),1)</f>
        <v>1078295.6337719208</v>
      </c>
      <c r="AF343" s="192">
        <f>AE343*(1+AF344)*IF($E$317=1,($E342*'Assumptions - General'!AF$37+1),1)</f>
        <v>1110644.5027850785</v>
      </c>
      <c r="AG343" s="192">
        <f>AF343*(1+AG344)*IF($E$317=1,($E342*'Assumptions - General'!AG$37+1),1)</f>
        <v>1143963.8378686309</v>
      </c>
      <c r="AH343" s="192">
        <f>AG343*(1+AH344)*IF($E$317=1,($E342*'Assumptions - General'!AH$37+1),1)</f>
        <v>1178282.7530046899</v>
      </c>
    </row>
    <row r="344" spans="1:65" x14ac:dyDescent="0.2">
      <c r="B344" s="30" t="s">
        <v>401</v>
      </c>
      <c r="D344" s="15" t="s">
        <v>15</v>
      </c>
      <c r="E344" s="190"/>
      <c r="F344" s="188">
        <v>0</v>
      </c>
      <c r="G344" s="188">
        <v>0</v>
      </c>
      <c r="H344" s="188">
        <v>0</v>
      </c>
      <c r="I344" s="188">
        <v>0</v>
      </c>
      <c r="J344" s="188">
        <v>0</v>
      </c>
      <c r="K344" s="188">
        <v>0</v>
      </c>
      <c r="L344" s="188">
        <v>0</v>
      </c>
      <c r="M344" s="188">
        <v>0</v>
      </c>
      <c r="N344" s="188">
        <v>0</v>
      </c>
      <c r="O344" s="188">
        <v>0</v>
      </c>
      <c r="P344" s="188">
        <v>0</v>
      </c>
      <c r="Q344" s="188">
        <v>0</v>
      </c>
      <c r="R344" s="188">
        <v>0</v>
      </c>
      <c r="S344" s="188">
        <v>0</v>
      </c>
      <c r="T344" s="188">
        <v>0</v>
      </c>
      <c r="U344" s="188">
        <v>0</v>
      </c>
      <c r="V344" s="188">
        <v>0</v>
      </c>
      <c r="W344" s="188">
        <v>0</v>
      </c>
      <c r="X344" s="188">
        <v>0</v>
      </c>
      <c r="Y344" s="188">
        <v>0</v>
      </c>
      <c r="Z344" s="188">
        <v>0</v>
      </c>
      <c r="AA344" s="188">
        <v>0</v>
      </c>
      <c r="AB344" s="188">
        <v>0</v>
      </c>
      <c r="AC344" s="188">
        <v>0</v>
      </c>
      <c r="AD344" s="188">
        <v>0</v>
      </c>
      <c r="AE344" s="188">
        <v>0</v>
      </c>
      <c r="AF344" s="188">
        <v>0</v>
      </c>
      <c r="AG344" s="188">
        <v>0</v>
      </c>
      <c r="AH344" s="188">
        <v>0</v>
      </c>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row>
    <row r="345" spans="1:65" s="18" customFormat="1" x14ac:dyDescent="0.2"/>
    <row r="346" spans="1:65" s="18" customFormat="1" outlineLevel="1" x14ac:dyDescent="0.2">
      <c r="B346" s="57" t="str">
        <f>E319&amp; " - total annual cost in forecast period"</f>
        <v>Provisions and legal claims - total annual cost in forecast period</v>
      </c>
      <c r="D346" s="10" t="str">
        <f>'Assumptions - General'!$E$27 &amp;" millions"</f>
        <v>R$ millions</v>
      </c>
      <c r="E346" s="261">
        <f>Calculations!E693</f>
        <v>200</v>
      </c>
      <c r="F346" s="261">
        <f>Calculations!F693</f>
        <v>206</v>
      </c>
      <c r="G346" s="261">
        <f>Calculations!G693</f>
        <v>212.18</v>
      </c>
      <c r="H346" s="261">
        <f>Calculations!H693</f>
        <v>218.5454</v>
      </c>
      <c r="I346" s="261">
        <f>Calculations!I693</f>
        <v>225.10176200000001</v>
      </c>
      <c r="J346" s="261">
        <f>Calculations!J693</f>
        <v>231.85481485999998</v>
      </c>
      <c r="K346" s="261">
        <f>Calculations!K693</f>
        <v>238.81045930579998</v>
      </c>
      <c r="L346" s="261">
        <f>Calculations!L693</f>
        <v>245.97477308497403</v>
      </c>
      <c r="M346" s="261">
        <f>Calculations!M693</f>
        <v>253.35401627752324</v>
      </c>
      <c r="N346" s="261">
        <f>Calculations!N693</f>
        <v>260.95463676584893</v>
      </c>
      <c r="O346" s="261">
        <f>Calculations!O693</f>
        <v>268.78327586882443</v>
      </c>
      <c r="P346" s="261">
        <f>Calculations!P693</f>
        <v>276.84677414488914</v>
      </c>
      <c r="Q346" s="261">
        <f>Calculations!Q693</f>
        <v>285.1521773692358</v>
      </c>
      <c r="R346" s="261">
        <f>Calculations!R693</f>
        <v>293.70674269031292</v>
      </c>
      <c r="S346" s="261">
        <f>Calculations!S693</f>
        <v>302.5179449710223</v>
      </c>
      <c r="T346" s="261">
        <f>Calculations!T693</f>
        <v>311.59348332015293</v>
      </c>
      <c r="U346" s="261">
        <f>Calculations!U693</f>
        <v>320.94128781975752</v>
      </c>
      <c r="V346" s="261">
        <f>Calculations!V693</f>
        <v>330.56952645435024</v>
      </c>
      <c r="W346" s="261">
        <f>Calculations!W693</f>
        <v>340.48661224798076</v>
      </c>
      <c r="X346" s="261">
        <f>Calculations!X693</f>
        <v>350.70121061542022</v>
      </c>
      <c r="Y346" s="261">
        <f>Calculations!Y693</f>
        <v>361.22224693388284</v>
      </c>
      <c r="Z346" s="261">
        <f>Calculations!Z693</f>
        <v>372.05891434189931</v>
      </c>
      <c r="AA346" s="261">
        <f>Calculations!AA693</f>
        <v>383.22068177215635</v>
      </c>
      <c r="AB346" s="261">
        <f>Calculations!AB693</f>
        <v>394.71730222532102</v>
      </c>
      <c r="AC346" s="261">
        <f>Calculations!AC693</f>
        <v>406.55882129208067</v>
      </c>
      <c r="AD346" s="261">
        <f>Calculations!AD693</f>
        <v>418.75558593084304</v>
      </c>
      <c r="AE346" s="261">
        <f>Calculations!AE693</f>
        <v>431.31825350876829</v>
      </c>
      <c r="AF346" s="261">
        <f>Calculations!AF693</f>
        <v>444.25780111403139</v>
      </c>
      <c r="AG346" s="261">
        <f>Calculations!AG693</f>
        <v>457.58553514745233</v>
      </c>
      <c r="AH346" s="261">
        <f>Calculations!AH693</f>
        <v>471.31310120187601</v>
      </c>
    </row>
    <row r="347" spans="1:65" s="18" customFormat="1" outlineLevel="1" x14ac:dyDescent="0.2">
      <c r="B347" s="57" t="str">
        <f>E328&amp; " - total annual cost in forecast period"</f>
        <v>Investment losses - total annual cost in forecast period</v>
      </c>
      <c r="D347" s="10" t="str">
        <f>'Assumptions - General'!$E$27 &amp;" millions"</f>
        <v>R$ millions</v>
      </c>
      <c r="E347" s="261">
        <f>Calculations!E694</f>
        <v>50</v>
      </c>
      <c r="F347" s="261">
        <f>Calculations!F694</f>
        <v>51.5</v>
      </c>
      <c r="G347" s="261">
        <f>Calculations!G694</f>
        <v>53.045000000000002</v>
      </c>
      <c r="H347" s="261">
        <f>Calculations!H694</f>
        <v>54.63635</v>
      </c>
      <c r="I347" s="261">
        <f>Calculations!I694</f>
        <v>56.275440500000002</v>
      </c>
      <c r="J347" s="261">
        <f>Calculations!J694</f>
        <v>57.963703714999994</v>
      </c>
      <c r="K347" s="261">
        <f>Calculations!K694</f>
        <v>59.702614826449995</v>
      </c>
      <c r="L347" s="261">
        <f>Calculations!L694</f>
        <v>61.493693271243508</v>
      </c>
      <c r="M347" s="261">
        <f>Calculations!M694</f>
        <v>63.338504069380811</v>
      </c>
      <c r="N347" s="261">
        <f>Calculations!N694</f>
        <v>65.238659191462233</v>
      </c>
      <c r="O347" s="261">
        <f>Calculations!O694</f>
        <v>67.195818967206108</v>
      </c>
      <c r="P347" s="261">
        <f>Calculations!P694</f>
        <v>69.211693536222285</v>
      </c>
      <c r="Q347" s="261">
        <f>Calculations!Q694</f>
        <v>71.28804434230895</v>
      </c>
      <c r="R347" s="261">
        <f>Calculations!R694</f>
        <v>73.42668567257823</v>
      </c>
      <c r="S347" s="261">
        <f>Calculations!S694</f>
        <v>75.629486242755576</v>
      </c>
      <c r="T347" s="261">
        <f>Calculations!T694</f>
        <v>77.898370830038232</v>
      </c>
      <c r="U347" s="261">
        <f>Calculations!U694</f>
        <v>80.23532195493938</v>
      </c>
      <c r="V347" s="261">
        <f>Calculations!V694</f>
        <v>82.64238161358756</v>
      </c>
      <c r="W347" s="261">
        <f>Calculations!W694</f>
        <v>85.12165306199519</v>
      </c>
      <c r="X347" s="261">
        <f>Calculations!X694</f>
        <v>87.675302653855056</v>
      </c>
      <c r="Y347" s="261">
        <f>Calculations!Y694</f>
        <v>90.305561733470711</v>
      </c>
      <c r="Z347" s="261">
        <f>Calculations!Z694</f>
        <v>93.014728585474828</v>
      </c>
      <c r="AA347" s="261">
        <f>Calculations!AA694</f>
        <v>95.805170443039088</v>
      </c>
      <c r="AB347" s="261">
        <f>Calculations!AB694</f>
        <v>98.679325556330255</v>
      </c>
      <c r="AC347" s="261">
        <f>Calculations!AC694</f>
        <v>101.63970532302017</v>
      </c>
      <c r="AD347" s="261">
        <f>Calculations!AD694</f>
        <v>104.68889648271076</v>
      </c>
      <c r="AE347" s="261">
        <f>Calculations!AE694</f>
        <v>107.82956337719207</v>
      </c>
      <c r="AF347" s="261">
        <f>Calculations!AF694</f>
        <v>111.06445027850785</v>
      </c>
      <c r="AG347" s="261">
        <f>Calculations!AG694</f>
        <v>114.39638378686308</v>
      </c>
      <c r="AH347" s="261">
        <f>Calculations!AH694</f>
        <v>117.828275300469</v>
      </c>
    </row>
    <row r="348" spans="1:65" s="18" customFormat="1" outlineLevel="1" x14ac:dyDescent="0.2">
      <c r="B348" s="57" t="str">
        <f>E337&amp; " - total annual cost in forecast period"</f>
        <v>Other - total annual cost in forecast period</v>
      </c>
      <c r="D348" s="10" t="str">
        <f>'Assumptions - General'!$E$27 &amp;" millions"</f>
        <v>R$ millions</v>
      </c>
      <c r="E348" s="261">
        <f>Calculations!E696</f>
        <v>50</v>
      </c>
      <c r="F348" s="261">
        <f>Calculations!F696</f>
        <v>51.5</v>
      </c>
      <c r="G348" s="261">
        <f>Calculations!G696</f>
        <v>53.045000000000002</v>
      </c>
      <c r="H348" s="261">
        <f>Calculations!H696</f>
        <v>54.63635</v>
      </c>
      <c r="I348" s="261">
        <f>Calculations!I696</f>
        <v>56.275440500000002</v>
      </c>
      <c r="J348" s="261">
        <f>Calculations!J696</f>
        <v>57.963703714999994</v>
      </c>
      <c r="K348" s="261">
        <f>Calculations!K696</f>
        <v>59.702614826449995</v>
      </c>
      <c r="L348" s="261">
        <f>Calculations!L696</f>
        <v>61.493693271243508</v>
      </c>
      <c r="M348" s="261">
        <f>Calculations!M696</f>
        <v>63.338504069380811</v>
      </c>
      <c r="N348" s="261">
        <f>Calculations!N696</f>
        <v>65.238659191462233</v>
      </c>
      <c r="O348" s="261">
        <f>Calculations!O696</f>
        <v>67.195818967206108</v>
      </c>
      <c r="P348" s="261">
        <f>Calculations!P696</f>
        <v>69.211693536222285</v>
      </c>
      <c r="Q348" s="261">
        <f>Calculations!Q696</f>
        <v>71.28804434230895</v>
      </c>
      <c r="R348" s="261">
        <f>Calculations!R696</f>
        <v>73.42668567257823</v>
      </c>
      <c r="S348" s="261">
        <f>Calculations!S696</f>
        <v>75.629486242755576</v>
      </c>
      <c r="T348" s="261">
        <f>Calculations!T696</f>
        <v>77.898370830038232</v>
      </c>
      <c r="U348" s="261">
        <f>Calculations!U696</f>
        <v>80.23532195493938</v>
      </c>
      <c r="V348" s="261">
        <f>Calculations!V696</f>
        <v>82.64238161358756</v>
      </c>
      <c r="W348" s="261">
        <f>Calculations!W696</f>
        <v>85.12165306199519</v>
      </c>
      <c r="X348" s="261">
        <f>Calculations!X696</f>
        <v>87.675302653855056</v>
      </c>
      <c r="Y348" s="261">
        <f>Calculations!Y696</f>
        <v>90.305561733470711</v>
      </c>
      <c r="Z348" s="261">
        <f>Calculations!Z696</f>
        <v>93.014728585474828</v>
      </c>
      <c r="AA348" s="261">
        <f>Calculations!AA696</f>
        <v>95.805170443039088</v>
      </c>
      <c r="AB348" s="261">
        <f>Calculations!AB696</f>
        <v>98.679325556330255</v>
      </c>
      <c r="AC348" s="261">
        <f>Calculations!AC696</f>
        <v>101.63970532302017</v>
      </c>
      <c r="AD348" s="261">
        <f>Calculations!AD696</f>
        <v>104.68889648271076</v>
      </c>
      <c r="AE348" s="261">
        <f>Calculations!AE696</f>
        <v>107.82956337719207</v>
      </c>
      <c r="AF348" s="261">
        <f>Calculations!AF696</f>
        <v>111.06445027850785</v>
      </c>
      <c r="AG348" s="261">
        <f>Calculations!AG696</f>
        <v>114.39638378686308</v>
      </c>
      <c r="AH348" s="261">
        <f>Calculations!AH696</f>
        <v>117.828275300469</v>
      </c>
    </row>
    <row r="349" spans="1:65" s="18" customFormat="1" x14ac:dyDescent="0.2">
      <c r="A349" s="7" t="s">
        <v>405</v>
      </c>
      <c r="B349" s="20"/>
    </row>
    <row r="350" spans="1:65" s="18" customFormat="1" collapsed="1" x14ac:dyDescent="0.2">
      <c r="A350" s="8"/>
      <c r="B350" s="20"/>
    </row>
    <row r="351" spans="1:65" s="324" customFormat="1" x14ac:dyDescent="0.2">
      <c r="B351" s="323" t="str">
        <f>"Taxes and dividends for "&amp;'Assumptions - General'!E25</f>
        <v>Taxes and dividends for Ruritania Passenger Rail Company</v>
      </c>
    </row>
    <row r="353" spans="2:34" s="8" customFormat="1" ht="14" x14ac:dyDescent="0.2">
      <c r="B353" s="169" t="s">
        <v>47</v>
      </c>
      <c r="D353" s="169" t="s">
        <v>15</v>
      </c>
      <c r="E353" s="240">
        <f>F353/100</f>
        <v>0.3</v>
      </c>
      <c r="F353" s="87">
        <v>30</v>
      </c>
    </row>
    <row r="354" spans="2:34" s="8" customFormat="1" ht="14" x14ac:dyDescent="0.2">
      <c r="B354" s="169"/>
      <c r="D354" s="169"/>
      <c r="E354" s="240"/>
      <c r="F354" s="87"/>
    </row>
    <row r="355" spans="2:34" s="8" customFormat="1" ht="14" x14ac:dyDescent="0.2">
      <c r="B355" s="169" t="s">
        <v>524</v>
      </c>
      <c r="D355" s="169" t="s">
        <v>149</v>
      </c>
      <c r="E355" s="241">
        <f>F355/100</f>
        <v>1.2</v>
      </c>
      <c r="F355" s="87">
        <v>120</v>
      </c>
    </row>
    <row r="356" spans="2:34" s="8" customFormat="1" ht="14" x14ac:dyDescent="0.2">
      <c r="B356" s="169"/>
      <c r="D356" s="169"/>
      <c r="E356" s="241"/>
      <c r="F356" s="87"/>
    </row>
    <row r="357" spans="2:34" s="8" customFormat="1" ht="14" x14ac:dyDescent="0.2">
      <c r="B357" s="169" t="s">
        <v>150</v>
      </c>
      <c r="D357" s="169" t="s">
        <v>15</v>
      </c>
      <c r="E357" s="242">
        <f>F357/100</f>
        <v>0.5</v>
      </c>
      <c r="F357" s="87">
        <v>50</v>
      </c>
    </row>
    <row r="358" spans="2:34" s="8" customFormat="1" ht="14" x14ac:dyDescent="0.2">
      <c r="E358" s="195"/>
    </row>
    <row r="359" spans="2:34" s="324" customFormat="1" x14ac:dyDescent="0.2">
      <c r="B359" s="323" t="str">
        <f>"Working capital assumptions for " &amp;'Assumptions - General'!$E$25</f>
        <v>Working capital assumptions for Ruritania Passenger Rail Company</v>
      </c>
      <c r="E359" s="332"/>
    </row>
    <row r="360" spans="2:34" x14ac:dyDescent="0.2">
      <c r="E360" s="190"/>
    </row>
    <row r="361" spans="2:34" x14ac:dyDescent="0.2">
      <c r="B361" s="21" t="s">
        <v>347</v>
      </c>
      <c r="D361" s="10" t="str">
        <f>'Assumptions - General'!$E$27 &amp;" millions"</f>
        <v>R$ millions</v>
      </c>
      <c r="E361" s="176">
        <v>5000</v>
      </c>
    </row>
    <row r="362" spans="2:34" s="8" customFormat="1" ht="14" x14ac:dyDescent="0.2">
      <c r="B362" s="8" t="s">
        <v>48</v>
      </c>
      <c r="D362" s="8" t="s">
        <v>51</v>
      </c>
      <c r="E362" s="197">
        <f>IF($E$361&lt;&gt;0,IF(Calculations!E17=1,(E361*365)/('Income statement'!E103-'Income statement'!E102)," "),0)</f>
        <v>76.009995835068722</v>
      </c>
      <c r="F362" s="218">
        <f>IF($E$361&lt;&gt;0,IF(Calculations!F17=1,E362+F363," "),0)</f>
        <v>76.009995835068722</v>
      </c>
      <c r="G362" s="218">
        <f>IF($E$361&lt;&gt;0,IF(Calculations!G17=1,F362+G363," "),0)</f>
        <v>76.009995835068722</v>
      </c>
      <c r="H362" s="218">
        <f>IF($E$361&lt;&gt;0,IF(Calculations!H17=1,G362+H363," "),0)</f>
        <v>76.009995835068722</v>
      </c>
      <c r="I362" s="218">
        <f>IF($E$361&lt;&gt;0,IF(Calculations!I17=1,H362+I363," "),0)</f>
        <v>76.009995835068722</v>
      </c>
      <c r="J362" s="218">
        <f>IF($E$361&lt;&gt;0,IF(Calculations!J17=1,I362+J363," "),0)</f>
        <v>76.009995835068722</v>
      </c>
      <c r="K362" s="218">
        <f>IF($E$361&lt;&gt;0,IF(Calculations!K17=1,J362+K363," "),0)</f>
        <v>76.009995835068722</v>
      </c>
      <c r="L362" s="218">
        <f>IF($E$361&lt;&gt;0,IF(Calculations!L17=1,K362+L363," "),0)</f>
        <v>76.009995835068722</v>
      </c>
      <c r="M362" s="218">
        <f>IF($E$361&lt;&gt;0,IF(Calculations!M17=1,L362+M363," "),0)</f>
        <v>76.009995835068722</v>
      </c>
      <c r="N362" s="218">
        <f>IF($E$361&lt;&gt;0,IF(Calculations!N17=1,M362+N363," "),0)</f>
        <v>76.009995835068722</v>
      </c>
      <c r="O362" s="218">
        <f>IF($E$361&lt;&gt;0,IF(Calculations!O17=1,N362+O363," "),0)</f>
        <v>76.009995835068722</v>
      </c>
      <c r="P362" s="218">
        <f>IF($E$361&lt;&gt;0,IF(Calculations!P17=1,O362+P363," "),0)</f>
        <v>76.009995835068722</v>
      </c>
      <c r="Q362" s="218">
        <f>IF($E$361&lt;&gt;0,IF(Calculations!Q17=1,P362+Q363," "),0)</f>
        <v>76.009995835068722</v>
      </c>
      <c r="R362" s="218">
        <f>IF($E$361&lt;&gt;0,IF(Calculations!R17=1,Q362+R363," "),0)</f>
        <v>76.009995835068722</v>
      </c>
      <c r="S362" s="218">
        <f>IF($E$361&lt;&gt;0,IF(Calculations!S17=1,R362+S363," "),0)</f>
        <v>76.009995835068722</v>
      </c>
      <c r="T362" s="218">
        <f>IF($E$361&lt;&gt;0,IF(Calculations!T17=1,S362+T363," "),0)</f>
        <v>76.009995835068722</v>
      </c>
      <c r="U362" s="218">
        <f>IF($E$361&lt;&gt;0,IF(Calculations!U17=1,T362+U363," "),0)</f>
        <v>76.009995835068722</v>
      </c>
      <c r="V362" s="218">
        <f>IF($E$361&lt;&gt;0,IF(Calculations!V17=1,U362+V363," "),0)</f>
        <v>76.009995835068722</v>
      </c>
      <c r="W362" s="218">
        <f>IF($E$361&lt;&gt;0,IF(Calculations!W17=1,V362+W363," "),0)</f>
        <v>76.009995835068722</v>
      </c>
      <c r="X362" s="218">
        <f>IF($E$361&lt;&gt;0,IF(Calculations!X17=1,W362+X363," "),0)</f>
        <v>76.009995835068722</v>
      </c>
      <c r="Y362" s="218">
        <f>IF($E$361&lt;&gt;0,IF(Calculations!Y17=1,X362+Y363," "),0)</f>
        <v>76.009995835068722</v>
      </c>
      <c r="Z362" s="218">
        <f>IF($E$361&lt;&gt;0,IF(Calculations!Z17=1,Y362+Z363," "),0)</f>
        <v>76.009995835068722</v>
      </c>
      <c r="AA362" s="218">
        <f>IF($E$361&lt;&gt;0,IF(Calculations!AA17=1,Z362+AA363," "),0)</f>
        <v>76.009995835068722</v>
      </c>
      <c r="AB362" s="218">
        <f>IF($E$361&lt;&gt;0,IF(Calculations!AB17=1,AA362+AB363," "),0)</f>
        <v>76.009995835068722</v>
      </c>
      <c r="AC362" s="218">
        <f>IF($E$361&lt;&gt;0,IF(Calculations!AC17=1,AB362+AC363," "),0)</f>
        <v>76.009995835068722</v>
      </c>
      <c r="AD362" s="218">
        <f>IF($E$361&lt;&gt;0,IF(Calculations!AD17=1,AC362+AD363," "),0)</f>
        <v>76.009995835068722</v>
      </c>
      <c r="AE362" s="218">
        <f>IF($E$361&lt;&gt;0,IF(Calculations!AE17=1,AD362+AE363," "),0)</f>
        <v>76.009995835068722</v>
      </c>
      <c r="AF362" s="218">
        <f>IF($E$361&lt;&gt;0,IF(Calculations!AF17=1,AE362+AF363," "),0)</f>
        <v>76.009995835068722</v>
      </c>
      <c r="AG362" s="218">
        <f>IF($E$361&lt;&gt;0,IF(Calculations!AG17=1,AF362+AG363," "),0)</f>
        <v>76.009995835068722</v>
      </c>
      <c r="AH362" s="218">
        <f>IF($E$361&lt;&gt;0,IF(Calculations!AH17=1,AG362+AH363," "),0)</f>
        <v>76.009995835068722</v>
      </c>
    </row>
    <row r="363" spans="2:34" s="8" customFormat="1" ht="14" x14ac:dyDescent="0.2">
      <c r="B363" s="8" t="s">
        <v>269</v>
      </c>
      <c r="D363" s="8" t="s">
        <v>270</v>
      </c>
      <c r="E363" s="182"/>
      <c r="F363" s="191">
        <v>0</v>
      </c>
      <c r="G363" s="191">
        <v>0</v>
      </c>
      <c r="H363" s="191">
        <v>0</v>
      </c>
      <c r="I363" s="191">
        <v>0</v>
      </c>
      <c r="J363" s="191">
        <v>0</v>
      </c>
      <c r="K363" s="191">
        <v>0</v>
      </c>
      <c r="L363" s="191">
        <v>0</v>
      </c>
      <c r="M363" s="191">
        <v>0</v>
      </c>
      <c r="N363" s="191">
        <v>0</v>
      </c>
      <c r="O363" s="191">
        <v>0</v>
      </c>
      <c r="P363" s="191">
        <v>0</v>
      </c>
      <c r="Q363" s="191">
        <v>0</v>
      </c>
      <c r="R363" s="191">
        <v>0</v>
      </c>
      <c r="S363" s="191">
        <v>0</v>
      </c>
      <c r="T363" s="191">
        <v>0</v>
      </c>
      <c r="U363" s="191">
        <v>0</v>
      </c>
      <c r="V363" s="191">
        <v>0</v>
      </c>
      <c r="W363" s="191">
        <v>0</v>
      </c>
      <c r="X363" s="191">
        <v>0</v>
      </c>
      <c r="Y363" s="191">
        <v>0</v>
      </c>
      <c r="Z363" s="191">
        <v>0</v>
      </c>
      <c r="AA363" s="191">
        <v>0</v>
      </c>
      <c r="AB363" s="191">
        <v>0</v>
      </c>
      <c r="AC363" s="191">
        <v>0</v>
      </c>
      <c r="AD363" s="191">
        <v>0</v>
      </c>
      <c r="AE363" s="191">
        <v>0</v>
      </c>
      <c r="AF363" s="191">
        <v>0</v>
      </c>
      <c r="AG363" s="191">
        <v>0</v>
      </c>
      <c r="AH363" s="191">
        <v>0</v>
      </c>
    </row>
    <row r="364" spans="2:34" s="20" customFormat="1" ht="14" x14ac:dyDescent="0.2">
      <c r="E364" s="182"/>
      <c r="F364" s="192"/>
      <c r="G364" s="192"/>
      <c r="H364" s="192"/>
      <c r="I364" s="192"/>
      <c r="J364" s="192"/>
      <c r="K364" s="192"/>
      <c r="L364" s="192"/>
      <c r="M364" s="192"/>
      <c r="N364" s="192"/>
      <c r="O364" s="192"/>
      <c r="P364" s="192"/>
      <c r="Q364" s="192"/>
      <c r="R364" s="192"/>
      <c r="S364" s="192"/>
      <c r="T364" s="192"/>
      <c r="U364" s="192"/>
      <c r="V364" s="192"/>
      <c r="W364" s="192"/>
      <c r="X364" s="192"/>
      <c r="Y364" s="192"/>
      <c r="Z364" s="192"/>
      <c r="AA364" s="192"/>
      <c r="AB364" s="192"/>
      <c r="AC364" s="192"/>
      <c r="AD364" s="192"/>
      <c r="AE364" s="192"/>
      <c r="AF364" s="192"/>
      <c r="AG364" s="192"/>
      <c r="AH364" s="192"/>
    </row>
    <row r="365" spans="2:34" s="8" customFormat="1" ht="14" x14ac:dyDescent="0.2">
      <c r="B365" s="21" t="s">
        <v>348</v>
      </c>
      <c r="D365" s="10" t="str">
        <f>'Assumptions - General'!$E$27 &amp;" millions"</f>
        <v>R$ millions</v>
      </c>
      <c r="E365" s="181">
        <v>100</v>
      </c>
      <c r="F365" s="183"/>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row>
    <row r="366" spans="2:34" s="8" customFormat="1" ht="14" x14ac:dyDescent="0.2">
      <c r="B366" s="8" t="s">
        <v>49</v>
      </c>
      <c r="D366" s="8" t="s">
        <v>51</v>
      </c>
      <c r="E366" s="182">
        <f>IF(Calculations!E17=1,IF(E365&gt;0,(E365*365)/(Calculations!E680+Calculations!E682),0)," ")</f>
        <v>36.5</v>
      </c>
      <c r="F366" s="218">
        <f>IF(Calculations!F17=1,E366+F367," ")</f>
        <v>36.5</v>
      </c>
      <c r="G366" s="218">
        <f>IF(Calculations!G17=1,F366+G367," ")</f>
        <v>36.5</v>
      </c>
      <c r="H366" s="218">
        <f>IF(Calculations!H17=1,G366+H367," ")</f>
        <v>36.5</v>
      </c>
      <c r="I366" s="218">
        <f>IF(Calculations!I17=1,H366+I367," ")</f>
        <v>36.5</v>
      </c>
      <c r="J366" s="218">
        <f>IF(Calculations!J17=1,I366+J367," ")</f>
        <v>36.5</v>
      </c>
      <c r="K366" s="218">
        <f>IF(Calculations!K17=1,J366+K367," ")</f>
        <v>36.5</v>
      </c>
      <c r="L366" s="218">
        <f>IF(Calculations!L17=1,K366+L367," ")</f>
        <v>36.5</v>
      </c>
      <c r="M366" s="218">
        <f>IF(Calculations!M17=1,L366+M367," ")</f>
        <v>36.5</v>
      </c>
      <c r="N366" s="218">
        <f>IF(Calculations!N17=1,M366+N367," ")</f>
        <v>36.5</v>
      </c>
      <c r="O366" s="218">
        <f>IF(Calculations!O17=1,N366+O367," ")</f>
        <v>36.5</v>
      </c>
      <c r="P366" s="218">
        <f>IF(Calculations!P17=1,O366+P367," ")</f>
        <v>36.5</v>
      </c>
      <c r="Q366" s="218">
        <f>IF(Calculations!Q17=1,P366+Q367," ")</f>
        <v>36.5</v>
      </c>
      <c r="R366" s="218">
        <f>IF(Calculations!R17=1,Q366+R367," ")</f>
        <v>36.5</v>
      </c>
      <c r="S366" s="218">
        <f>IF(Calculations!S17=1,R366+S367," ")</f>
        <v>36.5</v>
      </c>
      <c r="T366" s="218">
        <f>IF(Calculations!T17=1,S366+T367," ")</f>
        <v>36.5</v>
      </c>
      <c r="U366" s="218">
        <f>IF(Calculations!U17=1,T366+U367," ")</f>
        <v>36.5</v>
      </c>
      <c r="V366" s="218">
        <f>IF(Calculations!V17=1,U366+V367," ")</f>
        <v>36.5</v>
      </c>
      <c r="W366" s="218">
        <f>IF(Calculations!W17=1,V366+W367," ")</f>
        <v>36.5</v>
      </c>
      <c r="X366" s="218">
        <f>IF(Calculations!X17=1,W366+X367," ")</f>
        <v>36.5</v>
      </c>
      <c r="Y366" s="218">
        <f>IF(Calculations!Y17=1,X366+Y367," ")</f>
        <v>36.5</v>
      </c>
      <c r="Z366" s="218">
        <f>IF(Calculations!Z17=1,Y366+Z367," ")</f>
        <v>36.5</v>
      </c>
      <c r="AA366" s="218">
        <f>IF(Calculations!AA17=1,Z366+AA367," ")</f>
        <v>36.5</v>
      </c>
      <c r="AB366" s="218">
        <f>IF(Calculations!AB17=1,AA366+AB367," ")</f>
        <v>36.5</v>
      </c>
      <c r="AC366" s="218">
        <f>IF(Calculations!AC17=1,AB366+AC367," ")</f>
        <v>36.5</v>
      </c>
      <c r="AD366" s="218">
        <f>IF(Calculations!AD17=1,AC366+AD367," ")</f>
        <v>36.5</v>
      </c>
      <c r="AE366" s="218">
        <f>IF(Calculations!AE17=1,AD366+AE367," ")</f>
        <v>36.5</v>
      </c>
      <c r="AF366" s="218">
        <f>IF(Calculations!AF17=1,AE366+AF367," ")</f>
        <v>36.5</v>
      </c>
      <c r="AG366" s="218">
        <f>IF(Calculations!AG17=1,AF366+AG367," ")</f>
        <v>36.5</v>
      </c>
      <c r="AH366" s="218">
        <f>IF(Calculations!AH17=1,AG366+AH367," ")</f>
        <v>36.5</v>
      </c>
    </row>
    <row r="367" spans="2:34" s="8" customFormat="1" ht="14" x14ac:dyDescent="0.2">
      <c r="B367" s="8" t="s">
        <v>271</v>
      </c>
      <c r="D367" s="8" t="s">
        <v>270</v>
      </c>
      <c r="E367" s="182"/>
      <c r="F367" s="191">
        <v>0</v>
      </c>
      <c r="G367" s="191">
        <v>0</v>
      </c>
      <c r="H367" s="191">
        <v>0</v>
      </c>
      <c r="I367" s="191">
        <v>0</v>
      </c>
      <c r="J367" s="191">
        <v>0</v>
      </c>
      <c r="K367" s="191">
        <v>0</v>
      </c>
      <c r="L367" s="191">
        <v>0</v>
      </c>
      <c r="M367" s="191">
        <v>0</v>
      </c>
      <c r="N367" s="191">
        <v>0</v>
      </c>
      <c r="O367" s="191">
        <v>0</v>
      </c>
      <c r="P367" s="191">
        <v>0</v>
      </c>
      <c r="Q367" s="191">
        <v>0</v>
      </c>
      <c r="R367" s="191">
        <v>0</v>
      </c>
      <c r="S367" s="191">
        <v>0</v>
      </c>
      <c r="T367" s="191">
        <v>0</v>
      </c>
      <c r="U367" s="191">
        <v>0</v>
      </c>
      <c r="V367" s="191">
        <v>0</v>
      </c>
      <c r="W367" s="191">
        <v>0</v>
      </c>
      <c r="X367" s="191">
        <v>0</v>
      </c>
      <c r="Y367" s="191">
        <v>0</v>
      </c>
      <c r="Z367" s="191">
        <v>0</v>
      </c>
      <c r="AA367" s="191">
        <v>0</v>
      </c>
      <c r="AB367" s="191">
        <v>0</v>
      </c>
      <c r="AC367" s="191">
        <v>0</v>
      </c>
      <c r="AD367" s="191">
        <v>0</v>
      </c>
      <c r="AE367" s="191">
        <v>0</v>
      </c>
      <c r="AF367" s="191">
        <v>0</v>
      </c>
      <c r="AG367" s="191">
        <v>0</v>
      </c>
      <c r="AH367" s="191">
        <v>0</v>
      </c>
    </row>
    <row r="368" spans="2:34" s="20" customFormat="1" ht="14" x14ac:dyDescent="0.2">
      <c r="E368" s="182"/>
      <c r="F368" s="192"/>
      <c r="G368" s="192"/>
      <c r="H368" s="192"/>
      <c r="I368" s="192"/>
      <c r="J368" s="192"/>
      <c r="K368" s="192"/>
      <c r="L368" s="192"/>
      <c r="M368" s="192"/>
      <c r="N368" s="192"/>
      <c r="O368" s="192"/>
      <c r="P368" s="192"/>
      <c r="Q368" s="192"/>
      <c r="R368" s="192"/>
      <c r="S368" s="192"/>
      <c r="T368" s="192"/>
      <c r="U368" s="192"/>
      <c r="V368" s="192"/>
      <c r="W368" s="192"/>
      <c r="X368" s="192"/>
      <c r="Y368" s="192"/>
      <c r="Z368" s="192"/>
      <c r="AA368" s="192"/>
      <c r="AB368" s="192"/>
      <c r="AC368" s="192"/>
      <c r="AD368" s="192"/>
      <c r="AE368" s="192"/>
      <c r="AF368" s="192"/>
      <c r="AG368" s="192"/>
      <c r="AH368" s="192"/>
    </row>
    <row r="369" spans="2:34" x14ac:dyDescent="0.2">
      <c r="B369" s="21" t="s">
        <v>349</v>
      </c>
      <c r="D369" s="10" t="str">
        <f>'Assumptions - General'!$E$27 &amp;" millions"</f>
        <v>R$ millions</v>
      </c>
      <c r="E369" s="176">
        <v>100</v>
      </c>
      <c r="F369" s="190"/>
      <c r="G369" s="190"/>
      <c r="H369" s="190"/>
      <c r="I369" s="190"/>
      <c r="J369" s="190"/>
      <c r="K369" s="190"/>
      <c r="L369" s="190"/>
      <c r="M369" s="190"/>
      <c r="N369" s="190"/>
      <c r="O369" s="190"/>
      <c r="P369" s="190"/>
      <c r="Q369" s="190"/>
      <c r="R369" s="190"/>
      <c r="S369" s="190"/>
      <c r="T369" s="190"/>
      <c r="U369" s="190"/>
      <c r="V369" s="190"/>
      <c r="W369" s="190"/>
      <c r="X369" s="190"/>
      <c r="Y369" s="190"/>
      <c r="Z369" s="190"/>
      <c r="AA369" s="190"/>
      <c r="AB369" s="190"/>
      <c r="AC369" s="190"/>
      <c r="AD369" s="190"/>
      <c r="AE369" s="190"/>
      <c r="AF369" s="190"/>
      <c r="AG369" s="190"/>
      <c r="AH369" s="190"/>
    </row>
    <row r="370" spans="2:34" s="8" customFormat="1" ht="14" x14ac:dyDescent="0.2">
      <c r="B370" s="8" t="s">
        <v>273</v>
      </c>
      <c r="D370" s="8" t="s">
        <v>51</v>
      </c>
      <c r="E370" s="218">
        <f>IF($E$369&lt;&gt;0,IF(Calculations!E17=1,(E369*365)/(E159+E166+E175+E184)," "),0)</f>
        <v>52.142857142857146</v>
      </c>
      <c r="F370" s="218">
        <f>IF($E$369&lt;&gt;0,IF(Calculations!F17=1,E370+F371," "),0)</f>
        <v>52.142857142857146</v>
      </c>
      <c r="G370" s="218">
        <f>IF($E$369&lt;&gt;0,IF(Calculations!G17=1,F370+G371," "),0)</f>
        <v>52.142857142857146</v>
      </c>
      <c r="H370" s="218">
        <f>IF($E$369&lt;&gt;0,IF(Calculations!H17=1,G370+H371," "),0)</f>
        <v>52.142857142857146</v>
      </c>
      <c r="I370" s="218">
        <f>IF($E$369&lt;&gt;0,IF(Calculations!I17=1,H370+I371," "),0)</f>
        <v>52.142857142857146</v>
      </c>
      <c r="J370" s="218">
        <f>IF($E$369&lt;&gt;0,IF(Calculations!J17=1,I370+J371," "),0)</f>
        <v>52.142857142857146</v>
      </c>
      <c r="K370" s="218">
        <f>IF($E$369&lt;&gt;0,IF(Calculations!K17=1,J370+K371," "),0)</f>
        <v>52.142857142857146</v>
      </c>
      <c r="L370" s="218">
        <f>IF($E$369&lt;&gt;0,IF(Calculations!L17=1,K370+L371," "),0)</f>
        <v>52.142857142857146</v>
      </c>
      <c r="M370" s="218">
        <f>IF($E$369&lt;&gt;0,IF(Calculations!M17=1,L370+M371," "),0)</f>
        <v>52.142857142857146</v>
      </c>
      <c r="N370" s="218">
        <f>IF($E$369&lt;&gt;0,IF(Calculations!N17=1,M370+N371," "),0)</f>
        <v>52.142857142857146</v>
      </c>
      <c r="O370" s="218">
        <f>IF($E$369&lt;&gt;0,IF(Calculations!O17=1,N370+O371," "),0)</f>
        <v>52.142857142857146</v>
      </c>
      <c r="P370" s="218">
        <f>IF($E$369&lt;&gt;0,IF(Calculations!P17=1,O370+P371," "),0)</f>
        <v>52.142857142857146</v>
      </c>
      <c r="Q370" s="218">
        <f>IF($E$369&lt;&gt;0,IF(Calculations!Q17=1,P370+Q371," "),0)</f>
        <v>52.142857142857146</v>
      </c>
      <c r="R370" s="218">
        <f>IF($E$369&lt;&gt;0,IF(Calculations!R17=1,Q370+R371," "),0)</f>
        <v>52.142857142857146</v>
      </c>
      <c r="S370" s="218">
        <f>IF($E$369&lt;&gt;0,IF(Calculations!S17=1,R370+S371," "),0)</f>
        <v>52.142857142857146</v>
      </c>
      <c r="T370" s="218">
        <f>IF($E$369&lt;&gt;0,IF(Calculations!T17=1,S370+T371," "),0)</f>
        <v>52.142857142857146</v>
      </c>
      <c r="U370" s="218">
        <f>IF($E$369&lt;&gt;0,IF(Calculations!U17=1,T370+U371," "),0)</f>
        <v>52.142857142857146</v>
      </c>
      <c r="V370" s="218">
        <f>IF($E$369&lt;&gt;0,IF(Calculations!V17=1,U370+V371," "),0)</f>
        <v>52.142857142857146</v>
      </c>
      <c r="W370" s="218">
        <f>IF($E$369&lt;&gt;0,IF(Calculations!W17=1,V370+W371," "),0)</f>
        <v>52.142857142857146</v>
      </c>
      <c r="X370" s="218">
        <f>IF($E$369&lt;&gt;0,IF(Calculations!X17=1,W370+X371," "),0)</f>
        <v>52.142857142857146</v>
      </c>
      <c r="Y370" s="218">
        <f>IF($E$369&lt;&gt;0,IF(Calculations!Y17=1,X370+Y371," "),0)</f>
        <v>52.142857142857146</v>
      </c>
      <c r="Z370" s="218">
        <f>IF($E$369&lt;&gt;0,IF(Calculations!Z17=1,Y370+Z371," "),0)</f>
        <v>52.142857142857146</v>
      </c>
      <c r="AA370" s="218">
        <f>IF($E$369&lt;&gt;0,IF(Calculations!AA17=1,Z370+AA371," "),0)</f>
        <v>52.142857142857146</v>
      </c>
      <c r="AB370" s="218">
        <f>IF($E$369&lt;&gt;0,IF(Calculations!AB17=1,AA370+AB371," "),0)</f>
        <v>52.142857142857146</v>
      </c>
      <c r="AC370" s="218">
        <f>IF($E$369&lt;&gt;0,IF(Calculations!AC17=1,AB370+AC371," "),0)</f>
        <v>52.142857142857146</v>
      </c>
      <c r="AD370" s="218">
        <f>IF($E$369&lt;&gt;0,IF(Calculations!AD17=1,AC370+AD371," "),0)</f>
        <v>52.142857142857146</v>
      </c>
      <c r="AE370" s="218">
        <f>IF($E$369&lt;&gt;0,IF(Calculations!AE17=1,AD370+AE371," "),0)</f>
        <v>52.142857142857146</v>
      </c>
      <c r="AF370" s="218">
        <f>IF($E$369&lt;&gt;0,IF(Calculations!AF17=1,AE370+AF371," "),0)</f>
        <v>52.142857142857146</v>
      </c>
      <c r="AG370" s="218">
        <f>IF($E$369&lt;&gt;0,IF(Calculations!AG17=1,AF370+AG371," "),0)</f>
        <v>52.142857142857146</v>
      </c>
      <c r="AH370" s="218">
        <f>IF($E$369&lt;&gt;0,IF(Calculations!AH17=1,AG370+AH371," "),0)</f>
        <v>52.142857142857146</v>
      </c>
    </row>
    <row r="371" spans="2:34" s="8" customFormat="1" ht="14" x14ac:dyDescent="0.2">
      <c r="B371" s="8" t="s">
        <v>274</v>
      </c>
      <c r="D371" s="8" t="s">
        <v>270</v>
      </c>
      <c r="E371" s="182"/>
      <c r="F371" s="191">
        <v>0</v>
      </c>
      <c r="G371" s="191">
        <v>0</v>
      </c>
      <c r="H371" s="191">
        <v>0</v>
      </c>
      <c r="I371" s="191">
        <v>0</v>
      </c>
      <c r="J371" s="191">
        <v>0</v>
      </c>
      <c r="K371" s="191">
        <v>0</v>
      </c>
      <c r="L371" s="191">
        <v>0</v>
      </c>
      <c r="M371" s="191">
        <v>0</v>
      </c>
      <c r="N371" s="191">
        <v>0</v>
      </c>
      <c r="O371" s="191">
        <v>0</v>
      </c>
      <c r="P371" s="191">
        <v>0</v>
      </c>
      <c r="Q371" s="191">
        <v>0</v>
      </c>
      <c r="R371" s="191">
        <v>0</v>
      </c>
      <c r="S371" s="191">
        <v>0</v>
      </c>
      <c r="T371" s="191">
        <v>0</v>
      </c>
      <c r="U371" s="191">
        <v>0</v>
      </c>
      <c r="V371" s="191">
        <v>0</v>
      </c>
      <c r="W371" s="191">
        <v>0</v>
      </c>
      <c r="X371" s="191">
        <v>0</v>
      </c>
      <c r="Y371" s="191">
        <v>0</v>
      </c>
      <c r="Z371" s="191">
        <v>0</v>
      </c>
      <c r="AA371" s="191">
        <v>0</v>
      </c>
      <c r="AB371" s="191">
        <v>0</v>
      </c>
      <c r="AC371" s="191">
        <v>0</v>
      </c>
      <c r="AD371" s="191">
        <v>0</v>
      </c>
      <c r="AE371" s="191">
        <v>0</v>
      </c>
      <c r="AF371" s="191">
        <v>0</v>
      </c>
      <c r="AG371" s="191">
        <v>0</v>
      </c>
      <c r="AH371" s="191">
        <v>0</v>
      </c>
    </row>
    <row r="372" spans="2:34" s="20" customFormat="1" ht="14" x14ac:dyDescent="0.2">
      <c r="E372" s="182"/>
      <c r="F372" s="192"/>
      <c r="G372" s="192"/>
      <c r="H372" s="192"/>
      <c r="I372" s="192"/>
      <c r="J372" s="192"/>
      <c r="K372" s="192"/>
      <c r="L372" s="192"/>
      <c r="M372" s="192"/>
      <c r="N372" s="192"/>
      <c r="O372" s="192"/>
      <c r="P372" s="192"/>
      <c r="Q372" s="192"/>
      <c r="R372" s="192"/>
      <c r="S372" s="192"/>
      <c r="T372" s="192"/>
      <c r="U372" s="192"/>
      <c r="V372" s="192"/>
      <c r="W372" s="192"/>
      <c r="X372" s="192"/>
      <c r="Y372" s="192"/>
      <c r="Z372" s="192"/>
      <c r="AA372" s="192"/>
      <c r="AB372" s="192"/>
      <c r="AC372" s="192"/>
      <c r="AD372" s="192"/>
      <c r="AE372" s="192"/>
      <c r="AF372" s="192"/>
      <c r="AG372" s="192"/>
      <c r="AH372" s="192"/>
    </row>
    <row r="373" spans="2:34" x14ac:dyDescent="0.2">
      <c r="B373" s="21" t="s">
        <v>350</v>
      </c>
      <c r="D373" s="10" t="str">
        <f>'Assumptions - General'!$E$27 &amp;" millions"</f>
        <v>R$ millions</v>
      </c>
      <c r="E373" s="176">
        <v>1400</v>
      </c>
      <c r="F373" s="190"/>
      <c r="G373" s="190"/>
      <c r="H373" s="190"/>
      <c r="I373" s="190"/>
      <c r="J373" s="190"/>
      <c r="K373" s="190"/>
      <c r="L373" s="190"/>
      <c r="M373" s="190"/>
      <c r="N373" s="190"/>
      <c r="O373" s="190"/>
      <c r="P373" s="190"/>
      <c r="Q373" s="190"/>
      <c r="R373" s="190"/>
      <c r="S373" s="190"/>
      <c r="T373" s="190"/>
      <c r="U373" s="190"/>
      <c r="V373" s="190"/>
      <c r="W373" s="190"/>
      <c r="X373" s="190"/>
      <c r="Y373" s="190"/>
      <c r="Z373" s="190"/>
      <c r="AA373" s="190"/>
      <c r="AB373" s="190"/>
      <c r="AC373" s="190"/>
      <c r="AD373" s="190"/>
      <c r="AE373" s="190"/>
      <c r="AF373" s="190"/>
      <c r="AG373" s="190"/>
      <c r="AH373" s="190"/>
    </row>
    <row r="374" spans="2:34" s="8" customFormat="1" ht="14" x14ac:dyDescent="0.2">
      <c r="B374" s="8" t="s">
        <v>50</v>
      </c>
      <c r="D374" s="8" t="s">
        <v>51</v>
      </c>
      <c r="E374" s="193">
        <f>IF($E$373&lt;&gt;0,IF(Calculations!E17=1,(E373*365)/((Calculations!E678+Calculations!E680+Calculations!E682+Calculations!E684+Calculations!E686+Calculations!E688+Calculations!E1125+Calculations!E1126))," "),0)</f>
        <v>44.92307692307692</v>
      </c>
      <c r="F374" s="218">
        <f>IF($E$373&lt;&gt;0,IF(Calculations!F17=1,E374+F375," "),0)</f>
        <v>44.92307692307692</v>
      </c>
      <c r="G374" s="218">
        <f>IF($E$373&lt;&gt;0,IF(Calculations!G17=1,F374+G375," "),0)</f>
        <v>44.92307692307692</v>
      </c>
      <c r="H374" s="218">
        <f>IF($E$373&lt;&gt;0,IF(Calculations!H17=1,G374+H375," "),0)</f>
        <v>44.92307692307692</v>
      </c>
      <c r="I374" s="218">
        <f>IF($E$373&lt;&gt;0,IF(Calculations!I17=1,H374+I375," "),0)</f>
        <v>44.92307692307692</v>
      </c>
      <c r="J374" s="218">
        <f>IF($E$373&lt;&gt;0,IF(Calculations!J17=1,I374+J375," "),0)</f>
        <v>44.92307692307692</v>
      </c>
      <c r="K374" s="218">
        <f>IF($E$373&lt;&gt;0,IF(Calculations!K17=1,J374+K375," "),0)</f>
        <v>44.92307692307692</v>
      </c>
      <c r="L374" s="218">
        <f>IF($E$373&lt;&gt;0,IF(Calculations!L17=1,K374+L375," "),0)</f>
        <v>44.92307692307692</v>
      </c>
      <c r="M374" s="218">
        <f>IF($E$373&lt;&gt;0,IF(Calculations!M17=1,L374+M375," "),0)</f>
        <v>44.92307692307692</v>
      </c>
      <c r="N374" s="218">
        <f>IF($E$373&lt;&gt;0,IF(Calculations!N17=1,M374+N375," "),0)</f>
        <v>44.92307692307692</v>
      </c>
      <c r="O374" s="218">
        <f>IF($E$373&lt;&gt;0,IF(Calculations!O17=1,N374+O375," "),0)</f>
        <v>44.92307692307692</v>
      </c>
      <c r="P374" s="218">
        <f>IF($E$373&lt;&gt;0,IF(Calculations!P17=1,O374+P375," "),0)</f>
        <v>44.92307692307692</v>
      </c>
      <c r="Q374" s="218">
        <f>IF($E$373&lt;&gt;0,IF(Calculations!Q17=1,P374+Q375," "),0)</f>
        <v>44.92307692307692</v>
      </c>
      <c r="R374" s="218">
        <f>IF($E$373&lt;&gt;0,IF(Calculations!R17=1,Q374+R375," "),0)</f>
        <v>44.92307692307692</v>
      </c>
      <c r="S374" s="218">
        <f>IF($E$373&lt;&gt;0,IF(Calculations!S17=1,R374+S375," "),0)</f>
        <v>44.92307692307692</v>
      </c>
      <c r="T374" s="218">
        <f>IF($E$373&lt;&gt;0,IF(Calculations!T17=1,S374+T375," "),0)</f>
        <v>44.92307692307692</v>
      </c>
      <c r="U374" s="218">
        <f>IF($E$373&lt;&gt;0,IF(Calculations!U17=1,T374+U375," "),0)</f>
        <v>44.92307692307692</v>
      </c>
      <c r="V374" s="218">
        <f>IF($E$373&lt;&gt;0,IF(Calculations!V17=1,U374+V375," "),0)</f>
        <v>44.92307692307692</v>
      </c>
      <c r="W374" s="218">
        <f>IF($E$373&lt;&gt;0,IF(Calculations!W17=1,V374+W375," "),0)</f>
        <v>44.92307692307692</v>
      </c>
      <c r="X374" s="218">
        <f>IF($E$373&lt;&gt;0,IF(Calculations!X17=1,W374+X375," "),0)</f>
        <v>44.92307692307692</v>
      </c>
      <c r="Y374" s="218">
        <f>IF($E$373&lt;&gt;0,IF(Calculations!Y17=1,X374+Y375," "),0)</f>
        <v>44.92307692307692</v>
      </c>
      <c r="Z374" s="218">
        <f>IF($E$373&lt;&gt;0,IF(Calculations!Z17=1,Y374+Z375," "),0)</f>
        <v>44.92307692307692</v>
      </c>
      <c r="AA374" s="218">
        <f>IF($E$373&lt;&gt;0,IF(Calculations!AA17=1,Z374+AA375," "),0)</f>
        <v>44.92307692307692</v>
      </c>
      <c r="AB374" s="218">
        <f>IF($E$373&lt;&gt;0,IF(Calculations!AB17=1,AA374+AB375," "),0)</f>
        <v>44.92307692307692</v>
      </c>
      <c r="AC374" s="218">
        <f>IF($E$373&lt;&gt;0,IF(Calculations!AC17=1,AB374+AC375," "),0)</f>
        <v>44.92307692307692</v>
      </c>
      <c r="AD374" s="218">
        <f>IF($E$373&lt;&gt;0,IF(Calculations!AD17=1,AC374+AD375," "),0)</f>
        <v>44.92307692307692</v>
      </c>
      <c r="AE374" s="218">
        <f>IF($E$373&lt;&gt;0,IF(Calculations!AE17=1,AD374+AE375," "),0)</f>
        <v>44.92307692307692</v>
      </c>
      <c r="AF374" s="218">
        <f>IF($E$373&lt;&gt;0,IF(Calculations!AF17=1,AE374+AF375," "),0)</f>
        <v>44.92307692307692</v>
      </c>
      <c r="AG374" s="218">
        <f>IF($E$373&lt;&gt;0,IF(Calculations!AG17=1,AF374+AG375," "),0)</f>
        <v>44.92307692307692</v>
      </c>
      <c r="AH374" s="218">
        <f>IF($E$373&lt;&gt;0,IF(Calculations!AH17=1,AG374+AH375," "),0)</f>
        <v>44.92307692307692</v>
      </c>
    </row>
    <row r="375" spans="2:34" s="8" customFormat="1" ht="14" x14ac:dyDescent="0.2">
      <c r="B375" s="8" t="s">
        <v>272</v>
      </c>
      <c r="D375" s="8" t="s">
        <v>270</v>
      </c>
      <c r="E375" s="182"/>
      <c r="F375" s="191">
        <v>0</v>
      </c>
      <c r="G375" s="191">
        <v>0</v>
      </c>
      <c r="H375" s="191">
        <v>0</v>
      </c>
      <c r="I375" s="191">
        <v>0</v>
      </c>
      <c r="J375" s="191">
        <v>0</v>
      </c>
      <c r="K375" s="191">
        <v>0</v>
      </c>
      <c r="L375" s="191">
        <v>0</v>
      </c>
      <c r="M375" s="191">
        <v>0</v>
      </c>
      <c r="N375" s="191">
        <v>0</v>
      </c>
      <c r="O375" s="191">
        <v>0</v>
      </c>
      <c r="P375" s="191">
        <v>0</v>
      </c>
      <c r="Q375" s="191">
        <v>0</v>
      </c>
      <c r="R375" s="191">
        <v>0</v>
      </c>
      <c r="S375" s="191">
        <v>0</v>
      </c>
      <c r="T375" s="191">
        <v>0</v>
      </c>
      <c r="U375" s="191">
        <v>0</v>
      </c>
      <c r="V375" s="191">
        <v>0</v>
      </c>
      <c r="W375" s="191">
        <v>0</v>
      </c>
      <c r="X375" s="191">
        <v>0</v>
      </c>
      <c r="Y375" s="191">
        <v>0</v>
      </c>
      <c r="Z375" s="191">
        <v>0</v>
      </c>
      <c r="AA375" s="191">
        <v>0</v>
      </c>
      <c r="AB375" s="191">
        <v>0</v>
      </c>
      <c r="AC375" s="191">
        <v>0</v>
      </c>
      <c r="AD375" s="191">
        <v>0</v>
      </c>
      <c r="AE375" s="191">
        <v>0</v>
      </c>
      <c r="AF375" s="191">
        <v>0</v>
      </c>
      <c r="AG375" s="191">
        <v>0</v>
      </c>
      <c r="AH375" s="191">
        <v>0</v>
      </c>
    </row>
    <row r="376" spans="2:34" s="20" customFormat="1" ht="14" x14ac:dyDescent="0.2">
      <c r="E376" s="182"/>
      <c r="F376" s="192"/>
      <c r="G376" s="192"/>
      <c r="H376" s="192"/>
      <c r="I376" s="192"/>
      <c r="J376" s="192"/>
      <c r="K376" s="192"/>
      <c r="L376" s="192"/>
      <c r="M376" s="192"/>
      <c r="N376" s="192"/>
      <c r="O376" s="192"/>
      <c r="P376" s="192"/>
      <c r="Q376" s="192"/>
      <c r="R376" s="192"/>
      <c r="S376" s="192"/>
      <c r="T376" s="192"/>
      <c r="U376" s="192"/>
      <c r="V376" s="192"/>
      <c r="W376" s="192"/>
      <c r="X376" s="192"/>
      <c r="Y376" s="192"/>
      <c r="Z376" s="192"/>
      <c r="AA376" s="192"/>
      <c r="AB376" s="192"/>
      <c r="AC376" s="192"/>
      <c r="AD376" s="192"/>
      <c r="AE376" s="192"/>
      <c r="AF376" s="192"/>
      <c r="AG376" s="192"/>
      <c r="AH376" s="192"/>
    </row>
    <row r="377" spans="2:34" x14ac:dyDescent="0.2">
      <c r="B377" s="21" t="s">
        <v>351</v>
      </c>
      <c r="D377" s="10" t="str">
        <f>'Assumptions - General'!$E$27 &amp;" millions"</f>
        <v>R$ millions</v>
      </c>
      <c r="E377" s="176">
        <v>100</v>
      </c>
      <c r="F377" s="190"/>
      <c r="G377" s="190"/>
      <c r="H377" s="190"/>
      <c r="I377" s="190"/>
      <c r="J377" s="190"/>
      <c r="K377" s="190"/>
      <c r="L377" s="190"/>
      <c r="M377" s="190"/>
      <c r="N377" s="190"/>
      <c r="O377" s="190"/>
      <c r="P377" s="190"/>
      <c r="Q377" s="190"/>
      <c r="R377" s="190"/>
      <c r="S377" s="190"/>
      <c r="T377" s="190"/>
      <c r="U377" s="190"/>
      <c r="V377" s="190"/>
      <c r="W377" s="190"/>
      <c r="X377" s="190"/>
      <c r="Y377" s="190"/>
      <c r="Z377" s="190"/>
      <c r="AA377" s="190"/>
      <c r="AB377" s="190"/>
      <c r="AC377" s="190"/>
      <c r="AD377" s="190"/>
      <c r="AE377" s="190"/>
      <c r="AF377" s="190"/>
      <c r="AG377" s="190"/>
      <c r="AH377" s="190"/>
    </row>
    <row r="378" spans="2:34" s="8" customFormat="1" ht="14" x14ac:dyDescent="0.2">
      <c r="B378" s="8" t="s">
        <v>275</v>
      </c>
      <c r="D378" s="8" t="s">
        <v>51</v>
      </c>
      <c r="E378" s="193">
        <f>IF(Calculations!E17=1,IF(E377&gt;0,(E377*365)/(SUM(Calculations!E693:E696)),0)," ")</f>
        <v>121.66666666666667</v>
      </c>
      <c r="F378" s="218">
        <f>IF(Calculations!F17=1,E378+F379," ")</f>
        <v>121.66666666666667</v>
      </c>
      <c r="G378" s="218">
        <f>IF(Calculations!G17=1,F378+G379," ")</f>
        <v>121.66666666666667</v>
      </c>
      <c r="H378" s="218">
        <f>IF(Calculations!H17=1,G378+H379," ")</f>
        <v>121.66666666666667</v>
      </c>
      <c r="I378" s="218">
        <f>IF(Calculations!I17=1,H378+I379," ")</f>
        <v>121.66666666666667</v>
      </c>
      <c r="J378" s="218">
        <f>IF(Calculations!J17=1,I378+J379," ")</f>
        <v>121.66666666666667</v>
      </c>
      <c r="K378" s="218">
        <f>IF(Calculations!K17=1,J378+K379," ")</f>
        <v>121.66666666666667</v>
      </c>
      <c r="L378" s="218">
        <f>IF(Calculations!L17=1,K378+L379," ")</f>
        <v>121.66666666666667</v>
      </c>
      <c r="M378" s="218">
        <f>IF(Calculations!M17=1,L378+M379," ")</f>
        <v>121.66666666666667</v>
      </c>
      <c r="N378" s="218">
        <f>IF(Calculations!N17=1,M378+N379," ")</f>
        <v>121.66666666666667</v>
      </c>
      <c r="O378" s="218">
        <f>IF(Calculations!O17=1,N378+O379," ")</f>
        <v>121.66666666666667</v>
      </c>
      <c r="P378" s="218">
        <f>IF(Calculations!P17=1,O378+P379," ")</f>
        <v>121.66666666666667</v>
      </c>
      <c r="Q378" s="218">
        <f>IF(Calculations!Q17=1,P378+Q379," ")</f>
        <v>121.66666666666667</v>
      </c>
      <c r="R378" s="218">
        <f>IF(Calculations!R17=1,Q378+R379," ")</f>
        <v>121.66666666666667</v>
      </c>
      <c r="S378" s="218">
        <f>IF(Calculations!S17=1,R378+S379," ")</f>
        <v>121.66666666666667</v>
      </c>
      <c r="T378" s="218">
        <f>IF(Calculations!T17=1,S378+T379," ")</f>
        <v>121.66666666666667</v>
      </c>
      <c r="U378" s="218">
        <f>IF(Calculations!U17=1,T378+U379," ")</f>
        <v>121.66666666666667</v>
      </c>
      <c r="V378" s="218">
        <f>IF(Calculations!V17=1,U378+V379," ")</f>
        <v>121.66666666666667</v>
      </c>
      <c r="W378" s="218">
        <f>IF(Calculations!W17=1,V378+W379," ")</f>
        <v>121.66666666666667</v>
      </c>
      <c r="X378" s="218">
        <f>IF(Calculations!X17=1,W378+X379," ")</f>
        <v>121.66666666666667</v>
      </c>
      <c r="Y378" s="218">
        <f>IF(Calculations!Y17=1,X378+Y379," ")</f>
        <v>121.66666666666667</v>
      </c>
      <c r="Z378" s="218">
        <f>IF(Calculations!Z17=1,Y378+Z379," ")</f>
        <v>121.66666666666667</v>
      </c>
      <c r="AA378" s="218">
        <f>IF(Calculations!AA17=1,Z378+AA379," ")</f>
        <v>121.66666666666667</v>
      </c>
      <c r="AB378" s="218">
        <f>IF(Calculations!AB17=1,AA378+AB379," ")</f>
        <v>121.66666666666667</v>
      </c>
      <c r="AC378" s="218">
        <f>IF(Calculations!AC17=1,AB378+AC379," ")</f>
        <v>121.66666666666667</v>
      </c>
      <c r="AD378" s="218">
        <f>IF(Calculations!AD17=1,AC378+AD379," ")</f>
        <v>121.66666666666667</v>
      </c>
      <c r="AE378" s="218">
        <f>IF(Calculations!AE17=1,AD378+AE379," ")</f>
        <v>121.66666666666667</v>
      </c>
      <c r="AF378" s="218">
        <f>IF(Calculations!AF17=1,AE378+AF379," ")</f>
        <v>121.66666666666667</v>
      </c>
      <c r="AG378" s="218">
        <f>IF(Calculations!AG17=1,AF378+AG379," ")</f>
        <v>121.66666666666667</v>
      </c>
      <c r="AH378" s="218">
        <f>IF(Calculations!AH17=1,AG378+AH379," ")</f>
        <v>121.66666666666667</v>
      </c>
    </row>
    <row r="379" spans="2:34" s="8" customFormat="1" ht="14" x14ac:dyDescent="0.2">
      <c r="B379" s="8" t="s">
        <v>276</v>
      </c>
      <c r="D379" s="8" t="s">
        <v>270</v>
      </c>
      <c r="E379" s="182"/>
      <c r="F379" s="191">
        <v>0</v>
      </c>
      <c r="G379" s="191">
        <v>0</v>
      </c>
      <c r="H379" s="191">
        <v>0</v>
      </c>
      <c r="I379" s="191">
        <v>0</v>
      </c>
      <c r="J379" s="191">
        <v>0</v>
      </c>
      <c r="K379" s="191">
        <v>0</v>
      </c>
      <c r="L379" s="191">
        <v>0</v>
      </c>
      <c r="M379" s="191">
        <v>0</v>
      </c>
      <c r="N379" s="191">
        <v>0</v>
      </c>
      <c r="O379" s="191">
        <v>0</v>
      </c>
      <c r="P379" s="191">
        <v>0</v>
      </c>
      <c r="Q379" s="191">
        <v>0</v>
      </c>
      <c r="R379" s="191">
        <v>0</v>
      </c>
      <c r="S379" s="191">
        <v>0</v>
      </c>
      <c r="T379" s="191">
        <v>0</v>
      </c>
      <c r="U379" s="191">
        <v>0</v>
      </c>
      <c r="V379" s="191">
        <v>0</v>
      </c>
      <c r="W379" s="191">
        <v>0</v>
      </c>
      <c r="X379" s="191">
        <v>0</v>
      </c>
      <c r="Y379" s="191">
        <v>0</v>
      </c>
      <c r="Z379" s="191">
        <v>0</v>
      </c>
      <c r="AA379" s="191">
        <v>0</v>
      </c>
      <c r="AB379" s="191">
        <v>0</v>
      </c>
      <c r="AC379" s="191">
        <v>0</v>
      </c>
      <c r="AD379" s="191">
        <v>0</v>
      </c>
      <c r="AE379" s="191">
        <v>0</v>
      </c>
      <c r="AF379" s="191">
        <v>0</v>
      </c>
      <c r="AG379" s="191">
        <v>0</v>
      </c>
      <c r="AH379" s="191">
        <v>0</v>
      </c>
    </row>
    <row r="380" spans="2:34" s="20" customFormat="1" ht="14" x14ac:dyDescent="0.2">
      <c r="E380" s="182"/>
      <c r="F380" s="498" t="s">
        <v>33</v>
      </c>
      <c r="G380" s="121"/>
      <c r="H380" s="121"/>
      <c r="I380" s="121"/>
      <c r="J380" s="121"/>
      <c r="K380" s="121"/>
      <c r="L380" s="121"/>
      <c r="M380" s="121"/>
      <c r="N380" s="121"/>
      <c r="O380" s="121"/>
      <c r="P380" s="121"/>
      <c r="Q380" s="121"/>
      <c r="R380" s="121"/>
      <c r="S380" s="121"/>
      <c r="T380" s="121"/>
      <c r="U380" s="121"/>
      <c r="V380" s="121"/>
      <c r="W380" s="121"/>
      <c r="X380" s="121"/>
      <c r="Y380" s="121"/>
      <c r="Z380" s="121"/>
      <c r="AA380" s="121"/>
      <c r="AB380" s="121"/>
      <c r="AC380" s="121"/>
      <c r="AD380" s="121"/>
      <c r="AE380" s="121"/>
      <c r="AF380" s="121"/>
      <c r="AG380" s="121"/>
      <c r="AH380" s="121"/>
    </row>
    <row r="381" spans="2:34" s="8" customFormat="1" ht="14" x14ac:dyDescent="0.2">
      <c r="B381" s="21" t="s">
        <v>352</v>
      </c>
      <c r="D381" s="8" t="str">
        <f>'Assumptions - General'!$E$27 &amp;" millions"</f>
        <v>R$ millions</v>
      </c>
      <c r="E381" s="181">
        <v>100</v>
      </c>
      <c r="F381" s="87" t="s">
        <v>33</v>
      </c>
    </row>
    <row r="382" spans="2:34" s="8" customFormat="1" ht="14" x14ac:dyDescent="0.2">
      <c r="B382" s="169" t="s">
        <v>332</v>
      </c>
      <c r="C382" s="169"/>
      <c r="D382" s="169" t="s">
        <v>32</v>
      </c>
      <c r="E382" s="177">
        <f>IF(F380=F381,1,2)</f>
        <v>1</v>
      </c>
      <c r="F382" s="87" t="s">
        <v>211</v>
      </c>
    </row>
    <row r="383" spans="2:34" s="8" customFormat="1" ht="14" x14ac:dyDescent="0.2">
      <c r="B383" s="169"/>
      <c r="C383" s="169"/>
      <c r="D383" s="169"/>
      <c r="E383" s="177"/>
      <c r="F383" s="87"/>
    </row>
    <row r="384" spans="2:34" s="8" customFormat="1" ht="14" x14ac:dyDescent="0.2">
      <c r="B384" s="169" t="s">
        <v>333</v>
      </c>
      <c r="C384" s="169"/>
      <c r="D384" s="169" t="s">
        <v>15</v>
      </c>
      <c r="E384" s="198">
        <v>0.01</v>
      </c>
    </row>
    <row r="386" spans="1:34" outlineLevel="1" x14ac:dyDescent="0.2">
      <c r="B386" s="8" t="s">
        <v>387</v>
      </c>
      <c r="D386" s="10" t="str">
        <f>'Assumptions - General'!$E$27 &amp;" millions"</f>
        <v>R$ millions</v>
      </c>
      <c r="E386" s="218">
        <f>Calculations!E721</f>
        <v>5000</v>
      </c>
      <c r="F386" s="218">
        <f>Calculations!F721</f>
        <v>5471.7409412744692</v>
      </c>
      <c r="G386" s="218">
        <f>Calculations!G721</f>
        <v>5635.893169512703</v>
      </c>
      <c r="H386" s="218">
        <f>Calculations!H721</f>
        <v>6146.3049291961688</v>
      </c>
      <c r="I386" s="218">
        <f>Calculations!I721</f>
        <v>7033.8441041441074</v>
      </c>
      <c r="J386" s="218">
        <f>Calculations!J721</f>
        <v>7606.981691210538</v>
      </c>
      <c r="K386" s="218">
        <f>Calculations!K721</f>
        <v>8208.1770738072264</v>
      </c>
      <c r="L386" s="218">
        <f>Calculations!L721</f>
        <v>8838.5978958376236</v>
      </c>
      <c r="M386" s="218">
        <f>Calculations!M721</f>
        <v>9499.4566078234202</v>
      </c>
      <c r="N386" s="218">
        <f>Calculations!N721</f>
        <v>10192.012104422112</v>
      </c>
      <c r="O386" s="218">
        <f>Calculations!O721</f>
        <v>10917.571419869679</v>
      </c>
      <c r="P386" s="218">
        <f>Calculations!P721</f>
        <v>11677.491483350128</v>
      </c>
      <c r="Q386" s="218">
        <f>Calculations!Q721</f>
        <v>12473.180936361514</v>
      </c>
      <c r="R386" s="218">
        <f>Calculations!R721</f>
        <v>13306.102014218573</v>
      </c>
      <c r="S386" s="218">
        <f>Calculations!S721</f>
        <v>14177.772493904331</v>
      </c>
      <c r="T386" s="218">
        <f>Calculations!T721</f>
        <v>15089.76771055843</v>
      </c>
      <c r="U386" s="218">
        <f>Calculations!U721</f>
        <v>16043.722644967271</v>
      </c>
      <c r="V386" s="218">
        <f>Calculations!V721</f>
        <v>17041.334084501137</v>
      </c>
      <c r="W386" s="218">
        <f>Calculations!W721</f>
        <v>18084.362860026558</v>
      </c>
      <c r="X386" s="218">
        <f>Calculations!X721</f>
        <v>19174.636161407459</v>
      </c>
      <c r="Y386" s="218">
        <f>Calculations!Y721</f>
        <v>20314.049934297189</v>
      </c>
      <c r="Z386" s="218">
        <f>Calculations!Z721</f>
        <v>21504.571361015038</v>
      </c>
      <c r="AA386" s="218">
        <f>Calculations!AA721</f>
        <v>22748.241428395089</v>
      </c>
      <c r="AB386" s="218">
        <f>Calculations!AB721</f>
        <v>24047.177585593032</v>
      </c>
      <c r="AC386" s="218">
        <f>Calculations!AC721</f>
        <v>25403.57649493729</v>
      </c>
      <c r="AD386" s="218">
        <f>Calculations!AD721</f>
        <v>26819.71687901517</v>
      </c>
      <c r="AE386" s="218">
        <f>Calculations!AE721</f>
        <v>28297.962467292284</v>
      </c>
      <c r="AF386" s="218">
        <f>Calculations!AF721</f>
        <v>29840.765045674914</v>
      </c>
      <c r="AG386" s="218">
        <f>Calculations!AG721</f>
        <v>31450.667612539924</v>
      </c>
      <c r="AH386" s="218">
        <f>Calculations!AH721</f>
        <v>33130.307644875749</v>
      </c>
    </row>
    <row r="387" spans="1:34" outlineLevel="1" x14ac:dyDescent="0.2">
      <c r="B387" s="8" t="s">
        <v>388</v>
      </c>
      <c r="D387" s="10" t="str">
        <f>'Assumptions - General'!$E$27 &amp;" millions"</f>
        <v>R$ millions</v>
      </c>
      <c r="E387" s="218">
        <f>Calculations!E722</f>
        <v>100</v>
      </c>
      <c r="F387" s="218">
        <f>Calculations!F722</f>
        <v>109.4375</v>
      </c>
      <c r="G387" s="218">
        <f>Calculations!G722</f>
        <v>112.720625</v>
      </c>
      <c r="H387" s="218">
        <f>Calculations!H722</f>
        <v>122.93178750000003</v>
      </c>
      <c r="I387" s="218">
        <f>Calculations!I722</f>
        <v>140.68860125000003</v>
      </c>
      <c r="J387" s="218">
        <f>Calculations!J722</f>
        <v>152.15472225187509</v>
      </c>
      <c r="K387" s="218">
        <f>Calculations!K722</f>
        <v>164.18219077273761</v>
      </c>
      <c r="L387" s="218">
        <f>Calculations!L722</f>
        <v>176.79436815482518</v>
      </c>
      <c r="M387" s="218">
        <f>Calculations!M722</f>
        <v>190.01551220814252</v>
      </c>
      <c r="N387" s="218">
        <f>Calculations!N722</f>
        <v>203.87080997331961</v>
      </c>
      <c r="O387" s="218">
        <f>Calculations!O722</f>
        <v>218.38641164341993</v>
      </c>
      <c r="P387" s="218">
        <f>Calculations!P722</f>
        <v>233.58946568475037</v>
      </c>
      <c r="Q387" s="218">
        <f>Calculations!Q722</f>
        <v>249.50815519808148</v>
      </c>
      <c r="R387" s="218">
        <f>Calculations!R722</f>
        <v>266.17173556309621</v>
      </c>
      <c r="S387" s="218">
        <f>Calculations!S722</f>
        <v>283.61057341033359</v>
      </c>
      <c r="T387" s="218">
        <f>Calculations!T722</f>
        <v>301.85618696639841</v>
      </c>
      <c r="U387" s="218">
        <f>Calculations!U722</f>
        <v>320.94128781975786</v>
      </c>
      <c r="V387" s="218">
        <f>Calculations!V722</f>
        <v>340.89982415604902</v>
      </c>
      <c r="W387" s="218">
        <f>Calculations!W722</f>
        <v>361.76702551347989</v>
      </c>
      <c r="X387" s="218">
        <f>Calculations!X722</f>
        <v>383.57944911061617</v>
      </c>
      <c r="Y387" s="218">
        <f>Calculations!Y722</f>
        <v>406.37502780061845</v>
      </c>
      <c r="Z387" s="218">
        <f>Calculations!Z722</f>
        <v>430.19311970782132</v>
      </c>
      <c r="AA387" s="218">
        <f>Calculations!AA722</f>
        <v>455.07455960443588</v>
      </c>
      <c r="AB387" s="218">
        <f>Calculations!AB722</f>
        <v>481.06171208711021</v>
      </c>
      <c r="AC387" s="218">
        <f>Calculations!AC722</f>
        <v>508.19852661510106</v>
      </c>
      <c r="AD387" s="218">
        <f>Calculations!AD722</f>
        <v>536.53059447389285</v>
      </c>
      <c r="AE387" s="218">
        <f>Calculations!AE722</f>
        <v>566.10520773025871</v>
      </c>
      <c r="AF387" s="218">
        <f>Calculations!AF722</f>
        <v>596.97142024697985</v>
      </c>
      <c r="AG387" s="218">
        <f>Calculations!AG722</f>
        <v>629.18011082774728</v>
      </c>
      <c r="AH387" s="218">
        <f>Calculations!AH722</f>
        <v>662.78404856513828</v>
      </c>
    </row>
    <row r="388" spans="1:34" outlineLevel="1" x14ac:dyDescent="0.2">
      <c r="B388" s="8" t="s">
        <v>407</v>
      </c>
      <c r="D388" s="10" t="str">
        <f>'Assumptions - General'!$E$27 &amp;" millions"</f>
        <v>R$ millions</v>
      </c>
      <c r="E388" s="218">
        <f>Calculations!E723</f>
        <v>100</v>
      </c>
      <c r="F388" s="218">
        <f>Calculations!F723</f>
        <v>100.42857142857144</v>
      </c>
      <c r="G388" s="218">
        <f>Calculations!G723</f>
        <v>100.87000000000002</v>
      </c>
      <c r="H388" s="218">
        <f>Calculations!H723</f>
        <v>101.32467142857143</v>
      </c>
      <c r="I388" s="218">
        <f>Calculations!I723</f>
        <v>101.79298300000002</v>
      </c>
      <c r="J388" s="218">
        <f>Calculations!J723</f>
        <v>102.27534391857145</v>
      </c>
      <c r="K388" s="218">
        <f>Calculations!K723</f>
        <v>102.77217566470003</v>
      </c>
      <c r="L388" s="218">
        <f>Calculations!L723</f>
        <v>103.28391236321244</v>
      </c>
      <c r="M388" s="218">
        <f>Calculations!M723</f>
        <v>103.81100116268024</v>
      </c>
      <c r="N388" s="218">
        <f>Calculations!N723</f>
        <v>104.35390262613208</v>
      </c>
      <c r="O388" s="218">
        <f>Calculations!O723</f>
        <v>104.91309113348747</v>
      </c>
      <c r="P388" s="218">
        <f>Calculations!P723</f>
        <v>105.48905529606353</v>
      </c>
      <c r="Q388" s="218">
        <f>Calculations!Q723</f>
        <v>106.08229838351684</v>
      </c>
      <c r="R388" s="218">
        <f>Calculations!R723</f>
        <v>106.6933387635938</v>
      </c>
      <c r="S388" s="218">
        <f>Calculations!S723</f>
        <v>107.32271035507303</v>
      </c>
      <c r="T388" s="218">
        <f>Calculations!T723</f>
        <v>107.97096309429665</v>
      </c>
      <c r="U388" s="218">
        <f>Calculations!U723</f>
        <v>108.63866341569698</v>
      </c>
      <c r="V388" s="218">
        <f>Calculations!V723</f>
        <v>109.32639474673931</v>
      </c>
      <c r="W388" s="218">
        <f>Calculations!W723</f>
        <v>110.03475801771292</v>
      </c>
      <c r="X388" s="218">
        <f>Calculations!X723</f>
        <v>110.76437218681575</v>
      </c>
      <c r="Y388" s="218">
        <f>Calculations!Y723</f>
        <v>111.51587478099165</v>
      </c>
      <c r="Z388" s="218">
        <f>Calculations!Z723</f>
        <v>112.28992245299283</v>
      </c>
      <c r="AA388" s="218">
        <f>Calculations!AA723</f>
        <v>113.08719155515404</v>
      </c>
      <c r="AB388" s="218">
        <f>Calculations!AB723</f>
        <v>113.90837873038008</v>
      </c>
      <c r="AC388" s="218">
        <f>Calculations!AC723</f>
        <v>114.75420152086292</v>
      </c>
      <c r="AD388" s="218">
        <f>Calculations!AD723</f>
        <v>115.62539899506024</v>
      </c>
      <c r="AE388" s="218">
        <f>Calculations!AE723</f>
        <v>116.52273239348347</v>
      </c>
      <c r="AF388" s="218">
        <f>Calculations!AF723</f>
        <v>117.44698579385941</v>
      </c>
      <c r="AG388" s="218">
        <f>Calculations!AG723</f>
        <v>118.39896679624663</v>
      </c>
      <c r="AH388" s="218">
        <f>Calculations!AH723</f>
        <v>119.37950722870544</v>
      </c>
    </row>
    <row r="389" spans="1:34" outlineLevel="1" x14ac:dyDescent="0.2">
      <c r="B389" s="8" t="s">
        <v>389</v>
      </c>
      <c r="D389" s="10" t="str">
        <f>'Assumptions - General'!$E$27 &amp;" millions"</f>
        <v>R$ millions</v>
      </c>
      <c r="E389" s="218">
        <f>Calculations!E724</f>
        <v>1400</v>
      </c>
      <c r="F389" s="218">
        <f>Calculations!F724</f>
        <v>1513.3076923076922</v>
      </c>
      <c r="G389" s="218">
        <f>Calculations!G724</f>
        <v>1558.706923076923</v>
      </c>
      <c r="H389" s="218">
        <f>Calculations!H724</f>
        <v>1681.1184615384614</v>
      </c>
      <c r="I389" s="218">
        <f>Calculations!I724</f>
        <v>1887.391696769231</v>
      </c>
      <c r="J389" s="218">
        <f>Calculations!J724</f>
        <v>2024.2708835853848</v>
      </c>
      <c r="K389" s="218">
        <f>Calculations!K724</f>
        <v>2167.6641690834153</v>
      </c>
      <c r="L389" s="218">
        <f>Calculations!L724</f>
        <v>2317.8392079161013</v>
      </c>
      <c r="M389" s="218">
        <f>Calculations!M724</f>
        <v>2475.0738513265733</v>
      </c>
      <c r="N389" s="218">
        <f>Calculations!N724</f>
        <v>2639.656518054549</v>
      </c>
      <c r="O389" s="218">
        <f>Calculations!O724</f>
        <v>2811.8865783200094</v>
      </c>
      <c r="P389" s="218">
        <f>Calculations!P724</f>
        <v>2992.0747513351484</v>
      </c>
      <c r="Q389" s="218">
        <f>Calculations!Q724</f>
        <v>3180.5435168107074</v>
      </c>
      <c r="R389" s="218">
        <f>Calculations!R724</f>
        <v>3377.6275409385989</v>
      </c>
      <c r="S389" s="218">
        <f>Calculations!S724</f>
        <v>3583.6741173490341</v>
      </c>
      <c r="T389" s="218">
        <f>Calculations!T724</f>
        <v>3799.0436235572506</v>
      </c>
      <c r="U389" s="218">
        <f>Calculations!U724</f>
        <v>4024.1099934323461</v>
      </c>
      <c r="V389" s="218">
        <f>Calculations!V724</f>
        <v>4259.2612062387461</v>
      </c>
      <c r="W389" s="218">
        <f>Calculations!W724</f>
        <v>4504.8997928194403</v>
      </c>
      <c r="X389" s="218">
        <f>Calculations!X724</f>
        <v>4761.4433595093606</v>
      </c>
      <c r="Y389" s="218">
        <f>Calculations!Y724</f>
        <v>5029.3251303871402</v>
      </c>
      <c r="Z389" s="218">
        <f>Calculations!Z724</f>
        <v>5308.9945084940273</v>
      </c>
      <c r="AA389" s="218">
        <f>Calculations!AA724</f>
        <v>5600.9176566699807</v>
      </c>
      <c r="AB389" s="218">
        <f>Calculations!AB724</f>
        <v>5905.578098678845</v>
      </c>
      <c r="AC389" s="218">
        <f>Calculations!AC724</f>
        <v>6223.4773413172379</v>
      </c>
      <c r="AD389" s="218">
        <f>Calculations!AD724</f>
        <v>6555.1355182251236</v>
      </c>
      <c r="AE389" s="218">
        <f>Calculations!AE724</f>
        <v>6901.0920561402982</v>
      </c>
      <c r="AF389" s="218">
        <f>Calculations!AF724</f>
        <v>7261.9063643639793</v>
      </c>
      <c r="AG389" s="218">
        <f>Calculations!AG724</f>
        <v>7638.1585482305545</v>
      </c>
      <c r="AH389" s="218">
        <f>Calculations!AH724</f>
        <v>8030.4501474011977</v>
      </c>
    </row>
    <row r="390" spans="1:34" outlineLevel="1" x14ac:dyDescent="0.2">
      <c r="B390" s="8" t="s">
        <v>390</v>
      </c>
      <c r="D390" s="10" t="str">
        <f>'Assumptions - General'!$E$27 &amp;" millions"</f>
        <v>R$ millions</v>
      </c>
      <c r="E390" s="218">
        <f>Calculations!E725</f>
        <v>100</v>
      </c>
      <c r="F390" s="218">
        <f>Calculations!F725</f>
        <v>103.00000000000001</v>
      </c>
      <c r="G390" s="218">
        <f>Calculations!G725</f>
        <v>106.09000000000002</v>
      </c>
      <c r="H390" s="218">
        <f>Calculations!H725</f>
        <v>109.27270000000001</v>
      </c>
      <c r="I390" s="218">
        <f>Calculations!I725</f>
        <v>112.55088100000002</v>
      </c>
      <c r="J390" s="218">
        <f>Calculations!J725</f>
        <v>115.92740743000002</v>
      </c>
      <c r="K390" s="218">
        <f>Calculations!K725</f>
        <v>119.4052296529</v>
      </c>
      <c r="L390" s="218">
        <f>Calculations!L725</f>
        <v>122.98738654248703</v>
      </c>
      <c r="M390" s="218">
        <f>Calculations!M725</f>
        <v>126.67700813876164</v>
      </c>
      <c r="N390" s="218">
        <f>Calculations!N725</f>
        <v>130.47731838292449</v>
      </c>
      <c r="O390" s="218">
        <f>Calculations!O725</f>
        <v>134.39163793441222</v>
      </c>
      <c r="P390" s="218">
        <f>Calculations!P725</f>
        <v>138.4233870724446</v>
      </c>
      <c r="Q390" s="218">
        <f>Calculations!Q725</f>
        <v>142.5760886846179</v>
      </c>
      <c r="R390" s="218">
        <f>Calculations!R725</f>
        <v>146.85337134515649</v>
      </c>
      <c r="S390" s="218">
        <f>Calculations!S725</f>
        <v>151.25897248551115</v>
      </c>
      <c r="T390" s="218">
        <f>Calculations!T725</f>
        <v>155.79674166007649</v>
      </c>
      <c r="U390" s="218">
        <f>Calculations!U725</f>
        <v>160.47064390987876</v>
      </c>
      <c r="V390" s="218">
        <f>Calculations!V725</f>
        <v>165.28476322717512</v>
      </c>
      <c r="W390" s="218">
        <f>Calculations!W725</f>
        <v>170.24330612399038</v>
      </c>
      <c r="X390" s="218">
        <f>Calculations!X725</f>
        <v>175.35060530771014</v>
      </c>
      <c r="Y390" s="218">
        <f>Calculations!Y725</f>
        <v>180.61112346694145</v>
      </c>
      <c r="Z390" s="218">
        <f>Calculations!Z725</f>
        <v>186.02945717094968</v>
      </c>
      <c r="AA390" s="218">
        <f>Calculations!AA725</f>
        <v>191.61034088607818</v>
      </c>
      <c r="AB390" s="218">
        <f>Calculations!AB725</f>
        <v>197.35865111266054</v>
      </c>
      <c r="AC390" s="218">
        <f>Calculations!AC725</f>
        <v>203.27941064604036</v>
      </c>
      <c r="AD390" s="218">
        <f>Calculations!AD725</f>
        <v>209.37779296542155</v>
      </c>
      <c r="AE390" s="218">
        <f>Calculations!AE725</f>
        <v>215.65912675438415</v>
      </c>
      <c r="AF390" s="218">
        <f>Calculations!AF725</f>
        <v>222.1289005570157</v>
      </c>
      <c r="AG390" s="218">
        <f>Calculations!AG725</f>
        <v>228.79276757372622</v>
      </c>
      <c r="AH390" s="218">
        <f>Calculations!AH725</f>
        <v>235.65655060093803</v>
      </c>
    </row>
    <row r="391" spans="1:34" outlineLevel="1" x14ac:dyDescent="0.2">
      <c r="B391" s="8" t="s">
        <v>406</v>
      </c>
      <c r="D391" s="10" t="str">
        <f>'Assumptions - General'!$E$27 &amp;" millions"</f>
        <v>R$ millions</v>
      </c>
      <c r="E391" s="218">
        <f>Calculations!E727</f>
        <v>100</v>
      </c>
      <c r="F391" s="218">
        <f>Calculations!F727</f>
        <v>4823.0495548194867</v>
      </c>
      <c r="G391" s="218">
        <f>Calculations!G727</f>
        <v>9896.4288917163103</v>
      </c>
      <c r="H391" s="218">
        <f>Calculations!H727</f>
        <v>15446.70946999306</v>
      </c>
      <c r="I391" s="218">
        <f>Calculations!I727</f>
        <v>21883.348136139841</v>
      </c>
      <c r="J391" s="218">
        <f>Calculations!J727</f>
        <v>29179.322624664492</v>
      </c>
      <c r="K391" s="218">
        <f>Calculations!K727</f>
        <v>37251.115702379662</v>
      </c>
      <c r="L391" s="218">
        <f>Calculations!L727</f>
        <v>46123.844561638121</v>
      </c>
      <c r="M391" s="218">
        <f>Calculations!M727</f>
        <v>55883.438787693987</v>
      </c>
      <c r="N391" s="218">
        <f>Calculations!N727</f>
        <v>66581.559186280327</v>
      </c>
      <c r="O391" s="218">
        <f>Calculations!O727</f>
        <v>78055.744047057262</v>
      </c>
      <c r="P391" s="218">
        <f>Calculations!P727</f>
        <v>90519.17007940363</v>
      </c>
      <c r="Q391" s="218">
        <f>Calculations!Q727</f>
        <v>104029.79110020136</v>
      </c>
      <c r="R391" s="218">
        <f>Calculations!R727</f>
        <v>118647.01134292586</v>
      </c>
      <c r="S391" s="218">
        <f>Calculations!S727</f>
        <v>134433.02113050004</v>
      </c>
      <c r="T391" s="218">
        <f>Calculations!T727</f>
        <v>151452.91402097495</v>
      </c>
      <c r="U391" s="218">
        <f>Calculations!U727</f>
        <v>169750.24604636375</v>
      </c>
      <c r="V391" s="218">
        <f>Calculations!V727</f>
        <v>189452.6336571002</v>
      </c>
      <c r="W391" s="218">
        <f>Calculations!W727</f>
        <v>210603.12217767743</v>
      </c>
      <c r="X391" s="218">
        <f>Calculations!X727</f>
        <v>233279.26136599516</v>
      </c>
      <c r="Y391" s="218">
        <f>Calculations!Y727</f>
        <v>257560.7532156026</v>
      </c>
      <c r="Z391" s="218">
        <f>Calculations!Z727</f>
        <v>283532.61573840282</v>
      </c>
      <c r="AA391" s="218">
        <f>Calculations!AA727</f>
        <v>311286.41666183132</v>
      </c>
      <c r="AB391" s="218">
        <f>Calculations!AB727</f>
        <v>340915.29702339123</v>
      </c>
      <c r="AC391" s="218">
        <f>Calculations!AC727</f>
        <v>372516.26608938153</v>
      </c>
      <c r="AD391" s="218">
        <f>Calculations!AD727</f>
        <v>406191.32387962099</v>
      </c>
      <c r="AE391" s="218">
        <f>Calculations!AE727</f>
        <v>442022.13191755844</v>
      </c>
      <c r="AF391" s="218">
        <f>Calculations!AF727</f>
        <v>480169.12063997646</v>
      </c>
      <c r="AG391" s="218">
        <f>Calculations!AG727</f>
        <v>520723.23663387459</v>
      </c>
      <c r="AH391" s="218">
        <f>Calculations!AH727</f>
        <v>563805.45490837749</v>
      </c>
    </row>
    <row r="392" spans="1:34" x14ac:dyDescent="0.2">
      <c r="A392" s="7" t="s">
        <v>405</v>
      </c>
    </row>
    <row r="393" spans="1:34" x14ac:dyDescent="0.2">
      <c r="A393" s="7"/>
    </row>
    <row r="394" spans="1:34" s="324" customFormat="1" x14ac:dyDescent="0.2">
      <c r="B394" s="323" t="str">
        <f>"Debt financing assumptions for " &amp;'Assumptions - General'!$E$25</f>
        <v>Debt financing assumptions for Ruritania Passenger Rail Company</v>
      </c>
    </row>
    <row r="395" spans="1:34" s="8" customFormat="1" ht="14" x14ac:dyDescent="0.2">
      <c r="B395" s="7"/>
      <c r="E395" s="199"/>
      <c r="F395" s="173"/>
      <c r="G395" s="9"/>
      <c r="H395" s="9"/>
      <c r="I395" s="173"/>
      <c r="J395" s="9"/>
      <c r="K395" s="9"/>
      <c r="L395" s="173"/>
      <c r="M395" s="9"/>
      <c r="N395" s="9"/>
      <c r="O395" s="173"/>
      <c r="P395" s="9"/>
      <c r="Q395" s="9"/>
      <c r="R395" s="173"/>
      <c r="T395" s="9"/>
      <c r="U395" s="173"/>
      <c r="V395" s="9"/>
      <c r="W395" s="9"/>
      <c r="X395" s="173"/>
      <c r="Y395" s="9"/>
      <c r="Z395" s="9"/>
      <c r="AA395" s="173"/>
      <c r="AB395" s="9"/>
      <c r="AC395" s="9"/>
      <c r="AD395" s="173"/>
      <c r="AE395" s="9"/>
      <c r="AF395" s="9"/>
      <c r="AG395" s="173"/>
      <c r="AH395" s="9"/>
    </row>
    <row r="396" spans="1:34" s="20" customFormat="1" ht="14" x14ac:dyDescent="0.2">
      <c r="B396" s="19" t="s">
        <v>394</v>
      </c>
      <c r="E396" s="199" t="str">
        <f>IF(E400&lt;&gt;SUM(E402:AH402),"WARNING: PRINCIPAL REPAYMENTS NOT EQUAL TO OUTSTANDING PRINCIPAL", " ")</f>
        <v xml:space="preserve"> </v>
      </c>
      <c r="F396" s="310" t="s">
        <v>653</v>
      </c>
      <c r="G396" s="173"/>
      <c r="J396" s="173"/>
      <c r="M396" s="173"/>
      <c r="P396" s="173"/>
      <c r="S396" s="173"/>
      <c r="V396" s="173"/>
      <c r="Y396" s="173"/>
      <c r="AB396" s="173"/>
      <c r="AE396" s="173"/>
      <c r="AH396" s="173"/>
    </row>
    <row r="397" spans="1:34" s="8" customFormat="1" ht="14" x14ac:dyDescent="0.2">
      <c r="B397" s="169" t="s">
        <v>62</v>
      </c>
      <c r="D397" s="169" t="s">
        <v>2</v>
      </c>
      <c r="E397" s="177" t="s">
        <v>395</v>
      </c>
      <c r="F397" s="226" t="str">
        <f>'Assumptions - General'!$E$27</f>
        <v>R$</v>
      </c>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row>
    <row r="398" spans="1:34" s="8" customFormat="1" ht="14" x14ac:dyDescent="0.2">
      <c r="B398" s="169" t="s">
        <v>52</v>
      </c>
      <c r="D398" s="169" t="s">
        <v>209</v>
      </c>
      <c r="E398" s="177">
        <f>IF(F396=F397,1,IF(F396=F398,2,3))</f>
        <v>1</v>
      </c>
      <c r="F398" s="226" t="str">
        <f>'Assumptions - General'!$E$39</f>
        <v>USD</v>
      </c>
      <c r="G398" s="183"/>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row>
    <row r="399" spans="1:34" s="8" customFormat="1" ht="14" x14ac:dyDescent="0.2">
      <c r="B399" s="169"/>
      <c r="D399" s="169"/>
      <c r="E399" s="177"/>
      <c r="F399" s="226" t="str">
        <f>'Assumptions - General'!$E$40</f>
        <v>EUR</v>
      </c>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row>
    <row r="400" spans="1:34" s="20" customFormat="1" ht="14" x14ac:dyDescent="0.2">
      <c r="B400" s="228" t="s">
        <v>582</v>
      </c>
      <c r="D400" s="20" t="str">
        <f>IF(E398=1,F397&amp;" millions",IF(E398=2,F398&amp;" millions",IF(E398=3,F399&amp;" millions"," ")))</f>
        <v>R$ millions</v>
      </c>
      <c r="E400" s="217">
        <v>50</v>
      </c>
      <c r="F400" s="310"/>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row>
    <row r="401" spans="2:34" s="20" customFormat="1" ht="14" x14ac:dyDescent="0.2">
      <c r="B401" s="119" t="s">
        <v>583</v>
      </c>
      <c r="D401" s="20" t="str">
        <f>D400</f>
        <v>R$ millions</v>
      </c>
      <c r="E401" s="207">
        <v>2.5</v>
      </c>
      <c r="F401" s="499"/>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row>
    <row r="402" spans="2:34" s="20" customFormat="1" ht="14" x14ac:dyDescent="0.2">
      <c r="B402" s="228" t="s">
        <v>119</v>
      </c>
      <c r="D402" s="228" t="str">
        <f>D400</f>
        <v>R$ millions</v>
      </c>
      <c r="E402" s="200"/>
      <c r="F402" s="200"/>
      <c r="G402" s="200">
        <v>10</v>
      </c>
      <c r="H402" s="200">
        <v>5</v>
      </c>
      <c r="I402" s="200">
        <v>5</v>
      </c>
      <c r="J402" s="200">
        <v>5</v>
      </c>
      <c r="K402" s="200">
        <v>5</v>
      </c>
      <c r="L402" s="200">
        <v>5</v>
      </c>
      <c r="M402" s="200">
        <v>5</v>
      </c>
      <c r="N402" s="200">
        <v>5</v>
      </c>
      <c r="O402" s="200">
        <v>5</v>
      </c>
      <c r="P402" s="177"/>
      <c r="Q402" s="177"/>
      <c r="R402" s="177"/>
      <c r="S402" s="177"/>
      <c r="T402" s="177"/>
      <c r="U402" s="177"/>
      <c r="V402" s="177"/>
      <c r="W402" s="177"/>
      <c r="X402" s="177"/>
      <c r="Y402" s="177"/>
      <c r="Z402" s="177"/>
      <c r="AA402" s="177"/>
      <c r="AB402" s="177"/>
      <c r="AC402" s="177"/>
      <c r="AD402" s="177"/>
      <c r="AE402" s="177"/>
      <c r="AF402" s="177"/>
      <c r="AG402" s="177"/>
      <c r="AH402" s="177"/>
    </row>
    <row r="403" spans="2:34" s="8" customFormat="1" ht="14" x14ac:dyDescent="0.2">
      <c r="B403" s="169" t="s">
        <v>415</v>
      </c>
      <c r="D403" s="169" t="s">
        <v>209</v>
      </c>
      <c r="E403" s="177">
        <f>IF(F405=F403,1,2)</f>
        <v>1</v>
      </c>
      <c r="F403" s="226" t="s">
        <v>280</v>
      </c>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row>
    <row r="404" spans="2:34" s="8" customFormat="1" ht="14" x14ac:dyDescent="0.2">
      <c r="B404" s="169"/>
      <c r="D404" s="169"/>
      <c r="E404" s="177"/>
      <c r="F404" s="220" t="s">
        <v>281</v>
      </c>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row>
    <row r="405" spans="2:34" s="8" customFormat="1" ht="14" x14ac:dyDescent="0.2">
      <c r="B405" s="89" t="str">
        <f>IF(E403=1,"If fixed, enter interest rate"," ")</f>
        <v>If fixed, enter interest rate</v>
      </c>
      <c r="D405" s="169" t="str">
        <f>IF(E403=1,"%"," ")</f>
        <v>%</v>
      </c>
      <c r="E405" s="188">
        <v>0.05</v>
      </c>
      <c r="F405" s="87" t="s">
        <v>280</v>
      </c>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row>
    <row r="406" spans="2:34" s="8" customFormat="1" ht="14" x14ac:dyDescent="0.2">
      <c r="B406" s="89" t="str">
        <f>IF(E403=2,"if variable, enter margin on LIBOR"," ")</f>
        <v xml:space="preserve"> </v>
      </c>
      <c r="D406" s="169" t="str">
        <f>IF(E403=2,"%"," ")</f>
        <v xml:space="preserve"> </v>
      </c>
      <c r="E406" s="188">
        <v>0.02</v>
      </c>
      <c r="F406" s="220"/>
      <c r="G406" s="183"/>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row>
    <row r="407" spans="2:34" s="20" customFormat="1" ht="14" x14ac:dyDescent="0.2">
      <c r="B407" s="16"/>
      <c r="E407" s="182"/>
      <c r="F407" s="221"/>
      <c r="G407" s="182"/>
      <c r="H407" s="182"/>
      <c r="I407" s="182"/>
      <c r="J407" s="182"/>
      <c r="K407" s="182"/>
      <c r="L407" s="182"/>
      <c r="M407" s="182"/>
      <c r="N407" s="182"/>
      <c r="O407" s="182"/>
      <c r="P407" s="182"/>
      <c r="Q407" s="182"/>
      <c r="R407" s="182"/>
      <c r="S407" s="182"/>
      <c r="T407" s="182"/>
      <c r="U407" s="182"/>
      <c r="V407" s="182"/>
      <c r="W407" s="182"/>
      <c r="X407" s="182"/>
      <c r="Y407" s="182"/>
      <c r="Z407" s="182"/>
      <c r="AA407" s="182"/>
      <c r="AB407" s="182"/>
      <c r="AC407" s="182"/>
      <c r="AD407" s="182"/>
      <c r="AE407" s="182"/>
      <c r="AF407" s="182"/>
      <c r="AG407" s="182"/>
      <c r="AH407" s="182"/>
    </row>
    <row r="408" spans="2:34" s="20" customFormat="1" ht="14" x14ac:dyDescent="0.2">
      <c r="B408" s="19" t="s">
        <v>398</v>
      </c>
      <c r="E408" s="199" t="str">
        <f>IF(E412&lt;&gt;SUM(E414:AH414),"WARNING: PRINCIPAL REPAYMENTS NOT EQUAL TO OUTSTANDING PRINCIPAL", " ")</f>
        <v xml:space="preserve"> </v>
      </c>
      <c r="F408" s="310" t="s">
        <v>278</v>
      </c>
      <c r="G408" s="173"/>
      <c r="J408" s="173"/>
      <c r="M408" s="173"/>
      <c r="P408" s="173"/>
      <c r="S408" s="173"/>
      <c r="V408" s="173"/>
      <c r="Y408" s="173"/>
      <c r="AB408" s="173"/>
      <c r="AE408" s="173"/>
      <c r="AH408" s="173"/>
    </row>
    <row r="409" spans="2:34" s="8" customFormat="1" ht="14" x14ac:dyDescent="0.2">
      <c r="B409" s="169" t="s">
        <v>62</v>
      </c>
      <c r="D409" s="8" t="s">
        <v>2</v>
      </c>
      <c r="E409" s="177" t="s">
        <v>396</v>
      </c>
      <c r="F409" s="226" t="str">
        <f>'Assumptions - General'!$E$27</f>
        <v>R$</v>
      </c>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row>
    <row r="410" spans="2:34" s="8" customFormat="1" ht="14" x14ac:dyDescent="0.2">
      <c r="B410" s="169" t="s">
        <v>52</v>
      </c>
      <c r="D410" s="8" t="s">
        <v>209</v>
      </c>
      <c r="E410" s="177">
        <f>IF(F408=F409,1,IF(F408=F410,2,3))</f>
        <v>3</v>
      </c>
      <c r="F410" s="226" t="str">
        <f>'Assumptions - General'!$E$39</f>
        <v>USD</v>
      </c>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row>
    <row r="411" spans="2:34" s="8" customFormat="1" ht="14" x14ac:dyDescent="0.2">
      <c r="B411" s="169"/>
      <c r="E411" s="177"/>
      <c r="F411" s="226" t="str">
        <f>'Assumptions - General'!$E$40</f>
        <v>EUR</v>
      </c>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row>
    <row r="412" spans="2:34" s="20" customFormat="1" ht="14" x14ac:dyDescent="0.2">
      <c r="B412" s="228" t="s">
        <v>582</v>
      </c>
      <c r="D412" s="20" t="str">
        <f>IF(E410=1,F409&amp;" millions",IF(E410=2,F410&amp;" millions",IF(E410=3,F411&amp;" millions"," ")))</f>
        <v>EUR millions</v>
      </c>
      <c r="E412" s="217">
        <v>50</v>
      </c>
      <c r="F412" s="310"/>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row>
    <row r="413" spans="2:34" s="20" customFormat="1" ht="14" x14ac:dyDescent="0.2">
      <c r="B413" s="119" t="s">
        <v>583</v>
      </c>
      <c r="D413" s="20" t="str">
        <f>D412</f>
        <v>EUR millions</v>
      </c>
      <c r="E413" s="207">
        <v>2.5</v>
      </c>
      <c r="F413" s="499"/>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row>
    <row r="414" spans="2:34" s="20" customFormat="1" ht="14" x14ac:dyDescent="0.2">
      <c r="B414" s="119" t="s">
        <v>119</v>
      </c>
      <c r="D414" s="10" t="str">
        <f>D412</f>
        <v>EUR millions</v>
      </c>
      <c r="E414" s="200"/>
      <c r="F414" s="200">
        <v>5</v>
      </c>
      <c r="G414" s="200">
        <v>5</v>
      </c>
      <c r="H414" s="200">
        <v>5</v>
      </c>
      <c r="I414" s="200">
        <v>5</v>
      </c>
      <c r="J414" s="200">
        <v>5</v>
      </c>
      <c r="K414" s="200">
        <v>5</v>
      </c>
      <c r="L414" s="200">
        <v>5</v>
      </c>
      <c r="M414" s="200">
        <v>5</v>
      </c>
      <c r="N414" s="200">
        <v>5</v>
      </c>
      <c r="O414" s="200">
        <v>5</v>
      </c>
      <c r="P414" s="177"/>
      <c r="Q414" s="177"/>
      <c r="R414" s="177"/>
      <c r="S414" s="177"/>
      <c r="T414" s="177"/>
      <c r="U414" s="177"/>
      <c r="V414" s="177"/>
      <c r="W414" s="177"/>
      <c r="X414" s="177"/>
      <c r="Y414" s="177"/>
      <c r="Z414" s="177"/>
      <c r="AA414" s="177"/>
      <c r="AB414" s="177"/>
      <c r="AC414" s="177"/>
      <c r="AD414" s="177"/>
      <c r="AE414" s="177"/>
      <c r="AF414" s="177"/>
      <c r="AG414" s="177"/>
      <c r="AH414" s="177"/>
    </row>
    <row r="415" spans="2:34" s="8" customFormat="1" ht="14" x14ac:dyDescent="0.2">
      <c r="B415" s="169" t="s">
        <v>279</v>
      </c>
      <c r="D415" s="8" t="s">
        <v>209</v>
      </c>
      <c r="E415" s="177">
        <f>IF(F417=F415,1,2)</f>
        <v>1</v>
      </c>
      <c r="F415" s="220" t="s">
        <v>280</v>
      </c>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row>
    <row r="416" spans="2:34" s="8" customFormat="1" ht="14" x14ac:dyDescent="0.2">
      <c r="B416" s="169"/>
      <c r="E416" s="177"/>
      <c r="F416" s="220" t="s">
        <v>281</v>
      </c>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row>
    <row r="417" spans="2:34" s="8" customFormat="1" ht="14" x14ac:dyDescent="0.2">
      <c r="B417" s="89" t="str">
        <f>IF(E415=1,"If fixed, enter interest rate"," ")</f>
        <v>If fixed, enter interest rate</v>
      </c>
      <c r="D417" s="169" t="str">
        <f>IF(E415=1,"%"," ")</f>
        <v>%</v>
      </c>
      <c r="E417" s="188">
        <v>0.05</v>
      </c>
      <c r="F417" s="87" t="s">
        <v>280</v>
      </c>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row>
    <row r="418" spans="2:34" s="8" customFormat="1" ht="14" x14ac:dyDescent="0.2">
      <c r="B418" s="89" t="str">
        <f>IF(E415=2,"if variable, enter margin on LIBOR"," ")</f>
        <v xml:space="preserve"> </v>
      </c>
      <c r="D418" s="169" t="str">
        <f>IF(E415=2,"%"," ")</f>
        <v xml:space="preserve"> </v>
      </c>
      <c r="E418" s="188">
        <v>0.02</v>
      </c>
      <c r="F418" s="220"/>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row>
    <row r="419" spans="2:34" s="20" customFormat="1" ht="14" x14ac:dyDescent="0.2">
      <c r="B419" s="16"/>
      <c r="E419" s="182"/>
      <c r="F419" s="221"/>
      <c r="G419" s="182"/>
      <c r="H419" s="182"/>
      <c r="I419" s="182"/>
      <c r="J419" s="182"/>
      <c r="K419" s="182"/>
      <c r="L419" s="182"/>
      <c r="M419" s="182"/>
      <c r="N419" s="182"/>
      <c r="O419" s="182"/>
      <c r="P419" s="182"/>
      <c r="Q419" s="182"/>
      <c r="R419" s="182"/>
      <c r="S419" s="182"/>
      <c r="T419" s="182"/>
      <c r="U419" s="182"/>
      <c r="V419" s="182"/>
      <c r="W419" s="182"/>
      <c r="X419" s="182"/>
      <c r="Y419" s="182"/>
      <c r="Z419" s="182"/>
      <c r="AA419" s="182"/>
      <c r="AB419" s="182"/>
      <c r="AC419" s="182"/>
      <c r="AD419" s="182"/>
      <c r="AE419" s="182"/>
      <c r="AF419" s="182"/>
      <c r="AG419" s="182"/>
      <c r="AH419" s="182"/>
    </row>
    <row r="420" spans="2:34" s="20" customFormat="1" ht="14" x14ac:dyDescent="0.2">
      <c r="B420" s="19" t="s">
        <v>399</v>
      </c>
      <c r="E420" s="199" t="str">
        <f>IF(E424&lt;&gt;SUM(E426:AH426),"WARNING: PRINCIPAL REPAYMENTS NOT EQUAL TO OUTSTANDING PRINCIPAL", " ")</f>
        <v xml:space="preserve"> </v>
      </c>
      <c r="F420" s="310" t="s">
        <v>653</v>
      </c>
      <c r="G420" s="173"/>
      <c r="J420" s="173"/>
      <c r="M420" s="173"/>
      <c r="P420" s="173"/>
      <c r="S420" s="173"/>
      <c r="V420" s="173"/>
      <c r="Y420" s="173"/>
      <c r="AB420" s="173"/>
      <c r="AE420" s="173"/>
      <c r="AH420" s="173"/>
    </row>
    <row r="421" spans="2:34" s="8" customFormat="1" ht="14" x14ac:dyDescent="0.2">
      <c r="B421" s="169" t="s">
        <v>62</v>
      </c>
      <c r="D421" s="169" t="s">
        <v>2</v>
      </c>
      <c r="E421" s="177" t="s">
        <v>397</v>
      </c>
      <c r="F421" s="226" t="str">
        <f>'Assumptions - General'!$E$27</f>
        <v>R$</v>
      </c>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row>
    <row r="422" spans="2:34" s="8" customFormat="1" ht="14" x14ac:dyDescent="0.2">
      <c r="B422" s="169" t="s">
        <v>52</v>
      </c>
      <c r="D422" s="169" t="s">
        <v>209</v>
      </c>
      <c r="E422" s="177">
        <f>IF(F420=F421,1,IF(F420=F422,2,3))</f>
        <v>1</v>
      </c>
      <c r="F422" s="226" t="str">
        <f>'Assumptions - General'!$E$39</f>
        <v>USD</v>
      </c>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row>
    <row r="423" spans="2:34" s="8" customFormat="1" ht="14" x14ac:dyDescent="0.2">
      <c r="B423" s="169"/>
      <c r="D423" s="169"/>
      <c r="E423" s="177"/>
      <c r="F423" s="226" t="str">
        <f>'Assumptions - General'!$E$40</f>
        <v>EUR</v>
      </c>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row>
    <row r="424" spans="2:34" s="20" customFormat="1" ht="14" x14ac:dyDescent="0.2">
      <c r="B424" s="228" t="s">
        <v>582</v>
      </c>
      <c r="D424" s="20" t="str">
        <f>IF(E422=1,F421&amp;" millions",IF(E422=2,F422&amp;" millions",IF(E422=3,F423&amp;" millions"," ")))</f>
        <v>R$ millions</v>
      </c>
      <c r="E424" s="217">
        <v>50</v>
      </c>
      <c r="F424" s="310"/>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row>
    <row r="425" spans="2:34" s="20" customFormat="1" ht="14" x14ac:dyDescent="0.2">
      <c r="B425" s="119" t="s">
        <v>583</v>
      </c>
      <c r="D425" s="20" t="str">
        <f>D424</f>
        <v>R$ millions</v>
      </c>
      <c r="E425" s="207">
        <v>2.5</v>
      </c>
      <c r="F425" s="226"/>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row>
    <row r="426" spans="2:34" s="20" customFormat="1" ht="14" x14ac:dyDescent="0.2">
      <c r="B426" s="119" t="s">
        <v>119</v>
      </c>
      <c r="D426" s="228" t="str">
        <f>D424</f>
        <v>R$ millions</v>
      </c>
      <c r="E426" s="200"/>
      <c r="F426" s="200">
        <v>5</v>
      </c>
      <c r="G426" s="200">
        <v>5</v>
      </c>
      <c r="H426" s="200">
        <v>5</v>
      </c>
      <c r="I426" s="200">
        <v>5</v>
      </c>
      <c r="J426" s="200">
        <v>5</v>
      </c>
      <c r="K426" s="200">
        <v>5</v>
      </c>
      <c r="L426" s="200">
        <v>5</v>
      </c>
      <c r="M426" s="200">
        <v>5</v>
      </c>
      <c r="N426" s="200">
        <v>5</v>
      </c>
      <c r="O426" s="200">
        <v>5</v>
      </c>
      <c r="P426" s="177"/>
      <c r="Q426" s="177"/>
      <c r="R426" s="177"/>
      <c r="S426" s="177"/>
      <c r="T426" s="177"/>
      <c r="U426" s="177"/>
      <c r="V426" s="177"/>
      <c r="W426" s="177"/>
      <c r="X426" s="177"/>
      <c r="Y426" s="177"/>
      <c r="Z426" s="177"/>
      <c r="AA426" s="177"/>
      <c r="AB426" s="177"/>
      <c r="AC426" s="177"/>
      <c r="AD426" s="177"/>
      <c r="AE426" s="177"/>
      <c r="AF426" s="177"/>
      <c r="AG426" s="177"/>
      <c r="AH426" s="177"/>
    </row>
    <row r="427" spans="2:34" s="8" customFormat="1" ht="14" x14ac:dyDescent="0.2">
      <c r="B427" s="169" t="s">
        <v>279</v>
      </c>
      <c r="D427" s="169" t="s">
        <v>209</v>
      </c>
      <c r="E427" s="177">
        <f>IF(F429=F427,1,2)</f>
        <v>2</v>
      </c>
      <c r="F427" s="220" t="s">
        <v>280</v>
      </c>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row>
    <row r="428" spans="2:34" s="8" customFormat="1" ht="14" x14ac:dyDescent="0.2">
      <c r="B428" s="169"/>
      <c r="D428" s="169"/>
      <c r="E428" s="177"/>
      <c r="F428" s="220" t="s">
        <v>281</v>
      </c>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row>
    <row r="429" spans="2:34" s="8" customFormat="1" ht="14" x14ac:dyDescent="0.2">
      <c r="B429" s="89" t="str">
        <f>IF(E427=1,"If fixed, enter interest rate"," ")</f>
        <v xml:space="preserve"> </v>
      </c>
      <c r="D429" s="169" t="str">
        <f>IF(E427=1,"%"," ")</f>
        <v xml:space="preserve"> </v>
      </c>
      <c r="E429" s="188">
        <v>0.05</v>
      </c>
      <c r="F429" s="87" t="s">
        <v>281</v>
      </c>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row>
    <row r="430" spans="2:34" s="8" customFormat="1" ht="14" x14ac:dyDescent="0.2">
      <c r="B430" s="89" t="str">
        <f>IF(E427=2,"if variable, enter margin on LIBOR"," ")</f>
        <v>if variable, enter margin on LIBOR</v>
      </c>
      <c r="D430" s="169" t="str">
        <f>IF(E427=2,"%"," ")</f>
        <v>%</v>
      </c>
      <c r="E430" s="188">
        <v>0.02</v>
      </c>
      <c r="F430" s="220"/>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row>
    <row r="431" spans="2:34" s="20" customFormat="1" ht="14" x14ac:dyDescent="0.2">
      <c r="B431" s="16"/>
      <c r="E431" s="182"/>
      <c r="F431" s="221"/>
      <c r="G431" s="182"/>
      <c r="H431" s="182"/>
      <c r="I431" s="182"/>
      <c r="J431" s="182"/>
      <c r="K431" s="182"/>
      <c r="L431" s="182"/>
      <c r="M431" s="182"/>
      <c r="N431" s="182"/>
      <c r="O431" s="182"/>
      <c r="P431" s="182"/>
      <c r="Q431" s="182"/>
      <c r="R431" s="182"/>
      <c r="S431" s="182"/>
      <c r="T431" s="182"/>
      <c r="U431" s="182"/>
      <c r="V431" s="182"/>
      <c r="W431" s="182"/>
      <c r="X431" s="182"/>
      <c r="Y431" s="182"/>
      <c r="Z431" s="182"/>
      <c r="AA431" s="182"/>
      <c r="AB431" s="182"/>
      <c r="AC431" s="182"/>
      <c r="AD431" s="182"/>
      <c r="AE431" s="182"/>
      <c r="AF431" s="182"/>
      <c r="AG431" s="182"/>
      <c r="AH431" s="182"/>
    </row>
    <row r="432" spans="2:34" s="8" customFormat="1" ht="14" x14ac:dyDescent="0.2">
      <c r="B432" s="21" t="s">
        <v>120</v>
      </c>
      <c r="E432" s="199" t="str">
        <f>IF(E437&lt;&gt;SUM(F438:AH438),"WARNING: PRINCIPAL NOT EQUAL TO DRAWDOWN", " ")</f>
        <v xml:space="preserve"> </v>
      </c>
      <c r="F432" s="220" t="s">
        <v>653</v>
      </c>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row>
    <row r="433" spans="2:34" s="8" customFormat="1" ht="14" x14ac:dyDescent="0.2">
      <c r="B433" s="169" t="s">
        <v>62</v>
      </c>
      <c r="D433" s="8" t="s">
        <v>2</v>
      </c>
      <c r="E433" s="177" t="s">
        <v>291</v>
      </c>
      <c r="F433" s="226" t="str">
        <f>'Assumptions - General'!E27</f>
        <v>R$</v>
      </c>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row>
    <row r="434" spans="2:34" s="8" customFormat="1" ht="14" x14ac:dyDescent="0.2">
      <c r="B434" s="169" t="s">
        <v>386</v>
      </c>
      <c r="D434" s="8" t="s">
        <v>649</v>
      </c>
      <c r="E434" s="200">
        <v>3</v>
      </c>
      <c r="F434" s="227" t="str">
        <f>'Assumptions - General'!E39</f>
        <v>USD</v>
      </c>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row>
    <row r="435" spans="2:34" s="8" customFormat="1" ht="14" x14ac:dyDescent="0.2">
      <c r="B435" s="169" t="s">
        <v>52</v>
      </c>
      <c r="D435" s="8" t="s">
        <v>209</v>
      </c>
      <c r="E435" s="177">
        <f>IF(F432=F433,1,IF(F432=F434,2,3))</f>
        <v>1</v>
      </c>
      <c r="F435" s="227" t="str">
        <f>'Assumptions - General'!E40</f>
        <v>EUR</v>
      </c>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row>
    <row r="436" spans="2:34" s="8" customFormat="1" ht="14" x14ac:dyDescent="0.2">
      <c r="B436" s="169"/>
      <c r="E436" s="177"/>
      <c r="F436" s="227"/>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row>
    <row r="437" spans="2:34" s="8" customFormat="1" ht="14" x14ac:dyDescent="0.2">
      <c r="B437" s="169" t="s">
        <v>60</v>
      </c>
      <c r="D437" s="20" t="str">
        <f>IF(E435=1,F433&amp;" millions",IF(E435=2,F434&amp;" millions",IF(E435=3,F435&amp;" millions"," ")))</f>
        <v>R$ millions</v>
      </c>
      <c r="E437" s="177">
        <v>50</v>
      </c>
      <c r="F437" s="220"/>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row>
    <row r="438" spans="2:34" s="8" customFormat="1" ht="14" x14ac:dyDescent="0.2">
      <c r="B438" s="169" t="s">
        <v>121</v>
      </c>
      <c r="D438" s="20" t="str">
        <f>D437</f>
        <v>R$ millions</v>
      </c>
      <c r="E438" s="201"/>
      <c r="F438" s="177"/>
      <c r="G438" s="177">
        <v>10</v>
      </c>
      <c r="H438" s="177">
        <v>10</v>
      </c>
      <c r="I438" s="177">
        <v>10</v>
      </c>
      <c r="J438" s="177">
        <v>10</v>
      </c>
      <c r="K438" s="177">
        <v>10</v>
      </c>
      <c r="L438" s="177"/>
      <c r="M438" s="177"/>
      <c r="N438" s="177"/>
      <c r="O438" s="177"/>
      <c r="P438" s="177"/>
      <c r="Q438" s="177"/>
      <c r="R438" s="177"/>
      <c r="S438" s="177"/>
      <c r="T438" s="177"/>
      <c r="U438" s="177"/>
      <c r="V438" s="177"/>
      <c r="W438" s="177"/>
      <c r="X438" s="177"/>
      <c r="Y438" s="177"/>
      <c r="Z438" s="177"/>
      <c r="AA438" s="177"/>
      <c r="AB438" s="177"/>
      <c r="AC438" s="177"/>
      <c r="AD438" s="177"/>
      <c r="AE438" s="177"/>
      <c r="AF438" s="177"/>
      <c r="AG438" s="177"/>
      <c r="AH438" s="177"/>
    </row>
    <row r="439" spans="2:34" s="8" customFormat="1" ht="14" x14ac:dyDescent="0.2">
      <c r="B439" s="169" t="s">
        <v>279</v>
      </c>
      <c r="D439" s="8" t="s">
        <v>209</v>
      </c>
      <c r="E439" s="177">
        <f>IF(F441=F439,1,2)</f>
        <v>1</v>
      </c>
      <c r="F439" s="220" t="s">
        <v>280</v>
      </c>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row>
    <row r="440" spans="2:34" s="8" customFormat="1" ht="14" x14ac:dyDescent="0.2">
      <c r="B440" s="169"/>
      <c r="E440" s="177"/>
      <c r="F440" s="220" t="s">
        <v>281</v>
      </c>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row>
    <row r="441" spans="2:34" s="8" customFormat="1" ht="14" x14ac:dyDescent="0.2">
      <c r="B441" s="89" t="str">
        <f>IF(E439=1,"If fixed, enter interest rate"," ")</f>
        <v>If fixed, enter interest rate</v>
      </c>
      <c r="D441" s="169" t="str">
        <f>IF(E439=1,"%"," ")</f>
        <v>%</v>
      </c>
      <c r="E441" s="188">
        <v>0.05</v>
      </c>
      <c r="F441" s="500" t="s">
        <v>280</v>
      </c>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row>
    <row r="442" spans="2:34" s="8" customFormat="1" ht="14" x14ac:dyDescent="0.2">
      <c r="B442" s="89" t="str">
        <f>IF(E439=2,"if variable, enter margin on LIBOR"," ")</f>
        <v xml:space="preserve"> </v>
      </c>
      <c r="D442" s="169" t="str">
        <f>IF(E439=2,"%"," ")</f>
        <v xml:space="preserve"> </v>
      </c>
      <c r="E442" s="188">
        <v>0.02</v>
      </c>
      <c r="F442" s="220"/>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row>
    <row r="443" spans="2:34" s="8" customFormat="1" ht="14" x14ac:dyDescent="0.2">
      <c r="B443" s="169" t="s">
        <v>54</v>
      </c>
      <c r="D443" s="8" t="s">
        <v>56</v>
      </c>
      <c r="E443" s="200">
        <v>15</v>
      </c>
      <c r="F443" s="220"/>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row>
    <row r="444" spans="2:34" s="8" customFormat="1" ht="14" x14ac:dyDescent="0.2">
      <c r="B444" s="169" t="s">
        <v>57</v>
      </c>
      <c r="D444" s="8" t="s">
        <v>56</v>
      </c>
      <c r="E444" s="200">
        <v>5</v>
      </c>
      <c r="F444" s="220" t="s">
        <v>680</v>
      </c>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row>
    <row r="445" spans="2:34" s="8" customFormat="1" ht="14" x14ac:dyDescent="0.2">
      <c r="B445" s="169" t="s">
        <v>282</v>
      </c>
      <c r="E445" s="177">
        <f>IF(F444=F445,1,IF(F444=F446,2,3))</f>
        <v>3</v>
      </c>
      <c r="F445" s="220" t="s">
        <v>283</v>
      </c>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row>
    <row r="446" spans="2:34" s="8" customFormat="1" ht="14" x14ac:dyDescent="0.2">
      <c r="B446" s="169"/>
      <c r="E446" s="177"/>
      <c r="F446" s="420" t="s">
        <v>284</v>
      </c>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row>
    <row r="447" spans="2:34" s="8" customFormat="1" ht="14" x14ac:dyDescent="0.2">
      <c r="B447" s="169" t="s">
        <v>53</v>
      </c>
      <c r="D447" s="8" t="s">
        <v>58</v>
      </c>
      <c r="E447" s="202">
        <v>2.5000000000000001E-3</v>
      </c>
      <c r="F447" s="220" t="s">
        <v>680</v>
      </c>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row>
    <row r="448" spans="2:34" s="8" customFormat="1" ht="14" x14ac:dyDescent="0.2">
      <c r="B448" s="169" t="s">
        <v>55</v>
      </c>
      <c r="D448" s="8" t="s">
        <v>141</v>
      </c>
      <c r="E448" s="202">
        <v>0</v>
      </c>
      <c r="F448" s="87"/>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row>
    <row r="449" spans="2:34" s="8" customFormat="1" ht="14" x14ac:dyDescent="0.2">
      <c r="E449" s="183"/>
      <c r="F449" s="220"/>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row>
    <row r="450" spans="2:34" s="8" customFormat="1" ht="14" x14ac:dyDescent="0.2">
      <c r="B450" s="21" t="s">
        <v>122</v>
      </c>
      <c r="E450" s="199" t="str">
        <f>IF(E455&lt;&gt;SUM(F456:AH456),"WARNING: PRINCIPAL NOT EQUAL TO DRAWDOWN", " ")</f>
        <v xml:space="preserve"> </v>
      </c>
      <c r="F450" s="220" t="s">
        <v>653</v>
      </c>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row>
    <row r="451" spans="2:34" s="8" customFormat="1" ht="14" x14ac:dyDescent="0.2">
      <c r="B451" s="8" t="s">
        <v>62</v>
      </c>
      <c r="D451" s="8" t="s">
        <v>2</v>
      </c>
      <c r="E451" s="177" t="s">
        <v>59</v>
      </c>
      <c r="F451" s="227" t="str">
        <f>'Assumptions - General'!E27</f>
        <v>R$</v>
      </c>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row>
    <row r="452" spans="2:34" s="8" customFormat="1" ht="14" x14ac:dyDescent="0.2">
      <c r="B452" s="8" t="s">
        <v>386</v>
      </c>
      <c r="D452" s="8" t="s">
        <v>649</v>
      </c>
      <c r="E452" s="200">
        <v>3</v>
      </c>
      <c r="F452" s="227" t="str">
        <f>F434</f>
        <v>USD</v>
      </c>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row>
    <row r="453" spans="2:34" s="8" customFormat="1" ht="14" x14ac:dyDescent="0.2">
      <c r="B453" s="8" t="s">
        <v>52</v>
      </c>
      <c r="D453" s="8" t="s">
        <v>209</v>
      </c>
      <c r="E453" s="177">
        <f>IF(F450=F451,1,IF(F450=F452,2,3))</f>
        <v>1</v>
      </c>
      <c r="F453" s="227" t="str">
        <f>F435</f>
        <v>EUR</v>
      </c>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row>
    <row r="454" spans="2:34" s="8" customFormat="1" ht="14" x14ac:dyDescent="0.2">
      <c r="E454" s="177"/>
      <c r="F454" s="227"/>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row>
    <row r="455" spans="2:34" s="8" customFormat="1" ht="14" x14ac:dyDescent="0.2">
      <c r="B455" s="8" t="s">
        <v>60</v>
      </c>
      <c r="D455" s="20" t="str">
        <f>IF(E453=1,F451&amp;" millions",IF(E453=2,F452&amp;" millions",IF(E453=3,F453&amp;" millions"," ")))</f>
        <v>R$ millions</v>
      </c>
      <c r="E455" s="177">
        <v>50</v>
      </c>
      <c r="F455" s="220"/>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row>
    <row r="456" spans="2:34" s="8" customFormat="1" ht="14" x14ac:dyDescent="0.2">
      <c r="B456" s="8" t="s">
        <v>121</v>
      </c>
      <c r="D456" s="20" t="str">
        <f>D455</f>
        <v>R$ millions</v>
      </c>
      <c r="E456" s="201"/>
      <c r="F456" s="177"/>
      <c r="G456" s="177">
        <v>10</v>
      </c>
      <c r="H456" s="177">
        <v>10</v>
      </c>
      <c r="I456" s="177">
        <v>10</v>
      </c>
      <c r="J456" s="177">
        <v>10</v>
      </c>
      <c r="K456" s="177">
        <v>10</v>
      </c>
      <c r="L456" s="177"/>
      <c r="M456" s="177"/>
      <c r="N456" s="177"/>
      <c r="O456" s="177"/>
      <c r="P456" s="177"/>
      <c r="Q456" s="177"/>
      <c r="R456" s="177"/>
      <c r="S456" s="177"/>
      <c r="T456" s="177"/>
      <c r="U456" s="177"/>
      <c r="V456" s="177"/>
      <c r="W456" s="177"/>
      <c r="X456" s="177"/>
      <c r="Y456" s="177"/>
      <c r="Z456" s="177"/>
      <c r="AA456" s="177"/>
      <c r="AB456" s="177"/>
      <c r="AC456" s="177"/>
      <c r="AD456" s="177"/>
      <c r="AE456" s="177"/>
      <c r="AF456" s="177"/>
      <c r="AG456" s="177"/>
      <c r="AH456" s="177"/>
    </row>
    <row r="457" spans="2:34" s="8" customFormat="1" ht="14" x14ac:dyDescent="0.2">
      <c r="B457" s="8" t="s">
        <v>279</v>
      </c>
      <c r="D457" s="8" t="s">
        <v>209</v>
      </c>
      <c r="E457" s="177">
        <f>IF(F459=F457,1,2)</f>
        <v>2</v>
      </c>
      <c r="F457" s="220" t="s">
        <v>280</v>
      </c>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row>
    <row r="458" spans="2:34" s="8" customFormat="1" ht="14" x14ac:dyDescent="0.2">
      <c r="E458" s="177"/>
      <c r="F458" s="220" t="s">
        <v>281</v>
      </c>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row>
    <row r="459" spans="2:34" s="8" customFormat="1" ht="14" x14ac:dyDescent="0.2">
      <c r="B459" s="89" t="str">
        <f>IF(E457=1,"If fixed, enter interest rate"," ")</f>
        <v xml:space="preserve"> </v>
      </c>
      <c r="D459" s="169" t="str">
        <f>IF(E457=1,"%"," ")</f>
        <v xml:space="preserve"> </v>
      </c>
      <c r="E459" s="188">
        <v>0.05</v>
      </c>
      <c r="F459" s="500" t="s">
        <v>281</v>
      </c>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row>
    <row r="460" spans="2:34" s="8" customFormat="1" ht="14" x14ac:dyDescent="0.2">
      <c r="B460" s="89" t="str">
        <f>IF(E457=2,"if variable, enter margin on LIBOR"," ")</f>
        <v>if variable, enter margin on LIBOR</v>
      </c>
      <c r="D460" s="169" t="str">
        <f>IF(E457=2,"%"," ")</f>
        <v>%</v>
      </c>
      <c r="E460" s="188">
        <v>0.02</v>
      </c>
      <c r="F460" s="220"/>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row>
    <row r="461" spans="2:34" s="8" customFormat="1" ht="14" x14ac:dyDescent="0.2">
      <c r="B461" s="8" t="s">
        <v>54</v>
      </c>
      <c r="D461" s="8" t="s">
        <v>56</v>
      </c>
      <c r="E461" s="177">
        <v>15</v>
      </c>
      <c r="F461" s="220"/>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row>
    <row r="462" spans="2:34" s="8" customFormat="1" ht="14" x14ac:dyDescent="0.2">
      <c r="B462" s="8" t="s">
        <v>57</v>
      </c>
      <c r="D462" s="8" t="s">
        <v>56</v>
      </c>
      <c r="E462" s="177">
        <v>5</v>
      </c>
      <c r="F462" s="220" t="s">
        <v>680</v>
      </c>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row>
    <row r="463" spans="2:34" s="8" customFormat="1" ht="14" x14ac:dyDescent="0.2">
      <c r="B463" s="8" t="s">
        <v>282</v>
      </c>
      <c r="E463" s="177">
        <f>IF(F462=F463,1,IF(F462=F464,2,3))</f>
        <v>3</v>
      </c>
      <c r="F463" s="220" t="s">
        <v>283</v>
      </c>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row>
    <row r="464" spans="2:34" s="8" customFormat="1" ht="14" x14ac:dyDescent="0.2">
      <c r="E464" s="177"/>
      <c r="F464" s="420" t="s">
        <v>284</v>
      </c>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row>
    <row r="465" spans="2:34" s="8" customFormat="1" ht="14" x14ac:dyDescent="0.2">
      <c r="B465" s="8" t="s">
        <v>53</v>
      </c>
      <c r="D465" s="8" t="s">
        <v>58</v>
      </c>
      <c r="E465" s="202">
        <v>2.5000000000000001E-3</v>
      </c>
      <c r="F465" s="220" t="s">
        <v>680</v>
      </c>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row>
    <row r="466" spans="2:34" s="8" customFormat="1" ht="14" x14ac:dyDescent="0.2">
      <c r="B466" s="8" t="s">
        <v>55</v>
      </c>
      <c r="D466" s="8" t="s">
        <v>141</v>
      </c>
      <c r="E466" s="202">
        <v>0</v>
      </c>
      <c r="F466" s="87"/>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row>
    <row r="467" spans="2:34" s="8" customFormat="1" ht="14" x14ac:dyDescent="0.2">
      <c r="E467" s="203"/>
      <c r="F467" s="220"/>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row>
    <row r="468" spans="2:34" s="8" customFormat="1" ht="14" x14ac:dyDescent="0.2">
      <c r="B468" s="21" t="s">
        <v>123</v>
      </c>
      <c r="E468" s="199" t="str">
        <f>IF(E473&lt;&gt;SUM(F474:AH474),"WARNING: PRINCIPAL NOT EQUAL TO DRAWDOWN", " ")</f>
        <v xml:space="preserve"> </v>
      </c>
      <c r="F468" s="220" t="s">
        <v>653</v>
      </c>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row>
    <row r="469" spans="2:34" s="8" customFormat="1" ht="14" x14ac:dyDescent="0.2">
      <c r="B469" s="8" t="s">
        <v>62</v>
      </c>
      <c r="D469" s="8" t="s">
        <v>2</v>
      </c>
      <c r="E469" s="177" t="s">
        <v>292</v>
      </c>
      <c r="F469" s="226" t="str">
        <f>'Assumptions - General'!E27</f>
        <v>R$</v>
      </c>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row>
    <row r="470" spans="2:34" s="8" customFormat="1" ht="14" x14ac:dyDescent="0.2">
      <c r="B470" s="8" t="s">
        <v>386</v>
      </c>
      <c r="D470" s="8" t="s">
        <v>649</v>
      </c>
      <c r="E470" s="200">
        <v>3</v>
      </c>
      <c r="F470" s="227" t="str">
        <f>F434</f>
        <v>USD</v>
      </c>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row>
    <row r="471" spans="2:34" s="8" customFormat="1" ht="14" x14ac:dyDescent="0.2">
      <c r="B471" s="8" t="s">
        <v>52</v>
      </c>
      <c r="D471" s="8" t="s">
        <v>209</v>
      </c>
      <c r="E471" s="177">
        <f>IF(F468=F469,1,IF(F468=F470,2,3))</f>
        <v>1</v>
      </c>
      <c r="F471" s="227" t="str">
        <f>F435</f>
        <v>EUR</v>
      </c>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row>
    <row r="472" spans="2:34" s="8" customFormat="1" ht="14" x14ac:dyDescent="0.2">
      <c r="E472" s="177"/>
      <c r="F472" s="227"/>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row>
    <row r="473" spans="2:34" s="8" customFormat="1" ht="14" x14ac:dyDescent="0.2">
      <c r="B473" s="8" t="s">
        <v>60</v>
      </c>
      <c r="D473" s="20" t="str">
        <f>IF(E471=1,F397&amp;" millions",IF(E471=2,F398&amp;" millions",IF(E471=3,F399&amp;" millions"," ")))</f>
        <v>R$ millions</v>
      </c>
      <c r="E473" s="177">
        <v>50</v>
      </c>
      <c r="F473" s="220"/>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row>
    <row r="474" spans="2:34" s="8" customFormat="1" ht="14" x14ac:dyDescent="0.2">
      <c r="B474" s="8" t="s">
        <v>121</v>
      </c>
      <c r="D474" s="20" t="str">
        <f>D473</f>
        <v>R$ millions</v>
      </c>
      <c r="E474" s="201"/>
      <c r="F474" s="177"/>
      <c r="G474" s="177">
        <v>10</v>
      </c>
      <c r="H474" s="177">
        <v>10</v>
      </c>
      <c r="I474" s="177">
        <v>10</v>
      </c>
      <c r="J474" s="177">
        <v>10</v>
      </c>
      <c r="K474" s="177">
        <v>10</v>
      </c>
      <c r="L474" s="177"/>
      <c r="M474" s="177"/>
      <c r="N474" s="177"/>
      <c r="O474" s="177"/>
      <c r="P474" s="177"/>
      <c r="Q474" s="177"/>
      <c r="R474" s="177"/>
      <c r="S474" s="177"/>
      <c r="T474" s="177"/>
      <c r="U474" s="177"/>
      <c r="V474" s="177"/>
      <c r="W474" s="177"/>
      <c r="X474" s="177"/>
      <c r="Y474" s="177"/>
      <c r="Z474" s="177"/>
      <c r="AA474" s="177"/>
      <c r="AB474" s="177"/>
      <c r="AC474" s="177"/>
      <c r="AD474" s="177"/>
      <c r="AE474" s="177"/>
      <c r="AF474" s="177"/>
      <c r="AG474" s="177"/>
      <c r="AH474" s="177"/>
    </row>
    <row r="475" spans="2:34" s="8" customFormat="1" ht="14" x14ac:dyDescent="0.2">
      <c r="B475" s="8" t="s">
        <v>279</v>
      </c>
      <c r="D475" s="8" t="s">
        <v>209</v>
      </c>
      <c r="E475" s="177">
        <f>IF(F477=F475,1,2)</f>
        <v>1</v>
      </c>
      <c r="F475" s="220" t="s">
        <v>280</v>
      </c>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row>
    <row r="476" spans="2:34" s="8" customFormat="1" ht="14" x14ac:dyDescent="0.2">
      <c r="E476" s="177"/>
      <c r="F476" s="220" t="s">
        <v>281</v>
      </c>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row>
    <row r="477" spans="2:34" s="8" customFormat="1" ht="14" x14ac:dyDescent="0.2">
      <c r="B477" s="89" t="str">
        <f>IF(E475=1,"If fixed, enter interest rate"," ")</f>
        <v>If fixed, enter interest rate</v>
      </c>
      <c r="D477" s="169" t="str">
        <f>IF(E475=1,"%"," ")</f>
        <v>%</v>
      </c>
      <c r="E477" s="188">
        <v>0.05</v>
      </c>
      <c r="F477" s="500" t="s">
        <v>280</v>
      </c>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row>
    <row r="478" spans="2:34" s="8" customFormat="1" ht="14" x14ac:dyDescent="0.2">
      <c r="B478" s="89" t="str">
        <f>IF(E475=2,"if variable, enter margin on LIBOR"," ")</f>
        <v xml:space="preserve"> </v>
      </c>
      <c r="D478" s="169" t="str">
        <f>IF(E475=2,"%"," ")</f>
        <v xml:space="preserve"> </v>
      </c>
      <c r="E478" s="188">
        <v>0.02</v>
      </c>
      <c r="F478" s="220"/>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row>
    <row r="479" spans="2:34" s="8" customFormat="1" ht="14" x14ac:dyDescent="0.2">
      <c r="B479" s="8" t="s">
        <v>54</v>
      </c>
      <c r="D479" s="8" t="s">
        <v>56</v>
      </c>
      <c r="E479" s="177">
        <v>25</v>
      </c>
      <c r="F479" s="220"/>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row>
    <row r="480" spans="2:34" s="8" customFormat="1" ht="14" x14ac:dyDescent="0.2">
      <c r="B480" s="8" t="s">
        <v>57</v>
      </c>
      <c r="D480" s="8" t="s">
        <v>56</v>
      </c>
      <c r="E480" s="177">
        <v>5</v>
      </c>
      <c r="F480" s="220" t="s">
        <v>283</v>
      </c>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row>
    <row r="481" spans="2:34" s="8" customFormat="1" ht="14" x14ac:dyDescent="0.2">
      <c r="B481" s="8" t="s">
        <v>282</v>
      </c>
      <c r="E481" s="177">
        <f>IF(F480=F481,1,IF(F480=F482,2,3))</f>
        <v>1</v>
      </c>
      <c r="F481" s="220" t="s">
        <v>283</v>
      </c>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row>
    <row r="482" spans="2:34" s="8" customFormat="1" ht="14" x14ac:dyDescent="0.2">
      <c r="E482" s="177"/>
      <c r="F482" s="420" t="s">
        <v>284</v>
      </c>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row>
    <row r="483" spans="2:34" s="8" customFormat="1" ht="14" x14ac:dyDescent="0.2">
      <c r="B483" s="8" t="s">
        <v>53</v>
      </c>
      <c r="D483" s="8" t="s">
        <v>58</v>
      </c>
      <c r="E483" s="202">
        <v>2.5000000000000001E-3</v>
      </c>
      <c r="F483" s="220" t="s">
        <v>680</v>
      </c>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row>
    <row r="484" spans="2:34" s="8" customFormat="1" ht="14" x14ac:dyDescent="0.2">
      <c r="B484" s="8" t="s">
        <v>55</v>
      </c>
      <c r="D484" s="8" t="s">
        <v>141</v>
      </c>
      <c r="E484" s="202">
        <v>0</v>
      </c>
      <c r="F484" s="87"/>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row>
    <row r="485" spans="2:34" s="8" customFormat="1" ht="14" x14ac:dyDescent="0.2">
      <c r="E485" s="203"/>
      <c r="F485" s="220"/>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row>
    <row r="486" spans="2:34" s="8" customFormat="1" ht="14" x14ac:dyDescent="0.2">
      <c r="B486" s="21" t="s">
        <v>124</v>
      </c>
      <c r="E486" s="199" t="str">
        <f>IF(E491&lt;&gt;SUM(F492:AH492),"WARNING: PRINCIPAL NOT EQUAL TO DRAWDOWN", " ")</f>
        <v xml:space="preserve"> </v>
      </c>
      <c r="F486" s="220" t="s">
        <v>653</v>
      </c>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row>
    <row r="487" spans="2:34" s="8" customFormat="1" ht="14" x14ac:dyDescent="0.2">
      <c r="B487" s="8" t="s">
        <v>62</v>
      </c>
      <c r="D487" s="8" t="s">
        <v>2</v>
      </c>
      <c r="E487" s="177" t="s">
        <v>143</v>
      </c>
      <c r="F487" s="226" t="str">
        <f>F433</f>
        <v>R$</v>
      </c>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row>
    <row r="488" spans="2:34" s="8" customFormat="1" ht="14" x14ac:dyDescent="0.2">
      <c r="B488" s="8" t="s">
        <v>386</v>
      </c>
      <c r="D488" s="8" t="s">
        <v>649</v>
      </c>
      <c r="E488" s="200">
        <v>3</v>
      </c>
      <c r="F488" s="227" t="str">
        <f>F434</f>
        <v>USD</v>
      </c>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row>
    <row r="489" spans="2:34" s="8" customFormat="1" ht="14" x14ac:dyDescent="0.2">
      <c r="B489" s="8" t="s">
        <v>52</v>
      </c>
      <c r="D489" s="8" t="s">
        <v>209</v>
      </c>
      <c r="E489" s="177">
        <f>IF(F486=F487,1,IF(F486=F488,2,3))</f>
        <v>1</v>
      </c>
      <c r="F489" s="227" t="str">
        <f>F435</f>
        <v>EUR</v>
      </c>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row>
    <row r="490" spans="2:34" s="8" customFormat="1" ht="14" x14ac:dyDescent="0.2">
      <c r="E490" s="177"/>
      <c r="F490" s="227"/>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row>
    <row r="491" spans="2:34" s="8" customFormat="1" ht="14" x14ac:dyDescent="0.2">
      <c r="B491" s="8" t="s">
        <v>60</v>
      </c>
      <c r="D491" s="20" t="str">
        <f>IF(E489=1,F487&amp;" millions",IF(E489=2,F488&amp;" millions",IF(E489=3,F489&amp;" millions"," ")))</f>
        <v>R$ millions</v>
      </c>
      <c r="E491" s="177">
        <v>50</v>
      </c>
      <c r="F491" s="220"/>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row>
    <row r="492" spans="2:34" s="8" customFormat="1" ht="14" x14ac:dyDescent="0.2">
      <c r="B492" s="8" t="s">
        <v>121</v>
      </c>
      <c r="D492" s="20" t="str">
        <f>D491</f>
        <v>R$ millions</v>
      </c>
      <c r="E492" s="201"/>
      <c r="F492" s="177"/>
      <c r="G492" s="177">
        <v>10</v>
      </c>
      <c r="H492" s="177">
        <v>10</v>
      </c>
      <c r="I492" s="177">
        <v>10</v>
      </c>
      <c r="J492" s="177">
        <v>10</v>
      </c>
      <c r="K492" s="177">
        <v>10</v>
      </c>
      <c r="L492" s="177"/>
      <c r="M492" s="177"/>
      <c r="N492" s="177"/>
      <c r="O492" s="177"/>
      <c r="P492" s="177"/>
      <c r="Q492" s="177"/>
      <c r="R492" s="177"/>
      <c r="S492" s="177"/>
      <c r="T492" s="177"/>
      <c r="U492" s="177"/>
      <c r="V492" s="177"/>
      <c r="W492" s="177"/>
      <c r="X492" s="177"/>
      <c r="Y492" s="177"/>
      <c r="Z492" s="177"/>
      <c r="AA492" s="177"/>
      <c r="AB492" s="177"/>
      <c r="AC492" s="177"/>
      <c r="AD492" s="177"/>
      <c r="AE492" s="177"/>
      <c r="AF492" s="177"/>
      <c r="AG492" s="177"/>
      <c r="AH492" s="177"/>
    </row>
    <row r="493" spans="2:34" s="8" customFormat="1" ht="14" x14ac:dyDescent="0.2">
      <c r="B493" s="8" t="s">
        <v>279</v>
      </c>
      <c r="D493" s="8" t="s">
        <v>209</v>
      </c>
      <c r="E493" s="177">
        <f>IF(F495=F493,1,2)</f>
        <v>1</v>
      </c>
      <c r="F493" s="220" t="s">
        <v>280</v>
      </c>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row>
    <row r="494" spans="2:34" s="8" customFormat="1" ht="14" x14ac:dyDescent="0.2">
      <c r="E494" s="177"/>
      <c r="F494" s="220" t="s">
        <v>281</v>
      </c>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row>
    <row r="495" spans="2:34" s="8" customFormat="1" ht="14" x14ac:dyDescent="0.2">
      <c r="B495" s="89" t="str">
        <f>IF(E493=1,"If fixed, enter interest rate"," ")</f>
        <v>If fixed, enter interest rate</v>
      </c>
      <c r="D495" s="169" t="str">
        <f>IF(E493=1,"%"," ")</f>
        <v>%</v>
      </c>
      <c r="E495" s="188">
        <v>0.05</v>
      </c>
      <c r="F495" s="500" t="s">
        <v>280</v>
      </c>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row>
    <row r="496" spans="2:34" s="8" customFormat="1" ht="14" x14ac:dyDescent="0.2">
      <c r="B496" s="89" t="str">
        <f>IF(E493=2,"if variable, enter margin on LIBOR"," ")</f>
        <v xml:space="preserve"> </v>
      </c>
      <c r="D496" s="169" t="str">
        <f>IF(E493=2,"%"," ")</f>
        <v xml:space="preserve"> </v>
      </c>
      <c r="E496" s="188">
        <v>0.02</v>
      </c>
      <c r="F496" s="220"/>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row>
    <row r="497" spans="2:34" s="8" customFormat="1" ht="14" x14ac:dyDescent="0.2">
      <c r="B497" s="8" t="s">
        <v>54</v>
      </c>
      <c r="D497" s="8" t="s">
        <v>56</v>
      </c>
      <c r="E497" s="177">
        <v>15</v>
      </c>
      <c r="F497" s="220"/>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row>
    <row r="498" spans="2:34" s="8" customFormat="1" ht="14" x14ac:dyDescent="0.2">
      <c r="B498" s="8" t="s">
        <v>57</v>
      </c>
      <c r="D498" s="8" t="s">
        <v>56</v>
      </c>
      <c r="E498" s="177">
        <v>5</v>
      </c>
      <c r="F498" s="220" t="s">
        <v>283</v>
      </c>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row>
    <row r="499" spans="2:34" s="8" customFormat="1" ht="14" x14ac:dyDescent="0.2">
      <c r="B499" s="8" t="s">
        <v>282</v>
      </c>
      <c r="E499" s="177">
        <f>IF(F498=F499,1,IF(F498=F500,2,3))</f>
        <v>1</v>
      </c>
      <c r="F499" s="220" t="s">
        <v>283</v>
      </c>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row>
    <row r="500" spans="2:34" s="8" customFormat="1" ht="14" x14ac:dyDescent="0.2">
      <c r="E500" s="177"/>
      <c r="F500" s="420" t="s">
        <v>284</v>
      </c>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row>
    <row r="501" spans="2:34" s="8" customFormat="1" ht="14" x14ac:dyDescent="0.2">
      <c r="B501" s="8" t="s">
        <v>53</v>
      </c>
      <c r="D501" s="8" t="s">
        <v>58</v>
      </c>
      <c r="E501" s="202">
        <v>2.5000000000000001E-3</v>
      </c>
      <c r="F501" s="220" t="s">
        <v>680</v>
      </c>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row>
    <row r="502" spans="2:34" s="8" customFormat="1" ht="14" x14ac:dyDescent="0.2">
      <c r="B502" s="8" t="s">
        <v>55</v>
      </c>
      <c r="D502" s="8" t="s">
        <v>141</v>
      </c>
      <c r="E502" s="202">
        <v>0</v>
      </c>
      <c r="F502" s="87"/>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row>
    <row r="503" spans="2:34" s="8" customFormat="1" ht="14" x14ac:dyDescent="0.2">
      <c r="E503" s="203"/>
      <c r="F503" s="220"/>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row>
    <row r="504" spans="2:34" s="324" customFormat="1" x14ac:dyDescent="0.2">
      <c r="B504" s="323" t="str">
        <f>"Other long-term liabilities for " &amp;'Assumptions - General'!$E$25</f>
        <v>Other long-term liabilities for Ruritania Passenger Rail Company</v>
      </c>
    </row>
    <row r="505" spans="2:34" s="8" customFormat="1" ht="14" x14ac:dyDescent="0.2">
      <c r="B505" s="7"/>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row>
    <row r="506" spans="2:34" s="8" customFormat="1" ht="14" x14ac:dyDescent="0.2">
      <c r="B506" s="21" t="s">
        <v>327</v>
      </c>
      <c r="E506" s="168"/>
      <c r="F506" s="87"/>
    </row>
    <row r="507" spans="2:34" s="8" customFormat="1" ht="14" x14ac:dyDescent="0.2">
      <c r="B507" s="30" t="s">
        <v>329</v>
      </c>
      <c r="D507" s="10" t="str">
        <f>'Assumptions - General'!$E$27 &amp;" millions"</f>
        <v>R$ millions</v>
      </c>
      <c r="E507" s="176">
        <v>20</v>
      </c>
      <c r="F507" s="191">
        <v>20</v>
      </c>
      <c r="G507" s="191">
        <v>20</v>
      </c>
      <c r="H507" s="191">
        <v>20</v>
      </c>
      <c r="I507" s="191">
        <v>20</v>
      </c>
      <c r="J507" s="191">
        <v>20</v>
      </c>
      <c r="K507" s="191">
        <v>20</v>
      </c>
      <c r="L507" s="191">
        <v>20</v>
      </c>
      <c r="M507" s="191">
        <v>20</v>
      </c>
      <c r="N507" s="191">
        <v>20</v>
      </c>
      <c r="O507" s="191">
        <v>20</v>
      </c>
      <c r="P507" s="191">
        <v>20</v>
      </c>
      <c r="Q507" s="191">
        <v>20</v>
      </c>
      <c r="R507" s="191">
        <v>20</v>
      </c>
      <c r="S507" s="191">
        <v>20</v>
      </c>
      <c r="T507" s="191">
        <v>20</v>
      </c>
      <c r="U507" s="191">
        <v>20</v>
      </c>
      <c r="V507" s="191">
        <v>20</v>
      </c>
      <c r="W507" s="191">
        <v>20</v>
      </c>
      <c r="X507" s="191">
        <v>20</v>
      </c>
      <c r="Y507" s="191">
        <v>20</v>
      </c>
      <c r="Z507" s="191">
        <v>20</v>
      </c>
      <c r="AA507" s="191">
        <v>20</v>
      </c>
      <c r="AB507" s="191">
        <v>20</v>
      </c>
      <c r="AC507" s="191">
        <v>20</v>
      </c>
      <c r="AD507" s="191">
        <v>20</v>
      </c>
      <c r="AE507" s="191">
        <v>20</v>
      </c>
      <c r="AF507" s="191">
        <v>20</v>
      </c>
      <c r="AG507" s="191">
        <v>20</v>
      </c>
      <c r="AH507" s="191">
        <v>20</v>
      </c>
    </row>
    <row r="508" spans="2:34" s="20" customFormat="1" ht="14" x14ac:dyDescent="0.2">
      <c r="B508" s="230"/>
      <c r="D508" s="122"/>
      <c r="E508" s="192"/>
      <c r="F508" s="192"/>
      <c r="G508" s="192"/>
      <c r="H508" s="192"/>
      <c r="I508" s="192"/>
      <c r="J508" s="192"/>
      <c r="K508" s="192"/>
      <c r="L508" s="192"/>
      <c r="M508" s="192"/>
      <c r="N508" s="192"/>
      <c r="O508" s="192"/>
      <c r="P508" s="192"/>
      <c r="Q508" s="192"/>
      <c r="R508" s="192"/>
      <c r="S508" s="192"/>
      <c r="T508" s="192"/>
      <c r="U508" s="192"/>
      <c r="V508" s="192"/>
      <c r="W508" s="192"/>
      <c r="X508" s="192"/>
      <c r="Y508" s="192"/>
      <c r="Z508" s="192"/>
      <c r="AA508" s="192"/>
      <c r="AB508" s="192"/>
      <c r="AC508" s="192"/>
      <c r="AD508" s="192"/>
      <c r="AE508" s="192"/>
      <c r="AF508" s="192"/>
      <c r="AG508" s="192"/>
      <c r="AH508" s="192"/>
    </row>
    <row r="509" spans="2:34" s="324" customFormat="1" x14ac:dyDescent="0.2">
      <c r="B509" s="323" t="str">
        <f>"Equity assumptions for " &amp;'Assumptions - General'!$E$25</f>
        <v>Equity assumptions for Ruritania Passenger Rail Company</v>
      </c>
    </row>
    <row r="510" spans="2:34" s="8" customFormat="1" ht="14" x14ac:dyDescent="0.2">
      <c r="B510" s="7"/>
      <c r="E510" s="199"/>
      <c r="F510" s="173"/>
      <c r="G510" s="9"/>
      <c r="H510" s="9"/>
      <c r="I510" s="173"/>
      <c r="J510" s="9"/>
      <c r="K510" s="9"/>
      <c r="L510" s="173"/>
      <c r="M510" s="9"/>
      <c r="N510" s="9"/>
      <c r="O510" s="173"/>
      <c r="P510" s="9"/>
      <c r="Q510" s="9"/>
      <c r="R510" s="173"/>
      <c r="T510" s="9"/>
      <c r="U510" s="173"/>
      <c r="V510" s="9"/>
      <c r="W510" s="9"/>
      <c r="X510" s="173"/>
      <c r="Y510" s="9"/>
      <c r="Z510" s="9"/>
      <c r="AA510" s="173"/>
      <c r="AB510" s="9"/>
      <c r="AC510" s="9"/>
      <c r="AD510" s="173"/>
      <c r="AE510" s="9"/>
      <c r="AF510" s="9"/>
      <c r="AG510" s="173"/>
      <c r="AH510" s="9"/>
    </row>
    <row r="511" spans="2:34" s="8" customFormat="1" ht="14" x14ac:dyDescent="0.2">
      <c r="B511" s="21" t="s">
        <v>65</v>
      </c>
      <c r="E511" s="182"/>
      <c r="F511" s="183"/>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row>
    <row r="512" spans="2:34" s="8" customFormat="1" ht="14" x14ac:dyDescent="0.2">
      <c r="B512" s="8" t="s">
        <v>63</v>
      </c>
      <c r="D512" s="8" t="s">
        <v>2</v>
      </c>
      <c r="E512" s="177" t="s">
        <v>64</v>
      </c>
      <c r="F512" s="183"/>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row>
    <row r="513" spans="1:34" s="8" customFormat="1" ht="14" x14ac:dyDescent="0.2">
      <c r="B513" s="8" t="s">
        <v>391</v>
      </c>
      <c r="D513" s="10" t="str">
        <f>'Assumptions - General'!$E$27 &amp;" millions"</f>
        <v>R$ millions</v>
      </c>
      <c r="E513" s="176">
        <v>4225</v>
      </c>
      <c r="F513" s="183"/>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row>
    <row r="514" spans="1:34" s="8" customFormat="1" ht="14" x14ac:dyDescent="0.2">
      <c r="B514" s="14" t="s">
        <v>393</v>
      </c>
      <c r="D514" s="10" t="str">
        <f>'Assumptions - General'!$E$27 &amp;" millions"</f>
        <v>R$ millions</v>
      </c>
      <c r="E514" s="192"/>
      <c r="F514" s="177">
        <v>0</v>
      </c>
      <c r="G514" s="177"/>
      <c r="H514" s="177"/>
      <c r="I514" s="177"/>
      <c r="J514" s="177"/>
      <c r="K514" s="177"/>
      <c r="L514" s="177"/>
      <c r="M514" s="177"/>
      <c r="N514" s="177"/>
      <c r="O514" s="177"/>
      <c r="P514" s="177"/>
      <c r="Q514" s="177"/>
      <c r="R514" s="177"/>
      <c r="S514" s="177"/>
      <c r="T514" s="177"/>
      <c r="U514" s="177"/>
      <c r="V514" s="177"/>
      <c r="W514" s="177"/>
      <c r="X514" s="177"/>
      <c r="Y514" s="177"/>
      <c r="Z514" s="177"/>
      <c r="AA514" s="177"/>
      <c r="AB514" s="177"/>
      <c r="AC514" s="177"/>
      <c r="AD514" s="177"/>
      <c r="AE514" s="177"/>
      <c r="AF514" s="177"/>
      <c r="AG514" s="177"/>
      <c r="AH514" s="177"/>
    </row>
    <row r="515" spans="1:34" s="8" customFormat="1" ht="14" x14ac:dyDescent="0.2">
      <c r="B515" s="8" t="s">
        <v>392</v>
      </c>
      <c r="D515" s="10" t="str">
        <f>'Assumptions - General'!$E$27 &amp;" millions"</f>
        <v>R$ millions</v>
      </c>
      <c r="E515" s="181">
        <v>400</v>
      </c>
      <c r="F515" s="183"/>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row>
    <row r="516" spans="1:34" s="8" customFormat="1" ht="14" collapsed="1" x14ac:dyDescent="0.2">
      <c r="B516" s="8" t="s">
        <v>527</v>
      </c>
      <c r="D516" s="10" t="str">
        <f>'Assumptions - General'!$E$27 &amp;" millions"</f>
        <v>R$ millions</v>
      </c>
      <c r="E516" s="192">
        <f>E513+E515</f>
        <v>4625</v>
      </c>
      <c r="F516" s="183"/>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row>
    <row r="517" spans="1:34" s="8" customFormat="1" ht="14" x14ac:dyDescent="0.2">
      <c r="B517" s="356"/>
      <c r="C517" s="356"/>
      <c r="D517" s="10"/>
      <c r="E517" s="112"/>
    </row>
    <row r="518" spans="1:34" x14ac:dyDescent="0.2">
      <c r="A518" s="7"/>
    </row>
    <row r="519" spans="1:34" s="8" customFormat="1" ht="14" x14ac:dyDescent="0.2">
      <c r="D519" s="10"/>
      <c r="E519" s="112"/>
    </row>
    <row r="520" spans="1:34" s="8" customFormat="1" ht="14" x14ac:dyDescent="0.2">
      <c r="E520" s="168"/>
      <c r="F520" s="87"/>
    </row>
    <row r="521" spans="1:34" s="8" customFormat="1" ht="14" x14ac:dyDescent="0.2">
      <c r="B521" s="7"/>
      <c r="E521" s="9"/>
      <c r="F521" s="9"/>
      <c r="G521" s="9"/>
      <c r="H521" s="9"/>
      <c r="I521" s="9"/>
      <c r="J521" s="9"/>
      <c r="K521" s="9"/>
      <c r="L521" s="9"/>
      <c r="M521" s="9"/>
      <c r="N521" s="9"/>
      <c r="O521" s="9"/>
      <c r="P521" s="9"/>
      <c r="Q521" s="9"/>
      <c r="R521" s="9"/>
      <c r="S521" s="9"/>
      <c r="T521" s="9"/>
      <c r="U521" s="9"/>
      <c r="V521" s="9"/>
      <c r="W521" s="9"/>
      <c r="X521" s="9"/>
      <c r="Y521" s="9"/>
      <c r="Z521" s="9"/>
      <c r="AA521" s="9"/>
      <c r="AB521" s="9"/>
      <c r="AC521" s="9"/>
      <c r="AD521" s="9"/>
      <c r="AE521" s="9"/>
      <c r="AF521" s="9"/>
      <c r="AG521" s="9"/>
      <c r="AH521" s="9"/>
    </row>
  </sheetData>
  <mergeCells count="1">
    <mergeCell ref="E8:E1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BM507"/>
  <sheetViews>
    <sheetView zoomScale="75" zoomScaleNormal="75" workbookViewId="0">
      <pane xSplit="4" ySplit="6" topLeftCell="E7" activePane="bottomRight" state="frozen"/>
      <selection pane="topRight" activeCell="E1" sqref="E1"/>
      <selection pane="bottomLeft" activeCell="A7" sqref="A7"/>
      <selection pane="bottomRight" activeCell="E315" sqref="E315"/>
    </sheetView>
  </sheetViews>
  <sheetFormatPr baseColWidth="10" defaultColWidth="0" defaultRowHeight="15" outlineLevelRow="1" x14ac:dyDescent="0.2"/>
  <cols>
    <col min="1" max="1" width="9.1640625" style="1" customWidth="1"/>
    <col min="2" max="2" width="15.33203125" style="1" customWidth="1"/>
    <col min="3" max="3" width="46" style="1" customWidth="1"/>
    <col min="4" max="4" width="22.6640625" style="1" customWidth="1"/>
    <col min="5" max="5" width="34.6640625" style="1" customWidth="1"/>
    <col min="6" max="6" width="11" style="1" bestFit="1" customWidth="1"/>
    <col min="7" max="13" width="11.33203125" style="1" bestFit="1" customWidth="1"/>
    <col min="14" max="28" width="10.5" style="1" bestFit="1" customWidth="1"/>
    <col min="29" max="29" width="11" style="1" customWidth="1"/>
    <col min="30" max="30" width="10.83203125" style="1" customWidth="1"/>
    <col min="31" max="31" width="11.33203125" style="1" customWidth="1"/>
    <col min="32" max="32" width="11.1640625" style="1" customWidth="1"/>
    <col min="33" max="33" width="11.6640625" style="1" customWidth="1"/>
    <col min="34" max="34" width="12.5" style="1" customWidth="1"/>
    <col min="35" max="35" width="9.1640625" style="1" customWidth="1"/>
    <col min="36" max="65" width="0" style="1" hidden="1" customWidth="1"/>
    <col min="66" max="16384" width="9.1640625" style="1" hidden="1"/>
  </cols>
  <sheetData>
    <row r="1" spans="2:34" s="316" customFormat="1" x14ac:dyDescent="0.2">
      <c r="B1" s="315" t="s">
        <v>0</v>
      </c>
    </row>
    <row r="2" spans="2:34" s="316" customFormat="1" x14ac:dyDescent="0.2">
      <c r="B2" s="317" t="str">
        <f>'Assumptions - General'!E26</f>
        <v>Ruritania Railway Infrastructure Company</v>
      </c>
    </row>
    <row r="3" spans="2:34" s="316" customFormat="1" x14ac:dyDescent="0.2">
      <c r="B3" s="317" t="str">
        <f>"All units in "  &amp;'Assumptions - General'!E27&amp;  " millions unless otherwise stated"</f>
        <v>All units in R$ millions unless otherwise stated</v>
      </c>
      <c r="C3" s="318"/>
    </row>
    <row r="4" spans="2:34" s="8" customFormat="1" ht="14" x14ac:dyDescent="0.2">
      <c r="B4" s="7" t="s">
        <v>99</v>
      </c>
      <c r="E4" s="8">
        <v>1</v>
      </c>
      <c r="F4" s="8">
        <v>2</v>
      </c>
      <c r="G4" s="8">
        <v>3</v>
      </c>
      <c r="H4" s="8">
        <v>4</v>
      </c>
      <c r="I4" s="8">
        <v>5</v>
      </c>
      <c r="J4" s="8">
        <v>6</v>
      </c>
      <c r="K4" s="8">
        <v>7</v>
      </c>
      <c r="L4" s="8">
        <v>8</v>
      </c>
      <c r="M4" s="8">
        <v>9</v>
      </c>
      <c r="N4" s="8">
        <v>10</v>
      </c>
      <c r="O4" s="8">
        <v>11</v>
      </c>
      <c r="P4" s="8">
        <v>12</v>
      </c>
      <c r="Q4" s="8">
        <v>13</v>
      </c>
      <c r="R4" s="8">
        <v>14</v>
      </c>
      <c r="S4" s="8">
        <v>15</v>
      </c>
      <c r="T4" s="8">
        <v>16</v>
      </c>
      <c r="U4" s="8">
        <v>17</v>
      </c>
      <c r="V4" s="8">
        <v>18</v>
      </c>
      <c r="W4" s="8">
        <v>19</v>
      </c>
      <c r="X4" s="8">
        <v>20</v>
      </c>
      <c r="Y4" s="8">
        <v>21</v>
      </c>
      <c r="Z4" s="8">
        <v>22</v>
      </c>
      <c r="AA4" s="8">
        <v>23</v>
      </c>
      <c r="AB4" s="8">
        <v>24</v>
      </c>
      <c r="AC4" s="8">
        <v>25</v>
      </c>
      <c r="AD4" s="8">
        <v>26</v>
      </c>
      <c r="AE4" s="8">
        <v>27</v>
      </c>
      <c r="AF4" s="8">
        <v>28</v>
      </c>
      <c r="AG4" s="8">
        <v>29</v>
      </c>
      <c r="AH4" s="8">
        <v>30</v>
      </c>
    </row>
    <row r="5" spans="2:34" s="8" customFormat="1" ht="14" x14ac:dyDescent="0.2">
      <c r="B5" s="7" t="s">
        <v>12</v>
      </c>
      <c r="C5" s="21"/>
      <c r="E5" s="9">
        <f>'Assumptions - General'!$E$28</f>
        <v>40179</v>
      </c>
      <c r="F5" s="9">
        <f t="shared" ref="F5:AH5" si="0">E6+1</f>
        <v>40544</v>
      </c>
      <c r="G5" s="9">
        <f t="shared" si="0"/>
        <v>40909</v>
      </c>
      <c r="H5" s="9">
        <f t="shared" si="0"/>
        <v>41275</v>
      </c>
      <c r="I5" s="9">
        <f t="shared" si="0"/>
        <v>41640</v>
      </c>
      <c r="J5" s="9">
        <f t="shared" si="0"/>
        <v>42005</v>
      </c>
      <c r="K5" s="9">
        <f t="shared" si="0"/>
        <v>42370</v>
      </c>
      <c r="L5" s="9">
        <f t="shared" si="0"/>
        <v>42736</v>
      </c>
      <c r="M5" s="9">
        <f t="shared" si="0"/>
        <v>43101</v>
      </c>
      <c r="N5" s="9">
        <f t="shared" si="0"/>
        <v>43466</v>
      </c>
      <c r="O5" s="9">
        <f t="shared" si="0"/>
        <v>43831</v>
      </c>
      <c r="P5" s="9">
        <f t="shared" si="0"/>
        <v>44197</v>
      </c>
      <c r="Q5" s="9">
        <f t="shared" si="0"/>
        <v>44562</v>
      </c>
      <c r="R5" s="9">
        <f t="shared" si="0"/>
        <v>44927</v>
      </c>
      <c r="S5" s="9">
        <f t="shared" si="0"/>
        <v>45292</v>
      </c>
      <c r="T5" s="9">
        <f t="shared" si="0"/>
        <v>45658</v>
      </c>
      <c r="U5" s="9">
        <f t="shared" si="0"/>
        <v>46023</v>
      </c>
      <c r="V5" s="9">
        <f t="shared" si="0"/>
        <v>46388</v>
      </c>
      <c r="W5" s="9">
        <f t="shared" si="0"/>
        <v>46753</v>
      </c>
      <c r="X5" s="9">
        <f t="shared" si="0"/>
        <v>47119</v>
      </c>
      <c r="Y5" s="9">
        <f t="shared" si="0"/>
        <v>47484</v>
      </c>
      <c r="Z5" s="9">
        <f t="shared" si="0"/>
        <v>47849</v>
      </c>
      <c r="AA5" s="9">
        <f t="shared" si="0"/>
        <v>48214</v>
      </c>
      <c r="AB5" s="9">
        <f t="shared" si="0"/>
        <v>48580</v>
      </c>
      <c r="AC5" s="9">
        <f t="shared" si="0"/>
        <v>48945</v>
      </c>
      <c r="AD5" s="9">
        <f t="shared" si="0"/>
        <v>49310</v>
      </c>
      <c r="AE5" s="9">
        <f t="shared" si="0"/>
        <v>49675</v>
      </c>
      <c r="AF5" s="9">
        <f t="shared" si="0"/>
        <v>50041</v>
      </c>
      <c r="AG5" s="9">
        <f t="shared" si="0"/>
        <v>50406</v>
      </c>
      <c r="AH5" s="9">
        <f t="shared" si="0"/>
        <v>50771</v>
      </c>
    </row>
    <row r="6" spans="2:34" s="8" customFormat="1" ht="14" x14ac:dyDescent="0.2">
      <c r="B6" s="7" t="s">
        <v>13</v>
      </c>
      <c r="C6" s="21"/>
      <c r="E6" s="9">
        <f t="shared" ref="E6:AH6" si="1">DATE(YEAR(E5)+1, MONTH(E5), DAY(E5)-1)</f>
        <v>40543</v>
      </c>
      <c r="F6" s="9">
        <f t="shared" si="1"/>
        <v>40908</v>
      </c>
      <c r="G6" s="9">
        <f t="shared" si="1"/>
        <v>41274</v>
      </c>
      <c r="H6" s="9">
        <f t="shared" si="1"/>
        <v>41639</v>
      </c>
      <c r="I6" s="9">
        <f t="shared" si="1"/>
        <v>42004</v>
      </c>
      <c r="J6" s="9">
        <f t="shared" si="1"/>
        <v>42369</v>
      </c>
      <c r="K6" s="9">
        <f t="shared" si="1"/>
        <v>42735</v>
      </c>
      <c r="L6" s="9">
        <f t="shared" si="1"/>
        <v>43100</v>
      </c>
      <c r="M6" s="9">
        <f t="shared" si="1"/>
        <v>43465</v>
      </c>
      <c r="N6" s="9">
        <f t="shared" si="1"/>
        <v>43830</v>
      </c>
      <c r="O6" s="9">
        <f t="shared" si="1"/>
        <v>44196</v>
      </c>
      <c r="P6" s="9">
        <f t="shared" si="1"/>
        <v>44561</v>
      </c>
      <c r="Q6" s="9">
        <f t="shared" si="1"/>
        <v>44926</v>
      </c>
      <c r="R6" s="9">
        <f t="shared" si="1"/>
        <v>45291</v>
      </c>
      <c r="S6" s="9">
        <f t="shared" si="1"/>
        <v>45657</v>
      </c>
      <c r="T6" s="9">
        <f t="shared" si="1"/>
        <v>46022</v>
      </c>
      <c r="U6" s="9">
        <f t="shared" si="1"/>
        <v>46387</v>
      </c>
      <c r="V6" s="9">
        <f t="shared" si="1"/>
        <v>46752</v>
      </c>
      <c r="W6" s="9">
        <f t="shared" si="1"/>
        <v>47118</v>
      </c>
      <c r="X6" s="9">
        <f t="shared" si="1"/>
        <v>47483</v>
      </c>
      <c r="Y6" s="9">
        <f t="shared" si="1"/>
        <v>47848</v>
      </c>
      <c r="Z6" s="9">
        <f t="shared" si="1"/>
        <v>48213</v>
      </c>
      <c r="AA6" s="9">
        <f t="shared" si="1"/>
        <v>48579</v>
      </c>
      <c r="AB6" s="9">
        <f t="shared" si="1"/>
        <v>48944</v>
      </c>
      <c r="AC6" s="9">
        <f t="shared" si="1"/>
        <v>49309</v>
      </c>
      <c r="AD6" s="9">
        <f t="shared" si="1"/>
        <v>49674</v>
      </c>
      <c r="AE6" s="9">
        <f t="shared" si="1"/>
        <v>50040</v>
      </c>
      <c r="AF6" s="9">
        <f t="shared" si="1"/>
        <v>50405</v>
      </c>
      <c r="AG6" s="9">
        <f t="shared" si="1"/>
        <v>50770</v>
      </c>
      <c r="AH6" s="9">
        <f t="shared" si="1"/>
        <v>51135</v>
      </c>
    </row>
    <row r="7" spans="2:34" s="8" customFormat="1" ht="14" x14ac:dyDescent="0.2"/>
    <row r="8" spans="2:34" s="8" customFormat="1" ht="14" x14ac:dyDescent="0.2">
      <c r="B8" s="110"/>
      <c r="C8" s="8" t="s">
        <v>217</v>
      </c>
      <c r="E8" s="510" t="str">
        <f>IF('Scenarios - Infra'!F3=1,"NOTE: SCENARIO ANALYSIS ASSUMPTIONS IN USE"," ")</f>
        <v xml:space="preserve"> </v>
      </c>
      <c r="F8" s="87">
        <v>1</v>
      </c>
    </row>
    <row r="9" spans="2:34" s="8" customFormat="1" ht="14" x14ac:dyDescent="0.2">
      <c r="B9" s="175"/>
      <c r="C9" s="8" t="s">
        <v>346</v>
      </c>
      <c r="E9" s="511"/>
      <c r="F9" s="87"/>
    </row>
    <row r="10" spans="2:34" x14ac:dyDescent="0.2">
      <c r="E10" s="511"/>
    </row>
    <row r="11" spans="2:34" s="316" customFormat="1" x14ac:dyDescent="0.2">
      <c r="B11" s="315" t="str">
        <f>"Network and operational assumptions for "&amp;'Assumptions - General'!E26</f>
        <v>Network and operational assumptions for Ruritania Railway Infrastructure Company</v>
      </c>
      <c r="D11" s="315"/>
      <c r="E11" s="315" t="str">
        <f>IF(OR(AND('Scenarios - Consolidated'!$F$3=1,'Scenarios - Consolidated'!$H$20=1),AND('Scenarios - Infra'!$F$3=1,'Scenarios - Infra'!$H$20=1)),"NOTE: SCENARIO ANALYSIS STAFF ASSUMPTIONS IN USE"," ")</f>
        <v xml:space="preserve"> </v>
      </c>
    </row>
    <row r="13" spans="2:34" s="8" customFormat="1" ht="14" x14ac:dyDescent="0.2">
      <c r="B13" s="8" t="s">
        <v>335</v>
      </c>
      <c r="D13" s="8" t="s">
        <v>179</v>
      </c>
      <c r="E13" s="185">
        <v>15000</v>
      </c>
      <c r="F13" s="231">
        <v>15000</v>
      </c>
      <c r="G13" s="231">
        <v>15000</v>
      </c>
      <c r="H13" s="231">
        <v>15000</v>
      </c>
      <c r="I13" s="231">
        <v>15000</v>
      </c>
      <c r="J13" s="231">
        <v>15000</v>
      </c>
      <c r="K13" s="231">
        <v>15000</v>
      </c>
      <c r="L13" s="231">
        <v>15000</v>
      </c>
      <c r="M13" s="231">
        <v>15000</v>
      </c>
      <c r="N13" s="231">
        <v>15000</v>
      </c>
      <c r="O13" s="231">
        <v>15000</v>
      </c>
      <c r="P13" s="231">
        <v>15000</v>
      </c>
      <c r="Q13" s="231">
        <v>15000</v>
      </c>
      <c r="R13" s="231">
        <v>15000</v>
      </c>
      <c r="S13" s="231">
        <v>15000</v>
      </c>
      <c r="T13" s="231">
        <v>15000</v>
      </c>
      <c r="U13" s="231">
        <v>15000</v>
      </c>
      <c r="V13" s="231">
        <v>15000</v>
      </c>
      <c r="W13" s="231">
        <v>15000</v>
      </c>
      <c r="X13" s="231">
        <v>15000</v>
      </c>
      <c r="Y13" s="231">
        <v>15000</v>
      </c>
      <c r="Z13" s="231">
        <v>15000</v>
      </c>
      <c r="AA13" s="231">
        <v>15000</v>
      </c>
      <c r="AB13" s="231">
        <v>15000</v>
      </c>
      <c r="AC13" s="231">
        <v>15000</v>
      </c>
      <c r="AD13" s="231">
        <v>15000</v>
      </c>
      <c r="AE13" s="231">
        <v>15000</v>
      </c>
      <c r="AF13" s="231">
        <v>15000</v>
      </c>
      <c r="AG13" s="231">
        <v>15000</v>
      </c>
      <c r="AH13" s="231">
        <v>15000</v>
      </c>
    </row>
    <row r="14" spans="2:34" s="8" customFormat="1" ht="14" x14ac:dyDescent="0.2">
      <c r="B14" s="8" t="str">
        <f>"Staff of "&amp;'Assumptions - General'!E26</f>
        <v>Staff of Ruritania Railway Infrastructure Company</v>
      </c>
      <c r="D14" s="8" t="s">
        <v>39</v>
      </c>
      <c r="E14" s="185">
        <v>15000</v>
      </c>
      <c r="F14" s="191">
        <v>16000</v>
      </c>
      <c r="G14" s="191">
        <v>17000</v>
      </c>
      <c r="H14" s="191">
        <v>18000</v>
      </c>
      <c r="I14" s="191">
        <v>20000</v>
      </c>
      <c r="J14" s="191">
        <v>20000</v>
      </c>
      <c r="K14" s="191">
        <v>20000</v>
      </c>
      <c r="L14" s="191">
        <v>20000</v>
      </c>
      <c r="M14" s="191">
        <v>20000</v>
      </c>
      <c r="N14" s="191">
        <v>20000</v>
      </c>
      <c r="O14" s="191">
        <v>20000</v>
      </c>
      <c r="P14" s="191">
        <v>20000</v>
      </c>
      <c r="Q14" s="191">
        <v>20000</v>
      </c>
      <c r="R14" s="191">
        <v>20000</v>
      </c>
      <c r="S14" s="191">
        <v>20000</v>
      </c>
      <c r="T14" s="191">
        <v>20000</v>
      </c>
      <c r="U14" s="191">
        <v>20000</v>
      </c>
      <c r="V14" s="191">
        <v>20000</v>
      </c>
      <c r="W14" s="191">
        <v>20000</v>
      </c>
      <c r="X14" s="191">
        <v>20000</v>
      </c>
      <c r="Y14" s="191">
        <v>20000</v>
      </c>
      <c r="Z14" s="191">
        <v>20000</v>
      </c>
      <c r="AA14" s="191">
        <v>20000</v>
      </c>
      <c r="AB14" s="191">
        <v>20000</v>
      </c>
      <c r="AC14" s="191">
        <v>20000</v>
      </c>
      <c r="AD14" s="191">
        <v>20000</v>
      </c>
      <c r="AE14" s="191">
        <v>20000</v>
      </c>
      <c r="AF14" s="191">
        <v>20000</v>
      </c>
      <c r="AG14" s="191">
        <v>20000</v>
      </c>
      <c r="AH14" s="191">
        <v>20000</v>
      </c>
    </row>
    <row r="15" spans="2:34" s="8" customFormat="1" ht="14" x14ac:dyDescent="0.2">
      <c r="B15" s="8" t="s">
        <v>512</v>
      </c>
      <c r="D15" s="8" t="s">
        <v>239</v>
      </c>
      <c r="E15" s="185">
        <v>50000</v>
      </c>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row>
    <row r="16" spans="2:34" s="8" customFormat="1" ht="14" x14ac:dyDescent="0.2">
      <c r="B16" s="30" t="s">
        <v>240</v>
      </c>
      <c r="D16" s="8" t="s">
        <v>15</v>
      </c>
      <c r="E16" s="210">
        <v>0.5</v>
      </c>
      <c r="F16" s="180">
        <f t="shared" ref="F16:AH16" si="2">E16+F17</f>
        <v>0.5</v>
      </c>
      <c r="G16" s="180">
        <f t="shared" si="2"/>
        <v>0.5</v>
      </c>
      <c r="H16" s="180">
        <f t="shared" si="2"/>
        <v>0.5</v>
      </c>
      <c r="I16" s="180">
        <f t="shared" si="2"/>
        <v>0.5</v>
      </c>
      <c r="J16" s="180">
        <f t="shared" si="2"/>
        <v>0.5</v>
      </c>
      <c r="K16" s="180">
        <f t="shared" si="2"/>
        <v>0.5</v>
      </c>
      <c r="L16" s="180">
        <f t="shared" si="2"/>
        <v>0.5</v>
      </c>
      <c r="M16" s="180">
        <f t="shared" si="2"/>
        <v>0.5</v>
      </c>
      <c r="N16" s="180">
        <f t="shared" si="2"/>
        <v>0.5</v>
      </c>
      <c r="O16" s="180">
        <f t="shared" si="2"/>
        <v>0.5</v>
      </c>
      <c r="P16" s="180">
        <f t="shared" si="2"/>
        <v>0.5</v>
      </c>
      <c r="Q16" s="180">
        <f t="shared" si="2"/>
        <v>0.5</v>
      </c>
      <c r="R16" s="180">
        <f t="shared" si="2"/>
        <v>0.5</v>
      </c>
      <c r="S16" s="180">
        <f t="shared" si="2"/>
        <v>0.5</v>
      </c>
      <c r="T16" s="180">
        <f t="shared" si="2"/>
        <v>0.5</v>
      </c>
      <c r="U16" s="180">
        <f t="shared" si="2"/>
        <v>0.5</v>
      </c>
      <c r="V16" s="180">
        <f t="shared" si="2"/>
        <v>0.5</v>
      </c>
      <c r="W16" s="180">
        <f t="shared" si="2"/>
        <v>0.5</v>
      </c>
      <c r="X16" s="180">
        <f t="shared" si="2"/>
        <v>0.5</v>
      </c>
      <c r="Y16" s="180">
        <f t="shared" si="2"/>
        <v>0.5</v>
      </c>
      <c r="Z16" s="180">
        <f t="shared" si="2"/>
        <v>0.5</v>
      </c>
      <c r="AA16" s="180">
        <f t="shared" si="2"/>
        <v>0.5</v>
      </c>
      <c r="AB16" s="180">
        <f t="shared" si="2"/>
        <v>0.5</v>
      </c>
      <c r="AC16" s="180">
        <f t="shared" si="2"/>
        <v>0.5</v>
      </c>
      <c r="AD16" s="180">
        <f t="shared" si="2"/>
        <v>0.5</v>
      </c>
      <c r="AE16" s="180">
        <f t="shared" si="2"/>
        <v>0.5</v>
      </c>
      <c r="AF16" s="180">
        <f t="shared" si="2"/>
        <v>0.5</v>
      </c>
      <c r="AG16" s="180">
        <f t="shared" si="2"/>
        <v>0.5</v>
      </c>
      <c r="AH16" s="180">
        <f t="shared" si="2"/>
        <v>0.5</v>
      </c>
    </row>
    <row r="17" spans="2:34" s="8" customFormat="1" ht="14" x14ac:dyDescent="0.2">
      <c r="B17" s="211" t="s">
        <v>248</v>
      </c>
      <c r="D17" s="15" t="s">
        <v>247</v>
      </c>
      <c r="E17" s="180"/>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row>
    <row r="18" spans="2:34" s="8" customFormat="1" ht="14" x14ac:dyDescent="0.2">
      <c r="B18" s="30" t="s">
        <v>241</v>
      </c>
      <c r="D18" s="8" t="s">
        <v>15</v>
      </c>
      <c r="E18" s="180">
        <f t="shared" ref="E18:AH18" si="3">100%-E16</f>
        <v>0.5</v>
      </c>
      <c r="F18" s="180">
        <f t="shared" si="3"/>
        <v>0.5</v>
      </c>
      <c r="G18" s="180">
        <f t="shared" si="3"/>
        <v>0.5</v>
      </c>
      <c r="H18" s="180">
        <f t="shared" si="3"/>
        <v>0.5</v>
      </c>
      <c r="I18" s="180">
        <f t="shared" si="3"/>
        <v>0.5</v>
      </c>
      <c r="J18" s="180">
        <f t="shared" si="3"/>
        <v>0.5</v>
      </c>
      <c r="K18" s="180">
        <f t="shared" si="3"/>
        <v>0.5</v>
      </c>
      <c r="L18" s="180">
        <f t="shared" si="3"/>
        <v>0.5</v>
      </c>
      <c r="M18" s="180">
        <f t="shared" si="3"/>
        <v>0.5</v>
      </c>
      <c r="N18" s="180">
        <f t="shared" si="3"/>
        <v>0.5</v>
      </c>
      <c r="O18" s="180">
        <f t="shared" si="3"/>
        <v>0.5</v>
      </c>
      <c r="P18" s="180">
        <f t="shared" si="3"/>
        <v>0.5</v>
      </c>
      <c r="Q18" s="180">
        <f t="shared" si="3"/>
        <v>0.5</v>
      </c>
      <c r="R18" s="180">
        <f t="shared" si="3"/>
        <v>0.5</v>
      </c>
      <c r="S18" s="180">
        <f t="shared" si="3"/>
        <v>0.5</v>
      </c>
      <c r="T18" s="180">
        <f t="shared" si="3"/>
        <v>0.5</v>
      </c>
      <c r="U18" s="180">
        <f t="shared" si="3"/>
        <v>0.5</v>
      </c>
      <c r="V18" s="180">
        <f t="shared" si="3"/>
        <v>0.5</v>
      </c>
      <c r="W18" s="180">
        <f t="shared" si="3"/>
        <v>0.5</v>
      </c>
      <c r="X18" s="180">
        <f t="shared" si="3"/>
        <v>0.5</v>
      </c>
      <c r="Y18" s="180">
        <f t="shared" si="3"/>
        <v>0.5</v>
      </c>
      <c r="Z18" s="180">
        <f t="shared" si="3"/>
        <v>0.5</v>
      </c>
      <c r="AA18" s="180">
        <f t="shared" si="3"/>
        <v>0.5</v>
      </c>
      <c r="AB18" s="180">
        <f t="shared" si="3"/>
        <v>0.5</v>
      </c>
      <c r="AC18" s="180">
        <f t="shared" si="3"/>
        <v>0.5</v>
      </c>
      <c r="AD18" s="180">
        <f t="shared" si="3"/>
        <v>0.5</v>
      </c>
      <c r="AE18" s="180">
        <f t="shared" si="3"/>
        <v>0.5</v>
      </c>
      <c r="AF18" s="180">
        <f t="shared" si="3"/>
        <v>0.5</v>
      </c>
      <c r="AG18" s="180">
        <f t="shared" si="3"/>
        <v>0.5</v>
      </c>
      <c r="AH18" s="180">
        <f t="shared" si="3"/>
        <v>0.5</v>
      </c>
    </row>
    <row r="19" spans="2:34" s="8" customFormat="1" ht="14" x14ac:dyDescent="0.2">
      <c r="B19" s="8" t="s">
        <v>513</v>
      </c>
      <c r="D19" s="8" t="s">
        <v>239</v>
      </c>
      <c r="E19" s="176">
        <v>30000</v>
      </c>
      <c r="F19" s="182"/>
      <c r="G19" s="182"/>
      <c r="H19" s="182"/>
      <c r="I19" s="182"/>
      <c r="J19" s="182"/>
      <c r="K19" s="182"/>
      <c r="L19" s="182"/>
      <c r="M19" s="182"/>
      <c r="N19" s="182"/>
      <c r="O19" s="182"/>
      <c r="P19" s="182"/>
      <c r="Q19" s="182"/>
      <c r="R19" s="182"/>
      <c r="S19" s="182"/>
      <c r="T19" s="182"/>
      <c r="U19" s="182"/>
      <c r="V19" s="182"/>
      <c r="W19" s="182"/>
      <c r="X19" s="182"/>
      <c r="Y19" s="182"/>
      <c r="Z19" s="182"/>
      <c r="AA19" s="182"/>
      <c r="AB19" s="182"/>
      <c r="AC19" s="182"/>
      <c r="AD19" s="182"/>
      <c r="AE19" s="182"/>
      <c r="AF19" s="182"/>
      <c r="AG19" s="182"/>
      <c r="AH19" s="182"/>
    </row>
    <row r="20" spans="2:34" s="8" customFormat="1" ht="14" x14ac:dyDescent="0.2">
      <c r="B20" s="30" t="s">
        <v>353</v>
      </c>
      <c r="D20" s="8" t="s">
        <v>15</v>
      </c>
      <c r="E20" s="184">
        <v>0.5</v>
      </c>
      <c r="F20" s="180">
        <f t="shared" ref="F20:AH20" si="4">E20+F21</f>
        <v>0.5</v>
      </c>
      <c r="G20" s="180">
        <f t="shared" si="4"/>
        <v>0.5</v>
      </c>
      <c r="H20" s="180">
        <f t="shared" si="4"/>
        <v>0.5</v>
      </c>
      <c r="I20" s="180">
        <f t="shared" si="4"/>
        <v>0.5</v>
      </c>
      <c r="J20" s="180">
        <f t="shared" si="4"/>
        <v>0.5</v>
      </c>
      <c r="K20" s="180">
        <f t="shared" si="4"/>
        <v>0.5</v>
      </c>
      <c r="L20" s="180">
        <f t="shared" si="4"/>
        <v>0.5</v>
      </c>
      <c r="M20" s="180">
        <f t="shared" si="4"/>
        <v>0.5</v>
      </c>
      <c r="N20" s="180">
        <f t="shared" si="4"/>
        <v>0.5</v>
      </c>
      <c r="O20" s="180">
        <f t="shared" si="4"/>
        <v>0.5</v>
      </c>
      <c r="P20" s="180">
        <f t="shared" si="4"/>
        <v>0.5</v>
      </c>
      <c r="Q20" s="180">
        <f t="shared" si="4"/>
        <v>0.5</v>
      </c>
      <c r="R20" s="180">
        <f t="shared" si="4"/>
        <v>0.5</v>
      </c>
      <c r="S20" s="180">
        <f t="shared" si="4"/>
        <v>0.5</v>
      </c>
      <c r="T20" s="180">
        <f t="shared" si="4"/>
        <v>0.5</v>
      </c>
      <c r="U20" s="180">
        <f t="shared" si="4"/>
        <v>0.5</v>
      </c>
      <c r="V20" s="180">
        <f t="shared" si="4"/>
        <v>0.5</v>
      </c>
      <c r="W20" s="180">
        <f t="shared" si="4"/>
        <v>0.5</v>
      </c>
      <c r="X20" s="180">
        <f t="shared" si="4"/>
        <v>0.5</v>
      </c>
      <c r="Y20" s="180">
        <f t="shared" si="4"/>
        <v>0.5</v>
      </c>
      <c r="Z20" s="180">
        <f t="shared" si="4"/>
        <v>0.5</v>
      </c>
      <c r="AA20" s="180">
        <f t="shared" si="4"/>
        <v>0.5</v>
      </c>
      <c r="AB20" s="180">
        <f t="shared" si="4"/>
        <v>0.5</v>
      </c>
      <c r="AC20" s="180">
        <f t="shared" si="4"/>
        <v>0.5</v>
      </c>
      <c r="AD20" s="180">
        <f t="shared" si="4"/>
        <v>0.5</v>
      </c>
      <c r="AE20" s="180">
        <f t="shared" si="4"/>
        <v>0.5</v>
      </c>
      <c r="AF20" s="180">
        <f t="shared" si="4"/>
        <v>0.5</v>
      </c>
      <c r="AG20" s="180">
        <f t="shared" si="4"/>
        <v>0.5</v>
      </c>
      <c r="AH20" s="180">
        <f t="shared" si="4"/>
        <v>0.5</v>
      </c>
    </row>
    <row r="21" spans="2:34" s="8" customFormat="1" ht="14" x14ac:dyDescent="0.2">
      <c r="B21" s="211" t="s">
        <v>249</v>
      </c>
      <c r="D21" s="15" t="s">
        <v>247</v>
      </c>
      <c r="E21" s="180"/>
      <c r="F21" s="189">
        <v>0</v>
      </c>
      <c r="G21" s="189">
        <v>0</v>
      </c>
      <c r="H21" s="189">
        <v>0</v>
      </c>
      <c r="I21" s="189">
        <v>0</v>
      </c>
      <c r="J21" s="189">
        <v>0</v>
      </c>
      <c r="K21" s="189">
        <v>0</v>
      </c>
      <c r="L21" s="189">
        <v>0</v>
      </c>
      <c r="M21" s="189">
        <v>0</v>
      </c>
      <c r="N21" s="189">
        <v>0</v>
      </c>
      <c r="O21" s="189">
        <v>0</v>
      </c>
      <c r="P21" s="189">
        <v>0</v>
      </c>
      <c r="Q21" s="189">
        <v>0</v>
      </c>
      <c r="R21" s="189">
        <v>0</v>
      </c>
      <c r="S21" s="189">
        <v>0</v>
      </c>
      <c r="T21" s="189">
        <v>0</v>
      </c>
      <c r="U21" s="189">
        <v>0</v>
      </c>
      <c r="V21" s="189">
        <v>0</v>
      </c>
      <c r="W21" s="189">
        <v>0</v>
      </c>
      <c r="X21" s="189">
        <v>0</v>
      </c>
      <c r="Y21" s="189">
        <v>0</v>
      </c>
      <c r="Z21" s="189">
        <v>0</v>
      </c>
      <c r="AA21" s="189">
        <v>0</v>
      </c>
      <c r="AB21" s="189">
        <v>0</v>
      </c>
      <c r="AC21" s="189">
        <v>0</v>
      </c>
      <c r="AD21" s="189">
        <v>0</v>
      </c>
      <c r="AE21" s="189">
        <v>0</v>
      </c>
      <c r="AF21" s="189">
        <v>0</v>
      </c>
      <c r="AG21" s="189">
        <v>0</v>
      </c>
      <c r="AH21" s="189">
        <v>0</v>
      </c>
    </row>
    <row r="22" spans="2:34" s="8" customFormat="1" ht="14" x14ac:dyDescent="0.2">
      <c r="B22" s="30" t="s">
        <v>354</v>
      </c>
      <c r="D22" s="8" t="s">
        <v>15</v>
      </c>
      <c r="E22" s="180">
        <f t="shared" ref="E22:AH22" si="5">100%-E20</f>
        <v>0.5</v>
      </c>
      <c r="F22" s="180">
        <f t="shared" si="5"/>
        <v>0.5</v>
      </c>
      <c r="G22" s="180">
        <f t="shared" si="5"/>
        <v>0.5</v>
      </c>
      <c r="H22" s="180">
        <f t="shared" si="5"/>
        <v>0.5</v>
      </c>
      <c r="I22" s="180">
        <f t="shared" si="5"/>
        <v>0.5</v>
      </c>
      <c r="J22" s="180">
        <f t="shared" si="5"/>
        <v>0.5</v>
      </c>
      <c r="K22" s="180">
        <f t="shared" si="5"/>
        <v>0.5</v>
      </c>
      <c r="L22" s="180">
        <f t="shared" si="5"/>
        <v>0.5</v>
      </c>
      <c r="M22" s="180">
        <f t="shared" si="5"/>
        <v>0.5</v>
      </c>
      <c r="N22" s="180">
        <f t="shared" si="5"/>
        <v>0.5</v>
      </c>
      <c r="O22" s="180">
        <f t="shared" si="5"/>
        <v>0.5</v>
      </c>
      <c r="P22" s="180">
        <f t="shared" si="5"/>
        <v>0.5</v>
      </c>
      <c r="Q22" s="180">
        <f t="shared" si="5"/>
        <v>0.5</v>
      </c>
      <c r="R22" s="180">
        <f t="shared" si="5"/>
        <v>0.5</v>
      </c>
      <c r="S22" s="180">
        <f t="shared" si="5"/>
        <v>0.5</v>
      </c>
      <c r="T22" s="180">
        <f t="shared" si="5"/>
        <v>0.5</v>
      </c>
      <c r="U22" s="180">
        <f t="shared" si="5"/>
        <v>0.5</v>
      </c>
      <c r="V22" s="180">
        <f t="shared" si="5"/>
        <v>0.5</v>
      </c>
      <c r="W22" s="180">
        <f t="shared" si="5"/>
        <v>0.5</v>
      </c>
      <c r="X22" s="180">
        <f t="shared" si="5"/>
        <v>0.5</v>
      </c>
      <c r="Y22" s="180">
        <f t="shared" si="5"/>
        <v>0.5</v>
      </c>
      <c r="Z22" s="180">
        <f t="shared" si="5"/>
        <v>0.5</v>
      </c>
      <c r="AA22" s="180">
        <f t="shared" si="5"/>
        <v>0.5</v>
      </c>
      <c r="AB22" s="180">
        <f t="shared" si="5"/>
        <v>0.5</v>
      </c>
      <c r="AC22" s="180">
        <f t="shared" si="5"/>
        <v>0.5</v>
      </c>
      <c r="AD22" s="180">
        <f t="shared" si="5"/>
        <v>0.5</v>
      </c>
      <c r="AE22" s="180">
        <f t="shared" si="5"/>
        <v>0.5</v>
      </c>
      <c r="AF22" s="180">
        <f t="shared" si="5"/>
        <v>0.5</v>
      </c>
      <c r="AG22" s="180">
        <f t="shared" si="5"/>
        <v>0.5</v>
      </c>
      <c r="AH22" s="180">
        <f t="shared" si="5"/>
        <v>0.5</v>
      </c>
    </row>
    <row r="23" spans="2:34" s="8" customFormat="1" ht="14" x14ac:dyDescent="0.2">
      <c r="B23" s="8" t="s">
        <v>300</v>
      </c>
      <c r="D23" s="8" t="s">
        <v>2</v>
      </c>
      <c r="E23" s="177" t="s">
        <v>301</v>
      </c>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row>
    <row r="24" spans="2:34" s="8" customFormat="1" ht="14" x14ac:dyDescent="0.2">
      <c r="B24" s="30" t="s">
        <v>303</v>
      </c>
      <c r="D24" s="8" t="s">
        <v>118</v>
      </c>
      <c r="E24" s="268">
        <v>1</v>
      </c>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row>
    <row r="25" spans="2:34" s="8" customFormat="1" ht="14" x14ac:dyDescent="0.2">
      <c r="B25" s="30" t="s">
        <v>304</v>
      </c>
      <c r="D25" s="8" t="s">
        <v>118</v>
      </c>
      <c r="E25" s="268">
        <v>1</v>
      </c>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row>
    <row r="26" spans="2:34" s="8" customFormat="1" ht="14" x14ac:dyDescent="0.2">
      <c r="B26" s="30" t="s">
        <v>302</v>
      </c>
      <c r="D26" s="8" t="s">
        <v>118</v>
      </c>
      <c r="E26" s="268">
        <v>1</v>
      </c>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row>
    <row r="27" spans="2:34" s="8" customFormat="1" ht="14" x14ac:dyDescent="0.2">
      <c r="B27" s="30"/>
      <c r="E27" s="192"/>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row>
    <row r="28" spans="2:34" s="316" customFormat="1" x14ac:dyDescent="0.2">
      <c r="B28" s="315" t="str">
        <f>"Fixed asset assumptions for "&amp;'Assumptions - General'!E26</f>
        <v>Fixed asset assumptions for Ruritania Railway Infrastructure Company</v>
      </c>
      <c r="D28" s="315"/>
      <c r="E28" s="315" t="str">
        <f>IF(OR(AND('Scenarios - Consolidated'!$F$3=1,'Scenarios - Consolidated'!$I$20=1),AND('Scenarios - Infra'!$F$3=1,'Scenarios - Infra'!$I$20=1)),"NOTE: SCENARIO ANALYSIS CAPEX ASSUMPTIONS IN USE"," ")</f>
        <v xml:space="preserve"> </v>
      </c>
    </row>
    <row r="30" spans="2:34" s="8" customFormat="1" ht="14" x14ac:dyDescent="0.2">
      <c r="B30" s="8" t="s">
        <v>336</v>
      </c>
      <c r="D30" s="8" t="s">
        <v>2</v>
      </c>
      <c r="E30" s="177" t="s">
        <v>662</v>
      </c>
      <c r="F30" s="8" t="str">
        <f>IF(E30&lt;&gt;"Land", "Note: first asset class should be land"," ")</f>
        <v xml:space="preserve"> </v>
      </c>
    </row>
    <row r="31" spans="2:34" s="8" customFormat="1" ht="14" x14ac:dyDescent="0.2">
      <c r="B31" s="8" t="s">
        <v>337</v>
      </c>
      <c r="D31" s="8" t="s">
        <v>2</v>
      </c>
      <c r="E31" s="177" t="s">
        <v>18</v>
      </c>
    </row>
    <row r="32" spans="2:34" s="8" customFormat="1" ht="14" x14ac:dyDescent="0.2">
      <c r="B32" s="8" t="s">
        <v>338</v>
      </c>
      <c r="D32" s="8" t="s">
        <v>2</v>
      </c>
      <c r="E32" s="177" t="s">
        <v>19</v>
      </c>
    </row>
    <row r="33" spans="2:34" s="8" customFormat="1" ht="14" x14ac:dyDescent="0.2">
      <c r="B33" s="8" t="s">
        <v>339</v>
      </c>
      <c r="D33" s="8" t="s">
        <v>2</v>
      </c>
      <c r="E33" s="177" t="s">
        <v>20</v>
      </c>
    </row>
    <row r="34" spans="2:34" s="8" customFormat="1" ht="14" x14ac:dyDescent="0.2">
      <c r="B34" s="8" t="s">
        <v>340</v>
      </c>
      <c r="D34" s="8" t="s">
        <v>2</v>
      </c>
      <c r="E34" s="177" t="s">
        <v>22</v>
      </c>
    </row>
    <row r="35" spans="2:34" s="8" customFormat="1" ht="14" x14ac:dyDescent="0.2">
      <c r="B35" s="8" t="s">
        <v>341</v>
      </c>
      <c r="D35" s="8" t="s">
        <v>2</v>
      </c>
      <c r="E35" s="177" t="s">
        <v>21</v>
      </c>
    </row>
    <row r="37" spans="2:34" s="8" customFormat="1" ht="14" x14ac:dyDescent="0.2">
      <c r="B37" s="8" t="str">
        <f t="shared" ref="B37:B42" si="6">"Net asset value at the end of first year of " &amp;E30</f>
        <v>Net asset value at the end of first year of Land</v>
      </c>
      <c r="D37" s="10" t="str">
        <f>'Assumptions - General'!$E$27 &amp;" millions"</f>
        <v>R$ millions</v>
      </c>
      <c r="E37" s="181">
        <v>100</v>
      </c>
    </row>
    <row r="38" spans="2:34" s="8" customFormat="1" ht="14" x14ac:dyDescent="0.2">
      <c r="B38" s="8" t="str">
        <f t="shared" si="6"/>
        <v>Net asset value at the end of first year of Buildings and structures</v>
      </c>
      <c r="D38" s="10" t="str">
        <f>'Assumptions - General'!$E$27 &amp;" millions"</f>
        <v>R$ millions</v>
      </c>
      <c r="E38" s="181">
        <v>150</v>
      </c>
    </row>
    <row r="39" spans="2:34" s="8" customFormat="1" ht="14" x14ac:dyDescent="0.2">
      <c r="B39" s="8" t="str">
        <f t="shared" si="6"/>
        <v>Net asset value at the end of first year of Track and infrastructure</v>
      </c>
      <c r="D39" s="10" t="str">
        <f>'Assumptions - General'!$E$27 &amp;" millions"</f>
        <v>R$ millions</v>
      </c>
      <c r="E39" s="181">
        <v>200</v>
      </c>
    </row>
    <row r="40" spans="2:34" s="8" customFormat="1" ht="14" x14ac:dyDescent="0.2">
      <c r="B40" s="8" t="str">
        <f t="shared" si="6"/>
        <v>Net asset value at the end of first year of Locomotives and railway cars</v>
      </c>
      <c r="D40" s="10" t="str">
        <f>'Assumptions - General'!$E$27 &amp;" millions"</f>
        <v>R$ millions</v>
      </c>
      <c r="E40" s="181">
        <v>300</v>
      </c>
    </row>
    <row r="41" spans="2:34" s="8" customFormat="1" ht="14" x14ac:dyDescent="0.2">
      <c r="B41" s="8" t="str">
        <f t="shared" si="6"/>
        <v>Net asset value at the end of first year of Machines, equipment and spare parts</v>
      </c>
      <c r="D41" s="10" t="str">
        <f>'Assumptions - General'!$E$27 &amp;" millions"</f>
        <v>R$ millions</v>
      </c>
      <c r="E41" s="181">
        <v>300</v>
      </c>
    </row>
    <row r="42" spans="2:34" s="8" customFormat="1" ht="14" x14ac:dyDescent="0.2">
      <c r="B42" s="8" t="str">
        <f t="shared" si="6"/>
        <v>Net asset value at the end of first year of Others</v>
      </c>
      <c r="D42" s="10" t="str">
        <f>'Assumptions - General'!$E$27 &amp;" millions"</f>
        <v>R$ millions</v>
      </c>
      <c r="E42" s="181">
        <v>50</v>
      </c>
    </row>
    <row r="43" spans="2:34" s="8" customFormat="1" ht="14" x14ac:dyDescent="0.2">
      <c r="E43" s="182"/>
    </row>
    <row r="44" spans="2:34" s="8" customFormat="1" ht="14" x14ac:dyDescent="0.2">
      <c r="B44" s="8" t="str">
        <f t="shared" ref="B44:B49" si="7">"Annual capital expenditure on " &amp;E30</f>
        <v>Annual capital expenditure on Land</v>
      </c>
      <c r="D44" s="10" t="str">
        <f>'Assumptions - General'!$E$27 &amp;" millions"</f>
        <v>R$ millions</v>
      </c>
      <c r="E44" s="183"/>
      <c r="F44" s="191">
        <v>20</v>
      </c>
      <c r="G44" s="191">
        <v>20</v>
      </c>
      <c r="H44" s="191">
        <v>20</v>
      </c>
      <c r="I44" s="191">
        <v>20</v>
      </c>
      <c r="J44" s="191">
        <v>20</v>
      </c>
      <c r="K44" s="191">
        <v>20</v>
      </c>
      <c r="L44" s="191">
        <v>20</v>
      </c>
      <c r="M44" s="191">
        <v>20</v>
      </c>
      <c r="N44" s="191">
        <v>20</v>
      </c>
      <c r="O44" s="191">
        <v>20</v>
      </c>
      <c r="P44" s="191">
        <v>20</v>
      </c>
      <c r="Q44" s="191">
        <v>20</v>
      </c>
      <c r="R44" s="191">
        <v>20</v>
      </c>
      <c r="S44" s="191">
        <v>20</v>
      </c>
      <c r="T44" s="191">
        <v>20</v>
      </c>
      <c r="U44" s="191">
        <v>20</v>
      </c>
      <c r="V44" s="191">
        <v>20</v>
      </c>
      <c r="W44" s="191">
        <v>20</v>
      </c>
      <c r="X44" s="191">
        <v>20</v>
      </c>
      <c r="Y44" s="191">
        <v>20</v>
      </c>
      <c r="Z44" s="191">
        <v>20</v>
      </c>
      <c r="AA44" s="191">
        <v>20</v>
      </c>
      <c r="AB44" s="191">
        <v>20</v>
      </c>
      <c r="AC44" s="191">
        <v>20</v>
      </c>
      <c r="AD44" s="191">
        <v>20</v>
      </c>
      <c r="AE44" s="191">
        <v>20</v>
      </c>
      <c r="AF44" s="191">
        <v>20</v>
      </c>
      <c r="AG44" s="191">
        <v>20</v>
      </c>
      <c r="AH44" s="191">
        <v>20</v>
      </c>
    </row>
    <row r="45" spans="2:34" s="8" customFormat="1" ht="14" x14ac:dyDescent="0.2">
      <c r="B45" s="8" t="str">
        <f t="shared" si="7"/>
        <v>Annual capital expenditure on Buildings and structures</v>
      </c>
      <c r="D45" s="10" t="str">
        <f>'Assumptions - General'!$E$27 &amp;" millions"</f>
        <v>R$ millions</v>
      </c>
      <c r="E45" s="183"/>
      <c r="F45" s="191">
        <v>20</v>
      </c>
      <c r="G45" s="191">
        <v>20</v>
      </c>
      <c r="H45" s="191">
        <v>20</v>
      </c>
      <c r="I45" s="191">
        <v>20</v>
      </c>
      <c r="J45" s="191">
        <v>20</v>
      </c>
      <c r="K45" s="191">
        <v>20</v>
      </c>
      <c r="L45" s="191">
        <v>20</v>
      </c>
      <c r="M45" s="191">
        <v>20</v>
      </c>
      <c r="N45" s="191">
        <v>20</v>
      </c>
      <c r="O45" s="191">
        <v>20</v>
      </c>
      <c r="P45" s="191">
        <v>20</v>
      </c>
      <c r="Q45" s="191">
        <v>20</v>
      </c>
      <c r="R45" s="191">
        <v>20</v>
      </c>
      <c r="S45" s="191">
        <v>20</v>
      </c>
      <c r="T45" s="191">
        <v>20</v>
      </c>
      <c r="U45" s="191">
        <v>20</v>
      </c>
      <c r="V45" s="191">
        <v>20</v>
      </c>
      <c r="W45" s="191">
        <v>20</v>
      </c>
      <c r="X45" s="191">
        <v>20</v>
      </c>
      <c r="Y45" s="191">
        <v>20</v>
      </c>
      <c r="Z45" s="191">
        <v>20</v>
      </c>
      <c r="AA45" s="191">
        <v>20</v>
      </c>
      <c r="AB45" s="191">
        <v>20</v>
      </c>
      <c r="AC45" s="191">
        <v>20</v>
      </c>
      <c r="AD45" s="191">
        <v>20</v>
      </c>
      <c r="AE45" s="191">
        <v>20</v>
      </c>
      <c r="AF45" s="191">
        <v>20</v>
      </c>
      <c r="AG45" s="191">
        <v>20</v>
      </c>
      <c r="AH45" s="191">
        <v>20</v>
      </c>
    </row>
    <row r="46" spans="2:34" s="8" customFormat="1" ht="14" x14ac:dyDescent="0.2">
      <c r="B46" s="8" t="str">
        <f t="shared" si="7"/>
        <v>Annual capital expenditure on Track and infrastructure</v>
      </c>
      <c r="D46" s="10" t="str">
        <f>'Assumptions - General'!$E$27 &amp;" millions"</f>
        <v>R$ millions</v>
      </c>
      <c r="E46" s="183"/>
      <c r="F46" s="191">
        <v>20</v>
      </c>
      <c r="G46" s="191">
        <v>100</v>
      </c>
      <c r="H46" s="191">
        <v>100</v>
      </c>
      <c r="I46" s="191">
        <v>100</v>
      </c>
      <c r="J46" s="191">
        <v>100</v>
      </c>
      <c r="K46" s="191">
        <v>100</v>
      </c>
      <c r="L46" s="191">
        <v>100</v>
      </c>
      <c r="M46" s="191">
        <v>100</v>
      </c>
      <c r="N46" s="191">
        <v>100</v>
      </c>
      <c r="O46" s="191">
        <v>100</v>
      </c>
      <c r="P46" s="191">
        <v>100</v>
      </c>
      <c r="Q46" s="191">
        <v>100</v>
      </c>
      <c r="R46" s="191">
        <v>100</v>
      </c>
      <c r="S46" s="191">
        <v>100</v>
      </c>
      <c r="T46" s="191">
        <v>100</v>
      </c>
      <c r="U46" s="191">
        <v>100</v>
      </c>
      <c r="V46" s="191">
        <v>100</v>
      </c>
      <c r="W46" s="191">
        <v>100</v>
      </c>
      <c r="X46" s="191">
        <v>100</v>
      </c>
      <c r="Y46" s="191">
        <v>100</v>
      </c>
      <c r="Z46" s="191">
        <v>100</v>
      </c>
      <c r="AA46" s="191">
        <v>100</v>
      </c>
      <c r="AB46" s="191">
        <v>100</v>
      </c>
      <c r="AC46" s="191">
        <v>100</v>
      </c>
      <c r="AD46" s="191">
        <v>100</v>
      </c>
      <c r="AE46" s="191">
        <v>100</v>
      </c>
      <c r="AF46" s="191">
        <v>100</v>
      </c>
      <c r="AG46" s="191">
        <v>100</v>
      </c>
      <c r="AH46" s="191">
        <v>100</v>
      </c>
    </row>
    <row r="47" spans="2:34" s="8" customFormat="1" ht="14" x14ac:dyDescent="0.2">
      <c r="B47" s="8" t="str">
        <f t="shared" si="7"/>
        <v>Annual capital expenditure on Locomotives and railway cars</v>
      </c>
      <c r="D47" s="10" t="str">
        <f>'Assumptions - General'!$E$27 &amp;" millions"</f>
        <v>R$ millions</v>
      </c>
      <c r="E47" s="183"/>
      <c r="F47" s="191">
        <v>25</v>
      </c>
      <c r="G47" s="191">
        <v>100</v>
      </c>
      <c r="H47" s="191">
        <v>100</v>
      </c>
      <c r="I47" s="191">
        <v>100</v>
      </c>
      <c r="J47" s="191">
        <v>100</v>
      </c>
      <c r="K47" s="191">
        <v>100</v>
      </c>
      <c r="L47" s="191">
        <v>100</v>
      </c>
      <c r="M47" s="191">
        <v>100</v>
      </c>
      <c r="N47" s="191">
        <v>100</v>
      </c>
      <c r="O47" s="191">
        <v>100</v>
      </c>
      <c r="P47" s="191">
        <v>100</v>
      </c>
      <c r="Q47" s="191">
        <v>100</v>
      </c>
      <c r="R47" s="191">
        <v>100</v>
      </c>
      <c r="S47" s="191">
        <v>100</v>
      </c>
      <c r="T47" s="191">
        <v>100</v>
      </c>
      <c r="U47" s="191">
        <v>100</v>
      </c>
      <c r="V47" s="191">
        <v>100</v>
      </c>
      <c r="W47" s="191">
        <v>100</v>
      </c>
      <c r="X47" s="191">
        <v>100</v>
      </c>
      <c r="Y47" s="191">
        <v>100</v>
      </c>
      <c r="Z47" s="191">
        <v>100</v>
      </c>
      <c r="AA47" s="191">
        <v>100</v>
      </c>
      <c r="AB47" s="191">
        <v>100</v>
      </c>
      <c r="AC47" s="191">
        <v>100</v>
      </c>
      <c r="AD47" s="191">
        <v>100</v>
      </c>
      <c r="AE47" s="191">
        <v>100</v>
      </c>
      <c r="AF47" s="191">
        <v>100</v>
      </c>
      <c r="AG47" s="191">
        <v>100</v>
      </c>
      <c r="AH47" s="191">
        <v>100</v>
      </c>
    </row>
    <row r="48" spans="2:34" s="8" customFormat="1" ht="14" x14ac:dyDescent="0.2">
      <c r="B48" s="8" t="str">
        <f t="shared" si="7"/>
        <v>Annual capital expenditure on Machines, equipment and spare parts</v>
      </c>
      <c r="D48" s="10" t="str">
        <f>'Assumptions - General'!$E$27 &amp;" millions"</f>
        <v>R$ millions</v>
      </c>
      <c r="E48" s="183"/>
      <c r="F48" s="191">
        <v>25</v>
      </c>
      <c r="G48" s="191">
        <v>25</v>
      </c>
      <c r="H48" s="191">
        <v>25</v>
      </c>
      <c r="I48" s="191">
        <v>25</v>
      </c>
      <c r="J48" s="191">
        <v>25</v>
      </c>
      <c r="K48" s="191">
        <v>25</v>
      </c>
      <c r="L48" s="191">
        <v>25</v>
      </c>
      <c r="M48" s="191">
        <v>25</v>
      </c>
      <c r="N48" s="191">
        <v>25</v>
      </c>
      <c r="O48" s="191">
        <v>25</v>
      </c>
      <c r="P48" s="191">
        <v>25</v>
      </c>
      <c r="Q48" s="191">
        <v>25</v>
      </c>
      <c r="R48" s="191">
        <v>25</v>
      </c>
      <c r="S48" s="191">
        <v>25</v>
      </c>
      <c r="T48" s="191">
        <v>25</v>
      </c>
      <c r="U48" s="191">
        <v>25</v>
      </c>
      <c r="V48" s="191">
        <v>25</v>
      </c>
      <c r="W48" s="191">
        <v>25</v>
      </c>
      <c r="X48" s="191">
        <v>25</v>
      </c>
      <c r="Y48" s="191">
        <v>25</v>
      </c>
      <c r="Z48" s="191">
        <v>25</v>
      </c>
      <c r="AA48" s="191">
        <v>25</v>
      </c>
      <c r="AB48" s="191">
        <v>25</v>
      </c>
      <c r="AC48" s="191">
        <v>25</v>
      </c>
      <c r="AD48" s="191">
        <v>25</v>
      </c>
      <c r="AE48" s="191">
        <v>25</v>
      </c>
      <c r="AF48" s="191">
        <v>25</v>
      </c>
      <c r="AG48" s="191">
        <v>25</v>
      </c>
      <c r="AH48" s="191">
        <v>25</v>
      </c>
    </row>
    <row r="49" spans="1:34" s="8" customFormat="1" ht="14" x14ac:dyDescent="0.2">
      <c r="B49" s="8" t="str">
        <f t="shared" si="7"/>
        <v>Annual capital expenditure on Others</v>
      </c>
      <c r="D49" s="10" t="str">
        <f>'Assumptions - General'!$E$27 &amp;" millions"</f>
        <v>R$ millions</v>
      </c>
      <c r="E49" s="183"/>
      <c r="F49" s="191">
        <v>25</v>
      </c>
      <c r="G49" s="191">
        <v>25</v>
      </c>
      <c r="H49" s="191">
        <v>25</v>
      </c>
      <c r="I49" s="191">
        <v>25</v>
      </c>
      <c r="J49" s="191">
        <v>25</v>
      </c>
      <c r="K49" s="191">
        <v>25</v>
      </c>
      <c r="L49" s="191">
        <v>25</v>
      </c>
      <c r="M49" s="191">
        <v>25</v>
      </c>
      <c r="N49" s="191">
        <v>25</v>
      </c>
      <c r="O49" s="191">
        <v>25</v>
      </c>
      <c r="P49" s="191">
        <v>25</v>
      </c>
      <c r="Q49" s="191">
        <v>25</v>
      </c>
      <c r="R49" s="191">
        <v>25</v>
      </c>
      <c r="S49" s="191">
        <v>25</v>
      </c>
      <c r="T49" s="191">
        <v>25</v>
      </c>
      <c r="U49" s="191">
        <v>25</v>
      </c>
      <c r="V49" s="191">
        <v>25</v>
      </c>
      <c r="W49" s="191">
        <v>25</v>
      </c>
      <c r="X49" s="191">
        <v>25</v>
      </c>
      <c r="Y49" s="191">
        <v>25</v>
      </c>
      <c r="Z49" s="191">
        <v>25</v>
      </c>
      <c r="AA49" s="191">
        <v>25</v>
      </c>
      <c r="AB49" s="191">
        <v>25</v>
      </c>
      <c r="AC49" s="191">
        <v>25</v>
      </c>
      <c r="AD49" s="191">
        <v>25</v>
      </c>
      <c r="AE49" s="191">
        <v>25</v>
      </c>
      <c r="AF49" s="191">
        <v>25</v>
      </c>
      <c r="AG49" s="191">
        <v>25</v>
      </c>
      <c r="AH49" s="191">
        <v>25</v>
      </c>
    </row>
    <row r="50" spans="1:34" s="8" customFormat="1" ht="14" x14ac:dyDescent="0.2">
      <c r="B50" s="8" t="s">
        <v>460</v>
      </c>
      <c r="D50" s="10" t="str">
        <f>'Assumptions - General'!$E$27 &amp;" millions"</f>
        <v>R$ millions</v>
      </c>
      <c r="E50" s="183"/>
      <c r="F50" s="218">
        <f>SUM(F44:F49)</f>
        <v>135</v>
      </c>
      <c r="G50" s="218">
        <f t="shared" ref="G50:AH50" si="8">SUM(G44:G49)</f>
        <v>290</v>
      </c>
      <c r="H50" s="218">
        <f t="shared" si="8"/>
        <v>290</v>
      </c>
      <c r="I50" s="218">
        <f t="shared" si="8"/>
        <v>290</v>
      </c>
      <c r="J50" s="218">
        <f t="shared" si="8"/>
        <v>290</v>
      </c>
      <c r="K50" s="218">
        <f t="shared" si="8"/>
        <v>290</v>
      </c>
      <c r="L50" s="218">
        <f t="shared" si="8"/>
        <v>290</v>
      </c>
      <c r="M50" s="218">
        <f t="shared" si="8"/>
        <v>290</v>
      </c>
      <c r="N50" s="218">
        <f t="shared" si="8"/>
        <v>290</v>
      </c>
      <c r="O50" s="218">
        <f t="shared" si="8"/>
        <v>290</v>
      </c>
      <c r="P50" s="218">
        <f t="shared" si="8"/>
        <v>290</v>
      </c>
      <c r="Q50" s="218">
        <f t="shared" si="8"/>
        <v>290</v>
      </c>
      <c r="R50" s="218">
        <f t="shared" si="8"/>
        <v>290</v>
      </c>
      <c r="S50" s="218">
        <f t="shared" si="8"/>
        <v>290</v>
      </c>
      <c r="T50" s="218">
        <f t="shared" si="8"/>
        <v>290</v>
      </c>
      <c r="U50" s="218">
        <f t="shared" si="8"/>
        <v>290</v>
      </c>
      <c r="V50" s="218">
        <f t="shared" si="8"/>
        <v>290</v>
      </c>
      <c r="W50" s="218">
        <f t="shared" si="8"/>
        <v>290</v>
      </c>
      <c r="X50" s="218">
        <f t="shared" si="8"/>
        <v>290</v>
      </c>
      <c r="Y50" s="218">
        <f t="shared" si="8"/>
        <v>290</v>
      </c>
      <c r="Z50" s="218">
        <f t="shared" si="8"/>
        <v>290</v>
      </c>
      <c r="AA50" s="218">
        <f t="shared" si="8"/>
        <v>290</v>
      </c>
      <c r="AB50" s="218">
        <f t="shared" si="8"/>
        <v>290</v>
      </c>
      <c r="AC50" s="218">
        <f t="shared" si="8"/>
        <v>290</v>
      </c>
      <c r="AD50" s="218">
        <f t="shared" si="8"/>
        <v>290</v>
      </c>
      <c r="AE50" s="218">
        <f t="shared" si="8"/>
        <v>290</v>
      </c>
      <c r="AF50" s="218">
        <f t="shared" si="8"/>
        <v>290</v>
      </c>
      <c r="AG50" s="218">
        <f t="shared" si="8"/>
        <v>290</v>
      </c>
      <c r="AH50" s="218">
        <f t="shared" si="8"/>
        <v>290</v>
      </c>
    </row>
    <row r="51" spans="1:34" s="8" customFormat="1" ht="14" x14ac:dyDescent="0.2">
      <c r="D51" s="10"/>
      <c r="E51" s="183"/>
      <c r="F51" s="218"/>
      <c r="G51" s="218"/>
      <c r="H51" s="218"/>
      <c r="I51" s="218"/>
      <c r="J51" s="218"/>
      <c r="K51" s="218"/>
      <c r="L51" s="218"/>
      <c r="M51" s="218"/>
      <c r="N51" s="218"/>
      <c r="O51" s="218"/>
      <c r="P51" s="218"/>
      <c r="Q51" s="218"/>
      <c r="R51" s="218"/>
      <c r="S51" s="218"/>
      <c r="T51" s="218"/>
      <c r="U51" s="218"/>
      <c r="V51" s="218"/>
      <c r="W51" s="218"/>
      <c r="X51" s="218"/>
      <c r="Y51" s="218"/>
      <c r="Z51" s="218"/>
      <c r="AA51" s="218"/>
      <c r="AB51" s="218"/>
      <c r="AC51" s="218"/>
      <c r="AD51" s="218"/>
      <c r="AE51" s="218"/>
      <c r="AF51" s="218"/>
      <c r="AG51" s="218"/>
      <c r="AH51" s="218"/>
    </row>
    <row r="52" spans="1:34" s="8" customFormat="1" ht="14" x14ac:dyDescent="0.2">
      <c r="B52" s="8" t="str">
        <f t="shared" ref="B52:B57" si="9">"Annual sale of " &amp;E30</f>
        <v>Annual sale of Land</v>
      </c>
      <c r="D52" s="10" t="str">
        <f>'Assumptions - General'!$E$27 &amp;" millions"</f>
        <v>R$ millions</v>
      </c>
      <c r="E52" s="434" t="str">
        <f t="shared" ref="E52:E57" si="10">IF(SUM(F52:AH52)&gt;E37,"WARNING: ASSETS SALES&gt;INITIAL VALUE"," ")</f>
        <v xml:space="preserve"> </v>
      </c>
      <c r="F52" s="191">
        <v>5</v>
      </c>
      <c r="G52" s="191">
        <v>5</v>
      </c>
      <c r="H52" s="191">
        <v>5</v>
      </c>
      <c r="I52" s="191">
        <v>0</v>
      </c>
      <c r="J52" s="191">
        <v>0</v>
      </c>
      <c r="K52" s="191">
        <v>0</v>
      </c>
      <c r="L52" s="191">
        <v>0</v>
      </c>
      <c r="M52" s="191">
        <v>0</v>
      </c>
      <c r="N52" s="191">
        <v>0</v>
      </c>
      <c r="O52" s="191">
        <v>0</v>
      </c>
      <c r="P52" s="191">
        <v>0</v>
      </c>
      <c r="Q52" s="191">
        <v>0</v>
      </c>
      <c r="R52" s="191">
        <v>0</v>
      </c>
      <c r="S52" s="191">
        <v>0</v>
      </c>
      <c r="T52" s="191">
        <v>0</v>
      </c>
      <c r="U52" s="191">
        <v>0</v>
      </c>
      <c r="V52" s="191">
        <v>0</v>
      </c>
      <c r="W52" s="191">
        <v>0</v>
      </c>
      <c r="X52" s="191">
        <v>0</v>
      </c>
      <c r="Y52" s="191">
        <v>0</v>
      </c>
      <c r="Z52" s="191">
        <v>0</v>
      </c>
      <c r="AA52" s="191">
        <v>0</v>
      </c>
      <c r="AB52" s="191">
        <v>0</v>
      </c>
      <c r="AC52" s="191">
        <v>0</v>
      </c>
      <c r="AD52" s="191">
        <v>0</v>
      </c>
      <c r="AE52" s="191">
        <v>0</v>
      </c>
      <c r="AF52" s="191">
        <v>0</v>
      </c>
      <c r="AG52" s="191">
        <v>0</v>
      </c>
      <c r="AH52" s="191">
        <v>0</v>
      </c>
    </row>
    <row r="53" spans="1:34" s="8" customFormat="1" ht="14" x14ac:dyDescent="0.2">
      <c r="B53" s="8" t="str">
        <f t="shared" si="9"/>
        <v>Annual sale of Buildings and structures</v>
      </c>
      <c r="D53" s="10" t="str">
        <f>'Assumptions - General'!$E$27 &amp;" millions"</f>
        <v>R$ millions</v>
      </c>
      <c r="E53" s="434" t="str">
        <f t="shared" si="10"/>
        <v xml:space="preserve"> </v>
      </c>
      <c r="F53" s="191">
        <v>5</v>
      </c>
      <c r="G53" s="191">
        <v>5</v>
      </c>
      <c r="H53" s="191">
        <v>5</v>
      </c>
      <c r="I53" s="191">
        <v>5</v>
      </c>
      <c r="J53" s="191">
        <v>5</v>
      </c>
      <c r="K53" s="191">
        <v>5</v>
      </c>
      <c r="L53" s="191">
        <v>5</v>
      </c>
      <c r="M53" s="191">
        <v>5</v>
      </c>
      <c r="N53" s="191">
        <v>5</v>
      </c>
      <c r="O53" s="191">
        <v>5</v>
      </c>
      <c r="P53" s="191">
        <v>5</v>
      </c>
      <c r="Q53" s="191">
        <v>5</v>
      </c>
      <c r="R53" s="191">
        <v>5</v>
      </c>
      <c r="S53" s="191">
        <v>5</v>
      </c>
      <c r="T53" s="191">
        <v>5</v>
      </c>
      <c r="U53" s="191">
        <v>5</v>
      </c>
      <c r="V53" s="191">
        <v>5</v>
      </c>
      <c r="W53" s="191">
        <v>5</v>
      </c>
      <c r="X53" s="191">
        <v>5</v>
      </c>
      <c r="Y53" s="191">
        <v>5</v>
      </c>
      <c r="Z53" s="191">
        <v>5</v>
      </c>
      <c r="AA53" s="191">
        <v>5</v>
      </c>
      <c r="AB53" s="191">
        <v>5</v>
      </c>
      <c r="AC53" s="191">
        <v>5</v>
      </c>
      <c r="AD53" s="191">
        <v>5</v>
      </c>
      <c r="AE53" s="191">
        <v>5</v>
      </c>
      <c r="AF53" s="191">
        <v>5</v>
      </c>
      <c r="AG53" s="191">
        <v>5</v>
      </c>
      <c r="AH53" s="191">
        <v>5</v>
      </c>
    </row>
    <row r="54" spans="1:34" s="8" customFormat="1" ht="14" x14ac:dyDescent="0.2">
      <c r="B54" s="8" t="str">
        <f t="shared" si="9"/>
        <v>Annual sale of Track and infrastructure</v>
      </c>
      <c r="D54" s="10" t="str">
        <f>'Assumptions - General'!$E$27 &amp;" millions"</f>
        <v>R$ millions</v>
      </c>
      <c r="E54" s="434" t="str">
        <f t="shared" si="10"/>
        <v xml:space="preserve"> </v>
      </c>
      <c r="F54" s="191">
        <v>5</v>
      </c>
      <c r="G54" s="191">
        <v>5</v>
      </c>
      <c r="H54" s="191">
        <v>5</v>
      </c>
      <c r="I54" s="191">
        <v>5</v>
      </c>
      <c r="J54" s="191">
        <v>5</v>
      </c>
      <c r="K54" s="191">
        <v>5</v>
      </c>
      <c r="L54" s="191">
        <v>5</v>
      </c>
      <c r="M54" s="191">
        <v>5</v>
      </c>
      <c r="N54" s="191">
        <v>5</v>
      </c>
      <c r="O54" s="191">
        <v>5</v>
      </c>
      <c r="P54" s="191">
        <v>5</v>
      </c>
      <c r="Q54" s="191">
        <v>5</v>
      </c>
      <c r="R54" s="191">
        <v>5</v>
      </c>
      <c r="S54" s="191">
        <v>5</v>
      </c>
      <c r="T54" s="191">
        <v>5</v>
      </c>
      <c r="U54" s="191">
        <v>5</v>
      </c>
      <c r="V54" s="191">
        <v>5</v>
      </c>
      <c r="W54" s="191">
        <v>5</v>
      </c>
      <c r="X54" s="191">
        <v>5</v>
      </c>
      <c r="Y54" s="191">
        <v>5</v>
      </c>
      <c r="Z54" s="191">
        <v>5</v>
      </c>
      <c r="AA54" s="191">
        <v>5</v>
      </c>
      <c r="AB54" s="191">
        <v>5</v>
      </c>
      <c r="AC54" s="191">
        <v>5</v>
      </c>
      <c r="AD54" s="191">
        <v>5</v>
      </c>
      <c r="AE54" s="191">
        <v>5</v>
      </c>
      <c r="AF54" s="191">
        <v>5</v>
      </c>
      <c r="AG54" s="191">
        <v>5</v>
      </c>
      <c r="AH54" s="191">
        <v>5</v>
      </c>
    </row>
    <row r="55" spans="1:34" s="8" customFormat="1" ht="14" x14ac:dyDescent="0.2">
      <c r="B55" s="8" t="str">
        <f t="shared" si="9"/>
        <v>Annual sale of Locomotives and railway cars</v>
      </c>
      <c r="D55" s="10" t="str">
        <f>'Assumptions - General'!$E$27 &amp;" millions"</f>
        <v>R$ millions</v>
      </c>
      <c r="E55" s="434" t="str">
        <f t="shared" si="10"/>
        <v xml:space="preserve"> </v>
      </c>
      <c r="F55" s="191">
        <v>5</v>
      </c>
      <c r="G55" s="191">
        <v>5</v>
      </c>
      <c r="H55" s="191">
        <v>5</v>
      </c>
      <c r="I55" s="191">
        <v>5</v>
      </c>
      <c r="J55" s="191">
        <v>5</v>
      </c>
      <c r="K55" s="191">
        <v>5</v>
      </c>
      <c r="L55" s="191">
        <v>5</v>
      </c>
      <c r="M55" s="191">
        <v>5</v>
      </c>
      <c r="N55" s="191">
        <v>5</v>
      </c>
      <c r="O55" s="191">
        <v>5</v>
      </c>
      <c r="P55" s="191">
        <v>5</v>
      </c>
      <c r="Q55" s="191">
        <v>5</v>
      </c>
      <c r="R55" s="191">
        <v>5</v>
      </c>
      <c r="S55" s="191">
        <v>5</v>
      </c>
      <c r="T55" s="191">
        <v>5</v>
      </c>
      <c r="U55" s="191">
        <v>5</v>
      </c>
      <c r="V55" s="191">
        <v>5</v>
      </c>
      <c r="W55" s="191">
        <v>5</v>
      </c>
      <c r="X55" s="191">
        <v>5</v>
      </c>
      <c r="Y55" s="191">
        <v>5</v>
      </c>
      <c r="Z55" s="191">
        <v>5</v>
      </c>
      <c r="AA55" s="191">
        <v>5</v>
      </c>
      <c r="AB55" s="191">
        <v>5</v>
      </c>
      <c r="AC55" s="191">
        <v>5</v>
      </c>
      <c r="AD55" s="191">
        <v>5</v>
      </c>
      <c r="AE55" s="191">
        <v>5</v>
      </c>
      <c r="AF55" s="191">
        <v>5</v>
      </c>
      <c r="AG55" s="191">
        <v>5</v>
      </c>
      <c r="AH55" s="191">
        <v>5</v>
      </c>
    </row>
    <row r="56" spans="1:34" s="8" customFormat="1" ht="14" x14ac:dyDescent="0.2">
      <c r="B56" s="8" t="str">
        <f t="shared" si="9"/>
        <v>Annual sale of Machines, equipment and spare parts</v>
      </c>
      <c r="D56" s="10" t="str">
        <f>'Assumptions - General'!$E$27 &amp;" millions"</f>
        <v>R$ millions</v>
      </c>
      <c r="E56" s="434" t="str">
        <f t="shared" si="10"/>
        <v xml:space="preserve"> </v>
      </c>
      <c r="F56" s="191">
        <v>5</v>
      </c>
      <c r="G56" s="191">
        <v>5</v>
      </c>
      <c r="H56" s="191">
        <v>5</v>
      </c>
      <c r="I56" s="191">
        <v>5</v>
      </c>
      <c r="J56" s="191">
        <v>5</v>
      </c>
      <c r="K56" s="191">
        <v>5</v>
      </c>
      <c r="L56" s="191">
        <v>5</v>
      </c>
      <c r="M56" s="191">
        <v>5</v>
      </c>
      <c r="N56" s="191">
        <v>5</v>
      </c>
      <c r="O56" s="191">
        <v>5</v>
      </c>
      <c r="P56" s="191">
        <v>5</v>
      </c>
      <c r="Q56" s="191">
        <v>5</v>
      </c>
      <c r="R56" s="191">
        <v>5</v>
      </c>
      <c r="S56" s="191">
        <v>5</v>
      </c>
      <c r="T56" s="191">
        <v>5</v>
      </c>
      <c r="U56" s="191">
        <v>5</v>
      </c>
      <c r="V56" s="191">
        <v>5</v>
      </c>
      <c r="W56" s="191">
        <v>5</v>
      </c>
      <c r="X56" s="191">
        <v>5</v>
      </c>
      <c r="Y56" s="191">
        <v>5</v>
      </c>
      <c r="Z56" s="191">
        <v>5</v>
      </c>
      <c r="AA56" s="191">
        <v>5</v>
      </c>
      <c r="AB56" s="191">
        <v>5</v>
      </c>
      <c r="AC56" s="191">
        <v>5</v>
      </c>
      <c r="AD56" s="191">
        <v>5</v>
      </c>
      <c r="AE56" s="191">
        <v>5</v>
      </c>
      <c r="AF56" s="191">
        <v>5</v>
      </c>
      <c r="AG56" s="191">
        <v>5</v>
      </c>
      <c r="AH56" s="191">
        <v>5</v>
      </c>
    </row>
    <row r="57" spans="1:34" s="8" customFormat="1" ht="14" x14ac:dyDescent="0.2">
      <c r="B57" s="8" t="str">
        <f t="shared" si="9"/>
        <v>Annual sale of Others</v>
      </c>
      <c r="D57" s="10" t="str">
        <f>'Assumptions - General'!$E$27 &amp;" millions"</f>
        <v>R$ millions</v>
      </c>
      <c r="E57" s="434" t="str">
        <f t="shared" si="10"/>
        <v xml:space="preserve"> </v>
      </c>
      <c r="F57" s="191">
        <v>5</v>
      </c>
      <c r="G57" s="191">
        <v>5</v>
      </c>
      <c r="H57" s="191">
        <v>5</v>
      </c>
      <c r="I57" s="191">
        <v>5</v>
      </c>
      <c r="J57" s="191">
        <v>5</v>
      </c>
      <c r="K57" s="191">
        <v>5</v>
      </c>
      <c r="L57" s="191">
        <v>5</v>
      </c>
      <c r="M57" s="191">
        <v>5</v>
      </c>
      <c r="N57" s="191">
        <v>5</v>
      </c>
      <c r="O57" s="191">
        <v>5</v>
      </c>
      <c r="P57" s="191">
        <v>0</v>
      </c>
      <c r="Q57" s="191">
        <v>0</v>
      </c>
      <c r="R57" s="191">
        <v>0</v>
      </c>
      <c r="S57" s="191">
        <v>0</v>
      </c>
      <c r="T57" s="191">
        <v>0</v>
      </c>
      <c r="U57" s="191">
        <v>0</v>
      </c>
      <c r="V57" s="191">
        <v>0</v>
      </c>
      <c r="W57" s="191">
        <v>0</v>
      </c>
      <c r="X57" s="191">
        <v>0</v>
      </c>
      <c r="Y57" s="191">
        <v>0</v>
      </c>
      <c r="Z57" s="191">
        <v>0</v>
      </c>
      <c r="AA57" s="191">
        <v>0</v>
      </c>
      <c r="AB57" s="191">
        <v>0</v>
      </c>
      <c r="AC57" s="191">
        <v>0</v>
      </c>
      <c r="AD57" s="191">
        <v>0</v>
      </c>
      <c r="AE57" s="191">
        <v>0</v>
      </c>
      <c r="AF57" s="191">
        <v>0</v>
      </c>
      <c r="AG57" s="191">
        <v>0</v>
      </c>
      <c r="AH57" s="191">
        <v>0</v>
      </c>
    </row>
    <row r="58" spans="1:34" s="8" customFormat="1" ht="14" x14ac:dyDescent="0.2">
      <c r="B58" s="8" t="s">
        <v>460</v>
      </c>
      <c r="D58" s="10" t="str">
        <f>'Assumptions - General'!$E$27 &amp;" millions"</f>
        <v>R$ millions</v>
      </c>
      <c r="E58" s="183"/>
      <c r="F58" s="218">
        <f t="shared" ref="F58:AH58" si="11">SUM(F52:F57)</f>
        <v>30</v>
      </c>
      <c r="G58" s="218">
        <f t="shared" si="11"/>
        <v>30</v>
      </c>
      <c r="H58" s="218">
        <f t="shared" si="11"/>
        <v>30</v>
      </c>
      <c r="I58" s="218">
        <f t="shared" si="11"/>
        <v>25</v>
      </c>
      <c r="J58" s="218">
        <f t="shared" si="11"/>
        <v>25</v>
      </c>
      <c r="K58" s="218">
        <f t="shared" si="11"/>
        <v>25</v>
      </c>
      <c r="L58" s="218">
        <f t="shared" si="11"/>
        <v>25</v>
      </c>
      <c r="M58" s="218">
        <f t="shared" si="11"/>
        <v>25</v>
      </c>
      <c r="N58" s="218">
        <f t="shared" si="11"/>
        <v>25</v>
      </c>
      <c r="O58" s="218">
        <f t="shared" si="11"/>
        <v>25</v>
      </c>
      <c r="P58" s="218">
        <f t="shared" si="11"/>
        <v>20</v>
      </c>
      <c r="Q58" s="218">
        <f t="shared" si="11"/>
        <v>20</v>
      </c>
      <c r="R58" s="218">
        <f t="shared" si="11"/>
        <v>20</v>
      </c>
      <c r="S58" s="218">
        <f t="shared" si="11"/>
        <v>20</v>
      </c>
      <c r="T58" s="218">
        <f t="shared" si="11"/>
        <v>20</v>
      </c>
      <c r="U58" s="218">
        <f t="shared" si="11"/>
        <v>20</v>
      </c>
      <c r="V58" s="218">
        <f t="shared" si="11"/>
        <v>20</v>
      </c>
      <c r="W58" s="218">
        <f t="shared" si="11"/>
        <v>20</v>
      </c>
      <c r="X58" s="218">
        <f t="shared" si="11"/>
        <v>20</v>
      </c>
      <c r="Y58" s="218">
        <f t="shared" si="11"/>
        <v>20</v>
      </c>
      <c r="Z58" s="218">
        <f t="shared" si="11"/>
        <v>20</v>
      </c>
      <c r="AA58" s="218">
        <f t="shared" si="11"/>
        <v>20</v>
      </c>
      <c r="AB58" s="218">
        <f t="shared" si="11"/>
        <v>20</v>
      </c>
      <c r="AC58" s="218">
        <f t="shared" si="11"/>
        <v>20</v>
      </c>
      <c r="AD58" s="218">
        <f t="shared" si="11"/>
        <v>20</v>
      </c>
      <c r="AE58" s="218">
        <f t="shared" si="11"/>
        <v>20</v>
      </c>
      <c r="AF58" s="218">
        <f t="shared" si="11"/>
        <v>20</v>
      </c>
      <c r="AG58" s="218">
        <f t="shared" si="11"/>
        <v>20</v>
      </c>
      <c r="AH58" s="218">
        <f t="shared" si="11"/>
        <v>20</v>
      </c>
    </row>
    <row r="59" spans="1:34" s="8" customFormat="1" ht="14" x14ac:dyDescent="0.2">
      <c r="D59" s="10"/>
      <c r="E59" s="183"/>
      <c r="F59" s="218"/>
      <c r="G59" s="218"/>
      <c r="H59" s="218"/>
      <c r="I59" s="218"/>
      <c r="J59" s="218"/>
      <c r="K59" s="218"/>
      <c r="L59" s="218"/>
      <c r="M59" s="218"/>
      <c r="N59" s="218"/>
      <c r="O59" s="218"/>
      <c r="P59" s="218"/>
      <c r="Q59" s="218"/>
      <c r="R59" s="218"/>
      <c r="S59" s="218"/>
      <c r="T59" s="218"/>
      <c r="U59" s="218"/>
      <c r="V59" s="218"/>
      <c r="W59" s="218"/>
      <c r="X59" s="218"/>
      <c r="Y59" s="218"/>
      <c r="Z59" s="218"/>
      <c r="AA59" s="218"/>
      <c r="AB59" s="218"/>
      <c r="AC59" s="218"/>
      <c r="AD59" s="218"/>
      <c r="AE59" s="218"/>
      <c r="AF59" s="218"/>
      <c r="AG59" s="218"/>
      <c r="AH59" s="218"/>
    </row>
    <row r="60" spans="1:34" s="8" customFormat="1" ht="14" x14ac:dyDescent="0.2">
      <c r="B60" s="8" t="s">
        <v>414</v>
      </c>
      <c r="D60" s="10" t="str">
        <f>'Assumptions - General'!$E$27 &amp;" millions"</f>
        <v>R$ millions</v>
      </c>
      <c r="E60" s="181">
        <v>50</v>
      </c>
    </row>
    <row r="61" spans="1:34" s="8" customFormat="1" ht="14" x14ac:dyDescent="0.2"/>
    <row r="62" spans="1:34" s="8" customFormat="1" ht="14" x14ac:dyDescent="0.2">
      <c r="B62" s="21" t="str">
        <f>"Depreciation of " &amp;'Assumptions - Freight'!E$26</f>
        <v>Depreciation of Land</v>
      </c>
      <c r="D62" s="86"/>
      <c r="E62" s="208" t="str">
        <f>IF(AND(E64=1,SUM(E67:AH67)&gt;0),"WARNING: MANUAL INPUT OF DEPRECIATION WITH MODEL CALCULATION",IF(AND(E64=2,SUM(E67:AH67)=0),"WARNING: DEPRECIATION MISSING WITH MANUAL ENTRY"," "))</f>
        <v xml:space="preserve"> </v>
      </c>
    </row>
    <row r="63" spans="1:34" s="8" customFormat="1" ht="14" x14ac:dyDescent="0.2">
      <c r="B63" s="14" t="s">
        <v>669</v>
      </c>
      <c r="D63" s="10" t="str">
        <f>'Assumptions - General'!$E$27 &amp;" millions"</f>
        <v>R$ millions</v>
      </c>
      <c r="E63" s="208"/>
      <c r="F63" s="461">
        <v>0</v>
      </c>
      <c r="G63" s="461">
        <v>0</v>
      </c>
      <c r="H63" s="461">
        <v>0</v>
      </c>
      <c r="I63" s="461">
        <v>0</v>
      </c>
      <c r="J63" s="461">
        <v>0</v>
      </c>
      <c r="K63" s="461">
        <v>0</v>
      </c>
      <c r="L63" s="461">
        <v>0</v>
      </c>
      <c r="M63" s="461">
        <v>0</v>
      </c>
      <c r="N63" s="461">
        <v>0</v>
      </c>
      <c r="O63" s="461">
        <v>0</v>
      </c>
      <c r="P63" s="461">
        <v>0</v>
      </c>
      <c r="Q63" s="461">
        <v>0</v>
      </c>
      <c r="R63" s="461">
        <v>0</v>
      </c>
      <c r="S63" s="461">
        <v>0</v>
      </c>
      <c r="T63" s="461">
        <v>0</v>
      </c>
      <c r="U63" s="461">
        <v>0</v>
      </c>
      <c r="V63" s="461">
        <v>0</v>
      </c>
      <c r="W63" s="461">
        <v>0</v>
      </c>
      <c r="X63" s="461">
        <v>0</v>
      </c>
      <c r="Y63" s="461">
        <v>0</v>
      </c>
      <c r="Z63" s="461">
        <v>0</v>
      </c>
      <c r="AA63" s="461">
        <v>0</v>
      </c>
      <c r="AB63" s="461">
        <v>0</v>
      </c>
      <c r="AC63" s="461">
        <v>0</v>
      </c>
      <c r="AD63" s="461">
        <v>0</v>
      </c>
      <c r="AE63" s="461">
        <v>0</v>
      </c>
      <c r="AF63" s="461">
        <v>0</v>
      </c>
      <c r="AG63" s="461">
        <v>0</v>
      </c>
      <c r="AH63" s="461">
        <v>0</v>
      </c>
    </row>
    <row r="64" spans="1:34" s="8" customFormat="1" ht="14" x14ac:dyDescent="0.2">
      <c r="A64" s="87" t="s">
        <v>355</v>
      </c>
      <c r="B64" s="14" t="s">
        <v>670</v>
      </c>
      <c r="D64" s="8" t="s">
        <v>209</v>
      </c>
      <c r="E64" s="177">
        <f>IF(F64="Model",1,2)</f>
        <v>1</v>
      </c>
      <c r="F64" s="87" t="s">
        <v>355</v>
      </c>
      <c r="G64" s="87"/>
    </row>
    <row r="65" spans="1:34" s="8" customFormat="1" ht="14" x14ac:dyDescent="0.2">
      <c r="A65" s="87" t="s">
        <v>229</v>
      </c>
      <c r="B65" s="14"/>
      <c r="E65" s="177"/>
      <c r="G65" s="87"/>
    </row>
    <row r="66" spans="1:34" s="8" customFormat="1" ht="14" x14ac:dyDescent="0.2">
      <c r="B66" s="89" t="str">
        <f>IF(E64=1,"If calculated, define the average life of new assets"," ")</f>
        <v>If calculated, define the average life of new assets</v>
      </c>
      <c r="C66" s="119"/>
      <c r="D66" s="209" t="str">
        <f>IF(E64=1,"Years"," ")</f>
        <v>Years</v>
      </c>
      <c r="E66" s="200">
        <v>100</v>
      </c>
    </row>
    <row r="67" spans="1:34" s="8" customFormat="1" ht="14" x14ac:dyDescent="0.2">
      <c r="B67" s="14" t="str">
        <f>IF(E64=2,"If entered manually, define annual depreciation expense"," ")</f>
        <v xml:space="preserve"> </v>
      </c>
      <c r="D67" s="10" t="str">
        <f>IF(E64=2,'Assumptions - General'!$E$27 &amp;" millions"," ")</f>
        <v xml:space="preserve"> </v>
      </c>
      <c r="E67" s="182"/>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row>
    <row r="68" spans="1:34" s="8" customFormat="1" ht="14" x14ac:dyDescent="0.2">
      <c r="B68" s="21" t="str">
        <f>"Depreciation of " &amp;'Assumptions - Freight'!E$27</f>
        <v>Depreciation of Buildings and structures</v>
      </c>
      <c r="D68" s="10"/>
      <c r="E68" s="208" t="str">
        <f>IF(AND(E69=1,SUM(E74:AH74)&gt;0),"WARNING: MANUAL INPUT OF DEPRECIATION WITH MODEL CALCULATION",IF(AND(E69=2,SUM(E74:AH74)=0),"WARNING: DEPRECIATION MISSING WITH MANUAL ENTRY"," "))</f>
        <v xml:space="preserve"> </v>
      </c>
    </row>
    <row r="69" spans="1:34" s="8" customFormat="1" ht="14" x14ac:dyDescent="0.2">
      <c r="B69" s="14" t="s">
        <v>342</v>
      </c>
      <c r="D69" s="8" t="s">
        <v>209</v>
      </c>
      <c r="E69" s="177">
        <f>IF(F69="Model",1,2)</f>
        <v>1</v>
      </c>
      <c r="F69" s="87" t="s">
        <v>355</v>
      </c>
    </row>
    <row r="70" spans="1:34" s="8" customFormat="1" ht="14" x14ac:dyDescent="0.2">
      <c r="B70" s="14"/>
      <c r="E70" s="177"/>
      <c r="F70" s="87"/>
    </row>
    <row r="71" spans="1:34" s="8" customFormat="1" ht="14" x14ac:dyDescent="0.2">
      <c r="A71" s="87"/>
      <c r="B71" s="89" t="str">
        <f>IF(E69=1,"If calculated, define the average remaining life of existing assets"," ")</f>
        <v>If calculated, define the average remaining life of existing assets</v>
      </c>
      <c r="C71" s="119"/>
      <c r="D71" s="209" t="str">
        <f>IF(E69=1,"Years"," ")</f>
        <v>Years</v>
      </c>
      <c r="E71" s="200">
        <v>15</v>
      </c>
      <c r="G71" s="87"/>
    </row>
    <row r="72" spans="1:34" s="8" customFormat="1" ht="14" x14ac:dyDescent="0.2">
      <c r="A72" s="87"/>
      <c r="B72" s="89"/>
      <c r="C72" s="119"/>
      <c r="D72" s="209"/>
      <c r="E72" s="200"/>
      <c r="G72" s="87"/>
    </row>
    <row r="73" spans="1:34" s="8" customFormat="1" ht="14" x14ac:dyDescent="0.2">
      <c r="B73" s="89" t="str">
        <f>IF(E69=1,"If calculated, define the average life of new assets"," ")</f>
        <v>If calculated, define the average life of new assets</v>
      </c>
      <c r="C73" s="119"/>
      <c r="D73" s="209" t="str">
        <f>IF(E69=1,"Years"," ")</f>
        <v>Years</v>
      </c>
      <c r="E73" s="200">
        <v>46</v>
      </c>
    </row>
    <row r="74" spans="1:34" s="8" customFormat="1" ht="14" x14ac:dyDescent="0.2">
      <c r="B74" s="14" t="str">
        <f>IF(E69=2,"If entered manually, define annual depreciation expense"," ")</f>
        <v xml:space="preserve"> </v>
      </c>
      <c r="D74" s="10" t="str">
        <f>IF(E69=2,'Assumptions - General'!$E$27 &amp;" millions"," ")</f>
        <v xml:space="preserve"> </v>
      </c>
      <c r="E74" s="182"/>
      <c r="F74" s="110"/>
      <c r="G74" s="110"/>
      <c r="H74" s="110"/>
      <c r="I74" s="110"/>
      <c r="J74" s="110"/>
      <c r="K74" s="110"/>
      <c r="L74" s="110"/>
      <c r="M74" s="110"/>
      <c r="N74" s="110"/>
      <c r="O74" s="110"/>
      <c r="P74" s="110"/>
      <c r="Q74" s="110"/>
      <c r="R74" s="110"/>
      <c r="S74" s="110"/>
      <c r="T74" s="110"/>
      <c r="U74" s="110"/>
      <c r="V74" s="110"/>
      <c r="W74" s="110"/>
      <c r="X74" s="110"/>
      <c r="Y74" s="110"/>
      <c r="Z74" s="110"/>
      <c r="AA74" s="110"/>
      <c r="AB74" s="110"/>
      <c r="AC74" s="110"/>
      <c r="AD74" s="110"/>
      <c r="AE74" s="110"/>
      <c r="AF74" s="110"/>
      <c r="AG74" s="110"/>
      <c r="AH74" s="110"/>
    </row>
    <row r="75" spans="1:34" s="20" customFormat="1" ht="14" x14ac:dyDescent="0.2">
      <c r="B75" s="32"/>
      <c r="D75" s="122"/>
      <c r="E75" s="182"/>
    </row>
    <row r="76" spans="1:34" s="8" customFormat="1" ht="14" x14ac:dyDescent="0.2">
      <c r="B76" s="21" t="str">
        <f>"Depreciation of " &amp;'Assumptions - Freight'!E$28</f>
        <v>Depreciation of Track and infrastructure</v>
      </c>
      <c r="D76" s="10"/>
      <c r="E76" s="208" t="str">
        <f>IF(AND(E77=1,SUM(E82:AH82)&gt;0),"WARNING: MANUAL INPUT OF DEPRECIATION WITH MODEL CALCULATION",IF(AND(E77=2,SUM(E82:AH82)=0),"WARNING: DEPRECIATION MISSING WITH MANUAL ENTRY"," "))</f>
        <v xml:space="preserve"> </v>
      </c>
    </row>
    <row r="77" spans="1:34" s="8" customFormat="1" ht="14" x14ac:dyDescent="0.2">
      <c r="B77" s="14" t="s">
        <v>342</v>
      </c>
      <c r="D77" s="8" t="s">
        <v>209</v>
      </c>
      <c r="E77" s="177">
        <f>IF(F77="Model",1,2)</f>
        <v>1</v>
      </c>
      <c r="F77" s="87" t="s">
        <v>355</v>
      </c>
    </row>
    <row r="78" spans="1:34" s="8" customFormat="1" ht="14" x14ac:dyDescent="0.2">
      <c r="B78" s="14"/>
      <c r="E78" s="177"/>
    </row>
    <row r="79" spans="1:34" s="8" customFormat="1" ht="14" x14ac:dyDescent="0.2">
      <c r="A79" s="87"/>
      <c r="B79" s="89" t="str">
        <f>IF(E77=1,"If calculated, define the average remaining life of existing assets"," ")</f>
        <v>If calculated, define the average remaining life of existing assets</v>
      </c>
      <c r="C79" s="119"/>
      <c r="D79" s="209" t="str">
        <f>IF(E77=1,"Years"," ")</f>
        <v>Years</v>
      </c>
      <c r="E79" s="200">
        <v>15</v>
      </c>
      <c r="G79" s="87"/>
    </row>
    <row r="80" spans="1:34" s="8" customFormat="1" ht="14" x14ac:dyDescent="0.2">
      <c r="A80" s="87"/>
      <c r="B80" s="89"/>
      <c r="C80" s="119"/>
      <c r="D80" s="209"/>
      <c r="E80" s="200"/>
      <c r="G80" s="87"/>
    </row>
    <row r="81" spans="1:34" s="8" customFormat="1" ht="14" x14ac:dyDescent="0.2">
      <c r="B81" s="89" t="str">
        <f>IF(E77=1,"If calculated, define the average life of new assets"," ")</f>
        <v>If calculated, define the average life of new assets</v>
      </c>
      <c r="C81" s="119"/>
      <c r="D81" s="209" t="str">
        <f>IF(E77=1,"Years"," ")</f>
        <v>Years</v>
      </c>
      <c r="E81" s="200">
        <v>15</v>
      </c>
    </row>
    <row r="82" spans="1:34" s="8" customFormat="1" ht="14" x14ac:dyDescent="0.2">
      <c r="B82" s="14" t="str">
        <f>IF(E77=2,"If entered manually, define annual depreciation expense"," ")</f>
        <v xml:space="preserve"> </v>
      </c>
      <c r="D82" s="10" t="str">
        <f>IF(E77=2,'Assumptions - General'!$E$27 &amp;" millions"," ")</f>
        <v xml:space="preserve"> </v>
      </c>
      <c r="E82" s="182"/>
      <c r="F82" s="110"/>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row>
    <row r="83" spans="1:34" s="20" customFormat="1" ht="14" x14ac:dyDescent="0.2">
      <c r="B83" s="32"/>
      <c r="D83" s="122"/>
      <c r="E83" s="182"/>
    </row>
    <row r="84" spans="1:34" s="8" customFormat="1" ht="14" x14ac:dyDescent="0.2">
      <c r="B84" s="21" t="str">
        <f>"Depreciation of " &amp;'Assumptions - Freight'!E$29</f>
        <v>Depreciation of Locomotives and railway cars</v>
      </c>
      <c r="D84" s="10"/>
      <c r="E84" s="208" t="str">
        <f>IF(AND(E85=1,SUM(E90:AH90)&gt;0),"WARNING: MANUAL INPUT OF DEPRECIATION WITH MODEL CALCULATION",IF(AND(E85=2,SUM(E90:AH90)=0),"WARNING: DEPRECIATION MISSING WITH MANUAL ENTRY"," "))</f>
        <v xml:space="preserve"> </v>
      </c>
    </row>
    <row r="85" spans="1:34" s="8" customFormat="1" ht="14" x14ac:dyDescent="0.2">
      <c r="B85" s="14" t="s">
        <v>342</v>
      </c>
      <c r="D85" s="8" t="s">
        <v>209</v>
      </c>
      <c r="E85" s="177">
        <f>IF(F85="Model",1,2)</f>
        <v>1</v>
      </c>
      <c r="F85" s="87" t="s">
        <v>355</v>
      </c>
    </row>
    <row r="86" spans="1:34" s="8" customFormat="1" ht="14" x14ac:dyDescent="0.2">
      <c r="B86" s="14"/>
      <c r="E86" s="177"/>
    </row>
    <row r="87" spans="1:34" s="8" customFormat="1" ht="14" x14ac:dyDescent="0.2">
      <c r="A87" s="87"/>
      <c r="B87" s="89" t="str">
        <f>IF(E85=1,"If calculated, define the average remaining life of existing assets"," ")</f>
        <v>If calculated, define the average remaining life of existing assets</v>
      </c>
      <c r="C87" s="119"/>
      <c r="D87" s="209" t="str">
        <f>IF(E85=1,"Years"," ")</f>
        <v>Years</v>
      </c>
      <c r="E87" s="200">
        <v>38</v>
      </c>
      <c r="G87" s="87"/>
    </row>
    <row r="88" spans="1:34" s="8" customFormat="1" ht="14" x14ac:dyDescent="0.2">
      <c r="A88" s="87"/>
      <c r="B88" s="89"/>
      <c r="C88" s="119"/>
      <c r="D88" s="209"/>
      <c r="E88" s="200"/>
      <c r="G88" s="87"/>
    </row>
    <row r="89" spans="1:34" s="8" customFormat="1" ht="14" x14ac:dyDescent="0.2">
      <c r="B89" s="89" t="str">
        <f>IF(E85=1,"If calculated, define the average life of new assets"," ")</f>
        <v>If calculated, define the average life of new assets</v>
      </c>
      <c r="C89" s="119"/>
      <c r="D89" s="209" t="str">
        <f>IF(E85=1,"Years"," ")</f>
        <v>Years</v>
      </c>
      <c r="E89" s="200">
        <v>23</v>
      </c>
    </row>
    <row r="90" spans="1:34" s="8" customFormat="1" ht="14" x14ac:dyDescent="0.2">
      <c r="B90" s="14" t="str">
        <f>IF(E85=2,"If entered manually, define annual depreciation expense"," ")</f>
        <v xml:space="preserve"> </v>
      </c>
      <c r="D90" s="10" t="str">
        <f>IF(E85=2,'Assumptions - General'!$E$27 &amp;" millions"," ")</f>
        <v xml:space="preserve"> </v>
      </c>
      <c r="E90" s="182"/>
      <c r="F90" s="110"/>
      <c r="G90" s="110"/>
      <c r="H90" s="110"/>
      <c r="I90" s="110"/>
      <c r="J90" s="110"/>
      <c r="K90" s="110"/>
      <c r="L90" s="110"/>
      <c r="M90" s="110"/>
      <c r="N90" s="110"/>
      <c r="O90" s="110"/>
      <c r="P90" s="110"/>
      <c r="Q90" s="110"/>
      <c r="R90" s="110"/>
      <c r="S90" s="110"/>
      <c r="T90" s="110"/>
      <c r="U90" s="110"/>
      <c r="V90" s="110"/>
      <c r="W90" s="110"/>
      <c r="X90" s="110"/>
      <c r="Y90" s="110"/>
      <c r="Z90" s="110"/>
      <c r="AA90" s="110"/>
      <c r="AB90" s="110"/>
      <c r="AC90" s="110"/>
      <c r="AD90" s="110"/>
      <c r="AE90" s="110"/>
      <c r="AF90" s="110"/>
      <c r="AG90" s="110"/>
      <c r="AH90" s="110"/>
    </row>
    <row r="91" spans="1:34" s="20" customFormat="1" ht="14" x14ac:dyDescent="0.2">
      <c r="B91" s="32"/>
      <c r="D91" s="122"/>
      <c r="E91" s="182"/>
    </row>
    <row r="92" spans="1:34" s="8" customFormat="1" ht="14" x14ac:dyDescent="0.2">
      <c r="B92" s="21" t="str">
        <f>"Depreciation of " &amp;'Assumptions - Freight'!E$30</f>
        <v>Depreciation of Machines, equipment and spare parts</v>
      </c>
      <c r="D92" s="10"/>
      <c r="E92" s="208" t="str">
        <f>IF(AND(E93=1,SUM(E98:AH98)&gt;0),"WARNING: MANUAL INPUT OF DEPRECIATION WITH MODEL CALCULATION",IF(AND(E93=2,SUM(E98:AH98)=0),"WARNING: DEPRECIATION MISSING WITH MANUAL ENTRY"," "))</f>
        <v xml:space="preserve"> </v>
      </c>
    </row>
    <row r="93" spans="1:34" s="8" customFormat="1" ht="14" x14ac:dyDescent="0.2">
      <c r="B93" s="14" t="s">
        <v>342</v>
      </c>
      <c r="D93" s="8" t="s">
        <v>209</v>
      </c>
      <c r="E93" s="177">
        <f>IF(F93="Model",1,2)</f>
        <v>1</v>
      </c>
      <c r="F93" s="87" t="s">
        <v>355</v>
      </c>
    </row>
    <row r="94" spans="1:34" s="8" customFormat="1" ht="14" x14ac:dyDescent="0.2">
      <c r="B94" s="14"/>
      <c r="E94" s="177"/>
    </row>
    <row r="95" spans="1:34" s="8" customFormat="1" ht="14" x14ac:dyDescent="0.2">
      <c r="A95" s="87"/>
      <c r="B95" s="89" t="str">
        <f>IF(E93=1,"If calculated, define the average remaining life of existing assets"," ")</f>
        <v>If calculated, define the average remaining life of existing assets</v>
      </c>
      <c r="C95" s="119"/>
      <c r="D95" s="209" t="str">
        <f>IF(E93=1,"Years"," ")</f>
        <v>Years</v>
      </c>
      <c r="E95" s="200">
        <v>16</v>
      </c>
      <c r="G95" s="87"/>
    </row>
    <row r="96" spans="1:34" s="8" customFormat="1" ht="14" x14ac:dyDescent="0.2">
      <c r="A96" s="87"/>
      <c r="B96" s="89"/>
      <c r="C96" s="119"/>
      <c r="D96" s="209"/>
      <c r="E96" s="200"/>
      <c r="G96" s="87"/>
    </row>
    <row r="97" spans="1:34" s="8" customFormat="1" ht="14" x14ac:dyDescent="0.2">
      <c r="B97" s="89" t="str">
        <f>IF(E93=1,"If calculated, define the average life of new assets"," ")</f>
        <v>If calculated, define the average life of new assets</v>
      </c>
      <c r="C97" s="119"/>
      <c r="D97" s="209" t="str">
        <f>IF(E93=1,"Years"," ")</f>
        <v>Years</v>
      </c>
      <c r="E97" s="200">
        <v>33</v>
      </c>
    </row>
    <row r="98" spans="1:34" s="8" customFormat="1" ht="14" x14ac:dyDescent="0.2">
      <c r="B98" s="14" t="str">
        <f>IF(E93=2,"If entered manually, define annual depreciation expense"," ")</f>
        <v xml:space="preserve"> </v>
      </c>
      <c r="D98" s="10" t="str">
        <f>IF(E93=2,'Assumptions - General'!$E$27 &amp;" millions"," ")</f>
        <v xml:space="preserve"> </v>
      </c>
      <c r="E98" s="182"/>
      <c r="F98" s="110"/>
      <c r="G98" s="110"/>
      <c r="H98" s="110"/>
      <c r="I98" s="110"/>
      <c r="J98" s="110"/>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row>
    <row r="99" spans="1:34" s="20" customFormat="1" ht="14" x14ac:dyDescent="0.2">
      <c r="B99" s="32"/>
      <c r="D99" s="122"/>
      <c r="E99" s="182"/>
    </row>
    <row r="100" spans="1:34" s="8" customFormat="1" ht="14" x14ac:dyDescent="0.2">
      <c r="B100" s="21" t="str">
        <f>"Depreciation of " &amp;'Assumptions - Freight'!E$31</f>
        <v>Depreciation of Others</v>
      </c>
      <c r="D100" s="10"/>
      <c r="E100" s="208" t="str">
        <f>IF(AND(E101=1,SUM(E106:AH106)&gt;0),"WARNING: MANUAL INPUT OF DEPRECIATION WITH MODEL CALCULATION",IF(AND(E101=2,SUM(E106:AH106)=0),"WARNING: DEPRECIATION MISSING WITH MANUAL ENTRY"," "))</f>
        <v xml:space="preserve"> </v>
      </c>
    </row>
    <row r="101" spans="1:34" s="8" customFormat="1" ht="14" x14ac:dyDescent="0.2">
      <c r="B101" s="14" t="s">
        <v>342</v>
      </c>
      <c r="D101" s="8" t="s">
        <v>209</v>
      </c>
      <c r="E101" s="177">
        <f>IF(F101="Model",1,2)</f>
        <v>1</v>
      </c>
      <c r="F101" s="87" t="s">
        <v>355</v>
      </c>
    </row>
    <row r="102" spans="1:34" s="8" customFormat="1" ht="14" x14ac:dyDescent="0.2">
      <c r="B102" s="14"/>
      <c r="E102" s="177"/>
    </row>
    <row r="103" spans="1:34" s="8" customFormat="1" ht="14" x14ac:dyDescent="0.2">
      <c r="A103" s="87"/>
      <c r="B103" s="89" t="str">
        <f>IF(E101=1,"If calculated, define the average remaining life of existing assets"," ")</f>
        <v>If calculated, define the average remaining life of existing assets</v>
      </c>
      <c r="C103" s="119"/>
      <c r="D103" s="209" t="str">
        <f>IF(E101=1,"Years"," ")</f>
        <v>Years</v>
      </c>
      <c r="E103" s="200">
        <v>31</v>
      </c>
      <c r="G103" s="87"/>
    </row>
    <row r="104" spans="1:34" s="8" customFormat="1" ht="14" x14ac:dyDescent="0.2">
      <c r="A104" s="87"/>
      <c r="B104" s="89"/>
      <c r="C104" s="119"/>
      <c r="D104" s="209"/>
      <c r="E104" s="200"/>
      <c r="G104" s="87"/>
    </row>
    <row r="105" spans="1:34" s="8" customFormat="1" ht="14" x14ac:dyDescent="0.2">
      <c r="B105" s="89" t="str">
        <f>IF(E101=1,"If calculated, define the average life of new assets"," ")</f>
        <v>If calculated, define the average life of new assets</v>
      </c>
      <c r="C105" s="119"/>
      <c r="D105" s="209" t="str">
        <f>IF(E101=1,"Years"," ")</f>
        <v>Years</v>
      </c>
      <c r="E105" s="200">
        <v>46</v>
      </c>
    </row>
    <row r="106" spans="1:34" s="8" customFormat="1" ht="14" x14ac:dyDescent="0.2">
      <c r="B106" s="14" t="str">
        <f>IF(E101=2,"If entered manually, define annual depreciation expense"," ")</f>
        <v xml:space="preserve"> </v>
      </c>
      <c r="D106" s="10" t="str">
        <f>IF(E101=2,'Assumptions - General'!$E$27 &amp;" millions"," ")</f>
        <v xml:space="preserve"> </v>
      </c>
      <c r="E106" s="20"/>
      <c r="F106" s="110"/>
      <c r="G106" s="110"/>
      <c r="H106" s="110"/>
      <c r="I106" s="110"/>
      <c r="J106" s="110"/>
      <c r="K106" s="110"/>
      <c r="L106" s="110"/>
      <c r="M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row>
    <row r="108" spans="1:34" s="316" customFormat="1" x14ac:dyDescent="0.2">
      <c r="B108" s="315" t="str">
        <f>"Other long-term assets for " &amp;'Assumptions - General'!$E$26</f>
        <v>Other long-term assets for Ruritania Railway Infrastructure Company</v>
      </c>
    </row>
    <row r="109" spans="1:34" s="8" customFormat="1" ht="14" x14ac:dyDescent="0.2">
      <c r="B109" s="7"/>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s="8" customFormat="1" ht="14" x14ac:dyDescent="0.2">
      <c r="B110" s="8" t="s">
        <v>328</v>
      </c>
      <c r="E110" s="168"/>
      <c r="F110" s="87"/>
    </row>
    <row r="111" spans="1:34" s="8" customFormat="1" ht="14" x14ac:dyDescent="0.2">
      <c r="B111" s="30" t="s">
        <v>329</v>
      </c>
      <c r="D111" s="10" t="str">
        <f>'Assumptions - General'!$E$27 &amp;" millions"</f>
        <v>R$ millions</v>
      </c>
      <c r="E111" s="176">
        <v>10</v>
      </c>
      <c r="F111" s="176">
        <v>10</v>
      </c>
      <c r="G111" s="176">
        <v>10</v>
      </c>
      <c r="H111" s="176">
        <v>10</v>
      </c>
      <c r="I111" s="176">
        <v>10</v>
      </c>
      <c r="J111" s="176">
        <v>10</v>
      </c>
      <c r="K111" s="176">
        <v>10</v>
      </c>
      <c r="L111" s="176">
        <v>10</v>
      </c>
      <c r="M111" s="176">
        <v>10</v>
      </c>
      <c r="N111" s="176">
        <v>10</v>
      </c>
      <c r="O111" s="176">
        <v>10</v>
      </c>
      <c r="P111" s="176">
        <v>10</v>
      </c>
      <c r="Q111" s="176">
        <v>10</v>
      </c>
      <c r="R111" s="176">
        <v>10</v>
      </c>
      <c r="S111" s="176">
        <v>10</v>
      </c>
      <c r="T111" s="176">
        <v>10</v>
      </c>
      <c r="U111" s="176">
        <v>10</v>
      </c>
      <c r="V111" s="176">
        <v>10</v>
      </c>
      <c r="W111" s="176">
        <v>10</v>
      </c>
      <c r="X111" s="176">
        <v>10</v>
      </c>
      <c r="Y111" s="176">
        <v>10</v>
      </c>
      <c r="Z111" s="176">
        <v>10</v>
      </c>
      <c r="AA111" s="176">
        <v>10</v>
      </c>
      <c r="AB111" s="176">
        <v>10</v>
      </c>
      <c r="AC111" s="176">
        <v>10</v>
      </c>
      <c r="AD111" s="176">
        <v>10</v>
      </c>
      <c r="AE111" s="176">
        <v>10</v>
      </c>
      <c r="AF111" s="176">
        <v>10</v>
      </c>
      <c r="AG111" s="176">
        <v>10</v>
      </c>
      <c r="AH111" s="176">
        <v>10</v>
      </c>
    </row>
    <row r="112" spans="1:34" s="8" customFormat="1" ht="14" collapsed="1" x14ac:dyDescent="0.2">
      <c r="D112" s="10"/>
      <c r="E112" s="121"/>
      <c r="F112" s="121"/>
      <c r="G112" s="121"/>
      <c r="H112" s="121"/>
      <c r="I112" s="121"/>
      <c r="J112" s="121"/>
      <c r="K112" s="121"/>
      <c r="L112" s="121"/>
      <c r="M112" s="121"/>
      <c r="N112" s="121"/>
      <c r="O112" s="121"/>
      <c r="P112" s="121"/>
      <c r="Q112" s="121"/>
      <c r="R112" s="121"/>
      <c r="S112" s="121"/>
      <c r="T112" s="121"/>
      <c r="U112" s="121"/>
      <c r="V112" s="121"/>
      <c r="W112" s="121"/>
      <c r="X112" s="121"/>
      <c r="Y112" s="121"/>
      <c r="Z112" s="121"/>
      <c r="AA112" s="121"/>
      <c r="AB112" s="121"/>
      <c r="AC112" s="121"/>
      <c r="AD112" s="121"/>
      <c r="AE112" s="121"/>
      <c r="AF112" s="121"/>
      <c r="AG112" s="121"/>
      <c r="AH112" s="121"/>
    </row>
    <row r="113" spans="2:34" s="316" customFormat="1" x14ac:dyDescent="0.2">
      <c r="B113" s="315" t="str">
        <f>"Additional traffic assumptions for "&amp;'Assumptions - General'!E26</f>
        <v>Additional traffic assumptions for Ruritania Railway Infrastructure Company</v>
      </c>
      <c r="D113" s="315"/>
      <c r="E113" s="315" t="str">
        <f>IF(OR(AND('Scenarios - Consolidated'!$F$3=1,OR('Scenarios - Consolidated'!$F$20=1,'Scenarios - Consolidated'!$G$20=1)),AND('Scenarios - Infra'!$F$3=1,OR('Scenarios - Infra'!$F$20=1,'Scenarios - Infra'!$G$20=1)),AND('Scenarios - Freight'!$F$3=1,OR('Scenarios - Freight'!$F$20=1,'Scenarios - Freight'!$G$20=1))),"NOTE: SCENARIO ANALYSIS TRAFFIC ASSUMPTIONS IN USE"," ")</f>
        <v xml:space="preserve"> </v>
      </c>
    </row>
    <row r="115" spans="2:34" x14ac:dyDescent="0.2">
      <c r="B115" s="21" t="s">
        <v>525</v>
      </c>
      <c r="F115" s="5" t="s">
        <v>409</v>
      </c>
    </row>
    <row r="116" spans="2:34" s="8" customFormat="1" ht="14" x14ac:dyDescent="0.2">
      <c r="B116" s="16" t="s">
        <v>230</v>
      </c>
      <c r="D116" s="8" t="s">
        <v>408</v>
      </c>
      <c r="E116" s="178">
        <f>IF(F115=F116,1,2)</f>
        <v>1</v>
      </c>
      <c r="F116" s="87" t="s">
        <v>409</v>
      </c>
      <c r="G116" s="87" t="s">
        <v>33</v>
      </c>
    </row>
    <row r="117" spans="2:34" s="8" customFormat="1" ht="14" x14ac:dyDescent="0.2">
      <c r="B117" s="16"/>
      <c r="E117" s="178"/>
      <c r="F117" s="87" t="s">
        <v>210</v>
      </c>
      <c r="G117" s="87"/>
    </row>
    <row r="118" spans="2:34" s="8" customFormat="1" ht="14" x14ac:dyDescent="0.2">
      <c r="B118" s="16" t="s">
        <v>231</v>
      </c>
      <c r="D118" s="8" t="s">
        <v>17</v>
      </c>
      <c r="E118" s="177">
        <v>100</v>
      </c>
      <c r="G118" s="87" t="s">
        <v>211</v>
      </c>
    </row>
    <row r="119" spans="2:34" s="8" customFormat="1" ht="14" x14ac:dyDescent="0.2">
      <c r="B119" s="16" t="s">
        <v>287</v>
      </c>
      <c r="D119" s="8" t="s">
        <v>210</v>
      </c>
      <c r="E119" s="177">
        <v>100</v>
      </c>
      <c r="F119" s="87"/>
      <c r="G119" s="87"/>
    </row>
    <row r="120" spans="2:34" s="8" customFormat="1" ht="14" x14ac:dyDescent="0.2">
      <c r="B120" s="14"/>
      <c r="E120" s="16"/>
    </row>
    <row r="121" spans="2:34" s="8" customFormat="1" ht="14" x14ac:dyDescent="0.2">
      <c r="B121" s="8" t="s">
        <v>485</v>
      </c>
      <c r="D121" s="8" t="s">
        <v>2</v>
      </c>
      <c r="E121" s="177" t="s">
        <v>494</v>
      </c>
    </row>
    <row r="122" spans="2:34" s="8" customFormat="1" ht="14" x14ac:dyDescent="0.2">
      <c r="B122" s="8" t="s">
        <v>486</v>
      </c>
      <c r="D122" s="8" t="s">
        <v>2</v>
      </c>
      <c r="E122" s="177" t="s">
        <v>495</v>
      </c>
      <c r="F122" s="192"/>
      <c r="G122" s="192"/>
      <c r="H122" s="192"/>
      <c r="I122" s="192"/>
      <c r="J122" s="192"/>
      <c r="K122" s="192"/>
      <c r="L122" s="192"/>
      <c r="M122" s="192"/>
      <c r="N122" s="192"/>
      <c r="O122" s="192"/>
      <c r="P122" s="192"/>
      <c r="Q122" s="192"/>
      <c r="R122" s="192"/>
      <c r="S122" s="192"/>
      <c r="T122" s="192"/>
      <c r="U122" s="192"/>
      <c r="V122" s="192"/>
      <c r="W122" s="192"/>
      <c r="X122" s="192"/>
      <c r="Y122" s="192"/>
      <c r="Z122" s="192"/>
      <c r="AA122" s="192"/>
      <c r="AB122" s="192"/>
      <c r="AC122" s="192"/>
      <c r="AD122" s="192"/>
      <c r="AE122" s="192"/>
      <c r="AF122" s="192"/>
      <c r="AG122" s="192"/>
      <c r="AH122" s="192"/>
    </row>
    <row r="123" spans="2:34" s="8" customFormat="1" ht="14" x14ac:dyDescent="0.2">
      <c r="B123" s="8" t="s">
        <v>487</v>
      </c>
      <c r="D123" s="8" t="s">
        <v>2</v>
      </c>
      <c r="E123" s="177" t="s">
        <v>496</v>
      </c>
      <c r="F123" s="192"/>
      <c r="G123" s="192"/>
      <c r="H123" s="192"/>
      <c r="I123" s="192"/>
      <c r="J123" s="192"/>
      <c r="K123" s="192"/>
      <c r="L123" s="192"/>
      <c r="M123" s="192"/>
      <c r="N123" s="192"/>
      <c r="O123" s="192"/>
      <c r="P123" s="192"/>
      <c r="Q123" s="192"/>
      <c r="R123" s="192"/>
      <c r="S123" s="192"/>
      <c r="T123" s="192"/>
      <c r="U123" s="192"/>
      <c r="V123" s="192"/>
      <c r="W123" s="192"/>
      <c r="X123" s="192"/>
      <c r="Y123" s="192"/>
      <c r="Z123" s="192"/>
      <c r="AA123" s="192"/>
      <c r="AB123" s="192"/>
      <c r="AC123" s="192"/>
      <c r="AD123" s="192"/>
      <c r="AE123" s="192"/>
      <c r="AF123" s="192"/>
      <c r="AG123" s="192"/>
      <c r="AH123" s="192"/>
    </row>
    <row r="124" spans="2:34" s="8" customFormat="1" ht="14" x14ac:dyDescent="0.2">
      <c r="B124" s="8" t="s">
        <v>488</v>
      </c>
      <c r="D124" s="8" t="s">
        <v>2</v>
      </c>
      <c r="E124" s="177" t="s">
        <v>497</v>
      </c>
      <c r="F124" s="192"/>
      <c r="G124" s="192"/>
      <c r="H124" s="192"/>
      <c r="I124" s="192"/>
      <c r="J124" s="192"/>
      <c r="K124" s="192"/>
      <c r="L124" s="192"/>
      <c r="M124" s="192"/>
      <c r="N124" s="192"/>
      <c r="O124" s="192"/>
      <c r="P124" s="192"/>
      <c r="Q124" s="192"/>
      <c r="R124" s="192"/>
      <c r="S124" s="192"/>
      <c r="T124" s="192"/>
      <c r="U124" s="192"/>
      <c r="V124" s="192"/>
      <c r="W124" s="192"/>
      <c r="X124" s="192"/>
      <c r="Y124" s="192"/>
      <c r="Z124" s="192"/>
      <c r="AA124" s="192"/>
      <c r="AB124" s="192"/>
      <c r="AC124" s="192"/>
      <c r="AD124" s="192"/>
      <c r="AE124" s="192"/>
      <c r="AF124" s="192"/>
      <c r="AG124" s="192"/>
      <c r="AH124" s="192"/>
    </row>
    <row r="125" spans="2:34" s="8" customFormat="1" ht="14" x14ac:dyDescent="0.2">
      <c r="B125" s="8" t="s">
        <v>489</v>
      </c>
      <c r="D125" s="8" t="s">
        <v>2</v>
      </c>
      <c r="E125" s="177" t="s">
        <v>498</v>
      </c>
      <c r="F125" s="192"/>
      <c r="G125" s="192"/>
      <c r="H125" s="192"/>
      <c r="I125" s="192"/>
      <c r="J125" s="192"/>
      <c r="K125" s="192"/>
      <c r="L125" s="192"/>
      <c r="M125" s="192"/>
      <c r="N125" s="192"/>
      <c r="O125" s="192"/>
      <c r="P125" s="192"/>
      <c r="Q125" s="192"/>
      <c r="R125" s="192"/>
      <c r="S125" s="192"/>
      <c r="T125" s="192"/>
      <c r="U125" s="192"/>
      <c r="V125" s="192"/>
      <c r="W125" s="192"/>
      <c r="X125" s="192"/>
      <c r="Y125" s="192"/>
      <c r="Z125" s="192"/>
      <c r="AA125" s="192"/>
      <c r="AB125" s="192"/>
      <c r="AC125" s="192"/>
      <c r="AD125" s="192"/>
      <c r="AE125" s="192"/>
      <c r="AF125" s="192"/>
      <c r="AG125" s="192"/>
      <c r="AH125" s="192"/>
    </row>
    <row r="126" spans="2:34" s="8" customFormat="1" ht="14" x14ac:dyDescent="0.2">
      <c r="B126" s="8" t="s">
        <v>490</v>
      </c>
      <c r="D126" s="8" t="s">
        <v>2</v>
      </c>
      <c r="E126" s="177" t="s">
        <v>523</v>
      </c>
      <c r="F126" s="192"/>
      <c r="G126" s="192"/>
      <c r="H126" s="192"/>
      <c r="I126" s="192"/>
      <c r="J126" s="192"/>
      <c r="K126" s="192"/>
      <c r="L126" s="192"/>
      <c r="M126" s="192"/>
      <c r="N126" s="192"/>
      <c r="O126" s="192"/>
      <c r="P126" s="192"/>
      <c r="Q126" s="192"/>
      <c r="R126" s="192"/>
      <c r="S126" s="192"/>
      <c r="T126" s="192"/>
      <c r="U126" s="192"/>
      <c r="V126" s="192"/>
      <c r="W126" s="192"/>
      <c r="X126" s="192"/>
      <c r="Y126" s="192"/>
      <c r="Z126" s="192"/>
      <c r="AA126" s="192"/>
      <c r="AB126" s="192"/>
      <c r="AC126" s="192"/>
      <c r="AD126" s="192"/>
      <c r="AE126" s="192"/>
      <c r="AF126" s="192"/>
      <c r="AG126" s="192"/>
      <c r="AH126" s="192"/>
    </row>
    <row r="127" spans="2:34" s="8" customFormat="1" ht="14" x14ac:dyDescent="0.2">
      <c r="B127" s="7"/>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2:34" s="8" customFormat="1" ht="14" x14ac:dyDescent="0.2">
      <c r="B128" s="8" t="s">
        <v>242</v>
      </c>
      <c r="D128" s="8" t="s">
        <v>118</v>
      </c>
      <c r="E128" s="233">
        <f>IF(E15&lt;&gt;0,IF($E$116=1,$E$15/SUM(E131:E136),$E$15/(SUM(E131:E136)*E118)),0)</f>
        <v>2.0833333333333335</v>
      </c>
      <c r="F128" s="233">
        <f t="shared" ref="F128:AH128" si="12">E128*(1+F129)</f>
        <v>2.0833333333333335</v>
      </c>
      <c r="G128" s="233">
        <f t="shared" si="12"/>
        <v>2.0833333333333335</v>
      </c>
      <c r="H128" s="233">
        <f t="shared" si="12"/>
        <v>2.0833333333333335</v>
      </c>
      <c r="I128" s="233">
        <f t="shared" si="12"/>
        <v>2.0833333333333335</v>
      </c>
      <c r="J128" s="233">
        <f t="shared" si="12"/>
        <v>2.0833333333333335</v>
      </c>
      <c r="K128" s="233">
        <f t="shared" si="12"/>
        <v>2.0833333333333335</v>
      </c>
      <c r="L128" s="233">
        <f t="shared" si="12"/>
        <v>2.0833333333333335</v>
      </c>
      <c r="M128" s="233">
        <f t="shared" si="12"/>
        <v>2.0833333333333335</v>
      </c>
      <c r="N128" s="233">
        <f t="shared" si="12"/>
        <v>2.0833333333333335</v>
      </c>
      <c r="O128" s="233">
        <f t="shared" si="12"/>
        <v>2.0833333333333335</v>
      </c>
      <c r="P128" s="233">
        <f t="shared" si="12"/>
        <v>2.0833333333333335</v>
      </c>
      <c r="Q128" s="233">
        <f t="shared" si="12"/>
        <v>2.0833333333333335</v>
      </c>
      <c r="R128" s="233">
        <f t="shared" si="12"/>
        <v>2.0833333333333335</v>
      </c>
      <c r="S128" s="233">
        <f t="shared" si="12"/>
        <v>2.0833333333333335</v>
      </c>
      <c r="T128" s="233">
        <f t="shared" si="12"/>
        <v>2.0833333333333335</v>
      </c>
      <c r="U128" s="233">
        <f t="shared" si="12"/>
        <v>2.0833333333333335</v>
      </c>
      <c r="V128" s="233">
        <f t="shared" si="12"/>
        <v>2.0833333333333335</v>
      </c>
      <c r="W128" s="233">
        <f t="shared" si="12"/>
        <v>2.0833333333333335</v>
      </c>
      <c r="X128" s="233">
        <f t="shared" si="12"/>
        <v>2.0833333333333335</v>
      </c>
      <c r="Y128" s="233">
        <f t="shared" si="12"/>
        <v>2.0833333333333335</v>
      </c>
      <c r="Z128" s="233">
        <f t="shared" si="12"/>
        <v>2.0833333333333335</v>
      </c>
      <c r="AA128" s="233">
        <f t="shared" si="12"/>
        <v>2.0833333333333335</v>
      </c>
      <c r="AB128" s="233">
        <f t="shared" si="12"/>
        <v>2.0833333333333335</v>
      </c>
      <c r="AC128" s="233">
        <f t="shared" si="12"/>
        <v>2.0833333333333335</v>
      </c>
      <c r="AD128" s="233">
        <f t="shared" si="12"/>
        <v>2.0833333333333335</v>
      </c>
      <c r="AE128" s="233">
        <f t="shared" si="12"/>
        <v>2.0833333333333335</v>
      </c>
      <c r="AF128" s="233">
        <f t="shared" si="12"/>
        <v>2.0833333333333335</v>
      </c>
      <c r="AG128" s="233">
        <f t="shared" si="12"/>
        <v>2.0833333333333335</v>
      </c>
      <c r="AH128" s="233">
        <f t="shared" si="12"/>
        <v>2.0833333333333335</v>
      </c>
    </row>
    <row r="129" spans="2:34" s="8" customFormat="1" ht="14" x14ac:dyDescent="0.2">
      <c r="B129" s="8" t="s">
        <v>243</v>
      </c>
      <c r="D129" s="8" t="s">
        <v>15</v>
      </c>
      <c r="E129" s="9"/>
      <c r="F129" s="189">
        <v>0</v>
      </c>
      <c r="G129" s="189">
        <v>0</v>
      </c>
      <c r="H129" s="189">
        <v>0</v>
      </c>
      <c r="I129" s="189">
        <v>0</v>
      </c>
      <c r="J129" s="189">
        <v>0</v>
      </c>
      <c r="K129" s="189">
        <v>0</v>
      </c>
      <c r="L129" s="189">
        <v>0</v>
      </c>
      <c r="M129" s="189">
        <v>0</v>
      </c>
      <c r="N129" s="189">
        <v>0</v>
      </c>
      <c r="O129" s="189">
        <v>0</v>
      </c>
      <c r="P129" s="189">
        <v>0</v>
      </c>
      <c r="Q129" s="189">
        <v>0</v>
      </c>
      <c r="R129" s="189">
        <v>0</v>
      </c>
      <c r="S129" s="189">
        <v>0</v>
      </c>
      <c r="T129" s="189">
        <v>0</v>
      </c>
      <c r="U129" s="189">
        <v>0</v>
      </c>
      <c r="V129" s="189">
        <v>0</v>
      </c>
      <c r="W129" s="189">
        <v>0</v>
      </c>
      <c r="X129" s="189">
        <v>0</v>
      </c>
      <c r="Y129" s="189">
        <v>0</v>
      </c>
      <c r="Z129" s="189">
        <v>0</v>
      </c>
      <c r="AA129" s="189">
        <v>0</v>
      </c>
      <c r="AB129" s="189">
        <v>0</v>
      </c>
      <c r="AC129" s="189">
        <v>0</v>
      </c>
      <c r="AD129" s="189">
        <v>0</v>
      </c>
      <c r="AE129" s="189">
        <v>0</v>
      </c>
      <c r="AF129" s="189">
        <v>0</v>
      </c>
      <c r="AG129" s="189">
        <v>0</v>
      </c>
      <c r="AH129" s="189">
        <v>0</v>
      </c>
    </row>
    <row r="130" spans="2:34" s="8" customFormat="1" ht="14" x14ac:dyDescent="0.2">
      <c r="E130" s="9"/>
      <c r="F130" s="212"/>
      <c r="G130" s="212"/>
      <c r="H130" s="212"/>
      <c r="I130" s="212"/>
      <c r="J130" s="212"/>
      <c r="K130" s="212"/>
      <c r="L130" s="212"/>
      <c r="M130" s="212"/>
      <c r="N130" s="212"/>
      <c r="O130" s="212"/>
      <c r="P130" s="212"/>
      <c r="Q130" s="212"/>
      <c r="R130" s="212"/>
      <c r="S130" s="212"/>
      <c r="T130" s="212"/>
      <c r="U130" s="212"/>
      <c r="V130" s="212"/>
      <c r="W130" s="212"/>
      <c r="X130" s="212"/>
      <c r="Y130" s="212"/>
      <c r="Z130" s="212"/>
      <c r="AA130" s="212"/>
      <c r="AB130" s="212"/>
      <c r="AC130" s="212"/>
      <c r="AD130" s="212"/>
      <c r="AE130" s="212"/>
      <c r="AF130" s="212"/>
      <c r="AG130" s="212"/>
      <c r="AH130" s="212"/>
    </row>
    <row r="131" spans="2:34" s="8" customFormat="1" ht="14" x14ac:dyDescent="0.2">
      <c r="B131" s="89" t="str">
        <f t="shared" ref="B131:B136" si="13">E121&amp;" annual traffic volume"</f>
        <v>Freight company 1 annual traffic volume</v>
      </c>
      <c r="D131" s="8" t="str">
        <f>IF($E$116=1,"Net ton-km (million)", "Tons (million)")</f>
        <v>Net ton-km (million)</v>
      </c>
      <c r="E131" s="187">
        <v>4000</v>
      </c>
      <c r="F131" s="191">
        <v>4000</v>
      </c>
      <c r="G131" s="191">
        <v>4000</v>
      </c>
      <c r="H131" s="191">
        <v>4000</v>
      </c>
      <c r="I131" s="191">
        <v>4000</v>
      </c>
      <c r="J131" s="191">
        <v>4000</v>
      </c>
      <c r="K131" s="191">
        <v>4500</v>
      </c>
      <c r="L131" s="191">
        <v>4500</v>
      </c>
      <c r="M131" s="191">
        <v>4500</v>
      </c>
      <c r="N131" s="191">
        <v>4500</v>
      </c>
      <c r="O131" s="191">
        <v>4500</v>
      </c>
      <c r="P131" s="191">
        <v>4500</v>
      </c>
      <c r="Q131" s="191">
        <v>4500</v>
      </c>
      <c r="R131" s="191">
        <v>4500</v>
      </c>
      <c r="S131" s="191">
        <v>4500</v>
      </c>
      <c r="T131" s="191">
        <v>4500</v>
      </c>
      <c r="U131" s="191">
        <v>4500</v>
      </c>
      <c r="V131" s="191">
        <v>4500</v>
      </c>
      <c r="W131" s="191">
        <v>4500</v>
      </c>
      <c r="X131" s="191">
        <v>4500</v>
      </c>
      <c r="Y131" s="191">
        <v>4500</v>
      </c>
      <c r="Z131" s="191">
        <v>4500</v>
      </c>
      <c r="AA131" s="191">
        <v>4500</v>
      </c>
      <c r="AB131" s="191">
        <v>4500</v>
      </c>
      <c r="AC131" s="191">
        <v>4500</v>
      </c>
      <c r="AD131" s="191">
        <v>4500</v>
      </c>
      <c r="AE131" s="191">
        <v>4500</v>
      </c>
      <c r="AF131" s="191">
        <v>4500</v>
      </c>
      <c r="AG131" s="191">
        <v>4500</v>
      </c>
      <c r="AH131" s="191">
        <v>4500</v>
      </c>
    </row>
    <row r="132" spans="2:34" s="8" customFormat="1" ht="14" x14ac:dyDescent="0.2">
      <c r="B132" s="89" t="str">
        <f t="shared" si="13"/>
        <v>Freight company 2 annual traffic volume</v>
      </c>
      <c r="D132" s="8" t="str">
        <f>D131</f>
        <v>Net ton-km (million)</v>
      </c>
      <c r="E132" s="187">
        <v>4000</v>
      </c>
      <c r="F132" s="191">
        <v>4000</v>
      </c>
      <c r="G132" s="191">
        <v>4000</v>
      </c>
      <c r="H132" s="191">
        <v>4000</v>
      </c>
      <c r="I132" s="191">
        <v>4000</v>
      </c>
      <c r="J132" s="191">
        <v>4000</v>
      </c>
      <c r="K132" s="191">
        <v>4500</v>
      </c>
      <c r="L132" s="191">
        <v>4500</v>
      </c>
      <c r="M132" s="191">
        <v>4500</v>
      </c>
      <c r="N132" s="191">
        <v>4500</v>
      </c>
      <c r="O132" s="191">
        <v>4500</v>
      </c>
      <c r="P132" s="191">
        <v>4500</v>
      </c>
      <c r="Q132" s="191">
        <v>4500</v>
      </c>
      <c r="R132" s="191">
        <v>4500</v>
      </c>
      <c r="S132" s="191">
        <v>4500</v>
      </c>
      <c r="T132" s="191">
        <v>4500</v>
      </c>
      <c r="U132" s="191">
        <v>4500</v>
      </c>
      <c r="V132" s="191">
        <v>4500</v>
      </c>
      <c r="W132" s="191">
        <v>4500</v>
      </c>
      <c r="X132" s="191">
        <v>4500</v>
      </c>
      <c r="Y132" s="191">
        <v>4500</v>
      </c>
      <c r="Z132" s="191">
        <v>4500</v>
      </c>
      <c r="AA132" s="191">
        <v>4500</v>
      </c>
      <c r="AB132" s="191">
        <v>4500</v>
      </c>
      <c r="AC132" s="191">
        <v>4500</v>
      </c>
      <c r="AD132" s="191">
        <v>4500</v>
      </c>
      <c r="AE132" s="191">
        <v>4500</v>
      </c>
      <c r="AF132" s="191">
        <v>4500</v>
      </c>
      <c r="AG132" s="191">
        <v>4500</v>
      </c>
      <c r="AH132" s="191">
        <v>4500</v>
      </c>
    </row>
    <row r="133" spans="2:34" s="8" customFormat="1" ht="14" x14ac:dyDescent="0.2">
      <c r="B133" s="89" t="str">
        <f t="shared" si="13"/>
        <v>Freight company 3 annual traffic volume</v>
      </c>
      <c r="D133" s="8" t="str">
        <f>D132</f>
        <v>Net ton-km (million)</v>
      </c>
      <c r="E133" s="187">
        <v>4000</v>
      </c>
      <c r="F133" s="191">
        <v>4000</v>
      </c>
      <c r="G133" s="191">
        <v>4000</v>
      </c>
      <c r="H133" s="191">
        <v>4000</v>
      </c>
      <c r="I133" s="191">
        <v>4000</v>
      </c>
      <c r="J133" s="191">
        <v>4000</v>
      </c>
      <c r="K133" s="191">
        <v>4500</v>
      </c>
      <c r="L133" s="191">
        <v>4500</v>
      </c>
      <c r="M133" s="191">
        <v>4500</v>
      </c>
      <c r="N133" s="191">
        <v>4500</v>
      </c>
      <c r="O133" s="191">
        <v>4500</v>
      </c>
      <c r="P133" s="191">
        <v>4500</v>
      </c>
      <c r="Q133" s="191">
        <v>4500</v>
      </c>
      <c r="R133" s="191">
        <v>4500</v>
      </c>
      <c r="S133" s="191">
        <v>4500</v>
      </c>
      <c r="T133" s="191">
        <v>4500</v>
      </c>
      <c r="U133" s="191">
        <v>4500</v>
      </c>
      <c r="V133" s="191">
        <v>4500</v>
      </c>
      <c r="W133" s="191">
        <v>4500</v>
      </c>
      <c r="X133" s="191">
        <v>4500</v>
      </c>
      <c r="Y133" s="191">
        <v>4500</v>
      </c>
      <c r="Z133" s="191">
        <v>4500</v>
      </c>
      <c r="AA133" s="191">
        <v>4500</v>
      </c>
      <c r="AB133" s="191">
        <v>4500</v>
      </c>
      <c r="AC133" s="191">
        <v>4500</v>
      </c>
      <c r="AD133" s="191">
        <v>4500</v>
      </c>
      <c r="AE133" s="191">
        <v>4500</v>
      </c>
      <c r="AF133" s="191">
        <v>4500</v>
      </c>
      <c r="AG133" s="191">
        <v>4500</v>
      </c>
      <c r="AH133" s="191">
        <v>4500</v>
      </c>
    </row>
    <row r="134" spans="2:34" s="8" customFormat="1" ht="14" x14ac:dyDescent="0.2">
      <c r="B134" s="89" t="str">
        <f t="shared" si="13"/>
        <v>Freight company 4 annual traffic volume</v>
      </c>
      <c r="D134" s="8" t="str">
        <f>D133</f>
        <v>Net ton-km (million)</v>
      </c>
      <c r="E134" s="187">
        <v>4000</v>
      </c>
      <c r="F134" s="191">
        <v>4000</v>
      </c>
      <c r="G134" s="191">
        <v>4000</v>
      </c>
      <c r="H134" s="191">
        <v>4000</v>
      </c>
      <c r="I134" s="191">
        <v>4000</v>
      </c>
      <c r="J134" s="191">
        <v>4000</v>
      </c>
      <c r="K134" s="191">
        <v>4500</v>
      </c>
      <c r="L134" s="191">
        <v>4500</v>
      </c>
      <c r="M134" s="191">
        <v>4500</v>
      </c>
      <c r="N134" s="191">
        <v>4500</v>
      </c>
      <c r="O134" s="191">
        <v>4500</v>
      </c>
      <c r="P134" s="191">
        <v>4500</v>
      </c>
      <c r="Q134" s="191">
        <v>4500</v>
      </c>
      <c r="R134" s="191">
        <v>4500</v>
      </c>
      <c r="S134" s="191">
        <v>4500</v>
      </c>
      <c r="T134" s="191">
        <v>4500</v>
      </c>
      <c r="U134" s="191">
        <v>4500</v>
      </c>
      <c r="V134" s="191">
        <v>4500</v>
      </c>
      <c r="W134" s="191">
        <v>4500</v>
      </c>
      <c r="X134" s="191">
        <v>4500</v>
      </c>
      <c r="Y134" s="191">
        <v>4500</v>
      </c>
      <c r="Z134" s="191">
        <v>4500</v>
      </c>
      <c r="AA134" s="191">
        <v>4500</v>
      </c>
      <c r="AB134" s="191">
        <v>4500</v>
      </c>
      <c r="AC134" s="191">
        <v>4500</v>
      </c>
      <c r="AD134" s="191">
        <v>4500</v>
      </c>
      <c r="AE134" s="191">
        <v>4500</v>
      </c>
      <c r="AF134" s="191">
        <v>4500</v>
      </c>
      <c r="AG134" s="191">
        <v>4500</v>
      </c>
      <c r="AH134" s="191">
        <v>4500</v>
      </c>
    </row>
    <row r="135" spans="2:34" s="8" customFormat="1" ht="14" x14ac:dyDescent="0.2">
      <c r="B135" s="89" t="str">
        <f t="shared" si="13"/>
        <v>Freight company 5 annual traffic volume</v>
      </c>
      <c r="D135" s="8" t="str">
        <f>D134</f>
        <v>Net ton-km (million)</v>
      </c>
      <c r="E135" s="187">
        <v>4000</v>
      </c>
      <c r="F135" s="191">
        <v>4000</v>
      </c>
      <c r="G135" s="191">
        <v>4000</v>
      </c>
      <c r="H135" s="191">
        <v>4000</v>
      </c>
      <c r="I135" s="191">
        <v>4000</v>
      </c>
      <c r="J135" s="191">
        <v>4000</v>
      </c>
      <c r="K135" s="191">
        <v>4500</v>
      </c>
      <c r="L135" s="191">
        <v>4500</v>
      </c>
      <c r="M135" s="191">
        <v>4500</v>
      </c>
      <c r="N135" s="191">
        <v>4500</v>
      </c>
      <c r="O135" s="191">
        <v>4500</v>
      </c>
      <c r="P135" s="191">
        <v>4500</v>
      </c>
      <c r="Q135" s="191">
        <v>4500</v>
      </c>
      <c r="R135" s="191">
        <v>4500</v>
      </c>
      <c r="S135" s="191">
        <v>4500</v>
      </c>
      <c r="T135" s="191">
        <v>4500</v>
      </c>
      <c r="U135" s="191">
        <v>4500</v>
      </c>
      <c r="V135" s="191">
        <v>4500</v>
      </c>
      <c r="W135" s="191">
        <v>4500</v>
      </c>
      <c r="X135" s="191">
        <v>4500</v>
      </c>
      <c r="Y135" s="191">
        <v>4500</v>
      </c>
      <c r="Z135" s="191">
        <v>4500</v>
      </c>
      <c r="AA135" s="191">
        <v>4500</v>
      </c>
      <c r="AB135" s="191">
        <v>4500</v>
      </c>
      <c r="AC135" s="191">
        <v>4500</v>
      </c>
      <c r="AD135" s="191">
        <v>4500</v>
      </c>
      <c r="AE135" s="191">
        <v>4500</v>
      </c>
      <c r="AF135" s="191">
        <v>4500</v>
      </c>
      <c r="AG135" s="191">
        <v>4500</v>
      </c>
      <c r="AH135" s="191">
        <v>4500</v>
      </c>
    </row>
    <row r="136" spans="2:34" s="8" customFormat="1" ht="14" x14ac:dyDescent="0.2">
      <c r="B136" s="89" t="str">
        <f t="shared" si="13"/>
        <v>Other companies annual traffic volume</v>
      </c>
      <c r="D136" s="8" t="str">
        <f>D135</f>
        <v>Net ton-km (million)</v>
      </c>
      <c r="E136" s="187">
        <v>4000</v>
      </c>
      <c r="F136" s="191">
        <v>4000</v>
      </c>
      <c r="G136" s="191">
        <v>4000</v>
      </c>
      <c r="H136" s="191">
        <v>4000</v>
      </c>
      <c r="I136" s="191">
        <v>4000</v>
      </c>
      <c r="J136" s="191">
        <v>4000</v>
      </c>
      <c r="K136" s="191">
        <v>4500</v>
      </c>
      <c r="L136" s="191">
        <v>4500</v>
      </c>
      <c r="M136" s="191">
        <v>4500</v>
      </c>
      <c r="N136" s="191">
        <v>4500</v>
      </c>
      <c r="O136" s="191">
        <v>4500</v>
      </c>
      <c r="P136" s="191">
        <v>4500</v>
      </c>
      <c r="Q136" s="191">
        <v>4500</v>
      </c>
      <c r="R136" s="191">
        <v>4500</v>
      </c>
      <c r="S136" s="191">
        <v>4500</v>
      </c>
      <c r="T136" s="191">
        <v>4500</v>
      </c>
      <c r="U136" s="191">
        <v>4500</v>
      </c>
      <c r="V136" s="191">
        <v>4500</v>
      </c>
      <c r="W136" s="191">
        <v>4500</v>
      </c>
      <c r="X136" s="191">
        <v>4500</v>
      </c>
      <c r="Y136" s="191">
        <v>4500</v>
      </c>
      <c r="Z136" s="191">
        <v>4500</v>
      </c>
      <c r="AA136" s="191">
        <v>4500</v>
      </c>
      <c r="AB136" s="191">
        <v>4500</v>
      </c>
      <c r="AC136" s="191">
        <v>4500</v>
      </c>
      <c r="AD136" s="191">
        <v>4500</v>
      </c>
      <c r="AE136" s="191">
        <v>4500</v>
      </c>
      <c r="AF136" s="191">
        <v>4500</v>
      </c>
      <c r="AG136" s="191">
        <v>4500</v>
      </c>
      <c r="AH136" s="191">
        <v>4500</v>
      </c>
    </row>
    <row r="137" spans="2:34" s="8" customFormat="1" ht="14" x14ac:dyDescent="0.2">
      <c r="B137" s="89"/>
      <c r="D137" s="15"/>
      <c r="E137" s="114"/>
      <c r="F137" s="87"/>
    </row>
    <row r="138" spans="2:34" s="8" customFormat="1" ht="14" x14ac:dyDescent="0.2">
      <c r="B138" s="311" t="s">
        <v>526</v>
      </c>
      <c r="D138" s="15"/>
      <c r="E138" s="114"/>
      <c r="F138" s="87" t="s">
        <v>236</v>
      </c>
    </row>
    <row r="139" spans="2:34" s="8" customFormat="1" ht="30" x14ac:dyDescent="0.2">
      <c r="B139" s="118" t="s">
        <v>238</v>
      </c>
      <c r="D139" s="117" t="s">
        <v>246</v>
      </c>
      <c r="E139" s="186">
        <f>IF(F138=F139,1,2)</f>
        <v>1</v>
      </c>
      <c r="F139" s="87" t="s">
        <v>236</v>
      </c>
      <c r="G139" s="87" t="s">
        <v>33</v>
      </c>
    </row>
    <row r="140" spans="2:34" s="8" customFormat="1" ht="14" x14ac:dyDescent="0.2">
      <c r="B140" s="16" t="s">
        <v>244</v>
      </c>
      <c r="D140" s="8" t="s">
        <v>17</v>
      </c>
      <c r="E140" s="177">
        <v>100</v>
      </c>
      <c r="F140" s="87" t="s">
        <v>237</v>
      </c>
      <c r="G140" s="87" t="s">
        <v>211</v>
      </c>
    </row>
    <row r="141" spans="2:34" s="8" customFormat="1" ht="14" x14ac:dyDescent="0.2">
      <c r="B141" s="14"/>
      <c r="E141" s="16"/>
    </row>
    <row r="142" spans="2:34" s="8" customFormat="1" ht="14" x14ac:dyDescent="0.2">
      <c r="B142" s="8" t="s">
        <v>491</v>
      </c>
      <c r="D142" s="8" t="s">
        <v>2</v>
      </c>
      <c r="E142" s="177" t="s">
        <v>499</v>
      </c>
      <c r="F142" s="220"/>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row>
    <row r="143" spans="2:34" s="8" customFormat="1" ht="14" x14ac:dyDescent="0.2">
      <c r="B143" s="8" t="s">
        <v>492</v>
      </c>
      <c r="D143" s="8" t="s">
        <v>2</v>
      </c>
      <c r="E143" s="177" t="s">
        <v>500</v>
      </c>
      <c r="F143" s="225"/>
      <c r="G143" s="192"/>
      <c r="H143" s="192"/>
      <c r="I143" s="192"/>
      <c r="J143" s="192"/>
      <c r="K143" s="192"/>
      <c r="L143" s="192"/>
      <c r="M143" s="192"/>
      <c r="N143" s="192"/>
      <c r="O143" s="192"/>
      <c r="P143" s="192"/>
      <c r="Q143" s="192"/>
      <c r="R143" s="192"/>
      <c r="S143" s="192"/>
      <c r="T143" s="192"/>
      <c r="U143" s="192"/>
      <c r="V143" s="192"/>
      <c r="W143" s="192"/>
      <c r="X143" s="192"/>
      <c r="Y143" s="192"/>
      <c r="Z143" s="192"/>
      <c r="AA143" s="192"/>
      <c r="AB143" s="192"/>
      <c r="AC143" s="192"/>
      <c r="AD143" s="192"/>
      <c r="AE143" s="192"/>
      <c r="AF143" s="192"/>
      <c r="AG143" s="192"/>
      <c r="AH143" s="192"/>
    </row>
    <row r="144" spans="2:34" s="8" customFormat="1" ht="14" x14ac:dyDescent="0.2">
      <c r="B144" s="8" t="s">
        <v>493</v>
      </c>
      <c r="D144" s="8" t="s">
        <v>2</v>
      </c>
      <c r="E144" s="177" t="s">
        <v>523</v>
      </c>
      <c r="F144" s="225"/>
      <c r="G144" s="192"/>
      <c r="H144" s="192"/>
      <c r="I144" s="192"/>
      <c r="J144" s="192"/>
      <c r="K144" s="192"/>
      <c r="L144" s="192"/>
      <c r="M144" s="192"/>
      <c r="N144" s="192"/>
      <c r="O144" s="192"/>
      <c r="P144" s="192"/>
      <c r="Q144" s="192"/>
      <c r="R144" s="192"/>
      <c r="S144" s="192"/>
      <c r="T144" s="192"/>
      <c r="U144" s="192"/>
      <c r="V144" s="192"/>
      <c r="W144" s="192"/>
      <c r="X144" s="192"/>
      <c r="Y144" s="192"/>
      <c r="Z144" s="192"/>
      <c r="AA144" s="192"/>
      <c r="AB144" s="192"/>
      <c r="AC144" s="192"/>
      <c r="AD144" s="192"/>
      <c r="AE144" s="192"/>
      <c r="AF144" s="192"/>
      <c r="AG144" s="192"/>
      <c r="AH144" s="192"/>
    </row>
    <row r="145" spans="2:34" s="8" customFormat="1" ht="14" x14ac:dyDescent="0.2">
      <c r="B145" s="7"/>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row>
    <row r="146" spans="2:34" s="8" customFormat="1" ht="14" x14ac:dyDescent="0.2">
      <c r="B146" s="8" t="s">
        <v>509</v>
      </c>
      <c r="D146" s="8" t="s">
        <v>118</v>
      </c>
      <c r="E146" s="233">
        <f>IF($E$139=1,$E$19/(E149+E151+E153),$E$19/((E149+E151+E153)*E140))</f>
        <v>1.25</v>
      </c>
      <c r="F146" s="233">
        <f t="shared" ref="F146:AH146" si="14">E146*(1+F147)</f>
        <v>1.25</v>
      </c>
      <c r="G146" s="233">
        <f t="shared" si="14"/>
        <v>1.25</v>
      </c>
      <c r="H146" s="233">
        <f t="shared" si="14"/>
        <v>1.25</v>
      </c>
      <c r="I146" s="233">
        <f t="shared" si="14"/>
        <v>1.25</v>
      </c>
      <c r="J146" s="233">
        <f t="shared" si="14"/>
        <v>1.25</v>
      </c>
      <c r="K146" s="233">
        <f t="shared" si="14"/>
        <v>1.25</v>
      </c>
      <c r="L146" s="233">
        <f t="shared" si="14"/>
        <v>1.25</v>
      </c>
      <c r="M146" s="233">
        <f t="shared" si="14"/>
        <v>1.25</v>
      </c>
      <c r="N146" s="233">
        <f t="shared" si="14"/>
        <v>1.25</v>
      </c>
      <c r="O146" s="233">
        <f t="shared" si="14"/>
        <v>1.25</v>
      </c>
      <c r="P146" s="233">
        <f t="shared" si="14"/>
        <v>1.25</v>
      </c>
      <c r="Q146" s="233">
        <f t="shared" si="14"/>
        <v>1.25</v>
      </c>
      <c r="R146" s="233">
        <f t="shared" si="14"/>
        <v>1.25</v>
      </c>
      <c r="S146" s="233">
        <f t="shared" si="14"/>
        <v>1.25</v>
      </c>
      <c r="T146" s="233">
        <f t="shared" si="14"/>
        <v>1.25</v>
      </c>
      <c r="U146" s="233">
        <f t="shared" si="14"/>
        <v>1.25</v>
      </c>
      <c r="V146" s="233">
        <f t="shared" si="14"/>
        <v>1.25</v>
      </c>
      <c r="W146" s="233">
        <f t="shared" si="14"/>
        <v>1.25</v>
      </c>
      <c r="X146" s="233">
        <f t="shared" si="14"/>
        <v>1.25</v>
      </c>
      <c r="Y146" s="233">
        <f t="shared" si="14"/>
        <v>1.25</v>
      </c>
      <c r="Z146" s="233">
        <f t="shared" si="14"/>
        <v>1.25</v>
      </c>
      <c r="AA146" s="233">
        <f t="shared" si="14"/>
        <v>1.25</v>
      </c>
      <c r="AB146" s="233">
        <f t="shared" si="14"/>
        <v>1.25</v>
      </c>
      <c r="AC146" s="233">
        <f t="shared" si="14"/>
        <v>1.25</v>
      </c>
      <c r="AD146" s="233">
        <f t="shared" si="14"/>
        <v>1.25</v>
      </c>
      <c r="AE146" s="233">
        <f t="shared" si="14"/>
        <v>1.25</v>
      </c>
      <c r="AF146" s="233">
        <f t="shared" si="14"/>
        <v>1.25</v>
      </c>
      <c r="AG146" s="233">
        <f t="shared" si="14"/>
        <v>1.25</v>
      </c>
      <c r="AH146" s="233">
        <f t="shared" si="14"/>
        <v>1.25</v>
      </c>
    </row>
    <row r="147" spans="2:34" s="8" customFormat="1" ht="14" x14ac:dyDescent="0.2">
      <c r="B147" s="8" t="s">
        <v>510</v>
      </c>
      <c r="D147" s="8" t="s">
        <v>15</v>
      </c>
      <c r="E147" s="9"/>
      <c r="F147" s="189">
        <v>0</v>
      </c>
      <c r="G147" s="189">
        <v>0</v>
      </c>
      <c r="H147" s="189">
        <v>0</v>
      </c>
      <c r="I147" s="189">
        <v>0</v>
      </c>
      <c r="J147" s="189">
        <v>0</v>
      </c>
      <c r="K147" s="189">
        <v>0</v>
      </c>
      <c r="L147" s="189">
        <v>0</v>
      </c>
      <c r="M147" s="189">
        <v>0</v>
      </c>
      <c r="N147" s="189">
        <v>0</v>
      </c>
      <c r="O147" s="189">
        <v>0</v>
      </c>
      <c r="P147" s="189">
        <v>0</v>
      </c>
      <c r="Q147" s="189">
        <v>0</v>
      </c>
      <c r="R147" s="189">
        <v>0</v>
      </c>
      <c r="S147" s="189">
        <v>0</v>
      </c>
      <c r="T147" s="189">
        <v>0</v>
      </c>
      <c r="U147" s="189">
        <v>0</v>
      </c>
      <c r="V147" s="189">
        <v>0</v>
      </c>
      <c r="W147" s="189">
        <v>0</v>
      </c>
      <c r="X147" s="189">
        <v>0</v>
      </c>
      <c r="Y147" s="189">
        <v>0</v>
      </c>
      <c r="Z147" s="189">
        <v>0</v>
      </c>
      <c r="AA147" s="189">
        <v>0</v>
      </c>
      <c r="AB147" s="189">
        <v>0</v>
      </c>
      <c r="AC147" s="189">
        <v>0</v>
      </c>
      <c r="AD147" s="189">
        <v>0</v>
      </c>
      <c r="AE147" s="189">
        <v>0</v>
      </c>
      <c r="AF147" s="189">
        <v>0</v>
      </c>
      <c r="AG147" s="189">
        <v>0</v>
      </c>
      <c r="AH147" s="189">
        <v>0</v>
      </c>
    </row>
    <row r="148" spans="2:34" s="8" customFormat="1" ht="14" x14ac:dyDescent="0.2">
      <c r="E148" s="9"/>
      <c r="F148" s="212"/>
      <c r="G148" s="212"/>
      <c r="H148" s="212"/>
      <c r="I148" s="212"/>
      <c r="J148" s="212"/>
      <c r="K148" s="212"/>
      <c r="L148" s="212"/>
      <c r="M148" s="212"/>
      <c r="N148" s="212"/>
      <c r="O148" s="212"/>
      <c r="P148" s="212"/>
      <c r="Q148" s="212"/>
      <c r="R148" s="212"/>
      <c r="S148" s="212"/>
      <c r="T148" s="212"/>
      <c r="U148" s="212"/>
      <c r="V148" s="212"/>
      <c r="W148" s="212"/>
      <c r="X148" s="212"/>
      <c r="Y148" s="212"/>
      <c r="Z148" s="212"/>
      <c r="AA148" s="212"/>
      <c r="AB148" s="212"/>
      <c r="AC148" s="212"/>
      <c r="AD148" s="212"/>
      <c r="AE148" s="212"/>
      <c r="AF148" s="212"/>
      <c r="AG148" s="212"/>
      <c r="AH148" s="212"/>
    </row>
    <row r="149" spans="2:34" s="8" customFormat="1" ht="14" x14ac:dyDescent="0.2">
      <c r="B149" s="89" t="str">
        <f>E142&amp;" annual traffic volume"</f>
        <v>Passenger company 1 annual traffic volume</v>
      </c>
      <c r="D149" s="8" t="str">
        <f>IF(E139=1,"Passenger-km (million)", "Number of trips (million)")</f>
        <v>Passenger-km (million)</v>
      </c>
      <c r="E149" s="187">
        <v>8000</v>
      </c>
      <c r="F149" s="191">
        <v>8500</v>
      </c>
      <c r="G149" s="191">
        <v>8500</v>
      </c>
      <c r="H149" s="191">
        <v>9000</v>
      </c>
      <c r="I149" s="191">
        <v>10000</v>
      </c>
      <c r="J149" s="191">
        <v>10500</v>
      </c>
      <c r="K149" s="191">
        <v>11000</v>
      </c>
      <c r="L149" s="191">
        <v>11500</v>
      </c>
      <c r="M149" s="191">
        <v>12000</v>
      </c>
      <c r="N149" s="191">
        <v>12500</v>
      </c>
      <c r="O149" s="191">
        <v>13000</v>
      </c>
      <c r="P149" s="191">
        <v>13500</v>
      </c>
      <c r="Q149" s="191">
        <v>14000</v>
      </c>
      <c r="R149" s="191">
        <v>14500</v>
      </c>
      <c r="S149" s="191">
        <v>15000</v>
      </c>
      <c r="T149" s="191">
        <v>15500</v>
      </c>
      <c r="U149" s="191">
        <v>16000</v>
      </c>
      <c r="V149" s="191">
        <v>16500</v>
      </c>
      <c r="W149" s="191">
        <v>17000</v>
      </c>
      <c r="X149" s="191">
        <v>17500</v>
      </c>
      <c r="Y149" s="191">
        <v>18000</v>
      </c>
      <c r="Z149" s="191">
        <v>18500</v>
      </c>
      <c r="AA149" s="191">
        <v>19000</v>
      </c>
      <c r="AB149" s="191">
        <v>19500</v>
      </c>
      <c r="AC149" s="191">
        <v>20000</v>
      </c>
      <c r="AD149" s="191">
        <v>20500</v>
      </c>
      <c r="AE149" s="191">
        <v>21000</v>
      </c>
      <c r="AF149" s="191">
        <v>21500</v>
      </c>
      <c r="AG149" s="191">
        <v>22000</v>
      </c>
      <c r="AH149" s="191">
        <v>22500</v>
      </c>
    </row>
    <row r="150" spans="2:34" s="8" customFormat="1" ht="14" x14ac:dyDescent="0.2">
      <c r="B150" s="89" t="str">
        <f>E142&amp;" annual traffic volume"</f>
        <v>Passenger company 1 annual traffic volume</v>
      </c>
      <c r="D150" s="8" t="s">
        <v>362</v>
      </c>
      <c r="E150" s="187">
        <v>500</v>
      </c>
      <c r="F150" s="191">
        <v>500</v>
      </c>
      <c r="G150" s="191">
        <v>500</v>
      </c>
      <c r="H150" s="191">
        <v>500</v>
      </c>
      <c r="I150" s="191">
        <v>500</v>
      </c>
      <c r="J150" s="191">
        <v>500</v>
      </c>
      <c r="K150" s="191">
        <v>500</v>
      </c>
      <c r="L150" s="191">
        <v>500</v>
      </c>
      <c r="M150" s="191">
        <v>500</v>
      </c>
      <c r="N150" s="191">
        <v>500</v>
      </c>
      <c r="O150" s="191">
        <v>500</v>
      </c>
      <c r="P150" s="191">
        <v>500</v>
      </c>
      <c r="Q150" s="191">
        <v>500</v>
      </c>
      <c r="R150" s="191">
        <v>500</v>
      </c>
      <c r="S150" s="191">
        <v>500</v>
      </c>
      <c r="T150" s="191">
        <v>500</v>
      </c>
      <c r="U150" s="191">
        <v>500</v>
      </c>
      <c r="V150" s="191">
        <v>500</v>
      </c>
      <c r="W150" s="191">
        <v>500</v>
      </c>
      <c r="X150" s="191">
        <v>500</v>
      </c>
      <c r="Y150" s="191">
        <v>500</v>
      </c>
      <c r="Z150" s="191">
        <v>500</v>
      </c>
      <c r="AA150" s="191">
        <v>500</v>
      </c>
      <c r="AB150" s="191">
        <v>500</v>
      </c>
      <c r="AC150" s="191">
        <v>500</v>
      </c>
      <c r="AD150" s="191">
        <v>500</v>
      </c>
      <c r="AE150" s="191">
        <v>500</v>
      </c>
      <c r="AF150" s="191">
        <v>500</v>
      </c>
      <c r="AG150" s="191">
        <v>500</v>
      </c>
      <c r="AH150" s="191">
        <v>500</v>
      </c>
    </row>
    <row r="151" spans="2:34" s="8" customFormat="1" ht="14" x14ac:dyDescent="0.2">
      <c r="B151" s="89" t="str">
        <f>E143&amp;" annual traffic volume"</f>
        <v>Passenger company 2 annual traffic volume</v>
      </c>
      <c r="D151" s="8" t="str">
        <f>IF(E139=1,"Passenger-km (million)", "Number of trips (million)")</f>
        <v>Passenger-km (million)</v>
      </c>
      <c r="E151" s="187">
        <v>8000</v>
      </c>
      <c r="F151" s="191">
        <v>8500</v>
      </c>
      <c r="G151" s="191">
        <v>8500</v>
      </c>
      <c r="H151" s="191">
        <v>9000</v>
      </c>
      <c r="I151" s="191">
        <v>10000</v>
      </c>
      <c r="J151" s="191">
        <v>10500</v>
      </c>
      <c r="K151" s="191">
        <v>11000</v>
      </c>
      <c r="L151" s="191">
        <v>11500</v>
      </c>
      <c r="M151" s="191">
        <v>12000</v>
      </c>
      <c r="N151" s="191">
        <v>12500</v>
      </c>
      <c r="O151" s="191">
        <v>13000</v>
      </c>
      <c r="P151" s="191">
        <v>13500</v>
      </c>
      <c r="Q151" s="191">
        <v>14000</v>
      </c>
      <c r="R151" s="191">
        <v>14500</v>
      </c>
      <c r="S151" s="191">
        <v>15000</v>
      </c>
      <c r="T151" s="191">
        <v>15500</v>
      </c>
      <c r="U151" s="191">
        <v>16000</v>
      </c>
      <c r="V151" s="191">
        <v>16500</v>
      </c>
      <c r="W151" s="191">
        <v>17000</v>
      </c>
      <c r="X151" s="191">
        <v>17500</v>
      </c>
      <c r="Y151" s="191">
        <v>18000</v>
      </c>
      <c r="Z151" s="191">
        <v>18500</v>
      </c>
      <c r="AA151" s="191">
        <v>19000</v>
      </c>
      <c r="AB151" s="191">
        <v>19500</v>
      </c>
      <c r="AC151" s="191">
        <v>20000</v>
      </c>
      <c r="AD151" s="191">
        <v>20500</v>
      </c>
      <c r="AE151" s="191">
        <v>21000</v>
      </c>
      <c r="AF151" s="191">
        <v>21500</v>
      </c>
      <c r="AG151" s="191">
        <v>22000</v>
      </c>
      <c r="AH151" s="191">
        <v>22500</v>
      </c>
    </row>
    <row r="152" spans="2:34" s="8" customFormat="1" ht="14" x14ac:dyDescent="0.2">
      <c r="B152" s="89" t="str">
        <f>E143&amp;" annual traffic volume"</f>
        <v>Passenger company 2 annual traffic volume</v>
      </c>
      <c r="D152" s="8" t="s">
        <v>362</v>
      </c>
      <c r="E152" s="187">
        <v>500</v>
      </c>
      <c r="F152" s="191">
        <v>500</v>
      </c>
      <c r="G152" s="191">
        <v>500</v>
      </c>
      <c r="H152" s="191">
        <v>500</v>
      </c>
      <c r="I152" s="191">
        <v>500</v>
      </c>
      <c r="J152" s="191">
        <v>500</v>
      </c>
      <c r="K152" s="191">
        <v>500</v>
      </c>
      <c r="L152" s="191">
        <v>500</v>
      </c>
      <c r="M152" s="191">
        <v>500</v>
      </c>
      <c r="N152" s="191">
        <v>500</v>
      </c>
      <c r="O152" s="191">
        <v>500</v>
      </c>
      <c r="P152" s="191">
        <v>500</v>
      </c>
      <c r="Q152" s="191">
        <v>500</v>
      </c>
      <c r="R152" s="191">
        <v>500</v>
      </c>
      <c r="S152" s="191">
        <v>500</v>
      </c>
      <c r="T152" s="191">
        <v>500</v>
      </c>
      <c r="U152" s="191">
        <v>500</v>
      </c>
      <c r="V152" s="191">
        <v>500</v>
      </c>
      <c r="W152" s="191">
        <v>500</v>
      </c>
      <c r="X152" s="191">
        <v>500</v>
      </c>
      <c r="Y152" s="191">
        <v>500</v>
      </c>
      <c r="Z152" s="191">
        <v>500</v>
      </c>
      <c r="AA152" s="191">
        <v>500</v>
      </c>
      <c r="AB152" s="191">
        <v>500</v>
      </c>
      <c r="AC152" s="191">
        <v>500</v>
      </c>
      <c r="AD152" s="191">
        <v>500</v>
      </c>
      <c r="AE152" s="191">
        <v>500</v>
      </c>
      <c r="AF152" s="191">
        <v>500</v>
      </c>
      <c r="AG152" s="191">
        <v>500</v>
      </c>
      <c r="AH152" s="191">
        <v>500</v>
      </c>
    </row>
    <row r="153" spans="2:34" s="8" customFormat="1" ht="14" x14ac:dyDescent="0.2">
      <c r="B153" s="89" t="str">
        <f>E144&amp;" annual traffic volume"</f>
        <v>Other companies annual traffic volume</v>
      </c>
      <c r="D153" s="8" t="str">
        <f>IF(E139=1,"Passenger-km (million)", "Number of trips (million)")</f>
        <v>Passenger-km (million)</v>
      </c>
      <c r="E153" s="187">
        <v>8000</v>
      </c>
      <c r="F153" s="191">
        <v>8500</v>
      </c>
      <c r="G153" s="191">
        <v>8500</v>
      </c>
      <c r="H153" s="191">
        <v>9000</v>
      </c>
      <c r="I153" s="191">
        <v>10000</v>
      </c>
      <c r="J153" s="191">
        <v>10500</v>
      </c>
      <c r="K153" s="191">
        <v>11000</v>
      </c>
      <c r="L153" s="191">
        <v>11500</v>
      </c>
      <c r="M153" s="191">
        <v>12000</v>
      </c>
      <c r="N153" s="191">
        <v>12500</v>
      </c>
      <c r="O153" s="191">
        <v>13000</v>
      </c>
      <c r="P153" s="191">
        <v>13500</v>
      </c>
      <c r="Q153" s="191">
        <v>14000</v>
      </c>
      <c r="R153" s="191">
        <v>14500</v>
      </c>
      <c r="S153" s="191">
        <v>15000</v>
      </c>
      <c r="T153" s="191">
        <v>15500</v>
      </c>
      <c r="U153" s="191">
        <v>16000</v>
      </c>
      <c r="V153" s="191">
        <v>16500</v>
      </c>
      <c r="W153" s="191">
        <v>17000</v>
      </c>
      <c r="X153" s="191">
        <v>17500</v>
      </c>
      <c r="Y153" s="191">
        <v>18000</v>
      </c>
      <c r="Z153" s="191">
        <v>18500</v>
      </c>
      <c r="AA153" s="191">
        <v>19000</v>
      </c>
      <c r="AB153" s="191">
        <v>19500</v>
      </c>
      <c r="AC153" s="191">
        <v>20000</v>
      </c>
      <c r="AD153" s="191">
        <v>20500</v>
      </c>
      <c r="AE153" s="191">
        <v>21000</v>
      </c>
      <c r="AF153" s="191">
        <v>21500</v>
      </c>
      <c r="AG153" s="191">
        <v>22000</v>
      </c>
      <c r="AH153" s="191">
        <v>22500</v>
      </c>
    </row>
    <row r="154" spans="2:34" s="8" customFormat="1" ht="14" x14ac:dyDescent="0.2">
      <c r="B154" s="89" t="str">
        <f>E144&amp;" annual traffic volume"</f>
        <v>Other companies annual traffic volume</v>
      </c>
      <c r="D154" s="8" t="s">
        <v>362</v>
      </c>
      <c r="E154" s="187">
        <v>500</v>
      </c>
      <c r="F154" s="191">
        <v>500</v>
      </c>
      <c r="G154" s="191">
        <v>500</v>
      </c>
      <c r="H154" s="191">
        <v>500</v>
      </c>
      <c r="I154" s="191">
        <v>500</v>
      </c>
      <c r="J154" s="191">
        <v>500</v>
      </c>
      <c r="K154" s="191">
        <v>500</v>
      </c>
      <c r="L154" s="191">
        <v>500</v>
      </c>
      <c r="M154" s="191">
        <v>500</v>
      </c>
      <c r="N154" s="191">
        <v>500</v>
      </c>
      <c r="O154" s="191">
        <v>500</v>
      </c>
      <c r="P154" s="191">
        <v>500</v>
      </c>
      <c r="Q154" s="191">
        <v>500</v>
      </c>
      <c r="R154" s="191">
        <v>500</v>
      </c>
      <c r="S154" s="191">
        <v>500</v>
      </c>
      <c r="T154" s="191">
        <v>500</v>
      </c>
      <c r="U154" s="191">
        <v>500</v>
      </c>
      <c r="V154" s="191">
        <v>500</v>
      </c>
      <c r="W154" s="191">
        <v>500</v>
      </c>
      <c r="X154" s="191">
        <v>500</v>
      </c>
      <c r="Y154" s="191">
        <v>500</v>
      </c>
      <c r="Z154" s="191">
        <v>500</v>
      </c>
      <c r="AA154" s="191">
        <v>500</v>
      </c>
      <c r="AB154" s="191">
        <v>500</v>
      </c>
      <c r="AC154" s="191">
        <v>500</v>
      </c>
      <c r="AD154" s="191">
        <v>500</v>
      </c>
      <c r="AE154" s="191">
        <v>500</v>
      </c>
      <c r="AF154" s="191">
        <v>500</v>
      </c>
      <c r="AG154" s="191">
        <v>500</v>
      </c>
      <c r="AH154" s="191">
        <v>500</v>
      </c>
    </row>
    <row r="155" spans="2:34" s="8" customFormat="1" ht="14" x14ac:dyDescent="0.2">
      <c r="B155" s="14"/>
      <c r="E155" s="183"/>
    </row>
    <row r="156" spans="2:34" s="316" customFormat="1" x14ac:dyDescent="0.2">
      <c r="B156" s="315" t="str">
        <f>"Other operating revenue for " &amp;'Assumptions - General'!$E$26</f>
        <v>Other operating revenue for Ruritania Railway Infrastructure Company</v>
      </c>
    </row>
    <row r="157" spans="2:34" s="8" customFormat="1" ht="14" x14ac:dyDescent="0.2">
      <c r="B157" s="7"/>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row>
    <row r="158" spans="2:34" s="8" customFormat="1" ht="14" x14ac:dyDescent="0.2">
      <c r="B158" s="8" t="s">
        <v>330</v>
      </c>
      <c r="E158" s="168"/>
      <c r="F158" s="87"/>
    </row>
    <row r="159" spans="2:34" s="8" customFormat="1" ht="14" x14ac:dyDescent="0.2">
      <c r="B159" s="30" t="s">
        <v>329</v>
      </c>
      <c r="D159" s="10" t="str">
        <f>'Assumptions - General'!$E$27 &amp;" millions"</f>
        <v>R$ millions</v>
      </c>
      <c r="E159" s="176">
        <v>500</v>
      </c>
      <c r="F159" s="191">
        <v>500</v>
      </c>
      <c r="G159" s="191">
        <v>500</v>
      </c>
      <c r="H159" s="191">
        <v>500</v>
      </c>
      <c r="I159" s="191">
        <v>500</v>
      </c>
      <c r="J159" s="191">
        <v>500</v>
      </c>
      <c r="K159" s="191">
        <v>500</v>
      </c>
      <c r="L159" s="191">
        <v>500</v>
      </c>
      <c r="M159" s="191">
        <v>500</v>
      </c>
      <c r="N159" s="191">
        <v>500</v>
      </c>
      <c r="O159" s="191">
        <v>500</v>
      </c>
      <c r="P159" s="191">
        <v>500</v>
      </c>
      <c r="Q159" s="191">
        <v>500</v>
      </c>
      <c r="R159" s="191">
        <v>500</v>
      </c>
      <c r="S159" s="191">
        <v>500</v>
      </c>
      <c r="T159" s="191">
        <v>500</v>
      </c>
      <c r="U159" s="191">
        <v>500</v>
      </c>
      <c r="V159" s="191">
        <v>500</v>
      </c>
      <c r="W159" s="191">
        <v>500</v>
      </c>
      <c r="X159" s="191">
        <v>500</v>
      </c>
      <c r="Y159" s="191">
        <v>500</v>
      </c>
      <c r="Z159" s="191">
        <v>500</v>
      </c>
      <c r="AA159" s="191">
        <v>500</v>
      </c>
      <c r="AB159" s="191">
        <v>500</v>
      </c>
      <c r="AC159" s="191">
        <v>500</v>
      </c>
      <c r="AD159" s="191">
        <v>500</v>
      </c>
      <c r="AE159" s="191">
        <v>500</v>
      </c>
      <c r="AF159" s="191">
        <v>500</v>
      </c>
      <c r="AG159" s="191">
        <v>500</v>
      </c>
      <c r="AH159" s="191">
        <v>500</v>
      </c>
    </row>
    <row r="160" spans="2:34" s="8" customFormat="1" ht="14" x14ac:dyDescent="0.2">
      <c r="D160" s="10"/>
      <c r="E160" s="121"/>
      <c r="F160" s="121"/>
      <c r="G160" s="121"/>
      <c r="H160" s="121"/>
      <c r="I160" s="121"/>
      <c r="J160" s="121"/>
      <c r="K160" s="121"/>
      <c r="L160" s="121"/>
      <c r="M160" s="121"/>
      <c r="N160" s="121"/>
      <c r="O160" s="121"/>
      <c r="P160" s="121"/>
      <c r="Q160" s="121"/>
      <c r="R160" s="121"/>
      <c r="S160" s="121"/>
      <c r="T160" s="121"/>
      <c r="U160" s="121"/>
      <c r="V160" s="121"/>
      <c r="W160" s="121"/>
      <c r="X160" s="121"/>
      <c r="Y160" s="121"/>
      <c r="Z160" s="121"/>
      <c r="AA160" s="121"/>
      <c r="AB160" s="121"/>
      <c r="AC160" s="121"/>
      <c r="AD160" s="121"/>
      <c r="AE160" s="121"/>
      <c r="AF160" s="121"/>
      <c r="AG160" s="121"/>
      <c r="AH160" s="121"/>
    </row>
    <row r="161" spans="2:65" s="316" customFormat="1" x14ac:dyDescent="0.2">
      <c r="B161" s="315" t="str">
        <f>"Non-operating revenue for " &amp;'Assumptions - General'!$E$26</f>
        <v>Non-operating revenue for Ruritania Railway Infrastructure Company</v>
      </c>
    </row>
    <row r="162" spans="2:65" s="8" customFormat="1" ht="14" x14ac:dyDescent="0.2">
      <c r="B162" s="7"/>
      <c r="E162" s="9"/>
      <c r="F162" s="431" t="s">
        <v>33</v>
      </c>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row>
    <row r="163" spans="2:65" s="8" customFormat="1" ht="14" x14ac:dyDescent="0.2">
      <c r="B163" s="16" t="s">
        <v>584</v>
      </c>
      <c r="D163" s="8" t="s">
        <v>32</v>
      </c>
      <c r="E163" s="177">
        <f>IF(F164=F162,1,2)</f>
        <v>1</v>
      </c>
      <c r="F163" s="87" t="s">
        <v>211</v>
      </c>
    </row>
    <row r="164" spans="2:65" s="8" customFormat="1" ht="14" x14ac:dyDescent="0.2">
      <c r="B164" s="16"/>
      <c r="E164" s="182"/>
      <c r="F164" s="87" t="s">
        <v>33</v>
      </c>
    </row>
    <row r="165" spans="2:65" s="20" customFormat="1" ht="14" x14ac:dyDescent="0.2">
      <c r="B165" s="19" t="s">
        <v>585</v>
      </c>
      <c r="D165" s="20" t="s">
        <v>2</v>
      </c>
      <c r="E165" s="188" t="s">
        <v>590</v>
      </c>
    </row>
    <row r="166" spans="2:65" s="8" customFormat="1" ht="14" x14ac:dyDescent="0.2">
      <c r="B166" s="14" t="s">
        <v>586</v>
      </c>
      <c r="D166" s="10" t="str">
        <f>'Assumptions - General'!$E$27 &amp;" millions"</f>
        <v>R$ millions</v>
      </c>
      <c r="E166" s="176">
        <v>100</v>
      </c>
    </row>
    <row r="167" spans="2:65" s="8" customFormat="1" ht="14" x14ac:dyDescent="0.2">
      <c r="B167" s="215" t="s">
        <v>587</v>
      </c>
      <c r="D167" s="8" t="s">
        <v>256</v>
      </c>
      <c r="E167" s="176">
        <v>100</v>
      </c>
      <c r="F167" s="219">
        <f t="shared" ref="F167:AH167" si="15">E167*(1+F168)</f>
        <v>100</v>
      </c>
      <c r="G167" s="219">
        <f t="shared" si="15"/>
        <v>100</v>
      </c>
      <c r="H167" s="219">
        <f t="shared" si="15"/>
        <v>100</v>
      </c>
      <c r="I167" s="219">
        <f t="shared" si="15"/>
        <v>100</v>
      </c>
      <c r="J167" s="219">
        <f t="shared" si="15"/>
        <v>100</v>
      </c>
      <c r="K167" s="219">
        <f t="shared" si="15"/>
        <v>100</v>
      </c>
      <c r="L167" s="219">
        <f t="shared" si="15"/>
        <v>100</v>
      </c>
      <c r="M167" s="219">
        <f t="shared" si="15"/>
        <v>100</v>
      </c>
      <c r="N167" s="219">
        <f t="shared" si="15"/>
        <v>100</v>
      </c>
      <c r="O167" s="219">
        <f t="shared" si="15"/>
        <v>100</v>
      </c>
      <c r="P167" s="219">
        <f t="shared" si="15"/>
        <v>100</v>
      </c>
      <c r="Q167" s="219">
        <f t="shared" si="15"/>
        <v>100</v>
      </c>
      <c r="R167" s="219">
        <f t="shared" si="15"/>
        <v>100</v>
      </c>
      <c r="S167" s="219">
        <f t="shared" si="15"/>
        <v>100</v>
      </c>
      <c r="T167" s="219">
        <f t="shared" si="15"/>
        <v>100</v>
      </c>
      <c r="U167" s="219">
        <f t="shared" si="15"/>
        <v>100</v>
      </c>
      <c r="V167" s="219">
        <f t="shared" si="15"/>
        <v>100</v>
      </c>
      <c r="W167" s="219">
        <f t="shared" si="15"/>
        <v>100</v>
      </c>
      <c r="X167" s="219">
        <f t="shared" si="15"/>
        <v>100</v>
      </c>
      <c r="Y167" s="219">
        <f t="shared" si="15"/>
        <v>100</v>
      </c>
      <c r="Z167" s="219">
        <f t="shared" si="15"/>
        <v>100</v>
      </c>
      <c r="AA167" s="219">
        <f t="shared" si="15"/>
        <v>100</v>
      </c>
      <c r="AB167" s="219">
        <f t="shared" si="15"/>
        <v>100</v>
      </c>
      <c r="AC167" s="219">
        <f t="shared" si="15"/>
        <v>100</v>
      </c>
      <c r="AD167" s="219">
        <f t="shared" si="15"/>
        <v>100</v>
      </c>
      <c r="AE167" s="219">
        <f t="shared" si="15"/>
        <v>100</v>
      </c>
      <c r="AF167" s="219">
        <f t="shared" si="15"/>
        <v>100</v>
      </c>
      <c r="AG167" s="219">
        <f t="shared" si="15"/>
        <v>100</v>
      </c>
      <c r="AH167" s="219">
        <f t="shared" si="15"/>
        <v>100</v>
      </c>
      <c r="AI167" s="20"/>
      <c r="AJ167" s="20"/>
      <c r="AK167" s="20"/>
      <c r="AL167" s="20"/>
      <c r="AM167" s="20"/>
      <c r="AN167" s="20"/>
      <c r="AO167" s="20"/>
      <c r="AP167" s="20"/>
      <c r="AQ167" s="20"/>
      <c r="AR167" s="20"/>
      <c r="AS167" s="20"/>
      <c r="AT167" s="20"/>
      <c r="AU167" s="20"/>
      <c r="AV167" s="20"/>
      <c r="AW167" s="20"/>
      <c r="AX167" s="20"/>
      <c r="AY167" s="20"/>
      <c r="AZ167" s="20"/>
      <c r="BA167" s="20"/>
      <c r="BB167" s="20"/>
      <c r="BC167" s="20"/>
      <c r="BD167" s="20"/>
      <c r="BE167" s="20"/>
      <c r="BF167" s="20"/>
      <c r="BG167" s="20"/>
      <c r="BH167" s="20"/>
      <c r="BI167" s="20"/>
      <c r="BJ167" s="20"/>
      <c r="BK167" s="20"/>
      <c r="BL167" s="20"/>
      <c r="BM167" s="20"/>
    </row>
    <row r="168" spans="2:65" s="8" customFormat="1" ht="14" x14ac:dyDescent="0.2">
      <c r="B168" s="211" t="s">
        <v>263</v>
      </c>
      <c r="D168" s="8" t="s">
        <v>15</v>
      </c>
      <c r="E168" s="192"/>
      <c r="F168" s="189">
        <v>0</v>
      </c>
      <c r="G168" s="189">
        <v>0</v>
      </c>
      <c r="H168" s="189">
        <v>0</v>
      </c>
      <c r="I168" s="189">
        <v>0</v>
      </c>
      <c r="J168" s="189">
        <v>0</v>
      </c>
      <c r="K168" s="189">
        <v>0</v>
      </c>
      <c r="L168" s="189">
        <v>0</v>
      </c>
      <c r="M168" s="189">
        <v>0</v>
      </c>
      <c r="N168" s="189">
        <v>0</v>
      </c>
      <c r="O168" s="189">
        <v>0</v>
      </c>
      <c r="P168" s="189">
        <v>0</v>
      </c>
      <c r="Q168" s="189">
        <v>0</v>
      </c>
      <c r="R168" s="189">
        <v>0</v>
      </c>
      <c r="S168" s="189">
        <v>0</v>
      </c>
      <c r="T168" s="189">
        <v>0</v>
      </c>
      <c r="U168" s="189">
        <v>0</v>
      </c>
      <c r="V168" s="189">
        <v>0</v>
      </c>
      <c r="W168" s="189">
        <v>0</v>
      </c>
      <c r="X168" s="189">
        <v>0</v>
      </c>
      <c r="Y168" s="189">
        <v>0</v>
      </c>
      <c r="Z168" s="189">
        <v>0</v>
      </c>
      <c r="AA168" s="189">
        <v>0</v>
      </c>
      <c r="AB168" s="189">
        <v>0</v>
      </c>
      <c r="AC168" s="189">
        <v>0</v>
      </c>
      <c r="AD168" s="189">
        <v>0</v>
      </c>
      <c r="AE168" s="189">
        <v>0</v>
      </c>
      <c r="AF168" s="189">
        <v>0</v>
      </c>
      <c r="AG168" s="189">
        <v>0</v>
      </c>
      <c r="AH168" s="189">
        <v>0</v>
      </c>
      <c r="AI168" s="20"/>
      <c r="AJ168" s="20"/>
      <c r="AK168" s="20"/>
      <c r="AL168" s="20"/>
      <c r="AM168" s="20"/>
      <c r="AN168" s="20"/>
      <c r="AO168" s="20"/>
      <c r="AP168" s="20"/>
      <c r="AQ168" s="20"/>
      <c r="AR168" s="20"/>
      <c r="AS168" s="20"/>
      <c r="AT168" s="20"/>
      <c r="AU168" s="20"/>
      <c r="AV168" s="20"/>
      <c r="AW168" s="20"/>
      <c r="AX168" s="20"/>
      <c r="AY168" s="20"/>
      <c r="AZ168" s="20"/>
      <c r="BA168" s="20"/>
      <c r="BB168" s="20"/>
      <c r="BC168" s="20"/>
      <c r="BD168" s="20"/>
      <c r="BE168" s="20"/>
      <c r="BF168" s="20"/>
      <c r="BG168" s="20"/>
      <c r="BH168" s="20"/>
      <c r="BI168" s="20"/>
      <c r="BJ168" s="20"/>
      <c r="BK168" s="20"/>
      <c r="BL168" s="20"/>
      <c r="BM168" s="20"/>
    </row>
    <row r="169" spans="2:65" s="8" customFormat="1" ht="14" x14ac:dyDescent="0.2">
      <c r="B169" s="215" t="s">
        <v>588</v>
      </c>
      <c r="D169" s="15"/>
      <c r="E169" s="180"/>
      <c r="F169" s="220"/>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20"/>
      <c r="AJ169" s="20"/>
      <c r="AK169" s="20"/>
      <c r="AL169" s="20"/>
      <c r="AM169" s="20"/>
      <c r="AN169" s="20"/>
      <c r="AO169" s="20"/>
      <c r="AP169" s="20"/>
      <c r="AQ169" s="20"/>
      <c r="AR169" s="20"/>
      <c r="AS169" s="20"/>
      <c r="AT169" s="20"/>
      <c r="AU169" s="20"/>
      <c r="AV169" s="20"/>
      <c r="AW169" s="20"/>
      <c r="AX169" s="20"/>
      <c r="AY169" s="20"/>
      <c r="AZ169" s="20"/>
      <c r="BA169" s="20"/>
      <c r="BB169" s="20"/>
      <c r="BC169" s="20"/>
      <c r="BD169" s="20"/>
      <c r="BE169" s="20"/>
      <c r="BF169" s="20"/>
      <c r="BG169" s="20"/>
      <c r="BH169" s="20"/>
      <c r="BI169" s="20"/>
      <c r="BJ169" s="20"/>
      <c r="BK169" s="20"/>
      <c r="BL169" s="20"/>
      <c r="BM169" s="20"/>
    </row>
    <row r="170" spans="2:65" s="8" customFormat="1" ht="14" x14ac:dyDescent="0.2">
      <c r="B170" s="211" t="s">
        <v>38</v>
      </c>
      <c r="D170" s="8" t="s">
        <v>15</v>
      </c>
      <c r="E170" s="188">
        <f>IF(E163=2,0,F170/100)</f>
        <v>1</v>
      </c>
      <c r="F170" s="220">
        <v>100</v>
      </c>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20"/>
      <c r="AJ170" s="20"/>
      <c r="AK170" s="20"/>
      <c r="AL170" s="20"/>
      <c r="AM170" s="20"/>
      <c r="AN170" s="20"/>
      <c r="AO170" s="20"/>
      <c r="AP170" s="20"/>
      <c r="AQ170" s="20"/>
      <c r="AR170" s="20"/>
      <c r="AS170" s="20"/>
      <c r="AT170" s="20"/>
      <c r="AU170" s="20"/>
      <c r="AV170" s="20"/>
      <c r="AW170" s="20"/>
      <c r="AX170" s="20"/>
      <c r="AY170" s="20"/>
      <c r="AZ170" s="20"/>
      <c r="BA170" s="20"/>
      <c r="BB170" s="20"/>
      <c r="BC170" s="20"/>
      <c r="BD170" s="20"/>
      <c r="BE170" s="20"/>
      <c r="BF170" s="20"/>
      <c r="BG170" s="20"/>
      <c r="BH170" s="20"/>
      <c r="BI170" s="20"/>
      <c r="BJ170" s="20"/>
      <c r="BK170" s="20"/>
      <c r="BL170" s="20"/>
      <c r="BM170" s="20"/>
    </row>
    <row r="171" spans="2:65" s="20" customFormat="1" ht="14" x14ac:dyDescent="0.2">
      <c r="B171" s="216" t="s">
        <v>589</v>
      </c>
      <c r="D171" s="122" t="str">
        <f>'Assumptions - General'!$E$27 &amp;" per unit"</f>
        <v>R$ per unit</v>
      </c>
      <c r="E171" s="192">
        <f>E166*1000000/E167</f>
        <v>1000000</v>
      </c>
      <c r="F171" s="192">
        <f>E171*(1+F172)*IF($E$163=1,($E170*'Assumptions - General'!F$37+1),1)</f>
        <v>1030000</v>
      </c>
      <c r="G171" s="192">
        <f>F171*(1+G172)*IF($E$163=1,($E170*'Assumptions - General'!G$37+1),1)</f>
        <v>1060900</v>
      </c>
      <c r="H171" s="192">
        <f>G171*(1+H172)*IF($E$163=1,($E170*'Assumptions - General'!H$37+1),1)</f>
        <v>1092727</v>
      </c>
      <c r="I171" s="192">
        <f>H171*(1+I172)*IF($E$163=1,($E170*'Assumptions - General'!I$37+1),1)</f>
        <v>1125508.81</v>
      </c>
      <c r="J171" s="192">
        <f>I171*(1+J172)*IF($E$163=1,($E170*'Assumptions - General'!J$37+1),1)</f>
        <v>1159274.0743</v>
      </c>
      <c r="K171" s="192">
        <f>J171*(1+K172)*IF($E$163=1,($E170*'Assumptions - General'!K$37+1),1)</f>
        <v>1194052.2965289999</v>
      </c>
      <c r="L171" s="192">
        <f>K171*(1+L172)*IF($E$163=1,($E170*'Assumptions - General'!L$37+1),1)</f>
        <v>1229873.86542487</v>
      </c>
      <c r="M171" s="192">
        <f>L171*(1+M172)*IF($E$163=1,($E170*'Assumptions - General'!M$37+1),1)</f>
        <v>1266770.0813876162</v>
      </c>
      <c r="N171" s="192">
        <f>M171*(1+N172)*IF($E$163=1,($E170*'Assumptions - General'!N$37+1),1)</f>
        <v>1304773.1838292447</v>
      </c>
      <c r="O171" s="192">
        <f>N171*(1+O172)*IF($E$163=1,($E170*'Assumptions - General'!O$37+1),1)</f>
        <v>1343916.379344122</v>
      </c>
      <c r="P171" s="192">
        <f>O171*(1+P172)*IF($E$163=1,($E170*'Assumptions - General'!P$37+1),1)</f>
        <v>1384233.8707244457</v>
      </c>
      <c r="Q171" s="192">
        <f>P171*(1+Q172)*IF($E$163=1,($E170*'Assumptions - General'!Q$37+1),1)</f>
        <v>1425760.8868461791</v>
      </c>
      <c r="R171" s="192">
        <f>Q171*(1+R172)*IF($E$163=1,($E170*'Assumptions - General'!R$37+1),1)</f>
        <v>1468533.7134515645</v>
      </c>
      <c r="S171" s="192">
        <f>R171*(1+S172)*IF($E$163=1,($E170*'Assumptions - General'!S$37+1),1)</f>
        <v>1512589.7248551114</v>
      </c>
      <c r="T171" s="192">
        <f>S171*(1+T172)*IF($E$163=1,($E170*'Assumptions - General'!T$37+1),1)</f>
        <v>1557967.4166007647</v>
      </c>
      <c r="U171" s="192">
        <f>T171*(1+U172)*IF($E$163=1,($E170*'Assumptions - General'!U$37+1),1)</f>
        <v>1604706.4390987877</v>
      </c>
      <c r="V171" s="192">
        <f>U171*(1+V172)*IF($E$163=1,($E170*'Assumptions - General'!V$37+1),1)</f>
        <v>1652847.6322717513</v>
      </c>
      <c r="W171" s="192">
        <f>V171*(1+W172)*IF($E$163=1,($E170*'Assumptions - General'!W$37+1),1)</f>
        <v>1702433.0612399038</v>
      </c>
      <c r="X171" s="192">
        <f>W171*(1+X172)*IF($E$163=1,($E170*'Assumptions - General'!X$37+1),1)</f>
        <v>1753506.053077101</v>
      </c>
      <c r="Y171" s="192">
        <f>X171*(1+Y172)*IF($E$163=1,($E170*'Assumptions - General'!Y$37+1),1)</f>
        <v>1806111.2346694141</v>
      </c>
      <c r="Z171" s="192">
        <f>Y171*(1+Z172)*IF($E$163=1,($E170*'Assumptions - General'!Z$37+1),1)</f>
        <v>1860294.5717094967</v>
      </c>
      <c r="AA171" s="192">
        <f>Z171*(1+AA172)*IF($E$163=1,($E170*'Assumptions - General'!AA$37+1),1)</f>
        <v>1916103.4088607817</v>
      </c>
      <c r="AB171" s="192">
        <f>AA171*(1+AB172)*IF($E$163=1,($E170*'Assumptions - General'!AB$37+1),1)</f>
        <v>1973586.5111266051</v>
      </c>
      <c r="AC171" s="192">
        <f>AB171*(1+AC172)*IF($E$163=1,($E170*'Assumptions - General'!AC$37+1),1)</f>
        <v>2032794.1064604032</v>
      </c>
      <c r="AD171" s="192">
        <f>AC171*(1+AD172)*IF($E$163=1,($E170*'Assumptions - General'!AD$37+1),1)</f>
        <v>2093777.9296542152</v>
      </c>
      <c r="AE171" s="192">
        <f>AD171*(1+AE172)*IF($E$163=1,($E170*'Assumptions - General'!AE$37+1),1)</f>
        <v>2156591.2675438416</v>
      </c>
      <c r="AF171" s="192">
        <f>AE171*(1+AF172)*IF($E$163=1,($E170*'Assumptions - General'!AF$37+1),1)</f>
        <v>2221289.005570157</v>
      </c>
      <c r="AG171" s="192">
        <f>AF171*(1+AG172)*IF($E$163=1,($E170*'Assumptions - General'!AG$37+1),1)</f>
        <v>2287927.6757372618</v>
      </c>
      <c r="AH171" s="192">
        <f>AG171*(1+AH172)*IF($E$163=1,($E170*'Assumptions - General'!AH$37+1),1)</f>
        <v>2356565.5060093799</v>
      </c>
    </row>
    <row r="172" spans="2:65" x14ac:dyDescent="0.2">
      <c r="B172" s="30" t="s">
        <v>401</v>
      </c>
      <c r="D172" s="15" t="s">
        <v>15</v>
      </c>
      <c r="E172" s="190"/>
      <c r="F172" s="188">
        <v>0</v>
      </c>
      <c r="G172" s="188">
        <v>0</v>
      </c>
      <c r="H172" s="188">
        <v>0</v>
      </c>
      <c r="I172" s="188">
        <v>0</v>
      </c>
      <c r="J172" s="188">
        <v>0</v>
      </c>
      <c r="K172" s="188">
        <v>0</v>
      </c>
      <c r="L172" s="188">
        <v>0</v>
      </c>
      <c r="M172" s="188">
        <v>0</v>
      </c>
      <c r="N172" s="188">
        <v>0</v>
      </c>
      <c r="O172" s="188">
        <v>0</v>
      </c>
      <c r="P172" s="188">
        <v>0</v>
      </c>
      <c r="Q172" s="188">
        <v>0</v>
      </c>
      <c r="R172" s="188">
        <v>0</v>
      </c>
      <c r="S172" s="188">
        <v>0</v>
      </c>
      <c r="T172" s="188">
        <v>0</v>
      </c>
      <c r="U172" s="188">
        <v>0</v>
      </c>
      <c r="V172" s="188">
        <v>0</v>
      </c>
      <c r="W172" s="188">
        <v>0</v>
      </c>
      <c r="X172" s="188">
        <v>0</v>
      </c>
      <c r="Y172" s="188">
        <v>0</v>
      </c>
      <c r="Z172" s="188">
        <v>0</v>
      </c>
      <c r="AA172" s="188">
        <v>0</v>
      </c>
      <c r="AB172" s="188">
        <v>0</v>
      </c>
      <c r="AC172" s="188">
        <v>0</v>
      </c>
      <c r="AD172" s="188">
        <v>0</v>
      </c>
      <c r="AE172" s="188">
        <v>0</v>
      </c>
      <c r="AF172" s="188">
        <v>0</v>
      </c>
      <c r="AG172" s="188">
        <v>0</v>
      </c>
      <c r="AH172" s="188">
        <v>0</v>
      </c>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row>
    <row r="173" spans="2:65" s="18" customFormat="1" x14ac:dyDescent="0.2">
      <c r="B173" s="32"/>
      <c r="D173" s="81"/>
      <c r="E173" s="204"/>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c r="AG173" s="180"/>
      <c r="AH173" s="180"/>
    </row>
    <row r="174" spans="2:65" s="20" customFormat="1" ht="14" x14ac:dyDescent="0.2">
      <c r="B174" s="19" t="s">
        <v>591</v>
      </c>
      <c r="D174" s="20" t="s">
        <v>2</v>
      </c>
      <c r="E174" s="188" t="s">
        <v>694</v>
      </c>
      <c r="F174" s="221"/>
      <c r="G174" s="182"/>
      <c r="H174" s="182"/>
      <c r="I174" s="182"/>
      <c r="J174" s="182"/>
      <c r="K174" s="182"/>
      <c r="L174" s="182"/>
      <c r="M174" s="182"/>
      <c r="N174" s="182"/>
      <c r="O174" s="182"/>
      <c r="P174" s="182"/>
      <c r="Q174" s="182"/>
      <c r="R174" s="182"/>
      <c r="S174" s="182"/>
      <c r="T174" s="182"/>
      <c r="U174" s="182"/>
      <c r="V174" s="182"/>
      <c r="W174" s="182"/>
      <c r="X174" s="182"/>
      <c r="Y174" s="182"/>
      <c r="Z174" s="182"/>
      <c r="AA174" s="182"/>
      <c r="AB174" s="182"/>
      <c r="AC174" s="182"/>
      <c r="AD174" s="182"/>
      <c r="AE174" s="182"/>
      <c r="AF174" s="182"/>
      <c r="AG174" s="182"/>
      <c r="AH174" s="182"/>
    </row>
    <row r="175" spans="2:65" s="8" customFormat="1" ht="14" x14ac:dyDescent="0.2">
      <c r="B175" s="14" t="s">
        <v>586</v>
      </c>
      <c r="D175" s="10" t="str">
        <f>'Assumptions - General'!$E$27 &amp;" millions"</f>
        <v>R$ millions</v>
      </c>
      <c r="E175" s="176">
        <v>50</v>
      </c>
      <c r="F175" s="183"/>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row>
    <row r="176" spans="2:65" s="8" customFormat="1" ht="14" x14ac:dyDescent="0.2">
      <c r="B176" s="215" t="s">
        <v>587</v>
      </c>
      <c r="D176" s="8" t="s">
        <v>256</v>
      </c>
      <c r="E176" s="176">
        <v>100</v>
      </c>
      <c r="F176" s="219">
        <f t="shared" ref="F176:AH176" si="16">E176*(1+F177)</f>
        <v>100</v>
      </c>
      <c r="G176" s="219">
        <f t="shared" si="16"/>
        <v>100</v>
      </c>
      <c r="H176" s="219">
        <f t="shared" si="16"/>
        <v>100</v>
      </c>
      <c r="I176" s="219">
        <f t="shared" si="16"/>
        <v>100</v>
      </c>
      <c r="J176" s="219">
        <f t="shared" si="16"/>
        <v>100</v>
      </c>
      <c r="K176" s="219">
        <f t="shared" si="16"/>
        <v>100</v>
      </c>
      <c r="L176" s="219">
        <f t="shared" si="16"/>
        <v>100</v>
      </c>
      <c r="M176" s="219">
        <f t="shared" si="16"/>
        <v>100</v>
      </c>
      <c r="N176" s="219">
        <f t="shared" si="16"/>
        <v>100</v>
      </c>
      <c r="O176" s="219">
        <f t="shared" si="16"/>
        <v>100</v>
      </c>
      <c r="P176" s="219">
        <f t="shared" si="16"/>
        <v>100</v>
      </c>
      <c r="Q176" s="219">
        <f t="shared" si="16"/>
        <v>100</v>
      </c>
      <c r="R176" s="219">
        <f t="shared" si="16"/>
        <v>100</v>
      </c>
      <c r="S176" s="219">
        <f t="shared" si="16"/>
        <v>100</v>
      </c>
      <c r="T176" s="219">
        <f t="shared" si="16"/>
        <v>100</v>
      </c>
      <c r="U176" s="219">
        <f t="shared" si="16"/>
        <v>100</v>
      </c>
      <c r="V176" s="219">
        <f t="shared" si="16"/>
        <v>100</v>
      </c>
      <c r="W176" s="219">
        <f t="shared" si="16"/>
        <v>100</v>
      </c>
      <c r="X176" s="219">
        <f t="shared" si="16"/>
        <v>100</v>
      </c>
      <c r="Y176" s="219">
        <f t="shared" si="16"/>
        <v>100</v>
      </c>
      <c r="Z176" s="219">
        <f t="shared" si="16"/>
        <v>100</v>
      </c>
      <c r="AA176" s="219">
        <f t="shared" si="16"/>
        <v>100</v>
      </c>
      <c r="AB176" s="219">
        <f t="shared" si="16"/>
        <v>100</v>
      </c>
      <c r="AC176" s="219">
        <f t="shared" si="16"/>
        <v>100</v>
      </c>
      <c r="AD176" s="219">
        <f t="shared" si="16"/>
        <v>100</v>
      </c>
      <c r="AE176" s="219">
        <f t="shared" si="16"/>
        <v>100</v>
      </c>
      <c r="AF176" s="219">
        <f t="shared" si="16"/>
        <v>100</v>
      </c>
      <c r="AG176" s="219">
        <f t="shared" si="16"/>
        <v>100</v>
      </c>
      <c r="AH176" s="219">
        <f t="shared" si="16"/>
        <v>100</v>
      </c>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20"/>
      <c r="BG176" s="20"/>
      <c r="BH176" s="20"/>
      <c r="BI176" s="20"/>
      <c r="BJ176" s="20"/>
      <c r="BK176" s="20"/>
      <c r="BL176" s="20"/>
      <c r="BM176" s="20"/>
    </row>
    <row r="177" spans="2:65" s="8" customFormat="1" ht="14" x14ac:dyDescent="0.2">
      <c r="B177" s="211" t="s">
        <v>263</v>
      </c>
      <c r="D177" s="8" t="s">
        <v>15</v>
      </c>
      <c r="E177" s="192"/>
      <c r="F177" s="189">
        <v>0</v>
      </c>
      <c r="G177" s="189">
        <v>0</v>
      </c>
      <c r="H177" s="189">
        <v>0</v>
      </c>
      <c r="I177" s="189">
        <v>0</v>
      </c>
      <c r="J177" s="189">
        <v>0</v>
      </c>
      <c r="K177" s="189">
        <v>0</v>
      </c>
      <c r="L177" s="189">
        <v>0</v>
      </c>
      <c r="M177" s="189">
        <v>0</v>
      </c>
      <c r="N177" s="189">
        <v>0</v>
      </c>
      <c r="O177" s="189">
        <v>0</v>
      </c>
      <c r="P177" s="189">
        <v>0</v>
      </c>
      <c r="Q177" s="189">
        <v>0</v>
      </c>
      <c r="R177" s="189">
        <v>0</v>
      </c>
      <c r="S177" s="189">
        <v>0</v>
      </c>
      <c r="T177" s="189">
        <v>0</v>
      </c>
      <c r="U177" s="189">
        <v>0</v>
      </c>
      <c r="V177" s="189">
        <v>0</v>
      </c>
      <c r="W177" s="189">
        <v>0</v>
      </c>
      <c r="X177" s="189">
        <v>0</v>
      </c>
      <c r="Y177" s="189">
        <v>0</v>
      </c>
      <c r="Z177" s="189">
        <v>0</v>
      </c>
      <c r="AA177" s="189">
        <v>0</v>
      </c>
      <c r="AB177" s="189">
        <v>0</v>
      </c>
      <c r="AC177" s="189">
        <v>0</v>
      </c>
      <c r="AD177" s="189">
        <v>0</v>
      </c>
      <c r="AE177" s="189">
        <v>0</v>
      </c>
      <c r="AF177" s="189">
        <v>0</v>
      </c>
      <c r="AG177" s="189">
        <v>0</v>
      </c>
      <c r="AH177" s="189">
        <v>0</v>
      </c>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20"/>
      <c r="BG177" s="20"/>
      <c r="BH177" s="20"/>
      <c r="BI177" s="20"/>
      <c r="BJ177" s="20"/>
      <c r="BK177" s="20"/>
      <c r="BL177" s="20"/>
      <c r="BM177" s="20"/>
    </row>
    <row r="178" spans="2:65" s="8" customFormat="1" ht="14" x14ac:dyDescent="0.2">
      <c r="B178" s="215" t="s">
        <v>588</v>
      </c>
      <c r="D178" s="15"/>
      <c r="E178" s="180"/>
      <c r="F178" s="220"/>
      <c r="G178" s="183"/>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20"/>
      <c r="BG178" s="20"/>
      <c r="BH178" s="20"/>
      <c r="BI178" s="20"/>
      <c r="BJ178" s="20"/>
      <c r="BK178" s="20"/>
      <c r="BL178" s="20"/>
      <c r="BM178" s="20"/>
    </row>
    <row r="179" spans="2:65" s="8" customFormat="1" ht="14" x14ac:dyDescent="0.2">
      <c r="B179" s="211" t="s">
        <v>38</v>
      </c>
      <c r="D179" s="8" t="s">
        <v>15</v>
      </c>
      <c r="E179" s="188">
        <f>IF(E163=2,0,F179/100)</f>
        <v>1</v>
      </c>
      <c r="F179" s="220">
        <v>100</v>
      </c>
      <c r="G179" s="183"/>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0"/>
      <c r="BI179" s="20"/>
      <c r="BJ179" s="20"/>
      <c r="BK179" s="20"/>
      <c r="BL179" s="20"/>
      <c r="BM179" s="20"/>
    </row>
    <row r="180" spans="2:65" s="20" customFormat="1" ht="14" x14ac:dyDescent="0.2">
      <c r="B180" s="216" t="s">
        <v>589</v>
      </c>
      <c r="D180" s="122" t="str">
        <f>'Assumptions - General'!$E$27 &amp;" per unit"</f>
        <v>R$ per unit</v>
      </c>
      <c r="E180" s="192">
        <f>E175*1000000/E176</f>
        <v>500000</v>
      </c>
      <c r="F180" s="192">
        <f>E180*(1+F181)*IF($E$163=1,($E179*'Assumptions - General'!F$37+1),1)</f>
        <v>515000</v>
      </c>
      <c r="G180" s="192">
        <f>F180*(1+G181)*IF($E$163=1,($E179*'Assumptions - General'!G$37+1),1)</f>
        <v>530450</v>
      </c>
      <c r="H180" s="192">
        <f>G180*(1+H181)*IF($E$163=1,($E179*'Assumptions - General'!H$37+1),1)</f>
        <v>546363.5</v>
      </c>
      <c r="I180" s="192">
        <f>H180*(1+I181)*IF($E$163=1,($E179*'Assumptions - General'!I$37+1),1)</f>
        <v>562754.40500000003</v>
      </c>
      <c r="J180" s="192">
        <f>I180*(1+J181)*IF($E$163=1,($E179*'Assumptions - General'!J$37+1),1)</f>
        <v>579637.03714999999</v>
      </c>
      <c r="K180" s="192">
        <f>J180*(1+K181)*IF($E$163=1,($E179*'Assumptions - General'!K$37+1),1)</f>
        <v>597026.14826449996</v>
      </c>
      <c r="L180" s="192">
        <f>K180*(1+L181)*IF($E$163=1,($E179*'Assumptions - General'!L$37+1),1)</f>
        <v>614936.93271243502</v>
      </c>
      <c r="M180" s="192">
        <f>L180*(1+M181)*IF($E$163=1,($E179*'Assumptions - General'!M$37+1),1)</f>
        <v>633385.04069380811</v>
      </c>
      <c r="N180" s="192">
        <f>M180*(1+N181)*IF($E$163=1,($E179*'Assumptions - General'!N$37+1),1)</f>
        <v>652386.59191462235</v>
      </c>
      <c r="O180" s="192">
        <f>N180*(1+O181)*IF($E$163=1,($E179*'Assumptions - General'!O$37+1),1)</f>
        <v>671958.18967206101</v>
      </c>
      <c r="P180" s="192">
        <f>O180*(1+P181)*IF($E$163=1,($E179*'Assumptions - General'!P$37+1),1)</f>
        <v>692116.93536222284</v>
      </c>
      <c r="Q180" s="192">
        <f>P180*(1+Q181)*IF($E$163=1,($E179*'Assumptions - General'!Q$37+1),1)</f>
        <v>712880.44342308957</v>
      </c>
      <c r="R180" s="192">
        <f>Q180*(1+R181)*IF($E$163=1,($E179*'Assumptions - General'!R$37+1),1)</f>
        <v>734266.85672578227</v>
      </c>
      <c r="S180" s="192">
        <f>R180*(1+S181)*IF($E$163=1,($E179*'Assumptions - General'!S$37+1),1)</f>
        <v>756294.86242755572</v>
      </c>
      <c r="T180" s="192">
        <f>S180*(1+T181)*IF($E$163=1,($E179*'Assumptions - General'!T$37+1),1)</f>
        <v>778983.70830038236</v>
      </c>
      <c r="U180" s="192">
        <f>T180*(1+U181)*IF($E$163=1,($E179*'Assumptions - General'!U$37+1),1)</f>
        <v>802353.21954939386</v>
      </c>
      <c r="V180" s="192">
        <f>U180*(1+V181)*IF($E$163=1,($E179*'Assumptions - General'!V$37+1),1)</f>
        <v>826423.81613587565</v>
      </c>
      <c r="W180" s="192">
        <f>V180*(1+W181)*IF($E$163=1,($E179*'Assumptions - General'!W$37+1),1)</f>
        <v>851216.5306199519</v>
      </c>
      <c r="X180" s="192">
        <f>W180*(1+X181)*IF($E$163=1,($E179*'Assumptions - General'!X$37+1),1)</f>
        <v>876753.0265385505</v>
      </c>
      <c r="Y180" s="192">
        <f>X180*(1+Y181)*IF($E$163=1,($E179*'Assumptions - General'!Y$37+1),1)</f>
        <v>903055.61733470706</v>
      </c>
      <c r="Z180" s="192">
        <f>Y180*(1+Z181)*IF($E$163=1,($E179*'Assumptions - General'!Z$37+1),1)</f>
        <v>930147.28585474833</v>
      </c>
      <c r="AA180" s="192">
        <f>Z180*(1+AA181)*IF($E$163=1,($E179*'Assumptions - General'!AA$37+1),1)</f>
        <v>958051.70443039085</v>
      </c>
      <c r="AB180" s="192">
        <f>AA180*(1+AB181)*IF($E$163=1,($E179*'Assumptions - General'!AB$37+1),1)</f>
        <v>986793.25556330255</v>
      </c>
      <c r="AC180" s="192">
        <f>AB180*(1+AC181)*IF($E$163=1,($E179*'Assumptions - General'!AC$37+1),1)</f>
        <v>1016397.0532302016</v>
      </c>
      <c r="AD180" s="192">
        <f>AC180*(1+AD181)*IF($E$163=1,($E179*'Assumptions - General'!AD$37+1),1)</f>
        <v>1046888.9648271076</v>
      </c>
      <c r="AE180" s="192">
        <f>AD180*(1+AE181)*IF($E$163=1,($E179*'Assumptions - General'!AE$37+1),1)</f>
        <v>1078295.6337719208</v>
      </c>
      <c r="AF180" s="192">
        <f>AE180*(1+AF181)*IF($E$163=1,($E179*'Assumptions - General'!AF$37+1),1)</f>
        <v>1110644.5027850785</v>
      </c>
      <c r="AG180" s="192">
        <f>AF180*(1+AG181)*IF($E$163=1,($E179*'Assumptions - General'!AG$37+1),1)</f>
        <v>1143963.8378686309</v>
      </c>
      <c r="AH180" s="192">
        <f>AG180*(1+AH181)*IF($E$163=1,($E179*'Assumptions - General'!AH$37+1),1)</f>
        <v>1178282.7530046899</v>
      </c>
    </row>
    <row r="181" spans="2:65" x14ac:dyDescent="0.2">
      <c r="B181" s="30" t="s">
        <v>401</v>
      </c>
      <c r="D181" s="15" t="s">
        <v>15</v>
      </c>
      <c r="E181" s="190"/>
      <c r="F181" s="188">
        <v>0</v>
      </c>
      <c r="G181" s="188">
        <v>0</v>
      </c>
      <c r="H181" s="188">
        <v>0</v>
      </c>
      <c r="I181" s="188">
        <v>0</v>
      </c>
      <c r="J181" s="188">
        <v>0</v>
      </c>
      <c r="K181" s="188">
        <v>0</v>
      </c>
      <c r="L181" s="188">
        <v>0</v>
      </c>
      <c r="M181" s="188">
        <v>0</v>
      </c>
      <c r="N181" s="188">
        <v>0</v>
      </c>
      <c r="O181" s="188">
        <v>0</v>
      </c>
      <c r="P181" s="188">
        <v>0</v>
      </c>
      <c r="Q181" s="188">
        <v>0</v>
      </c>
      <c r="R181" s="188">
        <v>0</v>
      </c>
      <c r="S181" s="188">
        <v>0</v>
      </c>
      <c r="T181" s="188">
        <v>0</v>
      </c>
      <c r="U181" s="188">
        <v>0</v>
      </c>
      <c r="V181" s="188">
        <v>0</v>
      </c>
      <c r="W181" s="188">
        <v>0</v>
      </c>
      <c r="X181" s="188">
        <v>0</v>
      </c>
      <c r="Y181" s="188">
        <v>0</v>
      </c>
      <c r="Z181" s="188">
        <v>0</v>
      </c>
      <c r="AA181" s="188">
        <v>0</v>
      </c>
      <c r="AB181" s="188">
        <v>0</v>
      </c>
      <c r="AC181" s="188">
        <v>0</v>
      </c>
      <c r="AD181" s="188">
        <v>0</v>
      </c>
      <c r="AE181" s="188">
        <v>0</v>
      </c>
      <c r="AF181" s="188">
        <v>0</v>
      </c>
      <c r="AG181" s="188">
        <v>0</v>
      </c>
      <c r="AH181" s="188">
        <v>0</v>
      </c>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row>
    <row r="182" spans="2:65" s="18" customFormat="1" x14ac:dyDescent="0.2">
      <c r="B182" s="32"/>
      <c r="D182" s="81"/>
      <c r="E182" s="204"/>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row>
    <row r="183" spans="2:65" s="20" customFormat="1" ht="14" x14ac:dyDescent="0.2">
      <c r="B183" s="19" t="s">
        <v>592</v>
      </c>
      <c r="D183" s="20" t="s">
        <v>2</v>
      </c>
      <c r="E183" s="188" t="s">
        <v>73</v>
      </c>
      <c r="F183" s="221"/>
      <c r="G183" s="182"/>
      <c r="H183" s="182"/>
      <c r="I183" s="182"/>
      <c r="J183" s="182"/>
      <c r="K183" s="182"/>
      <c r="L183" s="182"/>
      <c r="M183" s="182"/>
      <c r="N183" s="182"/>
      <c r="O183" s="182"/>
      <c r="P183" s="182"/>
      <c r="Q183" s="182"/>
      <c r="R183" s="182"/>
      <c r="S183" s="182"/>
      <c r="T183" s="182"/>
      <c r="U183" s="182"/>
      <c r="V183" s="182"/>
      <c r="W183" s="182"/>
      <c r="X183" s="182"/>
      <c r="Y183" s="182"/>
      <c r="Z183" s="182"/>
      <c r="AA183" s="182"/>
      <c r="AB183" s="182"/>
      <c r="AC183" s="182"/>
      <c r="AD183" s="182"/>
      <c r="AE183" s="182"/>
      <c r="AF183" s="182"/>
      <c r="AG183" s="182"/>
      <c r="AH183" s="182"/>
    </row>
    <row r="184" spans="2:65" s="8" customFormat="1" ht="14" x14ac:dyDescent="0.2">
      <c r="B184" s="14" t="s">
        <v>586</v>
      </c>
      <c r="D184" s="10" t="str">
        <f>'Assumptions - General'!$E$27 &amp;" millions"</f>
        <v>R$ millions</v>
      </c>
      <c r="E184" s="176">
        <v>50</v>
      </c>
      <c r="F184" s="183"/>
      <c r="G184" s="183"/>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row>
    <row r="185" spans="2:65" s="8" customFormat="1" ht="14" x14ac:dyDescent="0.2">
      <c r="B185" s="215" t="s">
        <v>587</v>
      </c>
      <c r="D185" s="8" t="s">
        <v>256</v>
      </c>
      <c r="E185" s="176">
        <v>100</v>
      </c>
      <c r="F185" s="219">
        <f t="shared" ref="F185:AH185" si="17">E185*(1+F186)</f>
        <v>100</v>
      </c>
      <c r="G185" s="219">
        <f t="shared" si="17"/>
        <v>100</v>
      </c>
      <c r="H185" s="219">
        <f t="shared" si="17"/>
        <v>100</v>
      </c>
      <c r="I185" s="219">
        <f t="shared" si="17"/>
        <v>100</v>
      </c>
      <c r="J185" s="219">
        <f t="shared" si="17"/>
        <v>100</v>
      </c>
      <c r="K185" s="219">
        <f t="shared" si="17"/>
        <v>100</v>
      </c>
      <c r="L185" s="219">
        <f t="shared" si="17"/>
        <v>100</v>
      </c>
      <c r="M185" s="219">
        <f t="shared" si="17"/>
        <v>100</v>
      </c>
      <c r="N185" s="219">
        <f t="shared" si="17"/>
        <v>100</v>
      </c>
      <c r="O185" s="219">
        <f t="shared" si="17"/>
        <v>100</v>
      </c>
      <c r="P185" s="219">
        <f t="shared" si="17"/>
        <v>100</v>
      </c>
      <c r="Q185" s="219">
        <f t="shared" si="17"/>
        <v>100</v>
      </c>
      <c r="R185" s="219">
        <f t="shared" si="17"/>
        <v>100</v>
      </c>
      <c r="S185" s="219">
        <f t="shared" si="17"/>
        <v>100</v>
      </c>
      <c r="T185" s="219">
        <f t="shared" si="17"/>
        <v>100</v>
      </c>
      <c r="U185" s="219">
        <f t="shared" si="17"/>
        <v>100</v>
      </c>
      <c r="V185" s="219">
        <f t="shared" si="17"/>
        <v>100</v>
      </c>
      <c r="W185" s="219">
        <f t="shared" si="17"/>
        <v>100</v>
      </c>
      <c r="X185" s="219">
        <f t="shared" si="17"/>
        <v>100</v>
      </c>
      <c r="Y185" s="219">
        <f t="shared" si="17"/>
        <v>100</v>
      </c>
      <c r="Z185" s="219">
        <f t="shared" si="17"/>
        <v>100</v>
      </c>
      <c r="AA185" s="219">
        <f t="shared" si="17"/>
        <v>100</v>
      </c>
      <c r="AB185" s="219">
        <f t="shared" si="17"/>
        <v>100</v>
      </c>
      <c r="AC185" s="219">
        <f t="shared" si="17"/>
        <v>100</v>
      </c>
      <c r="AD185" s="219">
        <f t="shared" si="17"/>
        <v>100</v>
      </c>
      <c r="AE185" s="219">
        <f t="shared" si="17"/>
        <v>100</v>
      </c>
      <c r="AF185" s="219">
        <f t="shared" si="17"/>
        <v>100</v>
      </c>
      <c r="AG185" s="219">
        <f t="shared" si="17"/>
        <v>100</v>
      </c>
      <c r="AH185" s="219">
        <f t="shared" si="17"/>
        <v>100</v>
      </c>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20"/>
      <c r="BG185" s="20"/>
      <c r="BH185" s="20"/>
      <c r="BI185" s="20"/>
      <c r="BJ185" s="20"/>
      <c r="BK185" s="20"/>
      <c r="BL185" s="20"/>
      <c r="BM185" s="20"/>
    </row>
    <row r="186" spans="2:65" s="8" customFormat="1" ht="14" x14ac:dyDescent="0.2">
      <c r="B186" s="211" t="s">
        <v>263</v>
      </c>
      <c r="D186" s="8" t="s">
        <v>15</v>
      </c>
      <c r="E186" s="192"/>
      <c r="F186" s="189">
        <v>0</v>
      </c>
      <c r="G186" s="189">
        <v>0</v>
      </c>
      <c r="H186" s="189">
        <v>0</v>
      </c>
      <c r="I186" s="189">
        <v>0</v>
      </c>
      <c r="J186" s="189">
        <v>0</v>
      </c>
      <c r="K186" s="189">
        <v>0</v>
      </c>
      <c r="L186" s="189">
        <v>0</v>
      </c>
      <c r="M186" s="189">
        <v>0</v>
      </c>
      <c r="N186" s="189">
        <v>0</v>
      </c>
      <c r="O186" s="189">
        <v>0</v>
      </c>
      <c r="P186" s="189">
        <v>0</v>
      </c>
      <c r="Q186" s="189">
        <v>0</v>
      </c>
      <c r="R186" s="189">
        <v>0</v>
      </c>
      <c r="S186" s="189">
        <v>0</v>
      </c>
      <c r="T186" s="189">
        <v>0</v>
      </c>
      <c r="U186" s="189">
        <v>0</v>
      </c>
      <c r="V186" s="189">
        <v>0</v>
      </c>
      <c r="W186" s="189">
        <v>0</v>
      </c>
      <c r="X186" s="189">
        <v>0</v>
      </c>
      <c r="Y186" s="189">
        <v>0</v>
      </c>
      <c r="Z186" s="189">
        <v>0</v>
      </c>
      <c r="AA186" s="189">
        <v>0</v>
      </c>
      <c r="AB186" s="189">
        <v>0</v>
      </c>
      <c r="AC186" s="189">
        <v>0</v>
      </c>
      <c r="AD186" s="189">
        <v>0</v>
      </c>
      <c r="AE186" s="189">
        <v>0</v>
      </c>
      <c r="AF186" s="189">
        <v>0</v>
      </c>
      <c r="AG186" s="189">
        <v>0</v>
      </c>
      <c r="AH186" s="189">
        <v>0</v>
      </c>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20"/>
      <c r="BG186" s="20"/>
      <c r="BH186" s="20"/>
      <c r="BI186" s="20"/>
      <c r="BJ186" s="20"/>
      <c r="BK186" s="20"/>
      <c r="BL186" s="20"/>
      <c r="BM186" s="20"/>
    </row>
    <row r="187" spans="2:65" s="8" customFormat="1" ht="14" x14ac:dyDescent="0.2">
      <c r="B187" s="215" t="s">
        <v>588</v>
      </c>
      <c r="D187" s="15"/>
      <c r="E187" s="180"/>
      <c r="F187" s="220"/>
      <c r="G187" s="183"/>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20"/>
      <c r="BG187" s="20"/>
      <c r="BH187" s="20"/>
      <c r="BI187" s="20"/>
      <c r="BJ187" s="20"/>
      <c r="BK187" s="20"/>
      <c r="BL187" s="20"/>
      <c r="BM187" s="20"/>
    </row>
    <row r="188" spans="2:65" s="8" customFormat="1" ht="14" x14ac:dyDescent="0.2">
      <c r="B188" s="211" t="s">
        <v>38</v>
      </c>
      <c r="D188" s="8" t="s">
        <v>15</v>
      </c>
      <c r="E188" s="188">
        <f>IF(E163=2,0,F188/100)</f>
        <v>1</v>
      </c>
      <c r="F188" s="220">
        <v>100</v>
      </c>
      <c r="G188" s="183"/>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20"/>
      <c r="BG188" s="20"/>
      <c r="BH188" s="20"/>
      <c r="BI188" s="20"/>
      <c r="BJ188" s="20"/>
      <c r="BK188" s="20"/>
      <c r="BL188" s="20"/>
      <c r="BM188" s="20"/>
    </row>
    <row r="189" spans="2:65" s="20" customFormat="1" ht="14" x14ac:dyDescent="0.2">
      <c r="B189" s="216" t="s">
        <v>589</v>
      </c>
      <c r="D189" s="122" t="str">
        <f>'Assumptions - General'!$E$27 &amp;" per unit"</f>
        <v>R$ per unit</v>
      </c>
      <c r="E189" s="192">
        <f>E184*1000000/E185</f>
        <v>500000</v>
      </c>
      <c r="F189" s="192">
        <f>E189*(1+F190)*IF($E$163=1,($E188*'Assumptions - General'!F$37+1),1)</f>
        <v>515000</v>
      </c>
      <c r="G189" s="192">
        <f>F189*(1+G190)*IF($E$163=1,($E188*'Assumptions - General'!G$37+1),1)</f>
        <v>530450</v>
      </c>
      <c r="H189" s="192">
        <f>G189*(1+H190)*IF($E$163=1,($E188*'Assumptions - General'!H$37+1),1)</f>
        <v>546363.5</v>
      </c>
      <c r="I189" s="192">
        <f>H189*(1+I190)*IF($E$163=1,($E188*'Assumptions - General'!I$37+1),1)</f>
        <v>562754.40500000003</v>
      </c>
      <c r="J189" s="192">
        <f>I189*(1+J190)*IF($E$163=1,($E188*'Assumptions - General'!J$37+1),1)</f>
        <v>579637.03714999999</v>
      </c>
      <c r="K189" s="192">
        <f>J189*(1+K190)*IF($E$163=1,($E188*'Assumptions - General'!K$37+1),1)</f>
        <v>597026.14826449996</v>
      </c>
      <c r="L189" s="192">
        <f>K189*(1+L190)*IF($E$163=1,($E188*'Assumptions - General'!L$37+1),1)</f>
        <v>614936.93271243502</v>
      </c>
      <c r="M189" s="192">
        <f>L189*(1+M190)*IF($E$163=1,($E188*'Assumptions - General'!M$37+1),1)</f>
        <v>633385.04069380811</v>
      </c>
      <c r="N189" s="192">
        <f>M189*(1+N190)*IF($E$163=1,($E188*'Assumptions - General'!N$37+1),1)</f>
        <v>652386.59191462235</v>
      </c>
      <c r="O189" s="192">
        <f>N189*(1+O190)*IF($E$163=1,($E188*'Assumptions - General'!O$37+1),1)</f>
        <v>671958.18967206101</v>
      </c>
      <c r="P189" s="192">
        <f>O189*(1+P190)*IF($E$163=1,($E188*'Assumptions - General'!P$37+1),1)</f>
        <v>692116.93536222284</v>
      </c>
      <c r="Q189" s="192">
        <f>P189*(1+Q190)*IF($E$163=1,($E188*'Assumptions - General'!Q$37+1),1)</f>
        <v>712880.44342308957</v>
      </c>
      <c r="R189" s="192">
        <f>Q189*(1+R190)*IF($E$163=1,($E188*'Assumptions - General'!R$37+1),1)</f>
        <v>734266.85672578227</v>
      </c>
      <c r="S189" s="192">
        <f>R189*(1+S190)*IF($E$163=1,($E188*'Assumptions - General'!S$37+1),1)</f>
        <v>756294.86242755572</v>
      </c>
      <c r="T189" s="192">
        <f>S189*(1+T190)*IF($E$163=1,($E188*'Assumptions - General'!T$37+1),1)</f>
        <v>778983.70830038236</v>
      </c>
      <c r="U189" s="192">
        <f>T189*(1+U190)*IF($E$163=1,($E188*'Assumptions - General'!U$37+1),1)</f>
        <v>802353.21954939386</v>
      </c>
      <c r="V189" s="192">
        <f>U189*(1+V190)*IF($E$163=1,($E188*'Assumptions - General'!V$37+1),1)</f>
        <v>826423.81613587565</v>
      </c>
      <c r="W189" s="192">
        <f>V189*(1+W190)*IF($E$163=1,($E188*'Assumptions - General'!W$37+1),1)</f>
        <v>851216.5306199519</v>
      </c>
      <c r="X189" s="192">
        <f>W189*(1+X190)*IF($E$163=1,($E188*'Assumptions - General'!X$37+1),1)</f>
        <v>876753.0265385505</v>
      </c>
      <c r="Y189" s="192">
        <f>X189*(1+Y190)*IF($E$163=1,($E188*'Assumptions - General'!Y$37+1),1)</f>
        <v>903055.61733470706</v>
      </c>
      <c r="Z189" s="192">
        <f>Y189*(1+Z190)*IF($E$163=1,($E188*'Assumptions - General'!Z$37+1),1)</f>
        <v>930147.28585474833</v>
      </c>
      <c r="AA189" s="192">
        <f>Z189*(1+AA190)*IF($E$163=1,($E188*'Assumptions - General'!AA$37+1),1)</f>
        <v>958051.70443039085</v>
      </c>
      <c r="AB189" s="192">
        <f>AA189*(1+AB190)*IF($E$163=1,($E188*'Assumptions - General'!AB$37+1),1)</f>
        <v>986793.25556330255</v>
      </c>
      <c r="AC189" s="192">
        <f>AB189*(1+AC190)*IF($E$163=1,($E188*'Assumptions - General'!AC$37+1),1)</f>
        <v>1016397.0532302016</v>
      </c>
      <c r="AD189" s="192">
        <f>AC189*(1+AD190)*IF($E$163=1,($E188*'Assumptions - General'!AD$37+1),1)</f>
        <v>1046888.9648271076</v>
      </c>
      <c r="AE189" s="192">
        <f>AD189*(1+AE190)*IF($E$163=1,($E188*'Assumptions - General'!AE$37+1),1)</f>
        <v>1078295.6337719208</v>
      </c>
      <c r="AF189" s="192">
        <f>AE189*(1+AF190)*IF($E$163=1,($E188*'Assumptions - General'!AF$37+1),1)</f>
        <v>1110644.5027850785</v>
      </c>
      <c r="AG189" s="192">
        <f>AF189*(1+AG190)*IF($E$163=1,($E188*'Assumptions - General'!AG$37+1),1)</f>
        <v>1143963.8378686309</v>
      </c>
      <c r="AH189" s="192">
        <f>AG189*(1+AH190)*IF($E$163=1,($E188*'Assumptions - General'!AH$37+1),1)</f>
        <v>1178282.7530046899</v>
      </c>
    </row>
    <row r="190" spans="2:65" x14ac:dyDescent="0.2">
      <c r="B190" s="30" t="s">
        <v>401</v>
      </c>
      <c r="D190" s="15" t="s">
        <v>15</v>
      </c>
      <c r="E190" s="190"/>
      <c r="F190" s="188">
        <v>0</v>
      </c>
      <c r="G190" s="188">
        <v>0</v>
      </c>
      <c r="H190" s="188">
        <v>0</v>
      </c>
      <c r="I190" s="188">
        <v>0</v>
      </c>
      <c r="J190" s="188">
        <v>0</v>
      </c>
      <c r="K190" s="188">
        <v>0</v>
      </c>
      <c r="L190" s="188">
        <v>0</v>
      </c>
      <c r="M190" s="188">
        <v>0</v>
      </c>
      <c r="N190" s="188">
        <v>0</v>
      </c>
      <c r="O190" s="188">
        <v>0</v>
      </c>
      <c r="P190" s="188">
        <v>0</v>
      </c>
      <c r="Q190" s="188">
        <v>0</v>
      </c>
      <c r="R190" s="188">
        <v>0</v>
      </c>
      <c r="S190" s="188">
        <v>0</v>
      </c>
      <c r="T190" s="188">
        <v>0</v>
      </c>
      <c r="U190" s="188">
        <v>0</v>
      </c>
      <c r="V190" s="188">
        <v>0</v>
      </c>
      <c r="W190" s="188">
        <v>0</v>
      </c>
      <c r="X190" s="188">
        <v>0</v>
      </c>
      <c r="Y190" s="188">
        <v>0</v>
      </c>
      <c r="Z190" s="188">
        <v>0</v>
      </c>
      <c r="AA190" s="188">
        <v>0</v>
      </c>
      <c r="AB190" s="188">
        <v>0</v>
      </c>
      <c r="AC190" s="188">
        <v>0</v>
      </c>
      <c r="AD190" s="188">
        <v>0</v>
      </c>
      <c r="AE190" s="188">
        <v>0</v>
      </c>
      <c r="AF190" s="188">
        <v>0</v>
      </c>
      <c r="AG190" s="188">
        <v>0</v>
      </c>
      <c r="AH190" s="188">
        <v>0</v>
      </c>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row>
    <row r="191" spans="2:65" s="18" customFormat="1" x14ac:dyDescent="0.2"/>
    <row r="192" spans="2:65" s="18" customFormat="1" outlineLevel="1" x14ac:dyDescent="0.2">
      <c r="B192" s="57" t="str">
        <f>E165&amp; " - total annual cost in forecast period"</f>
        <v>Tax credit - total annual cost in forecast period</v>
      </c>
      <c r="D192" s="10" t="str">
        <f>'Assumptions - General'!$E$27 &amp;" millions"</f>
        <v>R$ millions</v>
      </c>
      <c r="E192" s="192">
        <f>Calculations!E1133</f>
        <v>100</v>
      </c>
      <c r="F192" s="192">
        <f>Calculations!F1133</f>
        <v>103</v>
      </c>
      <c r="G192" s="192">
        <f>Calculations!G1133</f>
        <v>106.09</v>
      </c>
      <c r="H192" s="192">
        <f>Calculations!H1133</f>
        <v>109.2727</v>
      </c>
      <c r="I192" s="192">
        <f>Calculations!I1133</f>
        <v>112.550881</v>
      </c>
      <c r="J192" s="192">
        <f>Calculations!J1133</f>
        <v>115.92740742999999</v>
      </c>
      <c r="K192" s="192">
        <f>Calculations!K1133</f>
        <v>119.40522965289999</v>
      </c>
      <c r="L192" s="192">
        <f>Calculations!L1133</f>
        <v>122.98738654248702</v>
      </c>
      <c r="M192" s="192">
        <f>Calculations!M1133</f>
        <v>126.67700813876162</v>
      </c>
      <c r="N192" s="192">
        <f>Calculations!N1133</f>
        <v>130.47731838292447</v>
      </c>
      <c r="O192" s="192">
        <f>Calculations!O1133</f>
        <v>134.39163793441222</v>
      </c>
      <c r="P192" s="192">
        <f>Calculations!P1133</f>
        <v>138.42338707244457</v>
      </c>
      <c r="Q192" s="192">
        <f>Calculations!Q1133</f>
        <v>142.5760886846179</v>
      </c>
      <c r="R192" s="192">
        <f>Calculations!R1133</f>
        <v>146.85337134515646</v>
      </c>
      <c r="S192" s="192">
        <f>Calculations!S1133</f>
        <v>151.25897248551115</v>
      </c>
      <c r="T192" s="192">
        <f>Calculations!T1133</f>
        <v>155.79674166007646</v>
      </c>
      <c r="U192" s="192">
        <f>Calculations!U1133</f>
        <v>160.47064390987876</v>
      </c>
      <c r="V192" s="192">
        <f>Calculations!V1133</f>
        <v>165.28476322717512</v>
      </c>
      <c r="W192" s="192">
        <f>Calculations!W1133</f>
        <v>170.24330612399038</v>
      </c>
      <c r="X192" s="192">
        <f>Calculations!X1133</f>
        <v>175.35060530771011</v>
      </c>
      <c r="Y192" s="192">
        <f>Calculations!Y1133</f>
        <v>180.61112346694142</v>
      </c>
      <c r="Z192" s="192">
        <f>Calculations!Z1133</f>
        <v>186.02945717094966</v>
      </c>
      <c r="AA192" s="192">
        <f>Calculations!AA1133</f>
        <v>191.61034088607818</v>
      </c>
      <c r="AB192" s="192">
        <f>Calculations!AB1133</f>
        <v>197.35865111266051</v>
      </c>
      <c r="AC192" s="192">
        <f>Calculations!AC1133</f>
        <v>203.27941064604033</v>
      </c>
      <c r="AD192" s="192">
        <f>Calculations!AD1133</f>
        <v>209.37779296542152</v>
      </c>
      <c r="AE192" s="192">
        <f>Calculations!AE1133</f>
        <v>215.65912675438415</v>
      </c>
      <c r="AF192" s="192">
        <f>Calculations!AF1133</f>
        <v>222.1289005570157</v>
      </c>
      <c r="AG192" s="192">
        <f>Calculations!AG1133</f>
        <v>228.79276757372617</v>
      </c>
      <c r="AH192" s="192">
        <f>Calculations!AH1133</f>
        <v>235.656550600938</v>
      </c>
    </row>
    <row r="193" spans="1:34" s="18" customFormat="1" outlineLevel="1" x14ac:dyDescent="0.2">
      <c r="B193" s="57" t="str">
        <f>E174&amp; " - total annual cost in forecast period"</f>
        <v>Investment income - total annual cost in forecast period</v>
      </c>
      <c r="D193" s="10" t="str">
        <f>'Assumptions - General'!$E$27 &amp;" millions"</f>
        <v>R$ millions</v>
      </c>
      <c r="E193" s="192">
        <f>Calculations!E1134</f>
        <v>50</v>
      </c>
      <c r="F193" s="192">
        <f>Calculations!F1134</f>
        <v>51.5</v>
      </c>
      <c r="G193" s="192">
        <f>Calculations!G1134</f>
        <v>53.045000000000002</v>
      </c>
      <c r="H193" s="192">
        <f>Calculations!H1134</f>
        <v>54.63635</v>
      </c>
      <c r="I193" s="192">
        <f>Calculations!I1134</f>
        <v>56.275440500000002</v>
      </c>
      <c r="J193" s="192">
        <f>Calculations!J1134</f>
        <v>57.963703714999994</v>
      </c>
      <c r="K193" s="192">
        <f>Calculations!K1134</f>
        <v>59.702614826449995</v>
      </c>
      <c r="L193" s="192">
        <f>Calculations!L1134</f>
        <v>61.493693271243508</v>
      </c>
      <c r="M193" s="192">
        <f>Calculations!M1134</f>
        <v>63.338504069380811</v>
      </c>
      <c r="N193" s="192">
        <f>Calculations!N1134</f>
        <v>65.238659191462233</v>
      </c>
      <c r="O193" s="192">
        <f>Calculations!O1134</f>
        <v>67.195818967206108</v>
      </c>
      <c r="P193" s="192">
        <f>Calculations!P1134</f>
        <v>69.211693536222285</v>
      </c>
      <c r="Q193" s="192">
        <f>Calculations!Q1134</f>
        <v>71.28804434230895</v>
      </c>
      <c r="R193" s="192">
        <f>Calculations!R1134</f>
        <v>73.42668567257823</v>
      </c>
      <c r="S193" s="192">
        <f>Calculations!S1134</f>
        <v>75.629486242755576</v>
      </c>
      <c r="T193" s="192">
        <f>Calculations!T1134</f>
        <v>77.898370830038232</v>
      </c>
      <c r="U193" s="192">
        <f>Calculations!U1134</f>
        <v>80.23532195493938</v>
      </c>
      <c r="V193" s="192">
        <f>Calculations!V1134</f>
        <v>82.64238161358756</v>
      </c>
      <c r="W193" s="192">
        <f>Calculations!W1134</f>
        <v>85.12165306199519</v>
      </c>
      <c r="X193" s="192">
        <f>Calculations!X1134</f>
        <v>87.675302653855056</v>
      </c>
      <c r="Y193" s="192">
        <f>Calculations!Y1134</f>
        <v>90.305561733470711</v>
      </c>
      <c r="Z193" s="192">
        <f>Calculations!Z1134</f>
        <v>93.014728585474828</v>
      </c>
      <c r="AA193" s="192">
        <f>Calculations!AA1134</f>
        <v>95.805170443039088</v>
      </c>
      <c r="AB193" s="192">
        <f>Calculations!AB1134</f>
        <v>98.679325556330255</v>
      </c>
      <c r="AC193" s="192">
        <f>Calculations!AC1134</f>
        <v>101.63970532302017</v>
      </c>
      <c r="AD193" s="192">
        <f>Calculations!AD1134</f>
        <v>104.68889648271076</v>
      </c>
      <c r="AE193" s="192">
        <f>Calculations!AE1134</f>
        <v>107.82956337719207</v>
      </c>
      <c r="AF193" s="192">
        <f>Calculations!AF1134</f>
        <v>111.06445027850785</v>
      </c>
      <c r="AG193" s="192">
        <f>Calculations!AG1134</f>
        <v>114.39638378686308</v>
      </c>
      <c r="AH193" s="192">
        <f>Calculations!AH1134</f>
        <v>117.828275300469</v>
      </c>
    </row>
    <row r="194" spans="1:34" s="18" customFormat="1" outlineLevel="1" x14ac:dyDescent="0.2">
      <c r="B194" s="57" t="str">
        <f>E183&amp; " - total annual cost in forecast period"</f>
        <v>Other - total annual cost in forecast period</v>
      </c>
      <c r="D194" s="10" t="str">
        <f>'Assumptions - General'!$E$27 &amp;" millions"</f>
        <v>R$ millions</v>
      </c>
      <c r="E194" s="192">
        <f>Calculations!E1136</f>
        <v>50</v>
      </c>
      <c r="F194" s="192">
        <f>Calculations!F1136</f>
        <v>51.5</v>
      </c>
      <c r="G194" s="192">
        <f>Calculations!G1136</f>
        <v>53.045000000000002</v>
      </c>
      <c r="H194" s="192">
        <f>Calculations!H1136</f>
        <v>54.63635</v>
      </c>
      <c r="I194" s="192">
        <f>Calculations!I1136</f>
        <v>56.275440500000002</v>
      </c>
      <c r="J194" s="192">
        <f>Calculations!J1136</f>
        <v>57.963703714999994</v>
      </c>
      <c r="K194" s="192">
        <f>Calculations!K1136</f>
        <v>59.702614826449995</v>
      </c>
      <c r="L194" s="192">
        <f>Calculations!L1136</f>
        <v>61.493693271243508</v>
      </c>
      <c r="M194" s="192">
        <f>Calculations!M1136</f>
        <v>63.338504069380811</v>
      </c>
      <c r="N194" s="192">
        <f>Calculations!N1136</f>
        <v>65.238659191462233</v>
      </c>
      <c r="O194" s="192">
        <f>Calculations!O1136</f>
        <v>67.195818967206108</v>
      </c>
      <c r="P194" s="192">
        <f>Calculations!P1136</f>
        <v>69.211693536222285</v>
      </c>
      <c r="Q194" s="192">
        <f>Calculations!Q1136</f>
        <v>71.28804434230895</v>
      </c>
      <c r="R194" s="192">
        <f>Calculations!R1136</f>
        <v>73.42668567257823</v>
      </c>
      <c r="S194" s="192">
        <f>Calculations!S1136</f>
        <v>75.629486242755576</v>
      </c>
      <c r="T194" s="192">
        <f>Calculations!T1136</f>
        <v>77.898370830038232</v>
      </c>
      <c r="U194" s="192">
        <f>Calculations!U1136</f>
        <v>80.23532195493938</v>
      </c>
      <c r="V194" s="192">
        <f>Calculations!V1136</f>
        <v>82.64238161358756</v>
      </c>
      <c r="W194" s="192">
        <f>Calculations!W1136</f>
        <v>85.12165306199519</v>
      </c>
      <c r="X194" s="192">
        <f>Calculations!X1136</f>
        <v>87.675302653855056</v>
      </c>
      <c r="Y194" s="192">
        <f>Calculations!Y1136</f>
        <v>90.305561733470711</v>
      </c>
      <c r="Z194" s="192">
        <f>Calculations!Z1136</f>
        <v>93.014728585474828</v>
      </c>
      <c r="AA194" s="192">
        <f>Calculations!AA1136</f>
        <v>95.805170443039088</v>
      </c>
      <c r="AB194" s="192">
        <f>Calculations!AB1136</f>
        <v>98.679325556330255</v>
      </c>
      <c r="AC194" s="192">
        <f>Calculations!AC1136</f>
        <v>101.63970532302017</v>
      </c>
      <c r="AD194" s="192">
        <f>Calculations!AD1136</f>
        <v>104.68889648271076</v>
      </c>
      <c r="AE194" s="192">
        <f>Calculations!AE1136</f>
        <v>107.82956337719207</v>
      </c>
      <c r="AF194" s="192">
        <f>Calculations!AF1136</f>
        <v>111.06445027850785</v>
      </c>
      <c r="AG194" s="192">
        <f>Calculations!AG1136</f>
        <v>114.39638378686308</v>
      </c>
      <c r="AH194" s="192">
        <f>Calculations!AH1136</f>
        <v>117.828275300469</v>
      </c>
    </row>
    <row r="195" spans="1:34" s="18" customFormat="1" x14ac:dyDescent="0.2">
      <c r="A195" s="7" t="s">
        <v>405</v>
      </c>
      <c r="B195" s="20"/>
    </row>
    <row r="196" spans="1:34" s="18" customFormat="1" x14ac:dyDescent="0.2">
      <c r="A196" s="7"/>
      <c r="B196" s="20"/>
    </row>
    <row r="197" spans="1:34" s="316" customFormat="1" x14ac:dyDescent="0.2">
      <c r="B197" s="315" t="str">
        <f>"Public subsidy assumptions for "&amp;'Assumptions - General'!E26</f>
        <v>Public subsidy assumptions for Ruritania Railway Infrastructure Company</v>
      </c>
    </row>
    <row r="198" spans="1:34" s="8" customFormat="1" ht="14" x14ac:dyDescent="0.2">
      <c r="B198" s="7"/>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row>
    <row r="199" spans="1:34" s="8" customFormat="1" ht="14" x14ac:dyDescent="0.2">
      <c r="B199" s="21" t="s">
        <v>610</v>
      </c>
      <c r="E199" s="208" t="str">
        <f>IF(E200=1,IF(AND(E203=1,SUM(E209:AH209)&gt;0),"WARNING: MANUAL INPUT OF SUBSIDY WITH MODEL CALCULATION",IF(AND(E203=2,SUM(E209:AH209)=0),"WARNING: SUBSIDY MISSING WITH MANUAL ENTRY"," "))," ")</f>
        <v xml:space="preserve"> </v>
      </c>
      <c r="F199" s="87" t="s">
        <v>33</v>
      </c>
    </row>
    <row r="200" spans="1:34" s="8" customFormat="1" ht="14" x14ac:dyDescent="0.2">
      <c r="B200" s="14" t="s">
        <v>251</v>
      </c>
      <c r="D200" s="8" t="s">
        <v>32</v>
      </c>
      <c r="E200" s="177">
        <f>IF(F199=F200,1,2)</f>
        <v>1</v>
      </c>
      <c r="F200" s="87" t="s">
        <v>33</v>
      </c>
    </row>
    <row r="201" spans="1:34" s="8" customFormat="1" ht="14" x14ac:dyDescent="0.2">
      <c r="B201" s="14"/>
      <c r="E201" s="177"/>
      <c r="F201" s="87" t="s">
        <v>211</v>
      </c>
    </row>
    <row r="202" spans="1:34" s="8" customFormat="1" ht="14" x14ac:dyDescent="0.2">
      <c r="B202" s="14" t="str">
        <f>IF(E200=1,"Subsidy in first year"," ")</f>
        <v>Subsidy in first year</v>
      </c>
      <c r="D202" s="8" t="str">
        <f>IF(E200=1,'Assumptions - General'!$E$27 &amp;" millions"," ")</f>
        <v>R$ millions</v>
      </c>
      <c r="E202" s="181">
        <v>50</v>
      </c>
      <c r="F202" s="87" t="s">
        <v>355</v>
      </c>
    </row>
    <row r="203" spans="1:34" s="8" customFormat="1" ht="14" x14ac:dyDescent="0.2">
      <c r="B203" s="14" t="str">
        <f>IF(E200=1,IF(E200=1,"Let model calculate change in subsidy or enter it manually?"," ")," ")</f>
        <v>Let model calculate change in subsidy or enter it manually?</v>
      </c>
      <c r="D203" s="8" t="str">
        <f>IF(E200=1,"Select"," ")</f>
        <v>Select</v>
      </c>
      <c r="E203" s="177">
        <f>IF(F202=F203,1,2)</f>
        <v>1</v>
      </c>
      <c r="F203" s="87" t="s">
        <v>355</v>
      </c>
    </row>
    <row r="204" spans="1:34" s="8" customFormat="1" ht="14" x14ac:dyDescent="0.2">
      <c r="B204" s="14"/>
      <c r="E204" s="177"/>
      <c r="F204" s="87" t="s">
        <v>229</v>
      </c>
    </row>
    <row r="205" spans="1:34" s="8" customFormat="1" ht="14" x14ac:dyDescent="0.2">
      <c r="B205" s="14" t="str">
        <f>IF(E200=1,IF(E203=1,"If calculated, grow subsidy by inflation rate after year 1?"," ")," ")</f>
        <v>If calculated, grow subsidy by inflation rate after year 1?</v>
      </c>
      <c r="D205" s="8" t="str">
        <f>IF(E200=1,IF(E203=1,"yes/no"," ")," ")</f>
        <v>yes/no</v>
      </c>
      <c r="E205" s="177">
        <f>IF(F205=F200,1,2)</f>
        <v>1</v>
      </c>
      <c r="F205" s="87" t="s">
        <v>33</v>
      </c>
    </row>
    <row r="206" spans="1:34" s="8" customFormat="1" ht="14" x14ac:dyDescent="0.2">
      <c r="B206" s="14"/>
      <c r="E206" s="177"/>
      <c r="F206" s="87"/>
    </row>
    <row r="207" spans="1:34" s="8" customFormat="1" ht="14" x14ac:dyDescent="0.2">
      <c r="B207" s="30" t="str">
        <f>IF(E200=1,IF(E203=1,"If yes, proportion of inflation indexation after year 1"," ")," ")</f>
        <v>If yes, proportion of inflation indexation after year 1</v>
      </c>
      <c r="D207" s="15" t="str">
        <f>IF(E200=1,IF(E203=1,"%"," ")," ")</f>
        <v>%</v>
      </c>
      <c r="E207" s="188">
        <f>F207/100</f>
        <v>1</v>
      </c>
      <c r="F207" s="87">
        <v>100</v>
      </c>
    </row>
    <row r="208" spans="1:34" s="8" customFormat="1" ht="14" x14ac:dyDescent="0.2">
      <c r="B208" s="30" t="str">
        <f>IF(E200=1,IF(E203=1,"Enter additional annual change"," ")," ")</f>
        <v>Enter additional annual change</v>
      </c>
      <c r="D208" s="15" t="str">
        <f>IF(E200=1,IF(E203=1,"%"," ")," ")</f>
        <v>%</v>
      </c>
      <c r="E208" s="180"/>
      <c r="F208" s="111"/>
      <c r="G208" s="111"/>
      <c r="H208" s="111"/>
      <c r="I208" s="111"/>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row>
    <row r="209" spans="2:34" s="8" customFormat="1" ht="14" x14ac:dyDescent="0.2">
      <c r="B209" s="14" t="str">
        <f>IF(E200=1,IF(E203=1," ","If entered manually, define annual subsidy")," ")</f>
        <v xml:space="preserve"> </v>
      </c>
      <c r="D209" s="8" t="str">
        <f>IF(E200=1,IF(E203=1," ",'Assumptions - General'!$E$27 &amp;" millions")," ")</f>
        <v xml:space="preserve"> </v>
      </c>
      <c r="E209" s="180"/>
      <c r="F209" s="239"/>
      <c r="G209" s="239"/>
      <c r="H209" s="239"/>
      <c r="I209" s="239"/>
      <c r="J209" s="239"/>
      <c r="K209" s="239"/>
      <c r="L209" s="239"/>
      <c r="M209" s="239"/>
      <c r="N209" s="239"/>
      <c r="O209" s="239"/>
      <c r="P209" s="239"/>
      <c r="Q209" s="239"/>
      <c r="R209" s="239"/>
      <c r="S209" s="239"/>
      <c r="T209" s="239"/>
      <c r="U209" s="239"/>
      <c r="V209" s="239"/>
      <c r="W209" s="239"/>
      <c r="X209" s="239"/>
      <c r="Y209" s="239"/>
      <c r="Z209" s="239"/>
      <c r="AA209" s="239"/>
      <c r="AB209" s="239"/>
      <c r="AC209" s="239"/>
      <c r="AD209" s="239"/>
      <c r="AE209" s="239"/>
      <c r="AF209" s="239"/>
      <c r="AG209" s="239"/>
      <c r="AH209" s="239"/>
    </row>
    <row r="210" spans="2:34" s="8" customFormat="1" ht="14" x14ac:dyDescent="0.2">
      <c r="B210" s="21" t="s">
        <v>609</v>
      </c>
      <c r="E210" s="208" t="str">
        <f>IF(E211=1,IF(AND(E215=1,SUM(E221:AH221)&gt;0),"WARNING: MANUAL INPUT OF SUBSIDY WITH MODEL CALCULATION",IF(AND(E215=2,SUM(E221:AH221)=0),"WARNING: SUBSIDY MISSING WITH MANUAL ENTRY"," "))," ")</f>
        <v xml:space="preserve"> </v>
      </c>
      <c r="F210" s="87" t="s">
        <v>33</v>
      </c>
    </row>
    <row r="211" spans="2:34" s="8" customFormat="1" ht="14" x14ac:dyDescent="0.2">
      <c r="B211" s="14" t="s">
        <v>251</v>
      </c>
      <c r="D211" s="8" t="s">
        <v>32</v>
      </c>
      <c r="E211" s="177">
        <f>IF(F210=F211,1,2)</f>
        <v>1</v>
      </c>
      <c r="F211" s="87" t="s">
        <v>33</v>
      </c>
    </row>
    <row r="212" spans="2:34" s="8" customFormat="1" ht="14" x14ac:dyDescent="0.2">
      <c r="B212" s="14"/>
      <c r="E212" s="177"/>
      <c r="F212" s="87" t="s">
        <v>211</v>
      </c>
    </row>
    <row r="213" spans="2:34" s="8" customFormat="1" ht="14" x14ac:dyDescent="0.2">
      <c r="B213" s="14" t="str">
        <f>IF(E211=1,"Subsidy in first year"," ")</f>
        <v>Subsidy in first year</v>
      </c>
      <c r="D213" s="8" t="str">
        <f>IF(E211=1,'Assumptions - General'!$E$27 &amp;" millions"," ")</f>
        <v>R$ millions</v>
      </c>
      <c r="E213" s="181">
        <v>15</v>
      </c>
      <c r="F213" s="87"/>
    </row>
    <row r="214" spans="2:34" s="8" customFormat="1" ht="14" x14ac:dyDescent="0.2">
      <c r="B214" s="14" t="str">
        <f>IF(E211=1,"Amortization of grant in first year", " ")</f>
        <v>Amortization of grant in first year</v>
      </c>
      <c r="D214" s="8" t="str">
        <f>D213</f>
        <v>R$ millions</v>
      </c>
      <c r="E214" s="181">
        <v>2</v>
      </c>
      <c r="F214" s="87" t="s">
        <v>355</v>
      </c>
    </row>
    <row r="215" spans="2:34" s="8" customFormat="1" ht="14" x14ac:dyDescent="0.2">
      <c r="B215" s="14" t="str">
        <f>IF(E211=1,IF(E211=1,"Let model calculate change in subsidy or enter it manually?"," ")," ")</f>
        <v>Let model calculate change in subsidy or enter it manually?</v>
      </c>
      <c r="D215" s="8" t="str">
        <f>IF(E211=1,"Select"," ")</f>
        <v>Select</v>
      </c>
      <c r="E215" s="177">
        <f>IF(F214=F215,1,2)</f>
        <v>1</v>
      </c>
      <c r="F215" s="87" t="s">
        <v>355</v>
      </c>
      <c r="G215" s="213"/>
    </row>
    <row r="216" spans="2:34" s="8" customFormat="1" ht="14" x14ac:dyDescent="0.2">
      <c r="B216" s="14"/>
      <c r="E216" s="177"/>
      <c r="F216" s="87" t="s">
        <v>229</v>
      </c>
      <c r="G216" s="226"/>
    </row>
    <row r="217" spans="2:34" s="8" customFormat="1" ht="14" x14ac:dyDescent="0.2">
      <c r="B217" s="14" t="str">
        <f>IF(E211=1,IF(E215=1,"If calculated, grow subsidy by inflation rate after year 1?"," ")," ")</f>
        <v>If calculated, grow subsidy by inflation rate after year 1?</v>
      </c>
      <c r="D217" s="8" t="str">
        <f>IF(E211=1,IF(E215=1,"yes/no"," ")," ")</f>
        <v>yes/no</v>
      </c>
      <c r="E217" s="177">
        <f>IF(F217=F211,1,2)</f>
        <v>1</v>
      </c>
      <c r="F217" s="87" t="s">
        <v>33</v>
      </c>
      <c r="G217" s="226"/>
    </row>
    <row r="218" spans="2:34" s="8" customFormat="1" ht="14" x14ac:dyDescent="0.2">
      <c r="B218" s="14"/>
      <c r="E218" s="177"/>
      <c r="F218" s="87"/>
      <c r="G218" s="226"/>
    </row>
    <row r="219" spans="2:34" s="8" customFormat="1" ht="14" x14ac:dyDescent="0.2">
      <c r="B219" s="30" t="str">
        <f>IF(E211=1,IF(E215=1,"If yes, proportion of inflation indexation after year 1"," ")," ")</f>
        <v>If yes, proportion of inflation indexation after year 1</v>
      </c>
      <c r="D219" s="15" t="str">
        <f>IF(E211=1,IF(E215=1,"%"," ")," ")</f>
        <v>%</v>
      </c>
      <c r="E219" s="188">
        <f>F219/100</f>
        <v>1</v>
      </c>
      <c r="F219" s="87">
        <v>100</v>
      </c>
    </row>
    <row r="220" spans="2:34" s="8" customFormat="1" ht="14" x14ac:dyDescent="0.2">
      <c r="B220" s="30" t="str">
        <f>IF(E211=1,IF(E215=1,"Enter additional annual change"," ")," ")</f>
        <v>Enter additional annual change</v>
      </c>
      <c r="D220" s="15" t="str">
        <f>IF(E211=1,IF(E215=1,"%"," ")," ")</f>
        <v>%</v>
      </c>
      <c r="E220" s="180"/>
      <c r="F220" s="111"/>
      <c r="G220" s="435"/>
      <c r="H220" s="111"/>
      <c r="I220" s="111"/>
      <c r="J220" s="111"/>
      <c r="K220" s="111"/>
      <c r="L220" s="111"/>
      <c r="M220" s="111"/>
      <c r="N220" s="111"/>
      <c r="O220" s="111"/>
      <c r="P220" s="111"/>
      <c r="Q220" s="111"/>
      <c r="R220" s="111"/>
      <c r="S220" s="111"/>
      <c r="T220" s="111"/>
      <c r="U220" s="111"/>
      <c r="V220" s="111"/>
      <c r="W220" s="111"/>
      <c r="X220" s="111"/>
      <c r="Y220" s="111"/>
      <c r="Z220" s="111"/>
      <c r="AA220" s="111"/>
      <c r="AB220" s="111"/>
      <c r="AC220" s="111"/>
      <c r="AD220" s="111"/>
      <c r="AE220" s="111"/>
      <c r="AF220" s="111"/>
      <c r="AG220" s="111"/>
      <c r="AH220" s="111"/>
    </row>
    <row r="221" spans="2:34" s="8" customFormat="1" ht="14" x14ac:dyDescent="0.2">
      <c r="B221" s="14" t="str">
        <f>IF(E211=1,IF(E215=1," ","If entered manually, define annual subsidy")," ")</f>
        <v xml:space="preserve"> </v>
      </c>
      <c r="D221" s="8" t="str">
        <f>IF(E211=1,IF(E215=1," ",'Assumptions - General'!$E$27 &amp;" millions")," ")</f>
        <v xml:space="preserve"> </v>
      </c>
      <c r="E221" s="180"/>
      <c r="F221" s="438"/>
      <c r="G221" s="439"/>
      <c r="H221" s="438"/>
      <c r="I221" s="438"/>
      <c r="J221" s="438"/>
      <c r="K221" s="438"/>
      <c r="L221" s="438"/>
      <c r="M221" s="438"/>
      <c r="N221" s="438"/>
      <c r="O221" s="438"/>
      <c r="P221" s="438"/>
      <c r="Q221" s="438"/>
      <c r="R221" s="438"/>
      <c r="S221" s="438"/>
      <c r="T221" s="438"/>
      <c r="U221" s="438"/>
      <c r="V221" s="438"/>
      <c r="W221" s="438"/>
      <c r="X221" s="438"/>
      <c r="Y221" s="438"/>
      <c r="Z221" s="438"/>
      <c r="AA221" s="438"/>
      <c r="AB221" s="438"/>
      <c r="AC221" s="438"/>
      <c r="AD221" s="438"/>
      <c r="AE221" s="438"/>
      <c r="AF221" s="438"/>
      <c r="AG221" s="438"/>
      <c r="AH221" s="438"/>
    </row>
    <row r="222" spans="2:34" s="20" customFormat="1" ht="14" x14ac:dyDescent="0.2">
      <c r="B222" s="230"/>
      <c r="D222" s="81"/>
      <c r="E222" s="180"/>
      <c r="F222" s="81"/>
      <c r="G222" s="436"/>
      <c r="H222" s="81"/>
      <c r="I222" s="81"/>
      <c r="J222" s="81"/>
      <c r="K222" s="81"/>
      <c r="L222" s="81"/>
      <c r="M222" s="81"/>
      <c r="N222" s="81"/>
      <c r="O222" s="81"/>
      <c r="P222" s="81"/>
      <c r="Q222" s="81"/>
      <c r="R222" s="81"/>
      <c r="S222" s="81"/>
      <c r="T222" s="81"/>
      <c r="U222" s="81"/>
      <c r="V222" s="81"/>
      <c r="W222" s="81"/>
      <c r="X222" s="81"/>
      <c r="Y222" s="81"/>
      <c r="Z222" s="81"/>
      <c r="AA222" s="81"/>
      <c r="AB222" s="81"/>
      <c r="AC222" s="81"/>
      <c r="AD222" s="81"/>
      <c r="AE222" s="81"/>
      <c r="AF222" s="81"/>
      <c r="AG222" s="81"/>
      <c r="AH222" s="81"/>
    </row>
    <row r="223" spans="2:34" s="8" customFormat="1" ht="14" outlineLevel="1" x14ac:dyDescent="0.2">
      <c r="B223" s="14" t="s">
        <v>619</v>
      </c>
      <c r="D223" s="8" t="str">
        <f>'Assumptions - General'!$E$27 &amp;" millions"</f>
        <v>R$ millions</v>
      </c>
      <c r="E223" s="257">
        <f>Calculations!E1141</f>
        <v>50</v>
      </c>
      <c r="F223" s="257">
        <f>Calculations!F1141</f>
        <v>51.5</v>
      </c>
      <c r="G223" s="257">
        <f>Calculations!G1141</f>
        <v>53.045000000000002</v>
      </c>
      <c r="H223" s="257">
        <f>Calculations!H1141</f>
        <v>54.63635</v>
      </c>
      <c r="I223" s="257">
        <f>Calculations!I1141</f>
        <v>56.275440500000002</v>
      </c>
      <c r="J223" s="257">
        <f>Calculations!J1141</f>
        <v>57.963703715000001</v>
      </c>
      <c r="K223" s="257">
        <f>Calculations!K1141</f>
        <v>59.702614826450002</v>
      </c>
      <c r="L223" s="257">
        <f>Calculations!L1141</f>
        <v>61.493693271243501</v>
      </c>
      <c r="M223" s="257">
        <f>Calculations!M1141</f>
        <v>63.338504069380811</v>
      </c>
      <c r="N223" s="257">
        <f>Calculations!N1141</f>
        <v>65.238659191462233</v>
      </c>
      <c r="O223" s="257">
        <f>Calculations!O1141</f>
        <v>67.195818967206108</v>
      </c>
      <c r="P223" s="257">
        <f>Calculations!P1141</f>
        <v>69.211693536222299</v>
      </c>
      <c r="Q223" s="257">
        <f>Calculations!Q1141</f>
        <v>71.288044342308964</v>
      </c>
      <c r="R223" s="257">
        <f>Calculations!R1141</f>
        <v>73.42668567257823</v>
      </c>
      <c r="S223" s="257">
        <f>Calculations!S1141</f>
        <v>75.629486242755576</v>
      </c>
      <c r="T223" s="257">
        <f>Calculations!T1141</f>
        <v>77.898370830038246</v>
      </c>
      <c r="U223" s="257">
        <f>Calculations!U1141</f>
        <v>80.235321954939394</v>
      </c>
      <c r="V223" s="257">
        <f>Calculations!V1141</f>
        <v>82.642381613587574</v>
      </c>
      <c r="W223" s="257">
        <f>Calculations!W1141</f>
        <v>85.121653061995204</v>
      </c>
      <c r="X223" s="257">
        <f>Calculations!X1141</f>
        <v>87.675302653855056</v>
      </c>
      <c r="Y223" s="257">
        <f>Calculations!Y1141</f>
        <v>90.305561733470711</v>
      </c>
      <c r="Z223" s="257">
        <f>Calculations!Z1141</f>
        <v>93.014728585474828</v>
      </c>
      <c r="AA223" s="257">
        <f>Calculations!AA1141</f>
        <v>95.805170443039074</v>
      </c>
      <c r="AB223" s="257">
        <f>Calculations!AB1141</f>
        <v>98.679325556330255</v>
      </c>
      <c r="AC223" s="257">
        <f>Calculations!AC1141</f>
        <v>101.63970532302017</v>
      </c>
      <c r="AD223" s="257">
        <f>Calculations!AD1141</f>
        <v>104.68889648271077</v>
      </c>
      <c r="AE223" s="257">
        <f>Calculations!AE1141</f>
        <v>107.8295633771921</v>
      </c>
      <c r="AF223" s="257">
        <f>Calculations!AF1141</f>
        <v>111.06445027850786</v>
      </c>
      <c r="AG223" s="257">
        <f>Calculations!AG1141</f>
        <v>114.3963837868631</v>
      </c>
      <c r="AH223" s="257">
        <f>Calculations!AH1141</f>
        <v>117.82827530046899</v>
      </c>
    </row>
    <row r="224" spans="2:34" s="8" customFormat="1" ht="14" outlineLevel="1" x14ac:dyDescent="0.2">
      <c r="B224" s="14" t="s">
        <v>620</v>
      </c>
      <c r="D224" s="8" t="str">
        <f>'Assumptions - General'!$E$27 &amp;" millions"</f>
        <v>R$ millions</v>
      </c>
      <c r="E224" s="257">
        <f>Calculations!E1142</f>
        <v>15</v>
      </c>
      <c r="F224" s="257">
        <f>Calculations!F1142</f>
        <v>15.450000000000001</v>
      </c>
      <c r="G224" s="257">
        <f>Calculations!G1142</f>
        <v>15.913500000000001</v>
      </c>
      <c r="H224" s="257">
        <f>Calculations!H1142</f>
        <v>16.390905</v>
      </c>
      <c r="I224" s="257">
        <f>Calculations!I1142</f>
        <v>16.882632149999999</v>
      </c>
      <c r="J224" s="257">
        <f>Calculations!J1142</f>
        <v>17.3891111145</v>
      </c>
      <c r="K224" s="257">
        <f>Calculations!K1142</f>
        <v>17.910784447935001</v>
      </c>
      <c r="L224" s="257">
        <f>Calculations!L1142</f>
        <v>18.448107981373052</v>
      </c>
      <c r="M224" s="257">
        <f>Calculations!M1142</f>
        <v>19.001551220814246</v>
      </c>
      <c r="N224" s="257">
        <f>Calculations!N1142</f>
        <v>19.571597757438674</v>
      </c>
      <c r="O224" s="257">
        <f>Calculations!O1142</f>
        <v>20.158745690161833</v>
      </c>
      <c r="P224" s="257">
        <f>Calculations!P1142</f>
        <v>20.763508060866688</v>
      </c>
      <c r="Q224" s="257">
        <f>Calculations!Q1142</f>
        <v>21.386413302692688</v>
      </c>
      <c r="R224" s="257">
        <f>Calculations!R1142</f>
        <v>22.02800570177347</v>
      </c>
      <c r="S224" s="257">
        <f>Calculations!S1142</f>
        <v>22.688845872826676</v>
      </c>
      <c r="T224" s="257">
        <f>Calculations!T1142</f>
        <v>23.369511249011477</v>
      </c>
      <c r="U224" s="257">
        <f>Calculations!U1142</f>
        <v>24.070596586481823</v>
      </c>
      <c r="V224" s="257">
        <f>Calculations!V1142</f>
        <v>24.792714484076278</v>
      </c>
      <c r="W224" s="257">
        <f>Calculations!W1142</f>
        <v>25.536495918598568</v>
      </c>
      <c r="X224" s="257">
        <f>Calculations!X1142</f>
        <v>26.302590796156526</v>
      </c>
      <c r="Y224" s="257">
        <f>Calculations!Y1142</f>
        <v>27.091668520041221</v>
      </c>
      <c r="Z224" s="257">
        <f>Calculations!Z1142</f>
        <v>27.90441857564246</v>
      </c>
      <c r="AA224" s="257">
        <f>Calculations!AA1142</f>
        <v>28.741551132911734</v>
      </c>
      <c r="AB224" s="257">
        <f>Calculations!AB1142</f>
        <v>29.603797666899087</v>
      </c>
      <c r="AC224" s="257">
        <f>Calculations!AC1142</f>
        <v>30.491911596906061</v>
      </c>
      <c r="AD224" s="257">
        <f>Calculations!AD1142</f>
        <v>31.406668944813244</v>
      </c>
      <c r="AE224" s="257">
        <f>Calculations!AE1142</f>
        <v>32.348869013157639</v>
      </c>
      <c r="AF224" s="257">
        <f>Calculations!AF1142</f>
        <v>33.319335083552367</v>
      </c>
      <c r="AG224" s="257">
        <f>Calculations!AG1142</f>
        <v>34.318915136058941</v>
      </c>
      <c r="AH224" s="257">
        <f>Calculations!AH1142</f>
        <v>35.348482590140712</v>
      </c>
    </row>
    <row r="225" spans="1:64" s="8" customFormat="1" ht="14" outlineLevel="1" x14ac:dyDescent="0.2">
      <c r="B225" s="14" t="s">
        <v>645</v>
      </c>
      <c r="D225" s="8" t="str">
        <f>'Assumptions - General'!$E$27 &amp;" millions"</f>
        <v>R$ millions</v>
      </c>
      <c r="E225" s="257">
        <f>Calculations!E1143</f>
        <v>2</v>
      </c>
      <c r="F225" s="257">
        <f>Calculations!F1143</f>
        <v>2.0127574985851728</v>
      </c>
      <c r="G225" s="257">
        <f>Calculations!G1143</f>
        <v>3.8498475114809247</v>
      </c>
      <c r="H225" s="257">
        <f>Calculations!H1143</f>
        <v>4.5665842113255577</v>
      </c>
      <c r="I225" s="257">
        <f>Calculations!I1143</f>
        <v>5.2838809399187348</v>
      </c>
      <c r="J225" s="257">
        <f>Calculations!J1143</f>
        <v>6.0167533612445645</v>
      </c>
      <c r="K225" s="257">
        <f>Calculations!K1143</f>
        <v>6.7697291753483508</v>
      </c>
      <c r="L225" s="257">
        <f>Calculations!L1143</f>
        <v>7.5449746747606437</v>
      </c>
      <c r="M225" s="257">
        <f>Calculations!M1143</f>
        <v>8.343890520914151</v>
      </c>
      <c r="N225" s="257">
        <f>Calculations!N1143</f>
        <v>9.1579325876949333</v>
      </c>
      <c r="O225" s="257">
        <f>Calculations!O1143</f>
        <v>10.006206945372597</v>
      </c>
      <c r="P225" s="257">
        <f>Calculations!P1143</f>
        <v>10.888717650353012</v>
      </c>
      <c r="Q225" s="257">
        <f>Calculations!Q1143</f>
        <v>11.638751811596757</v>
      </c>
      <c r="R225" s="257">
        <f>Calculations!R1143</f>
        <v>12.182832117541741</v>
      </c>
      <c r="S225" s="257">
        <f>Calculations!S1143</f>
        <v>13.105634338698621</v>
      </c>
      <c r="T225" s="257">
        <f>Calculations!T1143</f>
        <v>13.525367804356828</v>
      </c>
      <c r="U225" s="257">
        <f>Calculations!U1143</f>
        <v>14.549717225382311</v>
      </c>
      <c r="V225" s="257">
        <f>Calculations!V1143</f>
        <v>15.605203667862748</v>
      </c>
      <c r="W225" s="257">
        <f>Calculations!W1143</f>
        <v>16.692711075724191</v>
      </c>
      <c r="X225" s="257">
        <f>Calculations!X1143</f>
        <v>17.813160244248245</v>
      </c>
      <c r="Y225" s="257">
        <f>Calculations!Y1143</f>
        <v>18.967507317614327</v>
      </c>
      <c r="Z225" s="257">
        <f>Calculations!Z1143</f>
        <v>20.156742995964997</v>
      </c>
      <c r="AA225" s="257">
        <f>Calculations!AA1143</f>
        <v>21.381892229506761</v>
      </c>
      <c r="AB225" s="257">
        <f>Calculations!AB1143</f>
        <v>22.644014256676144</v>
      </c>
      <c r="AC225" s="257">
        <f>Calculations!AC1143</f>
        <v>23.944202892429015</v>
      </c>
      <c r="AD225" s="257">
        <f>Calculations!AD1143</f>
        <v>25.283587003712924</v>
      </c>
      <c r="AE225" s="257">
        <f>Calculations!AE1143</f>
        <v>26.663331129236809</v>
      </c>
      <c r="AF225" s="257">
        <f>Calculations!AF1143</f>
        <v>28.084636213895521</v>
      </c>
      <c r="AG225" s="257">
        <f>Calculations!AG1143</f>
        <v>29.367652876138781</v>
      </c>
      <c r="AH225" s="257">
        <f>Calculations!AH1143</f>
        <v>25.790473362175096</v>
      </c>
    </row>
    <row r="226" spans="1:64" x14ac:dyDescent="0.2">
      <c r="A226" s="7" t="s">
        <v>405</v>
      </c>
      <c r="B226" s="14"/>
      <c r="D226" s="15"/>
      <c r="F226" s="81"/>
      <c r="G226" s="81"/>
      <c r="H226" s="81"/>
      <c r="I226" s="81"/>
      <c r="J226" s="81"/>
      <c r="K226" s="81"/>
      <c r="L226" s="81"/>
      <c r="M226" s="81"/>
      <c r="N226" s="81"/>
      <c r="O226" s="81"/>
      <c r="P226" s="81"/>
      <c r="Q226" s="81"/>
      <c r="R226" s="81"/>
      <c r="S226" s="81"/>
      <c r="T226" s="81"/>
      <c r="U226" s="81"/>
      <c r="V226" s="81"/>
      <c r="W226" s="81"/>
      <c r="X226" s="81"/>
      <c r="Y226" s="81"/>
      <c r="Z226" s="81"/>
      <c r="AA226" s="81"/>
      <c r="AB226" s="81"/>
      <c r="AC226" s="81"/>
      <c r="AD226" s="81"/>
      <c r="AE226" s="81"/>
      <c r="AF226" s="81"/>
      <c r="AG226" s="81"/>
      <c r="AH226" s="81"/>
    </row>
    <row r="227" spans="1:64" x14ac:dyDescent="0.2">
      <c r="A227" s="7"/>
      <c r="B227" s="14"/>
      <c r="D227" s="15"/>
      <c r="F227" s="81"/>
      <c r="G227" s="81"/>
      <c r="H227" s="81"/>
      <c r="I227" s="81"/>
      <c r="J227" s="81"/>
      <c r="K227" s="81"/>
      <c r="L227" s="81"/>
      <c r="M227" s="81"/>
      <c r="N227" s="81"/>
      <c r="O227" s="81"/>
      <c r="P227" s="81"/>
      <c r="Q227" s="81"/>
      <c r="R227" s="81"/>
      <c r="S227" s="81"/>
      <c r="T227" s="81"/>
      <c r="U227" s="81"/>
      <c r="V227" s="81"/>
      <c r="W227" s="81"/>
      <c r="X227" s="81"/>
      <c r="Y227" s="81"/>
      <c r="Z227" s="81"/>
      <c r="AA227" s="81"/>
      <c r="AB227" s="81"/>
      <c r="AC227" s="81"/>
      <c r="AD227" s="81"/>
      <c r="AE227" s="81"/>
      <c r="AF227" s="81"/>
      <c r="AG227" s="81"/>
      <c r="AH227" s="81"/>
    </row>
    <row r="228" spans="1:64" s="316" customFormat="1" x14ac:dyDescent="0.2">
      <c r="B228" s="315" t="str">
        <f>"Operating costs of " &amp;'Assumptions - General'!$E$26</f>
        <v>Operating costs of Ruritania Railway Infrastructure Company</v>
      </c>
    </row>
    <row r="229" spans="1:64" s="8" customFormat="1" ht="14" x14ac:dyDescent="0.2">
      <c r="B229" s="7"/>
      <c r="E229" s="9"/>
      <c r="F229" s="492" t="s">
        <v>33</v>
      </c>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row>
    <row r="230" spans="1:64" s="8" customFormat="1" ht="14" x14ac:dyDescent="0.2">
      <c r="B230" s="16" t="s">
        <v>376</v>
      </c>
      <c r="D230" s="8" t="s">
        <v>32</v>
      </c>
      <c r="E230" s="177">
        <f>IF(F229=F230,1,2)</f>
        <v>1</v>
      </c>
      <c r="F230" s="87" t="s">
        <v>33</v>
      </c>
    </row>
    <row r="231" spans="1:64" s="8" customFormat="1" ht="14" x14ac:dyDescent="0.2">
      <c r="B231" s="16"/>
      <c r="E231" s="182"/>
      <c r="F231" s="87" t="s">
        <v>211</v>
      </c>
    </row>
    <row r="232" spans="1:64" outlineLevel="1" x14ac:dyDescent="0.2">
      <c r="B232" s="8" t="s">
        <v>474</v>
      </c>
      <c r="C232" s="8"/>
      <c r="D232" s="287">
        <f>IF('Scenarios - Consolidated'!$F$3=1,1,'Scenarios - Infra'!F3)</f>
        <v>2</v>
      </c>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row>
    <row r="233" spans="1:64" outlineLevel="1" x14ac:dyDescent="0.2">
      <c r="B233" s="8" t="s">
        <v>479</v>
      </c>
      <c r="C233" s="8"/>
      <c r="D233" s="224">
        <f>IF(AND('Scenarios - Consolidated'!$F$3=1,'Scenarios - Consolidated'!$H$20=1),'Scenarios - Consolidated'!$H$25,'Scenarios - Infra'!H25)</f>
        <v>1</v>
      </c>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row>
    <row r="234" spans="1:64" x14ac:dyDescent="0.2">
      <c r="B234" s="7" t="s">
        <v>473</v>
      </c>
      <c r="C234" s="8"/>
      <c r="D234" s="8"/>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row>
    <row r="235" spans="1:64" x14ac:dyDescent="0.2">
      <c r="B235" s="7"/>
      <c r="C235" s="8"/>
      <c r="D235" s="8"/>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row>
    <row r="236" spans="1:64" s="8" customFormat="1" ht="14" x14ac:dyDescent="0.2">
      <c r="B236" s="21" t="s">
        <v>37</v>
      </c>
      <c r="E236" s="183"/>
    </row>
    <row r="237" spans="1:64" s="8" customFormat="1" ht="14" x14ac:dyDescent="0.2">
      <c r="B237" s="14" t="s">
        <v>377</v>
      </c>
      <c r="D237" s="10" t="str">
        <f>'Assumptions - General'!$E$27 &amp;" millions"</f>
        <v>R$ millions</v>
      </c>
      <c r="E237" s="176">
        <v>1000</v>
      </c>
    </row>
    <row r="238" spans="1:64" s="8" customFormat="1" ht="14" x14ac:dyDescent="0.2">
      <c r="B238" s="215" t="s">
        <v>379</v>
      </c>
      <c r="E238" s="182"/>
      <c r="F238" s="87"/>
    </row>
    <row r="239" spans="1:64" s="8" customFormat="1" ht="14" x14ac:dyDescent="0.2">
      <c r="B239" s="211" t="s">
        <v>255</v>
      </c>
      <c r="D239" s="15" t="s">
        <v>15</v>
      </c>
      <c r="E239" s="188">
        <f>F239/100</f>
        <v>1</v>
      </c>
      <c r="F239" s="87">
        <v>100</v>
      </c>
    </row>
    <row r="240" spans="1:64" s="8" customFormat="1" ht="14" x14ac:dyDescent="0.2">
      <c r="B240" s="211" t="s">
        <v>681</v>
      </c>
      <c r="D240" s="15" t="s">
        <v>39</v>
      </c>
      <c r="E240" s="192">
        <f>IF(D232=1,E14*D233,E14)</f>
        <v>15000</v>
      </c>
      <c r="F240" s="192">
        <f>IF($E$240&lt;&gt;0,IF(OR(Calculations!F$19=1,Calculations!F$20=1),E240*(1+(F14/E14-1)*$E$239),0),0)</f>
        <v>16000</v>
      </c>
      <c r="G240" s="192">
        <f>IF($E$240&lt;&gt;0,IF(OR(Calculations!G$19=1,Calculations!G$20=1),F240*(1+(G14/F14-1)*$E$239),0),0)</f>
        <v>17000</v>
      </c>
      <c r="H240" s="192">
        <f>IF($E$240&lt;&gt;0,IF(OR(Calculations!H$19=1,Calculations!H$20=1),G240*(1+(H14/G14-1)*$E$239),0),0)</f>
        <v>18000</v>
      </c>
      <c r="I240" s="192">
        <f>IF($E$240&lt;&gt;0,IF(OR(Calculations!I$19=1,Calculations!I$20=1),H240*(1+(I14/H14-1)*$E$239),0),0)</f>
        <v>20000</v>
      </c>
      <c r="J240" s="192">
        <f>IF($E$240&lt;&gt;0,IF(OR(Calculations!J$19=1,Calculations!J$20=1),I240*(1+(J14/I14-1)*$E$239),0),0)</f>
        <v>20000</v>
      </c>
      <c r="K240" s="192">
        <f>IF($E$240&lt;&gt;0,IF(OR(Calculations!K$19=1,Calculations!K$20=1),J240*(1+(K14/J14-1)*$E$239),0),0)</f>
        <v>20000</v>
      </c>
      <c r="L240" s="192">
        <f>IF($E$240&lt;&gt;0,IF(OR(Calculations!L$19=1,Calculations!L$20=1),K240*(1+(L14/K14-1)*$E$239),0),0)</f>
        <v>20000</v>
      </c>
      <c r="M240" s="192">
        <f>IF($E$240&lt;&gt;0,IF(OR(Calculations!M$19=1,Calculations!M$20=1),L240*(1+(M14/L14-1)*$E$239),0),0)</f>
        <v>20000</v>
      </c>
      <c r="N240" s="192">
        <f>IF($E$240&lt;&gt;0,IF(OR(Calculations!N$19=1,Calculations!N$20=1),M240*(1+(N14/M14-1)*$E$239),0),0)</f>
        <v>20000</v>
      </c>
      <c r="O240" s="192">
        <f>IF($E$240&lt;&gt;0,IF(OR(Calculations!O$19=1,Calculations!O$20=1),N240*(1+(O14/N14-1)*$E$239),0),0)</f>
        <v>20000</v>
      </c>
      <c r="P240" s="192">
        <f>IF($E$240&lt;&gt;0,IF(OR(Calculations!P$19=1,Calculations!P$20=1),O240*(1+(P14/O14-1)*$E$239),0),0)</f>
        <v>20000</v>
      </c>
      <c r="Q240" s="192">
        <f>IF($E$240&lt;&gt;0,IF(OR(Calculations!Q$19=1,Calculations!Q$20=1),P240*(1+(Q14/P14-1)*$E$239),0),0)</f>
        <v>20000</v>
      </c>
      <c r="R240" s="192">
        <f>IF($E$240&lt;&gt;0,IF(OR(Calculations!R$19=1,Calculations!R$20=1),Q240*(1+(R14/Q14-1)*$E$239),0),0)</f>
        <v>20000</v>
      </c>
      <c r="S240" s="192">
        <f>IF($E$240&lt;&gt;0,IF(OR(Calculations!S$19=1,Calculations!S$20=1),R240*(1+(S14/R14-1)*$E$239),0),0)</f>
        <v>20000</v>
      </c>
      <c r="T240" s="192">
        <f>IF($E$240&lt;&gt;0,IF(OR(Calculations!T$19=1,Calculations!T$20=1),S240*(1+(T14/S14-1)*$E$239),0),0)</f>
        <v>20000</v>
      </c>
      <c r="U240" s="192">
        <f>IF($E$240&lt;&gt;0,IF(OR(Calculations!U$19=1,Calculations!U$20=1),T240*(1+(U14/T14-1)*$E$239),0),0)</f>
        <v>20000</v>
      </c>
      <c r="V240" s="192">
        <f>IF($E$240&lt;&gt;0,IF(OR(Calculations!V$19=1,Calculations!V$20=1),U240*(1+(V14/U14-1)*$E$239),0),0)</f>
        <v>20000</v>
      </c>
      <c r="W240" s="192">
        <f>IF($E$240&lt;&gt;0,IF(OR(Calculations!W$19=1,Calculations!W$20=1),V240*(1+(W14/V14-1)*$E$239),0),0)</f>
        <v>20000</v>
      </c>
      <c r="X240" s="192">
        <f>IF($E$240&lt;&gt;0,IF(OR(Calculations!X$19=1,Calculations!X$20=1),W240*(1+(X14/W14-1)*$E$239),0),0)</f>
        <v>20000</v>
      </c>
      <c r="Y240" s="192">
        <f>IF($E$240&lt;&gt;0,IF(OR(Calculations!Y$19=1,Calculations!Y$20=1),X240*(1+(Y14/X14-1)*$E$239),0),0)</f>
        <v>20000</v>
      </c>
      <c r="Z240" s="192">
        <f>IF($E$240&lt;&gt;0,IF(OR(Calculations!Z$19=1,Calculations!Z$20=1),Y240*(1+(Z14/Y14-1)*$E$239),0),0)</f>
        <v>20000</v>
      </c>
      <c r="AA240" s="192">
        <f>IF($E$240&lt;&gt;0,IF(OR(Calculations!AA$19=1,Calculations!AA$20=1),Z240*(1+(AA14/Z14-1)*$E$239),0),0)</f>
        <v>20000</v>
      </c>
      <c r="AB240" s="192">
        <f>IF($E$240&lt;&gt;0,IF(OR(Calculations!AB$19=1,Calculations!AB$20=1),AA240*(1+(AB14/AA14-1)*$E$239),0),0)</f>
        <v>20000</v>
      </c>
      <c r="AC240" s="192">
        <f>IF($E$240&lt;&gt;0,IF(OR(Calculations!AC$19=1,Calculations!AC$20=1),AB240*(1+(AC14/AB14-1)*$E$239),0),0)</f>
        <v>20000</v>
      </c>
      <c r="AD240" s="192">
        <f>IF($E$240&lt;&gt;0,IF(OR(Calculations!AD$19=1,Calculations!AD$20=1),AC240*(1+(AD14/AC14-1)*$E$239),0),0)</f>
        <v>20000</v>
      </c>
      <c r="AE240" s="192">
        <f>IF($E$240&lt;&gt;0,IF(OR(Calculations!AE$19=1,Calculations!AE$20=1),AD240*(1+(AE14/AD14-1)*$E$239),0),0)</f>
        <v>20000</v>
      </c>
      <c r="AF240" s="192">
        <f>IF($E$240&lt;&gt;0,IF(OR(Calculations!AF$19=1,Calculations!AF$20=1),AE240*(1+(AF14/AE14-1)*$E$239),0),0)</f>
        <v>20000</v>
      </c>
      <c r="AG240" s="192">
        <f>IF($E$240&lt;&gt;0,IF(OR(Calculations!AG$19=1,Calculations!AG$20=1),AF240*(1+(AG14/AF14-1)*$E$239),0),0)</f>
        <v>20000</v>
      </c>
      <c r="AH240" s="192">
        <f>IF($E$240&lt;&gt;0,IF(OR(Calculations!AH$19=1,Calculations!AH$20=1),AG240*(1+(AH14/AG14-1)*$E$239),0),0)</f>
        <v>20000</v>
      </c>
    </row>
    <row r="241" spans="2:65" s="8" customFormat="1" ht="14" x14ac:dyDescent="0.2">
      <c r="B241" s="215" t="s">
        <v>577</v>
      </c>
      <c r="D241" s="15"/>
      <c r="E241" s="180"/>
      <c r="F241" s="220"/>
      <c r="G241" s="183"/>
      <c r="H241" s="183"/>
      <c r="I241" s="183"/>
      <c r="J241" s="183"/>
      <c r="K241" s="183"/>
      <c r="L241" s="183"/>
      <c r="M241" s="183"/>
      <c r="N241" s="183"/>
      <c r="O241" s="183"/>
      <c r="P241" s="183"/>
      <c r="Q241" s="183"/>
      <c r="R241" s="183"/>
      <c r="S241" s="183"/>
      <c r="T241" s="183"/>
      <c r="U241" s="183"/>
      <c r="V241" s="183"/>
      <c r="W241" s="183"/>
      <c r="X241" s="183"/>
      <c r="Y241" s="183"/>
      <c r="Z241" s="183"/>
      <c r="AA241" s="183"/>
      <c r="AB241" s="183"/>
      <c r="AC241" s="183"/>
      <c r="AD241" s="183"/>
      <c r="AE241" s="183"/>
      <c r="AF241" s="183"/>
      <c r="AG241" s="183"/>
      <c r="AH241" s="183"/>
    </row>
    <row r="242" spans="2:65" s="8" customFormat="1" ht="14" x14ac:dyDescent="0.2">
      <c r="B242" s="211" t="s">
        <v>38</v>
      </c>
      <c r="D242" s="8" t="s">
        <v>15</v>
      </c>
      <c r="E242" s="188">
        <f>IF(E230=2,0,F242/100)</f>
        <v>1</v>
      </c>
      <c r="F242" s="220">
        <v>100</v>
      </c>
      <c r="G242" s="183"/>
      <c r="H242" s="183"/>
      <c r="I242" s="183"/>
      <c r="J242" s="183"/>
      <c r="K242" s="183"/>
      <c r="L242" s="183"/>
      <c r="M242" s="183"/>
      <c r="N242" s="183"/>
      <c r="O242" s="183"/>
      <c r="P242" s="183"/>
      <c r="Q242" s="183"/>
      <c r="R242" s="183"/>
      <c r="S242" s="183"/>
      <c r="T242" s="183"/>
      <c r="U242" s="183"/>
      <c r="V242" s="183"/>
      <c r="W242" s="183"/>
      <c r="X242" s="183"/>
      <c r="Y242" s="183"/>
      <c r="Z242" s="183"/>
      <c r="AA242" s="183"/>
      <c r="AB242" s="183"/>
      <c r="AC242" s="183"/>
      <c r="AD242" s="183"/>
      <c r="AE242" s="183"/>
      <c r="AF242" s="183"/>
      <c r="AG242" s="183"/>
      <c r="AH242" s="183"/>
    </row>
    <row r="243" spans="2:65" s="20" customFormat="1" ht="14" x14ac:dyDescent="0.2">
      <c r="B243" s="216" t="s">
        <v>378</v>
      </c>
      <c r="D243" s="10" t="str">
        <f>'Assumptions - General'!$E$27&amp;" per staff member"</f>
        <v>R$ per staff member</v>
      </c>
      <c r="E243" s="192">
        <f>IF(E237&gt;0,(E237/E14)*1000000,0)</f>
        <v>66666.666666666672</v>
      </c>
      <c r="F243" s="192">
        <f>E243*(1+F244)*IF($E$230=1,($E242*'Assumptions - General'!F37+1),1)</f>
        <v>68666.666666666672</v>
      </c>
      <c r="G243" s="192">
        <f>F243*(1+G244)*IF($E$230=1,($E242*'Assumptions - General'!G37+1),1)</f>
        <v>70726.666666666672</v>
      </c>
      <c r="H243" s="192">
        <f>G243*(1+H244)*IF($E$230=1,($E242*'Assumptions - General'!H37+1),1)</f>
        <v>72848.466666666674</v>
      </c>
      <c r="I243" s="192">
        <f>H243*(1+I244)*IF($E$230=1,($E242*'Assumptions - General'!I37+1),1)</f>
        <v>75033.920666666672</v>
      </c>
      <c r="J243" s="192">
        <f>I243*(1+J244)*IF($E$230=1,($E242*'Assumptions - General'!J37+1),1)</f>
        <v>77284.938286666671</v>
      </c>
      <c r="K243" s="192">
        <f>J243*(1+K244)*IF($E$230=1,($E242*'Assumptions - General'!K37+1),1)</f>
        <v>79603.486435266677</v>
      </c>
      <c r="L243" s="192">
        <f>K243*(1+L244)*IF($E$230=1,($E242*'Assumptions - General'!L37+1),1)</f>
        <v>81991.591028324678</v>
      </c>
      <c r="M243" s="192">
        <f>L243*(1+M244)*IF($E$230=1,($E242*'Assumptions - General'!M37+1),1)</f>
        <v>84451.338759174425</v>
      </c>
      <c r="N243" s="192">
        <f>M243*(1+N244)*IF($E$230=1,($E242*'Assumptions - General'!N37+1),1)</f>
        <v>86984.878921949654</v>
      </c>
      <c r="O243" s="192">
        <f>N243*(1+O244)*IF($E$230=1,($E242*'Assumptions - General'!O37+1),1)</f>
        <v>89594.425289608145</v>
      </c>
      <c r="P243" s="192">
        <f>O243*(1+P244)*IF($E$230=1,($E242*'Assumptions - General'!P37+1),1)</f>
        <v>92282.258048296397</v>
      </c>
      <c r="Q243" s="192">
        <f>P243*(1+Q244)*IF($E$230=1,($E242*'Assumptions - General'!Q37+1),1)</f>
        <v>95050.725789745295</v>
      </c>
      <c r="R243" s="192">
        <f>Q243*(1+R244)*IF($E$230=1,($E242*'Assumptions - General'!R37+1),1)</f>
        <v>97902.247563437661</v>
      </c>
      <c r="S243" s="192">
        <f>R243*(1+S244)*IF($E$230=1,($E242*'Assumptions - General'!S37+1),1)</f>
        <v>100839.31499034079</v>
      </c>
      <c r="T243" s="192">
        <f>S243*(1+T244)*IF($E$230=1,($E242*'Assumptions - General'!T37+1),1)</f>
        <v>103864.49444005101</v>
      </c>
      <c r="U243" s="192">
        <f>T243*(1+U244)*IF($E$230=1,($E242*'Assumptions - General'!U37+1),1)</f>
        <v>106980.42927325255</v>
      </c>
      <c r="V243" s="192">
        <f>U243*(1+V244)*IF($E$230=1,($E242*'Assumptions - General'!V37+1),1)</f>
        <v>110189.84215145012</v>
      </c>
      <c r="W243" s="192">
        <f>V243*(1+W244)*IF($E$230=1,($E242*'Assumptions - General'!W37+1),1)</f>
        <v>113495.53741599363</v>
      </c>
      <c r="X243" s="192">
        <f>W243*(1+X244)*IF($E$230=1,($E242*'Assumptions - General'!X37+1),1)</f>
        <v>116900.40353847345</v>
      </c>
      <c r="Y243" s="192">
        <f>X243*(1+Y244)*IF($E$230=1,($E242*'Assumptions - General'!Y37+1),1)</f>
        <v>120407.41564462765</v>
      </c>
      <c r="Z243" s="192">
        <f>Y243*(1+Z244)*IF($E$230=1,($E242*'Assumptions - General'!Z37+1),1)</f>
        <v>124019.63811396647</v>
      </c>
      <c r="AA243" s="192">
        <f>Z243*(1+AA244)*IF($E$230=1,($E242*'Assumptions - General'!AA37+1),1)</f>
        <v>127740.22725738547</v>
      </c>
      <c r="AB243" s="192">
        <f>AA243*(1+AB244)*IF($E$230=1,($E242*'Assumptions - General'!AB37+1),1)</f>
        <v>131572.43407510704</v>
      </c>
      <c r="AC243" s="192">
        <f>AB243*(1+AC244)*IF($E$230=1,($E242*'Assumptions - General'!AC37+1),1)</f>
        <v>135519.60709736025</v>
      </c>
      <c r="AD243" s="192">
        <f>AC243*(1+AD244)*IF($E$230=1,($E242*'Assumptions - General'!AD37+1),1)</f>
        <v>139585.19531028107</v>
      </c>
      <c r="AE243" s="192">
        <f>AD243*(1+AE244)*IF($E$230=1,($E242*'Assumptions - General'!AE37+1),1)</f>
        <v>143772.75116958949</v>
      </c>
      <c r="AF243" s="192">
        <f>AE243*(1+AF244)*IF($E$230=1,($E242*'Assumptions - General'!AF37+1),1)</f>
        <v>148085.93370467718</v>
      </c>
      <c r="AG243" s="192">
        <f>AF243*(1+AG244)*IF($E$230=1,($E242*'Assumptions - General'!AG37+1),1)</f>
        <v>152528.5117158175</v>
      </c>
      <c r="AH243" s="192">
        <f>AG243*(1+AH244)*IF($E$230=1,($E242*'Assumptions - General'!AH37+1),1)</f>
        <v>157104.36706729201</v>
      </c>
    </row>
    <row r="244" spans="2:65" x14ac:dyDescent="0.2">
      <c r="B244" s="30" t="s">
        <v>401</v>
      </c>
      <c r="D244" s="15" t="s">
        <v>15</v>
      </c>
      <c r="E244" s="190"/>
      <c r="F244" s="188">
        <v>0</v>
      </c>
      <c r="G244" s="188">
        <v>0</v>
      </c>
      <c r="H244" s="188">
        <v>0</v>
      </c>
      <c r="I244" s="188">
        <v>0</v>
      </c>
      <c r="J244" s="188">
        <v>0</v>
      </c>
      <c r="K244" s="188">
        <v>0</v>
      </c>
      <c r="L244" s="188">
        <v>0</v>
      </c>
      <c r="M244" s="188">
        <v>0</v>
      </c>
      <c r="N244" s="188">
        <v>0</v>
      </c>
      <c r="O244" s="188">
        <v>0</v>
      </c>
      <c r="P244" s="188">
        <v>0</v>
      </c>
      <c r="Q244" s="188">
        <v>0</v>
      </c>
      <c r="R244" s="188">
        <v>0</v>
      </c>
      <c r="S244" s="188">
        <v>0</v>
      </c>
      <c r="T244" s="188">
        <v>0</v>
      </c>
      <c r="U244" s="188">
        <v>0</v>
      </c>
      <c r="V244" s="188">
        <v>0</v>
      </c>
      <c r="W244" s="188">
        <v>0</v>
      </c>
      <c r="X244" s="188">
        <v>0</v>
      </c>
      <c r="Y244" s="188">
        <v>0</v>
      </c>
      <c r="Z244" s="188">
        <v>0</v>
      </c>
      <c r="AA244" s="188">
        <v>0</v>
      </c>
      <c r="AB244" s="188">
        <v>0</v>
      </c>
      <c r="AC244" s="188">
        <v>0</v>
      </c>
      <c r="AD244" s="188">
        <v>0</v>
      </c>
      <c r="AE244" s="188">
        <v>0</v>
      </c>
      <c r="AF244" s="188">
        <v>0</v>
      </c>
      <c r="AG244" s="188">
        <v>0</v>
      </c>
      <c r="AH244" s="188">
        <v>0</v>
      </c>
    </row>
    <row r="245" spans="2:65" s="18" customFormat="1" x14ac:dyDescent="0.2">
      <c r="B245" s="32"/>
      <c r="D245" s="81"/>
      <c r="E245" s="204"/>
      <c r="F245" s="180"/>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row>
    <row r="246" spans="2:65" s="8" customFormat="1" ht="14" x14ac:dyDescent="0.2">
      <c r="B246" s="21" t="s">
        <v>40</v>
      </c>
      <c r="E246" s="182"/>
      <c r="F246" s="220"/>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row>
    <row r="247" spans="2:65" s="8" customFormat="1" ht="14" x14ac:dyDescent="0.2">
      <c r="B247" s="14" t="s">
        <v>377</v>
      </c>
      <c r="D247" s="10" t="str">
        <f>'Assumptions - General'!$E$27 &amp;" millions"</f>
        <v>R$ millions</v>
      </c>
      <c r="E247" s="176">
        <v>500</v>
      </c>
      <c r="F247" s="183"/>
      <c r="G247" s="183"/>
      <c r="H247" s="183"/>
      <c r="I247" s="183"/>
      <c r="J247" s="183"/>
      <c r="K247" s="183"/>
      <c r="L247" s="183"/>
      <c r="M247" s="183"/>
      <c r="N247" s="183"/>
      <c r="O247" s="183"/>
      <c r="P247" s="183"/>
      <c r="Q247" s="183"/>
      <c r="R247" s="183"/>
      <c r="S247" s="183"/>
      <c r="T247" s="183"/>
      <c r="U247" s="183"/>
      <c r="V247" s="183"/>
      <c r="W247" s="183"/>
      <c r="X247" s="183"/>
      <c r="Y247" s="183"/>
      <c r="Z247" s="183"/>
      <c r="AA247" s="183"/>
      <c r="AB247" s="183"/>
      <c r="AC247" s="183"/>
      <c r="AD247" s="183"/>
      <c r="AE247" s="183"/>
      <c r="AF247" s="183"/>
      <c r="AG247" s="183"/>
      <c r="AH247" s="183"/>
    </row>
    <row r="248" spans="2:65" s="8" customFormat="1" ht="14" x14ac:dyDescent="0.2">
      <c r="B248" s="215" t="s">
        <v>380</v>
      </c>
      <c r="E248" s="193"/>
      <c r="F248" s="219"/>
      <c r="G248" s="219"/>
      <c r="H248" s="219"/>
      <c r="I248" s="219"/>
      <c r="J248" s="219"/>
      <c r="K248" s="219"/>
      <c r="L248" s="219"/>
      <c r="M248" s="219"/>
      <c r="N248" s="219"/>
      <c r="O248" s="219"/>
      <c r="P248" s="219"/>
      <c r="Q248" s="219"/>
      <c r="R248" s="219"/>
      <c r="S248" s="219"/>
      <c r="T248" s="219"/>
      <c r="U248" s="219"/>
      <c r="V248" s="219"/>
      <c r="W248" s="219"/>
      <c r="X248" s="219"/>
      <c r="Y248" s="219"/>
      <c r="Z248" s="219"/>
      <c r="AA248" s="219"/>
      <c r="AB248" s="219"/>
      <c r="AC248" s="219"/>
      <c r="AD248" s="219"/>
      <c r="AE248" s="219"/>
      <c r="AF248" s="219"/>
      <c r="AG248" s="219"/>
      <c r="AH248" s="219"/>
    </row>
    <row r="249" spans="2:65" s="8" customFormat="1" ht="14" x14ac:dyDescent="0.2">
      <c r="B249" s="211" t="s">
        <v>257</v>
      </c>
      <c r="D249" s="15" t="s">
        <v>15</v>
      </c>
      <c r="E249" s="188">
        <f>F249/100</f>
        <v>1</v>
      </c>
      <c r="F249" s="220">
        <v>100</v>
      </c>
      <c r="G249" s="183"/>
      <c r="H249" s="183"/>
      <c r="I249" s="183"/>
      <c r="J249" s="183"/>
      <c r="K249" s="183"/>
      <c r="L249" s="183"/>
      <c r="M249" s="183"/>
      <c r="N249" s="183"/>
      <c r="O249" s="183"/>
      <c r="P249" s="183"/>
      <c r="Q249" s="183"/>
      <c r="R249" s="183"/>
      <c r="S249" s="183"/>
      <c r="T249" s="183"/>
      <c r="U249" s="183"/>
      <c r="V249" s="183"/>
      <c r="W249" s="183"/>
      <c r="X249" s="183"/>
      <c r="Y249" s="183"/>
      <c r="Z249" s="183"/>
      <c r="AA249" s="183"/>
      <c r="AB249" s="183"/>
      <c r="AC249" s="183"/>
      <c r="AD249" s="183"/>
      <c r="AE249" s="183"/>
      <c r="AF249" s="183"/>
      <c r="AG249" s="183"/>
      <c r="AH249" s="183"/>
    </row>
    <row r="250" spans="2:65" s="8" customFormat="1" ht="14" x14ac:dyDescent="0.2">
      <c r="B250" s="215" t="s">
        <v>579</v>
      </c>
      <c r="D250" s="15"/>
      <c r="E250" s="180"/>
      <c r="F250" s="220"/>
      <c r="G250" s="183"/>
      <c r="H250" s="183"/>
      <c r="I250" s="183"/>
      <c r="J250" s="183"/>
      <c r="K250" s="183"/>
      <c r="L250" s="183"/>
      <c r="M250" s="183"/>
      <c r="N250" s="183"/>
      <c r="O250" s="183"/>
      <c r="P250" s="183"/>
      <c r="Q250" s="183"/>
      <c r="R250" s="183"/>
      <c r="S250" s="183"/>
      <c r="T250" s="183"/>
      <c r="U250" s="183"/>
      <c r="V250" s="183"/>
      <c r="W250" s="183"/>
      <c r="X250" s="183"/>
      <c r="Y250" s="183"/>
      <c r="Z250" s="183"/>
      <c r="AA250" s="183"/>
      <c r="AB250" s="183"/>
      <c r="AC250" s="183"/>
      <c r="AD250" s="183"/>
      <c r="AE250" s="183"/>
      <c r="AF250" s="183"/>
      <c r="AG250" s="183"/>
      <c r="AH250" s="183"/>
      <c r="AI250" s="20"/>
      <c r="AJ250" s="20"/>
      <c r="AK250" s="20"/>
      <c r="AL250" s="20"/>
      <c r="AM250" s="20"/>
      <c r="AN250" s="20"/>
      <c r="AO250" s="20"/>
      <c r="AP250" s="20"/>
      <c r="AQ250" s="20"/>
      <c r="AR250" s="20"/>
      <c r="AS250" s="20"/>
      <c r="AT250" s="20"/>
      <c r="AU250" s="20"/>
      <c r="AV250" s="20"/>
      <c r="AW250" s="20"/>
      <c r="AX250" s="20"/>
      <c r="AY250" s="20"/>
      <c r="AZ250" s="20"/>
      <c r="BA250" s="20"/>
      <c r="BB250" s="20"/>
      <c r="BC250" s="20"/>
      <c r="BD250" s="20"/>
      <c r="BE250" s="20"/>
      <c r="BF250" s="20"/>
      <c r="BG250" s="20"/>
      <c r="BH250" s="20"/>
      <c r="BI250" s="20"/>
      <c r="BJ250" s="20"/>
      <c r="BK250" s="20"/>
      <c r="BL250" s="20"/>
      <c r="BM250" s="20"/>
    </row>
    <row r="251" spans="2:65" s="8" customFormat="1" ht="14" x14ac:dyDescent="0.2">
      <c r="B251" s="211" t="s">
        <v>38</v>
      </c>
      <c r="D251" s="8" t="s">
        <v>15</v>
      </c>
      <c r="E251" s="188">
        <f>IF(E230=2,0,F251/100)</f>
        <v>1</v>
      </c>
      <c r="F251" s="220">
        <v>100</v>
      </c>
      <c r="G251" s="183"/>
      <c r="H251" s="183"/>
      <c r="I251" s="183"/>
      <c r="J251" s="183"/>
      <c r="K251" s="183"/>
      <c r="L251" s="183"/>
      <c r="M251" s="183"/>
      <c r="N251" s="183"/>
      <c r="O251" s="183"/>
      <c r="P251" s="183"/>
      <c r="Q251" s="183"/>
      <c r="R251" s="183"/>
      <c r="S251" s="183"/>
      <c r="T251" s="183"/>
      <c r="U251" s="183"/>
      <c r="V251" s="183"/>
      <c r="W251" s="183"/>
      <c r="X251" s="183"/>
      <c r="Y251" s="183"/>
      <c r="Z251" s="183"/>
      <c r="AA251" s="183"/>
      <c r="AB251" s="183"/>
      <c r="AC251" s="183"/>
      <c r="AD251" s="183"/>
      <c r="AE251" s="183"/>
      <c r="AF251" s="183"/>
      <c r="AG251" s="183"/>
      <c r="AH251" s="183"/>
      <c r="AI251" s="20"/>
      <c r="AJ251" s="20"/>
      <c r="AK251" s="20"/>
      <c r="AL251" s="20"/>
      <c r="AM251" s="20"/>
      <c r="AN251" s="20"/>
      <c r="AO251" s="20"/>
      <c r="AP251" s="20"/>
      <c r="AQ251" s="20"/>
      <c r="AR251" s="20"/>
      <c r="AS251" s="20"/>
      <c r="AT251" s="20"/>
      <c r="AU251" s="20"/>
      <c r="AV251" s="20"/>
      <c r="AW251" s="20"/>
      <c r="AX251" s="20"/>
      <c r="AY251" s="20"/>
      <c r="AZ251" s="20"/>
      <c r="BA251" s="20"/>
      <c r="BB251" s="20"/>
      <c r="BC251" s="20"/>
      <c r="BD251" s="20"/>
      <c r="BE251" s="20"/>
      <c r="BF251" s="20"/>
      <c r="BG251" s="20"/>
      <c r="BH251" s="20"/>
      <c r="BI251" s="20"/>
      <c r="BJ251" s="20"/>
      <c r="BK251" s="20"/>
      <c r="BL251" s="20"/>
      <c r="BM251" s="20"/>
    </row>
    <row r="252" spans="2:65" s="20" customFormat="1" ht="14" x14ac:dyDescent="0.2">
      <c r="B252" s="216" t="s">
        <v>258</v>
      </c>
      <c r="D252" s="122" t="str">
        <f>'Assumptions - General'!$E$27 &amp;" per GTK"</f>
        <v>R$ per GTK</v>
      </c>
      <c r="E252" s="214">
        <f>IF(E247&gt;0,E247/(SUM(Calculations!E167:E176)+SUM(Calculations!E628:E630)+SUM(Calculations!E1058:E1063)+SUM(Calculations!E1091:E1093)),0)</f>
        <v>3.1250000000000002E-3</v>
      </c>
      <c r="F252" s="214">
        <f>E252*(1+F253)*IF($E$230=1,($E251*'Assumptions - General'!F$37+1),1)</f>
        <v>3.2187500000000003E-3</v>
      </c>
      <c r="G252" s="214">
        <f>F252*(1+G253)*IF($E$230=1,($E251*'Assumptions - General'!G$37+1),1)</f>
        <v>3.3153125000000006E-3</v>
      </c>
      <c r="H252" s="214">
        <f>G252*(1+H253)*IF($E$230=1,($E251*'Assumptions - General'!H$37+1),1)</f>
        <v>3.4147718750000004E-3</v>
      </c>
      <c r="I252" s="214">
        <f>H252*(1+I253)*IF($E$230=1,($E251*'Assumptions - General'!I$37+1),1)</f>
        <v>3.5172150312500006E-3</v>
      </c>
      <c r="J252" s="214">
        <f>I252*(1+J253)*IF($E$230=1,($E251*'Assumptions - General'!J$37+1),1)</f>
        <v>3.6227314821875006E-3</v>
      </c>
      <c r="K252" s="214">
        <f>J252*(1+K253)*IF($E$230=1,($E251*'Assumptions - General'!K$37+1),1)</f>
        <v>3.7314134266531259E-3</v>
      </c>
      <c r="L252" s="214">
        <f>K252*(1+L253)*IF($E$230=1,($E251*'Assumptions - General'!L$37+1),1)</f>
        <v>3.8433558294527197E-3</v>
      </c>
      <c r="M252" s="214">
        <f>L252*(1+M253)*IF($E$230=1,($E251*'Assumptions - General'!M$37+1),1)</f>
        <v>3.9586565043363015E-3</v>
      </c>
      <c r="N252" s="214">
        <f>M252*(1+N253)*IF($E$230=1,($E251*'Assumptions - General'!N$37+1),1)</f>
        <v>4.0774161994663908E-3</v>
      </c>
      <c r="O252" s="214">
        <f>N252*(1+O253)*IF($E$230=1,($E251*'Assumptions - General'!O$37+1),1)</f>
        <v>4.1997386854503828E-3</v>
      </c>
      <c r="P252" s="214">
        <f>O252*(1+P253)*IF($E$230=1,($E251*'Assumptions - General'!P$37+1),1)</f>
        <v>4.3257308460138942E-3</v>
      </c>
      <c r="Q252" s="214">
        <f>P252*(1+Q253)*IF($E$230=1,($E251*'Assumptions - General'!Q$37+1),1)</f>
        <v>4.4555027713943113E-3</v>
      </c>
      <c r="R252" s="214">
        <f>Q252*(1+R253)*IF($E$230=1,($E251*'Assumptions - General'!R$37+1),1)</f>
        <v>4.5891678545361405E-3</v>
      </c>
      <c r="S252" s="214">
        <f>R252*(1+S253)*IF($E$230=1,($E251*'Assumptions - General'!S$37+1),1)</f>
        <v>4.7268428901722252E-3</v>
      </c>
      <c r="T252" s="214">
        <f>S252*(1+T253)*IF($E$230=1,($E251*'Assumptions - General'!T$37+1),1)</f>
        <v>4.8686481768773918E-3</v>
      </c>
      <c r="U252" s="214">
        <f>T252*(1+U253)*IF($E$230=1,($E251*'Assumptions - General'!U$37+1),1)</f>
        <v>5.0147076221837136E-3</v>
      </c>
      <c r="V252" s="214">
        <f>U252*(1+V253)*IF($E$230=1,($E251*'Assumptions - General'!V$37+1),1)</f>
        <v>5.1651488508492249E-3</v>
      </c>
      <c r="W252" s="214">
        <f>V252*(1+W253)*IF($E$230=1,($E251*'Assumptions - General'!W$37+1),1)</f>
        <v>5.3201033163747021E-3</v>
      </c>
      <c r="X252" s="214">
        <f>W252*(1+X253)*IF($E$230=1,($E251*'Assumptions - General'!X$37+1),1)</f>
        <v>5.4797064158659432E-3</v>
      </c>
      <c r="Y252" s="214">
        <f>X252*(1+Y253)*IF($E$230=1,($E251*'Assumptions - General'!Y$37+1),1)</f>
        <v>5.6440976083419218E-3</v>
      </c>
      <c r="Z252" s="214">
        <f>Y252*(1+Z253)*IF($E$230=1,($E251*'Assumptions - General'!Z$37+1),1)</f>
        <v>5.8134205365921792E-3</v>
      </c>
      <c r="AA252" s="214">
        <f>Z252*(1+AA253)*IF($E$230=1,($E251*'Assumptions - General'!AA$37+1),1)</f>
        <v>5.9878231526899446E-3</v>
      </c>
      <c r="AB252" s="214">
        <f>AA252*(1+AB253)*IF($E$230=1,($E251*'Assumptions - General'!AB$37+1),1)</f>
        <v>6.1674578472706429E-3</v>
      </c>
      <c r="AC252" s="214">
        <f>AB252*(1+AC253)*IF($E$230=1,($E251*'Assumptions - General'!AC$37+1),1)</f>
        <v>6.3524815826887619E-3</v>
      </c>
      <c r="AD252" s="214">
        <f>AC252*(1+AD253)*IF($E$230=1,($E251*'Assumptions - General'!AD$37+1),1)</f>
        <v>6.5430560301694253E-3</v>
      </c>
      <c r="AE252" s="214">
        <f>AD252*(1+AE253)*IF($E$230=1,($E251*'Assumptions - General'!AE$37+1),1)</f>
        <v>6.739347711074508E-3</v>
      </c>
      <c r="AF252" s="214">
        <f>AE252*(1+AF253)*IF($E$230=1,($E251*'Assumptions - General'!AF$37+1),1)</f>
        <v>6.9415281424067433E-3</v>
      </c>
      <c r="AG252" s="214">
        <f>AF252*(1+AG253)*IF($E$230=1,($E251*'Assumptions - General'!AG$37+1),1)</f>
        <v>7.1497739866789459E-3</v>
      </c>
      <c r="AH252" s="214">
        <f>AG252*(1+AH253)*IF($E$230=1,($E251*'Assumptions - General'!AH$37+1),1)</f>
        <v>7.3642672062793147E-3</v>
      </c>
    </row>
    <row r="253" spans="2:65" x14ac:dyDescent="0.2">
      <c r="B253" s="30" t="s">
        <v>401</v>
      </c>
      <c r="D253" s="15" t="s">
        <v>15</v>
      </c>
      <c r="E253" s="190"/>
      <c r="F253" s="188">
        <v>0</v>
      </c>
      <c r="G253" s="188">
        <v>0</v>
      </c>
      <c r="H253" s="188">
        <v>0</v>
      </c>
      <c r="I253" s="188">
        <v>0</v>
      </c>
      <c r="J253" s="188">
        <v>0</v>
      </c>
      <c r="K253" s="188">
        <v>0</v>
      </c>
      <c r="L253" s="188">
        <v>0</v>
      </c>
      <c r="M253" s="188">
        <v>0</v>
      </c>
      <c r="N253" s="188">
        <v>0</v>
      </c>
      <c r="O253" s="188">
        <v>0</v>
      </c>
      <c r="P253" s="188">
        <v>0</v>
      </c>
      <c r="Q253" s="188">
        <v>0</v>
      </c>
      <c r="R253" s="188">
        <v>0</v>
      </c>
      <c r="S253" s="188">
        <v>0</v>
      </c>
      <c r="T253" s="188">
        <v>0</v>
      </c>
      <c r="U253" s="188">
        <v>0</v>
      </c>
      <c r="V253" s="188">
        <v>0</v>
      </c>
      <c r="W253" s="188">
        <v>0</v>
      </c>
      <c r="X253" s="188">
        <v>0</v>
      </c>
      <c r="Y253" s="188">
        <v>0</v>
      </c>
      <c r="Z253" s="188">
        <v>0</v>
      </c>
      <c r="AA253" s="188">
        <v>0</v>
      </c>
      <c r="AB253" s="188">
        <v>0</v>
      </c>
      <c r="AC253" s="188">
        <v>0</v>
      </c>
      <c r="AD253" s="188">
        <v>0</v>
      </c>
      <c r="AE253" s="188">
        <v>0</v>
      </c>
      <c r="AF253" s="188">
        <v>0</v>
      </c>
      <c r="AG253" s="188">
        <v>0</v>
      </c>
      <c r="AH253" s="188">
        <v>0</v>
      </c>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row>
    <row r="254" spans="2:65" s="18" customFormat="1" x14ac:dyDescent="0.2">
      <c r="B254" s="32"/>
      <c r="D254" s="81"/>
      <c r="E254" s="204"/>
      <c r="F254" s="180"/>
      <c r="G254" s="180"/>
      <c r="H254" s="180"/>
      <c r="I254" s="180"/>
      <c r="J254" s="180"/>
      <c r="K254" s="180"/>
      <c r="L254" s="180"/>
      <c r="M254" s="180"/>
      <c r="N254" s="180"/>
      <c r="O254" s="180"/>
      <c r="P254" s="180"/>
      <c r="Q254" s="180"/>
      <c r="R254" s="180"/>
      <c r="S254" s="180"/>
      <c r="T254" s="180"/>
      <c r="U254" s="180"/>
      <c r="V254" s="180"/>
      <c r="W254" s="180"/>
      <c r="X254" s="180"/>
      <c r="Y254" s="180"/>
      <c r="Z254" s="180"/>
      <c r="AA254" s="180"/>
      <c r="AB254" s="180"/>
      <c r="AC254" s="180"/>
      <c r="AD254" s="180"/>
      <c r="AE254" s="180"/>
      <c r="AF254" s="180"/>
      <c r="AG254" s="180"/>
      <c r="AH254" s="180"/>
    </row>
    <row r="255" spans="2:65" s="8" customFormat="1" ht="14" x14ac:dyDescent="0.2">
      <c r="B255" s="21" t="s">
        <v>41</v>
      </c>
      <c r="E255" s="182"/>
      <c r="F255" s="220"/>
      <c r="G255" s="183"/>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20"/>
      <c r="BG255" s="20"/>
      <c r="BH255" s="20"/>
      <c r="BI255" s="20"/>
      <c r="BJ255" s="20"/>
      <c r="BK255" s="20"/>
      <c r="BL255" s="20"/>
      <c r="BM255" s="20"/>
    </row>
    <row r="256" spans="2:65" s="8" customFormat="1" ht="14" x14ac:dyDescent="0.2">
      <c r="B256" s="14" t="s">
        <v>377</v>
      </c>
      <c r="D256" s="10" t="str">
        <f>'Assumptions - General'!$E$27 &amp;" millions"</f>
        <v>R$ millions</v>
      </c>
      <c r="E256" s="176">
        <v>500</v>
      </c>
      <c r="F256" s="183"/>
      <c r="G256" s="183"/>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20"/>
      <c r="BG256" s="20"/>
      <c r="BH256" s="20"/>
      <c r="BI256" s="20"/>
      <c r="BJ256" s="20"/>
      <c r="BK256" s="20"/>
      <c r="BL256" s="20"/>
      <c r="BM256" s="20"/>
    </row>
    <row r="257" spans="1:65" s="8" customFormat="1" ht="14" x14ac:dyDescent="0.2">
      <c r="B257" s="215" t="s">
        <v>381</v>
      </c>
      <c r="E257" s="193"/>
      <c r="F257" s="219"/>
      <c r="G257" s="219"/>
      <c r="H257" s="219"/>
      <c r="I257" s="219"/>
      <c r="J257" s="219"/>
      <c r="K257" s="219"/>
      <c r="L257" s="219"/>
      <c r="M257" s="219"/>
      <c r="N257" s="219"/>
      <c r="O257" s="219"/>
      <c r="P257" s="219"/>
      <c r="Q257" s="219"/>
      <c r="R257" s="219"/>
      <c r="S257" s="219"/>
      <c r="T257" s="219"/>
      <c r="U257" s="219"/>
      <c r="V257" s="219"/>
      <c r="W257" s="219"/>
      <c r="X257" s="219"/>
      <c r="Y257" s="219"/>
      <c r="Z257" s="219"/>
      <c r="AA257" s="219"/>
      <c r="AB257" s="219"/>
      <c r="AC257" s="219"/>
      <c r="AD257" s="219"/>
      <c r="AE257" s="219"/>
      <c r="AF257" s="219"/>
      <c r="AG257" s="219"/>
      <c r="AH257" s="219"/>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20"/>
      <c r="BG257" s="20"/>
      <c r="BH257" s="20"/>
      <c r="BI257" s="20"/>
      <c r="BJ257" s="20"/>
      <c r="BK257" s="20"/>
      <c r="BL257" s="20"/>
      <c r="BM257" s="20"/>
    </row>
    <row r="258" spans="1:65" s="8" customFormat="1" ht="14" x14ac:dyDescent="0.2">
      <c r="B258" s="211" t="s">
        <v>259</v>
      </c>
      <c r="D258" s="15" t="s">
        <v>15</v>
      </c>
      <c r="E258" s="188">
        <f>F258/100</f>
        <v>1</v>
      </c>
      <c r="F258" s="220">
        <v>100</v>
      </c>
      <c r="G258" s="183"/>
      <c r="H258" s="183"/>
      <c r="I258" s="183"/>
      <c r="J258" s="183"/>
      <c r="K258" s="183"/>
      <c r="L258" s="183"/>
      <c r="M258" s="183"/>
      <c r="N258" s="183"/>
      <c r="O258" s="183"/>
      <c r="P258" s="183"/>
      <c r="Q258" s="183"/>
      <c r="R258" s="183"/>
      <c r="S258" s="183"/>
      <c r="T258" s="183"/>
      <c r="U258" s="183"/>
      <c r="V258" s="183"/>
      <c r="W258" s="183"/>
      <c r="X258" s="183"/>
      <c r="Y258" s="183"/>
      <c r="Z258" s="183"/>
      <c r="AA258" s="183"/>
      <c r="AB258" s="183"/>
      <c r="AC258" s="183"/>
      <c r="AD258" s="183"/>
      <c r="AE258" s="183"/>
      <c r="AF258" s="183"/>
      <c r="AG258" s="183"/>
      <c r="AH258" s="183"/>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20"/>
      <c r="BG258" s="20"/>
      <c r="BH258" s="20"/>
      <c r="BI258" s="20"/>
      <c r="BJ258" s="20"/>
      <c r="BK258" s="20"/>
      <c r="BL258" s="20"/>
      <c r="BM258" s="20"/>
    </row>
    <row r="259" spans="1:65" s="8" customFormat="1" ht="14" x14ac:dyDescent="0.2">
      <c r="B259" s="215" t="s">
        <v>571</v>
      </c>
      <c r="D259" s="15"/>
      <c r="E259" s="180"/>
      <c r="F259" s="220"/>
      <c r="G259" s="183"/>
      <c r="H259" s="183"/>
      <c r="I259" s="183"/>
      <c r="J259" s="183"/>
      <c r="K259" s="183"/>
      <c r="L259" s="183"/>
      <c r="M259" s="183"/>
      <c r="N259" s="183"/>
      <c r="O259" s="183"/>
      <c r="P259" s="183"/>
      <c r="Q259" s="183"/>
      <c r="R259" s="183"/>
      <c r="S259" s="183"/>
      <c r="T259" s="183"/>
      <c r="U259" s="183"/>
      <c r="V259" s="183"/>
      <c r="W259" s="183"/>
      <c r="X259" s="183"/>
      <c r="Y259" s="183"/>
      <c r="Z259" s="183"/>
      <c r="AA259" s="183"/>
      <c r="AB259" s="183"/>
      <c r="AC259" s="183"/>
      <c r="AD259" s="183"/>
      <c r="AE259" s="183"/>
      <c r="AF259" s="183"/>
      <c r="AG259" s="183"/>
      <c r="AH259" s="183"/>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20"/>
      <c r="BG259" s="20"/>
      <c r="BH259" s="20"/>
      <c r="BI259" s="20"/>
      <c r="BJ259" s="20"/>
      <c r="BK259" s="20"/>
      <c r="BL259" s="20"/>
      <c r="BM259" s="20"/>
    </row>
    <row r="260" spans="1:65" s="8" customFormat="1" ht="14" x14ac:dyDescent="0.2">
      <c r="B260" s="211" t="s">
        <v>38</v>
      </c>
      <c r="D260" s="8" t="s">
        <v>15</v>
      </c>
      <c r="E260" s="188">
        <f>IF(E230=2,0,F260/100)</f>
        <v>1</v>
      </c>
      <c r="F260" s="220">
        <v>100</v>
      </c>
      <c r="G260" s="183"/>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20"/>
      <c r="BG260" s="20"/>
      <c r="BH260" s="20"/>
      <c r="BI260" s="20"/>
      <c r="BJ260" s="20"/>
      <c r="BK260" s="20"/>
      <c r="BL260" s="20"/>
      <c r="BM260" s="20"/>
    </row>
    <row r="261" spans="1:65" s="120" customFormat="1" ht="14" x14ac:dyDescent="0.2">
      <c r="A261" s="20"/>
      <c r="B261" s="216" t="s">
        <v>260</v>
      </c>
      <c r="C261" s="20"/>
      <c r="D261" s="122" t="str">
        <f>'Assumptions - General'!$E$27 &amp;" per GTK"</f>
        <v>R$ per GTK</v>
      </c>
      <c r="E261" s="214">
        <f>IF(E256&gt;0,E256/(SUM(Calculations!E$167:E$176)*'Assumptions - Freight'!E18+SUM(Calculations!E$628:E$630)*'Assumptions - Passenger'!E18+SUM(Calculations!E$1058:E$1063)*E18+SUM(Calculations!E$1091:E$1093)*E22),0)</f>
        <v>6.2500000000000003E-3</v>
      </c>
      <c r="F261" s="214">
        <f>E261*(1+F262)*IF($E$230=1,($E260*'Assumptions - General'!F$37+1),1)</f>
        <v>6.4375000000000005E-3</v>
      </c>
      <c r="G261" s="214">
        <f>F261*(1+G262)*IF($E$230=1,($E260*'Assumptions - General'!G$37+1),1)</f>
        <v>6.6306250000000011E-3</v>
      </c>
      <c r="H261" s="214">
        <f>G261*(1+H262)*IF($E$230=1,($E260*'Assumptions - General'!H$37+1),1)</f>
        <v>6.8295437500000009E-3</v>
      </c>
      <c r="I261" s="214">
        <f>H261*(1+I262)*IF($E$230=1,($E260*'Assumptions - General'!I$37+1),1)</f>
        <v>7.0344300625000012E-3</v>
      </c>
      <c r="J261" s="214">
        <f>I261*(1+J262)*IF($E$230=1,($E260*'Assumptions - General'!J$37+1),1)</f>
        <v>7.2454629643750011E-3</v>
      </c>
      <c r="K261" s="214">
        <f>J261*(1+K262)*IF($E$230=1,($E260*'Assumptions - General'!K$37+1),1)</f>
        <v>7.4628268533062517E-3</v>
      </c>
      <c r="L261" s="214">
        <f>K261*(1+L262)*IF($E$230=1,($E260*'Assumptions - General'!L$37+1),1)</f>
        <v>7.6867116589054395E-3</v>
      </c>
      <c r="M261" s="214">
        <f>L261*(1+M262)*IF($E$230=1,($E260*'Assumptions - General'!M$37+1),1)</f>
        <v>7.917313008672603E-3</v>
      </c>
      <c r="N261" s="214">
        <f>M261*(1+N262)*IF($E$230=1,($E260*'Assumptions - General'!N$37+1),1)</f>
        <v>8.1548323989327817E-3</v>
      </c>
      <c r="O261" s="214">
        <f>N261*(1+O262)*IF($E$230=1,($E260*'Assumptions - General'!O$37+1),1)</f>
        <v>8.3994773709007656E-3</v>
      </c>
      <c r="P261" s="214">
        <f>O261*(1+P262)*IF($E$230=1,($E260*'Assumptions - General'!P$37+1),1)</f>
        <v>8.6514616920277884E-3</v>
      </c>
      <c r="Q261" s="214">
        <f>P261*(1+Q262)*IF($E$230=1,($E260*'Assumptions - General'!Q$37+1),1)</f>
        <v>8.9110055427886227E-3</v>
      </c>
      <c r="R261" s="214">
        <f>Q261*(1+R262)*IF($E$230=1,($E260*'Assumptions - General'!R$37+1),1)</f>
        <v>9.1783357090722811E-3</v>
      </c>
      <c r="S261" s="214">
        <f>R261*(1+S262)*IF($E$230=1,($E260*'Assumptions - General'!S$37+1),1)</f>
        <v>9.4536857803444504E-3</v>
      </c>
      <c r="T261" s="214">
        <f>S261*(1+T262)*IF($E$230=1,($E260*'Assumptions - General'!T$37+1),1)</f>
        <v>9.7372963537547836E-3</v>
      </c>
      <c r="U261" s="214">
        <f>T261*(1+U262)*IF($E$230=1,($E260*'Assumptions - General'!U$37+1),1)</f>
        <v>1.0029415244367427E-2</v>
      </c>
      <c r="V261" s="214">
        <f>U261*(1+V262)*IF($E$230=1,($E260*'Assumptions - General'!V$37+1),1)</f>
        <v>1.033029770169845E-2</v>
      </c>
      <c r="W261" s="214">
        <f>V261*(1+W262)*IF($E$230=1,($E260*'Assumptions - General'!W$37+1),1)</f>
        <v>1.0640206632749404E-2</v>
      </c>
      <c r="X261" s="214">
        <f>W261*(1+X262)*IF($E$230=1,($E260*'Assumptions - General'!X$37+1),1)</f>
        <v>1.0959412831731886E-2</v>
      </c>
      <c r="Y261" s="214">
        <f>X261*(1+Y262)*IF($E$230=1,($E260*'Assumptions - General'!Y$37+1),1)</f>
        <v>1.1288195216683844E-2</v>
      </c>
      <c r="Z261" s="214">
        <f>Y261*(1+Z262)*IF($E$230=1,($E260*'Assumptions - General'!Z$37+1),1)</f>
        <v>1.1626841073184358E-2</v>
      </c>
      <c r="AA261" s="214">
        <f>Z261*(1+AA262)*IF($E$230=1,($E260*'Assumptions - General'!AA$37+1),1)</f>
        <v>1.1975646305379889E-2</v>
      </c>
      <c r="AB261" s="214">
        <f>AA261*(1+AB262)*IF($E$230=1,($E260*'Assumptions - General'!AB$37+1),1)</f>
        <v>1.2334915694541286E-2</v>
      </c>
      <c r="AC261" s="214">
        <f>AB261*(1+AC262)*IF($E$230=1,($E260*'Assumptions - General'!AC$37+1),1)</f>
        <v>1.2704963165377524E-2</v>
      </c>
      <c r="AD261" s="214">
        <f>AC261*(1+AD262)*IF($E$230=1,($E260*'Assumptions - General'!AD$37+1),1)</f>
        <v>1.3086112060338851E-2</v>
      </c>
      <c r="AE261" s="214">
        <f>AD261*(1+AE262)*IF($E$230=1,($E260*'Assumptions - General'!AE$37+1),1)</f>
        <v>1.3478695422149016E-2</v>
      </c>
      <c r="AF261" s="214">
        <f>AE261*(1+AF262)*IF($E$230=1,($E260*'Assumptions - General'!AF$37+1),1)</f>
        <v>1.3883056284813487E-2</v>
      </c>
      <c r="AG261" s="214">
        <f>AF261*(1+AG262)*IF($E$230=1,($E260*'Assumptions - General'!AG$37+1),1)</f>
        <v>1.4299547973357892E-2</v>
      </c>
      <c r="AH261" s="214">
        <f>AG261*(1+AH262)*IF($E$230=1,($E260*'Assumptions - General'!AH$37+1),1)</f>
        <v>1.4728534412558629E-2</v>
      </c>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20"/>
      <c r="BG261" s="20"/>
      <c r="BH261" s="20"/>
      <c r="BI261" s="20"/>
      <c r="BJ261" s="20"/>
      <c r="BK261" s="20"/>
      <c r="BL261" s="20"/>
      <c r="BM261" s="20"/>
    </row>
    <row r="262" spans="1:65" x14ac:dyDescent="0.2">
      <c r="B262" s="30" t="s">
        <v>401</v>
      </c>
      <c r="D262" s="15" t="s">
        <v>15</v>
      </c>
      <c r="E262" s="190"/>
      <c r="F262" s="188">
        <v>0</v>
      </c>
      <c r="G262" s="188">
        <v>0</v>
      </c>
      <c r="H262" s="188">
        <v>0</v>
      </c>
      <c r="I262" s="188">
        <v>0</v>
      </c>
      <c r="J262" s="188">
        <v>0</v>
      </c>
      <c r="K262" s="188">
        <v>0</v>
      </c>
      <c r="L262" s="188">
        <v>0</v>
      </c>
      <c r="M262" s="188">
        <v>0</v>
      </c>
      <c r="N262" s="188">
        <v>0</v>
      </c>
      <c r="O262" s="188">
        <v>0</v>
      </c>
      <c r="P262" s="188">
        <v>0</v>
      </c>
      <c r="Q262" s="188">
        <v>0</v>
      </c>
      <c r="R262" s="188">
        <v>0</v>
      </c>
      <c r="S262" s="188">
        <v>0</v>
      </c>
      <c r="T262" s="188">
        <v>0</v>
      </c>
      <c r="U262" s="188">
        <v>0</v>
      </c>
      <c r="V262" s="188">
        <v>0</v>
      </c>
      <c r="W262" s="188">
        <v>0</v>
      </c>
      <c r="X262" s="188">
        <v>0</v>
      </c>
      <c r="Y262" s="188">
        <v>0</v>
      </c>
      <c r="Z262" s="188">
        <v>0</v>
      </c>
      <c r="AA262" s="188">
        <v>0</v>
      </c>
      <c r="AB262" s="188">
        <v>0</v>
      </c>
      <c r="AC262" s="188">
        <v>0</v>
      </c>
      <c r="AD262" s="188">
        <v>0</v>
      </c>
      <c r="AE262" s="188">
        <v>0</v>
      </c>
      <c r="AF262" s="188">
        <v>0</v>
      </c>
      <c r="AG262" s="188">
        <v>0</v>
      </c>
      <c r="AH262" s="188">
        <v>0</v>
      </c>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row>
    <row r="263" spans="1:65" s="18" customFormat="1" x14ac:dyDescent="0.2">
      <c r="B263" s="32"/>
      <c r="D263" s="81"/>
      <c r="E263" s="204"/>
      <c r="F263" s="180"/>
      <c r="G263" s="180"/>
      <c r="H263" s="180"/>
      <c r="I263" s="180"/>
      <c r="J263" s="180"/>
      <c r="K263" s="180"/>
      <c r="L263" s="180"/>
      <c r="M263" s="180"/>
      <c r="N263" s="180"/>
      <c r="O263" s="180"/>
      <c r="P263" s="180"/>
      <c r="Q263" s="180"/>
      <c r="R263" s="180"/>
      <c r="S263" s="180"/>
      <c r="T263" s="180"/>
      <c r="U263" s="180"/>
      <c r="V263" s="180"/>
      <c r="W263" s="180"/>
      <c r="X263" s="180"/>
      <c r="Y263" s="180"/>
      <c r="Z263" s="180"/>
      <c r="AA263" s="180"/>
      <c r="AB263" s="180"/>
      <c r="AC263" s="180"/>
      <c r="AD263" s="180"/>
      <c r="AE263" s="180"/>
      <c r="AF263" s="180"/>
      <c r="AG263" s="180"/>
      <c r="AH263" s="180"/>
    </row>
    <row r="264" spans="1:65" s="8" customFormat="1" ht="14" x14ac:dyDescent="0.2">
      <c r="B264" s="21" t="s">
        <v>218</v>
      </c>
      <c r="E264" s="182"/>
      <c r="F264" s="220"/>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20"/>
      <c r="BG264" s="20"/>
      <c r="BH264" s="20"/>
      <c r="BI264" s="20"/>
      <c r="BJ264" s="20"/>
      <c r="BK264" s="20"/>
      <c r="BL264" s="20"/>
      <c r="BM264" s="20"/>
    </row>
    <row r="265" spans="1:65" s="8" customFormat="1" ht="14" x14ac:dyDescent="0.2">
      <c r="B265" s="14" t="s">
        <v>377</v>
      </c>
      <c r="D265" s="10" t="str">
        <f>'Assumptions - General'!$E$27 &amp;" millions"</f>
        <v>R$ millions</v>
      </c>
      <c r="E265" s="176">
        <v>500</v>
      </c>
      <c r="F265" s="183"/>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20"/>
      <c r="AJ265" s="20"/>
      <c r="AK265" s="20"/>
      <c r="AL265" s="20"/>
      <c r="AM265" s="20"/>
      <c r="AN265" s="20"/>
      <c r="AO265" s="20"/>
      <c r="AP265" s="20"/>
      <c r="AQ265" s="20"/>
      <c r="AR265" s="20"/>
      <c r="AS265" s="20"/>
      <c r="AT265" s="20"/>
      <c r="AU265" s="20"/>
      <c r="AV265" s="20"/>
      <c r="AW265" s="20"/>
      <c r="AX265" s="20"/>
      <c r="AY265" s="20"/>
      <c r="AZ265" s="20"/>
      <c r="BA265" s="20"/>
      <c r="BB265" s="20"/>
      <c r="BC265" s="20"/>
      <c r="BD265" s="20"/>
      <c r="BE265" s="20"/>
      <c r="BF265" s="20"/>
      <c r="BG265" s="20"/>
      <c r="BH265" s="20"/>
      <c r="BI265" s="20"/>
      <c r="BJ265" s="20"/>
      <c r="BK265" s="20"/>
      <c r="BL265" s="20"/>
      <c r="BM265" s="20"/>
    </row>
    <row r="266" spans="1:65" s="8" customFormat="1" ht="14" x14ac:dyDescent="0.2">
      <c r="B266" s="215" t="s">
        <v>382</v>
      </c>
      <c r="E266" s="193"/>
      <c r="F266" s="219"/>
      <c r="G266" s="219"/>
      <c r="H266" s="219"/>
      <c r="I266" s="219"/>
      <c r="J266" s="219"/>
      <c r="K266" s="219"/>
      <c r="L266" s="219"/>
      <c r="M266" s="219"/>
      <c r="N266" s="219"/>
      <c r="O266" s="219"/>
      <c r="P266" s="219"/>
      <c r="Q266" s="219"/>
      <c r="R266" s="219"/>
      <c r="S266" s="219"/>
      <c r="T266" s="219"/>
      <c r="U266" s="219"/>
      <c r="V266" s="219"/>
      <c r="W266" s="219"/>
      <c r="X266" s="219"/>
      <c r="Y266" s="219"/>
      <c r="Z266" s="219"/>
      <c r="AA266" s="219"/>
      <c r="AB266" s="219"/>
      <c r="AC266" s="219"/>
      <c r="AD266" s="219"/>
      <c r="AE266" s="219"/>
      <c r="AF266" s="219"/>
      <c r="AG266" s="219"/>
      <c r="AH266" s="219"/>
      <c r="AI266" s="20"/>
      <c r="AJ266" s="20"/>
      <c r="AK266" s="20"/>
      <c r="AL266" s="20"/>
      <c r="AM266" s="20"/>
      <c r="AN266" s="20"/>
      <c r="AO266" s="20"/>
      <c r="AP266" s="20"/>
      <c r="AQ266" s="20"/>
      <c r="AR266" s="20"/>
      <c r="AS266" s="20"/>
      <c r="AT266" s="20"/>
      <c r="AU266" s="20"/>
      <c r="AV266" s="20"/>
      <c r="AW266" s="20"/>
      <c r="AX266" s="20"/>
      <c r="AY266" s="20"/>
      <c r="AZ266" s="20"/>
      <c r="BA266" s="20"/>
      <c r="BB266" s="20"/>
      <c r="BC266" s="20"/>
      <c r="BD266" s="20"/>
      <c r="BE266" s="20"/>
      <c r="BF266" s="20"/>
      <c r="BG266" s="20"/>
      <c r="BH266" s="20"/>
      <c r="BI266" s="20"/>
      <c r="BJ266" s="20"/>
      <c r="BK266" s="20"/>
      <c r="BL266" s="20"/>
      <c r="BM266" s="20"/>
    </row>
    <row r="267" spans="1:65" s="8" customFormat="1" ht="14" x14ac:dyDescent="0.2">
      <c r="B267" s="211" t="s">
        <v>261</v>
      </c>
      <c r="D267" s="15" t="s">
        <v>15</v>
      </c>
      <c r="E267" s="188">
        <f>F267/100</f>
        <v>1</v>
      </c>
      <c r="F267" s="220">
        <v>100</v>
      </c>
      <c r="G267" s="183"/>
      <c r="H267" s="183"/>
      <c r="I267" s="183"/>
      <c r="J267" s="183"/>
      <c r="K267" s="183"/>
      <c r="L267" s="183"/>
      <c r="M267" s="183"/>
      <c r="N267" s="183"/>
      <c r="O267" s="183"/>
      <c r="P267" s="183"/>
      <c r="Q267" s="183"/>
      <c r="R267" s="183"/>
      <c r="S267" s="183"/>
      <c r="T267" s="183"/>
      <c r="U267" s="183"/>
      <c r="V267" s="183"/>
      <c r="W267" s="183"/>
      <c r="X267" s="183"/>
      <c r="Y267" s="183"/>
      <c r="Z267" s="183"/>
      <c r="AA267" s="183"/>
      <c r="AB267" s="183"/>
      <c r="AC267" s="183"/>
      <c r="AD267" s="183"/>
      <c r="AE267" s="183"/>
      <c r="AF267" s="183"/>
      <c r="AG267" s="183"/>
      <c r="AH267" s="183"/>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20"/>
      <c r="BG267" s="20"/>
      <c r="BH267" s="20"/>
      <c r="BI267" s="20"/>
      <c r="BJ267" s="20"/>
      <c r="BK267" s="20"/>
      <c r="BL267" s="20"/>
      <c r="BM267" s="20"/>
    </row>
    <row r="268" spans="1:65" s="8" customFormat="1" ht="14" x14ac:dyDescent="0.2">
      <c r="B268" s="215" t="s">
        <v>572</v>
      </c>
      <c r="C268" s="14"/>
      <c r="D268" s="15"/>
      <c r="E268" s="180"/>
      <c r="F268" s="220"/>
      <c r="G268" s="183"/>
      <c r="H268" s="183"/>
      <c r="I268" s="183"/>
      <c r="J268" s="183"/>
      <c r="K268" s="183"/>
      <c r="L268" s="183"/>
      <c r="M268" s="183"/>
      <c r="N268" s="183"/>
      <c r="O268" s="183"/>
      <c r="P268" s="183"/>
      <c r="Q268" s="183"/>
      <c r="R268" s="183"/>
      <c r="S268" s="183"/>
      <c r="T268" s="183"/>
      <c r="U268" s="183"/>
      <c r="V268" s="183"/>
      <c r="W268" s="183"/>
      <c r="X268" s="183"/>
      <c r="Y268" s="183"/>
      <c r="Z268" s="183"/>
      <c r="AA268" s="183"/>
      <c r="AB268" s="183"/>
      <c r="AC268" s="183"/>
      <c r="AD268" s="183"/>
      <c r="AE268" s="183"/>
      <c r="AF268" s="183"/>
      <c r="AG268" s="183"/>
      <c r="AH268" s="183"/>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20"/>
      <c r="BG268" s="20"/>
      <c r="BH268" s="20"/>
      <c r="BI268" s="20"/>
      <c r="BJ268" s="20"/>
      <c r="BK268" s="20"/>
      <c r="BL268" s="20"/>
      <c r="BM268" s="20"/>
    </row>
    <row r="269" spans="1:65" s="8" customFormat="1" ht="14" x14ac:dyDescent="0.2">
      <c r="B269" s="211" t="s">
        <v>38</v>
      </c>
      <c r="D269" s="8" t="s">
        <v>15</v>
      </c>
      <c r="E269" s="188">
        <f>IF(E230=2,0,F269/100)</f>
        <v>1</v>
      </c>
      <c r="F269" s="220">
        <v>100</v>
      </c>
      <c r="G269" s="183"/>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0"/>
      <c r="BJ269" s="20"/>
      <c r="BK269" s="20"/>
      <c r="BL269" s="20"/>
      <c r="BM269" s="20"/>
    </row>
    <row r="270" spans="1:65" s="120" customFormat="1" ht="14" x14ac:dyDescent="0.2">
      <c r="A270" s="20"/>
      <c r="B270" s="216" t="s">
        <v>262</v>
      </c>
      <c r="C270" s="20"/>
      <c r="D270" s="122" t="str">
        <f>'Assumptions - General'!$E$27 &amp;" per GTK"</f>
        <v>R$ per GTK</v>
      </c>
      <c r="E270" s="214">
        <f>IF(E265&gt;0,E265/(SUM(Calculations!E$167:E$176)*'Assumptions - Freight'!E16+SUM(Calculations!E$628:E$630)*'Assumptions - Passenger'!E18+SUM(Calculations!E$1058:E$1063)*E16+SUM(Calculations!E$1091:E$1093)*E20),0)</f>
        <v>6.2500000000000003E-3</v>
      </c>
      <c r="F270" s="214">
        <f>E270*(1+F271)*IF($E$230=1,($E269*'Assumptions - General'!F$37+1),1)</f>
        <v>6.4375000000000005E-3</v>
      </c>
      <c r="G270" s="214">
        <f>F270*(1+G271)*IF($E$230=1,($E269*'Assumptions - General'!G$37+1),1)</f>
        <v>6.6306250000000011E-3</v>
      </c>
      <c r="H270" s="214">
        <f>G270*(1+H271)*IF($E$230=1,($E269*'Assumptions - General'!H$37+1),1)</f>
        <v>6.8295437500000009E-3</v>
      </c>
      <c r="I270" s="214">
        <f>H270*(1+I271)*IF($E$230=1,($E269*'Assumptions - General'!I$37+1),1)</f>
        <v>7.0344300625000012E-3</v>
      </c>
      <c r="J270" s="214">
        <f>I270*(1+J271)*IF($E$230=1,($E269*'Assumptions - General'!J$37+1),1)</f>
        <v>7.2454629643750011E-3</v>
      </c>
      <c r="K270" s="214">
        <f>J270*(1+K271)*IF($E$230=1,($E269*'Assumptions - General'!K$37+1),1)</f>
        <v>7.4628268533062517E-3</v>
      </c>
      <c r="L270" s="214">
        <f>K270*(1+L271)*IF($E$230=1,($E269*'Assumptions - General'!L$37+1),1)</f>
        <v>7.6867116589054395E-3</v>
      </c>
      <c r="M270" s="214">
        <f>L270*(1+M271)*IF($E$230=1,($E269*'Assumptions - General'!M$37+1),1)</f>
        <v>7.917313008672603E-3</v>
      </c>
      <c r="N270" s="214">
        <f>M270*(1+N271)*IF($E$230=1,($E269*'Assumptions - General'!N$37+1),1)</f>
        <v>8.1548323989327817E-3</v>
      </c>
      <c r="O270" s="214">
        <f>N270*(1+O271)*IF($E$230=1,($E269*'Assumptions - General'!O$37+1),1)</f>
        <v>8.3994773709007656E-3</v>
      </c>
      <c r="P270" s="214">
        <f>O270*(1+P271)*IF($E$230=1,($E269*'Assumptions - General'!P$37+1),1)</f>
        <v>8.6514616920277884E-3</v>
      </c>
      <c r="Q270" s="214">
        <f>P270*(1+Q271)*IF($E$230=1,($E269*'Assumptions - General'!Q$37+1),1)</f>
        <v>8.9110055427886227E-3</v>
      </c>
      <c r="R270" s="214">
        <f>Q270*(1+R271)*IF($E$230=1,($E269*'Assumptions - General'!R$37+1),1)</f>
        <v>9.1783357090722811E-3</v>
      </c>
      <c r="S270" s="214">
        <f>R270*(1+S271)*IF($E$230=1,($E269*'Assumptions - General'!S$37+1),1)</f>
        <v>9.4536857803444504E-3</v>
      </c>
      <c r="T270" s="214">
        <f>S270*(1+T271)*IF($E$230=1,($E269*'Assumptions - General'!T$37+1),1)</f>
        <v>9.7372963537547836E-3</v>
      </c>
      <c r="U270" s="214">
        <f>T270*(1+U271)*IF($E$230=1,($E269*'Assumptions - General'!U$37+1),1)</f>
        <v>1.0029415244367427E-2</v>
      </c>
      <c r="V270" s="214">
        <f>U270*(1+V271)*IF($E$230=1,($E269*'Assumptions - General'!V$37+1),1)</f>
        <v>1.033029770169845E-2</v>
      </c>
      <c r="W270" s="214">
        <f>V270*(1+W271)*IF($E$230=1,($E269*'Assumptions - General'!W$37+1),1)</f>
        <v>1.0640206632749404E-2</v>
      </c>
      <c r="X270" s="214">
        <f>W270*(1+X271)*IF($E$230=1,($E269*'Assumptions - General'!X$37+1),1)</f>
        <v>1.0959412831731886E-2</v>
      </c>
      <c r="Y270" s="214">
        <f>X270*(1+Y271)*IF($E$230=1,($E269*'Assumptions - General'!Y$37+1),1)</f>
        <v>1.1288195216683844E-2</v>
      </c>
      <c r="Z270" s="214">
        <f>Y270*(1+Z271)*IF($E$230=1,($E269*'Assumptions - General'!Z$37+1),1)</f>
        <v>1.1626841073184358E-2</v>
      </c>
      <c r="AA270" s="214">
        <f>Z270*(1+AA271)*IF($E$230=1,($E269*'Assumptions - General'!AA$37+1),1)</f>
        <v>1.1975646305379889E-2</v>
      </c>
      <c r="AB270" s="214">
        <f>AA270*(1+AB271)*IF($E$230=1,($E269*'Assumptions - General'!AB$37+1),1)</f>
        <v>1.2334915694541286E-2</v>
      </c>
      <c r="AC270" s="214">
        <f>AB270*(1+AC271)*IF($E$230=1,($E269*'Assumptions - General'!AC$37+1),1)</f>
        <v>1.2704963165377524E-2</v>
      </c>
      <c r="AD270" s="214">
        <f>AC270*(1+AD271)*IF($E$230=1,($E269*'Assumptions - General'!AD$37+1),1)</f>
        <v>1.3086112060338851E-2</v>
      </c>
      <c r="AE270" s="214">
        <f>AD270*(1+AE271)*IF($E$230=1,($E269*'Assumptions - General'!AE$37+1),1)</f>
        <v>1.3478695422149016E-2</v>
      </c>
      <c r="AF270" s="214">
        <f>AE270*(1+AF271)*IF($E$230=1,($E269*'Assumptions - General'!AF$37+1),1)</f>
        <v>1.3883056284813487E-2</v>
      </c>
      <c r="AG270" s="214">
        <f>AF270*(1+AG271)*IF($E$230=1,($E269*'Assumptions - General'!AG$37+1),1)</f>
        <v>1.4299547973357892E-2</v>
      </c>
      <c r="AH270" s="214">
        <f>AG270*(1+AH271)*IF($E$230=1,($E269*'Assumptions - General'!AH$37+1),1)</f>
        <v>1.4728534412558629E-2</v>
      </c>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20"/>
      <c r="BG270" s="20"/>
      <c r="BH270" s="20"/>
      <c r="BI270" s="20"/>
      <c r="BJ270" s="20"/>
      <c r="BK270" s="20"/>
      <c r="BL270" s="20"/>
      <c r="BM270" s="20"/>
    </row>
    <row r="271" spans="1:65" x14ac:dyDescent="0.2">
      <c r="B271" s="30" t="s">
        <v>401</v>
      </c>
      <c r="D271" s="15" t="s">
        <v>15</v>
      </c>
      <c r="E271" s="190"/>
      <c r="F271" s="188">
        <v>0</v>
      </c>
      <c r="G271" s="188">
        <v>0</v>
      </c>
      <c r="H271" s="188">
        <v>0</v>
      </c>
      <c r="I271" s="188">
        <v>0</v>
      </c>
      <c r="J271" s="188">
        <v>0</v>
      </c>
      <c r="K271" s="188">
        <v>0</v>
      </c>
      <c r="L271" s="188">
        <v>0</v>
      </c>
      <c r="M271" s="188">
        <v>0</v>
      </c>
      <c r="N271" s="188">
        <v>0</v>
      </c>
      <c r="O271" s="188">
        <v>0</v>
      </c>
      <c r="P271" s="188">
        <v>0</v>
      </c>
      <c r="Q271" s="188">
        <v>0</v>
      </c>
      <c r="R271" s="188">
        <v>0</v>
      </c>
      <c r="S271" s="188">
        <v>0</v>
      </c>
      <c r="T271" s="188">
        <v>0</v>
      </c>
      <c r="U271" s="188">
        <v>0</v>
      </c>
      <c r="V271" s="188">
        <v>0</v>
      </c>
      <c r="W271" s="188">
        <v>0</v>
      </c>
      <c r="X271" s="188">
        <v>0</v>
      </c>
      <c r="Y271" s="188">
        <v>0</v>
      </c>
      <c r="Z271" s="188">
        <v>0</v>
      </c>
      <c r="AA271" s="188">
        <v>0</v>
      </c>
      <c r="AB271" s="188">
        <v>0</v>
      </c>
      <c r="AC271" s="188">
        <v>0</v>
      </c>
      <c r="AD271" s="188">
        <v>0</v>
      </c>
      <c r="AE271" s="188">
        <v>0</v>
      </c>
      <c r="AF271" s="188">
        <v>0</v>
      </c>
      <c r="AG271" s="188">
        <v>0</v>
      </c>
      <c r="AH271" s="188">
        <v>0</v>
      </c>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row>
    <row r="272" spans="1:65" s="18" customFormat="1" x14ac:dyDescent="0.2">
      <c r="B272" s="32"/>
      <c r="D272" s="81"/>
      <c r="E272" s="204"/>
      <c r="F272" s="180"/>
      <c r="G272" s="180"/>
      <c r="H272" s="180"/>
      <c r="I272" s="180"/>
      <c r="J272" s="180"/>
      <c r="K272" s="180"/>
      <c r="L272" s="180"/>
      <c r="M272" s="180"/>
      <c r="N272" s="180"/>
      <c r="O272" s="180"/>
      <c r="P272" s="180"/>
      <c r="Q272" s="180"/>
      <c r="R272" s="180"/>
      <c r="S272" s="180"/>
      <c r="T272" s="180"/>
      <c r="U272" s="180"/>
      <c r="V272" s="180"/>
      <c r="W272" s="180"/>
      <c r="X272" s="180"/>
      <c r="Y272" s="180"/>
      <c r="Z272" s="180"/>
      <c r="AA272" s="180"/>
      <c r="AB272" s="180"/>
      <c r="AC272" s="180"/>
      <c r="AD272" s="180"/>
      <c r="AE272" s="180"/>
      <c r="AF272" s="180"/>
      <c r="AG272" s="180"/>
      <c r="AH272" s="180"/>
    </row>
    <row r="273" spans="2:65" s="8" customFormat="1" ht="14" x14ac:dyDescent="0.2">
      <c r="B273" s="21" t="s">
        <v>42</v>
      </c>
      <c r="E273" s="182"/>
      <c r="F273" s="220"/>
      <c r="G273" s="183"/>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20"/>
      <c r="AJ273" s="20"/>
      <c r="AK273" s="20"/>
      <c r="AL273" s="20"/>
      <c r="AM273" s="20"/>
      <c r="AN273" s="20"/>
      <c r="AO273" s="20"/>
      <c r="AP273" s="20"/>
      <c r="AQ273" s="20"/>
      <c r="AR273" s="20"/>
      <c r="AS273" s="20"/>
      <c r="AT273" s="20"/>
      <c r="AU273" s="20"/>
      <c r="AV273" s="20"/>
      <c r="AW273" s="20"/>
      <c r="AX273" s="20"/>
      <c r="AY273" s="20"/>
      <c r="AZ273" s="20"/>
      <c r="BA273" s="20"/>
      <c r="BB273" s="20"/>
      <c r="BC273" s="20"/>
      <c r="BD273" s="20"/>
      <c r="BE273" s="20"/>
      <c r="BF273" s="20"/>
      <c r="BG273" s="20"/>
      <c r="BH273" s="20"/>
      <c r="BI273" s="20"/>
      <c r="BJ273" s="20"/>
      <c r="BK273" s="20"/>
      <c r="BL273" s="20"/>
      <c r="BM273" s="20"/>
    </row>
    <row r="274" spans="2:65" s="8" customFormat="1" ht="14" x14ac:dyDescent="0.2">
      <c r="B274" s="14" t="s">
        <v>377</v>
      </c>
      <c r="D274" s="10" t="str">
        <f>'Assumptions - General'!$E$27 &amp;" millions"</f>
        <v>R$ millions</v>
      </c>
      <c r="E274" s="176">
        <v>500</v>
      </c>
      <c r="F274" s="183"/>
      <c r="G274" s="183"/>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20"/>
      <c r="AJ274" s="20"/>
      <c r="AK274" s="20"/>
      <c r="AL274" s="20"/>
      <c r="AM274" s="20"/>
      <c r="AN274" s="20"/>
      <c r="AO274" s="20"/>
      <c r="AP274" s="20"/>
      <c r="AQ274" s="20"/>
      <c r="AR274" s="20"/>
      <c r="AS274" s="20"/>
      <c r="AT274" s="20"/>
      <c r="AU274" s="20"/>
      <c r="AV274" s="20"/>
      <c r="AW274" s="20"/>
      <c r="AX274" s="20"/>
      <c r="AY274" s="20"/>
      <c r="AZ274" s="20"/>
      <c r="BA274" s="20"/>
      <c r="BB274" s="20"/>
      <c r="BC274" s="20"/>
      <c r="BD274" s="20"/>
      <c r="BE274" s="20"/>
      <c r="BF274" s="20"/>
      <c r="BG274" s="20"/>
      <c r="BH274" s="20"/>
      <c r="BI274" s="20"/>
      <c r="BJ274" s="20"/>
      <c r="BK274" s="20"/>
      <c r="BL274" s="20"/>
      <c r="BM274" s="20"/>
    </row>
    <row r="275" spans="2:65" s="8" customFormat="1" ht="14" x14ac:dyDescent="0.2">
      <c r="B275" s="215" t="s">
        <v>383</v>
      </c>
      <c r="D275" s="8" t="s">
        <v>256</v>
      </c>
      <c r="E275" s="176">
        <v>100</v>
      </c>
      <c r="F275" s="219">
        <f>E275*(1+F276*$E$277)</f>
        <v>100</v>
      </c>
      <c r="G275" s="219">
        <f t="shared" ref="G275:AH275" si="18">F275*(1+G276*$E$277)</f>
        <v>100</v>
      </c>
      <c r="H275" s="219">
        <f t="shared" si="18"/>
        <v>100</v>
      </c>
      <c r="I275" s="219">
        <f t="shared" si="18"/>
        <v>100</v>
      </c>
      <c r="J275" s="219">
        <f t="shared" si="18"/>
        <v>100</v>
      </c>
      <c r="K275" s="219">
        <f t="shared" si="18"/>
        <v>100</v>
      </c>
      <c r="L275" s="219">
        <f t="shared" si="18"/>
        <v>100</v>
      </c>
      <c r="M275" s="219">
        <f t="shared" si="18"/>
        <v>100</v>
      </c>
      <c r="N275" s="219">
        <f t="shared" si="18"/>
        <v>100</v>
      </c>
      <c r="O275" s="219">
        <f t="shared" si="18"/>
        <v>100</v>
      </c>
      <c r="P275" s="219">
        <f t="shared" si="18"/>
        <v>100</v>
      </c>
      <c r="Q275" s="219">
        <f t="shared" si="18"/>
        <v>100</v>
      </c>
      <c r="R275" s="219">
        <f t="shared" si="18"/>
        <v>100</v>
      </c>
      <c r="S275" s="219">
        <f t="shared" si="18"/>
        <v>100</v>
      </c>
      <c r="T275" s="219">
        <f t="shared" si="18"/>
        <v>100</v>
      </c>
      <c r="U275" s="219">
        <f t="shared" si="18"/>
        <v>100</v>
      </c>
      <c r="V275" s="219">
        <f t="shared" si="18"/>
        <v>100</v>
      </c>
      <c r="W275" s="219">
        <f t="shared" si="18"/>
        <v>100</v>
      </c>
      <c r="X275" s="219">
        <f t="shared" si="18"/>
        <v>100</v>
      </c>
      <c r="Y275" s="219">
        <f t="shared" si="18"/>
        <v>100</v>
      </c>
      <c r="Z275" s="219">
        <f t="shared" si="18"/>
        <v>100</v>
      </c>
      <c r="AA275" s="219">
        <f t="shared" si="18"/>
        <v>100</v>
      </c>
      <c r="AB275" s="219">
        <f t="shared" si="18"/>
        <v>100</v>
      </c>
      <c r="AC275" s="219">
        <f t="shared" si="18"/>
        <v>100</v>
      </c>
      <c r="AD275" s="219">
        <f t="shared" si="18"/>
        <v>100</v>
      </c>
      <c r="AE275" s="219">
        <f t="shared" si="18"/>
        <v>100</v>
      </c>
      <c r="AF275" s="219">
        <f t="shared" si="18"/>
        <v>100</v>
      </c>
      <c r="AG275" s="219">
        <f t="shared" si="18"/>
        <v>100</v>
      </c>
      <c r="AH275" s="219">
        <f t="shared" si="18"/>
        <v>100</v>
      </c>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20"/>
      <c r="BG275" s="20"/>
      <c r="BH275" s="20"/>
      <c r="BI275" s="20"/>
      <c r="BJ275" s="20"/>
      <c r="BK275" s="20"/>
      <c r="BL275" s="20"/>
      <c r="BM275" s="20"/>
    </row>
    <row r="276" spans="2:65" s="8" customFormat="1" ht="14" x14ac:dyDescent="0.2">
      <c r="B276" s="211" t="s">
        <v>263</v>
      </c>
      <c r="D276" s="8" t="s">
        <v>15</v>
      </c>
      <c r="E276" s="192"/>
      <c r="F276" s="189">
        <v>0</v>
      </c>
      <c r="G276" s="189">
        <v>0</v>
      </c>
      <c r="H276" s="189">
        <v>0</v>
      </c>
      <c r="I276" s="189">
        <v>0</v>
      </c>
      <c r="J276" s="189">
        <v>0</v>
      </c>
      <c r="K276" s="189">
        <v>0</v>
      </c>
      <c r="L276" s="189">
        <v>0</v>
      </c>
      <c r="M276" s="189">
        <v>0</v>
      </c>
      <c r="N276" s="189">
        <v>0</v>
      </c>
      <c r="O276" s="189">
        <v>0</v>
      </c>
      <c r="P276" s="189">
        <v>0</v>
      </c>
      <c r="Q276" s="189">
        <v>0</v>
      </c>
      <c r="R276" s="189">
        <v>0</v>
      </c>
      <c r="S276" s="189">
        <v>0</v>
      </c>
      <c r="T276" s="189">
        <v>0</v>
      </c>
      <c r="U276" s="189">
        <v>0</v>
      </c>
      <c r="V276" s="189">
        <v>0</v>
      </c>
      <c r="W276" s="189">
        <v>0</v>
      </c>
      <c r="X276" s="189">
        <v>0</v>
      </c>
      <c r="Y276" s="189">
        <v>0</v>
      </c>
      <c r="Z276" s="189">
        <v>0</v>
      </c>
      <c r="AA276" s="189">
        <v>0</v>
      </c>
      <c r="AB276" s="189">
        <v>0</v>
      </c>
      <c r="AC276" s="189">
        <v>0</v>
      </c>
      <c r="AD276" s="189">
        <v>0</v>
      </c>
      <c r="AE276" s="189">
        <v>0</v>
      </c>
      <c r="AF276" s="189">
        <v>0</v>
      </c>
      <c r="AG276" s="189">
        <v>0</v>
      </c>
      <c r="AH276" s="189">
        <v>0</v>
      </c>
      <c r="AI276" s="20"/>
      <c r="AJ276" s="20"/>
      <c r="AK276" s="20"/>
      <c r="AL276" s="20"/>
      <c r="AM276" s="20"/>
      <c r="AN276" s="20"/>
      <c r="AO276" s="20"/>
      <c r="AP276" s="20"/>
      <c r="AQ276" s="20"/>
      <c r="AR276" s="20"/>
      <c r="AS276" s="20"/>
      <c r="AT276" s="20"/>
      <c r="AU276" s="20"/>
      <c r="AV276" s="20"/>
      <c r="AW276" s="20"/>
      <c r="AX276" s="20"/>
      <c r="AY276" s="20"/>
      <c r="AZ276" s="20"/>
      <c r="BA276" s="20"/>
      <c r="BB276" s="20"/>
      <c r="BC276" s="20"/>
      <c r="BD276" s="20"/>
      <c r="BE276" s="20"/>
      <c r="BF276" s="20"/>
      <c r="BG276" s="20"/>
      <c r="BH276" s="20"/>
      <c r="BI276" s="20"/>
      <c r="BJ276" s="20"/>
      <c r="BK276" s="20"/>
      <c r="BL276" s="20"/>
      <c r="BM276" s="20"/>
    </row>
    <row r="277" spans="2:65" s="8" customFormat="1" ht="14" x14ac:dyDescent="0.2">
      <c r="B277" s="211" t="s">
        <v>264</v>
      </c>
      <c r="D277" s="15" t="s">
        <v>15</v>
      </c>
      <c r="E277" s="188">
        <f>F277/100</f>
        <v>1</v>
      </c>
      <c r="F277" s="220">
        <v>100</v>
      </c>
      <c r="G277" s="183"/>
      <c r="H277" s="183"/>
      <c r="I277" s="183"/>
      <c r="J277" s="183"/>
      <c r="K277" s="183"/>
      <c r="L277" s="183"/>
      <c r="M277" s="183"/>
      <c r="N277" s="183"/>
      <c r="O277" s="183"/>
      <c r="P277" s="183"/>
      <c r="Q277" s="183"/>
      <c r="R277" s="183"/>
      <c r="S277" s="183"/>
      <c r="T277" s="183"/>
      <c r="U277" s="183"/>
      <c r="V277" s="183"/>
      <c r="W277" s="183"/>
      <c r="X277" s="183"/>
      <c r="Y277" s="183"/>
      <c r="Z277" s="183"/>
      <c r="AA277" s="183"/>
      <c r="AB277" s="183"/>
      <c r="AC277" s="183"/>
      <c r="AD277" s="183"/>
      <c r="AE277" s="183"/>
      <c r="AF277" s="183"/>
      <c r="AG277" s="183"/>
      <c r="AH277" s="183"/>
      <c r="AI277" s="20"/>
      <c r="AJ277" s="20"/>
      <c r="AK277" s="20"/>
      <c r="AL277" s="20"/>
      <c r="AM277" s="20"/>
      <c r="AN277" s="20"/>
      <c r="AO277" s="20"/>
      <c r="AP277" s="20"/>
      <c r="AQ277" s="20"/>
      <c r="AR277" s="20"/>
      <c r="AS277" s="20"/>
      <c r="AT277" s="20"/>
      <c r="AU277" s="20"/>
      <c r="AV277" s="20"/>
      <c r="AW277" s="20"/>
      <c r="AX277" s="20"/>
      <c r="AY277" s="20"/>
      <c r="AZ277" s="20"/>
      <c r="BA277" s="20"/>
      <c r="BB277" s="20"/>
      <c r="BC277" s="20"/>
      <c r="BD277" s="20"/>
      <c r="BE277" s="20"/>
      <c r="BF277" s="20"/>
      <c r="BG277" s="20"/>
      <c r="BH277" s="20"/>
      <c r="BI277" s="20"/>
      <c r="BJ277" s="20"/>
      <c r="BK277" s="20"/>
      <c r="BL277" s="20"/>
      <c r="BM277" s="20"/>
    </row>
    <row r="278" spans="2:65" s="8" customFormat="1" ht="14" x14ac:dyDescent="0.2">
      <c r="B278" s="215" t="s">
        <v>580</v>
      </c>
      <c r="D278" s="15"/>
      <c r="E278" s="180"/>
      <c r="F278" s="220"/>
      <c r="G278" s="183"/>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20"/>
      <c r="BG278" s="20"/>
      <c r="BH278" s="20"/>
      <c r="BI278" s="20"/>
      <c r="BJ278" s="20"/>
      <c r="BK278" s="20"/>
      <c r="BL278" s="20"/>
      <c r="BM278" s="20"/>
    </row>
    <row r="279" spans="2:65" s="8" customFormat="1" ht="14" x14ac:dyDescent="0.2">
      <c r="B279" s="211" t="s">
        <v>38</v>
      </c>
      <c r="D279" s="8" t="s">
        <v>15</v>
      </c>
      <c r="E279" s="188">
        <f>IF(E230=2,0,F279/100)</f>
        <v>1</v>
      </c>
      <c r="F279" s="220">
        <v>100</v>
      </c>
      <c r="G279" s="183"/>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20"/>
      <c r="BG279" s="20"/>
      <c r="BH279" s="20"/>
      <c r="BI279" s="20"/>
      <c r="BJ279" s="20"/>
      <c r="BK279" s="20"/>
      <c r="BL279" s="20"/>
      <c r="BM279" s="20"/>
    </row>
    <row r="280" spans="2:65" s="20" customFormat="1" ht="14" x14ac:dyDescent="0.2">
      <c r="B280" s="216" t="s">
        <v>265</v>
      </c>
      <c r="D280" s="122" t="str">
        <f>'Assumptions - General'!$E$27 &amp;" per unit"</f>
        <v>R$ per unit</v>
      </c>
      <c r="E280" s="192">
        <f>IF(E274&gt;0,E274*1000000/E275,0)</f>
        <v>5000000</v>
      </c>
      <c r="F280" s="192">
        <f>E280*(1+F281)*IF($E$230=1,($E279*'Assumptions - General'!F$37+1),1)</f>
        <v>5150000</v>
      </c>
      <c r="G280" s="192">
        <f>F280*(1+G281)*IF($E$230=1,($E279*'Assumptions - General'!G$37+1),1)</f>
        <v>5304500</v>
      </c>
      <c r="H280" s="192">
        <f>G280*(1+H281)*IF($E$230=1,($E279*'Assumptions - General'!H$37+1),1)</f>
        <v>5463635</v>
      </c>
      <c r="I280" s="192">
        <f>H280*(1+I281)*IF($E$230=1,($E279*'Assumptions - General'!I$37+1),1)</f>
        <v>5627544.0499999998</v>
      </c>
      <c r="J280" s="192">
        <f>I280*(1+J281)*IF($E$230=1,($E279*'Assumptions - General'!J$37+1),1)</f>
        <v>5796370.3715000004</v>
      </c>
      <c r="K280" s="192">
        <f>J280*(1+K281)*IF($E$230=1,($E279*'Assumptions - General'!K$37+1),1)</f>
        <v>5970261.4826450003</v>
      </c>
      <c r="L280" s="192">
        <f>K280*(1+L281)*IF($E$230=1,($E279*'Assumptions - General'!L$37+1),1)</f>
        <v>6149369.3271243507</v>
      </c>
      <c r="M280" s="192">
        <f>L280*(1+M281)*IF($E$230=1,($E279*'Assumptions - General'!M$37+1),1)</f>
        <v>6333850.4069380816</v>
      </c>
      <c r="N280" s="192">
        <f>M280*(1+N281)*IF($E$230=1,($E279*'Assumptions - General'!N$37+1),1)</f>
        <v>6523865.9191462239</v>
      </c>
      <c r="O280" s="192">
        <f>N280*(1+O281)*IF($E$230=1,($E279*'Assumptions - General'!O$37+1),1)</f>
        <v>6719581.8967206106</v>
      </c>
      <c r="P280" s="192">
        <f>O280*(1+P281)*IF($E$230=1,($E279*'Assumptions - General'!P$37+1),1)</f>
        <v>6921169.3536222288</v>
      </c>
      <c r="Q280" s="192">
        <f>P280*(1+Q281)*IF($E$230=1,($E279*'Assumptions - General'!Q$37+1),1)</f>
        <v>7128804.4342308957</v>
      </c>
      <c r="R280" s="192">
        <f>Q280*(1+R281)*IF($E$230=1,($E279*'Assumptions - General'!R$37+1),1)</f>
        <v>7342668.5672578225</v>
      </c>
      <c r="S280" s="192">
        <f>R280*(1+S281)*IF($E$230=1,($E279*'Assumptions - General'!S$37+1),1)</f>
        <v>7562948.6242755577</v>
      </c>
      <c r="T280" s="192">
        <f>S280*(1+T281)*IF($E$230=1,($E279*'Assumptions - General'!T$37+1),1)</f>
        <v>7789837.0830038246</v>
      </c>
      <c r="U280" s="192">
        <f>T280*(1+U281)*IF($E$230=1,($E279*'Assumptions - General'!U$37+1),1)</f>
        <v>8023532.1954939393</v>
      </c>
      <c r="V280" s="192">
        <f>U280*(1+V281)*IF($E$230=1,($E279*'Assumptions - General'!V$37+1),1)</f>
        <v>8264238.1613587579</v>
      </c>
      <c r="W280" s="192">
        <f>V280*(1+W281)*IF($E$230=1,($E279*'Assumptions - General'!W$37+1),1)</f>
        <v>8512165.3061995208</v>
      </c>
      <c r="X280" s="192">
        <f>W280*(1+X281)*IF($E$230=1,($E279*'Assumptions - General'!X$37+1),1)</f>
        <v>8767530.2653855067</v>
      </c>
      <c r="Y280" s="192">
        <f>X280*(1+Y281)*IF($E$230=1,($E279*'Assumptions - General'!Y$37+1),1)</f>
        <v>9030556.1733470727</v>
      </c>
      <c r="Z280" s="192">
        <f>Y280*(1+Z281)*IF($E$230=1,($E279*'Assumptions - General'!Z$37+1),1)</f>
        <v>9301472.8585474845</v>
      </c>
      <c r="AA280" s="192">
        <f>Z280*(1+AA281)*IF($E$230=1,($E279*'Assumptions - General'!AA$37+1),1)</f>
        <v>9580517.0443039089</v>
      </c>
      <c r="AB280" s="192">
        <f>AA280*(1+AB281)*IF($E$230=1,($E279*'Assumptions - General'!AB$37+1),1)</f>
        <v>9867932.5556330271</v>
      </c>
      <c r="AC280" s="192">
        <f>AB280*(1+AC281)*IF($E$230=1,($E279*'Assumptions - General'!AC$37+1),1)</f>
        <v>10163970.532302018</v>
      </c>
      <c r="AD280" s="192">
        <f>AC280*(1+AD281)*IF($E$230=1,($E279*'Assumptions - General'!AD$37+1),1)</f>
        <v>10468889.648271078</v>
      </c>
      <c r="AE280" s="192">
        <f>AD280*(1+AE281)*IF($E$230=1,($E279*'Assumptions - General'!AE$37+1),1)</f>
        <v>10782956.337719211</v>
      </c>
      <c r="AF280" s="192">
        <f>AE280*(1+AF281)*IF($E$230=1,($E279*'Assumptions - General'!AF$37+1),1)</f>
        <v>11106445.027850788</v>
      </c>
      <c r="AG280" s="192">
        <f>AF280*(1+AG281)*IF($E$230=1,($E279*'Assumptions - General'!AG$37+1),1)</f>
        <v>11439638.378686313</v>
      </c>
      <c r="AH280" s="192">
        <f>AG280*(1+AH281)*IF($E$230=1,($E279*'Assumptions - General'!AH$37+1),1)</f>
        <v>11782827.530046903</v>
      </c>
    </row>
    <row r="281" spans="2:65" x14ac:dyDescent="0.2">
      <c r="B281" s="30" t="s">
        <v>401</v>
      </c>
      <c r="D281" s="15" t="s">
        <v>15</v>
      </c>
      <c r="E281" s="190"/>
      <c r="F281" s="188">
        <v>0</v>
      </c>
      <c r="G281" s="188">
        <v>0</v>
      </c>
      <c r="H281" s="188">
        <v>0</v>
      </c>
      <c r="I281" s="188">
        <v>0</v>
      </c>
      <c r="J281" s="188">
        <v>0</v>
      </c>
      <c r="K281" s="188">
        <v>0</v>
      </c>
      <c r="L281" s="188">
        <v>0</v>
      </c>
      <c r="M281" s="188">
        <v>0</v>
      </c>
      <c r="N281" s="188">
        <v>0</v>
      </c>
      <c r="O281" s="188">
        <v>0</v>
      </c>
      <c r="P281" s="188">
        <v>0</v>
      </c>
      <c r="Q281" s="188">
        <v>0</v>
      </c>
      <c r="R281" s="188">
        <v>0</v>
      </c>
      <c r="S281" s="188">
        <v>0</v>
      </c>
      <c r="T281" s="188">
        <v>0</v>
      </c>
      <c r="U281" s="188">
        <v>0</v>
      </c>
      <c r="V281" s="188">
        <v>0</v>
      </c>
      <c r="W281" s="188">
        <v>0</v>
      </c>
      <c r="X281" s="188">
        <v>0</v>
      </c>
      <c r="Y281" s="188">
        <v>0</v>
      </c>
      <c r="Z281" s="188">
        <v>0</v>
      </c>
      <c r="AA281" s="188">
        <v>0</v>
      </c>
      <c r="AB281" s="188">
        <v>0</v>
      </c>
      <c r="AC281" s="188">
        <v>0</v>
      </c>
      <c r="AD281" s="188">
        <v>0</v>
      </c>
      <c r="AE281" s="188">
        <v>0</v>
      </c>
      <c r="AF281" s="188">
        <v>0</v>
      </c>
      <c r="AG281" s="188">
        <v>0</v>
      </c>
      <c r="AH281" s="188">
        <v>0</v>
      </c>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row>
    <row r="282" spans="2:65" s="18" customFormat="1" x14ac:dyDescent="0.2">
      <c r="B282" s="32"/>
      <c r="D282" s="81"/>
      <c r="E282" s="204"/>
      <c r="F282" s="180"/>
      <c r="G282" s="180"/>
      <c r="H282" s="180"/>
      <c r="I282" s="180"/>
      <c r="J282" s="180"/>
      <c r="K282" s="180"/>
      <c r="L282" s="180"/>
      <c r="M282" s="180"/>
      <c r="N282" s="180"/>
      <c r="O282" s="180"/>
      <c r="P282" s="180"/>
      <c r="Q282" s="180"/>
      <c r="R282" s="180"/>
      <c r="S282" s="180"/>
      <c r="T282" s="180"/>
      <c r="U282" s="180"/>
      <c r="V282" s="180"/>
      <c r="W282" s="180"/>
      <c r="X282" s="180"/>
      <c r="Y282" s="180"/>
      <c r="Z282" s="180"/>
      <c r="AA282" s="180"/>
      <c r="AB282" s="180"/>
      <c r="AC282" s="180"/>
      <c r="AD282" s="180"/>
      <c r="AE282" s="180"/>
      <c r="AF282" s="180"/>
      <c r="AG282" s="180"/>
      <c r="AH282" s="180"/>
    </row>
    <row r="283" spans="2:65" s="8" customFormat="1" ht="14" x14ac:dyDescent="0.2">
      <c r="B283" s="21" t="s">
        <v>43</v>
      </c>
      <c r="E283" s="182"/>
      <c r="F283" s="220"/>
      <c r="G283" s="183"/>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row>
    <row r="284" spans="2:65" s="8" customFormat="1" ht="14" x14ac:dyDescent="0.2">
      <c r="B284" s="14" t="s">
        <v>377</v>
      </c>
      <c r="D284" s="10" t="str">
        <f>'Assumptions - General'!$E$27 &amp;" millions"</f>
        <v>R$ millions</v>
      </c>
      <c r="E284" s="176">
        <v>500</v>
      </c>
      <c r="F284" s="183"/>
      <c r="G284" s="183"/>
      <c r="H284" s="183"/>
      <c r="I284" s="183"/>
      <c r="J284" s="183"/>
      <c r="K284" s="183"/>
      <c r="L284" s="183"/>
      <c r="M284" s="183"/>
      <c r="N284" s="183"/>
      <c r="O284" s="183"/>
      <c r="P284" s="183"/>
      <c r="Q284" s="183"/>
      <c r="R284" s="183"/>
      <c r="S284" s="183"/>
      <c r="T284" s="183"/>
      <c r="U284" s="183"/>
      <c r="V284" s="183"/>
      <c r="W284" s="183"/>
      <c r="X284" s="183"/>
      <c r="Y284" s="183"/>
      <c r="Z284" s="183"/>
      <c r="AA284" s="183"/>
      <c r="AB284" s="183"/>
      <c r="AC284" s="183"/>
      <c r="AD284" s="183"/>
      <c r="AE284" s="183"/>
      <c r="AF284" s="183"/>
      <c r="AG284" s="183"/>
      <c r="AH284" s="183"/>
      <c r="AI284" s="20"/>
      <c r="AJ284" s="20"/>
      <c r="AK284" s="20"/>
      <c r="AL284" s="20"/>
      <c r="AM284" s="20"/>
      <c r="AN284" s="20"/>
      <c r="AO284" s="20"/>
      <c r="AP284" s="20"/>
      <c r="AQ284" s="20"/>
      <c r="AR284" s="20"/>
      <c r="AS284" s="20"/>
      <c r="AT284" s="20"/>
      <c r="AU284" s="20"/>
      <c r="AV284" s="20"/>
      <c r="AW284" s="20"/>
      <c r="AX284" s="20"/>
      <c r="AY284" s="20"/>
      <c r="AZ284" s="20"/>
      <c r="BA284" s="20"/>
      <c r="BB284" s="20"/>
      <c r="BC284" s="20"/>
      <c r="BD284" s="20"/>
      <c r="BE284" s="20"/>
      <c r="BF284" s="20"/>
      <c r="BG284" s="20"/>
      <c r="BH284" s="20"/>
      <c r="BI284" s="20"/>
      <c r="BJ284" s="20"/>
      <c r="BK284" s="20"/>
      <c r="BL284" s="20"/>
      <c r="BM284" s="20"/>
    </row>
    <row r="285" spans="2:65" s="8" customFormat="1" ht="14" x14ac:dyDescent="0.2">
      <c r="B285" s="215" t="s">
        <v>384</v>
      </c>
      <c r="D285" s="8" t="s">
        <v>256</v>
      </c>
      <c r="E285" s="176">
        <v>100</v>
      </c>
      <c r="F285" s="219">
        <f>E285*(1+F286*$E$287)</f>
        <v>100</v>
      </c>
      <c r="G285" s="219">
        <f t="shared" ref="G285:AH285" si="19">F285*(1+G286*$E$287)</f>
        <v>100</v>
      </c>
      <c r="H285" s="219">
        <f t="shared" si="19"/>
        <v>100</v>
      </c>
      <c r="I285" s="219">
        <f t="shared" si="19"/>
        <v>100</v>
      </c>
      <c r="J285" s="219">
        <f t="shared" si="19"/>
        <v>100</v>
      </c>
      <c r="K285" s="219">
        <f t="shared" si="19"/>
        <v>100</v>
      </c>
      <c r="L285" s="219">
        <f t="shared" si="19"/>
        <v>100</v>
      </c>
      <c r="M285" s="219">
        <f t="shared" si="19"/>
        <v>100</v>
      </c>
      <c r="N285" s="219">
        <f t="shared" si="19"/>
        <v>100</v>
      </c>
      <c r="O285" s="219">
        <f t="shared" si="19"/>
        <v>100</v>
      </c>
      <c r="P285" s="219">
        <f t="shared" si="19"/>
        <v>100</v>
      </c>
      <c r="Q285" s="219">
        <f t="shared" si="19"/>
        <v>100</v>
      </c>
      <c r="R285" s="219">
        <f t="shared" si="19"/>
        <v>100</v>
      </c>
      <c r="S285" s="219">
        <f t="shared" si="19"/>
        <v>100</v>
      </c>
      <c r="T285" s="219">
        <f t="shared" si="19"/>
        <v>100</v>
      </c>
      <c r="U285" s="219">
        <f t="shared" si="19"/>
        <v>100</v>
      </c>
      <c r="V285" s="219">
        <f t="shared" si="19"/>
        <v>100</v>
      </c>
      <c r="W285" s="219">
        <f t="shared" si="19"/>
        <v>100</v>
      </c>
      <c r="X285" s="219">
        <f t="shared" si="19"/>
        <v>100</v>
      </c>
      <c r="Y285" s="219">
        <f t="shared" si="19"/>
        <v>100</v>
      </c>
      <c r="Z285" s="219">
        <f t="shared" si="19"/>
        <v>100</v>
      </c>
      <c r="AA285" s="219">
        <f t="shared" si="19"/>
        <v>100</v>
      </c>
      <c r="AB285" s="219">
        <f t="shared" si="19"/>
        <v>100</v>
      </c>
      <c r="AC285" s="219">
        <f t="shared" si="19"/>
        <v>100</v>
      </c>
      <c r="AD285" s="219">
        <f t="shared" si="19"/>
        <v>100</v>
      </c>
      <c r="AE285" s="219">
        <f t="shared" si="19"/>
        <v>100</v>
      </c>
      <c r="AF285" s="219">
        <f t="shared" si="19"/>
        <v>100</v>
      </c>
      <c r="AG285" s="219">
        <f t="shared" si="19"/>
        <v>100</v>
      </c>
      <c r="AH285" s="219">
        <f t="shared" si="19"/>
        <v>100</v>
      </c>
      <c r="AI285" s="20"/>
      <c r="AJ285" s="20"/>
      <c r="AK285" s="20"/>
      <c r="AL285" s="20"/>
      <c r="AM285" s="20"/>
      <c r="AN285" s="20"/>
      <c r="AO285" s="20"/>
      <c r="AP285" s="20"/>
      <c r="AQ285" s="20"/>
      <c r="AR285" s="20"/>
      <c r="AS285" s="20"/>
      <c r="AT285" s="20"/>
      <c r="AU285" s="20"/>
      <c r="AV285" s="20"/>
      <c r="AW285" s="20"/>
      <c r="AX285" s="20"/>
      <c r="AY285" s="20"/>
      <c r="AZ285" s="20"/>
      <c r="BA285" s="20"/>
      <c r="BB285" s="20"/>
      <c r="BC285" s="20"/>
      <c r="BD285" s="20"/>
      <c r="BE285" s="20"/>
      <c r="BF285" s="20"/>
      <c r="BG285" s="20"/>
      <c r="BH285" s="20"/>
      <c r="BI285" s="20"/>
      <c r="BJ285" s="20"/>
      <c r="BK285" s="20"/>
      <c r="BL285" s="20"/>
      <c r="BM285" s="20"/>
    </row>
    <row r="286" spans="2:65" s="8" customFormat="1" ht="14" x14ac:dyDescent="0.2">
      <c r="B286" s="211" t="s">
        <v>263</v>
      </c>
      <c r="D286" s="8" t="s">
        <v>15</v>
      </c>
      <c r="E286" s="192"/>
      <c r="F286" s="189">
        <v>0</v>
      </c>
      <c r="G286" s="189">
        <v>0</v>
      </c>
      <c r="H286" s="189">
        <v>0</v>
      </c>
      <c r="I286" s="189">
        <v>0</v>
      </c>
      <c r="J286" s="189">
        <v>0</v>
      </c>
      <c r="K286" s="189">
        <v>0</v>
      </c>
      <c r="L286" s="189">
        <v>0</v>
      </c>
      <c r="M286" s="189">
        <v>0</v>
      </c>
      <c r="N286" s="189">
        <v>0</v>
      </c>
      <c r="O286" s="189">
        <v>0</v>
      </c>
      <c r="P286" s="189">
        <v>0</v>
      </c>
      <c r="Q286" s="189">
        <v>0</v>
      </c>
      <c r="R286" s="189">
        <v>0</v>
      </c>
      <c r="S286" s="189">
        <v>0</v>
      </c>
      <c r="T286" s="189">
        <v>0</v>
      </c>
      <c r="U286" s="189">
        <v>0</v>
      </c>
      <c r="V286" s="189">
        <v>0</v>
      </c>
      <c r="W286" s="189">
        <v>0</v>
      </c>
      <c r="X286" s="189">
        <v>0</v>
      </c>
      <c r="Y286" s="189">
        <v>0</v>
      </c>
      <c r="Z286" s="189">
        <v>0</v>
      </c>
      <c r="AA286" s="189">
        <v>0</v>
      </c>
      <c r="AB286" s="189">
        <v>0</v>
      </c>
      <c r="AC286" s="189">
        <v>0</v>
      </c>
      <c r="AD286" s="189">
        <v>0</v>
      </c>
      <c r="AE286" s="189">
        <v>0</v>
      </c>
      <c r="AF286" s="189">
        <v>0</v>
      </c>
      <c r="AG286" s="189">
        <v>0</v>
      </c>
      <c r="AH286" s="189">
        <v>0</v>
      </c>
      <c r="AI286" s="20"/>
      <c r="AJ286" s="20"/>
      <c r="AK286" s="20"/>
      <c r="AL286" s="20"/>
      <c r="AM286" s="20"/>
      <c r="AN286" s="20"/>
      <c r="AO286" s="20"/>
      <c r="AP286" s="20"/>
      <c r="AQ286" s="20"/>
      <c r="AR286" s="20"/>
      <c r="AS286" s="20"/>
      <c r="AT286" s="20"/>
      <c r="AU286" s="20"/>
      <c r="AV286" s="20"/>
      <c r="AW286" s="20"/>
      <c r="AX286" s="20"/>
      <c r="AY286" s="20"/>
      <c r="AZ286" s="20"/>
      <c r="BA286" s="20"/>
      <c r="BB286" s="20"/>
      <c r="BC286" s="20"/>
      <c r="BD286" s="20"/>
      <c r="BE286" s="20"/>
      <c r="BF286" s="20"/>
      <c r="BG286" s="20"/>
      <c r="BH286" s="20"/>
      <c r="BI286" s="20"/>
      <c r="BJ286" s="20"/>
      <c r="BK286" s="20"/>
      <c r="BL286" s="20"/>
      <c r="BM286" s="20"/>
    </row>
    <row r="287" spans="2:65" s="8" customFormat="1" ht="14" x14ac:dyDescent="0.2">
      <c r="B287" s="211" t="s">
        <v>266</v>
      </c>
      <c r="D287" s="15" t="s">
        <v>15</v>
      </c>
      <c r="E287" s="188">
        <f>F287/100</f>
        <v>1</v>
      </c>
      <c r="F287" s="220">
        <v>100</v>
      </c>
      <c r="G287" s="183"/>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20"/>
      <c r="AJ287" s="20"/>
      <c r="AK287" s="20"/>
      <c r="AL287" s="20"/>
      <c r="AM287" s="20"/>
      <c r="AN287" s="20"/>
      <c r="AO287" s="20"/>
      <c r="AP287" s="20"/>
      <c r="AQ287" s="20"/>
      <c r="AR287" s="20"/>
      <c r="AS287" s="20"/>
      <c r="AT287" s="20"/>
      <c r="AU287" s="20"/>
      <c r="AV287" s="20"/>
      <c r="AW287" s="20"/>
      <c r="AX287" s="20"/>
      <c r="AY287" s="20"/>
      <c r="AZ287" s="20"/>
      <c r="BA287" s="20"/>
      <c r="BB287" s="20"/>
      <c r="BC287" s="20"/>
      <c r="BD287" s="20"/>
      <c r="BE287" s="20"/>
      <c r="BF287" s="20"/>
      <c r="BG287" s="20"/>
      <c r="BH287" s="20"/>
      <c r="BI287" s="20"/>
      <c r="BJ287" s="20"/>
      <c r="BK287" s="20"/>
      <c r="BL287" s="20"/>
      <c r="BM287" s="20"/>
    </row>
    <row r="288" spans="2:65" s="8" customFormat="1" ht="14" x14ac:dyDescent="0.2">
      <c r="B288" s="215" t="s">
        <v>574</v>
      </c>
      <c r="D288" s="15"/>
      <c r="E288" s="180"/>
      <c r="F288" s="220"/>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20"/>
      <c r="BG288" s="20"/>
      <c r="BH288" s="20"/>
      <c r="BI288" s="20"/>
      <c r="BJ288" s="20"/>
      <c r="BK288" s="20"/>
      <c r="BL288" s="20"/>
      <c r="BM288" s="20"/>
    </row>
    <row r="289" spans="1:65" s="8" customFormat="1" ht="14" x14ac:dyDescent="0.2">
      <c r="B289" s="211" t="s">
        <v>38</v>
      </c>
      <c r="D289" s="8" t="s">
        <v>15</v>
      </c>
      <c r="E289" s="188">
        <f>IF(E230=2,0,F289/100)</f>
        <v>1</v>
      </c>
      <c r="F289" s="220">
        <v>100</v>
      </c>
      <c r="G289" s="183"/>
      <c r="H289" s="183"/>
      <c r="I289" s="183"/>
      <c r="J289" s="183"/>
      <c r="K289" s="183"/>
      <c r="L289" s="183"/>
      <c r="M289" s="183"/>
      <c r="N289" s="183"/>
      <c r="O289" s="183"/>
      <c r="P289" s="183"/>
      <c r="Q289" s="183"/>
      <c r="R289" s="183"/>
      <c r="S289" s="183"/>
      <c r="T289" s="183"/>
      <c r="U289" s="183"/>
      <c r="V289" s="183"/>
      <c r="W289" s="183"/>
      <c r="X289" s="183"/>
      <c r="Y289" s="183"/>
      <c r="Z289" s="183"/>
      <c r="AA289" s="183"/>
      <c r="AB289" s="183"/>
      <c r="AC289" s="183"/>
      <c r="AD289" s="183"/>
      <c r="AE289" s="183"/>
      <c r="AF289" s="183"/>
      <c r="AG289" s="183"/>
      <c r="AH289" s="183"/>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20"/>
      <c r="BG289" s="20"/>
      <c r="BH289" s="20"/>
      <c r="BI289" s="20"/>
      <c r="BJ289" s="20"/>
      <c r="BK289" s="20"/>
      <c r="BL289" s="20"/>
      <c r="BM289" s="20"/>
    </row>
    <row r="290" spans="1:65" s="120" customFormat="1" ht="14" x14ac:dyDescent="0.2">
      <c r="A290" s="20"/>
      <c r="B290" s="216" t="s">
        <v>267</v>
      </c>
      <c r="C290" s="20"/>
      <c r="D290" s="122" t="str">
        <f>'Assumptions - General'!$E$27 &amp;" per unit"</f>
        <v>R$ per unit</v>
      </c>
      <c r="E290" s="192">
        <f>IF(E284&gt;0,E284*1000000/E285,0)</f>
        <v>5000000</v>
      </c>
      <c r="F290" s="192">
        <f>E290*(1+F291)*IF($E$230=1,($E289*'Assumptions - General'!F$37+1),1)</f>
        <v>5150000</v>
      </c>
      <c r="G290" s="192">
        <f>F290*(1+G291)*IF($E$230=1,($E289*'Assumptions - General'!G$37+1),1)</f>
        <v>5304500</v>
      </c>
      <c r="H290" s="192">
        <f>G290*(1+H291)*IF($E$230=1,($E289*'Assumptions - General'!H$37+1),1)</f>
        <v>5463635</v>
      </c>
      <c r="I290" s="192">
        <f>H290*(1+I291)*IF($E$230=1,($E289*'Assumptions - General'!I$37+1),1)</f>
        <v>5627544.0499999998</v>
      </c>
      <c r="J290" s="192">
        <f>I290*(1+J291)*IF($E$230=1,($E289*'Assumptions - General'!J$37+1),1)</f>
        <v>5796370.3715000004</v>
      </c>
      <c r="K290" s="192">
        <f>J290*(1+K291)*IF($E$230=1,($E289*'Assumptions - General'!K$37+1),1)</f>
        <v>5970261.4826450003</v>
      </c>
      <c r="L290" s="192">
        <f>K290*(1+L291)*IF($E$230=1,($E289*'Assumptions - General'!L$37+1),1)</f>
        <v>6149369.3271243507</v>
      </c>
      <c r="M290" s="192">
        <f>L290*(1+M291)*IF($E$230=1,($E289*'Assumptions - General'!M$37+1),1)</f>
        <v>6333850.4069380816</v>
      </c>
      <c r="N290" s="192">
        <f>M290*(1+N291)*IF($E$230=1,($E289*'Assumptions - General'!N$37+1),1)</f>
        <v>6523865.9191462239</v>
      </c>
      <c r="O290" s="192">
        <f>N290*(1+O291)*IF($E$230=1,($E289*'Assumptions - General'!O$37+1),1)</f>
        <v>6719581.8967206106</v>
      </c>
      <c r="P290" s="192">
        <f>O290*(1+P291)*IF($E$230=1,($E289*'Assumptions - General'!P$37+1),1)</f>
        <v>6921169.3536222288</v>
      </c>
      <c r="Q290" s="192">
        <f>P290*(1+Q291)*IF($E$230=1,($E289*'Assumptions - General'!Q$37+1),1)</f>
        <v>7128804.4342308957</v>
      </c>
      <c r="R290" s="192">
        <f>Q290*(1+R291)*IF($E$230=1,($E289*'Assumptions - General'!R$37+1),1)</f>
        <v>7342668.5672578225</v>
      </c>
      <c r="S290" s="192">
        <f>R290*(1+S291)*IF($E$230=1,($E289*'Assumptions - General'!S$37+1),1)</f>
        <v>7562948.6242755577</v>
      </c>
      <c r="T290" s="192">
        <f>S290*(1+T291)*IF($E$230=1,($E289*'Assumptions - General'!T$37+1),1)</f>
        <v>7789837.0830038246</v>
      </c>
      <c r="U290" s="192">
        <f>T290*(1+U291)*IF($E$230=1,($E289*'Assumptions - General'!U$37+1),1)</f>
        <v>8023532.1954939393</v>
      </c>
      <c r="V290" s="192">
        <f>U290*(1+V291)*IF($E$230=1,($E289*'Assumptions - General'!V$37+1),1)</f>
        <v>8264238.1613587579</v>
      </c>
      <c r="W290" s="192">
        <f>V290*(1+W291)*IF($E$230=1,($E289*'Assumptions - General'!W$37+1),1)</f>
        <v>8512165.3061995208</v>
      </c>
      <c r="X290" s="192">
        <f>W290*(1+X291)*IF($E$230=1,($E289*'Assumptions - General'!X$37+1),1)</f>
        <v>8767530.2653855067</v>
      </c>
      <c r="Y290" s="192">
        <f>X290*(1+Y291)*IF($E$230=1,($E289*'Assumptions - General'!Y$37+1),1)</f>
        <v>9030556.1733470727</v>
      </c>
      <c r="Z290" s="192">
        <f>Y290*(1+Z291)*IF($E$230=1,($E289*'Assumptions - General'!Z$37+1),1)</f>
        <v>9301472.8585474845</v>
      </c>
      <c r="AA290" s="192">
        <f>Z290*(1+AA291)*IF($E$230=1,($E289*'Assumptions - General'!AA$37+1),1)</f>
        <v>9580517.0443039089</v>
      </c>
      <c r="AB290" s="192">
        <f>AA290*(1+AB291)*IF($E$230=1,($E289*'Assumptions - General'!AB$37+1),1)</f>
        <v>9867932.5556330271</v>
      </c>
      <c r="AC290" s="192">
        <f>AB290*(1+AC291)*IF($E$230=1,($E289*'Assumptions - General'!AC$37+1),1)</f>
        <v>10163970.532302018</v>
      </c>
      <c r="AD290" s="192">
        <f>AC290*(1+AD291)*IF($E$230=1,($E289*'Assumptions - General'!AD$37+1),1)</f>
        <v>10468889.648271078</v>
      </c>
      <c r="AE290" s="192">
        <f>AD290*(1+AE291)*IF($E$230=1,($E289*'Assumptions - General'!AE$37+1),1)</f>
        <v>10782956.337719211</v>
      </c>
      <c r="AF290" s="192">
        <f>AE290*(1+AF291)*IF($E$230=1,($E289*'Assumptions - General'!AF$37+1),1)</f>
        <v>11106445.027850788</v>
      </c>
      <c r="AG290" s="192">
        <f>AF290*(1+AG291)*IF($E$230=1,($E289*'Assumptions - General'!AG$37+1),1)</f>
        <v>11439638.378686313</v>
      </c>
      <c r="AH290" s="192">
        <f>AG290*(1+AH291)*IF($E$230=1,($E289*'Assumptions - General'!AH$37+1),1)</f>
        <v>11782827.530046903</v>
      </c>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20"/>
      <c r="BG290" s="20"/>
      <c r="BH290" s="20"/>
      <c r="BI290" s="20"/>
      <c r="BJ290" s="20"/>
      <c r="BK290" s="20"/>
      <c r="BL290" s="20"/>
      <c r="BM290" s="20"/>
    </row>
    <row r="291" spans="1:65" x14ac:dyDescent="0.2">
      <c r="B291" s="30" t="s">
        <v>401</v>
      </c>
      <c r="D291" s="15" t="s">
        <v>15</v>
      </c>
      <c r="E291" s="190"/>
      <c r="F291" s="188">
        <v>0</v>
      </c>
      <c r="G291" s="188">
        <v>0</v>
      </c>
      <c r="H291" s="188">
        <v>0</v>
      </c>
      <c r="I291" s="188">
        <v>0</v>
      </c>
      <c r="J291" s="188">
        <v>0</v>
      </c>
      <c r="K291" s="188">
        <v>0</v>
      </c>
      <c r="L291" s="188">
        <v>0</v>
      </c>
      <c r="M291" s="188">
        <v>0</v>
      </c>
      <c r="N291" s="188">
        <v>0</v>
      </c>
      <c r="O291" s="188">
        <v>0</v>
      </c>
      <c r="P291" s="188">
        <v>0</v>
      </c>
      <c r="Q291" s="188">
        <v>0</v>
      </c>
      <c r="R291" s="188">
        <v>0</v>
      </c>
      <c r="S291" s="188">
        <v>0</v>
      </c>
      <c r="T291" s="188">
        <v>0</v>
      </c>
      <c r="U291" s="188">
        <v>0</v>
      </c>
      <c r="V291" s="188">
        <v>0</v>
      </c>
      <c r="W291" s="188">
        <v>0</v>
      </c>
      <c r="X291" s="188">
        <v>0</v>
      </c>
      <c r="Y291" s="188">
        <v>0</v>
      </c>
      <c r="Z291" s="188">
        <v>0</v>
      </c>
      <c r="AA291" s="188">
        <v>0</v>
      </c>
      <c r="AB291" s="188">
        <v>0</v>
      </c>
      <c r="AC291" s="188">
        <v>0</v>
      </c>
      <c r="AD291" s="188">
        <v>0</v>
      </c>
      <c r="AE291" s="188">
        <v>0</v>
      </c>
      <c r="AF291" s="188">
        <v>0</v>
      </c>
      <c r="AG291" s="188">
        <v>0</v>
      </c>
      <c r="AH291" s="188">
        <v>0</v>
      </c>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row>
    <row r="292" spans="1:65" s="8" customFormat="1" ht="14" x14ac:dyDescent="0.2">
      <c r="B292" s="14"/>
      <c r="D292" s="15"/>
      <c r="E292" s="15"/>
    </row>
    <row r="293" spans="1:65" s="8" customFormat="1" ht="14" outlineLevel="1" x14ac:dyDescent="0.2">
      <c r="B293" s="14" t="str">
        <f>B236&amp; " - total annual cost in forecast period"</f>
        <v>Staff - total annual cost in forecast period</v>
      </c>
      <c r="D293" s="10" t="str">
        <f>'Assumptions - General'!$E$27 &amp;" millions"</f>
        <v>R$ millions</v>
      </c>
      <c r="E293" s="192">
        <f>Calculations!E1147</f>
        <v>1000</v>
      </c>
      <c r="F293" s="192">
        <f>Calculations!F1147</f>
        <v>1098.6666666666667</v>
      </c>
      <c r="G293" s="192">
        <f>Calculations!G1147</f>
        <v>1202.3533333333335</v>
      </c>
      <c r="H293" s="192">
        <f>Calculations!H1147</f>
        <v>1311.2724000000003</v>
      </c>
      <c r="I293" s="192">
        <f>Calculations!I1147</f>
        <v>1500.6784133333335</v>
      </c>
      <c r="J293" s="192">
        <f>Calculations!J1147</f>
        <v>1545.6987657333334</v>
      </c>
      <c r="K293" s="192">
        <f>Calculations!K1147</f>
        <v>1592.0697287053335</v>
      </c>
      <c r="L293" s="192">
        <f>Calculations!L1147</f>
        <v>1639.8318205664934</v>
      </c>
      <c r="M293" s="192">
        <f>Calculations!M1147</f>
        <v>1689.0267751834886</v>
      </c>
      <c r="N293" s="192">
        <f>Calculations!N1147</f>
        <v>1739.6975784389929</v>
      </c>
      <c r="O293" s="192">
        <f>Calculations!O1147</f>
        <v>1791.888505792163</v>
      </c>
      <c r="P293" s="192">
        <f>Calculations!P1147</f>
        <v>1845.6451609659277</v>
      </c>
      <c r="Q293" s="192">
        <f>Calculations!Q1147</f>
        <v>1901.0145157949059</v>
      </c>
      <c r="R293" s="192">
        <f>Calculations!R1147</f>
        <v>1958.0449512687533</v>
      </c>
      <c r="S293" s="192">
        <f>Calculations!S1147</f>
        <v>2016.7862998068158</v>
      </c>
      <c r="T293" s="192">
        <f>Calculations!T1147</f>
        <v>2077.2898888010204</v>
      </c>
      <c r="U293" s="192">
        <f>Calculations!U1147</f>
        <v>2139.608585465051</v>
      </c>
      <c r="V293" s="192">
        <f>Calculations!V1147</f>
        <v>2203.7968430290025</v>
      </c>
      <c r="W293" s="192">
        <f>Calculations!W1147</f>
        <v>2269.9107483198727</v>
      </c>
      <c r="X293" s="192">
        <f>Calculations!X1147</f>
        <v>2338.0080707694688</v>
      </c>
      <c r="Y293" s="192">
        <f>Calculations!Y1147</f>
        <v>2408.1483128925529</v>
      </c>
      <c r="Z293" s="192">
        <f>Calculations!Z1147</f>
        <v>2480.3927622793294</v>
      </c>
      <c r="AA293" s="192">
        <f>Calculations!AA1147</f>
        <v>2554.8045451477092</v>
      </c>
      <c r="AB293" s="192">
        <f>Calculations!AB1147</f>
        <v>2631.448681502141</v>
      </c>
      <c r="AC293" s="192">
        <f>Calculations!AC1147</f>
        <v>2710.3921419472049</v>
      </c>
      <c r="AD293" s="192">
        <f>Calculations!AD1147</f>
        <v>2791.703906205621</v>
      </c>
      <c r="AE293" s="192">
        <f>Calculations!AE1147</f>
        <v>2875.4550233917898</v>
      </c>
      <c r="AF293" s="192">
        <f>Calculations!AF1147</f>
        <v>2961.7186740935435</v>
      </c>
      <c r="AG293" s="192">
        <f>Calculations!AG1147</f>
        <v>3050.5702343163498</v>
      </c>
      <c r="AH293" s="192">
        <f>Calculations!AH1147</f>
        <v>3142.0873413458403</v>
      </c>
    </row>
    <row r="294" spans="1:65" s="8" customFormat="1" ht="14" outlineLevel="1" x14ac:dyDescent="0.2">
      <c r="B294" s="14" t="str">
        <f>B246&amp; " - total annual cost in forecast period"</f>
        <v>Materials - total annual cost in forecast period</v>
      </c>
      <c r="D294" s="10" t="str">
        <f>'Assumptions - General'!$E$27 &amp;" millions"</f>
        <v>R$ millions</v>
      </c>
      <c r="E294" s="192">
        <f>Calculations!E1149</f>
        <v>500</v>
      </c>
      <c r="F294" s="192">
        <f>Calculations!F1149</f>
        <v>523.14500762195121</v>
      </c>
      <c r="G294" s="192">
        <f>Calculations!G1149</f>
        <v>538.83935785060976</v>
      </c>
      <c r="H294" s="192">
        <f>Calculations!H1149</f>
        <v>567.80993311737814</v>
      </c>
      <c r="I294" s="192">
        <f>Calculations!I1149</f>
        <v>611.22334384527448</v>
      </c>
      <c r="J294" s="192">
        <f>Calculations!J1149</f>
        <v>643.14528721883596</v>
      </c>
      <c r="K294" s="192">
        <f>Calculations!K1149</f>
        <v>722.50630099615864</v>
      </c>
      <c r="L294" s="192">
        <f>Calculations!L1149</f>
        <v>758.59407438649112</v>
      </c>
      <c r="M294" s="192">
        <f>Calculations!M1149</f>
        <v>796.19685850934695</v>
      </c>
      <c r="N294" s="192">
        <f>Calculations!N1149</f>
        <v>835.37307501262637</v>
      </c>
      <c r="O294" s="192">
        <f>Calculations!O1149</f>
        <v>876.18328733344413</v>
      </c>
      <c r="P294" s="192">
        <f>Calculations!P1149</f>
        <v>918.69027662599967</v>
      </c>
      <c r="Q294" s="192">
        <f>Calculations!Q1149</f>
        <v>962.95912031750822</v>
      </c>
      <c r="R294" s="192">
        <f>Calculations!R1149</f>
        <v>1009.057273381544</v>
      </c>
      <c r="S294" s="192">
        <f>Calculations!S1149</f>
        <v>1057.0546524211361</v>
      </c>
      <c r="T294" s="192">
        <f>Calculations!T1149</f>
        <v>1107.0237226570605</v>
      </c>
      <c r="U294" s="192">
        <f>Calculations!U1149</f>
        <v>1159.0395879199611</v>
      </c>
      <c r="V294" s="192">
        <f>Calculations!V1149</f>
        <v>1213.1800837482444</v>
      </c>
      <c r="W294" s="192">
        <f>Calculations!W1149</f>
        <v>1269.525873697097</v>
      </c>
      <c r="X294" s="192">
        <f>Calculations!X1149</f>
        <v>1328.1605489675073</v>
      </c>
      <c r="Y294" s="192">
        <f>Calculations!Y1149</f>
        <v>1389.1707314678147</v>
      </c>
      <c r="Z294" s="192">
        <f>Calculations!Z1149</f>
        <v>1452.6461804240698</v>
      </c>
      <c r="AA294" s="192">
        <f>Calculations!AA1149</f>
        <v>1518.6799026593794</v>
      </c>
      <c r="AB294" s="192">
        <f>Calculations!AB1149</f>
        <v>1587.3682666664261</v>
      </c>
      <c r="AC294" s="192">
        <f>Calculations!AC1149</f>
        <v>1658.8111206015017</v>
      </c>
      <c r="AD294" s="192">
        <f>Calculations!AD1149</f>
        <v>1733.1119143326819</v>
      </c>
      <c r="AE294" s="192">
        <f>Calculations!AE1149</f>
        <v>1810.377825679192</v>
      </c>
      <c r="AF294" s="192">
        <f>Calculations!AF1149</f>
        <v>1890.7198909835929</v>
      </c>
      <c r="AG294" s="192">
        <f>Calculations!AG1149</f>
        <v>1974.2531401631468</v>
      </c>
      <c r="AH294" s="192">
        <f>Calculations!AH1149</f>
        <v>2061.0967363915888</v>
      </c>
    </row>
    <row r="295" spans="1:65" s="8" customFormat="1" ht="14" outlineLevel="1" x14ac:dyDescent="0.2">
      <c r="B295" s="14" t="str">
        <f>B255&amp; " - total annual cost in forecast period"</f>
        <v>Diesel fuel - total annual cost in forecast period</v>
      </c>
      <c r="D295" s="10" t="str">
        <f>'Assumptions - General'!$E$27 &amp;" millions"</f>
        <v>R$ millions</v>
      </c>
      <c r="E295" s="192">
        <f>Calculations!E1151</f>
        <v>500</v>
      </c>
      <c r="F295" s="192">
        <f>Calculations!F1151</f>
        <v>520.0047637195122</v>
      </c>
      <c r="G295" s="192">
        <f>Calculations!G1151</f>
        <v>532.37045541158545</v>
      </c>
      <c r="H295" s="192">
        <f>Calculations!H1151</f>
        <v>557.81547884908559</v>
      </c>
      <c r="I295" s="192">
        <f>Calculations!I1151</f>
        <v>597.49762665015271</v>
      </c>
      <c r="J295" s="192">
        <f>Calculations!J1151</f>
        <v>625.47342633011669</v>
      </c>
      <c r="K295" s="192">
        <f>Calculations!K1151</f>
        <v>697.9335784303945</v>
      </c>
      <c r="L295" s="192">
        <f>Calculations!L1151</f>
        <v>729.06585276996452</v>
      </c>
      <c r="M295" s="192">
        <f>Calculations!M1151</f>
        <v>761.4379233493213</v>
      </c>
      <c r="N295" s="192">
        <f>Calculations!N1151</f>
        <v>795.09615889594659</v>
      </c>
      <c r="O295" s="192">
        <f>Calculations!O1151</f>
        <v>830.08859444435495</v>
      </c>
      <c r="P295" s="192">
        <f>Calculations!P1151</f>
        <v>866.46498958266147</v>
      </c>
      <c r="Q295" s="192">
        <f>Calculations!Q1151</f>
        <v>904.27688869426652</v>
      </c>
      <c r="R295" s="192">
        <f>Calculations!R1151</f>
        <v>943.57768326194355</v>
      </c>
      <c r="S295" s="192">
        <f>Calculations!S1151</f>
        <v>984.42267630385652</v>
      </c>
      <c r="T295" s="192">
        <f>Calculations!T1151</f>
        <v>1026.8691490133483</v>
      </c>
      <c r="U295" s="192">
        <f>Calculations!U1151</f>
        <v>1070.9764296767362</v>
      </c>
      <c r="V295" s="192">
        <f>Calculations!V1151</f>
        <v>1116.8059649458153</v>
      </c>
      <c r="W295" s="192">
        <f>Calculations!W1151</f>
        <v>1164.4213935443299</v>
      </c>
      <c r="X295" s="192">
        <f>Calculations!X1151</f>
        <v>1213.8886224903044</v>
      </c>
      <c r="Y295" s="192">
        <f>Calculations!Y1151</f>
        <v>1265.2759059188475</v>
      </c>
      <c r="Z295" s="192">
        <f>Calculations!Z1151</f>
        <v>1318.6539265928616</v>
      </c>
      <c r="AA295" s="192">
        <f>Calculations!AA1151</f>
        <v>1374.0958801919901</v>
      </c>
      <c r="AB295" s="192">
        <f>Calculations!AB1151</f>
        <v>1431.6775624731322</v>
      </c>
      <c r="AC295" s="192">
        <f>Calculations!AC1151</f>
        <v>1491.47745939897</v>
      </c>
      <c r="AD295" s="192">
        <f>Calculations!AD1151</f>
        <v>1553.5768403341324</v>
      </c>
      <c r="AE295" s="192">
        <f>Calculations!AE1151</f>
        <v>1618.0598544119455</v>
      </c>
      <c r="AF295" s="192">
        <f>Calculations!AF1151</f>
        <v>1685.0136301781265</v>
      </c>
      <c r="AG295" s="192">
        <f>Calculations!AG1151</f>
        <v>1754.5283786213076</v>
      </c>
      <c r="AH295" s="192">
        <f>Calculations!AH1151</f>
        <v>1826.6974997039199</v>
      </c>
    </row>
    <row r="296" spans="1:65" s="8" customFormat="1" ht="14" outlineLevel="1" x14ac:dyDescent="0.2">
      <c r="B296" s="14" t="str">
        <f>B264&amp; " - total annual cost in forecast period"</f>
        <v>Electricity - total annual cost in forecast period</v>
      </c>
      <c r="D296" s="10" t="str">
        <f>'Assumptions - General'!$E$27 &amp;" millions"</f>
        <v>R$ millions</v>
      </c>
      <c r="E296" s="192">
        <f>Calculations!E1153</f>
        <v>500</v>
      </c>
      <c r="F296" s="192">
        <f>Calculations!F1153</f>
        <v>526.28525152439022</v>
      </c>
      <c r="G296" s="192">
        <f>Calculations!G1153</f>
        <v>545.30826028963418</v>
      </c>
      <c r="H296" s="192">
        <f>Calculations!H1153</f>
        <v>577.80438738567079</v>
      </c>
      <c r="I296" s="192">
        <f>Calculations!I1153</f>
        <v>624.94906104039649</v>
      </c>
      <c r="J296" s="192">
        <f>Calculations!J1153</f>
        <v>660.81714810755534</v>
      </c>
      <c r="K296" s="192">
        <f>Calculations!K1153</f>
        <v>747.07902356192301</v>
      </c>
      <c r="L296" s="192">
        <f>Calculations!L1153</f>
        <v>788.12229600301816</v>
      </c>
      <c r="M296" s="192">
        <f>Calculations!M1153</f>
        <v>830.95579366937295</v>
      </c>
      <c r="N296" s="192">
        <f>Calculations!N1153</f>
        <v>875.6499911293065</v>
      </c>
      <c r="O296" s="192">
        <f>Calculations!O1153</f>
        <v>922.27798022253353</v>
      </c>
      <c r="P296" s="192">
        <f>Calculations!P1153</f>
        <v>970.91556366933787</v>
      </c>
      <c r="Q296" s="192">
        <f>Calculations!Q1153</f>
        <v>1021.6413519407502</v>
      </c>
      <c r="R296" s="192">
        <f>Calculations!R1153</f>
        <v>1074.5368635011448</v>
      </c>
      <c r="S296" s="192">
        <f>Calculations!S1153</f>
        <v>1129.6866285384165</v>
      </c>
      <c r="T296" s="192">
        <f>Calculations!T1153</f>
        <v>1187.1782963007736</v>
      </c>
      <c r="U296" s="192">
        <f>Calculations!U1153</f>
        <v>1247.1027461631872</v>
      </c>
      <c r="V296" s="192">
        <f>Calculations!V1153</f>
        <v>1309.5542025506752</v>
      </c>
      <c r="W296" s="192">
        <f>Calculations!W1153</f>
        <v>1374.6303538498655</v>
      </c>
      <c r="X296" s="192">
        <f>Calculations!X1153</f>
        <v>1442.4324754447118</v>
      </c>
      <c r="Y296" s="192">
        <f>Calculations!Y1153</f>
        <v>1513.0655570167839</v>
      </c>
      <c r="Z296" s="192">
        <f>Calculations!Z1153</f>
        <v>1586.6384342552801</v>
      </c>
      <c r="AA296" s="192">
        <f>Calculations!AA1153</f>
        <v>1663.2639251267708</v>
      </c>
      <c r="AB296" s="192">
        <f>Calculations!AB1153</f>
        <v>1743.0589708597213</v>
      </c>
      <c r="AC296" s="192">
        <f>Calculations!AC1153</f>
        <v>1826.1447818040347</v>
      </c>
      <c r="AD296" s="192">
        <f>Calculations!AD1153</f>
        <v>1912.6469883312334</v>
      </c>
      <c r="AE296" s="192">
        <f>Calculations!AE1153</f>
        <v>2002.6957969464402</v>
      </c>
      <c r="AF296" s="192">
        <f>Calculations!AF1153</f>
        <v>2096.4261517890614</v>
      </c>
      <c r="AG296" s="192">
        <f>Calculations!AG1153</f>
        <v>2193.9779017049882</v>
      </c>
      <c r="AH296" s="192">
        <f>Calculations!AH1153</f>
        <v>2295.4959730792598</v>
      </c>
    </row>
    <row r="297" spans="1:65" s="8" customFormat="1" ht="14" outlineLevel="1" x14ac:dyDescent="0.2">
      <c r="B297" s="14" t="str">
        <f>B273&amp; " - total annual cost in forecast period"</f>
        <v>External services - total annual cost in forecast period</v>
      </c>
      <c r="D297" s="10" t="str">
        <f>'Assumptions - General'!$E$27 &amp;" millions"</f>
        <v>R$ millions</v>
      </c>
      <c r="E297" s="192">
        <f>Calculations!E1155</f>
        <v>500</v>
      </c>
      <c r="F297" s="192">
        <f>Calculations!F1155</f>
        <v>515</v>
      </c>
      <c r="G297" s="192">
        <f>Calculations!G1155</f>
        <v>530.45000000000005</v>
      </c>
      <c r="H297" s="192">
        <f>Calculations!H1155</f>
        <v>546.36350000000004</v>
      </c>
      <c r="I297" s="192">
        <f>Calculations!I1155</f>
        <v>562.75440500000002</v>
      </c>
      <c r="J297" s="192">
        <f>Calculations!J1155</f>
        <v>579.63703715000008</v>
      </c>
      <c r="K297" s="192">
        <f>Calculations!K1155</f>
        <v>597.02614826449997</v>
      </c>
      <c r="L297" s="192">
        <f>Calculations!L1155</f>
        <v>614.93693271243512</v>
      </c>
      <c r="M297" s="192">
        <f>Calculations!M1155</f>
        <v>633.38504069380815</v>
      </c>
      <c r="N297" s="192">
        <f>Calculations!N1155</f>
        <v>652.38659191462239</v>
      </c>
      <c r="O297" s="192">
        <f>Calculations!O1155</f>
        <v>671.95818967206105</v>
      </c>
      <c r="P297" s="192">
        <f>Calculations!P1155</f>
        <v>692.11693536222288</v>
      </c>
      <c r="Q297" s="192">
        <f>Calculations!Q1155</f>
        <v>712.88044342308967</v>
      </c>
      <c r="R297" s="192">
        <f>Calculations!R1155</f>
        <v>734.2668567257823</v>
      </c>
      <c r="S297" s="192">
        <f>Calculations!S1155</f>
        <v>756.29486242755581</v>
      </c>
      <c r="T297" s="192">
        <f>Calculations!T1155</f>
        <v>778.98370830038255</v>
      </c>
      <c r="U297" s="192">
        <f>Calculations!U1155</f>
        <v>802.35321954939388</v>
      </c>
      <c r="V297" s="192">
        <f>Calculations!V1155</f>
        <v>826.42381613587577</v>
      </c>
      <c r="W297" s="192">
        <f>Calculations!W1155</f>
        <v>851.2165306199521</v>
      </c>
      <c r="X297" s="192">
        <f>Calculations!X1155</f>
        <v>876.75302653855067</v>
      </c>
      <c r="Y297" s="192">
        <f>Calculations!Y1155</f>
        <v>903.05561733470722</v>
      </c>
      <c r="Z297" s="192">
        <f>Calculations!Z1155</f>
        <v>930.14728585474847</v>
      </c>
      <c r="AA297" s="192">
        <f>Calculations!AA1155</f>
        <v>958.05170443039083</v>
      </c>
      <c r="AB297" s="192">
        <f>Calculations!AB1155</f>
        <v>986.79325556330275</v>
      </c>
      <c r="AC297" s="192">
        <f>Calculations!AC1155</f>
        <v>1016.3970532302019</v>
      </c>
      <c r="AD297" s="192">
        <f>Calculations!AD1155</f>
        <v>1046.8889648271079</v>
      </c>
      <c r="AE297" s="192">
        <f>Calculations!AE1155</f>
        <v>1078.2956337719211</v>
      </c>
      <c r="AF297" s="192">
        <f>Calculations!AF1155</f>
        <v>1110.6445027850787</v>
      </c>
      <c r="AG297" s="192">
        <f>Calculations!AG1155</f>
        <v>1143.9638378686313</v>
      </c>
      <c r="AH297" s="192">
        <f>Calculations!AH1155</f>
        <v>1178.2827530046902</v>
      </c>
    </row>
    <row r="298" spans="1:65" s="8" customFormat="1" ht="14" outlineLevel="1" x14ac:dyDescent="0.2">
      <c r="B298" s="14" t="str">
        <f>B283&amp; " - total annual cost in forecast period"</f>
        <v>Other operating expenses - total annual cost in forecast period</v>
      </c>
      <c r="D298" s="10" t="str">
        <f>'Assumptions - General'!$E$27 &amp;" millions"</f>
        <v>R$ millions</v>
      </c>
      <c r="E298" s="192">
        <f>Calculations!E1157</f>
        <v>500</v>
      </c>
      <c r="F298" s="192">
        <f>Calculations!F1157</f>
        <v>515</v>
      </c>
      <c r="G298" s="192">
        <f>Calculations!G1157</f>
        <v>530.45000000000005</v>
      </c>
      <c r="H298" s="192">
        <f>Calculations!H1157</f>
        <v>546.36350000000004</v>
      </c>
      <c r="I298" s="192">
        <f>Calculations!I1157</f>
        <v>562.75440500000002</v>
      </c>
      <c r="J298" s="192">
        <f>Calculations!J1157</f>
        <v>579.63703715000008</v>
      </c>
      <c r="K298" s="192">
        <f>Calculations!K1157</f>
        <v>597.02614826449997</v>
      </c>
      <c r="L298" s="192">
        <f>Calculations!L1157</f>
        <v>614.93693271243512</v>
      </c>
      <c r="M298" s="192">
        <f>Calculations!M1157</f>
        <v>633.38504069380815</v>
      </c>
      <c r="N298" s="192">
        <f>Calculations!N1157</f>
        <v>652.38659191462239</v>
      </c>
      <c r="O298" s="192">
        <f>Calculations!O1157</f>
        <v>671.95818967206105</v>
      </c>
      <c r="P298" s="192">
        <f>Calculations!P1157</f>
        <v>692.11693536222288</v>
      </c>
      <c r="Q298" s="192">
        <f>Calculations!Q1157</f>
        <v>712.88044342308967</v>
      </c>
      <c r="R298" s="192">
        <f>Calculations!R1157</f>
        <v>734.2668567257823</v>
      </c>
      <c r="S298" s="192">
        <f>Calculations!S1157</f>
        <v>756.29486242755581</v>
      </c>
      <c r="T298" s="192">
        <f>Calculations!T1157</f>
        <v>778.98370830038255</v>
      </c>
      <c r="U298" s="192">
        <f>Calculations!U1157</f>
        <v>802.35321954939388</v>
      </c>
      <c r="V298" s="192">
        <f>Calculations!V1157</f>
        <v>826.42381613587577</v>
      </c>
      <c r="W298" s="192">
        <f>Calculations!W1157</f>
        <v>851.2165306199521</v>
      </c>
      <c r="X298" s="192">
        <f>Calculations!X1157</f>
        <v>876.75302653855067</v>
      </c>
      <c r="Y298" s="192">
        <f>Calculations!Y1157</f>
        <v>903.05561733470722</v>
      </c>
      <c r="Z298" s="192">
        <f>Calculations!Z1157</f>
        <v>930.14728585474847</v>
      </c>
      <c r="AA298" s="192">
        <f>Calculations!AA1157</f>
        <v>958.05170443039083</v>
      </c>
      <c r="AB298" s="192">
        <f>Calculations!AB1157</f>
        <v>986.79325556330275</v>
      </c>
      <c r="AC298" s="192">
        <f>Calculations!AC1157</f>
        <v>1016.3970532302019</v>
      </c>
      <c r="AD298" s="192">
        <f>Calculations!AD1157</f>
        <v>1046.8889648271079</v>
      </c>
      <c r="AE298" s="192">
        <f>Calculations!AE1157</f>
        <v>1078.2956337719211</v>
      </c>
      <c r="AF298" s="192">
        <f>Calculations!AF1157</f>
        <v>1110.6445027850787</v>
      </c>
      <c r="AG298" s="192">
        <f>Calculations!AG1157</f>
        <v>1143.9638378686313</v>
      </c>
      <c r="AH298" s="192">
        <f>Calculations!AH1157</f>
        <v>1178.2827530046902</v>
      </c>
    </row>
    <row r="299" spans="1:65" s="8" customFormat="1" ht="14" x14ac:dyDescent="0.2">
      <c r="A299" s="7" t="s">
        <v>405</v>
      </c>
      <c r="B299" s="14"/>
      <c r="D299" s="15"/>
      <c r="E299" s="15"/>
    </row>
    <row r="300" spans="1:65" s="8" customFormat="1" ht="14" x14ac:dyDescent="0.2">
      <c r="A300" s="7"/>
      <c r="B300" s="14"/>
      <c r="D300" s="15"/>
      <c r="E300" s="15"/>
    </row>
    <row r="301" spans="1:65" s="316" customFormat="1" x14ac:dyDescent="0.2">
      <c r="B301" s="315" t="str">
        <f>"Non-operating costs of " &amp;'Assumptions - General'!$E$26</f>
        <v>Non-operating costs of Ruritania Railway Infrastructure Company</v>
      </c>
    </row>
    <row r="302" spans="1:65" s="8" customFormat="1" ht="14" x14ac:dyDescent="0.2">
      <c r="B302" s="7"/>
      <c r="E302" s="9"/>
      <c r="F302" s="492" t="s">
        <v>33</v>
      </c>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row>
    <row r="303" spans="1:65" s="8" customFormat="1" ht="14" x14ac:dyDescent="0.2">
      <c r="B303" s="16" t="s">
        <v>375</v>
      </c>
      <c r="D303" s="8" t="s">
        <v>32</v>
      </c>
      <c r="E303" s="177">
        <f>IF(F302=F303,1,2)</f>
        <v>1</v>
      </c>
      <c r="F303" s="87" t="s">
        <v>33</v>
      </c>
    </row>
    <row r="304" spans="1:65" s="8" customFormat="1" ht="14" x14ac:dyDescent="0.2">
      <c r="B304" s="16"/>
      <c r="E304" s="182"/>
      <c r="F304" s="87" t="s">
        <v>211</v>
      </c>
    </row>
    <row r="305" spans="2:65" s="20" customFormat="1" ht="14" x14ac:dyDescent="0.2">
      <c r="B305" s="19" t="s">
        <v>132</v>
      </c>
      <c r="D305" s="20" t="s">
        <v>2</v>
      </c>
      <c r="E305" s="188" t="s">
        <v>117</v>
      </c>
    </row>
    <row r="306" spans="2:65" s="8" customFormat="1" ht="14" x14ac:dyDescent="0.2">
      <c r="B306" s="14" t="s">
        <v>377</v>
      </c>
      <c r="D306" s="10" t="str">
        <f>'Assumptions - General'!$E$27 &amp;" millions"</f>
        <v>R$ millions</v>
      </c>
      <c r="E306" s="176">
        <v>200</v>
      </c>
    </row>
    <row r="307" spans="2:65" s="8" customFormat="1" ht="14" x14ac:dyDescent="0.2">
      <c r="B307" s="215" t="s">
        <v>385</v>
      </c>
      <c r="D307" s="8" t="s">
        <v>256</v>
      </c>
      <c r="E307" s="176">
        <v>100</v>
      </c>
      <c r="F307" s="219">
        <f t="shared" ref="F307:AH307" si="20">E307*(1+F308)</f>
        <v>100</v>
      </c>
      <c r="G307" s="219">
        <f t="shared" si="20"/>
        <v>100</v>
      </c>
      <c r="H307" s="219">
        <f t="shared" si="20"/>
        <v>100</v>
      </c>
      <c r="I307" s="219">
        <f t="shared" si="20"/>
        <v>100</v>
      </c>
      <c r="J307" s="219">
        <f t="shared" si="20"/>
        <v>100</v>
      </c>
      <c r="K307" s="219">
        <f t="shared" si="20"/>
        <v>100</v>
      </c>
      <c r="L307" s="219">
        <f t="shared" si="20"/>
        <v>100</v>
      </c>
      <c r="M307" s="219">
        <f t="shared" si="20"/>
        <v>100</v>
      </c>
      <c r="N307" s="219">
        <f t="shared" si="20"/>
        <v>100</v>
      </c>
      <c r="O307" s="219">
        <f t="shared" si="20"/>
        <v>100</v>
      </c>
      <c r="P307" s="219">
        <f t="shared" si="20"/>
        <v>100</v>
      </c>
      <c r="Q307" s="219">
        <f t="shared" si="20"/>
        <v>100</v>
      </c>
      <c r="R307" s="219">
        <f t="shared" si="20"/>
        <v>100</v>
      </c>
      <c r="S307" s="219">
        <f t="shared" si="20"/>
        <v>100</v>
      </c>
      <c r="T307" s="219">
        <f t="shared" si="20"/>
        <v>100</v>
      </c>
      <c r="U307" s="219">
        <f t="shared" si="20"/>
        <v>100</v>
      </c>
      <c r="V307" s="219">
        <f t="shared" si="20"/>
        <v>100</v>
      </c>
      <c r="W307" s="219">
        <f t="shared" si="20"/>
        <v>100</v>
      </c>
      <c r="X307" s="219">
        <f t="shared" si="20"/>
        <v>100</v>
      </c>
      <c r="Y307" s="219">
        <f t="shared" si="20"/>
        <v>100</v>
      </c>
      <c r="Z307" s="219">
        <f t="shared" si="20"/>
        <v>100</v>
      </c>
      <c r="AA307" s="219">
        <f t="shared" si="20"/>
        <v>100</v>
      </c>
      <c r="AB307" s="219">
        <f t="shared" si="20"/>
        <v>100</v>
      </c>
      <c r="AC307" s="219">
        <f t="shared" si="20"/>
        <v>100</v>
      </c>
      <c r="AD307" s="219">
        <f t="shared" si="20"/>
        <v>100</v>
      </c>
      <c r="AE307" s="219">
        <f t="shared" si="20"/>
        <v>100</v>
      </c>
      <c r="AF307" s="219">
        <f t="shared" si="20"/>
        <v>100</v>
      </c>
      <c r="AG307" s="219">
        <f t="shared" si="20"/>
        <v>100</v>
      </c>
      <c r="AH307" s="219">
        <f t="shared" si="20"/>
        <v>100</v>
      </c>
      <c r="AI307" s="20"/>
      <c r="AJ307" s="20"/>
      <c r="AK307" s="20"/>
      <c r="AL307" s="20"/>
      <c r="AM307" s="20"/>
      <c r="AN307" s="20"/>
      <c r="AO307" s="20"/>
      <c r="AP307" s="20"/>
      <c r="AQ307" s="20"/>
      <c r="AR307" s="20"/>
      <c r="AS307" s="20"/>
      <c r="AT307" s="20"/>
      <c r="AU307" s="20"/>
      <c r="AV307" s="20"/>
      <c r="AW307" s="20"/>
      <c r="AX307" s="20"/>
      <c r="AY307" s="20"/>
      <c r="AZ307" s="20"/>
      <c r="BA307" s="20"/>
      <c r="BB307" s="20"/>
      <c r="BC307" s="20"/>
      <c r="BD307" s="20"/>
      <c r="BE307" s="20"/>
      <c r="BF307" s="20"/>
      <c r="BG307" s="20"/>
      <c r="BH307" s="20"/>
      <c r="BI307" s="20"/>
      <c r="BJ307" s="20"/>
      <c r="BK307" s="20"/>
      <c r="BL307" s="20"/>
      <c r="BM307" s="20"/>
    </row>
    <row r="308" spans="2:65" s="8" customFormat="1" ht="14" x14ac:dyDescent="0.2">
      <c r="B308" s="211" t="s">
        <v>263</v>
      </c>
      <c r="D308" s="8" t="s">
        <v>15</v>
      </c>
      <c r="E308" s="192"/>
      <c r="F308" s="189">
        <v>0</v>
      </c>
      <c r="G308" s="189">
        <v>0</v>
      </c>
      <c r="H308" s="189">
        <v>0</v>
      </c>
      <c r="I308" s="189">
        <v>0</v>
      </c>
      <c r="J308" s="189">
        <v>0</v>
      </c>
      <c r="K308" s="189">
        <v>0</v>
      </c>
      <c r="L308" s="189">
        <v>0</v>
      </c>
      <c r="M308" s="189">
        <v>0</v>
      </c>
      <c r="N308" s="189">
        <v>0</v>
      </c>
      <c r="O308" s="189">
        <v>0</v>
      </c>
      <c r="P308" s="189">
        <v>0</v>
      </c>
      <c r="Q308" s="189">
        <v>0</v>
      </c>
      <c r="R308" s="189">
        <v>0</v>
      </c>
      <c r="S308" s="189">
        <v>0</v>
      </c>
      <c r="T308" s="189">
        <v>0</v>
      </c>
      <c r="U308" s="189">
        <v>0</v>
      </c>
      <c r="V308" s="189">
        <v>0</v>
      </c>
      <c r="W308" s="189">
        <v>0</v>
      </c>
      <c r="X308" s="189">
        <v>0</v>
      </c>
      <c r="Y308" s="189">
        <v>0</v>
      </c>
      <c r="Z308" s="189">
        <v>0</v>
      </c>
      <c r="AA308" s="189">
        <v>0</v>
      </c>
      <c r="AB308" s="189">
        <v>0</v>
      </c>
      <c r="AC308" s="189">
        <v>0</v>
      </c>
      <c r="AD308" s="189">
        <v>0</v>
      </c>
      <c r="AE308" s="189">
        <v>0</v>
      </c>
      <c r="AF308" s="189">
        <v>0</v>
      </c>
      <c r="AG308" s="189">
        <v>0</v>
      </c>
      <c r="AH308" s="189">
        <v>0</v>
      </c>
      <c r="AI308" s="20"/>
      <c r="AJ308" s="20"/>
      <c r="AK308" s="20"/>
      <c r="AL308" s="20"/>
      <c r="AM308" s="20"/>
      <c r="AN308" s="20"/>
      <c r="AO308" s="20"/>
      <c r="AP308" s="20"/>
      <c r="AQ308" s="20"/>
      <c r="AR308" s="20"/>
      <c r="AS308" s="20"/>
      <c r="AT308" s="20"/>
      <c r="AU308" s="20"/>
      <c r="AV308" s="20"/>
      <c r="AW308" s="20"/>
      <c r="AX308" s="20"/>
      <c r="AY308" s="20"/>
      <c r="AZ308" s="20"/>
      <c r="BA308" s="20"/>
      <c r="BB308" s="20"/>
      <c r="BC308" s="20"/>
      <c r="BD308" s="20"/>
      <c r="BE308" s="20"/>
      <c r="BF308" s="20"/>
      <c r="BG308" s="20"/>
      <c r="BH308" s="20"/>
      <c r="BI308" s="20"/>
      <c r="BJ308" s="20"/>
      <c r="BK308" s="20"/>
      <c r="BL308" s="20"/>
      <c r="BM308" s="20"/>
    </row>
    <row r="309" spans="2:65" s="8" customFormat="1" ht="14" x14ac:dyDescent="0.2">
      <c r="B309" s="215" t="s">
        <v>581</v>
      </c>
      <c r="D309" s="15"/>
      <c r="E309" s="180"/>
      <c r="F309" s="220"/>
      <c r="G309" s="183"/>
      <c r="H309" s="183"/>
      <c r="I309" s="183"/>
      <c r="J309" s="183"/>
      <c r="K309" s="183"/>
      <c r="L309" s="183"/>
      <c r="M309" s="183"/>
      <c r="N309" s="183"/>
      <c r="O309" s="183"/>
      <c r="P309" s="183"/>
      <c r="Q309" s="183"/>
      <c r="R309" s="183"/>
      <c r="S309" s="183"/>
      <c r="T309" s="183"/>
      <c r="U309" s="183"/>
      <c r="V309" s="183"/>
      <c r="W309" s="183"/>
      <c r="X309" s="183"/>
      <c r="Y309" s="183"/>
      <c r="Z309" s="183"/>
      <c r="AA309" s="183"/>
      <c r="AB309" s="183"/>
      <c r="AC309" s="183"/>
      <c r="AD309" s="183"/>
      <c r="AE309" s="183"/>
      <c r="AF309" s="183"/>
      <c r="AG309" s="183"/>
      <c r="AH309" s="183"/>
      <c r="AI309" s="20"/>
      <c r="AJ309" s="20"/>
      <c r="AK309" s="20"/>
      <c r="AL309" s="20"/>
      <c r="AM309" s="20"/>
      <c r="AN309" s="20"/>
      <c r="AO309" s="20"/>
      <c r="AP309" s="20"/>
      <c r="AQ309" s="20"/>
      <c r="AR309" s="20"/>
      <c r="AS309" s="20"/>
      <c r="AT309" s="20"/>
      <c r="AU309" s="20"/>
      <c r="AV309" s="20"/>
      <c r="AW309" s="20"/>
      <c r="AX309" s="20"/>
      <c r="AY309" s="20"/>
      <c r="AZ309" s="20"/>
      <c r="BA309" s="20"/>
      <c r="BB309" s="20"/>
      <c r="BC309" s="20"/>
      <c r="BD309" s="20"/>
      <c r="BE309" s="20"/>
      <c r="BF309" s="20"/>
      <c r="BG309" s="20"/>
      <c r="BH309" s="20"/>
      <c r="BI309" s="20"/>
      <c r="BJ309" s="20"/>
      <c r="BK309" s="20"/>
      <c r="BL309" s="20"/>
      <c r="BM309" s="20"/>
    </row>
    <row r="310" spans="2:65" s="8" customFormat="1" ht="14" x14ac:dyDescent="0.2">
      <c r="B310" s="211" t="s">
        <v>38</v>
      </c>
      <c r="D310" s="8" t="s">
        <v>15</v>
      </c>
      <c r="E310" s="188">
        <f>IF(E303=2,0,F310/100)</f>
        <v>1</v>
      </c>
      <c r="F310" s="220">
        <v>100</v>
      </c>
      <c r="G310" s="183"/>
      <c r="H310" s="183"/>
      <c r="I310" s="183"/>
      <c r="J310" s="183"/>
      <c r="K310" s="183"/>
      <c r="L310" s="183"/>
      <c r="M310" s="183"/>
      <c r="N310" s="183"/>
      <c r="O310" s="183"/>
      <c r="P310" s="183"/>
      <c r="Q310" s="183"/>
      <c r="R310" s="183"/>
      <c r="S310" s="183"/>
      <c r="T310" s="183"/>
      <c r="U310" s="183"/>
      <c r="V310" s="183"/>
      <c r="W310" s="183"/>
      <c r="X310" s="183"/>
      <c r="Y310" s="183"/>
      <c r="Z310" s="183"/>
      <c r="AA310" s="183"/>
      <c r="AB310" s="183"/>
      <c r="AC310" s="183"/>
      <c r="AD310" s="183"/>
      <c r="AE310" s="183"/>
      <c r="AF310" s="183"/>
      <c r="AG310" s="183"/>
      <c r="AH310" s="183"/>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20"/>
      <c r="BG310" s="20"/>
      <c r="BH310" s="20"/>
      <c r="BI310" s="20"/>
      <c r="BJ310" s="20"/>
      <c r="BK310" s="20"/>
      <c r="BL310" s="20"/>
      <c r="BM310" s="20"/>
    </row>
    <row r="311" spans="2:65" s="20" customFormat="1" ht="14" x14ac:dyDescent="0.2">
      <c r="B311" s="216" t="s">
        <v>268</v>
      </c>
      <c r="D311" s="122" t="str">
        <f>'Assumptions - General'!$E$27 &amp;" per unit"</f>
        <v>R$ per unit</v>
      </c>
      <c r="E311" s="192">
        <f>IF(E306&gt;0,E306*1000000/E307,0)</f>
        <v>2000000</v>
      </c>
      <c r="F311" s="192">
        <f>E311*(1+F312)*IF($E$303=1,($E310*'Assumptions - General'!F$37+1),1)</f>
        <v>2060000</v>
      </c>
      <c r="G311" s="192">
        <f>F311*(1+G312)*IF($E$303=1,($E310*'Assumptions - General'!G$37+1),1)</f>
        <v>2121800</v>
      </c>
      <c r="H311" s="192">
        <f>G311*(1+H312)*IF($E$303=1,($E310*'Assumptions - General'!H$37+1),1)</f>
        <v>2185454</v>
      </c>
      <c r="I311" s="192">
        <f>H311*(1+I312)*IF($E$303=1,($E310*'Assumptions - General'!I$37+1),1)</f>
        <v>2251017.62</v>
      </c>
      <c r="J311" s="192">
        <f>I311*(1+J312)*IF($E$303=1,($E310*'Assumptions - General'!J$37+1),1)</f>
        <v>2318548.1486</v>
      </c>
      <c r="K311" s="192">
        <f>J311*(1+K312)*IF($E$303=1,($E310*'Assumptions - General'!K$37+1),1)</f>
        <v>2388104.5930579999</v>
      </c>
      <c r="L311" s="192">
        <f>K311*(1+L312)*IF($E$303=1,($E310*'Assumptions - General'!L$37+1),1)</f>
        <v>2459747.7308497401</v>
      </c>
      <c r="M311" s="192">
        <f>L311*(1+M312)*IF($E$303=1,($E310*'Assumptions - General'!M$37+1),1)</f>
        <v>2533540.1627752325</v>
      </c>
      <c r="N311" s="192">
        <f>M311*(1+N312)*IF($E$303=1,($E310*'Assumptions - General'!N$37+1),1)</f>
        <v>2609546.3676584894</v>
      </c>
      <c r="O311" s="192">
        <f>N311*(1+O312)*IF($E$303=1,($E310*'Assumptions - General'!O$37+1),1)</f>
        <v>2687832.758688244</v>
      </c>
      <c r="P311" s="192">
        <f>O311*(1+P312)*IF($E$303=1,($E310*'Assumptions - General'!P$37+1),1)</f>
        <v>2768467.7414488913</v>
      </c>
      <c r="Q311" s="192">
        <f>P311*(1+Q312)*IF($E$303=1,($E310*'Assumptions - General'!Q$37+1),1)</f>
        <v>2851521.7736923583</v>
      </c>
      <c r="R311" s="192">
        <f>Q311*(1+R312)*IF($E$303=1,($E310*'Assumptions - General'!R$37+1),1)</f>
        <v>2937067.4269031291</v>
      </c>
      <c r="S311" s="192">
        <f>R311*(1+S312)*IF($E$303=1,($E310*'Assumptions - General'!S$37+1),1)</f>
        <v>3025179.4497102229</v>
      </c>
      <c r="T311" s="192">
        <f>S311*(1+T312)*IF($E$303=1,($E310*'Assumptions - General'!T$37+1),1)</f>
        <v>3115934.8332015295</v>
      </c>
      <c r="U311" s="192">
        <f>T311*(1+U312)*IF($E$303=1,($E310*'Assumptions - General'!U$37+1),1)</f>
        <v>3209412.8781975755</v>
      </c>
      <c r="V311" s="192">
        <f>U311*(1+V312)*IF($E$303=1,($E310*'Assumptions - General'!V$37+1),1)</f>
        <v>3305695.2645435026</v>
      </c>
      <c r="W311" s="192">
        <f>V311*(1+W312)*IF($E$303=1,($E310*'Assumptions - General'!W$37+1),1)</f>
        <v>3404866.1224798076</v>
      </c>
      <c r="X311" s="192">
        <f>W311*(1+X312)*IF($E$303=1,($E310*'Assumptions - General'!X$37+1),1)</f>
        <v>3507012.106154202</v>
      </c>
      <c r="Y311" s="192">
        <f>X311*(1+Y312)*IF($E$303=1,($E310*'Assumptions - General'!Y$37+1),1)</f>
        <v>3612222.4693388282</v>
      </c>
      <c r="Z311" s="192">
        <f>Y311*(1+Z312)*IF($E$303=1,($E310*'Assumptions - General'!Z$37+1),1)</f>
        <v>3720589.1434189933</v>
      </c>
      <c r="AA311" s="192">
        <f>Z311*(1+AA312)*IF($E$303=1,($E310*'Assumptions - General'!AA$37+1),1)</f>
        <v>3832206.8177215634</v>
      </c>
      <c r="AB311" s="192">
        <f>AA311*(1+AB312)*IF($E$303=1,($E310*'Assumptions - General'!AB$37+1),1)</f>
        <v>3947173.0222532102</v>
      </c>
      <c r="AC311" s="192">
        <f>AB311*(1+AC312)*IF($E$303=1,($E310*'Assumptions - General'!AC$37+1),1)</f>
        <v>4065588.2129208064</v>
      </c>
      <c r="AD311" s="192">
        <f>AC311*(1+AD312)*IF($E$303=1,($E310*'Assumptions - General'!AD$37+1),1)</f>
        <v>4187555.8593084305</v>
      </c>
      <c r="AE311" s="192">
        <f>AD311*(1+AE312)*IF($E$303=1,($E310*'Assumptions - General'!AE$37+1),1)</f>
        <v>4313182.5350876832</v>
      </c>
      <c r="AF311" s="192">
        <f>AE311*(1+AF312)*IF($E$303=1,($E310*'Assumptions - General'!AF$37+1),1)</f>
        <v>4442578.0111403139</v>
      </c>
      <c r="AG311" s="192">
        <f>AF311*(1+AG312)*IF($E$303=1,($E310*'Assumptions - General'!AG$37+1),1)</f>
        <v>4575855.3514745235</v>
      </c>
      <c r="AH311" s="192">
        <f>AG311*(1+AH312)*IF($E$303=1,($E310*'Assumptions - General'!AH$37+1),1)</f>
        <v>4713131.0120187597</v>
      </c>
    </row>
    <row r="312" spans="2:65" x14ac:dyDescent="0.2">
      <c r="B312" s="30" t="s">
        <v>401</v>
      </c>
      <c r="D312" s="15" t="s">
        <v>15</v>
      </c>
      <c r="E312" s="190"/>
      <c r="F312" s="188">
        <v>0</v>
      </c>
      <c r="G312" s="188">
        <v>0</v>
      </c>
      <c r="H312" s="188">
        <v>0</v>
      </c>
      <c r="I312" s="188">
        <v>0</v>
      </c>
      <c r="J312" s="188">
        <v>0</v>
      </c>
      <c r="K312" s="188">
        <v>0</v>
      </c>
      <c r="L312" s="188">
        <v>0</v>
      </c>
      <c r="M312" s="188">
        <v>0</v>
      </c>
      <c r="N312" s="188">
        <v>0</v>
      </c>
      <c r="O312" s="188">
        <v>0</v>
      </c>
      <c r="P312" s="188">
        <v>0</v>
      </c>
      <c r="Q312" s="188">
        <v>0</v>
      </c>
      <c r="R312" s="188">
        <v>0</v>
      </c>
      <c r="S312" s="188">
        <v>0</v>
      </c>
      <c r="T312" s="188">
        <v>0</v>
      </c>
      <c r="U312" s="188">
        <v>0</v>
      </c>
      <c r="V312" s="188">
        <v>0</v>
      </c>
      <c r="W312" s="188">
        <v>0</v>
      </c>
      <c r="X312" s="188">
        <v>0</v>
      </c>
      <c r="Y312" s="188">
        <v>0</v>
      </c>
      <c r="Z312" s="188">
        <v>0</v>
      </c>
      <c r="AA312" s="188">
        <v>0</v>
      </c>
      <c r="AB312" s="188">
        <v>0</v>
      </c>
      <c r="AC312" s="188">
        <v>0</v>
      </c>
      <c r="AD312" s="188">
        <v>0</v>
      </c>
      <c r="AE312" s="188">
        <v>0</v>
      </c>
      <c r="AF312" s="188">
        <v>0</v>
      </c>
      <c r="AG312" s="188">
        <v>0</v>
      </c>
      <c r="AH312" s="188">
        <v>0</v>
      </c>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row>
    <row r="313" spans="2:65" s="18" customFormat="1" x14ac:dyDescent="0.2">
      <c r="B313" s="32"/>
      <c r="D313" s="81"/>
      <c r="E313" s="204"/>
      <c r="F313" s="180"/>
      <c r="G313" s="180"/>
      <c r="H313" s="180"/>
      <c r="I313" s="180"/>
      <c r="J313" s="180"/>
      <c r="K313" s="180"/>
      <c r="L313" s="180"/>
      <c r="M313" s="180"/>
      <c r="N313" s="180"/>
      <c r="O313" s="180"/>
      <c r="P313" s="180"/>
      <c r="Q313" s="180"/>
      <c r="R313" s="180"/>
      <c r="S313" s="180"/>
      <c r="T313" s="180"/>
      <c r="U313" s="180"/>
      <c r="V313" s="180"/>
      <c r="W313" s="180"/>
      <c r="X313" s="180"/>
      <c r="Y313" s="180"/>
      <c r="Z313" s="180"/>
      <c r="AA313" s="180"/>
      <c r="AB313" s="180"/>
      <c r="AC313" s="180"/>
      <c r="AD313" s="180"/>
      <c r="AE313" s="180"/>
      <c r="AF313" s="180"/>
      <c r="AG313" s="180"/>
      <c r="AH313" s="180"/>
    </row>
    <row r="314" spans="2:65" s="20" customFormat="1" ht="14" x14ac:dyDescent="0.2">
      <c r="B314" s="19" t="s">
        <v>133</v>
      </c>
      <c r="D314" s="20" t="s">
        <v>2</v>
      </c>
      <c r="E314" s="188" t="s">
        <v>695</v>
      </c>
      <c r="F314" s="221"/>
      <c r="G314" s="182"/>
      <c r="H314" s="182"/>
      <c r="I314" s="182"/>
      <c r="J314" s="182"/>
      <c r="K314" s="182"/>
      <c r="L314" s="182"/>
      <c r="M314" s="182"/>
      <c r="N314" s="182"/>
      <c r="O314" s="182"/>
      <c r="P314" s="182"/>
      <c r="Q314" s="182"/>
      <c r="R314" s="182"/>
      <c r="S314" s="182"/>
      <c r="T314" s="182"/>
      <c r="U314" s="182"/>
      <c r="V314" s="182"/>
      <c r="W314" s="182"/>
      <c r="X314" s="182"/>
      <c r="Y314" s="182"/>
      <c r="Z314" s="182"/>
      <c r="AA314" s="182"/>
      <c r="AB314" s="182"/>
      <c r="AC314" s="182"/>
      <c r="AD314" s="182"/>
      <c r="AE314" s="182"/>
      <c r="AF314" s="182"/>
      <c r="AG314" s="182"/>
      <c r="AH314" s="182"/>
    </row>
    <row r="315" spans="2:65" s="8" customFormat="1" ht="14" x14ac:dyDescent="0.2">
      <c r="B315" s="14" t="s">
        <v>377</v>
      </c>
      <c r="D315" s="10" t="str">
        <f>'Assumptions - General'!$E$27 &amp;" millions"</f>
        <v>R$ millions</v>
      </c>
      <c r="E315" s="176">
        <v>500</v>
      </c>
      <c r="F315" s="183"/>
      <c r="G315" s="183"/>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row>
    <row r="316" spans="2:65" s="8" customFormat="1" ht="14" x14ac:dyDescent="0.2">
      <c r="B316" s="215" t="s">
        <v>385</v>
      </c>
      <c r="D316" s="8" t="s">
        <v>256</v>
      </c>
      <c r="E316" s="176">
        <v>100</v>
      </c>
      <c r="F316" s="219">
        <f t="shared" ref="F316:AH316" si="21">E316*(1+F317)</f>
        <v>100</v>
      </c>
      <c r="G316" s="219">
        <f t="shared" si="21"/>
        <v>100</v>
      </c>
      <c r="H316" s="219">
        <f t="shared" si="21"/>
        <v>100</v>
      </c>
      <c r="I316" s="219">
        <f t="shared" si="21"/>
        <v>100</v>
      </c>
      <c r="J316" s="219">
        <f t="shared" si="21"/>
        <v>100</v>
      </c>
      <c r="K316" s="219">
        <f t="shared" si="21"/>
        <v>100</v>
      </c>
      <c r="L316" s="219">
        <f t="shared" si="21"/>
        <v>100</v>
      </c>
      <c r="M316" s="219">
        <f t="shared" si="21"/>
        <v>100</v>
      </c>
      <c r="N316" s="219">
        <f t="shared" si="21"/>
        <v>100</v>
      </c>
      <c r="O316" s="219">
        <f t="shared" si="21"/>
        <v>100</v>
      </c>
      <c r="P316" s="219">
        <f t="shared" si="21"/>
        <v>100</v>
      </c>
      <c r="Q316" s="219">
        <f t="shared" si="21"/>
        <v>100</v>
      </c>
      <c r="R316" s="219">
        <f t="shared" si="21"/>
        <v>100</v>
      </c>
      <c r="S316" s="219">
        <f t="shared" si="21"/>
        <v>100</v>
      </c>
      <c r="T316" s="219">
        <f t="shared" si="21"/>
        <v>100</v>
      </c>
      <c r="U316" s="219">
        <f t="shared" si="21"/>
        <v>100</v>
      </c>
      <c r="V316" s="219">
        <f t="shared" si="21"/>
        <v>100</v>
      </c>
      <c r="W316" s="219">
        <f t="shared" si="21"/>
        <v>100</v>
      </c>
      <c r="X316" s="219">
        <f t="shared" si="21"/>
        <v>100</v>
      </c>
      <c r="Y316" s="219">
        <f t="shared" si="21"/>
        <v>100</v>
      </c>
      <c r="Z316" s="219">
        <f t="shared" si="21"/>
        <v>100</v>
      </c>
      <c r="AA316" s="219">
        <f t="shared" si="21"/>
        <v>100</v>
      </c>
      <c r="AB316" s="219">
        <f t="shared" si="21"/>
        <v>100</v>
      </c>
      <c r="AC316" s="219">
        <f t="shared" si="21"/>
        <v>100</v>
      </c>
      <c r="AD316" s="219">
        <f t="shared" si="21"/>
        <v>100</v>
      </c>
      <c r="AE316" s="219">
        <f t="shared" si="21"/>
        <v>100</v>
      </c>
      <c r="AF316" s="219">
        <f t="shared" si="21"/>
        <v>100</v>
      </c>
      <c r="AG316" s="219">
        <f t="shared" si="21"/>
        <v>100</v>
      </c>
      <c r="AH316" s="219">
        <f t="shared" si="21"/>
        <v>100</v>
      </c>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20"/>
      <c r="BG316" s="20"/>
      <c r="BH316" s="20"/>
      <c r="BI316" s="20"/>
      <c r="BJ316" s="20"/>
      <c r="BK316" s="20"/>
      <c r="BL316" s="20"/>
      <c r="BM316" s="20"/>
    </row>
    <row r="317" spans="2:65" s="8" customFormat="1" ht="14" x14ac:dyDescent="0.2">
      <c r="B317" s="211" t="s">
        <v>263</v>
      </c>
      <c r="D317" s="8" t="s">
        <v>15</v>
      </c>
      <c r="E317" s="192"/>
      <c r="F317" s="189">
        <v>0</v>
      </c>
      <c r="G317" s="189">
        <v>0</v>
      </c>
      <c r="H317" s="189">
        <v>0</v>
      </c>
      <c r="I317" s="189">
        <v>0</v>
      </c>
      <c r="J317" s="189">
        <v>0</v>
      </c>
      <c r="K317" s="189">
        <v>0</v>
      </c>
      <c r="L317" s="189">
        <v>0</v>
      </c>
      <c r="M317" s="189">
        <v>0</v>
      </c>
      <c r="N317" s="189">
        <v>0</v>
      </c>
      <c r="O317" s="189">
        <v>0</v>
      </c>
      <c r="P317" s="189">
        <v>0</v>
      </c>
      <c r="Q317" s="189">
        <v>0</v>
      </c>
      <c r="R317" s="189">
        <v>0</v>
      </c>
      <c r="S317" s="189">
        <v>0</v>
      </c>
      <c r="T317" s="189">
        <v>0</v>
      </c>
      <c r="U317" s="189">
        <v>0</v>
      </c>
      <c r="V317" s="189">
        <v>0</v>
      </c>
      <c r="W317" s="189">
        <v>0</v>
      </c>
      <c r="X317" s="189">
        <v>0</v>
      </c>
      <c r="Y317" s="189">
        <v>0</v>
      </c>
      <c r="Z317" s="189">
        <v>0</v>
      </c>
      <c r="AA317" s="189">
        <v>0</v>
      </c>
      <c r="AB317" s="189">
        <v>0</v>
      </c>
      <c r="AC317" s="189">
        <v>0</v>
      </c>
      <c r="AD317" s="189">
        <v>0</v>
      </c>
      <c r="AE317" s="189">
        <v>0</v>
      </c>
      <c r="AF317" s="189">
        <v>0</v>
      </c>
      <c r="AG317" s="189">
        <v>0</v>
      </c>
      <c r="AH317" s="189">
        <v>0</v>
      </c>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20"/>
      <c r="BG317" s="20"/>
      <c r="BH317" s="20"/>
      <c r="BI317" s="20"/>
      <c r="BJ317" s="20"/>
      <c r="BK317" s="20"/>
      <c r="BL317" s="20"/>
      <c r="BM317" s="20"/>
    </row>
    <row r="318" spans="2:65" s="8" customFormat="1" ht="14" x14ac:dyDescent="0.2">
      <c r="B318" s="215" t="s">
        <v>581</v>
      </c>
      <c r="D318" s="15"/>
      <c r="E318" s="180"/>
      <c r="F318" s="220"/>
      <c r="G318" s="183"/>
      <c r="H318" s="183"/>
      <c r="I318" s="183"/>
      <c r="J318" s="183"/>
      <c r="K318" s="183"/>
      <c r="L318" s="183"/>
      <c r="M318" s="183"/>
      <c r="N318" s="183"/>
      <c r="O318" s="183"/>
      <c r="P318" s="183"/>
      <c r="Q318" s="183"/>
      <c r="R318" s="183"/>
      <c r="S318" s="183"/>
      <c r="T318" s="183"/>
      <c r="U318" s="183"/>
      <c r="V318" s="183"/>
      <c r="W318" s="183"/>
      <c r="X318" s="183"/>
      <c r="Y318" s="183"/>
      <c r="Z318" s="183"/>
      <c r="AA318" s="183"/>
      <c r="AB318" s="183"/>
      <c r="AC318" s="183"/>
      <c r="AD318" s="183"/>
      <c r="AE318" s="183"/>
      <c r="AF318" s="183"/>
      <c r="AG318" s="183"/>
      <c r="AH318" s="183"/>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20"/>
      <c r="BG318" s="20"/>
      <c r="BH318" s="20"/>
      <c r="BI318" s="20"/>
      <c r="BJ318" s="20"/>
      <c r="BK318" s="20"/>
      <c r="BL318" s="20"/>
      <c r="BM318" s="20"/>
    </row>
    <row r="319" spans="2:65" s="8" customFormat="1" ht="14" x14ac:dyDescent="0.2">
      <c r="B319" s="211" t="s">
        <v>38</v>
      </c>
      <c r="D319" s="8" t="s">
        <v>15</v>
      </c>
      <c r="E319" s="188">
        <f>IF(E303=2,0,F319/100)</f>
        <v>1</v>
      </c>
      <c r="F319" s="220">
        <v>100</v>
      </c>
      <c r="G319" s="183"/>
      <c r="H319" s="183"/>
      <c r="I319" s="183"/>
      <c r="J319" s="183"/>
      <c r="K319" s="183"/>
      <c r="L319" s="183"/>
      <c r="M319" s="183"/>
      <c r="N319" s="183"/>
      <c r="O319" s="183"/>
      <c r="P319" s="183"/>
      <c r="Q319" s="183"/>
      <c r="R319" s="183"/>
      <c r="S319" s="183"/>
      <c r="T319" s="183"/>
      <c r="U319" s="183"/>
      <c r="V319" s="183"/>
      <c r="W319" s="183"/>
      <c r="X319" s="183"/>
      <c r="Y319" s="183"/>
      <c r="Z319" s="183"/>
      <c r="AA319" s="183"/>
      <c r="AB319" s="183"/>
      <c r="AC319" s="183"/>
      <c r="AD319" s="183"/>
      <c r="AE319" s="183"/>
      <c r="AF319" s="183"/>
      <c r="AG319" s="183"/>
      <c r="AH319" s="183"/>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20"/>
      <c r="BG319" s="20"/>
      <c r="BH319" s="20"/>
      <c r="BI319" s="20"/>
      <c r="BJ319" s="20"/>
      <c r="BK319" s="20"/>
      <c r="BL319" s="20"/>
      <c r="BM319" s="20"/>
    </row>
    <row r="320" spans="2:65" s="20" customFormat="1" ht="14" x14ac:dyDescent="0.2">
      <c r="B320" s="216" t="s">
        <v>268</v>
      </c>
      <c r="D320" s="122" t="str">
        <f>'Assumptions - General'!$E$27 &amp;" per unit"</f>
        <v>R$ per unit</v>
      </c>
      <c r="E320" s="192">
        <f>IF(E315&gt;0,E315*1000000/E316,0)</f>
        <v>5000000</v>
      </c>
      <c r="F320" s="192">
        <f>E320*(1+F321)*IF($E$303=1,($E319*'Assumptions - General'!F$37+1),1)</f>
        <v>5150000</v>
      </c>
      <c r="G320" s="192">
        <f>F320*(1+G321)*IF($E$303=1,($E319*'Assumptions - General'!G$37+1),1)</f>
        <v>5304500</v>
      </c>
      <c r="H320" s="192">
        <f>G320*(1+H321)*IF($E$303=1,($E319*'Assumptions - General'!H$37+1),1)</f>
        <v>5463635</v>
      </c>
      <c r="I320" s="192">
        <f>H320*(1+I321)*IF($E$303=1,($E319*'Assumptions - General'!I$37+1),1)</f>
        <v>5627544.0499999998</v>
      </c>
      <c r="J320" s="192">
        <f>I320*(1+J321)*IF($E$303=1,($E319*'Assumptions - General'!J$37+1),1)</f>
        <v>5796370.3715000004</v>
      </c>
      <c r="K320" s="192">
        <f>J320*(1+K321)*IF($E$303=1,($E319*'Assumptions - General'!K$37+1),1)</f>
        <v>5970261.4826450003</v>
      </c>
      <c r="L320" s="192">
        <f>K320*(1+L321)*IF($E$303=1,($E319*'Assumptions - General'!L$37+1),1)</f>
        <v>6149369.3271243507</v>
      </c>
      <c r="M320" s="192">
        <f>L320*(1+M321)*IF($E$303=1,($E319*'Assumptions - General'!M$37+1),1)</f>
        <v>6333850.4069380816</v>
      </c>
      <c r="N320" s="192">
        <f>M320*(1+N321)*IF($E$303=1,($E319*'Assumptions - General'!N$37+1),1)</f>
        <v>6523865.9191462239</v>
      </c>
      <c r="O320" s="192">
        <f>N320*(1+O321)*IF($E$303=1,($E319*'Assumptions - General'!O$37+1),1)</f>
        <v>6719581.8967206106</v>
      </c>
      <c r="P320" s="192">
        <f>O320*(1+P321)*IF($E$303=1,($E319*'Assumptions - General'!P$37+1),1)</f>
        <v>6921169.3536222288</v>
      </c>
      <c r="Q320" s="192">
        <f>P320*(1+Q321)*IF($E$303=1,($E319*'Assumptions - General'!Q$37+1),1)</f>
        <v>7128804.4342308957</v>
      </c>
      <c r="R320" s="192">
        <f>Q320*(1+R321)*IF($E$303=1,($E319*'Assumptions - General'!R$37+1),1)</f>
        <v>7342668.5672578225</v>
      </c>
      <c r="S320" s="192">
        <f>R320*(1+S321)*IF($E$303=1,($E319*'Assumptions - General'!S$37+1),1)</f>
        <v>7562948.6242755577</v>
      </c>
      <c r="T320" s="192">
        <f>S320*(1+T321)*IF($E$303=1,($E319*'Assumptions - General'!T$37+1),1)</f>
        <v>7789837.0830038246</v>
      </c>
      <c r="U320" s="192">
        <f>T320*(1+U321)*IF($E$303=1,($E319*'Assumptions - General'!U$37+1),1)</f>
        <v>8023532.1954939393</v>
      </c>
      <c r="V320" s="192">
        <f>U320*(1+V321)*IF($E$303=1,($E319*'Assumptions - General'!V$37+1),1)</f>
        <v>8264238.1613587579</v>
      </c>
      <c r="W320" s="192">
        <f>V320*(1+W321)*IF($E$303=1,($E319*'Assumptions - General'!W$37+1),1)</f>
        <v>8512165.3061995208</v>
      </c>
      <c r="X320" s="192">
        <f>W320*(1+X321)*IF($E$303=1,($E319*'Assumptions - General'!X$37+1),1)</f>
        <v>8767530.2653855067</v>
      </c>
      <c r="Y320" s="192">
        <f>X320*(1+Y321)*IF($E$303=1,($E319*'Assumptions - General'!Y$37+1),1)</f>
        <v>9030556.1733470727</v>
      </c>
      <c r="Z320" s="192">
        <f>Y320*(1+Z321)*IF($E$303=1,($E319*'Assumptions - General'!Z$37+1),1)</f>
        <v>9301472.8585474845</v>
      </c>
      <c r="AA320" s="192">
        <f>Z320*(1+AA321)*IF($E$303=1,($E319*'Assumptions - General'!AA$37+1),1)</f>
        <v>9580517.0443039089</v>
      </c>
      <c r="AB320" s="192">
        <f>AA320*(1+AB321)*IF($E$303=1,($E319*'Assumptions - General'!AB$37+1),1)</f>
        <v>9867932.5556330271</v>
      </c>
      <c r="AC320" s="192">
        <f>AB320*(1+AC321)*IF($E$303=1,($E319*'Assumptions - General'!AC$37+1),1)</f>
        <v>10163970.532302018</v>
      </c>
      <c r="AD320" s="192">
        <f>AC320*(1+AD321)*IF($E$303=1,($E319*'Assumptions - General'!AD$37+1),1)</f>
        <v>10468889.648271078</v>
      </c>
      <c r="AE320" s="192">
        <f>AD320*(1+AE321)*IF($E$303=1,($E319*'Assumptions - General'!AE$37+1),1)</f>
        <v>10782956.337719211</v>
      </c>
      <c r="AF320" s="192">
        <f>AE320*(1+AF321)*IF($E$303=1,($E319*'Assumptions - General'!AF$37+1),1)</f>
        <v>11106445.027850788</v>
      </c>
      <c r="AG320" s="192">
        <f>AF320*(1+AG321)*IF($E$303=1,($E319*'Assumptions - General'!AG$37+1),1)</f>
        <v>11439638.378686313</v>
      </c>
      <c r="AH320" s="192">
        <f>AG320*(1+AH321)*IF($E$303=1,($E319*'Assumptions - General'!AH$37+1),1)</f>
        <v>11782827.530046903</v>
      </c>
    </row>
    <row r="321" spans="1:65" x14ac:dyDescent="0.2">
      <c r="B321" s="30" t="s">
        <v>401</v>
      </c>
      <c r="D321" s="15" t="s">
        <v>15</v>
      </c>
      <c r="E321" s="190"/>
      <c r="F321" s="188">
        <v>0</v>
      </c>
      <c r="G321" s="188">
        <v>0</v>
      </c>
      <c r="H321" s="188">
        <v>0</v>
      </c>
      <c r="I321" s="188">
        <v>0</v>
      </c>
      <c r="J321" s="188">
        <v>0</v>
      </c>
      <c r="K321" s="188">
        <v>0</v>
      </c>
      <c r="L321" s="188">
        <v>0</v>
      </c>
      <c r="M321" s="188">
        <v>0</v>
      </c>
      <c r="N321" s="188">
        <v>0</v>
      </c>
      <c r="O321" s="188">
        <v>0</v>
      </c>
      <c r="P321" s="188">
        <v>0</v>
      </c>
      <c r="Q321" s="188">
        <v>0</v>
      </c>
      <c r="R321" s="188">
        <v>0</v>
      </c>
      <c r="S321" s="188">
        <v>0</v>
      </c>
      <c r="T321" s="188">
        <v>0</v>
      </c>
      <c r="U321" s="188">
        <v>0</v>
      </c>
      <c r="V321" s="188">
        <v>0</v>
      </c>
      <c r="W321" s="188">
        <v>0</v>
      </c>
      <c r="X321" s="188">
        <v>0</v>
      </c>
      <c r="Y321" s="188">
        <v>0</v>
      </c>
      <c r="Z321" s="188">
        <v>0</v>
      </c>
      <c r="AA321" s="188">
        <v>0</v>
      </c>
      <c r="AB321" s="188">
        <v>0</v>
      </c>
      <c r="AC321" s="188">
        <v>0</v>
      </c>
      <c r="AD321" s="188">
        <v>0</v>
      </c>
      <c r="AE321" s="188">
        <v>0</v>
      </c>
      <c r="AF321" s="188">
        <v>0</v>
      </c>
      <c r="AG321" s="188">
        <v>0</v>
      </c>
      <c r="AH321" s="188">
        <v>0</v>
      </c>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row>
    <row r="322" spans="1:65" s="18" customFormat="1" x14ac:dyDescent="0.2">
      <c r="B322" s="32"/>
      <c r="D322" s="81"/>
      <c r="E322" s="204"/>
      <c r="F322" s="180"/>
      <c r="G322" s="180"/>
      <c r="H322" s="180"/>
      <c r="I322" s="180"/>
      <c r="J322" s="180"/>
      <c r="K322" s="180"/>
      <c r="L322" s="180"/>
      <c r="M322" s="180"/>
      <c r="N322" s="180"/>
      <c r="O322" s="180"/>
      <c r="P322" s="180"/>
      <c r="Q322" s="180"/>
      <c r="R322" s="180"/>
      <c r="S322" s="180"/>
      <c r="T322" s="180"/>
      <c r="U322" s="180"/>
      <c r="V322" s="180"/>
      <c r="W322" s="180"/>
      <c r="X322" s="180"/>
      <c r="Y322" s="180"/>
      <c r="Z322" s="180"/>
      <c r="AA322" s="180"/>
      <c r="AB322" s="180"/>
      <c r="AC322" s="180"/>
      <c r="AD322" s="180"/>
      <c r="AE322" s="180"/>
      <c r="AF322" s="180"/>
      <c r="AG322" s="180"/>
      <c r="AH322" s="180"/>
    </row>
    <row r="323" spans="1:65" s="20" customFormat="1" ht="14" x14ac:dyDescent="0.2">
      <c r="B323" s="19" t="s">
        <v>134</v>
      </c>
      <c r="D323" s="20" t="s">
        <v>2</v>
      </c>
      <c r="E323" s="188" t="s">
        <v>73</v>
      </c>
      <c r="F323" s="221"/>
      <c r="G323" s="182"/>
      <c r="H323" s="182"/>
      <c r="I323" s="182"/>
      <c r="J323" s="182"/>
      <c r="K323" s="182"/>
      <c r="L323" s="182"/>
      <c r="M323" s="182"/>
      <c r="N323" s="182"/>
      <c r="O323" s="182"/>
      <c r="P323" s="182"/>
      <c r="Q323" s="182"/>
      <c r="R323" s="182"/>
      <c r="S323" s="182"/>
      <c r="T323" s="182"/>
      <c r="U323" s="182"/>
      <c r="V323" s="182"/>
      <c r="W323" s="182"/>
      <c r="X323" s="182"/>
      <c r="Y323" s="182"/>
      <c r="Z323" s="182"/>
      <c r="AA323" s="182"/>
      <c r="AB323" s="182"/>
      <c r="AC323" s="182"/>
      <c r="AD323" s="182"/>
      <c r="AE323" s="182"/>
      <c r="AF323" s="182"/>
      <c r="AG323" s="182"/>
      <c r="AH323" s="182"/>
    </row>
    <row r="324" spans="1:65" s="8" customFormat="1" ht="14" x14ac:dyDescent="0.2">
      <c r="B324" s="14" t="s">
        <v>377</v>
      </c>
      <c r="D324" s="10" t="str">
        <f>'Assumptions - General'!$E$27 &amp;" millions"</f>
        <v>R$ millions</v>
      </c>
      <c r="E324" s="176">
        <v>50</v>
      </c>
      <c r="F324" s="183"/>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row>
    <row r="325" spans="1:65" s="8" customFormat="1" ht="14" x14ac:dyDescent="0.2">
      <c r="B325" s="215" t="s">
        <v>385</v>
      </c>
      <c r="D325" s="8" t="s">
        <v>256</v>
      </c>
      <c r="E325" s="176">
        <v>100</v>
      </c>
      <c r="F325" s="219">
        <f t="shared" ref="F325:AH325" si="22">E325*(1+F326)</f>
        <v>100</v>
      </c>
      <c r="G325" s="219">
        <f t="shared" si="22"/>
        <v>100</v>
      </c>
      <c r="H325" s="219">
        <f t="shared" si="22"/>
        <v>100</v>
      </c>
      <c r="I325" s="219">
        <f t="shared" si="22"/>
        <v>100</v>
      </c>
      <c r="J325" s="219">
        <f t="shared" si="22"/>
        <v>100</v>
      </c>
      <c r="K325" s="219">
        <f t="shared" si="22"/>
        <v>100</v>
      </c>
      <c r="L325" s="219">
        <f t="shared" si="22"/>
        <v>100</v>
      </c>
      <c r="M325" s="219">
        <f t="shared" si="22"/>
        <v>100</v>
      </c>
      <c r="N325" s="219">
        <f t="shared" si="22"/>
        <v>100</v>
      </c>
      <c r="O325" s="219">
        <f t="shared" si="22"/>
        <v>100</v>
      </c>
      <c r="P325" s="219">
        <f t="shared" si="22"/>
        <v>100</v>
      </c>
      <c r="Q325" s="219">
        <f t="shared" si="22"/>
        <v>100</v>
      </c>
      <c r="R325" s="219">
        <f t="shared" si="22"/>
        <v>100</v>
      </c>
      <c r="S325" s="219">
        <f t="shared" si="22"/>
        <v>100</v>
      </c>
      <c r="T325" s="219">
        <f t="shared" si="22"/>
        <v>100</v>
      </c>
      <c r="U325" s="219">
        <f t="shared" si="22"/>
        <v>100</v>
      </c>
      <c r="V325" s="219">
        <f t="shared" si="22"/>
        <v>100</v>
      </c>
      <c r="W325" s="219">
        <f t="shared" si="22"/>
        <v>100</v>
      </c>
      <c r="X325" s="219">
        <f t="shared" si="22"/>
        <v>100</v>
      </c>
      <c r="Y325" s="219">
        <f t="shared" si="22"/>
        <v>100</v>
      </c>
      <c r="Z325" s="219">
        <f t="shared" si="22"/>
        <v>100</v>
      </c>
      <c r="AA325" s="219">
        <f t="shared" si="22"/>
        <v>100</v>
      </c>
      <c r="AB325" s="219">
        <f t="shared" si="22"/>
        <v>100</v>
      </c>
      <c r="AC325" s="219">
        <f t="shared" si="22"/>
        <v>100</v>
      </c>
      <c r="AD325" s="219">
        <f t="shared" si="22"/>
        <v>100</v>
      </c>
      <c r="AE325" s="219">
        <f t="shared" si="22"/>
        <v>100</v>
      </c>
      <c r="AF325" s="219">
        <f t="shared" si="22"/>
        <v>100</v>
      </c>
      <c r="AG325" s="219">
        <f t="shared" si="22"/>
        <v>100</v>
      </c>
      <c r="AH325" s="219">
        <f t="shared" si="22"/>
        <v>100</v>
      </c>
      <c r="AI325" s="20"/>
      <c r="AJ325" s="20"/>
      <c r="AK325" s="20"/>
      <c r="AL325" s="20"/>
      <c r="AM325" s="20"/>
      <c r="AN325" s="20"/>
      <c r="AO325" s="20"/>
      <c r="AP325" s="20"/>
      <c r="AQ325" s="20"/>
      <c r="AR325" s="20"/>
      <c r="AS325" s="20"/>
      <c r="AT325" s="20"/>
      <c r="AU325" s="20"/>
      <c r="AV325" s="20"/>
      <c r="AW325" s="20"/>
      <c r="AX325" s="20"/>
      <c r="AY325" s="20"/>
      <c r="AZ325" s="20"/>
      <c r="BA325" s="20"/>
      <c r="BB325" s="20"/>
      <c r="BC325" s="20"/>
      <c r="BD325" s="20"/>
      <c r="BE325" s="20"/>
      <c r="BF325" s="20"/>
      <c r="BG325" s="20"/>
      <c r="BH325" s="20"/>
      <c r="BI325" s="20"/>
      <c r="BJ325" s="20"/>
      <c r="BK325" s="20"/>
      <c r="BL325" s="20"/>
      <c r="BM325" s="20"/>
    </row>
    <row r="326" spans="1:65" s="8" customFormat="1" ht="14" x14ac:dyDescent="0.2">
      <c r="B326" s="211" t="s">
        <v>263</v>
      </c>
      <c r="D326" s="8" t="s">
        <v>15</v>
      </c>
      <c r="E326" s="192"/>
      <c r="F326" s="189">
        <v>0</v>
      </c>
      <c r="G326" s="189">
        <v>0</v>
      </c>
      <c r="H326" s="189">
        <v>0</v>
      </c>
      <c r="I326" s="189">
        <v>0</v>
      </c>
      <c r="J326" s="189">
        <v>0</v>
      </c>
      <c r="K326" s="189">
        <v>0</v>
      </c>
      <c r="L326" s="189">
        <v>0</v>
      </c>
      <c r="M326" s="189">
        <v>0</v>
      </c>
      <c r="N326" s="189">
        <v>0</v>
      </c>
      <c r="O326" s="189">
        <v>0</v>
      </c>
      <c r="P326" s="189">
        <v>0</v>
      </c>
      <c r="Q326" s="189">
        <v>0</v>
      </c>
      <c r="R326" s="189">
        <v>0</v>
      </c>
      <c r="S326" s="189">
        <v>0</v>
      </c>
      <c r="T326" s="189">
        <v>0</v>
      </c>
      <c r="U326" s="189">
        <v>0</v>
      </c>
      <c r="V326" s="189">
        <v>0</v>
      </c>
      <c r="W326" s="189">
        <v>0</v>
      </c>
      <c r="X326" s="189">
        <v>0</v>
      </c>
      <c r="Y326" s="189">
        <v>0</v>
      </c>
      <c r="Z326" s="189">
        <v>0</v>
      </c>
      <c r="AA326" s="189">
        <v>0</v>
      </c>
      <c r="AB326" s="189">
        <v>0</v>
      </c>
      <c r="AC326" s="189">
        <v>0</v>
      </c>
      <c r="AD326" s="189">
        <v>0</v>
      </c>
      <c r="AE326" s="189">
        <v>0</v>
      </c>
      <c r="AF326" s="189">
        <v>0</v>
      </c>
      <c r="AG326" s="189">
        <v>0</v>
      </c>
      <c r="AH326" s="189">
        <v>0</v>
      </c>
      <c r="AI326" s="20"/>
      <c r="AJ326" s="20"/>
      <c r="AK326" s="20"/>
      <c r="AL326" s="20"/>
      <c r="AM326" s="20"/>
      <c r="AN326" s="20"/>
      <c r="AO326" s="20"/>
      <c r="AP326" s="20"/>
      <c r="AQ326" s="20"/>
      <c r="AR326" s="20"/>
      <c r="AS326" s="20"/>
      <c r="AT326" s="20"/>
      <c r="AU326" s="20"/>
      <c r="AV326" s="20"/>
      <c r="AW326" s="20"/>
      <c r="AX326" s="20"/>
      <c r="AY326" s="20"/>
      <c r="AZ326" s="20"/>
      <c r="BA326" s="20"/>
      <c r="BB326" s="20"/>
      <c r="BC326" s="20"/>
      <c r="BD326" s="20"/>
      <c r="BE326" s="20"/>
      <c r="BF326" s="20"/>
      <c r="BG326" s="20"/>
      <c r="BH326" s="20"/>
      <c r="BI326" s="20"/>
      <c r="BJ326" s="20"/>
      <c r="BK326" s="20"/>
      <c r="BL326" s="20"/>
      <c r="BM326" s="20"/>
    </row>
    <row r="327" spans="1:65" s="8" customFormat="1" ht="14" x14ac:dyDescent="0.2">
      <c r="B327" s="215" t="s">
        <v>581</v>
      </c>
      <c r="D327" s="15"/>
      <c r="E327" s="180"/>
      <c r="F327" s="220"/>
      <c r="G327" s="183"/>
      <c r="H327" s="183"/>
      <c r="I327" s="183"/>
      <c r="J327" s="183"/>
      <c r="K327" s="183"/>
      <c r="L327" s="183"/>
      <c r="M327" s="183"/>
      <c r="N327" s="183"/>
      <c r="O327" s="183"/>
      <c r="P327" s="183"/>
      <c r="Q327" s="183"/>
      <c r="R327" s="183"/>
      <c r="S327" s="183"/>
      <c r="T327" s="183"/>
      <c r="U327" s="183"/>
      <c r="V327" s="183"/>
      <c r="W327" s="183"/>
      <c r="X327" s="183"/>
      <c r="Y327" s="183"/>
      <c r="Z327" s="183"/>
      <c r="AA327" s="183"/>
      <c r="AB327" s="183"/>
      <c r="AC327" s="183"/>
      <c r="AD327" s="183"/>
      <c r="AE327" s="183"/>
      <c r="AF327" s="183"/>
      <c r="AG327" s="183"/>
      <c r="AH327" s="183"/>
      <c r="AI327" s="20"/>
      <c r="AJ327" s="20"/>
      <c r="AK327" s="20"/>
      <c r="AL327" s="20"/>
      <c r="AM327" s="20"/>
      <c r="AN327" s="20"/>
      <c r="AO327" s="20"/>
      <c r="AP327" s="20"/>
      <c r="AQ327" s="20"/>
      <c r="AR327" s="20"/>
      <c r="AS327" s="20"/>
      <c r="AT327" s="20"/>
      <c r="AU327" s="20"/>
      <c r="AV327" s="20"/>
      <c r="AW327" s="20"/>
      <c r="AX327" s="20"/>
      <c r="AY327" s="20"/>
      <c r="AZ327" s="20"/>
      <c r="BA327" s="20"/>
      <c r="BB327" s="20"/>
      <c r="BC327" s="20"/>
      <c r="BD327" s="20"/>
      <c r="BE327" s="20"/>
      <c r="BF327" s="20"/>
      <c r="BG327" s="20"/>
      <c r="BH327" s="20"/>
      <c r="BI327" s="20"/>
      <c r="BJ327" s="20"/>
      <c r="BK327" s="20"/>
      <c r="BL327" s="20"/>
      <c r="BM327" s="20"/>
    </row>
    <row r="328" spans="1:65" s="8" customFormat="1" ht="14" x14ac:dyDescent="0.2">
      <c r="B328" s="211" t="s">
        <v>38</v>
      </c>
      <c r="D328" s="8" t="s">
        <v>15</v>
      </c>
      <c r="E328" s="188">
        <f>IF(E303=2,0,F328/100)</f>
        <v>1</v>
      </c>
      <c r="F328" s="220">
        <v>100</v>
      </c>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20"/>
      <c r="AJ328" s="20"/>
      <c r="AK328" s="20"/>
      <c r="AL328" s="20"/>
      <c r="AM328" s="20"/>
      <c r="AN328" s="20"/>
      <c r="AO328" s="20"/>
      <c r="AP328" s="20"/>
      <c r="AQ328" s="20"/>
      <c r="AR328" s="20"/>
      <c r="AS328" s="20"/>
      <c r="AT328" s="20"/>
      <c r="AU328" s="20"/>
      <c r="AV328" s="20"/>
      <c r="AW328" s="20"/>
      <c r="AX328" s="20"/>
      <c r="AY328" s="20"/>
      <c r="AZ328" s="20"/>
      <c r="BA328" s="20"/>
      <c r="BB328" s="20"/>
      <c r="BC328" s="20"/>
      <c r="BD328" s="20"/>
      <c r="BE328" s="20"/>
      <c r="BF328" s="20"/>
      <c r="BG328" s="20"/>
      <c r="BH328" s="20"/>
      <c r="BI328" s="20"/>
      <c r="BJ328" s="20"/>
      <c r="BK328" s="20"/>
      <c r="BL328" s="20"/>
      <c r="BM328" s="20"/>
    </row>
    <row r="329" spans="1:65" s="20" customFormat="1" ht="14" x14ac:dyDescent="0.2">
      <c r="B329" s="216" t="s">
        <v>268</v>
      </c>
      <c r="D329" s="122" t="str">
        <f>'Assumptions - General'!$E$27 &amp;" per unit"</f>
        <v>R$ per unit</v>
      </c>
      <c r="E329" s="192">
        <f>IF(E324&gt;0,E324*1000000/E325,0)</f>
        <v>500000</v>
      </c>
      <c r="F329" s="192">
        <f>E329*(1+F330)*IF($E$303=1,($E328*'Assumptions - General'!F$37+1),1)</f>
        <v>515000</v>
      </c>
      <c r="G329" s="192">
        <f>F329*(1+G330)*IF($E$303=1,($E328*'Assumptions - General'!G$37+1),1)</f>
        <v>530450</v>
      </c>
      <c r="H329" s="192">
        <f>G329*(1+H330)*IF($E$303=1,($E328*'Assumptions - General'!H$37+1),1)</f>
        <v>546363.5</v>
      </c>
      <c r="I329" s="192">
        <f>H329*(1+I330)*IF($E$303=1,($E328*'Assumptions - General'!I$37+1),1)</f>
        <v>562754.40500000003</v>
      </c>
      <c r="J329" s="192">
        <f>I329*(1+J330)*IF($E$303=1,($E328*'Assumptions - General'!J$37+1),1)</f>
        <v>579637.03714999999</v>
      </c>
      <c r="K329" s="192">
        <f>J329*(1+K330)*IF($E$303=1,($E328*'Assumptions - General'!K$37+1),1)</f>
        <v>597026.14826449996</v>
      </c>
      <c r="L329" s="192">
        <f>K329*(1+L330)*IF($E$303=1,($E328*'Assumptions - General'!L$37+1),1)</f>
        <v>614936.93271243502</v>
      </c>
      <c r="M329" s="192">
        <f>L329*(1+M330)*IF($E$303=1,($E328*'Assumptions - General'!M$37+1),1)</f>
        <v>633385.04069380811</v>
      </c>
      <c r="N329" s="192">
        <f>M329*(1+N330)*IF($E$303=1,($E328*'Assumptions - General'!N$37+1),1)</f>
        <v>652386.59191462235</v>
      </c>
      <c r="O329" s="192">
        <f>N329*(1+O330)*IF($E$303=1,($E328*'Assumptions - General'!O$37+1),1)</f>
        <v>671958.18967206101</v>
      </c>
      <c r="P329" s="192">
        <f>O329*(1+P330)*IF($E$303=1,($E328*'Assumptions - General'!P$37+1),1)</f>
        <v>692116.93536222284</v>
      </c>
      <c r="Q329" s="192">
        <f>P329*(1+Q330)*IF($E$303=1,($E328*'Assumptions - General'!Q$37+1),1)</f>
        <v>712880.44342308957</v>
      </c>
      <c r="R329" s="192">
        <f>Q329*(1+R330)*IF($E$303=1,($E328*'Assumptions - General'!R$37+1),1)</f>
        <v>734266.85672578227</v>
      </c>
      <c r="S329" s="192">
        <f>R329*(1+S330)*IF($E$303=1,($E328*'Assumptions - General'!S$37+1),1)</f>
        <v>756294.86242755572</v>
      </c>
      <c r="T329" s="192">
        <f>S329*(1+T330)*IF($E$303=1,($E328*'Assumptions - General'!T$37+1),1)</f>
        <v>778983.70830038236</v>
      </c>
      <c r="U329" s="192">
        <f>T329*(1+U330)*IF($E$303=1,($E328*'Assumptions - General'!U$37+1),1)</f>
        <v>802353.21954939386</v>
      </c>
      <c r="V329" s="192">
        <f>U329*(1+V330)*IF($E$303=1,($E328*'Assumptions - General'!V$37+1),1)</f>
        <v>826423.81613587565</v>
      </c>
      <c r="W329" s="192">
        <f>V329*(1+W330)*IF($E$303=1,($E328*'Assumptions - General'!W$37+1),1)</f>
        <v>851216.5306199519</v>
      </c>
      <c r="X329" s="192">
        <f>W329*(1+X330)*IF($E$303=1,($E328*'Assumptions - General'!X$37+1),1)</f>
        <v>876753.0265385505</v>
      </c>
      <c r="Y329" s="192">
        <f>X329*(1+Y330)*IF($E$303=1,($E328*'Assumptions - General'!Y$37+1),1)</f>
        <v>903055.61733470706</v>
      </c>
      <c r="Z329" s="192">
        <f>Y329*(1+Z330)*IF($E$303=1,($E328*'Assumptions - General'!Z$37+1),1)</f>
        <v>930147.28585474833</v>
      </c>
      <c r="AA329" s="192">
        <f>Z329*(1+AA330)*IF($E$303=1,($E328*'Assumptions - General'!AA$37+1),1)</f>
        <v>958051.70443039085</v>
      </c>
      <c r="AB329" s="192">
        <f>AA329*(1+AB330)*IF($E$303=1,($E328*'Assumptions - General'!AB$37+1),1)</f>
        <v>986793.25556330255</v>
      </c>
      <c r="AC329" s="192">
        <f>AB329*(1+AC330)*IF($E$303=1,($E328*'Assumptions - General'!AC$37+1),1)</f>
        <v>1016397.0532302016</v>
      </c>
      <c r="AD329" s="192">
        <f>AC329*(1+AD330)*IF($E$303=1,($E328*'Assumptions - General'!AD$37+1),1)</f>
        <v>1046888.9648271076</v>
      </c>
      <c r="AE329" s="192">
        <f>AD329*(1+AE330)*IF($E$303=1,($E328*'Assumptions - General'!AE$37+1),1)</f>
        <v>1078295.6337719208</v>
      </c>
      <c r="AF329" s="192">
        <f>AE329*(1+AF330)*IF($E$303=1,($E328*'Assumptions - General'!AF$37+1),1)</f>
        <v>1110644.5027850785</v>
      </c>
      <c r="AG329" s="192">
        <f>AF329*(1+AG330)*IF($E$303=1,($E328*'Assumptions - General'!AG$37+1),1)</f>
        <v>1143963.8378686309</v>
      </c>
      <c r="AH329" s="192">
        <f>AG329*(1+AH330)*IF($E$303=1,($E328*'Assumptions - General'!AH$37+1),1)</f>
        <v>1178282.7530046899</v>
      </c>
    </row>
    <row r="330" spans="1:65" x14ac:dyDescent="0.2">
      <c r="B330" s="30" t="s">
        <v>401</v>
      </c>
      <c r="D330" s="15" t="s">
        <v>15</v>
      </c>
      <c r="E330" s="190"/>
      <c r="F330" s="188">
        <v>0</v>
      </c>
      <c r="G330" s="188">
        <v>0</v>
      </c>
      <c r="H330" s="188"/>
      <c r="I330" s="188">
        <v>0</v>
      </c>
      <c r="J330" s="188">
        <v>0</v>
      </c>
      <c r="K330" s="188">
        <v>0</v>
      </c>
      <c r="L330" s="188">
        <v>0</v>
      </c>
      <c r="M330" s="188">
        <v>0</v>
      </c>
      <c r="N330" s="188">
        <v>0</v>
      </c>
      <c r="O330" s="188">
        <v>0</v>
      </c>
      <c r="P330" s="188">
        <v>0</v>
      </c>
      <c r="Q330" s="188">
        <v>0</v>
      </c>
      <c r="R330" s="188">
        <v>0</v>
      </c>
      <c r="S330" s="188">
        <v>0</v>
      </c>
      <c r="T330" s="188">
        <v>0</v>
      </c>
      <c r="U330" s="188">
        <v>0</v>
      </c>
      <c r="V330" s="188">
        <v>0</v>
      </c>
      <c r="W330" s="188">
        <v>0</v>
      </c>
      <c r="X330" s="188">
        <v>0</v>
      </c>
      <c r="Y330" s="188">
        <v>0</v>
      </c>
      <c r="Z330" s="188">
        <v>0</v>
      </c>
      <c r="AA330" s="188">
        <v>0</v>
      </c>
      <c r="AB330" s="188">
        <v>0</v>
      </c>
      <c r="AC330" s="188">
        <v>0</v>
      </c>
      <c r="AD330" s="188">
        <v>0</v>
      </c>
      <c r="AE330" s="188">
        <v>0</v>
      </c>
      <c r="AF330" s="188">
        <v>0</v>
      </c>
      <c r="AG330" s="188">
        <v>0</v>
      </c>
      <c r="AH330" s="188">
        <v>0</v>
      </c>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row>
    <row r="331" spans="1:65" s="18" customFormat="1" x14ac:dyDescent="0.2"/>
    <row r="332" spans="1:65" s="18" customFormat="1" outlineLevel="1" x14ac:dyDescent="0.2">
      <c r="B332" s="57" t="str">
        <f>E305&amp; " - total annual cost in forecast period"</f>
        <v>Provisions and legal claims - total annual cost in forecast period</v>
      </c>
      <c r="D332" s="10" t="str">
        <f>'Assumptions - General'!$E$27 &amp;" millions"</f>
        <v>R$ millions</v>
      </c>
      <c r="E332" s="260" t="str">
        <f>Calculations!E1423</f>
        <v xml:space="preserve"> </v>
      </c>
      <c r="F332" s="260" t="str">
        <f>Calculations!F1423</f>
        <v xml:space="preserve"> </v>
      </c>
      <c r="G332" s="260" t="str">
        <f>Calculations!G1423</f>
        <v xml:space="preserve"> </v>
      </c>
      <c r="H332" s="260" t="str">
        <f>Calculations!H1423</f>
        <v xml:space="preserve"> </v>
      </c>
      <c r="I332" s="260" t="str">
        <f>Calculations!I1423</f>
        <v xml:space="preserve"> </v>
      </c>
      <c r="J332" s="260" t="str">
        <f>Calculations!J1423</f>
        <v xml:space="preserve"> </v>
      </c>
      <c r="K332" s="260" t="str">
        <f>Calculations!K1423</f>
        <v xml:space="preserve"> </v>
      </c>
      <c r="L332" s="260" t="str">
        <f>Calculations!L1423</f>
        <v xml:space="preserve"> </v>
      </c>
      <c r="M332" s="260" t="str">
        <f>Calculations!M1423</f>
        <v xml:space="preserve"> </v>
      </c>
      <c r="N332" s="260" t="str">
        <f>Calculations!N1423</f>
        <v xml:space="preserve"> </v>
      </c>
      <c r="O332" s="260" t="str">
        <f>Calculations!O1423</f>
        <v xml:space="preserve"> </v>
      </c>
      <c r="P332" s="260" t="str">
        <f>Calculations!P1423</f>
        <v xml:space="preserve"> </v>
      </c>
      <c r="Q332" s="260" t="str">
        <f>Calculations!Q1423</f>
        <v xml:space="preserve"> </v>
      </c>
      <c r="R332" s="260" t="str">
        <f>Calculations!R1423</f>
        <v xml:space="preserve"> </v>
      </c>
      <c r="S332" s="260" t="str">
        <f>Calculations!S1423</f>
        <v xml:space="preserve"> </v>
      </c>
      <c r="T332" s="260" t="str">
        <f>Calculations!T1423</f>
        <v xml:space="preserve"> </v>
      </c>
      <c r="U332" s="260" t="str">
        <f>Calculations!U1423</f>
        <v xml:space="preserve"> </v>
      </c>
      <c r="V332" s="260" t="str">
        <f>Calculations!V1423</f>
        <v xml:space="preserve"> </v>
      </c>
      <c r="W332" s="260" t="str">
        <f>Calculations!W1423</f>
        <v xml:space="preserve"> </v>
      </c>
      <c r="X332" s="260" t="str">
        <f>Calculations!X1423</f>
        <v xml:space="preserve"> </v>
      </c>
      <c r="Y332" s="260" t="str">
        <f>Calculations!Y1423</f>
        <v xml:space="preserve"> </v>
      </c>
      <c r="Z332" s="260" t="str">
        <f>Calculations!Z1423</f>
        <v xml:space="preserve"> </v>
      </c>
      <c r="AA332" s="260" t="str">
        <f>Calculations!AA1423</f>
        <v xml:space="preserve"> </v>
      </c>
      <c r="AB332" s="260" t="str">
        <f>Calculations!AB1423</f>
        <v xml:space="preserve"> </v>
      </c>
      <c r="AC332" s="260" t="str">
        <f>Calculations!AC1423</f>
        <v xml:space="preserve"> </v>
      </c>
      <c r="AD332" s="260" t="str">
        <f>Calculations!AD1423</f>
        <v xml:space="preserve"> </v>
      </c>
      <c r="AE332" s="260" t="str">
        <f>Calculations!AE1423</f>
        <v xml:space="preserve"> </v>
      </c>
      <c r="AF332" s="260" t="str">
        <f>Calculations!AF1423</f>
        <v xml:space="preserve"> </v>
      </c>
      <c r="AG332" s="260" t="str">
        <f>Calculations!AG1423</f>
        <v xml:space="preserve"> </v>
      </c>
      <c r="AH332" s="260" t="str">
        <f>Calculations!AH1423</f>
        <v xml:space="preserve"> </v>
      </c>
    </row>
    <row r="333" spans="1:65" s="18" customFormat="1" outlineLevel="1" x14ac:dyDescent="0.2">
      <c r="B333" s="57" t="str">
        <f>E314&amp; " - total annual cost in forecast period"</f>
        <v>Investment losses - total annual cost in forecast period</v>
      </c>
      <c r="D333" s="10" t="str">
        <f>'Assumptions - General'!$E$27 &amp;" millions"</f>
        <v>R$ millions</v>
      </c>
      <c r="E333" s="260" t="str">
        <f>Calculations!E1424</f>
        <v xml:space="preserve"> </v>
      </c>
      <c r="F333" s="260" t="str">
        <f>Calculations!F1424</f>
        <v xml:space="preserve"> </v>
      </c>
      <c r="G333" s="260" t="str">
        <f>Calculations!G1424</f>
        <v xml:space="preserve"> </v>
      </c>
      <c r="H333" s="260" t="str">
        <f>Calculations!H1424</f>
        <v xml:space="preserve"> </v>
      </c>
      <c r="I333" s="260" t="str">
        <f>Calculations!I1424</f>
        <v xml:space="preserve"> </v>
      </c>
      <c r="J333" s="260" t="str">
        <f>Calculations!J1424</f>
        <v xml:space="preserve"> </v>
      </c>
      <c r="K333" s="260" t="str">
        <f>Calculations!K1424</f>
        <v xml:space="preserve"> </v>
      </c>
      <c r="L333" s="260" t="str">
        <f>Calculations!L1424</f>
        <v xml:space="preserve"> </v>
      </c>
      <c r="M333" s="260" t="str">
        <f>Calculations!M1424</f>
        <v xml:space="preserve"> </v>
      </c>
      <c r="N333" s="260" t="str">
        <f>Calculations!N1424</f>
        <v xml:space="preserve"> </v>
      </c>
      <c r="O333" s="260" t="str">
        <f>Calculations!O1424</f>
        <v xml:space="preserve"> </v>
      </c>
      <c r="P333" s="260" t="str">
        <f>Calculations!P1424</f>
        <v xml:space="preserve"> </v>
      </c>
      <c r="Q333" s="260" t="str">
        <f>Calculations!Q1424</f>
        <v xml:space="preserve"> </v>
      </c>
      <c r="R333" s="260" t="str">
        <f>Calculations!R1424</f>
        <v xml:space="preserve"> </v>
      </c>
      <c r="S333" s="260" t="str">
        <f>Calculations!S1424</f>
        <v xml:space="preserve"> </v>
      </c>
      <c r="T333" s="260" t="str">
        <f>Calculations!T1424</f>
        <v xml:space="preserve"> </v>
      </c>
      <c r="U333" s="260" t="str">
        <f>Calculations!U1424</f>
        <v xml:space="preserve"> </v>
      </c>
      <c r="V333" s="260" t="str">
        <f>Calculations!V1424</f>
        <v xml:space="preserve"> </v>
      </c>
      <c r="W333" s="260" t="str">
        <f>Calculations!W1424</f>
        <v xml:space="preserve"> </v>
      </c>
      <c r="X333" s="260" t="str">
        <f>Calculations!X1424</f>
        <v xml:space="preserve"> </v>
      </c>
      <c r="Y333" s="260" t="str">
        <f>Calculations!Y1424</f>
        <v xml:space="preserve"> </v>
      </c>
      <c r="Z333" s="260" t="str">
        <f>Calculations!Z1424</f>
        <v xml:space="preserve"> </v>
      </c>
      <c r="AA333" s="260" t="str">
        <f>Calculations!AA1424</f>
        <v xml:space="preserve"> </v>
      </c>
      <c r="AB333" s="260" t="str">
        <f>Calculations!AB1424</f>
        <v xml:space="preserve"> </v>
      </c>
      <c r="AC333" s="260" t="str">
        <f>Calculations!AC1424</f>
        <v xml:space="preserve"> </v>
      </c>
      <c r="AD333" s="260" t="str">
        <f>Calculations!AD1424</f>
        <v xml:space="preserve"> </v>
      </c>
      <c r="AE333" s="260" t="str">
        <f>Calculations!AE1424</f>
        <v xml:space="preserve"> </v>
      </c>
      <c r="AF333" s="260" t="str">
        <f>Calculations!AF1424</f>
        <v xml:space="preserve"> </v>
      </c>
      <c r="AG333" s="260" t="str">
        <f>Calculations!AG1424</f>
        <v xml:space="preserve"> </v>
      </c>
      <c r="AH333" s="260" t="str">
        <f>Calculations!AH1424</f>
        <v xml:space="preserve"> </v>
      </c>
    </row>
    <row r="334" spans="1:65" s="18" customFormat="1" outlineLevel="1" x14ac:dyDescent="0.2">
      <c r="B334" s="57" t="str">
        <f>E323&amp; " - total annual cost in forecast period"</f>
        <v>Other - total annual cost in forecast period</v>
      </c>
      <c r="D334" s="10" t="str">
        <f>'Assumptions - General'!$E$27 &amp;" millions"</f>
        <v>R$ millions</v>
      </c>
      <c r="E334" s="260" t="str">
        <f>Calculations!E1425</f>
        <v xml:space="preserve"> </v>
      </c>
      <c r="F334" s="260" t="str">
        <f>Calculations!F1425</f>
        <v xml:space="preserve"> </v>
      </c>
      <c r="G334" s="260" t="str">
        <f>Calculations!G1425</f>
        <v xml:space="preserve"> </v>
      </c>
      <c r="H334" s="260" t="str">
        <f>Calculations!H1425</f>
        <v xml:space="preserve"> </v>
      </c>
      <c r="I334" s="260" t="str">
        <f>Calculations!I1425</f>
        <v xml:space="preserve"> </v>
      </c>
      <c r="J334" s="260" t="str">
        <f>Calculations!J1425</f>
        <v xml:space="preserve"> </v>
      </c>
      <c r="K334" s="260" t="str">
        <f>Calculations!K1425</f>
        <v xml:space="preserve"> </v>
      </c>
      <c r="L334" s="260" t="str">
        <f>Calculations!L1425</f>
        <v xml:space="preserve"> </v>
      </c>
      <c r="M334" s="260" t="str">
        <f>Calculations!M1425</f>
        <v xml:space="preserve"> </v>
      </c>
      <c r="N334" s="260" t="str">
        <f>Calculations!N1425</f>
        <v xml:space="preserve"> </v>
      </c>
      <c r="O334" s="260" t="str">
        <f>Calculations!O1425</f>
        <v xml:space="preserve"> </v>
      </c>
      <c r="P334" s="260" t="str">
        <f>Calculations!P1425</f>
        <v xml:space="preserve"> </v>
      </c>
      <c r="Q334" s="260" t="str">
        <f>Calculations!Q1425</f>
        <v xml:space="preserve"> </v>
      </c>
      <c r="R334" s="260" t="str">
        <f>Calculations!R1425</f>
        <v xml:space="preserve"> </v>
      </c>
      <c r="S334" s="260" t="str">
        <f>Calculations!S1425</f>
        <v xml:space="preserve"> </v>
      </c>
      <c r="T334" s="260" t="str">
        <f>Calculations!T1425</f>
        <v xml:space="preserve"> </v>
      </c>
      <c r="U334" s="260" t="str">
        <f>Calculations!U1425</f>
        <v xml:space="preserve"> </v>
      </c>
      <c r="V334" s="260" t="str">
        <f>Calculations!V1425</f>
        <v xml:space="preserve"> </v>
      </c>
      <c r="W334" s="260" t="str">
        <f>Calculations!W1425</f>
        <v xml:space="preserve"> </v>
      </c>
      <c r="X334" s="260" t="str">
        <f>Calculations!X1425</f>
        <v xml:space="preserve"> </v>
      </c>
      <c r="Y334" s="260" t="str">
        <f>Calculations!Y1425</f>
        <v xml:space="preserve"> </v>
      </c>
      <c r="Z334" s="260" t="str">
        <f>Calculations!Z1425</f>
        <v xml:space="preserve"> </v>
      </c>
      <c r="AA334" s="260" t="str">
        <f>Calculations!AA1425</f>
        <v xml:space="preserve"> </v>
      </c>
      <c r="AB334" s="260" t="str">
        <f>Calculations!AB1425</f>
        <v xml:space="preserve"> </v>
      </c>
      <c r="AC334" s="260" t="str">
        <f>Calculations!AC1425</f>
        <v xml:space="preserve"> </v>
      </c>
      <c r="AD334" s="260" t="str">
        <f>Calculations!AD1425</f>
        <v xml:space="preserve"> </v>
      </c>
      <c r="AE334" s="260" t="str">
        <f>Calculations!AE1425</f>
        <v xml:space="preserve"> </v>
      </c>
      <c r="AF334" s="260" t="str">
        <f>Calculations!AF1425</f>
        <v xml:space="preserve"> </v>
      </c>
      <c r="AG334" s="260" t="str">
        <f>Calculations!AG1425</f>
        <v xml:space="preserve"> </v>
      </c>
      <c r="AH334" s="260" t="str">
        <f>Calculations!AH1425</f>
        <v xml:space="preserve"> </v>
      </c>
    </row>
    <row r="335" spans="1:65" s="18" customFormat="1" x14ac:dyDescent="0.2">
      <c r="A335" s="7" t="s">
        <v>405</v>
      </c>
      <c r="B335" s="20"/>
    </row>
    <row r="336" spans="1:65" s="18" customFormat="1" collapsed="1" x14ac:dyDescent="0.2">
      <c r="A336" s="8"/>
      <c r="B336" s="20"/>
    </row>
    <row r="337" spans="2:34" s="316" customFormat="1" x14ac:dyDescent="0.2">
      <c r="B337" s="315" t="str">
        <f>"Taxes and dividends for "&amp;'Assumptions - General'!E26</f>
        <v>Taxes and dividends for Ruritania Railway Infrastructure Company</v>
      </c>
    </row>
    <row r="339" spans="2:34" s="8" customFormat="1" ht="14" x14ac:dyDescent="0.2">
      <c r="B339" s="169" t="s">
        <v>47</v>
      </c>
      <c r="D339" s="169" t="s">
        <v>15</v>
      </c>
      <c r="E339" s="240">
        <f>F339/100</f>
        <v>0.3</v>
      </c>
      <c r="F339" s="87">
        <v>30</v>
      </c>
    </row>
    <row r="340" spans="2:34" s="8" customFormat="1" ht="14" x14ac:dyDescent="0.2">
      <c r="B340" s="169"/>
      <c r="D340" s="169"/>
      <c r="E340" s="240"/>
      <c r="F340" s="87"/>
    </row>
    <row r="341" spans="2:34" s="8" customFormat="1" ht="14" x14ac:dyDescent="0.2">
      <c r="B341" s="169" t="s">
        <v>524</v>
      </c>
      <c r="D341" s="169" t="s">
        <v>149</v>
      </c>
      <c r="E341" s="241">
        <f>F341/100</f>
        <v>1.3</v>
      </c>
      <c r="F341" s="87">
        <v>130</v>
      </c>
    </row>
    <row r="342" spans="2:34" s="8" customFormat="1" ht="14" x14ac:dyDescent="0.2">
      <c r="B342" s="169"/>
      <c r="D342" s="169"/>
      <c r="E342" s="241"/>
      <c r="F342" s="87"/>
    </row>
    <row r="343" spans="2:34" s="8" customFormat="1" ht="14" x14ac:dyDescent="0.2">
      <c r="B343" s="169" t="s">
        <v>150</v>
      </c>
      <c r="D343" s="169" t="s">
        <v>15</v>
      </c>
      <c r="E343" s="242">
        <f>F343/100</f>
        <v>0.7</v>
      </c>
      <c r="F343" s="87">
        <v>70</v>
      </c>
    </row>
    <row r="344" spans="2:34" s="8" customFormat="1" ht="14" x14ac:dyDescent="0.2">
      <c r="E344" s="195"/>
    </row>
    <row r="345" spans="2:34" s="316" customFormat="1" x14ac:dyDescent="0.2">
      <c r="B345" s="315" t="str">
        <f>"Working capital assumptions for " &amp;'Assumptions - General'!$E$26</f>
        <v>Working capital assumptions for Ruritania Railway Infrastructure Company</v>
      </c>
      <c r="E345" s="337"/>
    </row>
    <row r="346" spans="2:34" x14ac:dyDescent="0.2">
      <c r="E346" s="190"/>
    </row>
    <row r="347" spans="2:34" x14ac:dyDescent="0.2">
      <c r="B347" s="21" t="s">
        <v>347</v>
      </c>
      <c r="D347" s="10" t="str">
        <f>'Assumptions - General'!$E$27 &amp;" millions"</f>
        <v>R$ millions</v>
      </c>
      <c r="E347" s="176">
        <v>5000</v>
      </c>
    </row>
    <row r="348" spans="2:34" s="8" customFormat="1" ht="14" x14ac:dyDescent="0.2">
      <c r="B348" s="8" t="s">
        <v>48</v>
      </c>
      <c r="D348" s="8" t="s">
        <v>51</v>
      </c>
      <c r="E348" s="197">
        <f>IF(E347&lt;&gt;0,IF(Calculations!E19=1,(E347*365)/('Income statement'!E147-'Income statement'!E146)," "),0)</f>
        <v>44.552944766554774</v>
      </c>
      <c r="F348" s="197">
        <f>IF($E$347&lt;&gt;0,IF(Calculations!F19=1,E348+F349," "),0)</f>
        <v>44.552944766554774</v>
      </c>
      <c r="G348" s="197">
        <f>IF($E$347&lt;&gt;0,IF(Calculations!G19=1,F348+G349," "),0)</f>
        <v>44.552944766554774</v>
      </c>
      <c r="H348" s="197">
        <f>IF($E$347&lt;&gt;0,IF(Calculations!H19=1,G348+H349," "),0)</f>
        <v>44.552944766554774</v>
      </c>
      <c r="I348" s="197">
        <f>IF($E$347&lt;&gt;0,IF(Calculations!I19=1,H348+I349," "),0)</f>
        <v>44.552944766554774</v>
      </c>
      <c r="J348" s="197">
        <f>IF($E$347&lt;&gt;0,IF(Calculations!J19=1,I348+J349," "),0)</f>
        <v>44.552944766554774</v>
      </c>
      <c r="K348" s="197">
        <f>IF($E$347&lt;&gt;0,IF(Calculations!K19=1,J348+K349," "),0)</f>
        <v>44.552944766554774</v>
      </c>
      <c r="L348" s="197">
        <f>IF($E$347&lt;&gt;0,IF(Calculations!L19=1,K348+L349," "),0)</f>
        <v>44.552944766554774</v>
      </c>
      <c r="M348" s="197">
        <f>IF($E$347&lt;&gt;0,IF(Calculations!M19=1,L348+M349," "),0)</f>
        <v>44.552944766554774</v>
      </c>
      <c r="N348" s="197">
        <f>IF($E$347&lt;&gt;0,IF(Calculations!N19=1,M348+N349," "),0)</f>
        <v>44.552944766554774</v>
      </c>
      <c r="O348" s="197">
        <f>IF($E$347&lt;&gt;0,IF(Calculations!O19=1,N348+O349," "),0)</f>
        <v>44.552944766554774</v>
      </c>
      <c r="P348" s="197">
        <f>IF($E$347&lt;&gt;0,IF(Calculations!P19=1,O348+P349," "),0)</f>
        <v>44.552944766554774</v>
      </c>
      <c r="Q348" s="197">
        <f>IF($E$347&lt;&gt;0,IF(Calculations!Q19=1,P348+Q349," "),0)</f>
        <v>44.552944766554774</v>
      </c>
      <c r="R348" s="197">
        <f>IF($E$347&lt;&gt;0,IF(Calculations!R19=1,Q348+R349," "),0)</f>
        <v>44.552944766554774</v>
      </c>
      <c r="S348" s="197">
        <f>IF($E$347&lt;&gt;0,IF(Calculations!S19=1,R348+S349," "),0)</f>
        <v>44.552944766554774</v>
      </c>
      <c r="T348" s="197">
        <f>IF($E$347&lt;&gt;0,IF(Calculations!T19=1,S348+T349," "),0)</f>
        <v>44.552944766554774</v>
      </c>
      <c r="U348" s="197">
        <f>IF($E$347&lt;&gt;0,IF(Calculations!U19=1,T348+U349," "),0)</f>
        <v>44.552944766554774</v>
      </c>
      <c r="V348" s="197">
        <f>IF($E$347&lt;&gt;0,IF(Calculations!V19=1,U348+V349," "),0)</f>
        <v>44.552944766554774</v>
      </c>
      <c r="W348" s="197">
        <f>IF($E$347&lt;&gt;0,IF(Calculations!W19=1,V348+W349," "),0)</f>
        <v>44.552944766554774</v>
      </c>
      <c r="X348" s="197">
        <f>IF($E$347&lt;&gt;0,IF(Calculations!X19=1,W348+X349," "),0)</f>
        <v>44.552944766554774</v>
      </c>
      <c r="Y348" s="197">
        <f>IF($E$347&lt;&gt;0,IF(Calculations!Y19=1,X348+Y349," "),0)</f>
        <v>44.552944766554774</v>
      </c>
      <c r="Z348" s="197">
        <f>IF($E$347&lt;&gt;0,IF(Calculations!Z19=1,Y348+Z349," "),0)</f>
        <v>44.552944766554774</v>
      </c>
      <c r="AA348" s="197">
        <f>IF($E$347&lt;&gt;0,IF(Calculations!AA19=1,Z348+AA349," "),0)</f>
        <v>44.552944766554774</v>
      </c>
      <c r="AB348" s="197">
        <f>IF($E$347&lt;&gt;0,IF(Calculations!AB19=1,AA348+AB349," "),0)</f>
        <v>44.552944766554774</v>
      </c>
      <c r="AC348" s="197">
        <f>IF($E$347&lt;&gt;0,IF(Calculations!AC19=1,AB348+AC349," "),0)</f>
        <v>44.552944766554774</v>
      </c>
      <c r="AD348" s="197">
        <f>IF($E$347&lt;&gt;0,IF(Calculations!AD19=1,AC348+AD349," "),0)</f>
        <v>44.552944766554774</v>
      </c>
      <c r="AE348" s="197">
        <f>IF($E$347&lt;&gt;0,IF(Calculations!AE19=1,AD348+AE349," "),0)</f>
        <v>44.552944766554774</v>
      </c>
      <c r="AF348" s="197">
        <f>IF($E$347&lt;&gt;0,IF(Calculations!AF19=1,AE348+AF349," "),0)</f>
        <v>44.552944766554774</v>
      </c>
      <c r="AG348" s="197">
        <f>IF($E$347&lt;&gt;0,IF(Calculations!AG19=1,AF348+AG349," "),0)</f>
        <v>44.552944766554774</v>
      </c>
      <c r="AH348" s="197">
        <f>IF($E$347&lt;&gt;0,IF(Calculations!AH19=1,AG348+AH349," "),0)</f>
        <v>44.552944766554774</v>
      </c>
    </row>
    <row r="349" spans="2:34" s="8" customFormat="1" ht="14" x14ac:dyDescent="0.2">
      <c r="B349" s="8" t="s">
        <v>269</v>
      </c>
      <c r="D349" s="8" t="s">
        <v>270</v>
      </c>
      <c r="E349" s="182"/>
      <c r="F349" s="191">
        <v>0</v>
      </c>
      <c r="G349" s="191">
        <v>0</v>
      </c>
      <c r="H349" s="191">
        <v>0</v>
      </c>
      <c r="I349" s="191">
        <v>0</v>
      </c>
      <c r="J349" s="191">
        <v>0</v>
      </c>
      <c r="K349" s="191">
        <v>0</v>
      </c>
      <c r="L349" s="191">
        <v>0</v>
      </c>
      <c r="M349" s="191">
        <v>0</v>
      </c>
      <c r="N349" s="191">
        <v>0</v>
      </c>
      <c r="O349" s="191">
        <v>0</v>
      </c>
      <c r="P349" s="191">
        <v>0</v>
      </c>
      <c r="Q349" s="191">
        <v>0</v>
      </c>
      <c r="R349" s="191">
        <v>0</v>
      </c>
      <c r="S349" s="191">
        <v>0</v>
      </c>
      <c r="T349" s="191">
        <v>0</v>
      </c>
      <c r="U349" s="191">
        <v>0</v>
      </c>
      <c r="V349" s="191">
        <v>0</v>
      </c>
      <c r="W349" s="191">
        <v>0</v>
      </c>
      <c r="X349" s="191">
        <v>0</v>
      </c>
      <c r="Y349" s="191">
        <v>0</v>
      </c>
      <c r="Z349" s="191">
        <v>0</v>
      </c>
      <c r="AA349" s="191">
        <v>0</v>
      </c>
      <c r="AB349" s="191">
        <v>0</v>
      </c>
      <c r="AC349" s="191">
        <v>0</v>
      </c>
      <c r="AD349" s="191">
        <v>0</v>
      </c>
      <c r="AE349" s="191">
        <v>0</v>
      </c>
      <c r="AF349" s="191">
        <v>0</v>
      </c>
      <c r="AG349" s="191">
        <v>0</v>
      </c>
      <c r="AH349" s="191">
        <v>0</v>
      </c>
    </row>
    <row r="350" spans="2:34" s="20" customFormat="1" ht="14" x14ac:dyDescent="0.2">
      <c r="E350" s="182"/>
      <c r="F350" s="192"/>
      <c r="G350" s="192"/>
      <c r="H350" s="192"/>
      <c r="I350" s="192"/>
      <c r="J350" s="192"/>
      <c r="K350" s="192"/>
      <c r="L350" s="192"/>
      <c r="M350" s="192"/>
      <c r="N350" s="192"/>
      <c r="O350" s="192"/>
      <c r="P350" s="192"/>
      <c r="Q350" s="192"/>
      <c r="R350" s="192"/>
      <c r="S350" s="192"/>
      <c r="T350" s="192"/>
      <c r="U350" s="192"/>
      <c r="V350" s="192"/>
      <c r="W350" s="192"/>
      <c r="X350" s="192"/>
      <c r="Y350" s="192"/>
      <c r="Z350" s="192"/>
      <c r="AA350" s="192"/>
      <c r="AB350" s="192"/>
      <c r="AC350" s="192"/>
      <c r="AD350" s="192"/>
      <c r="AE350" s="192"/>
      <c r="AF350" s="192"/>
      <c r="AG350" s="192"/>
      <c r="AH350" s="192"/>
    </row>
    <row r="351" spans="2:34" s="8" customFormat="1" ht="14" x14ac:dyDescent="0.2">
      <c r="B351" s="21" t="s">
        <v>348</v>
      </c>
      <c r="D351" s="10" t="str">
        <f>'Assumptions - General'!$E$27 &amp;" millions"</f>
        <v>R$ millions</v>
      </c>
      <c r="E351" s="181">
        <v>100</v>
      </c>
      <c r="F351" s="183"/>
      <c r="G351" s="183"/>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row>
    <row r="352" spans="2:34" s="8" customFormat="1" ht="14" x14ac:dyDescent="0.2">
      <c r="B352" s="8" t="s">
        <v>49</v>
      </c>
      <c r="D352" s="8" t="s">
        <v>51</v>
      </c>
      <c r="E352" s="193">
        <f>IF($E$351&lt;&gt;0,IF(Calculations!E19=1,(E351*365)/(Calculations!E1149+Calculations!E1151)," "),0)</f>
        <v>36.5</v>
      </c>
      <c r="F352" s="193">
        <f>IF($E$351&lt;&gt;0,IF(Calculations!F19=1,E352+F353," "),0)</f>
        <v>36.5</v>
      </c>
      <c r="G352" s="193">
        <f>IF($E$351&lt;&gt;0,IF(Calculations!G19=1,F352+G353," "),0)</f>
        <v>36.5</v>
      </c>
      <c r="H352" s="193">
        <f>IF($E$351&lt;&gt;0,IF(Calculations!H19=1,G352+H353," "),0)</f>
        <v>36.5</v>
      </c>
      <c r="I352" s="193">
        <f>IF($E$351&lt;&gt;0,IF(Calculations!I19=1,H352+I353," "),0)</f>
        <v>36.5</v>
      </c>
      <c r="J352" s="193">
        <f>IF($E$351&lt;&gt;0,IF(Calculations!J19=1,I352+J353," "),0)</f>
        <v>36.5</v>
      </c>
      <c r="K352" s="193">
        <f>IF($E$351&lt;&gt;0,IF(Calculations!K19=1,J352+K353," "),0)</f>
        <v>36.5</v>
      </c>
      <c r="L352" s="193">
        <f>IF($E$351&lt;&gt;0,IF(Calculations!L19=1,K352+L353," "),0)</f>
        <v>36.5</v>
      </c>
      <c r="M352" s="193">
        <f>IF($E$351&lt;&gt;0,IF(Calculations!M19=1,L352+M353," "),0)</f>
        <v>36.5</v>
      </c>
      <c r="N352" s="193">
        <f>IF($E$351&lt;&gt;0,IF(Calculations!N19=1,M352+N353," "),0)</f>
        <v>36.5</v>
      </c>
      <c r="O352" s="193">
        <f>IF($E$351&lt;&gt;0,IF(Calculations!O19=1,N352+O353," "),0)</f>
        <v>36.5</v>
      </c>
      <c r="P352" s="193">
        <f>IF($E$351&lt;&gt;0,IF(Calculations!P19=1,O352+P353," "),0)</f>
        <v>36.5</v>
      </c>
      <c r="Q352" s="193">
        <f>IF($E$351&lt;&gt;0,IF(Calculations!Q19=1,P352+Q353," "),0)</f>
        <v>36.5</v>
      </c>
      <c r="R352" s="193">
        <f>IF($E$351&lt;&gt;0,IF(Calculations!R19=1,Q352+R353," "),0)</f>
        <v>36.5</v>
      </c>
      <c r="S352" s="193">
        <f>IF($E$351&lt;&gt;0,IF(Calculations!S19=1,R352+S353," "),0)</f>
        <v>36.5</v>
      </c>
      <c r="T352" s="193">
        <f>IF($E$351&lt;&gt;0,IF(Calculations!T19=1,S352+T353," "),0)</f>
        <v>36.5</v>
      </c>
      <c r="U352" s="193">
        <f>IF($E$351&lt;&gt;0,IF(Calculations!U19=1,T352+U353," "),0)</f>
        <v>36.5</v>
      </c>
      <c r="V352" s="193">
        <f>IF($E$351&lt;&gt;0,IF(Calculations!V19=1,U352+V353," "),0)</f>
        <v>36.5</v>
      </c>
      <c r="W352" s="193">
        <f>IF($E$351&lt;&gt;0,IF(Calculations!W19=1,V352+W353," "),0)</f>
        <v>36.5</v>
      </c>
      <c r="X352" s="193">
        <f>IF($E$351&lt;&gt;0,IF(Calculations!X19=1,W352+X353," "),0)</f>
        <v>36.5</v>
      </c>
      <c r="Y352" s="193">
        <f>IF($E$351&lt;&gt;0,IF(Calculations!Y19=1,X352+Y353," "),0)</f>
        <v>36.5</v>
      </c>
      <c r="Z352" s="193">
        <f>IF($E$351&lt;&gt;0,IF(Calculations!Z19=1,Y352+Z353," "),0)</f>
        <v>36.5</v>
      </c>
      <c r="AA352" s="193">
        <f>IF($E$351&lt;&gt;0,IF(Calculations!AA19=1,Z352+AA353," "),0)</f>
        <v>36.5</v>
      </c>
      <c r="AB352" s="193">
        <f>IF($E$351&lt;&gt;0,IF(Calculations!AB19=1,AA352+AB353," "),0)</f>
        <v>36.5</v>
      </c>
      <c r="AC352" s="193">
        <f>IF($E$351&lt;&gt;0,IF(Calculations!AC19=1,AB352+AC353," "),0)</f>
        <v>36.5</v>
      </c>
      <c r="AD352" s="193">
        <f>IF($E$351&lt;&gt;0,IF(Calculations!AD19=1,AC352+AD353," "),0)</f>
        <v>36.5</v>
      </c>
      <c r="AE352" s="193">
        <f>IF($E$351&lt;&gt;0,IF(Calculations!AE19=1,AD352+AE353," "),0)</f>
        <v>36.5</v>
      </c>
      <c r="AF352" s="193">
        <f>IF($E$351&lt;&gt;0,IF(Calculations!AF19=1,AE352+AF353," "),0)</f>
        <v>36.5</v>
      </c>
      <c r="AG352" s="193">
        <f>IF($E$351&lt;&gt;0,IF(Calculations!AG19=1,AF352+AG353," "),0)</f>
        <v>36.5</v>
      </c>
      <c r="AH352" s="193">
        <f>IF($E$351&lt;&gt;0,IF(Calculations!AH19=1,AG352+AH353," "),0)</f>
        <v>36.5</v>
      </c>
    </row>
    <row r="353" spans="2:34" s="8" customFormat="1" ht="14" x14ac:dyDescent="0.2">
      <c r="B353" s="8" t="s">
        <v>271</v>
      </c>
      <c r="D353" s="8" t="s">
        <v>270</v>
      </c>
      <c r="E353" s="182"/>
      <c r="F353" s="191">
        <v>0</v>
      </c>
      <c r="G353" s="191">
        <v>0</v>
      </c>
      <c r="H353" s="191">
        <v>0</v>
      </c>
      <c r="I353" s="191">
        <v>0</v>
      </c>
      <c r="J353" s="191">
        <v>0</v>
      </c>
      <c r="K353" s="191">
        <v>0</v>
      </c>
      <c r="L353" s="191">
        <v>0</v>
      </c>
      <c r="M353" s="191">
        <v>0</v>
      </c>
      <c r="N353" s="191">
        <v>0</v>
      </c>
      <c r="O353" s="191">
        <v>0</v>
      </c>
      <c r="P353" s="191">
        <v>0</v>
      </c>
      <c r="Q353" s="191">
        <v>0</v>
      </c>
      <c r="R353" s="191">
        <v>0</v>
      </c>
      <c r="S353" s="191">
        <v>0</v>
      </c>
      <c r="T353" s="191">
        <v>0</v>
      </c>
      <c r="U353" s="191">
        <v>0</v>
      </c>
      <c r="V353" s="191">
        <v>0</v>
      </c>
      <c r="W353" s="191">
        <v>0</v>
      </c>
      <c r="X353" s="191">
        <v>0</v>
      </c>
      <c r="Y353" s="191">
        <v>0</v>
      </c>
      <c r="Z353" s="191">
        <v>0</v>
      </c>
      <c r="AA353" s="191">
        <v>0</v>
      </c>
      <c r="AB353" s="191">
        <v>0</v>
      </c>
      <c r="AC353" s="191">
        <v>0</v>
      </c>
      <c r="AD353" s="191">
        <v>0</v>
      </c>
      <c r="AE353" s="191">
        <v>0</v>
      </c>
      <c r="AF353" s="191">
        <v>0</v>
      </c>
      <c r="AG353" s="191">
        <v>0</v>
      </c>
      <c r="AH353" s="191">
        <v>0</v>
      </c>
    </row>
    <row r="354" spans="2:34" s="20" customFormat="1" ht="14" x14ac:dyDescent="0.2">
      <c r="E354" s="182"/>
      <c r="F354" s="192"/>
      <c r="G354" s="192"/>
      <c r="H354" s="192"/>
      <c r="I354" s="192"/>
      <c r="J354" s="192"/>
      <c r="K354" s="192"/>
      <c r="L354" s="192"/>
      <c r="M354" s="192"/>
      <c r="N354" s="192"/>
      <c r="O354" s="192"/>
      <c r="P354" s="192"/>
      <c r="Q354" s="192"/>
      <c r="R354" s="192"/>
      <c r="S354" s="192"/>
      <c r="T354" s="192"/>
      <c r="U354" s="192"/>
      <c r="V354" s="192"/>
      <c r="W354" s="192"/>
      <c r="X354" s="192"/>
      <c r="Y354" s="192"/>
      <c r="Z354" s="192"/>
      <c r="AA354" s="192"/>
      <c r="AB354" s="192"/>
      <c r="AC354" s="192"/>
      <c r="AD354" s="192"/>
      <c r="AE354" s="192"/>
      <c r="AF354" s="192"/>
      <c r="AG354" s="192"/>
      <c r="AH354" s="192"/>
    </row>
    <row r="355" spans="2:34" x14ac:dyDescent="0.2">
      <c r="B355" s="21" t="s">
        <v>349</v>
      </c>
      <c r="D355" s="10" t="str">
        <f>'Assumptions - General'!$E$27 &amp;" millions"</f>
        <v>R$ millions</v>
      </c>
      <c r="E355" s="176">
        <v>100</v>
      </c>
      <c r="F355" s="190"/>
      <c r="G355" s="190"/>
      <c r="H355" s="190"/>
      <c r="I355" s="190"/>
      <c r="J355" s="190"/>
      <c r="K355" s="190"/>
      <c r="L355" s="190"/>
      <c r="M355" s="190"/>
      <c r="N355" s="190"/>
      <c r="O355" s="190"/>
      <c r="P355" s="190"/>
      <c r="Q355" s="190"/>
      <c r="R355" s="190"/>
      <c r="S355" s="190"/>
      <c r="T355" s="190"/>
      <c r="U355" s="190"/>
      <c r="V355" s="190"/>
      <c r="W355" s="190"/>
      <c r="X355" s="190"/>
      <c r="Y355" s="190"/>
      <c r="Z355" s="190"/>
      <c r="AA355" s="190"/>
      <c r="AB355" s="190"/>
      <c r="AC355" s="190"/>
      <c r="AD355" s="190"/>
      <c r="AE355" s="190"/>
      <c r="AF355" s="190"/>
      <c r="AG355" s="190"/>
      <c r="AH355" s="190"/>
    </row>
    <row r="356" spans="2:34" s="8" customFormat="1" ht="14" x14ac:dyDescent="0.2">
      <c r="B356" s="8" t="s">
        <v>273</v>
      </c>
      <c r="D356" s="8" t="s">
        <v>51</v>
      </c>
      <c r="E356" s="218">
        <f>IF(E355&lt;&gt;0,IF(Calculations!E19=1,(E355*365)/(E159+E166+E175+E184)," "),0)</f>
        <v>52.142857142857146</v>
      </c>
      <c r="F356" s="218">
        <f>IF($E$355&lt;&gt;0,IF(Calculations!F19=1,E356+F357," "),0)</f>
        <v>52.142857142857146</v>
      </c>
      <c r="G356" s="218">
        <f>IF($E$355&lt;&gt;0,IF(Calculations!G19=1,F356+G357," "),0)</f>
        <v>52.142857142857146</v>
      </c>
      <c r="H356" s="218">
        <f>IF($E$355&lt;&gt;0,IF(Calculations!H19=1,G356+H357," "),0)</f>
        <v>52.142857142857146</v>
      </c>
      <c r="I356" s="218">
        <f>IF($E$355&lt;&gt;0,IF(Calculations!I19=1,H356+I357," "),0)</f>
        <v>52.142857142857146</v>
      </c>
      <c r="J356" s="218">
        <f>IF($E$355&lt;&gt;0,IF(Calculations!J19=1,I356+J357," "),0)</f>
        <v>52.142857142857146</v>
      </c>
      <c r="K356" s="218">
        <f>IF($E$355&lt;&gt;0,IF(Calculations!K19=1,J356+K357," "),0)</f>
        <v>52.142857142857146</v>
      </c>
      <c r="L356" s="218">
        <f>IF($E$355&lt;&gt;0,IF(Calculations!L19=1,K356+L357," "),0)</f>
        <v>52.142857142857146</v>
      </c>
      <c r="M356" s="218">
        <f>IF($E$355&lt;&gt;0,IF(Calculations!M19=1,L356+M357," "),0)</f>
        <v>52.142857142857146</v>
      </c>
      <c r="N356" s="218">
        <f>IF($E$355&lt;&gt;0,IF(Calculations!N19=1,M356+N357," "),0)</f>
        <v>52.142857142857146</v>
      </c>
      <c r="O356" s="218">
        <f>IF($E$355&lt;&gt;0,IF(Calculations!O19=1,N356+O357," "),0)</f>
        <v>52.142857142857146</v>
      </c>
      <c r="P356" s="218">
        <f>IF($E$355&lt;&gt;0,IF(Calculations!P19=1,O356+P357," "),0)</f>
        <v>52.142857142857146</v>
      </c>
      <c r="Q356" s="218">
        <f>IF($E$355&lt;&gt;0,IF(Calculations!Q19=1,P356+Q357," "),0)</f>
        <v>52.142857142857146</v>
      </c>
      <c r="R356" s="218">
        <f>IF($E$355&lt;&gt;0,IF(Calculations!R19=1,Q356+R357," "),0)</f>
        <v>52.142857142857146</v>
      </c>
      <c r="S356" s="218">
        <f>IF($E$355&lt;&gt;0,IF(Calculations!S19=1,R356+S357," "),0)</f>
        <v>52.142857142857146</v>
      </c>
      <c r="T356" s="218">
        <f>IF($E$355&lt;&gt;0,IF(Calculations!T19=1,S356+T357," "),0)</f>
        <v>52.142857142857146</v>
      </c>
      <c r="U356" s="218">
        <f>IF($E$355&lt;&gt;0,IF(Calculations!U19=1,T356+U357," "),0)</f>
        <v>52.142857142857146</v>
      </c>
      <c r="V356" s="218">
        <f>IF($E$355&lt;&gt;0,IF(Calculations!V19=1,U356+V357," "),0)</f>
        <v>52.142857142857146</v>
      </c>
      <c r="W356" s="218">
        <f>IF($E$355&lt;&gt;0,IF(Calculations!W19=1,V356+W357," "),0)</f>
        <v>52.142857142857146</v>
      </c>
      <c r="X356" s="218">
        <f>IF($E$355&lt;&gt;0,IF(Calculations!X19=1,W356+X357," "),0)</f>
        <v>52.142857142857146</v>
      </c>
      <c r="Y356" s="218">
        <f>IF($E$355&lt;&gt;0,IF(Calculations!Y19=1,X356+Y357," "),0)</f>
        <v>52.142857142857146</v>
      </c>
      <c r="Z356" s="218">
        <f>IF($E$355&lt;&gt;0,IF(Calculations!Z19=1,Y356+Z357," "),0)</f>
        <v>52.142857142857146</v>
      </c>
      <c r="AA356" s="218">
        <f>IF($E$355&lt;&gt;0,IF(Calculations!AA19=1,Z356+AA357," "),0)</f>
        <v>52.142857142857146</v>
      </c>
      <c r="AB356" s="218">
        <f>IF($E$355&lt;&gt;0,IF(Calculations!AB19=1,AA356+AB357," "),0)</f>
        <v>52.142857142857146</v>
      </c>
      <c r="AC356" s="218">
        <f>IF($E$355&lt;&gt;0,IF(Calculations!AC19=1,AB356+AC357," "),0)</f>
        <v>52.142857142857146</v>
      </c>
      <c r="AD356" s="218">
        <f>IF($E$355&lt;&gt;0,IF(Calculations!AD19=1,AC356+AD357," "),0)</f>
        <v>52.142857142857146</v>
      </c>
      <c r="AE356" s="218">
        <f>IF($E$355&lt;&gt;0,IF(Calculations!AE19=1,AD356+AE357," "),0)</f>
        <v>52.142857142857146</v>
      </c>
      <c r="AF356" s="218">
        <f>IF($E$355&lt;&gt;0,IF(Calculations!AF19=1,AE356+AF357," "),0)</f>
        <v>52.142857142857146</v>
      </c>
      <c r="AG356" s="218">
        <f>IF($E$355&lt;&gt;0,IF(Calculations!AG19=1,AF356+AG357," "),0)</f>
        <v>52.142857142857146</v>
      </c>
      <c r="AH356" s="218">
        <f>IF($E$355&lt;&gt;0,IF(Calculations!AH19=1,AG356+AH357," "),0)</f>
        <v>52.142857142857146</v>
      </c>
    </row>
    <row r="357" spans="2:34" s="8" customFormat="1" ht="14" x14ac:dyDescent="0.2">
      <c r="B357" s="8" t="s">
        <v>274</v>
      </c>
      <c r="D357" s="8" t="s">
        <v>270</v>
      </c>
      <c r="E357" s="182"/>
      <c r="F357" s="191">
        <v>0</v>
      </c>
      <c r="G357" s="191">
        <v>0</v>
      </c>
      <c r="H357" s="191">
        <v>0</v>
      </c>
      <c r="I357" s="191">
        <v>0</v>
      </c>
      <c r="J357" s="191">
        <v>0</v>
      </c>
      <c r="K357" s="191">
        <v>0</v>
      </c>
      <c r="L357" s="191">
        <v>0</v>
      </c>
      <c r="M357" s="191">
        <v>0</v>
      </c>
      <c r="N357" s="191">
        <v>0</v>
      </c>
      <c r="O357" s="191">
        <v>0</v>
      </c>
      <c r="P357" s="191">
        <v>0</v>
      </c>
      <c r="Q357" s="191">
        <v>0</v>
      </c>
      <c r="R357" s="191">
        <v>0</v>
      </c>
      <c r="S357" s="191">
        <v>0</v>
      </c>
      <c r="T357" s="191">
        <v>0</v>
      </c>
      <c r="U357" s="191">
        <v>0</v>
      </c>
      <c r="V357" s="191">
        <v>0</v>
      </c>
      <c r="W357" s="191">
        <v>0</v>
      </c>
      <c r="X357" s="191">
        <v>0</v>
      </c>
      <c r="Y357" s="191">
        <v>0</v>
      </c>
      <c r="Z357" s="191">
        <v>0</v>
      </c>
      <c r="AA357" s="191">
        <v>0</v>
      </c>
      <c r="AB357" s="191">
        <v>0</v>
      </c>
      <c r="AC357" s="191">
        <v>0</v>
      </c>
      <c r="AD357" s="191">
        <v>0</v>
      </c>
      <c r="AE357" s="191">
        <v>0</v>
      </c>
      <c r="AF357" s="191">
        <v>0</v>
      </c>
      <c r="AG357" s="191">
        <v>0</v>
      </c>
      <c r="AH357" s="191">
        <v>0</v>
      </c>
    </row>
    <row r="358" spans="2:34" s="20" customFormat="1" ht="14" x14ac:dyDescent="0.2">
      <c r="E358" s="182"/>
      <c r="F358" s="192"/>
      <c r="G358" s="192"/>
      <c r="H358" s="192"/>
      <c r="I358" s="192"/>
      <c r="J358" s="192"/>
      <c r="K358" s="192"/>
      <c r="L358" s="192"/>
      <c r="M358" s="192"/>
      <c r="N358" s="192"/>
      <c r="O358" s="192"/>
      <c r="P358" s="192"/>
      <c r="Q358" s="192"/>
      <c r="R358" s="192"/>
      <c r="S358" s="192"/>
      <c r="T358" s="192"/>
      <c r="U358" s="192"/>
      <c r="V358" s="192"/>
      <c r="W358" s="192"/>
      <c r="X358" s="192"/>
      <c r="Y358" s="192"/>
      <c r="Z358" s="192"/>
      <c r="AA358" s="192"/>
      <c r="AB358" s="192"/>
      <c r="AC358" s="192"/>
      <c r="AD358" s="192"/>
      <c r="AE358" s="192"/>
      <c r="AF358" s="192"/>
      <c r="AG358" s="192"/>
      <c r="AH358" s="192"/>
    </row>
    <row r="359" spans="2:34" x14ac:dyDescent="0.2">
      <c r="B359" s="21" t="s">
        <v>350</v>
      </c>
      <c r="D359" s="10" t="str">
        <f>'Assumptions - General'!$E$27 &amp;" millions"</f>
        <v>R$ millions</v>
      </c>
      <c r="E359" s="176">
        <v>500</v>
      </c>
      <c r="F359" s="190"/>
      <c r="G359" s="190"/>
      <c r="H359" s="190"/>
      <c r="I359" s="190"/>
      <c r="J359" s="190"/>
      <c r="K359" s="190"/>
      <c r="L359" s="190"/>
      <c r="M359" s="190"/>
      <c r="N359" s="190"/>
      <c r="O359" s="190"/>
      <c r="P359" s="190"/>
      <c r="Q359" s="190"/>
      <c r="R359" s="190"/>
      <c r="S359" s="190"/>
      <c r="T359" s="190"/>
      <c r="U359" s="190"/>
      <c r="V359" s="190"/>
      <c r="W359" s="190"/>
      <c r="X359" s="190"/>
      <c r="Y359" s="190"/>
      <c r="Z359" s="190"/>
      <c r="AA359" s="190"/>
      <c r="AB359" s="190"/>
      <c r="AC359" s="190"/>
      <c r="AD359" s="190"/>
      <c r="AE359" s="190"/>
      <c r="AF359" s="190"/>
      <c r="AG359" s="190"/>
      <c r="AH359" s="190"/>
    </row>
    <row r="360" spans="2:34" s="8" customFormat="1" ht="14" x14ac:dyDescent="0.2">
      <c r="B360" s="8" t="s">
        <v>50</v>
      </c>
      <c r="D360" s="8" t="s">
        <v>51</v>
      </c>
      <c r="E360" s="193">
        <f>IF(E359&lt;&gt;0,IF(Calculations!E19=1,(E359*365)/((Calculations!E1147+Calculations!E1149+Calculations!E1151+Calculations!E1153+Calculations!E1155+Calculations!E1157))," "),0)</f>
        <v>52.142857142857146</v>
      </c>
      <c r="F360" s="193">
        <f>IF($E$359&lt;&gt;0,IF(Calculations!F19=1,E360+F361," "),0)</f>
        <v>52.142857142857146</v>
      </c>
      <c r="G360" s="193">
        <f>IF($E$359&lt;&gt;0,IF(Calculations!G19=1,F360+G361," "),0)</f>
        <v>52.142857142857146</v>
      </c>
      <c r="H360" s="193">
        <f>IF($E$359&lt;&gt;0,IF(Calculations!H19=1,G360+H361," "),0)</f>
        <v>52.142857142857146</v>
      </c>
      <c r="I360" s="193">
        <f>IF($E$359&lt;&gt;0,IF(Calculations!I19=1,H360+I361," "),0)</f>
        <v>52.142857142857146</v>
      </c>
      <c r="J360" s="193">
        <f>IF($E$359&lt;&gt;0,IF(Calculations!J19=1,I360+J361," "),0)</f>
        <v>52.142857142857146</v>
      </c>
      <c r="K360" s="193">
        <f>IF($E$359&lt;&gt;0,IF(Calculations!K19=1,J360+K361," "),0)</f>
        <v>52.142857142857146</v>
      </c>
      <c r="L360" s="193">
        <f>IF($E$359&lt;&gt;0,IF(Calculations!L19=1,K360+L361," "),0)</f>
        <v>52.142857142857146</v>
      </c>
      <c r="M360" s="193">
        <f>IF($E$359&lt;&gt;0,IF(Calculations!M19=1,L360+M361," "),0)</f>
        <v>52.142857142857146</v>
      </c>
      <c r="N360" s="193">
        <f>IF($E$359&lt;&gt;0,IF(Calculations!N19=1,M360+N361," "),0)</f>
        <v>52.142857142857146</v>
      </c>
      <c r="O360" s="193">
        <f>IF($E$359&lt;&gt;0,IF(Calculations!O19=1,N360+O361," "),0)</f>
        <v>52.142857142857146</v>
      </c>
      <c r="P360" s="193">
        <f>IF($E$359&lt;&gt;0,IF(Calculations!P19=1,O360+P361," "),0)</f>
        <v>52.142857142857146</v>
      </c>
      <c r="Q360" s="193">
        <f>IF($E$359&lt;&gt;0,IF(Calculations!Q19=1,P360+Q361," "),0)</f>
        <v>52.142857142857146</v>
      </c>
      <c r="R360" s="193">
        <f>IF($E$359&lt;&gt;0,IF(Calculations!R19=1,Q360+R361," "),0)</f>
        <v>52.142857142857146</v>
      </c>
      <c r="S360" s="193">
        <f>IF($E$359&lt;&gt;0,IF(Calculations!S19=1,R360+S361," "),0)</f>
        <v>52.142857142857146</v>
      </c>
      <c r="T360" s="193">
        <f>IF($E$359&lt;&gt;0,IF(Calculations!T19=1,S360+T361," "),0)</f>
        <v>52.142857142857146</v>
      </c>
      <c r="U360" s="193">
        <f>IF($E$359&lt;&gt;0,IF(Calculations!U19=1,T360+U361," "),0)</f>
        <v>52.142857142857146</v>
      </c>
      <c r="V360" s="193">
        <f>IF($E$359&lt;&gt;0,IF(Calculations!V19=1,U360+V361," "),0)</f>
        <v>52.142857142857146</v>
      </c>
      <c r="W360" s="193">
        <f>IF($E$359&lt;&gt;0,IF(Calculations!W19=1,V360+W361," "),0)</f>
        <v>52.142857142857146</v>
      </c>
      <c r="X360" s="193">
        <f>IF($E$359&lt;&gt;0,IF(Calculations!X19=1,W360+X361," "),0)</f>
        <v>52.142857142857146</v>
      </c>
      <c r="Y360" s="193">
        <f>IF($E$359&lt;&gt;0,IF(Calculations!Y19=1,X360+Y361," "),0)</f>
        <v>52.142857142857146</v>
      </c>
      <c r="Z360" s="193">
        <f>IF($E$359&lt;&gt;0,IF(Calculations!Z19=1,Y360+Z361," "),0)</f>
        <v>52.142857142857146</v>
      </c>
      <c r="AA360" s="193">
        <f>IF($E$359&lt;&gt;0,IF(Calculations!AA19=1,Z360+AA361," "),0)</f>
        <v>52.142857142857146</v>
      </c>
      <c r="AB360" s="193">
        <f>IF($E$359&lt;&gt;0,IF(Calculations!AB19=1,AA360+AB361," "),0)</f>
        <v>52.142857142857146</v>
      </c>
      <c r="AC360" s="193">
        <f>IF($E$359&lt;&gt;0,IF(Calculations!AC19=1,AB360+AC361," "),0)</f>
        <v>52.142857142857146</v>
      </c>
      <c r="AD360" s="193">
        <f>IF($E$359&lt;&gt;0,IF(Calculations!AD19=1,AC360+AD361," "),0)</f>
        <v>52.142857142857146</v>
      </c>
      <c r="AE360" s="193">
        <f>IF($E$359&lt;&gt;0,IF(Calculations!AE19=1,AD360+AE361," "),0)</f>
        <v>52.142857142857146</v>
      </c>
      <c r="AF360" s="193">
        <f>IF($E$359&lt;&gt;0,IF(Calculations!AF19=1,AE360+AF361," "),0)</f>
        <v>52.142857142857146</v>
      </c>
      <c r="AG360" s="193">
        <f>IF($E$359&lt;&gt;0,IF(Calculations!AG19=1,AF360+AG361," "),0)</f>
        <v>52.142857142857146</v>
      </c>
      <c r="AH360" s="193">
        <f>IF($E$359&lt;&gt;0,IF(Calculations!AH19=1,AG360+AH361," "),0)</f>
        <v>52.142857142857146</v>
      </c>
    </row>
    <row r="361" spans="2:34" s="8" customFormat="1" ht="14" x14ac:dyDescent="0.2">
      <c r="B361" s="8" t="s">
        <v>272</v>
      </c>
      <c r="D361" s="8" t="s">
        <v>270</v>
      </c>
      <c r="E361" s="182"/>
      <c r="F361" s="191">
        <v>0</v>
      </c>
      <c r="G361" s="191">
        <v>0</v>
      </c>
      <c r="H361" s="191">
        <v>0</v>
      </c>
      <c r="I361" s="191">
        <v>0</v>
      </c>
      <c r="J361" s="191">
        <v>0</v>
      </c>
      <c r="K361" s="191">
        <v>0</v>
      </c>
      <c r="L361" s="191">
        <v>0</v>
      </c>
      <c r="M361" s="191">
        <v>0</v>
      </c>
      <c r="N361" s="191">
        <v>0</v>
      </c>
      <c r="O361" s="191">
        <v>0</v>
      </c>
      <c r="P361" s="191">
        <v>0</v>
      </c>
      <c r="Q361" s="191">
        <v>0</v>
      </c>
      <c r="R361" s="191">
        <v>0</v>
      </c>
      <c r="S361" s="191">
        <v>0</v>
      </c>
      <c r="T361" s="191">
        <v>0</v>
      </c>
      <c r="U361" s="191">
        <v>0</v>
      </c>
      <c r="V361" s="191">
        <v>0</v>
      </c>
      <c r="W361" s="191">
        <v>0</v>
      </c>
      <c r="X361" s="191">
        <v>0</v>
      </c>
      <c r="Y361" s="191">
        <v>0</v>
      </c>
      <c r="Z361" s="191">
        <v>0</v>
      </c>
      <c r="AA361" s="191">
        <v>0</v>
      </c>
      <c r="AB361" s="191">
        <v>0</v>
      </c>
      <c r="AC361" s="191">
        <v>0</v>
      </c>
      <c r="AD361" s="191">
        <v>0</v>
      </c>
      <c r="AE361" s="191">
        <v>0</v>
      </c>
      <c r="AF361" s="191">
        <v>0</v>
      </c>
      <c r="AG361" s="191">
        <v>0</v>
      </c>
      <c r="AH361" s="191">
        <v>0</v>
      </c>
    </row>
    <row r="362" spans="2:34" s="20" customFormat="1" ht="14" x14ac:dyDescent="0.2">
      <c r="E362" s="182"/>
      <c r="F362" s="192"/>
      <c r="G362" s="192"/>
      <c r="H362" s="192"/>
      <c r="I362" s="192"/>
      <c r="J362" s="192"/>
      <c r="K362" s="192"/>
      <c r="L362" s="192"/>
      <c r="M362" s="192"/>
      <c r="N362" s="192"/>
      <c r="O362" s="192"/>
      <c r="P362" s="192"/>
      <c r="Q362" s="192"/>
      <c r="R362" s="192"/>
      <c r="S362" s="192"/>
      <c r="T362" s="192"/>
      <c r="U362" s="192"/>
      <c r="V362" s="192"/>
      <c r="W362" s="192"/>
      <c r="X362" s="192"/>
      <c r="Y362" s="192"/>
      <c r="Z362" s="192"/>
      <c r="AA362" s="192"/>
      <c r="AB362" s="192"/>
      <c r="AC362" s="192"/>
      <c r="AD362" s="192"/>
      <c r="AE362" s="192"/>
      <c r="AF362" s="192"/>
      <c r="AG362" s="192"/>
      <c r="AH362" s="192"/>
    </row>
    <row r="363" spans="2:34" x14ac:dyDescent="0.2">
      <c r="B363" s="21" t="s">
        <v>351</v>
      </c>
      <c r="D363" s="10" t="str">
        <f>'Assumptions - General'!$E$27 &amp;" millions"</f>
        <v>R$ millions</v>
      </c>
      <c r="E363" s="176">
        <v>100</v>
      </c>
      <c r="F363" s="190"/>
      <c r="G363" s="190"/>
      <c r="H363" s="190"/>
      <c r="I363" s="190"/>
      <c r="J363" s="190"/>
      <c r="K363" s="190"/>
      <c r="L363" s="190"/>
      <c r="M363" s="190"/>
      <c r="N363" s="190"/>
      <c r="O363" s="190"/>
      <c r="P363" s="190"/>
      <c r="Q363" s="190"/>
      <c r="R363" s="190"/>
      <c r="S363" s="190"/>
      <c r="T363" s="190"/>
      <c r="U363" s="190"/>
      <c r="V363" s="190"/>
      <c r="W363" s="190"/>
      <c r="X363" s="190"/>
      <c r="Y363" s="190"/>
      <c r="Z363" s="190"/>
      <c r="AA363" s="190"/>
      <c r="AB363" s="190"/>
      <c r="AC363" s="190"/>
      <c r="AD363" s="190"/>
      <c r="AE363" s="190"/>
      <c r="AF363" s="190"/>
      <c r="AG363" s="190"/>
      <c r="AH363" s="190"/>
    </row>
    <row r="364" spans="2:34" s="8" customFormat="1" ht="14" x14ac:dyDescent="0.2">
      <c r="B364" s="8" t="s">
        <v>275</v>
      </c>
      <c r="D364" s="8" t="s">
        <v>51</v>
      </c>
      <c r="E364" s="193">
        <f>IF(E363&lt;&gt;0,IF(Calculations!E19=1,(E363*365)/(SUM(Calculations!E1162:E1165))," "),0)</f>
        <v>48.666666666666664</v>
      </c>
      <c r="F364" s="193">
        <f>IF($E$363&lt;&gt;0,IF(Calculations!F19=1,E364+F365," "),0)</f>
        <v>48.666666666666664</v>
      </c>
      <c r="G364" s="193">
        <f>IF($E$363&lt;&gt;0,IF(Calculations!G19=1,F364+G365," "),0)</f>
        <v>48.666666666666664</v>
      </c>
      <c r="H364" s="193">
        <f>IF($E$363&lt;&gt;0,IF(Calculations!H19=1,G364+H365," "),0)</f>
        <v>48.666666666666664</v>
      </c>
      <c r="I364" s="193">
        <f>IF($E$363&lt;&gt;0,IF(Calculations!I19=1,H364+I365," "),0)</f>
        <v>48.666666666666664</v>
      </c>
      <c r="J364" s="193">
        <f>IF($E$363&lt;&gt;0,IF(Calculations!J19=1,I364+J365," "),0)</f>
        <v>48.666666666666664</v>
      </c>
      <c r="K364" s="193">
        <f>IF($E$363&lt;&gt;0,IF(Calculations!K19=1,J364+K365," "),0)</f>
        <v>48.666666666666664</v>
      </c>
      <c r="L364" s="193">
        <f>IF($E$363&lt;&gt;0,IF(Calculations!L19=1,K364+L365," "),0)</f>
        <v>48.666666666666664</v>
      </c>
      <c r="M364" s="193">
        <f>IF($E$363&lt;&gt;0,IF(Calculations!M19=1,L364+M365," "),0)</f>
        <v>48.666666666666664</v>
      </c>
      <c r="N364" s="193">
        <f>IF($E$363&lt;&gt;0,IF(Calculations!N19=1,M364+N365," "),0)</f>
        <v>48.666666666666664</v>
      </c>
      <c r="O364" s="193">
        <f>IF($E$363&lt;&gt;0,IF(Calculations!O19=1,N364+O365," "),0)</f>
        <v>48.666666666666664</v>
      </c>
      <c r="P364" s="193">
        <f>IF($E$363&lt;&gt;0,IF(Calculations!P19=1,O364+P365," "),0)</f>
        <v>48.666666666666664</v>
      </c>
      <c r="Q364" s="193">
        <f>IF($E$363&lt;&gt;0,IF(Calculations!Q19=1,P364+Q365," "),0)</f>
        <v>48.666666666666664</v>
      </c>
      <c r="R364" s="193">
        <f>IF($E$363&lt;&gt;0,IF(Calculations!R19=1,Q364+R365," "),0)</f>
        <v>48.666666666666664</v>
      </c>
      <c r="S364" s="193">
        <f>IF($E$363&lt;&gt;0,IF(Calculations!S19=1,R364+S365," "),0)</f>
        <v>48.666666666666664</v>
      </c>
      <c r="T364" s="193">
        <f>IF($E$363&lt;&gt;0,IF(Calculations!T19=1,S364+T365," "),0)</f>
        <v>48.666666666666664</v>
      </c>
      <c r="U364" s="193">
        <f>IF($E$363&lt;&gt;0,IF(Calculations!U19=1,T364+U365," "),0)</f>
        <v>48.666666666666664</v>
      </c>
      <c r="V364" s="193">
        <f>IF($E$363&lt;&gt;0,IF(Calculations!V19=1,U364+V365," "),0)</f>
        <v>48.666666666666664</v>
      </c>
      <c r="W364" s="193">
        <f>IF($E$363&lt;&gt;0,IF(Calculations!W19=1,V364+W365," "),0)</f>
        <v>48.666666666666664</v>
      </c>
      <c r="X364" s="193">
        <f>IF($E$363&lt;&gt;0,IF(Calculations!X19=1,W364+X365," "),0)</f>
        <v>48.666666666666664</v>
      </c>
      <c r="Y364" s="193">
        <f>IF($E$363&lt;&gt;0,IF(Calculations!Y19=1,X364+Y365," "),0)</f>
        <v>48.666666666666664</v>
      </c>
      <c r="Z364" s="193">
        <f>IF($E$363&lt;&gt;0,IF(Calculations!Z19=1,Y364+Z365," "),0)</f>
        <v>48.666666666666664</v>
      </c>
      <c r="AA364" s="193">
        <f>IF($E$363&lt;&gt;0,IF(Calculations!AA19=1,Z364+AA365," "),0)</f>
        <v>48.666666666666664</v>
      </c>
      <c r="AB364" s="193">
        <f>IF($E$363&lt;&gt;0,IF(Calculations!AB19=1,AA364+AB365," "),0)</f>
        <v>48.666666666666664</v>
      </c>
      <c r="AC364" s="193">
        <f>IF($E$363&lt;&gt;0,IF(Calculations!AC19=1,AB364+AC365," "),0)</f>
        <v>48.666666666666664</v>
      </c>
      <c r="AD364" s="193">
        <f>IF($E$363&lt;&gt;0,IF(Calculations!AD19=1,AC364+AD365," "),0)</f>
        <v>48.666666666666664</v>
      </c>
      <c r="AE364" s="193">
        <f>IF($E$363&lt;&gt;0,IF(Calculations!AE19=1,AD364+AE365," "),0)</f>
        <v>48.666666666666664</v>
      </c>
      <c r="AF364" s="193">
        <f>IF($E$363&lt;&gt;0,IF(Calculations!AF19=1,AE364+AF365," "),0)</f>
        <v>48.666666666666664</v>
      </c>
      <c r="AG364" s="193">
        <f>IF($E$363&lt;&gt;0,IF(Calculations!AG19=1,AF364+AG365," "),0)</f>
        <v>48.666666666666664</v>
      </c>
      <c r="AH364" s="193">
        <f>IF($E$363&lt;&gt;0,IF(Calculations!AH19=1,AG364+AH365," "),0)</f>
        <v>48.666666666666664</v>
      </c>
    </row>
    <row r="365" spans="2:34" s="8" customFormat="1" ht="14" x14ac:dyDescent="0.2">
      <c r="B365" s="8" t="s">
        <v>276</v>
      </c>
      <c r="D365" s="8" t="s">
        <v>270</v>
      </c>
      <c r="E365" s="182"/>
      <c r="F365" s="191">
        <v>0</v>
      </c>
      <c r="G365" s="191">
        <v>0</v>
      </c>
      <c r="H365" s="191">
        <v>0</v>
      </c>
      <c r="I365" s="191">
        <v>0</v>
      </c>
      <c r="J365" s="191">
        <v>0</v>
      </c>
      <c r="K365" s="191">
        <v>0</v>
      </c>
      <c r="L365" s="191">
        <v>0</v>
      </c>
      <c r="M365" s="191">
        <v>0</v>
      </c>
      <c r="N365" s="191">
        <v>0</v>
      </c>
      <c r="O365" s="191">
        <v>0</v>
      </c>
      <c r="P365" s="191">
        <v>0</v>
      </c>
      <c r="Q365" s="191">
        <v>0</v>
      </c>
      <c r="R365" s="191">
        <v>0</v>
      </c>
      <c r="S365" s="191">
        <v>0</v>
      </c>
      <c r="T365" s="191">
        <v>0</v>
      </c>
      <c r="U365" s="191">
        <v>0</v>
      </c>
      <c r="V365" s="191">
        <v>0</v>
      </c>
      <c r="W365" s="191">
        <v>0</v>
      </c>
      <c r="X365" s="191">
        <v>0</v>
      </c>
      <c r="Y365" s="191">
        <v>0</v>
      </c>
      <c r="Z365" s="191">
        <v>0</v>
      </c>
      <c r="AA365" s="191">
        <v>0</v>
      </c>
      <c r="AB365" s="191">
        <v>0</v>
      </c>
      <c r="AC365" s="191">
        <v>0</v>
      </c>
      <c r="AD365" s="191">
        <v>0</v>
      </c>
      <c r="AE365" s="191">
        <v>0</v>
      </c>
      <c r="AF365" s="191">
        <v>0</v>
      </c>
      <c r="AG365" s="191">
        <v>0</v>
      </c>
      <c r="AH365" s="191">
        <v>0</v>
      </c>
    </row>
    <row r="366" spans="2:34" s="20" customFormat="1" ht="14" x14ac:dyDescent="0.2">
      <c r="E366" s="182"/>
      <c r="F366" s="121"/>
      <c r="G366" s="121"/>
      <c r="H366" s="121"/>
      <c r="I366" s="121"/>
      <c r="J366" s="121"/>
      <c r="K366" s="121"/>
      <c r="L366" s="121"/>
      <c r="M366" s="121"/>
      <c r="N366" s="121"/>
      <c r="O366" s="121"/>
      <c r="P366" s="121"/>
      <c r="Q366" s="121"/>
      <c r="R366" s="121"/>
      <c r="S366" s="121"/>
      <c r="T366" s="121"/>
      <c r="U366" s="121"/>
      <c r="V366" s="121"/>
      <c r="W366" s="121"/>
      <c r="X366" s="121"/>
      <c r="Y366" s="121"/>
      <c r="Z366" s="121"/>
      <c r="AA366" s="121"/>
      <c r="AB366" s="121"/>
      <c r="AC366" s="121"/>
      <c r="AD366" s="121"/>
      <c r="AE366" s="121"/>
      <c r="AF366" s="121"/>
      <c r="AG366" s="121"/>
      <c r="AH366" s="121"/>
    </row>
    <row r="367" spans="2:34" s="8" customFormat="1" ht="14" x14ac:dyDescent="0.2">
      <c r="B367" s="21" t="s">
        <v>352</v>
      </c>
      <c r="D367" s="8" t="str">
        <f>'Assumptions - General'!$E$27 &amp;" millions"</f>
        <v>R$ millions</v>
      </c>
      <c r="E367" s="181">
        <v>100</v>
      </c>
      <c r="F367" s="87" t="s">
        <v>33</v>
      </c>
    </row>
    <row r="368" spans="2:34" s="8" customFormat="1" ht="14" x14ac:dyDescent="0.2">
      <c r="B368" s="169" t="s">
        <v>332</v>
      </c>
      <c r="C368" s="169"/>
      <c r="D368" s="169" t="s">
        <v>32</v>
      </c>
      <c r="E368" s="177">
        <f>IF(F369=F367,1,2)</f>
        <v>1</v>
      </c>
      <c r="F368" s="87" t="s">
        <v>211</v>
      </c>
    </row>
    <row r="369" spans="1:34" s="8" customFormat="1" ht="14" x14ac:dyDescent="0.2">
      <c r="B369" s="169"/>
      <c r="C369" s="169"/>
      <c r="D369" s="169"/>
      <c r="E369" s="177"/>
      <c r="F369" s="87" t="s">
        <v>33</v>
      </c>
    </row>
    <row r="370" spans="1:34" s="8" customFormat="1" ht="14" x14ac:dyDescent="0.2">
      <c r="B370" s="169" t="s">
        <v>333</v>
      </c>
      <c r="C370" s="169"/>
      <c r="D370" s="169" t="s">
        <v>15</v>
      </c>
      <c r="E370" s="198">
        <v>0.01</v>
      </c>
    </row>
    <row r="372" spans="1:34" outlineLevel="1" x14ac:dyDescent="0.2">
      <c r="B372" s="8" t="s">
        <v>387</v>
      </c>
      <c r="D372" s="10" t="str">
        <f>'Assumptions - General'!$E$27 &amp;" millions"</f>
        <v>R$ millions</v>
      </c>
      <c r="E372" s="218">
        <f>Calculations!E1190</f>
        <v>5000</v>
      </c>
      <c r="F372" s="218">
        <f>Calculations!F1190</f>
        <v>5229.2219236809406</v>
      </c>
      <c r="G372" s="218">
        <f>Calculations!G1190</f>
        <v>5386.0985813913676</v>
      </c>
      <c r="H372" s="218">
        <f>Calculations!H1190</f>
        <v>5672.7265876582551</v>
      </c>
      <c r="I372" s="218">
        <f>Calculations!I1190</f>
        <v>6100.5011858678017</v>
      </c>
      <c r="J372" s="218">
        <f>Calculations!J1190</f>
        <v>6416.1765137424318</v>
      </c>
      <c r="K372" s="218">
        <f>Calculations!K1190</f>
        <v>7198.1294269503933</v>
      </c>
      <c r="L372" s="218">
        <f>Calculations!L1190</f>
        <v>7554.8126138584867</v>
      </c>
      <c r="M372" s="218">
        <f>Calculations!M1190</f>
        <v>7926.4184754968119</v>
      </c>
      <c r="N372" s="218">
        <f>Calculations!N1190</f>
        <v>8313.5213574809623</v>
      </c>
      <c r="O372" s="218">
        <f>Calculations!O1190</f>
        <v>8716.716635756211</v>
      </c>
      <c r="P372" s="218">
        <f>Calculations!P1190</f>
        <v>9136.6214615062472</v>
      </c>
      <c r="Q372" s="218">
        <f>Calculations!Q1190</f>
        <v>9573.8755318291005</v>
      </c>
      <c r="R372" s="218">
        <f>Calculations!R1190</f>
        <v>10029.141887055972</v>
      </c>
      <c r="S372" s="218">
        <f>Calculations!S1190</f>
        <v>10503.10773561781</v>
      </c>
      <c r="T372" s="218">
        <f>Calculations!T1190</f>
        <v>10996.485307395005</v>
      </c>
      <c r="U372" s="218">
        <f>Calculations!U1190</f>
        <v>11510.012736516779</v>
      </c>
      <c r="V372" s="218">
        <f>Calculations!V1190</f>
        <v>12044.454974609205</v>
      </c>
      <c r="W372" s="218">
        <f>Calculations!W1190</f>
        <v>12600.604735524308</v>
      </c>
      <c r="X372" s="218">
        <f>Calculations!X1190</f>
        <v>13179.283472617168</v>
      </c>
      <c r="Y372" s="218">
        <f>Calculations!Y1190</f>
        <v>13781.342389673635</v>
      </c>
      <c r="Z372" s="218">
        <f>Calculations!Z1190</f>
        <v>14407.663486628127</v>
      </c>
      <c r="AA372" s="218">
        <f>Calculations!AA1190</f>
        <v>15059.160641249186</v>
      </c>
      <c r="AB372" s="218">
        <f>Calculations!AB1190</f>
        <v>15736.780728009542</v>
      </c>
      <c r="AC372" s="218">
        <f>Calculations!AC1190</f>
        <v>16441.504775398396</v>
      </c>
      <c r="AD372" s="218">
        <f>Calculations!AD1190</f>
        <v>17174.34916297537</v>
      </c>
      <c r="AE372" s="218">
        <f>Calculations!AE1190</f>
        <v>17936.366859509104</v>
      </c>
      <c r="AF372" s="218">
        <f>Calculations!AF1190</f>
        <v>18728.648703588184</v>
      </c>
      <c r="AG372" s="218">
        <f>Calculations!AG1190</f>
        <v>19552.324728138457</v>
      </c>
      <c r="AH372" s="218">
        <f>Calculations!AH1190</f>
        <v>20408.565530328513</v>
      </c>
    </row>
    <row r="373" spans="1:34" outlineLevel="1" x14ac:dyDescent="0.2">
      <c r="B373" s="8" t="s">
        <v>388</v>
      </c>
      <c r="D373" s="10" t="str">
        <f>'Assumptions - General'!$E$27 &amp;" millions"</f>
        <v>R$ millions</v>
      </c>
      <c r="E373" s="218">
        <f>Calculations!E1194</f>
        <v>100</v>
      </c>
      <c r="F373" s="218">
        <f>Calculations!F1194</f>
        <v>104.31497713414633</v>
      </c>
      <c r="G373" s="218">
        <f>Calculations!G1194</f>
        <v>107.12098132621952</v>
      </c>
      <c r="H373" s="218">
        <f>Calculations!H1194</f>
        <v>112.56254119664636</v>
      </c>
      <c r="I373" s="218">
        <f>Calculations!I1194</f>
        <v>120.87209704954272</v>
      </c>
      <c r="J373" s="218">
        <f>Calculations!J1194</f>
        <v>126.86187135489527</v>
      </c>
      <c r="K373" s="218">
        <f>Calculations!K1194</f>
        <v>142.04398794265532</v>
      </c>
      <c r="L373" s="218">
        <f>Calculations!L1194</f>
        <v>148.76599271564555</v>
      </c>
      <c r="M373" s="218">
        <f>Calculations!M1194</f>
        <v>155.76347818586683</v>
      </c>
      <c r="N373" s="218">
        <f>Calculations!N1194</f>
        <v>163.0469233908573</v>
      </c>
      <c r="O373" s="218">
        <f>Calculations!O1194</f>
        <v>170.62718817777991</v>
      </c>
      <c r="P373" s="218">
        <f>Calculations!P1194</f>
        <v>178.51552662086613</v>
      </c>
      <c r="Q373" s="218">
        <f>Calculations!Q1194</f>
        <v>186.72360090117749</v>
      </c>
      <c r="R373" s="218">
        <f>Calculations!R1194</f>
        <v>195.26349566434874</v>
      </c>
      <c r="S373" s="218">
        <f>Calculations!S1194</f>
        <v>204.14773287249929</v>
      </c>
      <c r="T373" s="218">
        <f>Calculations!T1194</f>
        <v>213.38928716704086</v>
      </c>
      <c r="U373" s="218">
        <f>Calculations!U1194</f>
        <v>223.00160175966977</v>
      </c>
      <c r="V373" s="218">
        <f>Calculations!V1194</f>
        <v>232.99860486940599</v>
      </c>
      <c r="W373" s="218">
        <f>Calculations!W1194</f>
        <v>243.39472672414269</v>
      </c>
      <c r="X373" s="218">
        <f>Calculations!X1194</f>
        <v>254.20491714578122</v>
      </c>
      <c r="Y373" s="218">
        <f>Calculations!Y1194</f>
        <v>265.44466373866624</v>
      </c>
      <c r="Z373" s="218">
        <f>Calculations!Z1194</f>
        <v>277.13001070169315</v>
      </c>
      <c r="AA373" s="218">
        <f>Calculations!AA1194</f>
        <v>289.27757828513694</v>
      </c>
      <c r="AB373" s="218">
        <f>Calculations!AB1194</f>
        <v>301.90458291395584</v>
      </c>
      <c r="AC373" s="218">
        <f>Calculations!AC1194</f>
        <v>315.02885800004719</v>
      </c>
      <c r="AD373" s="218">
        <f>Calculations!AD1194</f>
        <v>328.66887546668141</v>
      </c>
      <c r="AE373" s="218">
        <f>Calculations!AE1194</f>
        <v>342.84376800911377</v>
      </c>
      <c r="AF373" s="218">
        <f>Calculations!AF1194</f>
        <v>357.57335211617192</v>
      </c>
      <c r="AG373" s="218">
        <f>Calculations!AG1194</f>
        <v>372.87815187844546</v>
      </c>
      <c r="AH373" s="218">
        <f>Calculations!AH1194</f>
        <v>388.77942360955086</v>
      </c>
    </row>
    <row r="374" spans="1:34" outlineLevel="1" x14ac:dyDescent="0.2">
      <c r="B374" s="8" t="s">
        <v>407</v>
      </c>
      <c r="D374" s="10" t="str">
        <f>'Assumptions - General'!$E$27 &amp;" millions"</f>
        <v>R$ millions</v>
      </c>
      <c r="E374" s="218">
        <f>Calculations!E1195</f>
        <v>100</v>
      </c>
      <c r="F374" s="218">
        <f>Calculations!F1195</f>
        <v>100.85714285714288</v>
      </c>
      <c r="G374" s="218">
        <f>Calculations!G1195</f>
        <v>101.74000000000002</v>
      </c>
      <c r="H374" s="218">
        <f>Calculations!H1195</f>
        <v>102.64934285714287</v>
      </c>
      <c r="I374" s="218">
        <f>Calculations!I1195</f>
        <v>103.58596600000001</v>
      </c>
      <c r="J374" s="218">
        <f>Calculations!J1195</f>
        <v>104.55068783714287</v>
      </c>
      <c r="K374" s="218">
        <f>Calculations!K1195</f>
        <v>105.54435132940002</v>
      </c>
      <c r="L374" s="218">
        <f>Calculations!L1195</f>
        <v>106.56782472642487</v>
      </c>
      <c r="M374" s="218">
        <f>Calculations!M1195</f>
        <v>107.62200232536047</v>
      </c>
      <c r="N374" s="218">
        <f>Calculations!N1195</f>
        <v>108.70780525226415</v>
      </c>
      <c r="O374" s="218">
        <f>Calculations!O1195</f>
        <v>109.82618226697493</v>
      </c>
      <c r="P374" s="218">
        <f>Calculations!P1195</f>
        <v>110.97811059212704</v>
      </c>
      <c r="Q374" s="218">
        <f>Calculations!Q1195</f>
        <v>112.1645967670337</v>
      </c>
      <c r="R374" s="218">
        <f>Calculations!R1195</f>
        <v>113.38667752718757</v>
      </c>
      <c r="S374" s="218">
        <f>Calculations!S1195</f>
        <v>114.64542071014604</v>
      </c>
      <c r="T374" s="218">
        <f>Calculations!T1195</f>
        <v>115.94192618859329</v>
      </c>
      <c r="U374" s="218">
        <f>Calculations!U1195</f>
        <v>117.27732683139394</v>
      </c>
      <c r="V374" s="218">
        <f>Calculations!V1195</f>
        <v>118.65278949347862</v>
      </c>
      <c r="W374" s="218">
        <f>Calculations!W1195</f>
        <v>120.06951603542583</v>
      </c>
      <c r="X374" s="218">
        <f>Calculations!X1195</f>
        <v>121.52874437363148</v>
      </c>
      <c r="Y374" s="218">
        <f>Calculations!Y1195</f>
        <v>123.03174956198328</v>
      </c>
      <c r="Z374" s="218">
        <f>Calculations!Z1195</f>
        <v>124.57984490598564</v>
      </c>
      <c r="AA374" s="218">
        <f>Calculations!AA1195</f>
        <v>126.17438311030807</v>
      </c>
      <c r="AB374" s="218">
        <f>Calculations!AB1195</f>
        <v>127.81675746076017</v>
      </c>
      <c r="AC374" s="218">
        <f>Calculations!AC1195</f>
        <v>129.50840304172581</v>
      </c>
      <c r="AD374" s="218">
        <f>Calculations!AD1195</f>
        <v>131.25079799012045</v>
      </c>
      <c r="AE374" s="218">
        <f>Calculations!AE1195</f>
        <v>133.04546478696693</v>
      </c>
      <c r="AF374" s="218">
        <f>Calculations!AF1195</f>
        <v>134.89397158771877</v>
      </c>
      <c r="AG374" s="218">
        <f>Calculations!AG1195</f>
        <v>136.79793359249322</v>
      </c>
      <c r="AH374" s="218">
        <f>Calculations!AH1195</f>
        <v>138.7590144574109</v>
      </c>
    </row>
    <row r="375" spans="1:34" outlineLevel="1" x14ac:dyDescent="0.2">
      <c r="B375" s="8" t="s">
        <v>389</v>
      </c>
      <c r="D375" s="10" t="str">
        <f>'Assumptions - General'!$E$27 &amp;" millions"</f>
        <v>R$ millions</v>
      </c>
      <c r="E375" s="218">
        <f>Calculations!E1196</f>
        <v>500</v>
      </c>
      <c r="F375" s="218">
        <f>Calculations!F1196</f>
        <v>528.30024136178872</v>
      </c>
      <c r="G375" s="218">
        <f>Calculations!G1196</f>
        <v>554.25305812645195</v>
      </c>
      <c r="H375" s="218">
        <f>Calculations!H1196</f>
        <v>586.77559990744794</v>
      </c>
      <c r="I375" s="218">
        <f>Calculations!I1196</f>
        <v>637.12246498130821</v>
      </c>
      <c r="J375" s="218">
        <f>Calculations!J1196</f>
        <v>662.05838595569185</v>
      </c>
      <c r="K375" s="218">
        <f>Calculations!K1196</f>
        <v>707.66298974611573</v>
      </c>
      <c r="L375" s="218">
        <f>Calculations!L1196</f>
        <v>735.06970130726256</v>
      </c>
      <c r="M375" s="218">
        <f>Calculations!M1196</f>
        <v>763.48391887130674</v>
      </c>
      <c r="N375" s="218">
        <f>Calculations!N1196</f>
        <v>792.94142675801686</v>
      </c>
      <c r="O375" s="218">
        <f>Calculations!O1196</f>
        <v>823.47924959094541</v>
      </c>
      <c r="P375" s="218">
        <f>Calculations!P1196</f>
        <v>855.13569450976763</v>
      </c>
      <c r="Q375" s="218">
        <f>Calculations!Q1196</f>
        <v>887.95039479908735</v>
      </c>
      <c r="R375" s="218">
        <f>Calculations!R1196</f>
        <v>921.9643549807073</v>
      </c>
      <c r="S375" s="218">
        <f>Calculations!S1196</f>
        <v>957.21999741790535</v>
      </c>
      <c r="T375" s="218">
        <f>Calculations!T1196</f>
        <v>993.76121048185257</v>
      </c>
      <c r="U375" s="218">
        <f>Calculations!U1196</f>
        <v>1031.6333983319605</v>
      </c>
      <c r="V375" s="218">
        <f>Calculations!V1196</f>
        <v>1070.8835323636415</v>
      </c>
      <c r="W375" s="218">
        <f>Calculations!W1196</f>
        <v>1111.5602043787244</v>
      </c>
      <c r="X375" s="218">
        <f>Calculations!X1196</f>
        <v>1153.7136815355848</v>
      </c>
      <c r="Y375" s="218">
        <f>Calculations!Y1196</f>
        <v>1197.3959631379162</v>
      </c>
      <c r="Z375" s="218">
        <f>Calculations!Z1196</f>
        <v>1242.6608393230056</v>
      </c>
      <c r="AA375" s="218">
        <f>Calculations!AA1196</f>
        <v>1289.5639517123761</v>
      </c>
      <c r="AB375" s="218">
        <f>Calculations!AB1196</f>
        <v>1338.1628560897186</v>
      </c>
      <c r="AC375" s="218">
        <f>Calculations!AC1196</f>
        <v>1388.5170871731593</v>
      </c>
      <c r="AD375" s="218">
        <f>Calculations!AD1196</f>
        <v>1440.6882255511266</v>
      </c>
      <c r="AE375" s="218">
        <f>Calculations!AE1196</f>
        <v>1494.7399668533155</v>
      </c>
      <c r="AF375" s="218">
        <f>Calculations!AF1196</f>
        <v>1550.7381932306405</v>
      </c>
      <c r="AG375" s="218">
        <f>Calculations!AG1196</f>
        <v>1608.7510472204367</v>
      </c>
      <c r="AH375" s="218">
        <f>Calculations!AH1196</f>
        <v>1668.8490080757131</v>
      </c>
    </row>
    <row r="376" spans="1:34" outlineLevel="1" x14ac:dyDescent="0.2">
      <c r="B376" s="8" t="s">
        <v>390</v>
      </c>
      <c r="D376" s="10" t="str">
        <f>'Assumptions - General'!$E$27 &amp;" millions"</f>
        <v>R$ millions</v>
      </c>
      <c r="E376" s="218">
        <f>Calculations!E1197</f>
        <v>100</v>
      </c>
      <c r="F376" s="218">
        <f>Calculations!F1197</f>
        <v>103</v>
      </c>
      <c r="G376" s="218">
        <f>Calculations!G1197</f>
        <v>106.09</v>
      </c>
      <c r="H376" s="218">
        <f>Calculations!H1197</f>
        <v>109.2727</v>
      </c>
      <c r="I376" s="218">
        <f>Calculations!I1197</f>
        <v>112.55088099999999</v>
      </c>
      <c r="J376" s="218">
        <f>Calculations!J1197</f>
        <v>115.92740742999999</v>
      </c>
      <c r="K376" s="218">
        <f>Calculations!K1197</f>
        <v>119.4052296529</v>
      </c>
      <c r="L376" s="218">
        <f>Calculations!L1197</f>
        <v>122.98738654248702</v>
      </c>
      <c r="M376" s="218">
        <f>Calculations!M1197</f>
        <v>126.67700813876162</v>
      </c>
      <c r="N376" s="218">
        <f>Calculations!N1197</f>
        <v>130.47731838292447</v>
      </c>
      <c r="O376" s="218">
        <f>Calculations!O1197</f>
        <v>134.39163793441222</v>
      </c>
      <c r="P376" s="218">
        <f>Calculations!P1197</f>
        <v>138.4233870724446</v>
      </c>
      <c r="Q376" s="218">
        <f>Calculations!Q1197</f>
        <v>142.57608868461793</v>
      </c>
      <c r="R376" s="218">
        <f>Calculations!R1197</f>
        <v>146.85337134515646</v>
      </c>
      <c r="S376" s="218">
        <f>Calculations!S1197</f>
        <v>151.25897248551115</v>
      </c>
      <c r="T376" s="218">
        <f>Calculations!T1197</f>
        <v>155.79674166007646</v>
      </c>
      <c r="U376" s="218">
        <f>Calculations!U1197</f>
        <v>160.47064390987876</v>
      </c>
      <c r="V376" s="218">
        <f>Calculations!V1197</f>
        <v>165.28476322717512</v>
      </c>
      <c r="W376" s="218">
        <f>Calculations!W1197</f>
        <v>170.24330612399041</v>
      </c>
      <c r="X376" s="218">
        <f>Calculations!X1197</f>
        <v>175.35060530771011</v>
      </c>
      <c r="Y376" s="218">
        <f>Calculations!Y1197</f>
        <v>180.61112346694145</v>
      </c>
      <c r="Z376" s="218">
        <f>Calculations!Z1197</f>
        <v>186.02945717094968</v>
      </c>
      <c r="AA376" s="218">
        <f>Calculations!AA1197</f>
        <v>191.61034088607818</v>
      </c>
      <c r="AB376" s="218">
        <f>Calculations!AB1197</f>
        <v>197.35865111266054</v>
      </c>
      <c r="AC376" s="218">
        <f>Calculations!AC1197</f>
        <v>203.27941064604039</v>
      </c>
      <c r="AD376" s="218">
        <f>Calculations!AD1197</f>
        <v>209.37779296542158</v>
      </c>
      <c r="AE376" s="218">
        <f>Calculations!AE1197</f>
        <v>215.65912675438418</v>
      </c>
      <c r="AF376" s="218">
        <f>Calculations!AF1197</f>
        <v>222.1289005570157</v>
      </c>
      <c r="AG376" s="218">
        <f>Calculations!AG1197</f>
        <v>228.79276757372622</v>
      </c>
      <c r="AH376" s="218">
        <f>Calculations!AH1197</f>
        <v>235.656550600938</v>
      </c>
    </row>
    <row r="377" spans="1:34" outlineLevel="1" x14ac:dyDescent="0.2">
      <c r="B377" s="8" t="s">
        <v>406</v>
      </c>
      <c r="D377" s="10" t="str">
        <f>'Assumptions - General'!$E$27 &amp;" millions"</f>
        <v>R$ millions</v>
      </c>
      <c r="E377" s="218">
        <f>Calculations!E1199</f>
        <v>100</v>
      </c>
      <c r="F377" s="218">
        <f>Calculations!F1199</f>
        <v>8217.9507387507656</v>
      </c>
      <c r="G377" s="218">
        <f>Calculations!G1199</f>
        <v>16612.847185709041</v>
      </c>
      <c r="H377" s="218">
        <f>Calculations!H1199</f>
        <v>25520.291583953698</v>
      </c>
      <c r="I377" s="218">
        <f>Calculations!I1199</f>
        <v>35176.780343975981</v>
      </c>
      <c r="J377" s="218">
        <f>Calculations!J1199</f>
        <v>45510.7620400698</v>
      </c>
      <c r="K377" s="218">
        <f>Calculations!K1199</f>
        <v>57143.988786399175</v>
      </c>
      <c r="L377" s="218">
        <f>Calculations!L1199</f>
        <v>69638.860153404894</v>
      </c>
      <c r="M377" s="218">
        <f>Calculations!M1199</f>
        <v>82925.766443951608</v>
      </c>
      <c r="N377" s="218">
        <f>Calculations!N1199</f>
        <v>97041.181277517899</v>
      </c>
      <c r="O377" s="218">
        <f>Calculations!O1199</f>
        <v>111836.09595003974</v>
      </c>
      <c r="P377" s="218">
        <f>Calculations!P1199</f>
        <v>127471.3581032064</v>
      </c>
      <c r="Q377" s="218">
        <f>Calculations!Q1199</f>
        <v>143998.75104556329</v>
      </c>
      <c r="R377" s="218">
        <f>Calculations!R1199</f>
        <v>161457.91250795822</v>
      </c>
      <c r="S377" s="218">
        <f>Calculations!S1199</f>
        <v>179891.36566663304</v>
      </c>
      <c r="T377" s="218">
        <f>Calculations!T1199</f>
        <v>199341.3998126908</v>
      </c>
      <c r="U377" s="218">
        <f>Calculations!U1199</f>
        <v>219795.67002423387</v>
      </c>
      <c r="V377" s="218">
        <f>Calculations!V1199</f>
        <v>241420.40931435322</v>
      </c>
      <c r="W377" s="218">
        <f>Calculations!W1199</f>
        <v>264203.9648912074</v>
      </c>
      <c r="X377" s="218">
        <f>Calculations!X1199</f>
        <v>288197.12335368624</v>
      </c>
      <c r="Y377" s="218">
        <f>Calculations!Y1199</f>
        <v>313452.68562651786</v>
      </c>
      <c r="Z377" s="218">
        <f>Calculations!Z1199</f>
        <v>340025.54223807831</v>
      </c>
      <c r="AA377" s="218">
        <f>Calculations!AA1199</f>
        <v>367972.75130370329</v>
      </c>
      <c r="AB377" s="218">
        <f>Calculations!AB1199</f>
        <v>397353.61930906842</v>
      </c>
      <c r="AC377" s="218">
        <f>Calculations!AC1199</f>
        <v>428229.78479145386</v>
      </c>
      <c r="AD377" s="218">
        <f>Calculations!AD1199</f>
        <v>460665.30502006435</v>
      </c>
      <c r="AE377" s="218">
        <f>Calculations!AE1199</f>
        <v>494726.74578004365</v>
      </c>
      <c r="AF377" s="218">
        <f>Calculations!AF1199</f>
        <v>530483.27436840441</v>
      </c>
      <c r="AG377" s="218">
        <f>Calculations!AG1199</f>
        <v>568006.37987758161</v>
      </c>
      <c r="AH377" s="218">
        <f>Calculations!AH1199</f>
        <v>607366.2662845978</v>
      </c>
    </row>
    <row r="378" spans="1:34" x14ac:dyDescent="0.2">
      <c r="A378" s="7" t="s">
        <v>405</v>
      </c>
    </row>
    <row r="379" spans="1:34" x14ac:dyDescent="0.2">
      <c r="A379" s="7"/>
    </row>
    <row r="380" spans="1:34" s="316" customFormat="1" x14ac:dyDescent="0.2">
      <c r="B380" s="315" t="str">
        <f>"Debt financing assumptions for " &amp;'Assumptions - General'!$E$26</f>
        <v>Debt financing assumptions for Ruritania Railway Infrastructure Company</v>
      </c>
    </row>
    <row r="381" spans="1:34" s="8" customFormat="1" ht="14" x14ac:dyDescent="0.2">
      <c r="B381" s="7"/>
      <c r="E381" s="199"/>
      <c r="F381" s="173"/>
      <c r="G381" s="9"/>
      <c r="H381" s="9"/>
      <c r="I381" s="173"/>
      <c r="J381" s="9"/>
      <c r="K381" s="9"/>
      <c r="L381" s="173"/>
      <c r="M381" s="9"/>
      <c r="N381" s="9"/>
      <c r="O381" s="173"/>
      <c r="P381" s="9"/>
      <c r="Q381" s="9"/>
      <c r="R381" s="173"/>
      <c r="T381" s="9"/>
      <c r="U381" s="173"/>
      <c r="V381" s="9"/>
      <c r="W381" s="9"/>
      <c r="X381" s="173"/>
      <c r="Y381" s="9"/>
      <c r="Z381" s="9"/>
      <c r="AA381" s="173"/>
      <c r="AB381" s="9"/>
      <c r="AC381" s="9"/>
      <c r="AD381" s="173"/>
      <c r="AE381" s="9"/>
      <c r="AF381" s="9"/>
      <c r="AG381" s="173"/>
      <c r="AH381" s="9"/>
    </row>
    <row r="382" spans="1:34" s="20" customFormat="1" ht="14" x14ac:dyDescent="0.2">
      <c r="B382" s="19" t="s">
        <v>394</v>
      </c>
      <c r="E382" s="199" t="str">
        <f>IF(E386&lt;&gt;SUM(E388:AH388),"WARNING: PRINCIPAL REPAYMENTS NOT EQUAL TO OUTSTANDING PRINCIPAL", " ")</f>
        <v xml:space="preserve"> </v>
      </c>
      <c r="F382" s="310" t="s">
        <v>277</v>
      </c>
      <c r="G382" s="173"/>
      <c r="J382" s="173"/>
      <c r="M382" s="173"/>
      <c r="P382" s="173"/>
      <c r="S382" s="173"/>
      <c r="V382" s="173"/>
      <c r="Y382" s="173"/>
      <c r="AB382" s="173"/>
      <c r="AE382" s="173"/>
      <c r="AH382" s="173"/>
    </row>
    <row r="383" spans="1:34" s="8" customFormat="1" ht="14" x14ac:dyDescent="0.2">
      <c r="B383" s="169" t="s">
        <v>62</v>
      </c>
      <c r="D383" s="169" t="s">
        <v>2</v>
      </c>
      <c r="E383" s="177" t="s">
        <v>395</v>
      </c>
      <c r="F383" s="226" t="str">
        <f>'Assumptions - General'!$E$27</f>
        <v>R$</v>
      </c>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row>
    <row r="384" spans="1:34" s="8" customFormat="1" ht="14" x14ac:dyDescent="0.2">
      <c r="B384" s="169" t="s">
        <v>52</v>
      </c>
      <c r="D384" s="169" t="s">
        <v>209</v>
      </c>
      <c r="E384" s="177">
        <f>IF(F382=F383,1,IF(F382=F384,2,3))</f>
        <v>2</v>
      </c>
      <c r="F384" s="226" t="str">
        <f>'Assumptions - General'!$E$39</f>
        <v>USD</v>
      </c>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row>
    <row r="385" spans="2:34" s="8" customFormat="1" ht="14" x14ac:dyDescent="0.2">
      <c r="B385" s="169"/>
      <c r="D385" s="169"/>
      <c r="E385" s="177"/>
      <c r="F385" s="226" t="str">
        <f>'Assumptions - General'!$E$40</f>
        <v>EUR</v>
      </c>
      <c r="G385" s="183"/>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row>
    <row r="386" spans="2:34" s="20" customFormat="1" ht="14" x14ac:dyDescent="0.2">
      <c r="B386" s="228" t="s">
        <v>582</v>
      </c>
      <c r="D386" s="20" t="str">
        <f>IF(E384=1,F383&amp;" millions",IF(E384=2,F384&amp;" millions",IF(E384=3,F385&amp;" millions"," ")))</f>
        <v>USD millions</v>
      </c>
      <c r="E386" s="217">
        <v>50</v>
      </c>
      <c r="F386" s="310"/>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row>
    <row r="387" spans="2:34" s="20" customFormat="1" ht="14" x14ac:dyDescent="0.2">
      <c r="B387" s="228" t="s">
        <v>583</v>
      </c>
      <c r="D387" s="20" t="str">
        <f>D386</f>
        <v>USD millions</v>
      </c>
      <c r="E387" s="217">
        <v>5</v>
      </c>
      <c r="F387" s="310"/>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row>
    <row r="388" spans="2:34" s="20" customFormat="1" ht="14" x14ac:dyDescent="0.2">
      <c r="B388" s="228" t="s">
        <v>119</v>
      </c>
      <c r="D388" s="228" t="str">
        <f>D386</f>
        <v>USD millions</v>
      </c>
      <c r="E388" s="200">
        <v>5</v>
      </c>
      <c r="F388" s="200"/>
      <c r="G388" s="200">
        <v>10</v>
      </c>
      <c r="H388" s="200">
        <v>5</v>
      </c>
      <c r="I388" s="200">
        <v>5</v>
      </c>
      <c r="J388" s="200">
        <v>5</v>
      </c>
      <c r="K388" s="200">
        <v>5</v>
      </c>
      <c r="L388" s="200">
        <v>5</v>
      </c>
      <c r="M388" s="200">
        <v>5</v>
      </c>
      <c r="N388" s="200">
        <v>5</v>
      </c>
      <c r="O388" s="200"/>
      <c r="P388" s="177"/>
      <c r="Q388" s="177"/>
      <c r="R388" s="177"/>
      <c r="S388" s="177"/>
      <c r="T388" s="177"/>
      <c r="U388" s="177"/>
      <c r="V388" s="177"/>
      <c r="W388" s="177"/>
      <c r="X388" s="177"/>
      <c r="Y388" s="177"/>
      <c r="Z388" s="177"/>
      <c r="AA388" s="177"/>
      <c r="AB388" s="177"/>
      <c r="AC388" s="177"/>
      <c r="AD388" s="177"/>
      <c r="AE388" s="177"/>
      <c r="AF388" s="177"/>
      <c r="AG388" s="177"/>
      <c r="AH388" s="177"/>
    </row>
    <row r="389" spans="2:34" s="8" customFormat="1" ht="14" x14ac:dyDescent="0.2">
      <c r="B389" s="169" t="s">
        <v>415</v>
      </c>
      <c r="D389" s="169" t="s">
        <v>209</v>
      </c>
      <c r="E389" s="177">
        <f>IF(F391=F389,1,2)</f>
        <v>1</v>
      </c>
      <c r="F389" s="226" t="s">
        <v>280</v>
      </c>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row>
    <row r="390" spans="2:34" s="8" customFormat="1" ht="14" x14ac:dyDescent="0.2">
      <c r="B390" s="169"/>
      <c r="D390" s="169"/>
      <c r="E390" s="177"/>
      <c r="F390" s="220" t="s">
        <v>281</v>
      </c>
      <c r="G390" s="183"/>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row>
    <row r="391" spans="2:34" s="8" customFormat="1" ht="14" x14ac:dyDescent="0.2">
      <c r="B391" s="89" t="str">
        <f>IF(E389=1,"If fixed, enter interest rate"," ")</f>
        <v>If fixed, enter interest rate</v>
      </c>
      <c r="D391" s="169" t="str">
        <f>IF(E389=1,"%"," ")</f>
        <v>%</v>
      </c>
      <c r="E391" s="188">
        <v>0.05</v>
      </c>
      <c r="F391" s="87" t="s">
        <v>280</v>
      </c>
      <c r="G391" s="183"/>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row>
    <row r="392" spans="2:34" s="8" customFormat="1" ht="14" x14ac:dyDescent="0.2">
      <c r="B392" s="89" t="str">
        <f>IF(E389=2,"if variable, enter margin on LIBOR"," ")</f>
        <v xml:space="preserve"> </v>
      </c>
      <c r="D392" s="169" t="str">
        <f>IF(E389=2,"%"," ")</f>
        <v xml:space="preserve"> </v>
      </c>
      <c r="E392" s="188">
        <v>0.02</v>
      </c>
      <c r="F392" s="220"/>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row>
    <row r="393" spans="2:34" s="20" customFormat="1" ht="14" x14ac:dyDescent="0.2">
      <c r="B393" s="16"/>
      <c r="E393" s="182"/>
      <c r="F393" s="221"/>
      <c r="G393" s="182"/>
      <c r="H393" s="182"/>
      <c r="I393" s="182"/>
      <c r="J393" s="182"/>
      <c r="K393" s="182"/>
      <c r="L393" s="182"/>
      <c r="M393" s="182"/>
      <c r="N393" s="182"/>
      <c r="O393" s="182"/>
      <c r="P393" s="182"/>
      <c r="Q393" s="182"/>
      <c r="R393" s="182"/>
      <c r="S393" s="182"/>
      <c r="T393" s="182"/>
      <c r="U393" s="182"/>
      <c r="V393" s="182"/>
      <c r="W393" s="182"/>
      <c r="X393" s="182"/>
      <c r="Y393" s="182"/>
      <c r="Z393" s="182"/>
      <c r="AA393" s="182"/>
      <c r="AB393" s="182"/>
      <c r="AC393" s="182"/>
      <c r="AD393" s="182"/>
      <c r="AE393" s="182"/>
      <c r="AF393" s="182"/>
      <c r="AG393" s="182"/>
      <c r="AH393" s="182"/>
    </row>
    <row r="394" spans="2:34" s="20" customFormat="1" ht="14" x14ac:dyDescent="0.2">
      <c r="B394" s="19" t="s">
        <v>398</v>
      </c>
      <c r="E394" s="199" t="str">
        <f>IF(E398&lt;&gt;SUM(E400:AH400),"WARNING: PRINCIPAL REPAYMENTS NOT EQUAL TO OUTSTANDING PRINCIPAL", " ")</f>
        <v xml:space="preserve"> </v>
      </c>
      <c r="F394" s="310" t="s">
        <v>653</v>
      </c>
      <c r="G394" s="173"/>
      <c r="J394" s="173"/>
      <c r="M394" s="173"/>
      <c r="P394" s="173"/>
      <c r="S394" s="173"/>
      <c r="V394" s="173"/>
      <c r="Y394" s="173"/>
      <c r="AB394" s="173"/>
      <c r="AE394" s="173"/>
      <c r="AH394" s="173"/>
    </row>
    <row r="395" spans="2:34" s="8" customFormat="1" ht="14" x14ac:dyDescent="0.2">
      <c r="B395" s="169" t="s">
        <v>62</v>
      </c>
      <c r="D395" s="169" t="s">
        <v>2</v>
      </c>
      <c r="E395" s="177" t="s">
        <v>396</v>
      </c>
      <c r="F395" s="226" t="str">
        <f>'Assumptions - General'!$E$27</f>
        <v>R$</v>
      </c>
      <c r="G395" s="183"/>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row>
    <row r="396" spans="2:34" s="8" customFormat="1" ht="14" x14ac:dyDescent="0.2">
      <c r="B396" s="169" t="s">
        <v>52</v>
      </c>
      <c r="D396" s="169" t="s">
        <v>209</v>
      </c>
      <c r="E396" s="177">
        <f>IF(F394=F395,1,IF(F394=F396,2,3))</f>
        <v>1</v>
      </c>
      <c r="F396" s="226" t="str">
        <f>'Assumptions - General'!$E$39</f>
        <v>USD</v>
      </c>
      <c r="G396" s="183"/>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row>
    <row r="397" spans="2:34" s="8" customFormat="1" ht="14" x14ac:dyDescent="0.2">
      <c r="B397" s="169"/>
      <c r="D397" s="169"/>
      <c r="E397" s="177"/>
      <c r="F397" s="226" t="str">
        <f>'Assumptions - General'!$E$40</f>
        <v>EUR</v>
      </c>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row>
    <row r="398" spans="2:34" s="20" customFormat="1" ht="14" x14ac:dyDescent="0.2">
      <c r="B398" s="228" t="s">
        <v>582</v>
      </c>
      <c r="D398" s="255" t="str">
        <f>IF(E396=1,F395&amp;" millions",IF(E396=2,F396&amp;" millions",IF(E396=3,F397&amp;" millions"," ")))</f>
        <v>R$ millions</v>
      </c>
      <c r="E398" s="217">
        <v>50</v>
      </c>
      <c r="F398" s="310"/>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row>
    <row r="399" spans="2:34" s="20" customFormat="1" ht="14" x14ac:dyDescent="0.2">
      <c r="B399" s="228" t="s">
        <v>583</v>
      </c>
      <c r="D399" s="20" t="str">
        <f>D398</f>
        <v>R$ millions</v>
      </c>
      <c r="E399" s="217">
        <v>2</v>
      </c>
      <c r="F399" s="310"/>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row>
    <row r="400" spans="2:34" s="20" customFormat="1" ht="14" x14ac:dyDescent="0.2">
      <c r="B400" s="119" t="s">
        <v>119</v>
      </c>
      <c r="D400" s="228" t="str">
        <f>D398</f>
        <v>R$ millions</v>
      </c>
      <c r="E400" s="200">
        <v>5</v>
      </c>
      <c r="F400" s="200">
        <v>5</v>
      </c>
      <c r="G400" s="200">
        <v>5</v>
      </c>
      <c r="H400" s="200">
        <v>5</v>
      </c>
      <c r="I400" s="200">
        <v>5</v>
      </c>
      <c r="J400" s="200">
        <v>5</v>
      </c>
      <c r="K400" s="200">
        <v>5</v>
      </c>
      <c r="L400" s="200">
        <v>5</v>
      </c>
      <c r="M400" s="200">
        <v>5</v>
      </c>
      <c r="N400" s="200">
        <v>5</v>
      </c>
      <c r="O400" s="200"/>
      <c r="P400" s="177"/>
      <c r="Q400" s="177"/>
      <c r="R400" s="177"/>
      <c r="S400" s="177"/>
      <c r="T400" s="177"/>
      <c r="U400" s="177"/>
      <c r="V400" s="177"/>
      <c r="W400" s="177"/>
      <c r="X400" s="177"/>
      <c r="Y400" s="177"/>
      <c r="Z400" s="177"/>
      <c r="AA400" s="177"/>
      <c r="AB400" s="177"/>
      <c r="AC400" s="177"/>
      <c r="AD400" s="177"/>
      <c r="AE400" s="177"/>
      <c r="AF400" s="177"/>
      <c r="AG400" s="177"/>
      <c r="AH400" s="177"/>
    </row>
    <row r="401" spans="2:34" s="8" customFormat="1" ht="14" x14ac:dyDescent="0.2">
      <c r="B401" s="169" t="s">
        <v>279</v>
      </c>
      <c r="D401" s="169" t="s">
        <v>209</v>
      </c>
      <c r="E401" s="177">
        <f>IF(F403=F401,1,2)</f>
        <v>1</v>
      </c>
      <c r="F401" s="220" t="s">
        <v>280</v>
      </c>
      <c r="G401" s="183"/>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row>
    <row r="402" spans="2:34" s="8" customFormat="1" ht="14" x14ac:dyDescent="0.2">
      <c r="B402" s="169"/>
      <c r="D402" s="169"/>
      <c r="E402" s="177"/>
      <c r="F402" s="220" t="s">
        <v>281</v>
      </c>
      <c r="G402" s="183"/>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row>
    <row r="403" spans="2:34" s="8" customFormat="1" ht="14" x14ac:dyDescent="0.2">
      <c r="B403" s="89" t="str">
        <f>IF(E401=1,"If fixed, enter interest rate"," ")</f>
        <v>If fixed, enter interest rate</v>
      </c>
      <c r="D403" s="169" t="str">
        <f>IF(E401=1,"%"," ")</f>
        <v>%</v>
      </c>
      <c r="E403" s="188">
        <v>0.05</v>
      </c>
      <c r="F403" s="87" t="s">
        <v>280</v>
      </c>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row>
    <row r="404" spans="2:34" s="8" customFormat="1" ht="14" x14ac:dyDescent="0.2">
      <c r="B404" s="89" t="str">
        <f>IF(E401=2,"if variable, enter margin on LIBOR"," ")</f>
        <v xml:space="preserve"> </v>
      </c>
      <c r="D404" s="169" t="str">
        <f>IF(E401=2,"%"," ")</f>
        <v xml:space="preserve"> </v>
      </c>
      <c r="E404" s="188">
        <v>0.02</v>
      </c>
      <c r="F404" s="220"/>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row>
    <row r="405" spans="2:34" s="20" customFormat="1" ht="14" x14ac:dyDescent="0.2">
      <c r="B405" s="16"/>
      <c r="E405" s="182"/>
      <c r="F405" s="221"/>
      <c r="G405" s="182"/>
      <c r="H405" s="182"/>
      <c r="I405" s="182"/>
      <c r="J405" s="182"/>
      <c r="K405" s="182"/>
      <c r="L405" s="182"/>
      <c r="M405" s="182"/>
      <c r="N405" s="182"/>
      <c r="O405" s="182"/>
      <c r="P405" s="182"/>
      <c r="Q405" s="182"/>
      <c r="R405" s="182"/>
      <c r="S405" s="182"/>
      <c r="T405" s="182"/>
      <c r="U405" s="182"/>
      <c r="V405" s="182"/>
      <c r="W405" s="182"/>
      <c r="X405" s="182"/>
      <c r="Y405" s="182"/>
      <c r="Z405" s="182"/>
      <c r="AA405" s="182"/>
      <c r="AB405" s="182"/>
      <c r="AC405" s="182"/>
      <c r="AD405" s="182"/>
      <c r="AE405" s="182"/>
      <c r="AF405" s="182"/>
      <c r="AG405" s="182"/>
      <c r="AH405" s="182"/>
    </row>
    <row r="406" spans="2:34" s="20" customFormat="1" ht="14" x14ac:dyDescent="0.2">
      <c r="B406" s="19" t="s">
        <v>399</v>
      </c>
      <c r="E406" s="199" t="str">
        <f>IF(E410&lt;&gt;SUM(E412:AH412),"WARNING: PRINCIPAL REPAYMENTS NOT EQUAL TO OUTSTANDING PRINCIPAL", " ")</f>
        <v xml:space="preserve"> </v>
      </c>
      <c r="F406" s="310" t="s">
        <v>653</v>
      </c>
      <c r="G406" s="173"/>
      <c r="J406" s="173"/>
      <c r="M406" s="173"/>
      <c r="P406" s="173"/>
      <c r="S406" s="173"/>
      <c r="V406" s="173"/>
      <c r="Y406" s="173"/>
      <c r="AB406" s="173"/>
      <c r="AE406" s="173"/>
      <c r="AH406" s="173"/>
    </row>
    <row r="407" spans="2:34" s="8" customFormat="1" ht="14" x14ac:dyDescent="0.2">
      <c r="B407" s="169" t="s">
        <v>62</v>
      </c>
      <c r="D407" s="169" t="s">
        <v>2</v>
      </c>
      <c r="E407" s="177" t="s">
        <v>397</v>
      </c>
      <c r="F407" s="226" t="str">
        <f>'Assumptions - General'!$E$27</f>
        <v>R$</v>
      </c>
      <c r="G407" s="183"/>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row>
    <row r="408" spans="2:34" s="8" customFormat="1" ht="14" x14ac:dyDescent="0.2">
      <c r="B408" s="169" t="s">
        <v>52</v>
      </c>
      <c r="D408" s="169" t="s">
        <v>209</v>
      </c>
      <c r="E408" s="177">
        <f>IF(F406=F407,1,IF(F406=F408,2,3))</f>
        <v>1</v>
      </c>
      <c r="F408" s="226" t="str">
        <f>'Assumptions - General'!$E$39</f>
        <v>USD</v>
      </c>
      <c r="G408" s="183"/>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row>
    <row r="409" spans="2:34" s="8" customFormat="1" ht="14" x14ac:dyDescent="0.2">
      <c r="B409" s="169"/>
      <c r="D409" s="169"/>
      <c r="E409" s="177"/>
      <c r="F409" s="226" t="str">
        <f>'Assumptions - General'!$E$40</f>
        <v>EUR</v>
      </c>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row>
    <row r="410" spans="2:34" s="20" customFormat="1" ht="14" x14ac:dyDescent="0.2">
      <c r="B410" s="228" t="s">
        <v>582</v>
      </c>
      <c r="D410" s="20" t="str">
        <f>IF(E408=1,F407&amp;" millions",IF(E408=2,F408&amp;" millions",IF(E408=3,F409&amp;" millions"," ")))</f>
        <v>R$ millions</v>
      </c>
      <c r="E410" s="217">
        <v>50</v>
      </c>
      <c r="F410" s="310"/>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row>
    <row r="411" spans="2:34" s="20" customFormat="1" ht="14" x14ac:dyDescent="0.2">
      <c r="B411" s="228" t="s">
        <v>583</v>
      </c>
      <c r="D411" s="20" t="str">
        <f>D410</f>
        <v>R$ millions</v>
      </c>
      <c r="E411" s="217">
        <v>5</v>
      </c>
      <c r="F411" s="310"/>
      <c r="G411" s="103"/>
      <c r="H411" s="103"/>
      <c r="I411" s="103"/>
      <c r="J411" s="103"/>
      <c r="K411" s="103"/>
      <c r="L411" s="103"/>
      <c r="M411" s="103"/>
      <c r="N411" s="103"/>
      <c r="O411" s="103"/>
      <c r="P411" s="103"/>
      <c r="Q411" s="103"/>
      <c r="R411" s="103"/>
      <c r="S411" s="103"/>
      <c r="T411" s="103"/>
      <c r="U411" s="103"/>
      <c r="V411" s="103"/>
      <c r="W411" s="103"/>
      <c r="X411" s="103"/>
      <c r="Y411" s="103"/>
      <c r="Z411" s="103"/>
      <c r="AA411" s="103"/>
      <c r="AB411" s="103"/>
      <c r="AC411" s="103"/>
      <c r="AD411" s="103"/>
      <c r="AE411" s="103"/>
      <c r="AF411" s="103"/>
      <c r="AG411" s="103"/>
      <c r="AH411" s="103"/>
    </row>
    <row r="412" spans="2:34" s="20" customFormat="1" ht="14" x14ac:dyDescent="0.2">
      <c r="B412" s="119" t="s">
        <v>119</v>
      </c>
      <c r="D412" s="228" t="str">
        <f>D410</f>
        <v>R$ millions</v>
      </c>
      <c r="E412" s="200">
        <v>5</v>
      </c>
      <c r="F412" s="200">
        <v>5</v>
      </c>
      <c r="G412" s="200">
        <v>5</v>
      </c>
      <c r="H412" s="200">
        <v>5</v>
      </c>
      <c r="I412" s="200">
        <v>5</v>
      </c>
      <c r="J412" s="200">
        <v>5</v>
      </c>
      <c r="K412" s="200">
        <v>5</v>
      </c>
      <c r="L412" s="200">
        <v>5</v>
      </c>
      <c r="M412" s="200">
        <v>5</v>
      </c>
      <c r="N412" s="200">
        <v>5</v>
      </c>
      <c r="O412" s="200"/>
      <c r="P412" s="177"/>
      <c r="Q412" s="177"/>
      <c r="R412" s="177"/>
      <c r="S412" s="177"/>
      <c r="T412" s="177"/>
      <c r="U412" s="177"/>
      <c r="V412" s="177"/>
      <c r="W412" s="177"/>
      <c r="X412" s="177"/>
      <c r="Y412" s="177"/>
      <c r="Z412" s="177"/>
      <c r="AA412" s="177"/>
      <c r="AB412" s="177"/>
      <c r="AC412" s="177"/>
      <c r="AD412" s="177"/>
      <c r="AE412" s="177"/>
      <c r="AF412" s="177"/>
      <c r="AG412" s="177"/>
      <c r="AH412" s="177"/>
    </row>
    <row r="413" spans="2:34" s="8" customFormat="1" ht="14" x14ac:dyDescent="0.2">
      <c r="B413" s="169" t="s">
        <v>279</v>
      </c>
      <c r="D413" s="169" t="s">
        <v>209</v>
      </c>
      <c r="E413" s="177">
        <f>IF(F415=F413,1,2)</f>
        <v>1</v>
      </c>
      <c r="F413" s="220" t="s">
        <v>280</v>
      </c>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row>
    <row r="414" spans="2:34" s="8" customFormat="1" ht="14" x14ac:dyDescent="0.2">
      <c r="B414" s="169"/>
      <c r="D414" s="169"/>
      <c r="E414" s="177"/>
      <c r="F414" s="220" t="s">
        <v>281</v>
      </c>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row>
    <row r="415" spans="2:34" s="8" customFormat="1" ht="14" x14ac:dyDescent="0.2">
      <c r="B415" s="89" t="str">
        <f>IF(E413=1,"If fixed, enter interest rate"," ")</f>
        <v>If fixed, enter interest rate</v>
      </c>
      <c r="D415" s="169" t="str">
        <f>IF(E413=1,"%"," ")</f>
        <v>%</v>
      </c>
      <c r="E415" s="188">
        <v>0.05</v>
      </c>
      <c r="F415" s="87" t="s">
        <v>280</v>
      </c>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row>
    <row r="416" spans="2:34" s="8" customFormat="1" ht="14" x14ac:dyDescent="0.2">
      <c r="B416" s="89" t="str">
        <f>IF(E413=2,"if variable, enter margin on LIBOR"," ")</f>
        <v xml:space="preserve"> </v>
      </c>
      <c r="D416" s="169" t="str">
        <f>IF(E413=2,"%"," ")</f>
        <v xml:space="preserve"> </v>
      </c>
      <c r="E416" s="188">
        <v>0.02</v>
      </c>
      <c r="F416" s="220"/>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row>
    <row r="417" spans="2:34" s="20" customFormat="1" ht="14" x14ac:dyDescent="0.2">
      <c r="B417" s="16"/>
      <c r="E417" s="182"/>
      <c r="F417" s="221"/>
      <c r="G417" s="182"/>
      <c r="H417" s="182"/>
      <c r="I417" s="182"/>
      <c r="J417" s="182"/>
      <c r="K417" s="182"/>
      <c r="L417" s="182"/>
      <c r="M417" s="182"/>
      <c r="N417" s="182"/>
      <c r="O417" s="182"/>
      <c r="P417" s="182"/>
      <c r="Q417" s="182"/>
      <c r="R417" s="182"/>
      <c r="S417" s="182"/>
      <c r="T417" s="182"/>
      <c r="U417" s="182"/>
      <c r="V417" s="182"/>
      <c r="W417" s="182"/>
      <c r="X417" s="182"/>
      <c r="Y417" s="182"/>
      <c r="Z417" s="182"/>
      <c r="AA417" s="182"/>
      <c r="AB417" s="182"/>
      <c r="AC417" s="182"/>
      <c r="AD417" s="182"/>
      <c r="AE417" s="182"/>
      <c r="AF417" s="182"/>
      <c r="AG417" s="182"/>
      <c r="AH417" s="182"/>
    </row>
    <row r="418" spans="2:34" s="8" customFormat="1" ht="14" x14ac:dyDescent="0.2">
      <c r="B418" s="21" t="s">
        <v>120</v>
      </c>
      <c r="E418" s="199" t="str">
        <f>IF(E423&lt;&gt;SUM(F424:AH424),"WARNING: PRINCIPAL NOT EQUAL TO DRAWDOWN", " ")</f>
        <v xml:space="preserve"> </v>
      </c>
      <c r="F418" s="220" t="s">
        <v>653</v>
      </c>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row>
    <row r="419" spans="2:34" s="8" customFormat="1" ht="14" x14ac:dyDescent="0.2">
      <c r="B419" s="169" t="s">
        <v>62</v>
      </c>
      <c r="D419" s="169" t="s">
        <v>2</v>
      </c>
      <c r="E419" s="177" t="s">
        <v>291</v>
      </c>
      <c r="F419" s="226" t="str">
        <f>'Assumptions - General'!E27</f>
        <v>R$</v>
      </c>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row>
    <row r="420" spans="2:34" s="8" customFormat="1" ht="14" x14ac:dyDescent="0.2">
      <c r="B420" s="169" t="s">
        <v>386</v>
      </c>
      <c r="D420" s="169" t="s">
        <v>649</v>
      </c>
      <c r="E420" s="200">
        <v>3</v>
      </c>
      <c r="F420" s="227" t="str">
        <f>'Assumptions - General'!E39</f>
        <v>USD</v>
      </c>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row>
    <row r="421" spans="2:34" s="8" customFormat="1" ht="14" x14ac:dyDescent="0.2">
      <c r="B421" s="169" t="s">
        <v>52</v>
      </c>
      <c r="D421" s="169" t="s">
        <v>209</v>
      </c>
      <c r="E421" s="177">
        <f>IF(F418=F419,1,IF(F418=F420,2,3))</f>
        <v>1</v>
      </c>
      <c r="F421" s="227" t="str">
        <f>'Assumptions - General'!E40</f>
        <v>EUR</v>
      </c>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row>
    <row r="422" spans="2:34" s="8" customFormat="1" ht="14" x14ac:dyDescent="0.2">
      <c r="B422" s="169"/>
      <c r="D422" s="169"/>
      <c r="E422" s="177"/>
      <c r="F422" s="227"/>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row>
    <row r="423" spans="2:34" s="8" customFormat="1" ht="14" x14ac:dyDescent="0.2">
      <c r="B423" s="169" t="s">
        <v>60</v>
      </c>
      <c r="D423" s="255" t="str">
        <f>IF(E421=1,F419&amp;" millions",IF(E421=2,F420&amp;" millions",IF(E421=3,F421&amp;" millions"," ")))</f>
        <v>R$ millions</v>
      </c>
      <c r="E423" s="177">
        <v>50</v>
      </c>
      <c r="F423" s="220"/>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row>
    <row r="424" spans="2:34" s="8" customFormat="1" ht="14" x14ac:dyDescent="0.2">
      <c r="B424" s="169" t="s">
        <v>121</v>
      </c>
      <c r="D424" s="255" t="str">
        <f>D423</f>
        <v>R$ millions</v>
      </c>
      <c r="E424" s="201"/>
      <c r="F424" s="177"/>
      <c r="G424" s="177">
        <v>10</v>
      </c>
      <c r="H424" s="177">
        <v>10</v>
      </c>
      <c r="I424" s="177">
        <v>10</v>
      </c>
      <c r="J424" s="177">
        <v>10</v>
      </c>
      <c r="K424" s="177">
        <v>10</v>
      </c>
      <c r="L424" s="177"/>
      <c r="M424" s="177"/>
      <c r="N424" s="177"/>
      <c r="O424" s="177"/>
      <c r="P424" s="177"/>
      <c r="Q424" s="177"/>
      <c r="R424" s="177"/>
      <c r="S424" s="177"/>
      <c r="T424" s="177"/>
      <c r="U424" s="177"/>
      <c r="V424" s="177"/>
      <c r="W424" s="177"/>
      <c r="X424" s="177"/>
      <c r="Y424" s="177"/>
      <c r="Z424" s="177"/>
      <c r="AA424" s="177"/>
      <c r="AB424" s="177"/>
      <c r="AC424" s="177"/>
      <c r="AD424" s="177"/>
      <c r="AE424" s="177"/>
      <c r="AF424" s="177"/>
      <c r="AG424" s="177"/>
      <c r="AH424" s="177"/>
    </row>
    <row r="425" spans="2:34" s="8" customFormat="1" ht="14" x14ac:dyDescent="0.2">
      <c r="B425" s="169" t="s">
        <v>279</v>
      </c>
      <c r="D425" s="169" t="s">
        <v>209</v>
      </c>
      <c r="E425" s="177">
        <f>IF(F427=F425,1,2)</f>
        <v>1</v>
      </c>
      <c r="F425" s="220" t="s">
        <v>280</v>
      </c>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row>
    <row r="426" spans="2:34" s="8" customFormat="1" ht="14" x14ac:dyDescent="0.2">
      <c r="B426" s="169"/>
      <c r="D426" s="169"/>
      <c r="E426" s="177"/>
      <c r="F426" s="220" t="s">
        <v>281</v>
      </c>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row>
    <row r="427" spans="2:34" s="8" customFormat="1" ht="14" x14ac:dyDescent="0.2">
      <c r="B427" s="89" t="str">
        <f>IF(E425=1,"If fixed, enter interest rate"," ")</f>
        <v>If fixed, enter interest rate</v>
      </c>
      <c r="D427" s="169" t="str">
        <f>IF(E425=1,"%"," ")</f>
        <v>%</v>
      </c>
      <c r="E427" s="188">
        <v>0.05</v>
      </c>
      <c r="F427" s="500" t="s">
        <v>280</v>
      </c>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row>
    <row r="428" spans="2:34" s="8" customFormat="1" ht="14" x14ac:dyDescent="0.2">
      <c r="B428" s="89" t="str">
        <f>IF(E425=2,"if variable, enter margin on LIBOR"," ")</f>
        <v xml:space="preserve"> </v>
      </c>
      <c r="D428" s="169" t="str">
        <f>IF(E425=2,"%"," ")</f>
        <v xml:space="preserve"> </v>
      </c>
      <c r="E428" s="188">
        <v>0.02</v>
      </c>
      <c r="F428" s="220"/>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row>
    <row r="429" spans="2:34" s="8" customFormat="1" ht="14" x14ac:dyDescent="0.2">
      <c r="B429" s="169" t="s">
        <v>54</v>
      </c>
      <c r="D429" s="169" t="s">
        <v>56</v>
      </c>
      <c r="E429" s="200">
        <v>15</v>
      </c>
      <c r="F429" s="220"/>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row>
    <row r="430" spans="2:34" s="8" customFormat="1" ht="14" x14ac:dyDescent="0.2">
      <c r="B430" s="169" t="s">
        <v>57</v>
      </c>
      <c r="D430" s="169" t="s">
        <v>56</v>
      </c>
      <c r="E430" s="200">
        <v>5</v>
      </c>
      <c r="F430" s="220" t="s">
        <v>283</v>
      </c>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row>
    <row r="431" spans="2:34" s="8" customFormat="1" ht="14" x14ac:dyDescent="0.2">
      <c r="B431" s="169" t="s">
        <v>282</v>
      </c>
      <c r="D431" s="169"/>
      <c r="E431" s="177">
        <f>IF(F430=F431,1,IF(F430=F432,2,3))</f>
        <v>1</v>
      </c>
      <c r="F431" s="220" t="s">
        <v>283</v>
      </c>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row>
    <row r="432" spans="2:34" s="8" customFormat="1" ht="14" x14ac:dyDescent="0.2">
      <c r="B432" s="169"/>
      <c r="D432" s="169"/>
      <c r="E432" s="177"/>
      <c r="F432" s="420" t="s">
        <v>284</v>
      </c>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row>
    <row r="433" spans="2:34" s="8" customFormat="1" ht="14" x14ac:dyDescent="0.2">
      <c r="B433" s="169" t="s">
        <v>53</v>
      </c>
      <c r="D433" s="169" t="s">
        <v>58</v>
      </c>
      <c r="E433" s="202">
        <v>2.5000000000000001E-3</v>
      </c>
      <c r="F433" s="220" t="s">
        <v>680</v>
      </c>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row>
    <row r="434" spans="2:34" s="8" customFormat="1" ht="14" x14ac:dyDescent="0.2">
      <c r="B434" s="169" t="s">
        <v>55</v>
      </c>
      <c r="D434" s="169" t="s">
        <v>141</v>
      </c>
      <c r="E434" s="202">
        <v>0</v>
      </c>
      <c r="F434" s="87"/>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row>
    <row r="435" spans="2:34" s="8" customFormat="1" ht="14" x14ac:dyDescent="0.2">
      <c r="E435" s="183"/>
      <c r="F435" s="220"/>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row>
    <row r="436" spans="2:34" s="8" customFormat="1" ht="14" x14ac:dyDescent="0.2">
      <c r="B436" s="21" t="s">
        <v>122</v>
      </c>
      <c r="E436" s="199" t="str">
        <f>IF(E441&lt;&gt;SUM(F442:AH442),"WARNING: PRINCIPAL NOT EQUAL TO DRAWDOWN", " ")</f>
        <v xml:space="preserve"> </v>
      </c>
      <c r="F436" s="220" t="s">
        <v>653</v>
      </c>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row>
    <row r="437" spans="2:34" s="8" customFormat="1" ht="14" x14ac:dyDescent="0.2">
      <c r="B437" s="8" t="s">
        <v>62</v>
      </c>
      <c r="D437" s="8" t="s">
        <v>2</v>
      </c>
      <c r="E437" s="177" t="s">
        <v>59</v>
      </c>
      <c r="F437" s="226" t="str">
        <f>F419</f>
        <v>R$</v>
      </c>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row>
    <row r="438" spans="2:34" s="8" customFormat="1" ht="14" x14ac:dyDescent="0.2">
      <c r="B438" s="8" t="s">
        <v>386</v>
      </c>
      <c r="D438" s="8" t="s">
        <v>649</v>
      </c>
      <c r="E438" s="200">
        <v>3</v>
      </c>
      <c r="F438" s="227" t="str">
        <f>F420</f>
        <v>USD</v>
      </c>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row>
    <row r="439" spans="2:34" s="8" customFormat="1" ht="14" x14ac:dyDescent="0.2">
      <c r="B439" s="8" t="s">
        <v>52</v>
      </c>
      <c r="D439" s="8" t="s">
        <v>209</v>
      </c>
      <c r="E439" s="177">
        <f>IF(F436=F437,1,IF(F436=F438,2,3))</f>
        <v>1</v>
      </c>
      <c r="F439" s="227" t="str">
        <f>F421</f>
        <v>EUR</v>
      </c>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row>
    <row r="440" spans="2:34" s="8" customFormat="1" ht="14" x14ac:dyDescent="0.2">
      <c r="E440" s="177"/>
      <c r="F440" s="227"/>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row>
    <row r="441" spans="2:34" s="8" customFormat="1" ht="14" x14ac:dyDescent="0.2">
      <c r="B441" s="8" t="s">
        <v>60</v>
      </c>
      <c r="D441" s="20" t="str">
        <f>IF(E439=1,F437&amp;" millions",IF(E439=2,F438&amp;" millions",IF(E439=3,F439&amp;" millions"," ")))</f>
        <v>R$ millions</v>
      </c>
      <c r="E441" s="177">
        <v>50</v>
      </c>
      <c r="F441" s="220"/>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row>
    <row r="442" spans="2:34" s="8" customFormat="1" ht="14" x14ac:dyDescent="0.2">
      <c r="B442" s="8" t="s">
        <v>121</v>
      </c>
      <c r="D442" s="20" t="str">
        <f>D441</f>
        <v>R$ millions</v>
      </c>
      <c r="E442" s="201"/>
      <c r="F442" s="177"/>
      <c r="G442" s="177">
        <v>10</v>
      </c>
      <c r="H442" s="177">
        <v>10</v>
      </c>
      <c r="I442" s="177">
        <v>10</v>
      </c>
      <c r="J442" s="177">
        <v>10</v>
      </c>
      <c r="K442" s="177">
        <v>10</v>
      </c>
      <c r="L442" s="177"/>
      <c r="M442" s="177"/>
      <c r="N442" s="177"/>
      <c r="O442" s="177"/>
      <c r="P442" s="177"/>
      <c r="Q442" s="177"/>
      <c r="R442" s="177"/>
      <c r="S442" s="177"/>
      <c r="T442" s="177"/>
      <c r="U442" s="177"/>
      <c r="V442" s="177"/>
      <c r="W442" s="177"/>
      <c r="X442" s="177"/>
      <c r="Y442" s="177"/>
      <c r="Z442" s="177"/>
      <c r="AA442" s="177"/>
      <c r="AB442" s="177"/>
      <c r="AC442" s="177"/>
      <c r="AD442" s="177"/>
      <c r="AE442" s="177"/>
      <c r="AF442" s="177"/>
      <c r="AG442" s="177"/>
      <c r="AH442" s="177"/>
    </row>
    <row r="443" spans="2:34" s="8" customFormat="1" ht="14" x14ac:dyDescent="0.2">
      <c r="B443" s="8" t="s">
        <v>279</v>
      </c>
      <c r="D443" s="8" t="s">
        <v>209</v>
      </c>
      <c r="E443" s="177">
        <f>IF(F445=F443,1,2)</f>
        <v>2</v>
      </c>
      <c r="F443" s="220" t="s">
        <v>280</v>
      </c>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row>
    <row r="444" spans="2:34" s="8" customFormat="1" ht="14" x14ac:dyDescent="0.2">
      <c r="E444" s="177"/>
      <c r="F444" s="220" t="s">
        <v>281</v>
      </c>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row>
    <row r="445" spans="2:34" s="8" customFormat="1" ht="14" x14ac:dyDescent="0.2">
      <c r="B445" s="89" t="str">
        <f>IF(E443=1,"If fixed, enter interest rate"," ")</f>
        <v xml:space="preserve"> </v>
      </c>
      <c r="D445" s="169" t="str">
        <f>IF(E443=1,"%"," ")</f>
        <v xml:space="preserve"> </v>
      </c>
      <c r="E445" s="188">
        <v>0.05</v>
      </c>
      <c r="F445" s="500" t="s">
        <v>281</v>
      </c>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row>
    <row r="446" spans="2:34" s="8" customFormat="1" ht="14" x14ac:dyDescent="0.2">
      <c r="B446" s="89" t="str">
        <f>IF(E443=2,"if variable, enter margin on LIBOR"," ")</f>
        <v>if variable, enter margin on LIBOR</v>
      </c>
      <c r="D446" s="169" t="str">
        <f>IF(E443=2,"%"," ")</f>
        <v>%</v>
      </c>
      <c r="E446" s="188">
        <v>0.02</v>
      </c>
      <c r="F446" s="220"/>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row>
    <row r="447" spans="2:34" s="8" customFormat="1" ht="14" x14ac:dyDescent="0.2">
      <c r="B447" s="8" t="s">
        <v>54</v>
      </c>
      <c r="D447" s="8" t="s">
        <v>56</v>
      </c>
      <c r="E447" s="177">
        <v>15</v>
      </c>
      <c r="F447" s="220"/>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row>
    <row r="448" spans="2:34" s="8" customFormat="1" ht="14" x14ac:dyDescent="0.2">
      <c r="B448" s="8" t="s">
        <v>57</v>
      </c>
      <c r="D448" s="8" t="s">
        <v>56</v>
      </c>
      <c r="E448" s="177">
        <v>5</v>
      </c>
      <c r="F448" s="220" t="s">
        <v>283</v>
      </c>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row>
    <row r="449" spans="2:34" s="8" customFormat="1" ht="14" x14ac:dyDescent="0.2">
      <c r="B449" s="8" t="s">
        <v>282</v>
      </c>
      <c r="E449" s="177">
        <f>IF(F448=F449,1,IF(F448=F450,2,3))</f>
        <v>1</v>
      </c>
      <c r="F449" s="220" t="s">
        <v>283</v>
      </c>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row>
    <row r="450" spans="2:34" s="8" customFormat="1" ht="14" x14ac:dyDescent="0.2">
      <c r="E450" s="177"/>
      <c r="F450" s="420" t="s">
        <v>284</v>
      </c>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row>
    <row r="451" spans="2:34" s="8" customFormat="1" ht="14" x14ac:dyDescent="0.2">
      <c r="B451" s="8" t="s">
        <v>53</v>
      </c>
      <c r="D451" s="8" t="s">
        <v>58</v>
      </c>
      <c r="E451" s="202">
        <v>2.5000000000000001E-3</v>
      </c>
      <c r="F451" s="220" t="s">
        <v>680</v>
      </c>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row>
    <row r="452" spans="2:34" s="8" customFormat="1" ht="14" x14ac:dyDescent="0.2">
      <c r="B452" s="8" t="s">
        <v>55</v>
      </c>
      <c r="D452" s="8" t="s">
        <v>141</v>
      </c>
      <c r="E452" s="202">
        <v>0</v>
      </c>
      <c r="F452" s="87"/>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row>
    <row r="453" spans="2:34" s="8" customFormat="1" ht="14" x14ac:dyDescent="0.2">
      <c r="E453" s="203"/>
      <c r="F453" s="220"/>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row>
    <row r="454" spans="2:34" s="8" customFormat="1" ht="14" x14ac:dyDescent="0.2">
      <c r="B454" s="21" t="s">
        <v>123</v>
      </c>
      <c r="E454" s="199" t="str">
        <f>IF(E459&lt;&gt;SUM(F460:AH460),"WARNING: PRINCIPAL NOT EQUAL TO DRAWDOWN", " ")</f>
        <v xml:space="preserve"> </v>
      </c>
      <c r="F454" s="220" t="s">
        <v>653</v>
      </c>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row>
    <row r="455" spans="2:34" s="8" customFormat="1" ht="14" x14ac:dyDescent="0.2">
      <c r="B455" s="8" t="s">
        <v>62</v>
      </c>
      <c r="D455" s="8" t="s">
        <v>2</v>
      </c>
      <c r="E455" s="177" t="s">
        <v>292</v>
      </c>
      <c r="F455" s="226" t="str">
        <f>F437</f>
        <v>R$</v>
      </c>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row>
    <row r="456" spans="2:34" s="8" customFormat="1" ht="14" x14ac:dyDescent="0.2">
      <c r="B456" s="8" t="s">
        <v>386</v>
      </c>
      <c r="D456" s="8" t="s">
        <v>649</v>
      </c>
      <c r="E456" s="200">
        <v>3</v>
      </c>
      <c r="F456" s="227" t="str">
        <f>F420</f>
        <v>USD</v>
      </c>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row>
    <row r="457" spans="2:34" s="8" customFormat="1" ht="14" x14ac:dyDescent="0.2">
      <c r="B457" s="8" t="s">
        <v>52</v>
      </c>
      <c r="D457" s="8" t="s">
        <v>209</v>
      </c>
      <c r="E457" s="177">
        <f>IF(F454=F455,1,IF(F454=F456,2,3))</f>
        <v>1</v>
      </c>
      <c r="F457" s="227" t="str">
        <f>F421</f>
        <v>EUR</v>
      </c>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row>
    <row r="458" spans="2:34" s="8" customFormat="1" ht="14" x14ac:dyDescent="0.2">
      <c r="E458" s="177"/>
      <c r="F458" s="227"/>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row>
    <row r="459" spans="2:34" s="8" customFormat="1" ht="14" x14ac:dyDescent="0.2">
      <c r="B459" s="8" t="s">
        <v>60</v>
      </c>
      <c r="D459" s="20" t="str">
        <f>IF(E457=1,F383&amp;" millions",IF(E457=2,F384&amp;" millions",IF(E457=3,F385&amp;" millions"," ")))</f>
        <v>R$ millions</v>
      </c>
      <c r="E459" s="177">
        <v>50</v>
      </c>
      <c r="F459" s="220"/>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row>
    <row r="460" spans="2:34" s="8" customFormat="1" ht="14" x14ac:dyDescent="0.2">
      <c r="B460" s="8" t="s">
        <v>121</v>
      </c>
      <c r="D460" s="20" t="str">
        <f>D459</f>
        <v>R$ millions</v>
      </c>
      <c r="E460" s="201"/>
      <c r="F460" s="177"/>
      <c r="G460" s="177">
        <v>10</v>
      </c>
      <c r="H460" s="177">
        <v>10</v>
      </c>
      <c r="I460" s="177">
        <v>10</v>
      </c>
      <c r="J460" s="177">
        <v>10</v>
      </c>
      <c r="K460" s="177">
        <v>10</v>
      </c>
      <c r="L460" s="177"/>
      <c r="M460" s="177"/>
      <c r="N460" s="177"/>
      <c r="O460" s="177"/>
      <c r="P460" s="177"/>
      <c r="Q460" s="177"/>
      <c r="R460" s="177"/>
      <c r="S460" s="177"/>
      <c r="T460" s="177"/>
      <c r="U460" s="177"/>
      <c r="V460" s="177"/>
      <c r="W460" s="177"/>
      <c r="X460" s="177"/>
      <c r="Y460" s="177"/>
      <c r="Z460" s="177"/>
      <c r="AA460" s="177"/>
      <c r="AB460" s="177"/>
      <c r="AC460" s="177"/>
      <c r="AD460" s="177"/>
      <c r="AE460" s="177"/>
      <c r="AF460" s="177"/>
      <c r="AG460" s="177"/>
      <c r="AH460" s="177"/>
    </row>
    <row r="461" spans="2:34" s="8" customFormat="1" ht="14" x14ac:dyDescent="0.2">
      <c r="B461" s="8" t="s">
        <v>279</v>
      </c>
      <c r="D461" s="8" t="s">
        <v>209</v>
      </c>
      <c r="E461" s="177">
        <f>IF(F463=F461,1,2)</f>
        <v>2</v>
      </c>
      <c r="F461" s="220" t="s">
        <v>280</v>
      </c>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row>
    <row r="462" spans="2:34" s="8" customFormat="1" ht="14" x14ac:dyDescent="0.2">
      <c r="E462" s="177"/>
      <c r="F462" s="220" t="s">
        <v>281</v>
      </c>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row>
    <row r="463" spans="2:34" s="8" customFormat="1" ht="14" x14ac:dyDescent="0.2">
      <c r="B463" s="89" t="str">
        <f>IF(E461=1,"If fixed, enter interest rate"," ")</f>
        <v xml:space="preserve"> </v>
      </c>
      <c r="D463" s="169" t="str">
        <f>IF(E461=1,"%"," ")</f>
        <v xml:space="preserve"> </v>
      </c>
      <c r="E463" s="188">
        <v>0.05</v>
      </c>
      <c r="F463" s="500" t="s">
        <v>281</v>
      </c>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row>
    <row r="464" spans="2:34" s="8" customFormat="1" ht="14" x14ac:dyDescent="0.2">
      <c r="B464" s="89" t="str">
        <f>IF(E461=2,"if variable, enter margin on LIBOR"," ")</f>
        <v>if variable, enter margin on LIBOR</v>
      </c>
      <c r="D464" s="169" t="str">
        <f>IF(E461=2,"%"," ")</f>
        <v>%</v>
      </c>
      <c r="E464" s="188">
        <v>0.02</v>
      </c>
      <c r="F464" s="220"/>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row>
    <row r="465" spans="2:34" s="8" customFormat="1" ht="14" x14ac:dyDescent="0.2">
      <c r="B465" s="8" t="s">
        <v>54</v>
      </c>
      <c r="D465" s="8" t="s">
        <v>56</v>
      </c>
      <c r="E465" s="177">
        <v>15</v>
      </c>
      <c r="F465" s="220"/>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row>
    <row r="466" spans="2:34" s="8" customFormat="1" ht="14" x14ac:dyDescent="0.2">
      <c r="B466" s="8" t="s">
        <v>57</v>
      </c>
      <c r="D466" s="8" t="s">
        <v>56</v>
      </c>
      <c r="E466" s="177">
        <v>5</v>
      </c>
      <c r="F466" s="220" t="s">
        <v>283</v>
      </c>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row>
    <row r="467" spans="2:34" s="8" customFormat="1" ht="14" x14ac:dyDescent="0.2">
      <c r="B467" s="8" t="s">
        <v>282</v>
      </c>
      <c r="E467" s="177">
        <f>IF(F466=F467,1,IF(F466=F468,2,3))</f>
        <v>1</v>
      </c>
      <c r="F467" s="220" t="s">
        <v>283</v>
      </c>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row>
    <row r="468" spans="2:34" s="8" customFormat="1" ht="14" x14ac:dyDescent="0.2">
      <c r="E468" s="177"/>
      <c r="F468" s="420" t="s">
        <v>284</v>
      </c>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row>
    <row r="469" spans="2:34" s="8" customFormat="1" ht="14" x14ac:dyDescent="0.2">
      <c r="B469" s="8" t="s">
        <v>53</v>
      </c>
      <c r="D469" s="8" t="s">
        <v>58</v>
      </c>
      <c r="E469" s="202">
        <v>2.5000000000000001E-3</v>
      </c>
      <c r="F469" s="220" t="s">
        <v>680</v>
      </c>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row>
    <row r="470" spans="2:34" s="8" customFormat="1" ht="14" x14ac:dyDescent="0.2">
      <c r="B470" s="8" t="s">
        <v>55</v>
      </c>
      <c r="D470" s="8" t="s">
        <v>141</v>
      </c>
      <c r="E470" s="202">
        <v>0</v>
      </c>
      <c r="F470" s="87"/>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row>
    <row r="471" spans="2:34" s="8" customFormat="1" ht="14" x14ac:dyDescent="0.2">
      <c r="E471" s="203"/>
      <c r="F471" s="220"/>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row>
    <row r="472" spans="2:34" s="8" customFormat="1" ht="14" x14ac:dyDescent="0.2">
      <c r="B472" s="21" t="s">
        <v>124</v>
      </c>
      <c r="E472" s="199" t="str">
        <f>IF(E477&lt;&gt;SUM(F478:AH478),"WARNING: PRINCIPAL NOT EQUAL TO DRAWDOWN", " ")</f>
        <v xml:space="preserve"> </v>
      </c>
      <c r="F472" s="220" t="s">
        <v>653</v>
      </c>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row>
    <row r="473" spans="2:34" s="8" customFormat="1" ht="14" x14ac:dyDescent="0.2">
      <c r="B473" s="8" t="s">
        <v>62</v>
      </c>
      <c r="D473" s="8" t="s">
        <v>2</v>
      </c>
      <c r="E473" s="177" t="s">
        <v>143</v>
      </c>
      <c r="F473" s="226" t="str">
        <f>F455</f>
        <v>R$</v>
      </c>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row>
    <row r="474" spans="2:34" s="8" customFormat="1" ht="14" x14ac:dyDescent="0.2">
      <c r="B474" s="8" t="s">
        <v>386</v>
      </c>
      <c r="D474" s="8" t="s">
        <v>649</v>
      </c>
      <c r="E474" s="200">
        <v>3</v>
      </c>
      <c r="F474" s="227" t="str">
        <f>F420</f>
        <v>USD</v>
      </c>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row>
    <row r="475" spans="2:34" s="8" customFormat="1" ht="14" x14ac:dyDescent="0.2">
      <c r="B475" s="8" t="s">
        <v>52</v>
      </c>
      <c r="D475" s="8" t="s">
        <v>209</v>
      </c>
      <c r="E475" s="177">
        <f>IF(F472=F473,1,IF(F472=F474,2,3))</f>
        <v>1</v>
      </c>
      <c r="F475" s="227" t="str">
        <f>F421</f>
        <v>EUR</v>
      </c>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row>
    <row r="476" spans="2:34" s="8" customFormat="1" ht="14" x14ac:dyDescent="0.2">
      <c r="E476" s="177"/>
      <c r="F476" s="227"/>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row>
    <row r="477" spans="2:34" s="8" customFormat="1" ht="14" x14ac:dyDescent="0.2">
      <c r="B477" s="8" t="s">
        <v>60</v>
      </c>
      <c r="D477" s="20" t="str">
        <f>IF(E475=1,F383&amp;" millions",IF(E475=2,F384&amp;" millions",IF(E475=3,F385&amp;" millions"," ")))</f>
        <v>R$ millions</v>
      </c>
      <c r="E477" s="177">
        <v>50</v>
      </c>
      <c r="F477" s="220"/>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row>
    <row r="478" spans="2:34" s="8" customFormat="1" ht="14" x14ac:dyDescent="0.2">
      <c r="B478" s="8" t="s">
        <v>121</v>
      </c>
      <c r="D478" s="20" t="str">
        <f>D477</f>
        <v>R$ millions</v>
      </c>
      <c r="E478" s="201"/>
      <c r="F478" s="177"/>
      <c r="G478" s="177">
        <v>10</v>
      </c>
      <c r="H478" s="177">
        <v>10</v>
      </c>
      <c r="I478" s="177">
        <v>10</v>
      </c>
      <c r="J478" s="177">
        <v>10</v>
      </c>
      <c r="K478" s="177">
        <v>10</v>
      </c>
      <c r="L478" s="177"/>
      <c r="M478" s="177"/>
      <c r="N478" s="177"/>
      <c r="O478" s="177"/>
      <c r="P478" s="177"/>
      <c r="Q478" s="177"/>
      <c r="R478" s="177"/>
      <c r="S478" s="177"/>
      <c r="T478" s="177"/>
      <c r="U478" s="177"/>
      <c r="V478" s="177"/>
      <c r="W478" s="177"/>
      <c r="X478" s="177"/>
      <c r="Y478" s="177"/>
      <c r="Z478" s="177"/>
      <c r="AA478" s="177"/>
      <c r="AB478" s="177"/>
      <c r="AC478" s="177"/>
      <c r="AD478" s="177"/>
      <c r="AE478" s="177"/>
      <c r="AF478" s="177"/>
      <c r="AG478" s="177"/>
      <c r="AH478" s="177"/>
    </row>
    <row r="479" spans="2:34" s="8" customFormat="1" ht="14" x14ac:dyDescent="0.2">
      <c r="B479" s="8" t="s">
        <v>279</v>
      </c>
      <c r="D479" s="8" t="s">
        <v>209</v>
      </c>
      <c r="E479" s="177">
        <f>IF(F481=F479,1,2)</f>
        <v>1</v>
      </c>
      <c r="F479" s="220" t="s">
        <v>280</v>
      </c>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row>
    <row r="480" spans="2:34" s="8" customFormat="1" ht="14" x14ac:dyDescent="0.2">
      <c r="E480" s="177"/>
      <c r="F480" s="220" t="s">
        <v>281</v>
      </c>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row>
    <row r="481" spans="2:34" s="8" customFormat="1" ht="14" x14ac:dyDescent="0.2">
      <c r="B481" s="89" t="str">
        <f>IF(E479=1,"If fixed, enter interest rate"," ")</f>
        <v>If fixed, enter interest rate</v>
      </c>
      <c r="D481" s="169" t="str">
        <f>IF(E479=1,"%"," ")</f>
        <v>%</v>
      </c>
      <c r="E481" s="188">
        <v>0.05</v>
      </c>
      <c r="F481" s="500" t="s">
        <v>280</v>
      </c>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row>
    <row r="482" spans="2:34" s="8" customFormat="1" ht="14" x14ac:dyDescent="0.2">
      <c r="B482" s="89" t="str">
        <f>IF(E479=2,"if variable, enter margin on LIBOR"," ")</f>
        <v xml:space="preserve"> </v>
      </c>
      <c r="D482" s="169" t="str">
        <f>IF(E479=2,"%"," ")</f>
        <v xml:space="preserve"> </v>
      </c>
      <c r="E482" s="188">
        <v>0.02</v>
      </c>
      <c r="F482" s="220"/>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row>
    <row r="483" spans="2:34" s="8" customFormat="1" ht="14" x14ac:dyDescent="0.2">
      <c r="B483" s="8" t="s">
        <v>54</v>
      </c>
      <c r="D483" s="8" t="s">
        <v>56</v>
      </c>
      <c r="E483" s="177">
        <v>15</v>
      </c>
      <c r="F483" s="220"/>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row>
    <row r="484" spans="2:34" s="8" customFormat="1" ht="14" x14ac:dyDescent="0.2">
      <c r="B484" s="8" t="s">
        <v>57</v>
      </c>
      <c r="D484" s="8" t="s">
        <v>56</v>
      </c>
      <c r="E484" s="177">
        <v>5</v>
      </c>
      <c r="F484" s="220" t="s">
        <v>283</v>
      </c>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row>
    <row r="485" spans="2:34" s="8" customFormat="1" ht="14" x14ac:dyDescent="0.2">
      <c r="B485" s="8" t="s">
        <v>282</v>
      </c>
      <c r="E485" s="177">
        <f>IF(F484=F485,1,IF(F484=F486,2,3))</f>
        <v>1</v>
      </c>
      <c r="F485" s="220" t="s">
        <v>283</v>
      </c>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row>
    <row r="486" spans="2:34" s="8" customFormat="1" ht="14" x14ac:dyDescent="0.2">
      <c r="E486" s="177"/>
      <c r="F486" s="420" t="s">
        <v>284</v>
      </c>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row>
    <row r="487" spans="2:34" s="8" customFormat="1" ht="14" x14ac:dyDescent="0.2">
      <c r="B487" s="8" t="s">
        <v>53</v>
      </c>
      <c r="D487" s="8" t="s">
        <v>58</v>
      </c>
      <c r="E487" s="202">
        <v>2.5000000000000001E-3</v>
      </c>
      <c r="F487" s="220" t="s">
        <v>680</v>
      </c>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row>
    <row r="488" spans="2:34" s="8" customFormat="1" ht="14" x14ac:dyDescent="0.2">
      <c r="B488" s="8" t="s">
        <v>55</v>
      </c>
      <c r="D488" s="8" t="s">
        <v>141</v>
      </c>
      <c r="E488" s="202">
        <v>0</v>
      </c>
      <c r="F488" s="87"/>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row>
    <row r="489" spans="2:34" s="8" customFormat="1" ht="14" x14ac:dyDescent="0.2">
      <c r="E489" s="203"/>
      <c r="F489" s="220"/>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row>
    <row r="490" spans="2:34" s="316" customFormat="1" x14ac:dyDescent="0.2">
      <c r="B490" s="315" t="str">
        <f>"Other long-term liabilities for " &amp;'Assumptions - General'!$E$26</f>
        <v>Other long-term liabilities for Ruritania Railway Infrastructure Company</v>
      </c>
    </row>
    <row r="491" spans="2:34" s="8" customFormat="1" ht="14" x14ac:dyDescent="0.2">
      <c r="B491" s="7"/>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row>
    <row r="492" spans="2:34" s="8" customFormat="1" ht="14" x14ac:dyDescent="0.2">
      <c r="B492" s="21" t="s">
        <v>327</v>
      </c>
      <c r="E492" s="168"/>
      <c r="F492" s="87"/>
    </row>
    <row r="493" spans="2:34" s="8" customFormat="1" ht="14" x14ac:dyDescent="0.2">
      <c r="B493" s="30" t="s">
        <v>329</v>
      </c>
      <c r="D493" s="10" t="str">
        <f>'Assumptions - General'!$E$27 &amp;" millions"</f>
        <v>R$ millions</v>
      </c>
      <c r="E493" s="176">
        <v>20</v>
      </c>
      <c r="F493" s="191">
        <v>20</v>
      </c>
      <c r="G493" s="191">
        <v>20</v>
      </c>
      <c r="H493" s="191">
        <v>20</v>
      </c>
      <c r="I493" s="191">
        <v>20</v>
      </c>
      <c r="J493" s="191">
        <v>20</v>
      </c>
      <c r="K493" s="191">
        <v>20</v>
      </c>
      <c r="L493" s="191">
        <v>20</v>
      </c>
      <c r="M493" s="191">
        <v>20</v>
      </c>
      <c r="N493" s="191">
        <v>20</v>
      </c>
      <c r="O493" s="191">
        <v>20</v>
      </c>
      <c r="P493" s="191">
        <v>20</v>
      </c>
      <c r="Q493" s="191">
        <v>20</v>
      </c>
      <c r="R493" s="191">
        <v>20</v>
      </c>
      <c r="S493" s="191">
        <v>20</v>
      </c>
      <c r="T493" s="191">
        <v>20</v>
      </c>
      <c r="U493" s="191">
        <v>20</v>
      </c>
      <c r="V493" s="191">
        <v>20</v>
      </c>
      <c r="W493" s="191">
        <v>20</v>
      </c>
      <c r="X493" s="191">
        <v>20</v>
      </c>
      <c r="Y493" s="191">
        <v>20</v>
      </c>
      <c r="Z493" s="191">
        <v>20</v>
      </c>
      <c r="AA493" s="191">
        <v>20</v>
      </c>
      <c r="AB493" s="191">
        <v>20</v>
      </c>
      <c r="AC493" s="191">
        <v>20</v>
      </c>
      <c r="AD493" s="191">
        <v>20</v>
      </c>
      <c r="AE493" s="191">
        <v>20</v>
      </c>
      <c r="AF493" s="191">
        <v>20</v>
      </c>
      <c r="AG493" s="191">
        <v>20</v>
      </c>
      <c r="AH493" s="191">
        <v>20</v>
      </c>
    </row>
    <row r="494" spans="2:34" s="20" customFormat="1" ht="14" x14ac:dyDescent="0.2">
      <c r="B494" s="230"/>
      <c r="D494" s="122"/>
      <c r="E494" s="192"/>
      <c r="F494" s="192"/>
      <c r="G494" s="192"/>
      <c r="H494" s="192"/>
      <c r="I494" s="192"/>
      <c r="J494" s="192"/>
      <c r="K494" s="192"/>
      <c r="L494" s="192"/>
      <c r="M494" s="192"/>
      <c r="N494" s="192"/>
      <c r="O494" s="192"/>
      <c r="P494" s="192"/>
      <c r="Q494" s="192"/>
      <c r="R494" s="192"/>
      <c r="S494" s="192"/>
      <c r="T494" s="192"/>
      <c r="U494" s="192"/>
      <c r="V494" s="192"/>
      <c r="W494" s="192"/>
      <c r="X494" s="192"/>
      <c r="Y494" s="192"/>
      <c r="Z494" s="192"/>
      <c r="AA494" s="192"/>
      <c r="AB494" s="192"/>
      <c r="AC494" s="192"/>
      <c r="AD494" s="192"/>
      <c r="AE494" s="192"/>
      <c r="AF494" s="192"/>
      <c r="AG494" s="192"/>
      <c r="AH494" s="192"/>
    </row>
    <row r="495" spans="2:34" s="316" customFormat="1" x14ac:dyDescent="0.2">
      <c r="B495" s="315" t="str">
        <f>"Equity assumptions for " &amp;'Assumptions - General'!$E$26</f>
        <v>Equity assumptions for Ruritania Railway Infrastructure Company</v>
      </c>
    </row>
    <row r="496" spans="2:34" s="8" customFormat="1" ht="14" x14ac:dyDescent="0.2">
      <c r="B496" s="7"/>
      <c r="E496" s="199"/>
      <c r="F496" s="173"/>
      <c r="G496" s="9"/>
      <c r="H496" s="9"/>
      <c r="I496" s="173"/>
      <c r="J496" s="9"/>
      <c r="K496" s="9"/>
      <c r="L496" s="173"/>
      <c r="M496" s="9"/>
      <c r="N496" s="9"/>
      <c r="O496" s="173"/>
      <c r="P496" s="9"/>
      <c r="Q496" s="9"/>
      <c r="R496" s="173"/>
      <c r="T496" s="9"/>
      <c r="U496" s="173"/>
      <c r="V496" s="9"/>
      <c r="W496" s="9"/>
      <c r="X496" s="173"/>
      <c r="Y496" s="9"/>
      <c r="Z496" s="9"/>
      <c r="AA496" s="173"/>
      <c r="AB496" s="9"/>
      <c r="AC496" s="9"/>
      <c r="AD496" s="173"/>
      <c r="AE496" s="9"/>
      <c r="AF496" s="9"/>
      <c r="AG496" s="173"/>
      <c r="AH496" s="9"/>
    </row>
    <row r="497" spans="1:34" s="8" customFormat="1" ht="14" x14ac:dyDescent="0.2">
      <c r="B497" s="21" t="s">
        <v>65</v>
      </c>
      <c r="E497" s="182"/>
      <c r="F497" s="183"/>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row>
    <row r="498" spans="1:34" s="8" customFormat="1" ht="14" x14ac:dyDescent="0.2">
      <c r="B498" s="8" t="s">
        <v>63</v>
      </c>
      <c r="D498" s="8" t="s">
        <v>2</v>
      </c>
      <c r="E498" s="177" t="s">
        <v>64</v>
      </c>
      <c r="F498" s="183"/>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row>
    <row r="499" spans="1:34" s="8" customFormat="1" ht="14" x14ac:dyDescent="0.2">
      <c r="B499" s="8" t="s">
        <v>391</v>
      </c>
      <c r="D499" s="10" t="str">
        <f>'Assumptions - General'!$E$27 &amp;" millions"</f>
        <v>R$ millions</v>
      </c>
      <c r="E499" s="176">
        <v>5372.5</v>
      </c>
      <c r="F499" s="183"/>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row>
    <row r="500" spans="1:34" s="8" customFormat="1" ht="14" x14ac:dyDescent="0.2">
      <c r="B500" s="14" t="s">
        <v>393</v>
      </c>
      <c r="D500" s="10" t="str">
        <f>'Assumptions - General'!$E$27 &amp;" millions"</f>
        <v>R$ millions</v>
      </c>
      <c r="E500" s="192"/>
      <c r="F500" s="177"/>
      <c r="G500" s="177"/>
      <c r="H500" s="177"/>
      <c r="I500" s="177"/>
      <c r="J500" s="177"/>
      <c r="K500" s="177"/>
      <c r="L500" s="177"/>
      <c r="M500" s="177"/>
      <c r="N500" s="177"/>
      <c r="O500" s="177"/>
      <c r="P500" s="177"/>
      <c r="Q500" s="177"/>
      <c r="R500" s="177"/>
      <c r="S500" s="177"/>
      <c r="T500" s="177"/>
      <c r="U500" s="177"/>
      <c r="V500" s="177"/>
      <c r="W500" s="177"/>
      <c r="X500" s="177"/>
      <c r="Y500" s="177"/>
      <c r="Z500" s="177"/>
      <c r="AA500" s="177"/>
      <c r="AB500" s="177"/>
      <c r="AC500" s="177"/>
      <c r="AD500" s="177"/>
      <c r="AE500" s="177"/>
      <c r="AF500" s="177"/>
      <c r="AG500" s="177"/>
      <c r="AH500" s="177"/>
    </row>
    <row r="501" spans="1:34" s="8" customFormat="1" ht="14" x14ac:dyDescent="0.2">
      <c r="B501" s="8" t="s">
        <v>392</v>
      </c>
      <c r="D501" s="10" t="str">
        <f>'Assumptions - General'!$E$27 &amp;" millions"</f>
        <v>R$ millions</v>
      </c>
      <c r="E501" s="181">
        <v>200</v>
      </c>
      <c r="F501" s="183"/>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row>
    <row r="502" spans="1:34" s="8" customFormat="1" ht="14" collapsed="1" x14ac:dyDescent="0.2">
      <c r="B502" s="8" t="s">
        <v>527</v>
      </c>
      <c r="D502" s="10" t="str">
        <f>'Assumptions - General'!$E$27 &amp;" millions"</f>
        <v>R$ millions</v>
      </c>
      <c r="E502" s="192">
        <f>E499+E501</f>
        <v>5572.5</v>
      </c>
      <c r="F502" s="183"/>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row>
    <row r="503" spans="1:34" s="8" customFormat="1" ht="14" x14ac:dyDescent="0.2">
      <c r="B503" s="356"/>
      <c r="C503" s="356"/>
      <c r="D503" s="10"/>
      <c r="E503" s="112"/>
    </row>
    <row r="504" spans="1:34" x14ac:dyDescent="0.2">
      <c r="A504" s="7"/>
    </row>
    <row r="505" spans="1:34" s="8" customFormat="1" ht="14" x14ac:dyDescent="0.2">
      <c r="D505" s="10"/>
      <c r="E505" s="112"/>
    </row>
    <row r="506" spans="1:34" s="8" customFormat="1" ht="14" x14ac:dyDescent="0.2">
      <c r="E506" s="168"/>
      <c r="F506" s="87"/>
    </row>
    <row r="507" spans="1:34" s="8" customFormat="1" ht="14" x14ac:dyDescent="0.2">
      <c r="B507" s="7"/>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row>
  </sheetData>
  <mergeCells count="1">
    <mergeCell ref="E8:E10"/>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BM118"/>
  <sheetViews>
    <sheetView zoomScale="75" zoomScaleNormal="75" workbookViewId="0">
      <selection activeCell="E69" sqref="E69"/>
    </sheetView>
  </sheetViews>
  <sheetFormatPr baseColWidth="10" defaultColWidth="9.1640625" defaultRowHeight="15" outlineLevelRow="2" x14ac:dyDescent="0.2"/>
  <cols>
    <col min="1" max="1" width="9.1640625" style="1"/>
    <col min="2" max="2" width="15.33203125" style="1" customWidth="1"/>
    <col min="3" max="3" width="46" style="1" customWidth="1"/>
    <col min="4" max="4" width="22.6640625" style="1" customWidth="1"/>
    <col min="5" max="5" width="34.6640625" style="1" customWidth="1"/>
    <col min="6" max="6" width="11" style="1" bestFit="1" customWidth="1"/>
    <col min="7" max="13" width="11.33203125" style="1" bestFit="1" customWidth="1"/>
    <col min="14" max="28" width="10.5" style="1" bestFit="1" customWidth="1"/>
    <col min="29" max="29" width="11" style="1" customWidth="1"/>
    <col min="30" max="30" width="10.83203125" style="1" customWidth="1"/>
    <col min="31" max="31" width="11.33203125" style="1" customWidth="1"/>
    <col min="32" max="32" width="11.1640625" style="1" customWidth="1"/>
    <col min="33" max="33" width="11.6640625" style="1" customWidth="1"/>
    <col min="34" max="34" width="12.5" style="1" customWidth="1"/>
    <col min="35" max="16384" width="9.1640625" style="1"/>
  </cols>
  <sheetData>
    <row r="1" spans="2:34" s="2" customFormat="1" ht="13.5" customHeight="1" x14ac:dyDescent="0.2">
      <c r="B1" s="4" t="s">
        <v>0</v>
      </c>
    </row>
    <row r="2" spans="2:34" s="2" customFormat="1" x14ac:dyDescent="0.2">
      <c r="B2" s="3" t="str">
        <f>'Assumptions - General'!E23</f>
        <v xml:space="preserve">Ruritania Railways </v>
      </c>
    </row>
    <row r="3" spans="2:34" s="2" customFormat="1" x14ac:dyDescent="0.2">
      <c r="B3" s="3" t="str">
        <f>"All units in "  &amp;'Assumptions - General'!E27&amp;  " millions unless otherwise stated"</f>
        <v>All units in R$ millions unless otherwise stated</v>
      </c>
      <c r="C3" s="6"/>
    </row>
    <row r="4" spans="2:34" s="8" customFormat="1" ht="14" x14ac:dyDescent="0.2">
      <c r="B4" s="7" t="s">
        <v>99</v>
      </c>
      <c r="E4" s="8">
        <v>1</v>
      </c>
      <c r="F4" s="8">
        <v>2</v>
      </c>
      <c r="G4" s="8">
        <v>3</v>
      </c>
      <c r="H4" s="8">
        <v>4</v>
      </c>
      <c r="I4" s="8">
        <v>5</v>
      </c>
      <c r="J4" s="8">
        <v>6</v>
      </c>
      <c r="K4" s="8">
        <v>7</v>
      </c>
      <c r="L4" s="8">
        <v>8</v>
      </c>
      <c r="M4" s="8">
        <v>9</v>
      </c>
      <c r="N4" s="8">
        <v>10</v>
      </c>
      <c r="O4" s="8">
        <v>11</v>
      </c>
      <c r="P4" s="8">
        <v>12</v>
      </c>
      <c r="Q4" s="8">
        <v>13</v>
      </c>
      <c r="R4" s="8">
        <v>14</v>
      </c>
      <c r="S4" s="8">
        <v>15</v>
      </c>
      <c r="T4" s="8">
        <v>16</v>
      </c>
      <c r="U4" s="8">
        <v>17</v>
      </c>
      <c r="V4" s="8">
        <v>18</v>
      </c>
      <c r="W4" s="8">
        <v>19</v>
      </c>
      <c r="X4" s="8">
        <v>20</v>
      </c>
      <c r="Y4" s="8">
        <v>21</v>
      </c>
      <c r="Z4" s="8">
        <v>22</v>
      </c>
      <c r="AA4" s="8">
        <v>23</v>
      </c>
      <c r="AB4" s="8">
        <v>24</v>
      </c>
      <c r="AC4" s="8">
        <v>25</v>
      </c>
      <c r="AD4" s="8">
        <v>26</v>
      </c>
      <c r="AE4" s="8">
        <v>27</v>
      </c>
      <c r="AF4" s="8">
        <v>28</v>
      </c>
      <c r="AG4" s="8">
        <v>29</v>
      </c>
      <c r="AH4" s="8">
        <v>30</v>
      </c>
    </row>
    <row r="5" spans="2:34" s="8" customFormat="1" ht="14" x14ac:dyDescent="0.2">
      <c r="B5" s="7" t="s">
        <v>12</v>
      </c>
      <c r="E5" s="9">
        <f>'Assumptions - General'!$E$28</f>
        <v>40179</v>
      </c>
      <c r="F5" s="9">
        <f t="shared" ref="F5:AH5" si="0">E6+1</f>
        <v>40544</v>
      </c>
      <c r="G5" s="9">
        <f t="shared" si="0"/>
        <v>40909</v>
      </c>
      <c r="H5" s="9">
        <f t="shared" si="0"/>
        <v>41275</v>
      </c>
      <c r="I5" s="9">
        <f t="shared" si="0"/>
        <v>41640</v>
      </c>
      <c r="J5" s="9">
        <f t="shared" si="0"/>
        <v>42005</v>
      </c>
      <c r="K5" s="9">
        <f t="shared" si="0"/>
        <v>42370</v>
      </c>
      <c r="L5" s="9">
        <f t="shared" si="0"/>
        <v>42736</v>
      </c>
      <c r="M5" s="9">
        <f t="shared" si="0"/>
        <v>43101</v>
      </c>
      <c r="N5" s="9">
        <f t="shared" si="0"/>
        <v>43466</v>
      </c>
      <c r="O5" s="9">
        <f t="shared" si="0"/>
        <v>43831</v>
      </c>
      <c r="P5" s="9">
        <f t="shared" si="0"/>
        <v>44197</v>
      </c>
      <c r="Q5" s="9">
        <f t="shared" si="0"/>
        <v>44562</v>
      </c>
      <c r="R5" s="9">
        <f t="shared" si="0"/>
        <v>44927</v>
      </c>
      <c r="S5" s="9">
        <f t="shared" si="0"/>
        <v>45292</v>
      </c>
      <c r="T5" s="9">
        <f t="shared" si="0"/>
        <v>45658</v>
      </c>
      <c r="U5" s="9">
        <f t="shared" si="0"/>
        <v>46023</v>
      </c>
      <c r="V5" s="9">
        <f t="shared" si="0"/>
        <v>46388</v>
      </c>
      <c r="W5" s="9">
        <f t="shared" si="0"/>
        <v>46753</v>
      </c>
      <c r="X5" s="9">
        <f t="shared" si="0"/>
        <v>47119</v>
      </c>
      <c r="Y5" s="9">
        <f t="shared" si="0"/>
        <v>47484</v>
      </c>
      <c r="Z5" s="9">
        <f t="shared" si="0"/>
        <v>47849</v>
      </c>
      <c r="AA5" s="9">
        <f t="shared" si="0"/>
        <v>48214</v>
      </c>
      <c r="AB5" s="9">
        <f t="shared" si="0"/>
        <v>48580</v>
      </c>
      <c r="AC5" s="9">
        <f t="shared" si="0"/>
        <v>48945</v>
      </c>
      <c r="AD5" s="9">
        <f t="shared" si="0"/>
        <v>49310</v>
      </c>
      <c r="AE5" s="9">
        <f t="shared" si="0"/>
        <v>49675</v>
      </c>
      <c r="AF5" s="9">
        <f t="shared" si="0"/>
        <v>50041</v>
      </c>
      <c r="AG5" s="9">
        <f t="shared" si="0"/>
        <v>50406</v>
      </c>
      <c r="AH5" s="9">
        <f t="shared" si="0"/>
        <v>50771</v>
      </c>
    </row>
    <row r="6" spans="2:34" s="8" customFormat="1" ht="14" x14ac:dyDescent="0.2">
      <c r="B6" s="7" t="s">
        <v>13</v>
      </c>
      <c r="E6" s="9">
        <f t="shared" ref="E6:AH6" si="1">DATE(YEAR(E5)+1, MONTH(E5), DAY(E5)-1)</f>
        <v>40543</v>
      </c>
      <c r="F6" s="9">
        <f t="shared" si="1"/>
        <v>40908</v>
      </c>
      <c r="G6" s="9">
        <f t="shared" si="1"/>
        <v>41274</v>
      </c>
      <c r="H6" s="9">
        <f t="shared" si="1"/>
        <v>41639</v>
      </c>
      <c r="I6" s="9">
        <f t="shared" si="1"/>
        <v>42004</v>
      </c>
      <c r="J6" s="9">
        <f t="shared" si="1"/>
        <v>42369</v>
      </c>
      <c r="K6" s="9">
        <f t="shared" si="1"/>
        <v>42735</v>
      </c>
      <c r="L6" s="9">
        <f t="shared" si="1"/>
        <v>43100</v>
      </c>
      <c r="M6" s="9">
        <f t="shared" si="1"/>
        <v>43465</v>
      </c>
      <c r="N6" s="9">
        <f t="shared" si="1"/>
        <v>43830</v>
      </c>
      <c r="O6" s="9">
        <f t="shared" si="1"/>
        <v>44196</v>
      </c>
      <c r="P6" s="9">
        <f t="shared" si="1"/>
        <v>44561</v>
      </c>
      <c r="Q6" s="9">
        <f t="shared" si="1"/>
        <v>44926</v>
      </c>
      <c r="R6" s="9">
        <f t="shared" si="1"/>
        <v>45291</v>
      </c>
      <c r="S6" s="9">
        <f t="shared" si="1"/>
        <v>45657</v>
      </c>
      <c r="T6" s="9">
        <f t="shared" si="1"/>
        <v>46022</v>
      </c>
      <c r="U6" s="9">
        <f t="shared" si="1"/>
        <v>46387</v>
      </c>
      <c r="V6" s="9">
        <f t="shared" si="1"/>
        <v>46752</v>
      </c>
      <c r="W6" s="9">
        <f t="shared" si="1"/>
        <v>47118</v>
      </c>
      <c r="X6" s="9">
        <f t="shared" si="1"/>
        <v>47483</v>
      </c>
      <c r="Y6" s="9">
        <f t="shared" si="1"/>
        <v>47848</v>
      </c>
      <c r="Z6" s="9">
        <f t="shared" si="1"/>
        <v>48213</v>
      </c>
      <c r="AA6" s="9">
        <f t="shared" si="1"/>
        <v>48579</v>
      </c>
      <c r="AB6" s="9">
        <f t="shared" si="1"/>
        <v>48944</v>
      </c>
      <c r="AC6" s="9">
        <f t="shared" si="1"/>
        <v>49309</v>
      </c>
      <c r="AD6" s="9">
        <f t="shared" si="1"/>
        <v>49674</v>
      </c>
      <c r="AE6" s="9">
        <f t="shared" si="1"/>
        <v>50040</v>
      </c>
      <c r="AF6" s="9">
        <f t="shared" si="1"/>
        <v>50405</v>
      </c>
      <c r="AG6" s="9">
        <f t="shared" si="1"/>
        <v>50770</v>
      </c>
      <c r="AH6" s="9">
        <f t="shared" si="1"/>
        <v>51135</v>
      </c>
    </row>
    <row r="7" spans="2:34" s="8" customFormat="1" ht="14" x14ac:dyDescent="0.2"/>
    <row r="8" spans="2:34" s="8" customFormat="1" ht="14" x14ac:dyDescent="0.2">
      <c r="B8" s="110"/>
      <c r="C8" s="8" t="s">
        <v>217</v>
      </c>
      <c r="E8" s="510" t="str">
        <f>IF('Scenarios - Consolidated'!F3=1,"NOTE: SCENARIO ANALYSIS ASSUMPTIONS IN USE"," ")</f>
        <v xml:space="preserve"> </v>
      </c>
      <c r="F8" s="87">
        <v>1</v>
      </c>
    </row>
    <row r="9" spans="2:34" s="8" customFormat="1" ht="14" x14ac:dyDescent="0.2">
      <c r="B9" s="175"/>
      <c r="C9" s="8" t="s">
        <v>346</v>
      </c>
      <c r="E9" s="511"/>
      <c r="F9" s="87"/>
    </row>
    <row r="10" spans="2:34" ht="19.5" customHeight="1" x14ac:dyDescent="0.2">
      <c r="E10" s="511"/>
    </row>
    <row r="11" spans="2:34" s="2" customFormat="1" x14ac:dyDescent="0.2">
      <c r="B11" s="4" t="str">
        <f>"Network and operational assumptions for "&amp;'Assumptions - General'!E23</f>
        <v xml:space="preserve">Network and operational assumptions for Ruritania Railways </v>
      </c>
      <c r="D11" s="4"/>
      <c r="E11" s="4" t="str">
        <f>IF(AND('Scenarios - Consolidated'!$F$3=1,'Scenarios - Consolidated'!$H$20=1),"NOTE: SCENARIO ANALYSIS STAFF ASSUMPTIONS IN USE"," ")</f>
        <v xml:space="preserve"> </v>
      </c>
    </row>
    <row r="12" spans="2:34" s="18" customFormat="1" x14ac:dyDescent="0.2">
      <c r="B12" s="17"/>
      <c r="D12" s="17"/>
      <c r="E12" s="17"/>
    </row>
    <row r="13" spans="2:34" s="8" customFormat="1" ht="14" x14ac:dyDescent="0.2">
      <c r="B13" s="8" t="s">
        <v>335</v>
      </c>
      <c r="D13" s="8" t="s">
        <v>179</v>
      </c>
      <c r="E13" s="262">
        <f>'Assumptions - Freight'!E13</f>
        <v>15000</v>
      </c>
      <c r="F13" s="262">
        <f>'Assumptions - Freight'!F13</f>
        <v>15000</v>
      </c>
      <c r="G13" s="262">
        <f>'Assumptions - Freight'!G13</f>
        <v>15000</v>
      </c>
      <c r="H13" s="262">
        <f>'Assumptions - Freight'!H13</f>
        <v>15000</v>
      </c>
      <c r="I13" s="262">
        <f>'Assumptions - Freight'!I13</f>
        <v>15000</v>
      </c>
      <c r="J13" s="262">
        <f>'Assumptions - Freight'!J13</f>
        <v>15000</v>
      </c>
      <c r="K13" s="262">
        <f>'Assumptions - Freight'!K13</f>
        <v>15000</v>
      </c>
      <c r="L13" s="262">
        <f>'Assumptions - Freight'!L13</f>
        <v>15000</v>
      </c>
      <c r="M13" s="262">
        <f>'Assumptions - Freight'!M13</f>
        <v>15000</v>
      </c>
      <c r="N13" s="262">
        <f>'Assumptions - Freight'!N13</f>
        <v>15000</v>
      </c>
      <c r="O13" s="262">
        <f>'Assumptions - Freight'!O13</f>
        <v>15000</v>
      </c>
      <c r="P13" s="262">
        <f>'Assumptions - Freight'!P13</f>
        <v>15000</v>
      </c>
      <c r="Q13" s="262">
        <f>'Assumptions - Freight'!Q13</f>
        <v>15000</v>
      </c>
      <c r="R13" s="262">
        <f>'Assumptions - Freight'!R13</f>
        <v>15000</v>
      </c>
      <c r="S13" s="262">
        <f>'Assumptions - Freight'!S13</f>
        <v>15000</v>
      </c>
      <c r="T13" s="262">
        <f>'Assumptions - Freight'!T13</f>
        <v>15000</v>
      </c>
      <c r="U13" s="262">
        <f>'Assumptions - Freight'!U13</f>
        <v>15000</v>
      </c>
      <c r="V13" s="262">
        <f>'Assumptions - Freight'!V13</f>
        <v>15000</v>
      </c>
      <c r="W13" s="262">
        <f>'Assumptions - Freight'!W13</f>
        <v>15000</v>
      </c>
      <c r="X13" s="262">
        <f>'Assumptions - Freight'!X13</f>
        <v>15000</v>
      </c>
      <c r="Y13" s="262">
        <f>'Assumptions - Freight'!Y13</f>
        <v>15000</v>
      </c>
      <c r="Z13" s="262">
        <f>'Assumptions - Freight'!Z13</f>
        <v>15000</v>
      </c>
      <c r="AA13" s="262">
        <f>'Assumptions - Freight'!AA13</f>
        <v>15000</v>
      </c>
      <c r="AB13" s="262">
        <f>'Assumptions - Freight'!AB13</f>
        <v>15000</v>
      </c>
      <c r="AC13" s="262">
        <f>'Assumptions - Freight'!AC13</f>
        <v>15000</v>
      </c>
      <c r="AD13" s="262">
        <f>'Assumptions - Freight'!AD13</f>
        <v>15000</v>
      </c>
      <c r="AE13" s="262">
        <f>'Assumptions - Freight'!AE13</f>
        <v>15000</v>
      </c>
      <c r="AF13" s="262">
        <f>'Assumptions - Freight'!AF13</f>
        <v>15000</v>
      </c>
      <c r="AG13" s="262">
        <f>'Assumptions - Freight'!AG13</f>
        <v>15000</v>
      </c>
      <c r="AH13" s="262">
        <f>'Assumptions - Freight'!AH13</f>
        <v>15000</v>
      </c>
    </row>
    <row r="14" spans="2:34" s="8" customFormat="1" ht="14" x14ac:dyDescent="0.2">
      <c r="B14" s="16" t="str">
        <f>"Additional staff of "&amp;'Assumptions - General'!E24</f>
        <v>Additional staff of Ruritania Freight Rail Company</v>
      </c>
      <c r="D14" s="8" t="s">
        <v>228</v>
      </c>
      <c r="E14" s="176">
        <v>500</v>
      </c>
      <c r="F14" s="191">
        <v>500</v>
      </c>
      <c r="G14" s="191">
        <v>500</v>
      </c>
      <c r="H14" s="191">
        <v>500</v>
      </c>
      <c r="I14" s="191">
        <v>500</v>
      </c>
      <c r="J14" s="191">
        <v>500</v>
      </c>
      <c r="K14" s="191">
        <v>500</v>
      </c>
      <c r="L14" s="191">
        <v>500</v>
      </c>
      <c r="M14" s="191">
        <v>500</v>
      </c>
      <c r="N14" s="191">
        <v>500</v>
      </c>
      <c r="O14" s="191">
        <v>500</v>
      </c>
      <c r="P14" s="191">
        <v>500</v>
      </c>
      <c r="Q14" s="191">
        <v>500</v>
      </c>
      <c r="R14" s="191">
        <v>500</v>
      </c>
      <c r="S14" s="191">
        <v>500</v>
      </c>
      <c r="T14" s="191">
        <v>500</v>
      </c>
      <c r="U14" s="191">
        <v>500</v>
      </c>
      <c r="V14" s="191">
        <v>500</v>
      </c>
      <c r="W14" s="191">
        <v>500</v>
      </c>
      <c r="X14" s="191">
        <v>500</v>
      </c>
      <c r="Y14" s="191">
        <v>500</v>
      </c>
      <c r="Z14" s="191">
        <v>500</v>
      </c>
      <c r="AA14" s="191">
        <v>500</v>
      </c>
      <c r="AB14" s="191">
        <v>500</v>
      </c>
      <c r="AC14" s="191">
        <v>500</v>
      </c>
      <c r="AD14" s="191">
        <v>500</v>
      </c>
      <c r="AE14" s="191">
        <v>500</v>
      </c>
      <c r="AF14" s="191">
        <v>500</v>
      </c>
      <c r="AG14" s="191">
        <v>500</v>
      </c>
      <c r="AH14" s="191">
        <v>500</v>
      </c>
    </row>
    <row r="15" spans="2:34" s="8" customFormat="1" ht="14" x14ac:dyDescent="0.2">
      <c r="B15" s="16" t="str">
        <f>"Additional staff of "&amp;'Assumptions - General'!E25</f>
        <v>Additional staff of Ruritania Passenger Rail Company</v>
      </c>
      <c r="D15" s="8" t="s">
        <v>228</v>
      </c>
      <c r="E15" s="176">
        <v>500</v>
      </c>
      <c r="F15" s="191">
        <v>500</v>
      </c>
      <c r="G15" s="191">
        <v>500</v>
      </c>
      <c r="H15" s="191">
        <v>500</v>
      </c>
      <c r="I15" s="191">
        <v>500</v>
      </c>
      <c r="J15" s="191">
        <v>500</v>
      </c>
      <c r="K15" s="191">
        <v>500</v>
      </c>
      <c r="L15" s="191">
        <v>500</v>
      </c>
      <c r="M15" s="191">
        <v>500</v>
      </c>
      <c r="N15" s="191">
        <v>500</v>
      </c>
      <c r="O15" s="191">
        <v>500</v>
      </c>
      <c r="P15" s="191">
        <v>500</v>
      </c>
      <c r="Q15" s="191">
        <v>500</v>
      </c>
      <c r="R15" s="191">
        <v>500</v>
      </c>
      <c r="S15" s="191">
        <v>500</v>
      </c>
      <c r="T15" s="191">
        <v>500</v>
      </c>
      <c r="U15" s="191">
        <v>500</v>
      </c>
      <c r="V15" s="191">
        <v>500</v>
      </c>
      <c r="W15" s="191">
        <v>500</v>
      </c>
      <c r="X15" s="191">
        <v>500</v>
      </c>
      <c r="Y15" s="191">
        <v>500</v>
      </c>
      <c r="Z15" s="191">
        <v>500</v>
      </c>
      <c r="AA15" s="191">
        <v>500</v>
      </c>
      <c r="AB15" s="191">
        <v>500</v>
      </c>
      <c r="AC15" s="191">
        <v>500</v>
      </c>
      <c r="AD15" s="191">
        <v>500</v>
      </c>
      <c r="AE15" s="191">
        <v>500</v>
      </c>
      <c r="AF15" s="191">
        <v>500</v>
      </c>
      <c r="AG15" s="191">
        <v>500</v>
      </c>
      <c r="AH15" s="191">
        <v>500</v>
      </c>
    </row>
    <row r="16" spans="2:34" s="8" customFormat="1" ht="14" x14ac:dyDescent="0.2">
      <c r="B16" s="16" t="str">
        <f>"Additional staff of "&amp;'Assumptions - General'!E26</f>
        <v>Additional staff of Ruritania Railway Infrastructure Company</v>
      </c>
      <c r="D16" s="8" t="s">
        <v>228</v>
      </c>
      <c r="E16" s="176">
        <v>500</v>
      </c>
      <c r="F16" s="191">
        <v>500</v>
      </c>
      <c r="G16" s="191">
        <v>500</v>
      </c>
      <c r="H16" s="191">
        <v>500</v>
      </c>
      <c r="I16" s="191">
        <v>500</v>
      </c>
      <c r="J16" s="191">
        <v>500</v>
      </c>
      <c r="K16" s="191">
        <v>500</v>
      </c>
      <c r="L16" s="191">
        <v>500</v>
      </c>
      <c r="M16" s="191">
        <v>500</v>
      </c>
      <c r="N16" s="191">
        <v>500</v>
      </c>
      <c r="O16" s="191">
        <v>500</v>
      </c>
      <c r="P16" s="191">
        <v>500</v>
      </c>
      <c r="Q16" s="191">
        <v>500</v>
      </c>
      <c r="R16" s="191">
        <v>500</v>
      </c>
      <c r="S16" s="191">
        <v>500</v>
      </c>
      <c r="T16" s="191">
        <v>500</v>
      </c>
      <c r="U16" s="191">
        <v>500</v>
      </c>
      <c r="V16" s="191">
        <v>500</v>
      </c>
      <c r="W16" s="191">
        <v>500</v>
      </c>
      <c r="X16" s="191">
        <v>500</v>
      </c>
      <c r="Y16" s="191">
        <v>500</v>
      </c>
      <c r="Z16" s="191">
        <v>500</v>
      </c>
      <c r="AA16" s="191">
        <v>500</v>
      </c>
      <c r="AB16" s="191">
        <v>500</v>
      </c>
      <c r="AC16" s="191">
        <v>500</v>
      </c>
      <c r="AD16" s="191">
        <v>500</v>
      </c>
      <c r="AE16" s="191">
        <v>500</v>
      </c>
      <c r="AF16" s="191">
        <v>500</v>
      </c>
      <c r="AG16" s="191">
        <v>500</v>
      </c>
      <c r="AH16" s="191">
        <v>500</v>
      </c>
    </row>
    <row r="17" spans="2:64" s="8" customFormat="1" ht="14" x14ac:dyDescent="0.2">
      <c r="B17" s="8" t="str">
        <f>"Total other staff of "&amp;'Assumptions - General'!E23</f>
        <v xml:space="preserve">Total other staff of Ruritania Railways </v>
      </c>
      <c r="D17" s="8" t="s">
        <v>39</v>
      </c>
      <c r="E17" s="262">
        <f>'Assumptions - Freight'!E305+'Assumptions - Passenger'!E254+'Assumptions - Infrastructure'!E240</f>
        <v>45000</v>
      </c>
      <c r="F17" s="262">
        <f>'Assumptions - Freight'!F305+'Assumptions - Passenger'!F254+'Assumptions - Infrastructure'!F240</f>
        <v>46000</v>
      </c>
      <c r="G17" s="262">
        <f>'Assumptions - Freight'!G305+'Assumptions - Passenger'!G254+'Assumptions - Infrastructure'!G240</f>
        <v>47000</v>
      </c>
      <c r="H17" s="262">
        <f>'Assumptions - Freight'!H305+'Assumptions - Passenger'!H254+'Assumptions - Infrastructure'!H240</f>
        <v>51000</v>
      </c>
      <c r="I17" s="262">
        <f>'Assumptions - Freight'!I305+'Assumptions - Passenger'!I254+'Assumptions - Infrastructure'!I240</f>
        <v>55000</v>
      </c>
      <c r="J17" s="262">
        <f>'Assumptions - Freight'!J305+'Assumptions - Passenger'!J254+'Assumptions - Infrastructure'!J240</f>
        <v>55000</v>
      </c>
      <c r="K17" s="262">
        <f>'Assumptions - Freight'!K305+'Assumptions - Passenger'!K254+'Assumptions - Infrastructure'!K240</f>
        <v>55000</v>
      </c>
      <c r="L17" s="262">
        <f>'Assumptions - Freight'!L305+'Assumptions - Passenger'!L254+'Assumptions - Infrastructure'!L240</f>
        <v>55000</v>
      </c>
      <c r="M17" s="262">
        <f>'Assumptions - Freight'!M305+'Assumptions - Passenger'!M254+'Assumptions - Infrastructure'!M240</f>
        <v>55000</v>
      </c>
      <c r="N17" s="262">
        <f>'Assumptions - Freight'!N305+'Assumptions - Passenger'!N254+'Assumptions - Infrastructure'!N240</f>
        <v>55000</v>
      </c>
      <c r="O17" s="262">
        <f>'Assumptions - Freight'!O305+'Assumptions - Passenger'!O254+'Assumptions - Infrastructure'!O240</f>
        <v>55000</v>
      </c>
      <c r="P17" s="262">
        <f>'Assumptions - Freight'!P305+'Assumptions - Passenger'!P254+'Assumptions - Infrastructure'!P240</f>
        <v>55000</v>
      </c>
      <c r="Q17" s="262">
        <f>'Assumptions - Freight'!Q305+'Assumptions - Passenger'!Q254+'Assumptions - Infrastructure'!Q240</f>
        <v>55000</v>
      </c>
      <c r="R17" s="262">
        <f>'Assumptions - Freight'!R305+'Assumptions - Passenger'!R254+'Assumptions - Infrastructure'!R240</f>
        <v>55000</v>
      </c>
      <c r="S17" s="262">
        <f>'Assumptions - Freight'!S305+'Assumptions - Passenger'!S254+'Assumptions - Infrastructure'!S240</f>
        <v>55000</v>
      </c>
      <c r="T17" s="262">
        <f>'Assumptions - Freight'!T305+'Assumptions - Passenger'!T254+'Assumptions - Infrastructure'!T240</f>
        <v>55000</v>
      </c>
      <c r="U17" s="262">
        <f>'Assumptions - Freight'!U305+'Assumptions - Passenger'!U254+'Assumptions - Infrastructure'!U240</f>
        <v>55000</v>
      </c>
      <c r="V17" s="262">
        <f>'Assumptions - Freight'!V305+'Assumptions - Passenger'!V254+'Assumptions - Infrastructure'!V240</f>
        <v>55000</v>
      </c>
      <c r="W17" s="262">
        <f>'Assumptions - Freight'!W305+'Assumptions - Passenger'!W254+'Assumptions - Infrastructure'!W240</f>
        <v>55000</v>
      </c>
      <c r="X17" s="262">
        <f>'Assumptions - Freight'!X305+'Assumptions - Passenger'!X254+'Assumptions - Infrastructure'!X240</f>
        <v>55000</v>
      </c>
      <c r="Y17" s="262">
        <f>'Assumptions - Freight'!Y305+'Assumptions - Passenger'!Y254+'Assumptions - Infrastructure'!Y240</f>
        <v>55000</v>
      </c>
      <c r="Z17" s="262">
        <f>'Assumptions - Freight'!Z305+'Assumptions - Passenger'!Z254+'Assumptions - Infrastructure'!Z240</f>
        <v>55000</v>
      </c>
      <c r="AA17" s="262">
        <f>'Assumptions - Freight'!AA305+'Assumptions - Passenger'!AA254+'Assumptions - Infrastructure'!AA240</f>
        <v>55000</v>
      </c>
      <c r="AB17" s="262">
        <f>'Assumptions - Freight'!AB305+'Assumptions - Passenger'!AB254+'Assumptions - Infrastructure'!AB240</f>
        <v>55000</v>
      </c>
      <c r="AC17" s="262">
        <f>'Assumptions - Freight'!AC305+'Assumptions - Passenger'!AC254+'Assumptions - Infrastructure'!AC240</f>
        <v>55000</v>
      </c>
      <c r="AD17" s="262">
        <f>'Assumptions - Freight'!AD305+'Assumptions - Passenger'!AD254+'Assumptions - Infrastructure'!AD240</f>
        <v>55000</v>
      </c>
      <c r="AE17" s="262">
        <f>'Assumptions - Freight'!AE305+'Assumptions - Passenger'!AE254+'Assumptions - Infrastructure'!AE240</f>
        <v>55000</v>
      </c>
      <c r="AF17" s="262">
        <f>'Assumptions - Freight'!AF305+'Assumptions - Passenger'!AF254+'Assumptions - Infrastructure'!AF240</f>
        <v>55000</v>
      </c>
      <c r="AG17" s="262">
        <f>'Assumptions - Freight'!AG305+'Assumptions - Passenger'!AG254+'Assumptions - Infrastructure'!AG240</f>
        <v>55000</v>
      </c>
      <c r="AH17" s="262">
        <f>'Assumptions - Freight'!AH305+'Assumptions - Passenger'!AH254+'Assumptions - Infrastructure'!AH240</f>
        <v>55000</v>
      </c>
    </row>
    <row r="18" spans="2:64" s="8" customFormat="1" ht="14" x14ac:dyDescent="0.2">
      <c r="B18" s="8" t="s">
        <v>300</v>
      </c>
      <c r="D18" s="8" t="s">
        <v>2</v>
      </c>
      <c r="E18" s="177" t="s">
        <v>301</v>
      </c>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row>
    <row r="19" spans="2:64" s="8" customFormat="1" ht="14" x14ac:dyDescent="0.2">
      <c r="B19" s="30" t="s">
        <v>303</v>
      </c>
      <c r="D19" s="8" t="s">
        <v>118</v>
      </c>
      <c r="E19" s="268">
        <v>1</v>
      </c>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row>
    <row r="20" spans="2:64" s="8" customFormat="1" ht="14" x14ac:dyDescent="0.2">
      <c r="B20" s="30" t="s">
        <v>304</v>
      </c>
      <c r="D20" s="8" t="s">
        <v>118</v>
      </c>
      <c r="E20" s="268">
        <v>1</v>
      </c>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row>
    <row r="21" spans="2:64" s="8" customFormat="1" ht="14" x14ac:dyDescent="0.2">
      <c r="B21" s="30" t="s">
        <v>302</v>
      </c>
      <c r="D21" s="8" t="s">
        <v>118</v>
      </c>
      <c r="E21" s="268">
        <v>1</v>
      </c>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row>
    <row r="22" spans="2:64" s="8" customFormat="1" ht="14" x14ac:dyDescent="0.2">
      <c r="B22" s="30"/>
      <c r="E22" s="192"/>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row>
    <row r="23" spans="2:64" s="2" customFormat="1" ht="13.5" customHeight="1" x14ac:dyDescent="0.2">
      <c r="B23" s="4" t="str">
        <f>"Additional operating costs of " &amp;'Assumptions - General'!$E$23</f>
        <v xml:space="preserve">Additional operating costs of Ruritania Railways </v>
      </c>
    </row>
    <row r="24" spans="2:64" s="8" customFormat="1" ht="14" x14ac:dyDescent="0.2">
      <c r="B24" s="7"/>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2:64" s="8" customFormat="1" ht="16.5" customHeight="1" x14ac:dyDescent="0.2">
      <c r="B25" s="16" t="s">
        <v>376</v>
      </c>
      <c r="D25" s="8" t="s">
        <v>32</v>
      </c>
      <c r="E25" s="177">
        <v>1</v>
      </c>
      <c r="F25" s="87" t="s">
        <v>540</v>
      </c>
    </row>
    <row r="26" spans="2:64" s="8" customFormat="1" ht="16.5" customHeight="1" x14ac:dyDescent="0.2">
      <c r="B26" s="16"/>
      <c r="E26" s="182"/>
      <c r="F26" s="87" t="s">
        <v>211</v>
      </c>
    </row>
    <row r="27" spans="2:64" outlineLevel="1" x14ac:dyDescent="0.2">
      <c r="B27" s="8" t="s">
        <v>474</v>
      </c>
      <c r="C27" s="8"/>
      <c r="D27" s="287">
        <f>'Scenarios - Consolidated'!$F$3</f>
        <v>2</v>
      </c>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row>
    <row r="28" spans="2:64" outlineLevel="1" x14ac:dyDescent="0.2">
      <c r="B28" s="8" t="s">
        <v>479</v>
      </c>
      <c r="C28" s="8"/>
      <c r="D28" s="224">
        <f>IF(AND('Scenarios - Consolidated'!$F$3=1,'Scenarios - Consolidated'!$H$20=1),'Scenarios - Consolidated'!$H$25,1)</f>
        <v>1</v>
      </c>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row>
    <row r="29" spans="2:64" x14ac:dyDescent="0.2">
      <c r="B29" s="7" t="s">
        <v>473</v>
      </c>
      <c r="C29" s="8"/>
      <c r="D29" s="8"/>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row>
    <row r="30" spans="2:64" x14ac:dyDescent="0.2">
      <c r="B30" s="7"/>
      <c r="C30" s="8"/>
      <c r="D30" s="8"/>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row>
    <row r="31" spans="2:64" s="8" customFormat="1" ht="14" x14ac:dyDescent="0.2">
      <c r="B31" s="21" t="s">
        <v>522</v>
      </c>
      <c r="E31" s="183"/>
    </row>
    <row r="32" spans="2:64" s="8" customFormat="1" ht="14" x14ac:dyDescent="0.2">
      <c r="B32" s="14" t="s">
        <v>377</v>
      </c>
      <c r="D32" s="10" t="str">
        <f>'Assumptions - General'!$E$27 &amp;" millions"</f>
        <v>R$ millions</v>
      </c>
      <c r="E32" s="176">
        <v>100</v>
      </c>
    </row>
    <row r="33" spans="1:65" s="8" customFormat="1" ht="18.75" customHeight="1" x14ac:dyDescent="0.2">
      <c r="B33" s="215" t="s">
        <v>379</v>
      </c>
      <c r="E33" s="182"/>
      <c r="F33" s="87"/>
    </row>
    <row r="34" spans="1:65" s="8" customFormat="1" ht="16.5" customHeight="1" x14ac:dyDescent="0.2">
      <c r="B34" s="211" t="s">
        <v>255</v>
      </c>
      <c r="D34" s="15" t="s">
        <v>15</v>
      </c>
      <c r="E34" s="188">
        <f>F34/100</f>
        <v>1</v>
      </c>
      <c r="F34" s="87">
        <v>100</v>
      </c>
    </row>
    <row r="35" spans="1:65" s="8" customFormat="1" ht="18" customHeight="1" x14ac:dyDescent="0.2">
      <c r="B35" s="211" t="s">
        <v>254</v>
      </c>
      <c r="D35" s="15" t="s">
        <v>39</v>
      </c>
      <c r="E35" s="192">
        <f>IF(D27=1,(E14+E15+E16)*D28,E14+E15+E16)</f>
        <v>1500</v>
      </c>
      <c r="F35" s="192">
        <f>IF(Calculations!F$21=1,E35*(1+((F14+F15+F16)/(E14+E15+E16)-1)*$E$34)," ")</f>
        <v>1500</v>
      </c>
      <c r="G35" s="192">
        <f>IF(Calculations!G$21=1,F35*(1+((G14+G15+G16)/(F14+F15+F16)-1)*$E$34)," ")</f>
        <v>1500</v>
      </c>
      <c r="H35" s="192">
        <f>IF(Calculations!H$21=1,G35*(1+((H14+H15+H16)/(G14+G15+G16)-1)*$E$34)," ")</f>
        <v>1500</v>
      </c>
      <c r="I35" s="192">
        <f>IF(Calculations!I$21=1,H35*(1+((I14+I15+I16)/(H14+H15+H16)-1)*$E$34)," ")</f>
        <v>1500</v>
      </c>
      <c r="J35" s="192">
        <f>IF(Calculations!J$21=1,I35*(1+((J14+J15+J16)/(I14+I15+I16)-1)*$E$34)," ")</f>
        <v>1500</v>
      </c>
      <c r="K35" s="192">
        <f>IF(Calculations!K$21=1,J35*(1+((K14+K15+K16)/(J14+J15+J16)-1)*$E$34)," ")</f>
        <v>1500</v>
      </c>
      <c r="L35" s="192">
        <f>IF(Calculations!L$21=1,K35*(1+((L14+L15+L16)/(K14+K15+K16)-1)*$E$34)," ")</f>
        <v>1500</v>
      </c>
      <c r="M35" s="192">
        <f>IF(Calculations!M$21=1,L35*(1+((M14+M15+M16)/(L14+L15+L16)-1)*$E$34)," ")</f>
        <v>1500</v>
      </c>
      <c r="N35" s="192">
        <f>IF(Calculations!N$21=1,M35*(1+((N14+N15+N16)/(M14+M15+M16)-1)*$E$34)," ")</f>
        <v>1500</v>
      </c>
      <c r="O35" s="192">
        <f>IF(Calculations!O$21=1,N35*(1+((O14+O15+O16)/(N14+N15+N16)-1)*$E$34)," ")</f>
        <v>1500</v>
      </c>
      <c r="P35" s="192">
        <f>IF(Calculations!P$21=1,O35*(1+((P14+P15+P16)/(O14+O15+O16)-1)*$E$34)," ")</f>
        <v>1500</v>
      </c>
      <c r="Q35" s="192">
        <f>IF(Calculations!Q$21=1,P35*(1+((Q14+Q15+Q16)/(P14+P15+P16)-1)*$E$34)," ")</f>
        <v>1500</v>
      </c>
      <c r="R35" s="192">
        <f>IF(Calculations!R$21=1,Q35*(1+((R14+R15+R16)/(Q14+Q15+Q16)-1)*$E$34)," ")</f>
        <v>1500</v>
      </c>
      <c r="S35" s="192">
        <f>IF(Calculations!S$21=1,R35*(1+((S14+S15+S16)/(R14+R15+R16)-1)*$E$34)," ")</f>
        <v>1500</v>
      </c>
      <c r="T35" s="192">
        <f>IF(Calculations!T$21=1,S35*(1+((T14+T15+T16)/(S14+S15+S16)-1)*$E$34)," ")</f>
        <v>1500</v>
      </c>
      <c r="U35" s="192">
        <f>IF(Calculations!U$21=1,T35*(1+((U14+U15+U16)/(T14+T15+T16)-1)*$E$34)," ")</f>
        <v>1500</v>
      </c>
      <c r="V35" s="192">
        <f>IF(Calculations!V$21=1,U35*(1+((V14+V15+V16)/(U14+U15+U16)-1)*$E$34)," ")</f>
        <v>1500</v>
      </c>
      <c r="W35" s="192">
        <f>IF(Calculations!W$21=1,V35*(1+((W14+W15+W16)/(V14+V15+V16)-1)*$E$34)," ")</f>
        <v>1500</v>
      </c>
      <c r="X35" s="192">
        <f>IF(Calculations!X$21=1,W35*(1+((X14+X15+X16)/(W14+W15+W16)-1)*$E$34)," ")</f>
        <v>1500</v>
      </c>
      <c r="Y35" s="192">
        <f>IF(Calculations!Y$21=1,X35*(1+((Y14+Y15+Y16)/(X14+X15+X16)-1)*$E$34)," ")</f>
        <v>1500</v>
      </c>
      <c r="Z35" s="192">
        <f>IF(Calculations!Z$21=1,Y35*(1+((Z14+Z15+Z16)/(Y14+Y15+Y16)-1)*$E$34)," ")</f>
        <v>1500</v>
      </c>
      <c r="AA35" s="192">
        <f>IF(Calculations!AA$21=1,Z35*(1+((AA14+AA15+AA16)/(Z14+Z15+Z16)-1)*$E$34)," ")</f>
        <v>1500</v>
      </c>
      <c r="AB35" s="192">
        <f>IF(Calculations!AB$21=1,AA35*(1+((AB14+AB15+AB16)/(AA14+AA15+AA16)-1)*$E$34)," ")</f>
        <v>1500</v>
      </c>
      <c r="AC35" s="192">
        <f>IF(Calculations!AC$21=1,AB35*(1+((AC14+AC15+AC16)/(AB14+AB15+AB16)-1)*$E$34)," ")</f>
        <v>1500</v>
      </c>
      <c r="AD35" s="192">
        <f>IF(Calculations!AD$21=1,AC35*(1+((AD14+AD15+AD16)/(AC14+AC15+AC16)-1)*$E$34)," ")</f>
        <v>1500</v>
      </c>
      <c r="AE35" s="192">
        <f>IF(Calculations!AE$21=1,AD35*(1+((AE14+AE15+AE16)/(AD14+AD15+AD16)-1)*$E$34)," ")</f>
        <v>1500</v>
      </c>
      <c r="AF35" s="192">
        <f>IF(Calculations!AF$21=1,AE35*(1+((AF14+AF15+AF16)/(AE14+AE15+AE16)-1)*$E$34)," ")</f>
        <v>1500</v>
      </c>
      <c r="AG35" s="192">
        <f>IF(Calculations!AG$21=1,AF35*(1+((AG14+AG15+AG16)/(AF14+AF15+AF16)-1)*$E$34)," ")</f>
        <v>1500</v>
      </c>
      <c r="AH35" s="192">
        <f>IF(Calculations!AH$21=1,AG35*(1+((AH14+AH15+AH16)/(AG14+AG15+AG16)-1)*$E$34)," ")</f>
        <v>1500</v>
      </c>
    </row>
    <row r="36" spans="1:65" s="8" customFormat="1" ht="14" x14ac:dyDescent="0.2">
      <c r="B36" s="215" t="s">
        <v>577</v>
      </c>
      <c r="D36" s="15"/>
      <c r="E36" s="180"/>
      <c r="F36" s="220"/>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row>
    <row r="37" spans="1:65" s="8" customFormat="1" ht="16.5" customHeight="1" x14ac:dyDescent="0.2">
      <c r="B37" s="211" t="s">
        <v>38</v>
      </c>
      <c r="D37" s="8" t="s">
        <v>15</v>
      </c>
      <c r="E37" s="188">
        <f>IF(E25=2,0,F37/100)</f>
        <v>1</v>
      </c>
      <c r="F37" s="220">
        <v>100</v>
      </c>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c r="AH37" s="183"/>
    </row>
    <row r="38" spans="1:65" s="20" customFormat="1" ht="16.5" customHeight="1" x14ac:dyDescent="0.2">
      <c r="B38" s="216" t="s">
        <v>378</v>
      </c>
      <c r="D38" s="10" t="str">
        <f>'Assumptions - General'!$E$27&amp;" per staff member"</f>
        <v>R$ per staff member</v>
      </c>
      <c r="E38" s="192">
        <f>IF(E32&gt;0,(E32/(E14+E15+E16))*1000000,0)</f>
        <v>66666.666666666672</v>
      </c>
      <c r="F38" s="192">
        <f>E38*(1+F39)*IF($E$25=1,($E37*'Assumptions - General'!F37+1),1)</f>
        <v>68666.666666666672</v>
      </c>
      <c r="G38" s="192">
        <f>F38*(1+G39)*IF($E$25=1,($E37*'Assumptions - General'!G37+1),1)</f>
        <v>70726.666666666672</v>
      </c>
      <c r="H38" s="192">
        <f>G38*(1+H39)*IF($E$25=1,($E37*'Assumptions - General'!H37+1),1)</f>
        <v>72848.466666666674</v>
      </c>
      <c r="I38" s="192">
        <f>H38*(1+I39)*IF($E$25=1,($E37*'Assumptions - General'!I37+1),1)</f>
        <v>75033.920666666672</v>
      </c>
      <c r="J38" s="192">
        <f>I38*(1+J39)*IF($E$25=1,($E37*'Assumptions - General'!J37+1),1)</f>
        <v>77284.938286666671</v>
      </c>
      <c r="K38" s="192">
        <f>J38*(1+K39)*IF($E$25=1,($E37*'Assumptions - General'!K37+1),1)</f>
        <v>79603.486435266677</v>
      </c>
      <c r="L38" s="192">
        <f>K38*(1+L39)*IF($E$25=1,($E37*'Assumptions - General'!L37+1),1)</f>
        <v>81991.591028324678</v>
      </c>
      <c r="M38" s="192">
        <f>L38*(1+M39)*IF($E$25=1,($E37*'Assumptions - General'!M37+1),1)</f>
        <v>84451.338759174425</v>
      </c>
      <c r="N38" s="192">
        <f>M38*(1+N39)*IF($E$25=1,($E37*'Assumptions - General'!N37+1),1)</f>
        <v>86984.878921949654</v>
      </c>
      <c r="O38" s="192">
        <f>N38*(1+O39)*IF($E$25=1,($E37*'Assumptions - General'!O37+1),1)</f>
        <v>89594.425289608145</v>
      </c>
      <c r="P38" s="192">
        <f>O38*(1+P39)*IF($E$25=1,($E37*'Assumptions - General'!P37+1),1)</f>
        <v>92282.258048296397</v>
      </c>
      <c r="Q38" s="192">
        <f>P38*(1+Q39)*IF($E$25=1,($E37*'Assumptions - General'!Q37+1),1)</f>
        <v>95050.725789745295</v>
      </c>
      <c r="R38" s="192">
        <f>Q38*(1+R39)*IF($E$25=1,($E37*'Assumptions - General'!R37+1),1)</f>
        <v>97902.247563437661</v>
      </c>
      <c r="S38" s="192">
        <f>R38*(1+S39)*IF($E$25=1,($E37*'Assumptions - General'!S37+1),1)</f>
        <v>100839.31499034079</v>
      </c>
      <c r="T38" s="192">
        <f>S38*(1+T39)*IF($E$25=1,($E37*'Assumptions - General'!T37+1),1)</f>
        <v>103864.49444005101</v>
      </c>
      <c r="U38" s="192">
        <f>T38*(1+U39)*IF($E$25=1,($E37*'Assumptions - General'!U37+1),1)</f>
        <v>106980.42927325255</v>
      </c>
      <c r="V38" s="192">
        <f>U38*(1+V39)*IF($E$25=1,($E37*'Assumptions - General'!V37+1),1)</f>
        <v>110189.84215145012</v>
      </c>
      <c r="W38" s="192">
        <f>V38*(1+W39)*IF($E$25=1,($E37*'Assumptions - General'!W37+1),1)</f>
        <v>113495.53741599363</v>
      </c>
      <c r="X38" s="192">
        <f>W38*(1+X39)*IF($E$25=1,($E37*'Assumptions - General'!X37+1),1)</f>
        <v>116900.40353847345</v>
      </c>
      <c r="Y38" s="192">
        <f>X38*(1+Y39)*IF($E$25=1,($E37*'Assumptions - General'!Y37+1),1)</f>
        <v>120407.41564462765</v>
      </c>
      <c r="Z38" s="192">
        <f>Y38*(1+Z39)*IF($E$25=1,($E37*'Assumptions - General'!Z37+1),1)</f>
        <v>124019.63811396647</v>
      </c>
      <c r="AA38" s="192">
        <f>Z38*(1+AA39)*IF($E$25=1,($E37*'Assumptions - General'!AA37+1),1)</f>
        <v>127740.22725738547</v>
      </c>
      <c r="AB38" s="192">
        <f>AA38*(1+AB39)*IF($E$25=1,($E37*'Assumptions - General'!AB37+1),1)</f>
        <v>131572.43407510704</v>
      </c>
      <c r="AC38" s="192">
        <f>AB38*(1+AC39)*IF($E$25=1,($E37*'Assumptions - General'!AC37+1),1)</f>
        <v>135519.60709736025</v>
      </c>
      <c r="AD38" s="192">
        <f>AC38*(1+AD39)*IF($E$25=1,($E37*'Assumptions - General'!AD37+1),1)</f>
        <v>139585.19531028107</v>
      </c>
      <c r="AE38" s="192">
        <f>AD38*(1+AE39)*IF($E$25=1,($E37*'Assumptions - General'!AE37+1),1)</f>
        <v>143772.75116958949</v>
      </c>
      <c r="AF38" s="192">
        <f>AE38*(1+AF39)*IF($E$25=1,($E37*'Assumptions - General'!AF37+1),1)</f>
        <v>148085.93370467718</v>
      </c>
      <c r="AG38" s="192">
        <f>AF38*(1+AG39)*IF($E$25=1,($E37*'Assumptions - General'!AG37+1),1)</f>
        <v>152528.5117158175</v>
      </c>
      <c r="AH38" s="192">
        <f>AG38*(1+AH39)*IF($E$25=1,($E37*'Assumptions - General'!AH37+1),1)</f>
        <v>157104.36706729201</v>
      </c>
    </row>
    <row r="39" spans="1:65" x14ac:dyDescent="0.2">
      <c r="B39" s="30" t="s">
        <v>401</v>
      </c>
      <c r="D39" s="15" t="s">
        <v>15</v>
      </c>
      <c r="E39" s="190"/>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8">
        <v>0</v>
      </c>
      <c r="W39" s="188">
        <v>0</v>
      </c>
      <c r="X39" s="188">
        <v>0</v>
      </c>
      <c r="Y39" s="188">
        <v>0</v>
      </c>
      <c r="Z39" s="188">
        <v>0</v>
      </c>
      <c r="AA39" s="188">
        <v>0</v>
      </c>
      <c r="AB39" s="188">
        <v>0</v>
      </c>
      <c r="AC39" s="188">
        <v>0</v>
      </c>
      <c r="AD39" s="188">
        <v>0</v>
      </c>
      <c r="AE39" s="188">
        <v>0</v>
      </c>
      <c r="AF39" s="188">
        <v>0</v>
      </c>
      <c r="AG39" s="188">
        <v>0</v>
      </c>
      <c r="AH39" s="188">
        <v>0</v>
      </c>
    </row>
    <row r="40" spans="1:65" s="18" customFormat="1" x14ac:dyDescent="0.2">
      <c r="B40" s="32"/>
      <c r="D40" s="81"/>
      <c r="E40" s="204"/>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row>
    <row r="41" spans="1:65" s="8" customFormat="1" ht="14" x14ac:dyDescent="0.2">
      <c r="B41" s="21" t="s">
        <v>43</v>
      </c>
      <c r="E41" s="182"/>
      <c r="F41" s="220"/>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row>
    <row r="42" spans="1:65" s="8" customFormat="1" ht="14" x14ac:dyDescent="0.2">
      <c r="B42" s="14" t="s">
        <v>377</v>
      </c>
      <c r="D42" s="10" t="str">
        <f>'Assumptions - General'!$E$27 &amp;" millions"</f>
        <v>R$ millions</v>
      </c>
      <c r="E42" s="176">
        <v>200</v>
      </c>
      <c r="F42" s="183"/>
      <c r="G42" s="183"/>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c r="AG42" s="183"/>
      <c r="AH42" s="183"/>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row>
    <row r="43" spans="1:65" s="8" customFormat="1" ht="15.75" customHeight="1" x14ac:dyDescent="0.2">
      <c r="B43" s="215" t="s">
        <v>384</v>
      </c>
      <c r="D43" s="8" t="s">
        <v>256</v>
      </c>
      <c r="E43" s="176">
        <v>100</v>
      </c>
      <c r="F43" s="219">
        <f>E43*(1+F44*$E$45)</f>
        <v>100</v>
      </c>
      <c r="G43" s="219">
        <f t="shared" ref="G43:AH43" si="2">F43*(1+G44*$E$45)</f>
        <v>100</v>
      </c>
      <c r="H43" s="219">
        <f t="shared" si="2"/>
        <v>100</v>
      </c>
      <c r="I43" s="219">
        <f t="shared" si="2"/>
        <v>100</v>
      </c>
      <c r="J43" s="219">
        <f t="shared" si="2"/>
        <v>100</v>
      </c>
      <c r="K43" s="219">
        <f t="shared" si="2"/>
        <v>100</v>
      </c>
      <c r="L43" s="219">
        <f t="shared" si="2"/>
        <v>100</v>
      </c>
      <c r="M43" s="219">
        <f t="shared" si="2"/>
        <v>100</v>
      </c>
      <c r="N43" s="219">
        <f t="shared" si="2"/>
        <v>100</v>
      </c>
      <c r="O43" s="219">
        <f t="shared" si="2"/>
        <v>100</v>
      </c>
      <c r="P43" s="219">
        <f t="shared" si="2"/>
        <v>100</v>
      </c>
      <c r="Q43" s="219">
        <f t="shared" si="2"/>
        <v>100</v>
      </c>
      <c r="R43" s="219">
        <f t="shared" si="2"/>
        <v>100</v>
      </c>
      <c r="S43" s="219">
        <f t="shared" si="2"/>
        <v>100</v>
      </c>
      <c r="T43" s="219">
        <f t="shared" si="2"/>
        <v>100</v>
      </c>
      <c r="U43" s="219">
        <f t="shared" si="2"/>
        <v>100</v>
      </c>
      <c r="V43" s="219">
        <f t="shared" si="2"/>
        <v>100</v>
      </c>
      <c r="W43" s="219">
        <f t="shared" si="2"/>
        <v>100</v>
      </c>
      <c r="X43" s="219">
        <f t="shared" si="2"/>
        <v>100</v>
      </c>
      <c r="Y43" s="219">
        <f t="shared" si="2"/>
        <v>100</v>
      </c>
      <c r="Z43" s="219">
        <f t="shared" si="2"/>
        <v>100</v>
      </c>
      <c r="AA43" s="219">
        <f t="shared" si="2"/>
        <v>100</v>
      </c>
      <c r="AB43" s="219">
        <f t="shared" si="2"/>
        <v>100</v>
      </c>
      <c r="AC43" s="219">
        <f t="shared" si="2"/>
        <v>100</v>
      </c>
      <c r="AD43" s="219">
        <f t="shared" si="2"/>
        <v>100</v>
      </c>
      <c r="AE43" s="219">
        <f t="shared" si="2"/>
        <v>100</v>
      </c>
      <c r="AF43" s="219">
        <f t="shared" si="2"/>
        <v>100</v>
      </c>
      <c r="AG43" s="219">
        <f t="shared" si="2"/>
        <v>100</v>
      </c>
      <c r="AH43" s="219">
        <f t="shared" si="2"/>
        <v>100</v>
      </c>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row>
    <row r="44" spans="1:65" s="8" customFormat="1" ht="15.75" customHeight="1" x14ac:dyDescent="0.2">
      <c r="B44" s="211" t="s">
        <v>263</v>
      </c>
      <c r="D44" s="8" t="s">
        <v>15</v>
      </c>
      <c r="E44" s="192"/>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row>
    <row r="45" spans="1:65" s="8" customFormat="1" ht="15.75" customHeight="1" x14ac:dyDescent="0.2">
      <c r="B45" s="211" t="s">
        <v>266</v>
      </c>
      <c r="D45" s="15" t="s">
        <v>15</v>
      </c>
      <c r="E45" s="188">
        <f>F45/100</f>
        <v>1</v>
      </c>
      <c r="F45" s="220">
        <v>100</v>
      </c>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row>
    <row r="46" spans="1:65" s="8" customFormat="1" ht="17.25" customHeight="1" x14ac:dyDescent="0.2">
      <c r="B46" s="215" t="s">
        <v>574</v>
      </c>
      <c r="D46" s="15"/>
      <c r="E46" s="180"/>
      <c r="F46" s="220"/>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row>
    <row r="47" spans="1:65" s="8" customFormat="1" ht="16.5" customHeight="1" x14ac:dyDescent="0.2">
      <c r="B47" s="211" t="s">
        <v>38</v>
      </c>
      <c r="D47" s="8" t="s">
        <v>15</v>
      </c>
      <c r="E47" s="188">
        <f>IF(E25=2,0,F47/100)</f>
        <v>1</v>
      </c>
      <c r="F47" s="220">
        <v>100</v>
      </c>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row>
    <row r="48" spans="1:65" s="120" customFormat="1" ht="16.5" customHeight="1" x14ac:dyDescent="0.2">
      <c r="A48" s="20"/>
      <c r="B48" s="216" t="s">
        <v>267</v>
      </c>
      <c r="C48" s="20"/>
      <c r="D48" s="122" t="str">
        <f>'Assumptions - General'!$E$27 &amp;" per unit"</f>
        <v>R$ per unit</v>
      </c>
      <c r="E48" s="192">
        <f>IF(E42&gt;0,E42*1000000/E43,0)</f>
        <v>2000000</v>
      </c>
      <c r="F48" s="192">
        <f>E48*(1+F49)*IF($E$25=1,($E47*'Assumptions - General'!F$37+1),1)</f>
        <v>2060000</v>
      </c>
      <c r="G48" s="192">
        <f>F48*(1+G49)*IF($E$25=1,($E47*'Assumptions - General'!G$37+1),1)</f>
        <v>2121800</v>
      </c>
      <c r="H48" s="192">
        <f>G48*(1+H49)*IF($E$25=1,($E47*'Assumptions - General'!H$37+1),1)</f>
        <v>2185454</v>
      </c>
      <c r="I48" s="192">
        <f>H48*(1+I49)*IF($E$25=1,($E47*'Assumptions - General'!I$37+1),1)</f>
        <v>2251017.62</v>
      </c>
      <c r="J48" s="192">
        <f>I48*(1+J49)*IF($E$25=1,($E47*'Assumptions - General'!J$37+1),1)</f>
        <v>2318548.1486</v>
      </c>
      <c r="K48" s="192">
        <f>J48*(1+K49)*IF($E$25=1,($E47*'Assumptions - General'!K$37+1),1)</f>
        <v>2388104.5930579999</v>
      </c>
      <c r="L48" s="192">
        <f>K48*(1+L49)*IF($E$25=1,($E47*'Assumptions - General'!L$37+1),1)</f>
        <v>2459747.7308497401</v>
      </c>
      <c r="M48" s="192">
        <f>L48*(1+M49)*IF($E$25=1,($E47*'Assumptions - General'!M$37+1),1)</f>
        <v>2533540.1627752325</v>
      </c>
      <c r="N48" s="192">
        <f>M48*(1+N49)*IF($E$25=1,($E47*'Assumptions - General'!N$37+1),1)</f>
        <v>2609546.3676584894</v>
      </c>
      <c r="O48" s="192">
        <f>N48*(1+O49)*IF($E$25=1,($E47*'Assumptions - General'!O$37+1),1)</f>
        <v>2687832.758688244</v>
      </c>
      <c r="P48" s="192">
        <f>O48*(1+P49)*IF($E$25=1,($E47*'Assumptions - General'!P$37+1),1)</f>
        <v>2768467.7414488913</v>
      </c>
      <c r="Q48" s="192">
        <f>P48*(1+Q49)*IF($E$25=1,($E47*'Assumptions - General'!Q$37+1),1)</f>
        <v>2851521.7736923583</v>
      </c>
      <c r="R48" s="192">
        <f>Q48*(1+R49)*IF($E$25=1,($E47*'Assumptions - General'!R$37+1),1)</f>
        <v>2937067.4269031291</v>
      </c>
      <c r="S48" s="192">
        <f>R48*(1+S49)*IF($E$25=1,($E47*'Assumptions - General'!S$37+1),1)</f>
        <v>3025179.4497102229</v>
      </c>
      <c r="T48" s="192">
        <f>S48*(1+T49)*IF($E$25=1,($E47*'Assumptions - General'!T$37+1),1)</f>
        <v>3115934.8332015295</v>
      </c>
      <c r="U48" s="192">
        <f>T48*(1+U49)*IF($E$25=1,($E47*'Assumptions - General'!U$37+1),1)</f>
        <v>3209412.8781975755</v>
      </c>
      <c r="V48" s="192">
        <f>U48*(1+V49)*IF($E$25=1,($E47*'Assumptions - General'!V$37+1),1)</f>
        <v>3305695.2645435026</v>
      </c>
      <c r="W48" s="192">
        <f>V48*(1+W49)*IF($E$25=1,($E47*'Assumptions - General'!W$37+1),1)</f>
        <v>3404866.1224798076</v>
      </c>
      <c r="X48" s="192">
        <f>W48*(1+X49)*IF($E$25=1,($E47*'Assumptions - General'!X$37+1),1)</f>
        <v>3507012.106154202</v>
      </c>
      <c r="Y48" s="192">
        <f>X48*(1+Y49)*IF($E$25=1,($E47*'Assumptions - General'!Y$37+1),1)</f>
        <v>3612222.4693388282</v>
      </c>
      <c r="Z48" s="192">
        <f>Y48*(1+Z49)*IF($E$25=1,($E47*'Assumptions - General'!Z$37+1),1)</f>
        <v>3720589.1434189933</v>
      </c>
      <c r="AA48" s="192">
        <f>Z48*(1+AA49)*IF($E$25=1,($E47*'Assumptions - General'!AA$37+1),1)</f>
        <v>3832206.8177215634</v>
      </c>
      <c r="AB48" s="192">
        <f>AA48*(1+AB49)*IF($E$25=1,($E47*'Assumptions - General'!AB$37+1),1)</f>
        <v>3947173.0222532102</v>
      </c>
      <c r="AC48" s="192">
        <f>AB48*(1+AC49)*IF($E$25=1,($E47*'Assumptions - General'!AC$37+1),1)</f>
        <v>4065588.2129208064</v>
      </c>
      <c r="AD48" s="192">
        <f>AC48*(1+AD49)*IF($E$25=1,($E47*'Assumptions - General'!AD$37+1),1)</f>
        <v>4187555.8593084305</v>
      </c>
      <c r="AE48" s="192">
        <f>AD48*(1+AE49)*IF($E$25=1,($E47*'Assumptions - General'!AE$37+1),1)</f>
        <v>4313182.5350876832</v>
      </c>
      <c r="AF48" s="192">
        <f>AE48*(1+AF49)*IF($E$25=1,($E47*'Assumptions - General'!AF$37+1),1)</f>
        <v>4442578.0111403139</v>
      </c>
      <c r="AG48" s="192">
        <f>AF48*(1+AG49)*IF($E$25=1,($E47*'Assumptions - General'!AG$37+1),1)</f>
        <v>4575855.3514745235</v>
      </c>
      <c r="AH48" s="192">
        <f>AG48*(1+AH49)*IF($E$25=1,($E47*'Assumptions - General'!AH$37+1),1)</f>
        <v>4713131.0120187597</v>
      </c>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row>
    <row r="49" spans="1:65" x14ac:dyDescent="0.2">
      <c r="B49" s="30" t="s">
        <v>401</v>
      </c>
      <c r="D49" s="15" t="s">
        <v>15</v>
      </c>
      <c r="E49" s="190"/>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row>
    <row r="50" spans="1:65" s="8" customFormat="1" ht="14" x14ac:dyDescent="0.2">
      <c r="B50" s="14"/>
      <c r="D50" s="15"/>
      <c r="E50" s="15"/>
    </row>
    <row r="51" spans="1:65" s="8" customFormat="1" ht="14" outlineLevel="2" x14ac:dyDescent="0.2">
      <c r="B51" s="14" t="str">
        <f>B31&amp; " - total annual cost in forecast period"</f>
        <v>Additional staff - total annual cost in forecast period</v>
      </c>
      <c r="D51" s="10" t="str">
        <f>'Assumptions - General'!$E$27 &amp;" millions"</f>
        <v>R$ millions</v>
      </c>
      <c r="E51" s="192">
        <f>Calculations!E1401</f>
        <v>0</v>
      </c>
      <c r="F51" s="192">
        <f>Calculations!F1401</f>
        <v>0</v>
      </c>
      <c r="G51" s="192">
        <f>Calculations!G1401</f>
        <v>0</v>
      </c>
      <c r="H51" s="192">
        <f>Calculations!H1401</f>
        <v>0</v>
      </c>
      <c r="I51" s="192">
        <f>Calculations!I1401</f>
        <v>0</v>
      </c>
      <c r="J51" s="192">
        <f>Calculations!J1401</f>
        <v>0</v>
      </c>
      <c r="K51" s="192">
        <f>Calculations!K1401</f>
        <v>0</v>
      </c>
      <c r="L51" s="192">
        <f>Calculations!L1401</f>
        <v>0</v>
      </c>
      <c r="M51" s="192">
        <f>Calculations!M1401</f>
        <v>0</v>
      </c>
      <c r="N51" s="192">
        <f>Calculations!N1401</f>
        <v>0</v>
      </c>
      <c r="O51" s="192">
        <f>Calculations!O1401</f>
        <v>0</v>
      </c>
      <c r="P51" s="192">
        <f>Calculations!P1401</f>
        <v>0</v>
      </c>
      <c r="Q51" s="192">
        <f>Calculations!Q1401</f>
        <v>0</v>
      </c>
      <c r="R51" s="192">
        <f>Calculations!R1401</f>
        <v>0</v>
      </c>
      <c r="S51" s="192">
        <f>Calculations!S1401</f>
        <v>0</v>
      </c>
      <c r="T51" s="192">
        <f>Calculations!T1401</f>
        <v>0</v>
      </c>
      <c r="U51" s="192">
        <f>Calculations!U1401</f>
        <v>0</v>
      </c>
      <c r="V51" s="192">
        <f>Calculations!V1401</f>
        <v>0</v>
      </c>
      <c r="W51" s="192">
        <f>Calculations!W1401</f>
        <v>0</v>
      </c>
      <c r="X51" s="192">
        <f>Calculations!X1401</f>
        <v>0</v>
      </c>
      <c r="Y51" s="192">
        <f>Calculations!Y1401</f>
        <v>0</v>
      </c>
      <c r="Z51" s="192">
        <f>Calculations!Z1401</f>
        <v>0</v>
      </c>
      <c r="AA51" s="192">
        <f>Calculations!AA1401</f>
        <v>0</v>
      </c>
      <c r="AB51" s="192">
        <f>Calculations!AB1401</f>
        <v>0</v>
      </c>
      <c r="AC51" s="192">
        <f>Calculations!AC1401</f>
        <v>0</v>
      </c>
      <c r="AD51" s="192">
        <f>Calculations!AD1401</f>
        <v>0</v>
      </c>
      <c r="AE51" s="192">
        <f>Calculations!AE1401</f>
        <v>0</v>
      </c>
      <c r="AF51" s="192">
        <f>Calculations!AF1401</f>
        <v>0</v>
      </c>
      <c r="AG51" s="192">
        <f>Calculations!AG1401</f>
        <v>0</v>
      </c>
      <c r="AH51" s="192">
        <f>Calculations!AH1401</f>
        <v>0</v>
      </c>
    </row>
    <row r="52" spans="1:65" s="8" customFormat="1" ht="14" outlineLevel="2" x14ac:dyDescent="0.2">
      <c r="B52" s="14" t="str">
        <f>B41&amp; " - total annual cost in forecast period"</f>
        <v>Other operating expenses - total annual cost in forecast period</v>
      </c>
      <c r="D52" s="10" t="str">
        <f>'Assumptions - General'!$E$27 &amp;" millions"</f>
        <v>R$ millions</v>
      </c>
      <c r="E52" s="192">
        <f>Calculations!E1403</f>
        <v>0</v>
      </c>
      <c r="F52" s="192">
        <f>Calculations!F1403</f>
        <v>0</v>
      </c>
      <c r="G52" s="192">
        <f>Calculations!G1403</f>
        <v>0</v>
      </c>
      <c r="H52" s="192">
        <f>Calculations!H1403</f>
        <v>0</v>
      </c>
      <c r="I52" s="192">
        <f>Calculations!I1403</f>
        <v>0</v>
      </c>
      <c r="J52" s="192">
        <f>Calculations!J1403</f>
        <v>0</v>
      </c>
      <c r="K52" s="192">
        <f>Calculations!K1403</f>
        <v>0</v>
      </c>
      <c r="L52" s="192">
        <f>Calculations!L1403</f>
        <v>0</v>
      </c>
      <c r="M52" s="192">
        <f>Calculations!M1403</f>
        <v>0</v>
      </c>
      <c r="N52" s="192">
        <f>Calculations!N1403</f>
        <v>0</v>
      </c>
      <c r="O52" s="192">
        <f>Calculations!O1403</f>
        <v>0</v>
      </c>
      <c r="P52" s="192">
        <f>Calculations!P1403</f>
        <v>0</v>
      </c>
      <c r="Q52" s="192">
        <f>Calculations!Q1403</f>
        <v>0</v>
      </c>
      <c r="R52" s="192">
        <f>Calculations!R1403</f>
        <v>0</v>
      </c>
      <c r="S52" s="192">
        <f>Calculations!S1403</f>
        <v>0</v>
      </c>
      <c r="T52" s="192">
        <f>Calculations!T1403</f>
        <v>0</v>
      </c>
      <c r="U52" s="192">
        <f>Calculations!U1403</f>
        <v>0</v>
      </c>
      <c r="V52" s="192">
        <f>Calculations!V1403</f>
        <v>0</v>
      </c>
      <c r="W52" s="192">
        <f>Calculations!W1403</f>
        <v>0</v>
      </c>
      <c r="X52" s="192">
        <f>Calculations!X1403</f>
        <v>0</v>
      </c>
      <c r="Y52" s="192">
        <f>Calculations!Y1403</f>
        <v>0</v>
      </c>
      <c r="Z52" s="192">
        <f>Calculations!Z1403</f>
        <v>0</v>
      </c>
      <c r="AA52" s="192">
        <f>Calculations!AA1403</f>
        <v>0</v>
      </c>
      <c r="AB52" s="192">
        <f>Calculations!AB1403</f>
        <v>0</v>
      </c>
      <c r="AC52" s="192">
        <f>Calculations!AC1403</f>
        <v>0</v>
      </c>
      <c r="AD52" s="192">
        <f>Calculations!AD1403</f>
        <v>0</v>
      </c>
      <c r="AE52" s="192">
        <f>Calculations!AE1403</f>
        <v>0</v>
      </c>
      <c r="AF52" s="192">
        <f>Calculations!AF1403</f>
        <v>0</v>
      </c>
      <c r="AG52" s="192">
        <f>Calculations!AG1403</f>
        <v>0</v>
      </c>
      <c r="AH52" s="192">
        <f>Calculations!AH1403</f>
        <v>0</v>
      </c>
    </row>
    <row r="53" spans="1:65" s="8" customFormat="1" ht="12" customHeight="1" x14ac:dyDescent="0.2">
      <c r="A53" s="7" t="s">
        <v>405</v>
      </c>
      <c r="B53" s="14"/>
      <c r="D53" s="15"/>
      <c r="E53" s="15"/>
    </row>
    <row r="54" spans="1:65" s="8" customFormat="1" ht="14" x14ac:dyDescent="0.2">
      <c r="A54" s="7"/>
      <c r="B54" s="14"/>
      <c r="D54" s="15"/>
      <c r="E54" s="15"/>
    </row>
    <row r="55" spans="1:65" s="2" customFormat="1" x14ac:dyDescent="0.2">
      <c r="B55" s="4" t="str">
        <f>"Additional non-operating costs of " &amp;'Assumptions - General'!$E$23</f>
        <v xml:space="preserve">Additional non-operating costs of Ruritania Railways </v>
      </c>
    </row>
    <row r="56" spans="1:65" s="8" customFormat="1" ht="14" x14ac:dyDescent="0.2">
      <c r="B56" s="7"/>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65" s="8" customFormat="1" ht="17.25" customHeight="1" x14ac:dyDescent="0.2">
      <c r="B57" s="16" t="s">
        <v>375</v>
      </c>
      <c r="D57" s="8" t="s">
        <v>32</v>
      </c>
      <c r="E57" s="177">
        <v>1</v>
      </c>
      <c r="F57" s="87" t="s">
        <v>33</v>
      </c>
    </row>
    <row r="58" spans="1:65" s="8" customFormat="1" ht="16.5" customHeight="1" x14ac:dyDescent="0.2">
      <c r="B58" s="16"/>
      <c r="E58" s="182"/>
      <c r="F58" s="87" t="s">
        <v>211</v>
      </c>
    </row>
    <row r="59" spans="1:65" s="20" customFormat="1" ht="14" x14ac:dyDescent="0.2">
      <c r="B59" s="19" t="s">
        <v>132</v>
      </c>
      <c r="D59" s="20" t="s">
        <v>2</v>
      </c>
      <c r="E59" s="188" t="s">
        <v>117</v>
      </c>
    </row>
    <row r="60" spans="1:65" s="8" customFormat="1" ht="14" x14ac:dyDescent="0.2">
      <c r="B60" s="14" t="s">
        <v>377</v>
      </c>
      <c r="D60" s="10" t="str">
        <f>'Assumptions - General'!$E$27 &amp;" millions"</f>
        <v>R$ millions</v>
      </c>
      <c r="E60" s="176">
        <v>200</v>
      </c>
    </row>
    <row r="61" spans="1:65" s="8" customFormat="1" ht="15.75" customHeight="1" x14ac:dyDescent="0.2">
      <c r="B61" s="215" t="s">
        <v>385</v>
      </c>
      <c r="D61" s="8" t="s">
        <v>256</v>
      </c>
      <c r="E61" s="176">
        <v>100</v>
      </c>
      <c r="F61" s="219">
        <f t="shared" ref="F61:AH61" si="3">E61*(1+F62)</f>
        <v>100</v>
      </c>
      <c r="G61" s="219">
        <f t="shared" si="3"/>
        <v>100</v>
      </c>
      <c r="H61" s="219">
        <f t="shared" si="3"/>
        <v>100</v>
      </c>
      <c r="I61" s="219">
        <f t="shared" si="3"/>
        <v>100</v>
      </c>
      <c r="J61" s="219">
        <f t="shared" si="3"/>
        <v>100</v>
      </c>
      <c r="K61" s="219">
        <f t="shared" si="3"/>
        <v>100</v>
      </c>
      <c r="L61" s="219">
        <f t="shared" si="3"/>
        <v>100</v>
      </c>
      <c r="M61" s="219">
        <f t="shared" si="3"/>
        <v>100</v>
      </c>
      <c r="N61" s="219">
        <f t="shared" si="3"/>
        <v>100</v>
      </c>
      <c r="O61" s="219">
        <f t="shared" si="3"/>
        <v>100</v>
      </c>
      <c r="P61" s="219">
        <f t="shared" si="3"/>
        <v>100</v>
      </c>
      <c r="Q61" s="219">
        <f t="shared" si="3"/>
        <v>100</v>
      </c>
      <c r="R61" s="219">
        <f t="shared" si="3"/>
        <v>100</v>
      </c>
      <c r="S61" s="219">
        <f t="shared" si="3"/>
        <v>100</v>
      </c>
      <c r="T61" s="219">
        <f t="shared" si="3"/>
        <v>100</v>
      </c>
      <c r="U61" s="219">
        <f t="shared" si="3"/>
        <v>100</v>
      </c>
      <c r="V61" s="219">
        <f t="shared" si="3"/>
        <v>100</v>
      </c>
      <c r="W61" s="219">
        <f t="shared" si="3"/>
        <v>100</v>
      </c>
      <c r="X61" s="219">
        <f t="shared" si="3"/>
        <v>100</v>
      </c>
      <c r="Y61" s="219">
        <f t="shared" si="3"/>
        <v>100</v>
      </c>
      <c r="Z61" s="219">
        <f t="shared" si="3"/>
        <v>100</v>
      </c>
      <c r="AA61" s="219">
        <f t="shared" si="3"/>
        <v>100</v>
      </c>
      <c r="AB61" s="219">
        <f t="shared" si="3"/>
        <v>100</v>
      </c>
      <c r="AC61" s="219">
        <f t="shared" si="3"/>
        <v>100</v>
      </c>
      <c r="AD61" s="219">
        <f t="shared" si="3"/>
        <v>100</v>
      </c>
      <c r="AE61" s="219">
        <f t="shared" si="3"/>
        <v>100</v>
      </c>
      <c r="AF61" s="219">
        <f t="shared" si="3"/>
        <v>100</v>
      </c>
      <c r="AG61" s="219">
        <f t="shared" si="3"/>
        <v>100</v>
      </c>
      <c r="AH61" s="219">
        <f t="shared" si="3"/>
        <v>100</v>
      </c>
      <c r="AI61" s="20"/>
      <c r="AJ61" s="20"/>
      <c r="AK61" s="20"/>
      <c r="AL61" s="20"/>
      <c r="AM61" s="20"/>
      <c r="AN61" s="20"/>
      <c r="AO61" s="20"/>
      <c r="AP61" s="20"/>
      <c r="AQ61" s="20"/>
      <c r="AR61" s="20"/>
      <c r="AS61" s="20"/>
      <c r="AT61" s="20"/>
      <c r="AU61" s="20"/>
      <c r="AV61" s="20"/>
      <c r="AW61" s="20"/>
      <c r="AX61" s="20"/>
      <c r="AY61" s="20"/>
      <c r="AZ61" s="20"/>
      <c r="BA61" s="20"/>
      <c r="BB61" s="20"/>
      <c r="BC61" s="20"/>
      <c r="BD61" s="20"/>
      <c r="BE61" s="20"/>
      <c r="BF61" s="20"/>
      <c r="BG61" s="20"/>
      <c r="BH61" s="20"/>
      <c r="BI61" s="20"/>
      <c r="BJ61" s="20"/>
      <c r="BK61" s="20"/>
      <c r="BL61" s="20"/>
      <c r="BM61" s="20"/>
    </row>
    <row r="62" spans="1:65" s="8" customFormat="1" ht="15.75" customHeight="1" x14ac:dyDescent="0.2">
      <c r="B62" s="211" t="s">
        <v>263</v>
      </c>
      <c r="D62" s="8" t="s">
        <v>15</v>
      </c>
      <c r="E62" s="192"/>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20"/>
      <c r="AJ62" s="20"/>
      <c r="AK62" s="20"/>
      <c r="AL62" s="20"/>
      <c r="AM62" s="20"/>
      <c r="AN62" s="20"/>
      <c r="AO62" s="20"/>
      <c r="AP62" s="20"/>
      <c r="AQ62" s="20"/>
      <c r="AR62" s="20"/>
      <c r="AS62" s="20"/>
      <c r="AT62" s="20"/>
      <c r="AU62" s="20"/>
      <c r="AV62" s="20"/>
      <c r="AW62" s="20"/>
      <c r="AX62" s="20"/>
      <c r="AY62" s="20"/>
      <c r="AZ62" s="20"/>
      <c r="BA62" s="20"/>
      <c r="BB62" s="20"/>
      <c r="BC62" s="20"/>
      <c r="BD62" s="20"/>
      <c r="BE62" s="20"/>
      <c r="BF62" s="20"/>
      <c r="BG62" s="20"/>
      <c r="BH62" s="20"/>
      <c r="BI62" s="20"/>
      <c r="BJ62" s="20"/>
      <c r="BK62" s="20"/>
      <c r="BL62" s="20"/>
      <c r="BM62" s="20"/>
    </row>
    <row r="63" spans="1:65" s="8" customFormat="1" ht="17.25" customHeight="1" x14ac:dyDescent="0.2">
      <c r="B63" s="215" t="s">
        <v>575</v>
      </c>
      <c r="D63" s="15"/>
      <c r="E63" s="180"/>
      <c r="F63" s="220"/>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20"/>
      <c r="AJ63" s="20"/>
      <c r="AK63" s="20"/>
      <c r="AL63" s="20"/>
      <c r="AM63" s="20"/>
      <c r="AN63" s="20"/>
      <c r="AO63" s="20"/>
      <c r="AP63" s="20"/>
      <c r="AQ63" s="20"/>
      <c r="AR63" s="20"/>
      <c r="AS63" s="20"/>
      <c r="AT63" s="20"/>
      <c r="AU63" s="20"/>
      <c r="AV63" s="20"/>
      <c r="AW63" s="20"/>
      <c r="AX63" s="20"/>
      <c r="AY63" s="20"/>
      <c r="AZ63" s="20"/>
      <c r="BA63" s="20"/>
      <c r="BB63" s="20"/>
      <c r="BC63" s="20"/>
      <c r="BD63" s="20"/>
      <c r="BE63" s="20"/>
      <c r="BF63" s="20"/>
      <c r="BG63" s="20"/>
      <c r="BH63" s="20"/>
      <c r="BI63" s="20"/>
      <c r="BJ63" s="20"/>
      <c r="BK63" s="20"/>
      <c r="BL63" s="20"/>
      <c r="BM63" s="20"/>
    </row>
    <row r="64" spans="1:65" s="8" customFormat="1" ht="16.5" customHeight="1" x14ac:dyDescent="0.2">
      <c r="B64" s="211" t="s">
        <v>38</v>
      </c>
      <c r="D64" s="8" t="s">
        <v>15</v>
      </c>
      <c r="E64" s="188">
        <f>IF(E57=2,0,F64/100)</f>
        <v>1</v>
      </c>
      <c r="F64" s="220">
        <v>100</v>
      </c>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20"/>
      <c r="AJ64" s="20"/>
      <c r="AK64" s="20"/>
      <c r="AL64" s="20"/>
      <c r="AM64" s="20"/>
      <c r="AN64" s="20"/>
      <c r="AO64" s="20"/>
      <c r="AP64" s="20"/>
      <c r="AQ64" s="20"/>
      <c r="AR64" s="20"/>
      <c r="AS64" s="20"/>
      <c r="AT64" s="20"/>
      <c r="AU64" s="20"/>
      <c r="AV64" s="20"/>
      <c r="AW64" s="20"/>
      <c r="AX64" s="20"/>
      <c r="AY64" s="20"/>
      <c r="AZ64" s="20"/>
      <c r="BA64" s="20"/>
      <c r="BB64" s="20"/>
      <c r="BC64" s="20"/>
      <c r="BD64" s="20"/>
      <c r="BE64" s="20"/>
      <c r="BF64" s="20"/>
      <c r="BG64" s="20"/>
      <c r="BH64" s="20"/>
      <c r="BI64" s="20"/>
      <c r="BJ64" s="20"/>
      <c r="BK64" s="20"/>
      <c r="BL64" s="20"/>
      <c r="BM64" s="20"/>
    </row>
    <row r="65" spans="2:65" s="20" customFormat="1" ht="16.5" customHeight="1" x14ac:dyDescent="0.2">
      <c r="B65" s="216" t="s">
        <v>268</v>
      </c>
      <c r="D65" s="122" t="str">
        <f>'Assumptions - General'!$E$27 &amp;" per unit"</f>
        <v>R$ per unit</v>
      </c>
      <c r="E65" s="192">
        <f>IF(AND(E60&gt;0,E61&gt;0),E60*1000000/E61,0)</f>
        <v>2000000</v>
      </c>
      <c r="F65" s="192">
        <f>E65*(1+F66)*IF($E$57=1,($E64*'Assumptions - General'!F$37+1),1)</f>
        <v>2060000</v>
      </c>
      <c r="G65" s="192">
        <f>F65*(1+G66)*IF($E$57=1,($E64*'Assumptions - General'!G$37+1),1)</f>
        <v>2121800</v>
      </c>
      <c r="H65" s="192">
        <f>G65*(1+H66)*IF($E$57=1,($E64*'Assumptions - General'!H$37+1),1)</f>
        <v>2185454</v>
      </c>
      <c r="I65" s="192">
        <f>H65*(1+I66)*IF($E$57=1,($E64*'Assumptions - General'!I$37+1),1)</f>
        <v>2251017.62</v>
      </c>
      <c r="J65" s="192">
        <f>I65*(1+J66)*IF($E$57=1,($E64*'Assumptions - General'!J$37+1),1)</f>
        <v>2318548.1486</v>
      </c>
      <c r="K65" s="192">
        <f>J65*(1+K66)*IF($E$57=1,($E64*'Assumptions - General'!K$37+1),1)</f>
        <v>2388104.5930579999</v>
      </c>
      <c r="L65" s="192">
        <f>K65*(1+L66)*IF($E$57=1,($E64*'Assumptions - General'!L$37+1),1)</f>
        <v>2459747.7308497401</v>
      </c>
      <c r="M65" s="192">
        <f>L65*(1+M66)*IF($E$57=1,($E64*'Assumptions - General'!M$37+1),1)</f>
        <v>2533540.1627752325</v>
      </c>
      <c r="N65" s="192">
        <f>M65*(1+N66)*IF($E$57=1,($E64*'Assumptions - General'!N$37+1),1)</f>
        <v>2609546.3676584894</v>
      </c>
      <c r="O65" s="192">
        <f>N65*(1+O66)*IF($E$57=1,($E64*'Assumptions - General'!O$37+1),1)</f>
        <v>2687832.758688244</v>
      </c>
      <c r="P65" s="192">
        <f>O65*(1+P66)*IF($E$57=1,($E64*'Assumptions - General'!P$37+1),1)</f>
        <v>2768467.7414488913</v>
      </c>
      <c r="Q65" s="192">
        <f>P65*(1+Q66)*IF($E$57=1,($E64*'Assumptions - General'!Q$37+1),1)</f>
        <v>2851521.7736923583</v>
      </c>
      <c r="R65" s="192">
        <f>Q65*(1+R66)*IF($E$57=1,($E64*'Assumptions - General'!R$37+1),1)</f>
        <v>2937067.4269031291</v>
      </c>
      <c r="S65" s="192">
        <f>R65*(1+S66)*IF($E$57=1,($E64*'Assumptions - General'!S$37+1),1)</f>
        <v>3025179.4497102229</v>
      </c>
      <c r="T65" s="192">
        <f>S65*(1+T66)*IF($E$57=1,($E64*'Assumptions - General'!T$37+1),1)</f>
        <v>3115934.8332015295</v>
      </c>
      <c r="U65" s="192">
        <f>T65*(1+U66)*IF($E$57=1,($E64*'Assumptions - General'!U$37+1),1)</f>
        <v>3209412.8781975755</v>
      </c>
      <c r="V65" s="192">
        <f>U65*(1+V66)*IF($E$57=1,($E64*'Assumptions - General'!V$37+1),1)</f>
        <v>3305695.2645435026</v>
      </c>
      <c r="W65" s="192">
        <f>V65*(1+W66)*IF($E$57=1,($E64*'Assumptions - General'!W$37+1),1)</f>
        <v>3404866.1224798076</v>
      </c>
      <c r="X65" s="192">
        <f>W65*(1+X66)*IF($E$57=1,($E64*'Assumptions - General'!X$37+1),1)</f>
        <v>3507012.106154202</v>
      </c>
      <c r="Y65" s="192">
        <f>X65*(1+Y66)*IF($E$57=1,($E64*'Assumptions - General'!Y$37+1),1)</f>
        <v>3612222.4693388282</v>
      </c>
      <c r="Z65" s="192">
        <f>Y65*(1+Z66)*IF($E$57=1,($E64*'Assumptions - General'!Z$37+1),1)</f>
        <v>3720589.1434189933</v>
      </c>
      <c r="AA65" s="192">
        <f>Z65*(1+AA66)*IF($E$57=1,($E64*'Assumptions - General'!AA$37+1),1)</f>
        <v>3832206.8177215634</v>
      </c>
      <c r="AB65" s="192">
        <f>AA65*(1+AB66)*IF($E$57=1,($E64*'Assumptions - General'!AB$37+1),1)</f>
        <v>3947173.0222532102</v>
      </c>
      <c r="AC65" s="192">
        <f>AB65*(1+AC66)*IF($E$57=1,($E64*'Assumptions - General'!AC$37+1),1)</f>
        <v>4065588.2129208064</v>
      </c>
      <c r="AD65" s="192">
        <f>AC65*(1+AD66)*IF($E$57=1,($E64*'Assumptions - General'!AD$37+1),1)</f>
        <v>4187555.8593084305</v>
      </c>
      <c r="AE65" s="192">
        <f>AD65*(1+AE66)*IF($E$57=1,($E64*'Assumptions - General'!AE$37+1),1)</f>
        <v>4313182.5350876832</v>
      </c>
      <c r="AF65" s="192">
        <f>AE65*(1+AF66)*IF($E$57=1,($E64*'Assumptions - General'!AF$37+1),1)</f>
        <v>4442578.0111403139</v>
      </c>
      <c r="AG65" s="192">
        <f>AF65*(1+AG66)*IF($E$57=1,($E64*'Assumptions - General'!AG$37+1),1)</f>
        <v>4575855.3514745235</v>
      </c>
      <c r="AH65" s="192">
        <f>AG65*(1+AH66)*IF($E$57=1,($E64*'Assumptions - General'!AH$37+1),1)</f>
        <v>4713131.0120187597</v>
      </c>
    </row>
    <row r="66" spans="2:65" x14ac:dyDescent="0.2">
      <c r="B66" s="30" t="s">
        <v>401</v>
      </c>
      <c r="D66" s="15" t="s">
        <v>15</v>
      </c>
      <c r="E66" s="190"/>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row>
    <row r="67" spans="2:65" s="18" customFormat="1" x14ac:dyDescent="0.2">
      <c r="B67" s="32"/>
      <c r="D67" s="81"/>
      <c r="E67" s="204"/>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row>
    <row r="68" spans="2:65" s="20" customFormat="1" ht="14" x14ac:dyDescent="0.2">
      <c r="B68" s="19" t="s">
        <v>133</v>
      </c>
      <c r="D68" s="20" t="s">
        <v>2</v>
      </c>
      <c r="E68" s="188" t="s">
        <v>695</v>
      </c>
      <c r="F68" s="221"/>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row>
    <row r="69" spans="2:65" s="8" customFormat="1" ht="14" x14ac:dyDescent="0.2">
      <c r="B69" s="14" t="s">
        <v>377</v>
      </c>
      <c r="D69" s="10" t="str">
        <f>'Assumptions - General'!$E$27 &amp;" millions"</f>
        <v>R$ millions</v>
      </c>
      <c r="E69" s="176">
        <v>50</v>
      </c>
      <c r="F69" s="183"/>
      <c r="G69" s="183"/>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row>
    <row r="70" spans="2:65" s="8" customFormat="1" ht="15.75" customHeight="1" x14ac:dyDescent="0.2">
      <c r="B70" s="215" t="s">
        <v>385</v>
      </c>
      <c r="D70" s="8" t="s">
        <v>256</v>
      </c>
      <c r="E70" s="176">
        <v>100</v>
      </c>
      <c r="F70" s="219">
        <f t="shared" ref="F70:AH70" si="4">E70*(1+F71)</f>
        <v>100</v>
      </c>
      <c r="G70" s="219">
        <f t="shared" si="4"/>
        <v>100</v>
      </c>
      <c r="H70" s="219">
        <f t="shared" si="4"/>
        <v>100</v>
      </c>
      <c r="I70" s="219">
        <f t="shared" si="4"/>
        <v>100</v>
      </c>
      <c r="J70" s="219">
        <f t="shared" si="4"/>
        <v>100</v>
      </c>
      <c r="K70" s="219">
        <f t="shared" si="4"/>
        <v>100</v>
      </c>
      <c r="L70" s="219">
        <f t="shared" si="4"/>
        <v>100</v>
      </c>
      <c r="M70" s="219">
        <f t="shared" si="4"/>
        <v>100</v>
      </c>
      <c r="N70" s="219">
        <f t="shared" si="4"/>
        <v>100</v>
      </c>
      <c r="O70" s="219">
        <f t="shared" si="4"/>
        <v>100</v>
      </c>
      <c r="P70" s="219">
        <f t="shared" si="4"/>
        <v>100</v>
      </c>
      <c r="Q70" s="219">
        <f t="shared" si="4"/>
        <v>100</v>
      </c>
      <c r="R70" s="219">
        <f t="shared" si="4"/>
        <v>100</v>
      </c>
      <c r="S70" s="219">
        <f t="shared" si="4"/>
        <v>100</v>
      </c>
      <c r="T70" s="219">
        <f t="shared" si="4"/>
        <v>100</v>
      </c>
      <c r="U70" s="219">
        <f t="shared" si="4"/>
        <v>100</v>
      </c>
      <c r="V70" s="219">
        <f t="shared" si="4"/>
        <v>100</v>
      </c>
      <c r="W70" s="219">
        <f t="shared" si="4"/>
        <v>100</v>
      </c>
      <c r="X70" s="219">
        <f t="shared" si="4"/>
        <v>100</v>
      </c>
      <c r="Y70" s="219">
        <f t="shared" si="4"/>
        <v>100</v>
      </c>
      <c r="Z70" s="219">
        <f t="shared" si="4"/>
        <v>100</v>
      </c>
      <c r="AA70" s="219">
        <f t="shared" si="4"/>
        <v>100</v>
      </c>
      <c r="AB70" s="219">
        <f t="shared" si="4"/>
        <v>100</v>
      </c>
      <c r="AC70" s="219">
        <f t="shared" si="4"/>
        <v>100</v>
      </c>
      <c r="AD70" s="219">
        <f t="shared" si="4"/>
        <v>100</v>
      </c>
      <c r="AE70" s="219">
        <f t="shared" si="4"/>
        <v>100</v>
      </c>
      <c r="AF70" s="219">
        <f t="shared" si="4"/>
        <v>100</v>
      </c>
      <c r="AG70" s="219">
        <f t="shared" si="4"/>
        <v>100</v>
      </c>
      <c r="AH70" s="219">
        <f t="shared" si="4"/>
        <v>100</v>
      </c>
      <c r="AI70" s="20"/>
      <c r="AJ70" s="20"/>
      <c r="AK70" s="20"/>
      <c r="AL70" s="20"/>
      <c r="AM70" s="20"/>
      <c r="AN70" s="20"/>
      <c r="AO70" s="20"/>
      <c r="AP70" s="20"/>
      <c r="AQ70" s="20"/>
      <c r="AR70" s="20"/>
      <c r="AS70" s="20"/>
      <c r="AT70" s="20"/>
      <c r="AU70" s="20"/>
      <c r="AV70" s="20"/>
      <c r="AW70" s="20"/>
      <c r="AX70" s="20"/>
      <c r="AY70" s="20"/>
      <c r="AZ70" s="20"/>
      <c r="BA70" s="20"/>
      <c r="BB70" s="20"/>
      <c r="BC70" s="20"/>
      <c r="BD70" s="20"/>
      <c r="BE70" s="20"/>
      <c r="BF70" s="20"/>
      <c r="BG70" s="20"/>
      <c r="BH70" s="20"/>
      <c r="BI70" s="20"/>
      <c r="BJ70" s="20"/>
      <c r="BK70" s="20"/>
      <c r="BL70" s="20"/>
      <c r="BM70" s="20"/>
    </row>
    <row r="71" spans="2:65" s="8" customFormat="1" ht="15.75" customHeight="1" x14ac:dyDescent="0.2">
      <c r="B71" s="211" t="s">
        <v>263</v>
      </c>
      <c r="D71" s="8" t="s">
        <v>15</v>
      </c>
      <c r="E71" s="192"/>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20"/>
      <c r="AJ71" s="20"/>
      <c r="AK71" s="20"/>
      <c r="AL71" s="20"/>
      <c r="AM71" s="20"/>
      <c r="AN71" s="20"/>
      <c r="AO71" s="20"/>
      <c r="AP71" s="20"/>
      <c r="AQ71" s="20"/>
      <c r="AR71" s="20"/>
      <c r="AS71" s="20"/>
      <c r="AT71" s="20"/>
      <c r="AU71" s="20"/>
      <c r="AV71" s="20"/>
      <c r="AW71" s="20"/>
      <c r="AX71" s="20"/>
      <c r="AY71" s="20"/>
      <c r="AZ71" s="20"/>
      <c r="BA71" s="20"/>
      <c r="BB71" s="20"/>
      <c r="BC71" s="20"/>
      <c r="BD71" s="20"/>
      <c r="BE71" s="20"/>
      <c r="BF71" s="20"/>
      <c r="BG71" s="20"/>
      <c r="BH71" s="20"/>
      <c r="BI71" s="20"/>
      <c r="BJ71" s="20"/>
      <c r="BK71" s="20"/>
      <c r="BL71" s="20"/>
      <c r="BM71" s="20"/>
    </row>
    <row r="72" spans="2:65" s="8" customFormat="1" ht="17.25" customHeight="1" x14ac:dyDescent="0.2">
      <c r="B72" s="215" t="s">
        <v>575</v>
      </c>
      <c r="D72" s="15"/>
      <c r="E72" s="180"/>
      <c r="F72" s="220"/>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20"/>
      <c r="AJ72" s="20"/>
      <c r="AK72" s="20"/>
      <c r="AL72" s="20"/>
      <c r="AM72" s="20"/>
      <c r="AN72" s="20"/>
      <c r="AO72" s="20"/>
      <c r="AP72" s="20"/>
      <c r="AQ72" s="20"/>
      <c r="AR72" s="20"/>
      <c r="AS72" s="20"/>
      <c r="AT72" s="20"/>
      <c r="AU72" s="20"/>
      <c r="AV72" s="20"/>
      <c r="AW72" s="20"/>
      <c r="AX72" s="20"/>
      <c r="AY72" s="20"/>
      <c r="AZ72" s="20"/>
      <c r="BA72" s="20"/>
      <c r="BB72" s="20"/>
      <c r="BC72" s="20"/>
      <c r="BD72" s="20"/>
      <c r="BE72" s="20"/>
      <c r="BF72" s="20"/>
      <c r="BG72" s="20"/>
      <c r="BH72" s="20"/>
      <c r="BI72" s="20"/>
      <c r="BJ72" s="20"/>
      <c r="BK72" s="20"/>
      <c r="BL72" s="20"/>
      <c r="BM72" s="20"/>
    </row>
    <row r="73" spans="2:65" s="8" customFormat="1" ht="16.5" customHeight="1" x14ac:dyDescent="0.2">
      <c r="B73" s="211" t="s">
        <v>38</v>
      </c>
      <c r="D73" s="8" t="s">
        <v>15</v>
      </c>
      <c r="E73" s="188">
        <f>IF(E57=2,0,F73/100)</f>
        <v>1</v>
      </c>
      <c r="F73" s="220">
        <v>100</v>
      </c>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20"/>
      <c r="AJ73" s="20"/>
      <c r="AK73" s="20"/>
      <c r="AL73" s="20"/>
      <c r="AM73" s="20"/>
      <c r="AN73" s="20"/>
      <c r="AO73" s="20"/>
      <c r="AP73" s="20"/>
      <c r="AQ73" s="20"/>
      <c r="AR73" s="20"/>
      <c r="AS73" s="20"/>
      <c r="AT73" s="20"/>
      <c r="AU73" s="20"/>
      <c r="AV73" s="20"/>
      <c r="AW73" s="20"/>
      <c r="AX73" s="20"/>
      <c r="AY73" s="20"/>
      <c r="AZ73" s="20"/>
      <c r="BA73" s="20"/>
      <c r="BB73" s="20"/>
      <c r="BC73" s="20"/>
      <c r="BD73" s="20"/>
      <c r="BE73" s="20"/>
      <c r="BF73" s="20"/>
      <c r="BG73" s="20"/>
      <c r="BH73" s="20"/>
      <c r="BI73" s="20"/>
      <c r="BJ73" s="20"/>
      <c r="BK73" s="20"/>
      <c r="BL73" s="20"/>
      <c r="BM73" s="20"/>
    </row>
    <row r="74" spans="2:65" s="20" customFormat="1" ht="16.5" customHeight="1" x14ac:dyDescent="0.2">
      <c r="B74" s="216" t="s">
        <v>268</v>
      </c>
      <c r="D74" s="122" t="str">
        <f>'Assumptions - General'!$E$27 &amp;" per unit"</f>
        <v>R$ per unit</v>
      </c>
      <c r="E74" s="192">
        <f>IF(AND(E69&gt;0,E70&gt;0),E69*1000000/E70,0)</f>
        <v>500000</v>
      </c>
      <c r="F74" s="192">
        <f>E74*(1+F75)*IF($E$57=1,($E73*'Assumptions - General'!F$37+1),1)</f>
        <v>515000</v>
      </c>
      <c r="G74" s="192">
        <f>F74*(1+G75)*IF($E$57=1,($E73*'Assumptions - General'!G$37+1),1)</f>
        <v>530450</v>
      </c>
      <c r="H74" s="192">
        <f>G74*(1+H75)*IF($E$57=1,($E73*'Assumptions - General'!H$37+1),1)</f>
        <v>546363.5</v>
      </c>
      <c r="I74" s="192">
        <f>H74*(1+I75)*IF($E$57=1,($E73*'Assumptions - General'!I$37+1),1)</f>
        <v>562754.40500000003</v>
      </c>
      <c r="J74" s="192">
        <f>I74*(1+J75)*IF($E$57=1,($E73*'Assumptions - General'!J$37+1),1)</f>
        <v>579637.03714999999</v>
      </c>
      <c r="K74" s="192">
        <f>J74*(1+K75)*IF($E$57=1,($E73*'Assumptions - General'!K$37+1),1)</f>
        <v>597026.14826449996</v>
      </c>
      <c r="L74" s="192">
        <f>K74*(1+L75)*IF($E$57=1,($E73*'Assumptions - General'!L$37+1),1)</f>
        <v>614936.93271243502</v>
      </c>
      <c r="M74" s="192">
        <f>L74*(1+M75)*IF($E$57=1,($E73*'Assumptions - General'!M$37+1),1)</f>
        <v>633385.04069380811</v>
      </c>
      <c r="N74" s="192">
        <f>M74*(1+N75)*IF($E$57=1,($E73*'Assumptions - General'!N$37+1),1)</f>
        <v>652386.59191462235</v>
      </c>
      <c r="O74" s="192">
        <f>N74*(1+O75)*IF($E$57=1,($E73*'Assumptions - General'!O$37+1),1)</f>
        <v>671958.18967206101</v>
      </c>
      <c r="P74" s="192">
        <f>O74*(1+P75)*IF($E$57=1,($E73*'Assumptions - General'!P$37+1),1)</f>
        <v>692116.93536222284</v>
      </c>
      <c r="Q74" s="192">
        <f>P74*(1+Q75)*IF($E$57=1,($E73*'Assumptions - General'!Q$37+1),1)</f>
        <v>712880.44342308957</v>
      </c>
      <c r="R74" s="192">
        <f>Q74*(1+R75)*IF($E$57=1,($E73*'Assumptions - General'!R$37+1),1)</f>
        <v>734266.85672578227</v>
      </c>
      <c r="S74" s="192">
        <f>R74*(1+S75)*IF($E$57=1,($E73*'Assumptions - General'!S$37+1),1)</f>
        <v>756294.86242755572</v>
      </c>
      <c r="T74" s="192">
        <f>S74*(1+T75)*IF($E$57=1,($E73*'Assumptions - General'!T$37+1),1)</f>
        <v>778983.70830038236</v>
      </c>
      <c r="U74" s="192">
        <f>T74*(1+U75)*IF($E$57=1,($E73*'Assumptions - General'!U$37+1),1)</f>
        <v>802353.21954939386</v>
      </c>
      <c r="V74" s="192">
        <f>U74*(1+V75)*IF($E$57=1,($E73*'Assumptions - General'!V$37+1),1)</f>
        <v>826423.81613587565</v>
      </c>
      <c r="W74" s="192">
        <f>V74*(1+W75)*IF($E$57=1,($E73*'Assumptions - General'!W$37+1),1)</f>
        <v>851216.5306199519</v>
      </c>
      <c r="X74" s="192">
        <f>W74*(1+X75)*IF($E$57=1,($E73*'Assumptions - General'!X$37+1),1)</f>
        <v>876753.0265385505</v>
      </c>
      <c r="Y74" s="192">
        <f>X74*(1+Y75)*IF($E$57=1,($E73*'Assumptions - General'!Y$37+1),1)</f>
        <v>903055.61733470706</v>
      </c>
      <c r="Z74" s="192">
        <f>Y74*(1+Z75)*IF($E$57=1,($E73*'Assumptions - General'!Z$37+1),1)</f>
        <v>930147.28585474833</v>
      </c>
      <c r="AA74" s="192">
        <f>Z74*(1+AA75)*IF($E$57=1,($E73*'Assumptions - General'!AA$37+1),1)</f>
        <v>958051.70443039085</v>
      </c>
      <c r="AB74" s="192">
        <f>AA74*(1+AB75)*IF($E$57=1,($E73*'Assumptions - General'!AB$37+1),1)</f>
        <v>986793.25556330255</v>
      </c>
      <c r="AC74" s="192">
        <f>AB74*(1+AC75)*IF($E$57=1,($E73*'Assumptions - General'!AC$37+1),1)</f>
        <v>1016397.0532302016</v>
      </c>
      <c r="AD74" s="192">
        <f>AC74*(1+AD75)*IF($E$57=1,($E73*'Assumptions - General'!AD$37+1),1)</f>
        <v>1046888.9648271076</v>
      </c>
      <c r="AE74" s="192">
        <f>AD74*(1+AE75)*IF($E$57=1,($E73*'Assumptions - General'!AE$37+1),1)</f>
        <v>1078295.6337719208</v>
      </c>
      <c r="AF74" s="192">
        <f>AE74*(1+AF75)*IF($E$57=1,($E73*'Assumptions - General'!AF$37+1),1)</f>
        <v>1110644.5027850785</v>
      </c>
      <c r="AG74" s="192">
        <f>AF74*(1+AG75)*IF($E$57=1,($E73*'Assumptions - General'!AG$37+1),1)</f>
        <v>1143963.8378686309</v>
      </c>
      <c r="AH74" s="192">
        <f>AG74*(1+AH75)*IF($E$57=1,($E73*'Assumptions - General'!AH$37+1),1)</f>
        <v>1178282.7530046899</v>
      </c>
    </row>
    <row r="75" spans="2:65" x14ac:dyDescent="0.2">
      <c r="B75" s="30" t="s">
        <v>401</v>
      </c>
      <c r="D75" s="15" t="s">
        <v>15</v>
      </c>
      <c r="E75" s="190"/>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row>
    <row r="76" spans="2:65" s="18" customFormat="1" x14ac:dyDescent="0.2">
      <c r="B76" s="32"/>
      <c r="D76" s="81"/>
      <c r="E76" s="204"/>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row>
    <row r="77" spans="2:65" s="20" customFormat="1" ht="14" x14ac:dyDescent="0.2">
      <c r="B77" s="19" t="s">
        <v>134</v>
      </c>
      <c r="D77" s="20" t="s">
        <v>2</v>
      </c>
      <c r="E77" s="188" t="s">
        <v>73</v>
      </c>
      <c r="F77" s="221"/>
      <c r="G77" s="182"/>
      <c r="H77" s="182"/>
      <c r="I77" s="182"/>
      <c r="J77" s="182"/>
      <c r="K77" s="182"/>
      <c r="L77" s="182"/>
      <c r="M77" s="182"/>
      <c r="N77" s="182"/>
      <c r="O77" s="182"/>
      <c r="P77" s="182"/>
      <c r="Q77" s="182"/>
      <c r="R77" s="182"/>
      <c r="S77" s="182"/>
      <c r="T77" s="182"/>
      <c r="U77" s="182"/>
      <c r="V77" s="182"/>
      <c r="W77" s="182"/>
      <c r="X77" s="182"/>
      <c r="Y77" s="182"/>
      <c r="Z77" s="182"/>
      <c r="AA77" s="182"/>
      <c r="AB77" s="182"/>
      <c r="AC77" s="182"/>
      <c r="AD77" s="182"/>
      <c r="AE77" s="182"/>
      <c r="AF77" s="182"/>
      <c r="AG77" s="182"/>
      <c r="AH77" s="182"/>
    </row>
    <row r="78" spans="2:65" s="8" customFormat="1" ht="14" x14ac:dyDescent="0.2">
      <c r="B78" s="14" t="s">
        <v>377</v>
      </c>
      <c r="D78" s="10" t="str">
        <f>'Assumptions - General'!$E$27 &amp;" millions"</f>
        <v>R$ millions</v>
      </c>
      <c r="E78" s="176">
        <v>50</v>
      </c>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row>
    <row r="79" spans="2:65" s="8" customFormat="1" ht="15.75" customHeight="1" x14ac:dyDescent="0.2">
      <c r="B79" s="215" t="s">
        <v>385</v>
      </c>
      <c r="D79" s="8" t="s">
        <v>256</v>
      </c>
      <c r="E79" s="176">
        <v>100</v>
      </c>
      <c r="F79" s="219">
        <f t="shared" ref="F79:AH79" si="5">E79*(1+F80)</f>
        <v>100</v>
      </c>
      <c r="G79" s="219">
        <f t="shared" si="5"/>
        <v>100</v>
      </c>
      <c r="H79" s="219">
        <f t="shared" si="5"/>
        <v>100</v>
      </c>
      <c r="I79" s="219">
        <f t="shared" si="5"/>
        <v>100</v>
      </c>
      <c r="J79" s="219">
        <f t="shared" si="5"/>
        <v>100</v>
      </c>
      <c r="K79" s="219">
        <f t="shared" si="5"/>
        <v>100</v>
      </c>
      <c r="L79" s="219">
        <f t="shared" si="5"/>
        <v>100</v>
      </c>
      <c r="M79" s="219">
        <f t="shared" si="5"/>
        <v>100</v>
      </c>
      <c r="N79" s="219">
        <f t="shared" si="5"/>
        <v>100</v>
      </c>
      <c r="O79" s="219">
        <f t="shared" si="5"/>
        <v>100</v>
      </c>
      <c r="P79" s="219">
        <f t="shared" si="5"/>
        <v>100</v>
      </c>
      <c r="Q79" s="219">
        <f t="shared" si="5"/>
        <v>100</v>
      </c>
      <c r="R79" s="219">
        <f t="shared" si="5"/>
        <v>100</v>
      </c>
      <c r="S79" s="219">
        <f t="shared" si="5"/>
        <v>100</v>
      </c>
      <c r="T79" s="219">
        <f t="shared" si="5"/>
        <v>100</v>
      </c>
      <c r="U79" s="219">
        <f t="shared" si="5"/>
        <v>100</v>
      </c>
      <c r="V79" s="219">
        <f t="shared" si="5"/>
        <v>100</v>
      </c>
      <c r="W79" s="219">
        <f t="shared" si="5"/>
        <v>100</v>
      </c>
      <c r="X79" s="219">
        <f t="shared" si="5"/>
        <v>100</v>
      </c>
      <c r="Y79" s="219">
        <f t="shared" si="5"/>
        <v>100</v>
      </c>
      <c r="Z79" s="219">
        <f t="shared" si="5"/>
        <v>100</v>
      </c>
      <c r="AA79" s="219">
        <f t="shared" si="5"/>
        <v>100</v>
      </c>
      <c r="AB79" s="219">
        <f t="shared" si="5"/>
        <v>100</v>
      </c>
      <c r="AC79" s="219">
        <f t="shared" si="5"/>
        <v>100</v>
      </c>
      <c r="AD79" s="219">
        <f t="shared" si="5"/>
        <v>100</v>
      </c>
      <c r="AE79" s="219">
        <f t="shared" si="5"/>
        <v>100</v>
      </c>
      <c r="AF79" s="219">
        <f t="shared" si="5"/>
        <v>100</v>
      </c>
      <c r="AG79" s="219">
        <f t="shared" si="5"/>
        <v>100</v>
      </c>
      <c r="AH79" s="219">
        <f t="shared" si="5"/>
        <v>100</v>
      </c>
      <c r="AI79" s="20"/>
      <c r="AJ79" s="20"/>
      <c r="AK79" s="20"/>
      <c r="AL79" s="20"/>
      <c r="AM79" s="20"/>
      <c r="AN79" s="20"/>
      <c r="AO79" s="20"/>
      <c r="AP79" s="20"/>
      <c r="AQ79" s="20"/>
      <c r="AR79" s="20"/>
      <c r="AS79" s="20"/>
      <c r="AT79" s="20"/>
      <c r="AU79" s="20"/>
      <c r="AV79" s="20"/>
      <c r="AW79" s="20"/>
      <c r="AX79" s="20"/>
      <c r="AY79" s="20"/>
      <c r="AZ79" s="20"/>
      <c r="BA79" s="20"/>
      <c r="BB79" s="20"/>
      <c r="BC79" s="20"/>
      <c r="BD79" s="20"/>
      <c r="BE79" s="20"/>
      <c r="BF79" s="20"/>
      <c r="BG79" s="20"/>
      <c r="BH79" s="20"/>
      <c r="BI79" s="20"/>
      <c r="BJ79" s="20"/>
      <c r="BK79" s="20"/>
      <c r="BL79" s="20"/>
      <c r="BM79" s="20"/>
    </row>
    <row r="80" spans="2:65" s="8" customFormat="1" ht="15.75" customHeight="1" x14ac:dyDescent="0.2">
      <c r="B80" s="211" t="s">
        <v>263</v>
      </c>
      <c r="D80" s="8" t="s">
        <v>15</v>
      </c>
      <c r="E80" s="192"/>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20"/>
      <c r="AJ80" s="20"/>
      <c r="AK80" s="20"/>
      <c r="AL80" s="20"/>
      <c r="AM80" s="20"/>
      <c r="AN80" s="20"/>
      <c r="AO80" s="20"/>
      <c r="AP80" s="20"/>
      <c r="AQ80" s="20"/>
      <c r="AR80" s="20"/>
      <c r="AS80" s="20"/>
      <c r="AT80" s="20"/>
      <c r="AU80" s="20"/>
      <c r="AV80" s="20"/>
      <c r="AW80" s="20"/>
      <c r="AX80" s="20"/>
      <c r="AY80" s="20"/>
      <c r="AZ80" s="20"/>
      <c r="BA80" s="20"/>
      <c r="BB80" s="20"/>
      <c r="BC80" s="20"/>
      <c r="BD80" s="20"/>
      <c r="BE80" s="20"/>
      <c r="BF80" s="20"/>
      <c r="BG80" s="20"/>
      <c r="BH80" s="20"/>
      <c r="BI80" s="20"/>
      <c r="BJ80" s="20"/>
      <c r="BK80" s="20"/>
      <c r="BL80" s="20"/>
      <c r="BM80" s="20"/>
    </row>
    <row r="81" spans="1:65" s="8" customFormat="1" ht="17.25" customHeight="1" x14ac:dyDescent="0.2">
      <c r="B81" s="215" t="s">
        <v>575</v>
      </c>
      <c r="D81" s="15"/>
      <c r="E81" s="180"/>
      <c r="F81" s="220"/>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20"/>
      <c r="AJ81" s="20"/>
      <c r="AK81" s="20"/>
      <c r="AL81" s="20"/>
      <c r="AM81" s="20"/>
      <c r="AN81" s="20"/>
      <c r="AO81" s="20"/>
      <c r="AP81" s="20"/>
      <c r="AQ81" s="20"/>
      <c r="AR81" s="20"/>
      <c r="AS81" s="20"/>
      <c r="AT81" s="20"/>
      <c r="AU81" s="20"/>
      <c r="AV81" s="20"/>
      <c r="AW81" s="20"/>
      <c r="AX81" s="20"/>
      <c r="AY81" s="20"/>
      <c r="AZ81" s="20"/>
      <c r="BA81" s="20"/>
      <c r="BB81" s="20"/>
      <c r="BC81" s="20"/>
      <c r="BD81" s="20"/>
      <c r="BE81" s="20"/>
      <c r="BF81" s="20"/>
      <c r="BG81" s="20"/>
      <c r="BH81" s="20"/>
      <c r="BI81" s="20"/>
      <c r="BJ81" s="20"/>
      <c r="BK81" s="20"/>
      <c r="BL81" s="20"/>
      <c r="BM81" s="20"/>
    </row>
    <row r="82" spans="1:65" s="8" customFormat="1" ht="16.5" customHeight="1" x14ac:dyDescent="0.2">
      <c r="B82" s="211" t="s">
        <v>38</v>
      </c>
      <c r="D82" s="8" t="s">
        <v>15</v>
      </c>
      <c r="E82" s="188">
        <f>IF(E57=2,0,F82/100)</f>
        <v>1</v>
      </c>
      <c r="F82" s="220">
        <v>100</v>
      </c>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c r="AG82" s="183"/>
      <c r="AH82" s="183"/>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row>
    <row r="83" spans="1:65" s="20" customFormat="1" ht="16.5" customHeight="1" x14ac:dyDescent="0.2">
      <c r="B83" s="216" t="s">
        <v>268</v>
      </c>
      <c r="D83" s="122" t="str">
        <f>'Assumptions - General'!$E$27 &amp;" per unit"</f>
        <v>R$ per unit</v>
      </c>
      <c r="E83" s="192">
        <f>IF(AND(E78&gt;0,E79&gt;0),E78*1000000/E79,0)</f>
        <v>500000</v>
      </c>
      <c r="F83" s="192">
        <f>E83*(1+F84)*IF('Assumptions - Freight'!$E$368=1,($E82*'Assumptions - General'!F$37+1),1)</f>
        <v>515000</v>
      </c>
      <c r="G83" s="192">
        <f>F83*(1+G84)*IF('Assumptions - Freight'!$E$368=1,($E82*'Assumptions - General'!G$37+1),1)</f>
        <v>530450</v>
      </c>
      <c r="H83" s="192">
        <f>G83*(1+H84)*IF('Assumptions - Freight'!$E$368=1,($E82*'Assumptions - General'!H$37+1),1)</f>
        <v>546363.5</v>
      </c>
      <c r="I83" s="192">
        <f>H83*(1+I84)*IF('Assumptions - Freight'!$E$368=1,($E82*'Assumptions - General'!I$37+1),1)</f>
        <v>562754.40500000003</v>
      </c>
      <c r="J83" s="192">
        <f>I83*(1+J84)*IF('Assumptions - Freight'!$E$368=1,($E82*'Assumptions - General'!J$37+1),1)</f>
        <v>579637.03714999999</v>
      </c>
      <c r="K83" s="192">
        <f>J83*(1+K84)*IF('Assumptions - Freight'!$E$368=1,($E82*'Assumptions - General'!K$37+1),1)</f>
        <v>597026.14826449996</v>
      </c>
      <c r="L83" s="192">
        <f>K83*(1+L84)*IF('Assumptions - Freight'!$E$368=1,($E82*'Assumptions - General'!L$37+1),1)</f>
        <v>614936.93271243502</v>
      </c>
      <c r="M83" s="192">
        <f>L83*(1+M84)*IF('Assumptions - Freight'!$E$368=1,($E82*'Assumptions - General'!M$37+1),1)</f>
        <v>633385.04069380811</v>
      </c>
      <c r="N83" s="192">
        <f>M83*(1+N84)*IF('Assumptions - Freight'!$E$368=1,($E82*'Assumptions - General'!N$37+1),1)</f>
        <v>652386.59191462235</v>
      </c>
      <c r="O83" s="192">
        <f>N83*(1+O84)*IF('Assumptions - Freight'!$E$368=1,($E82*'Assumptions - General'!O$37+1),1)</f>
        <v>671958.18967206101</v>
      </c>
      <c r="P83" s="192">
        <f>O83*(1+P84)*IF('Assumptions - Freight'!$E$368=1,($E82*'Assumptions - General'!P$37+1),1)</f>
        <v>692116.93536222284</v>
      </c>
      <c r="Q83" s="192">
        <f>P83*(1+Q84)*IF('Assumptions - Freight'!$E$368=1,($E82*'Assumptions - General'!Q$37+1),1)</f>
        <v>712880.44342308957</v>
      </c>
      <c r="R83" s="192">
        <f>Q83*(1+R84)*IF('Assumptions - Freight'!$E$368=1,($E82*'Assumptions - General'!R$37+1),1)</f>
        <v>734266.85672578227</v>
      </c>
      <c r="S83" s="192">
        <f>R83*(1+S84)*IF('Assumptions - Freight'!$E$368=1,($E82*'Assumptions - General'!S$37+1),1)</f>
        <v>756294.86242755572</v>
      </c>
      <c r="T83" s="192">
        <f>S83*(1+T84)*IF('Assumptions - Freight'!$E$368=1,($E82*'Assumptions - General'!T$37+1),1)</f>
        <v>778983.70830038236</v>
      </c>
      <c r="U83" s="192">
        <f>T83*(1+U84)*IF('Assumptions - Freight'!$E$368=1,($E82*'Assumptions - General'!U$37+1),1)</f>
        <v>802353.21954939386</v>
      </c>
      <c r="V83" s="192">
        <f>U83*(1+V84)*IF('Assumptions - Freight'!$E$368=1,($E82*'Assumptions - General'!V$37+1),1)</f>
        <v>826423.81613587565</v>
      </c>
      <c r="W83" s="192">
        <f>V83*(1+W84)*IF('Assumptions - Freight'!$E$368=1,($E82*'Assumptions - General'!W$37+1),1)</f>
        <v>851216.5306199519</v>
      </c>
      <c r="X83" s="192">
        <f>W83*(1+X84)*IF('Assumptions - Freight'!$E$368=1,($E82*'Assumptions - General'!X$37+1),1)</f>
        <v>876753.0265385505</v>
      </c>
      <c r="Y83" s="192">
        <f>X83*(1+Y84)*IF('Assumptions - Freight'!$E$368=1,($E82*'Assumptions - General'!Y$37+1),1)</f>
        <v>903055.61733470706</v>
      </c>
      <c r="Z83" s="192">
        <f>Y83*(1+Z84)*IF('Assumptions - Freight'!$E$368=1,($E82*'Assumptions - General'!Z$37+1),1)</f>
        <v>930147.28585474833</v>
      </c>
      <c r="AA83" s="192">
        <f>Z83*(1+AA84)*IF('Assumptions - Freight'!$E$368=1,($E82*'Assumptions - General'!AA$37+1),1)</f>
        <v>958051.70443039085</v>
      </c>
      <c r="AB83" s="192">
        <f>AA83*(1+AB84)*IF('Assumptions - Freight'!$E$368=1,($E82*'Assumptions - General'!AB$37+1),1)</f>
        <v>986793.25556330255</v>
      </c>
      <c r="AC83" s="192">
        <f>AB83*(1+AC84)*IF('Assumptions - Freight'!$E$368=1,($E82*'Assumptions - General'!AC$37+1),1)</f>
        <v>1016397.0532302016</v>
      </c>
      <c r="AD83" s="192">
        <f>AC83*(1+AD84)*IF('Assumptions - Freight'!$E$368=1,($E82*'Assumptions - General'!AD$37+1),1)</f>
        <v>1046888.9648271076</v>
      </c>
      <c r="AE83" s="192">
        <f>AD83*(1+AE84)*IF('Assumptions - Freight'!$E$368=1,($E82*'Assumptions - General'!AE$37+1),1)</f>
        <v>1078295.6337719208</v>
      </c>
      <c r="AF83" s="192">
        <f>AE83*(1+AF84)*IF('Assumptions - Freight'!$E$368=1,($E82*'Assumptions - General'!AF$37+1),1)</f>
        <v>1110644.5027850785</v>
      </c>
      <c r="AG83" s="192">
        <f>AF83*(1+AG84)*IF('Assumptions - Freight'!$E$368=1,($E82*'Assumptions - General'!AG$37+1),1)</f>
        <v>1143963.8378686309</v>
      </c>
      <c r="AH83" s="192">
        <f>AG83*(1+AH84)*IF('Assumptions - Freight'!$E$368=1,($E82*'Assumptions - General'!AH$37+1),1)</f>
        <v>1178282.7530046899</v>
      </c>
    </row>
    <row r="84" spans="1:65" x14ac:dyDescent="0.2">
      <c r="B84" s="30" t="s">
        <v>401</v>
      </c>
      <c r="D84" s="15" t="s">
        <v>15</v>
      </c>
      <c r="E84" s="190"/>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row>
    <row r="85" spans="1:65" s="18" customFormat="1" x14ac:dyDescent="0.2"/>
    <row r="86" spans="1:65" s="18" customFormat="1" outlineLevel="1" x14ac:dyDescent="0.2">
      <c r="B86" s="57" t="str">
        <f>E59&amp; " - total annual cost in forecast period"</f>
        <v>Provisions and legal claims - total annual cost in forecast period</v>
      </c>
      <c r="D86" s="10" t="str">
        <f>'Assumptions - General'!$E$27 &amp;" millions"</f>
        <v>R$ millions</v>
      </c>
      <c r="E86" s="452" t="str">
        <f>Calculations!E1423</f>
        <v xml:space="preserve"> </v>
      </c>
      <c r="F86" s="452" t="str">
        <f>Calculations!F1423</f>
        <v xml:space="preserve"> </v>
      </c>
      <c r="G86" s="452" t="str">
        <f>Calculations!G1423</f>
        <v xml:space="preserve"> </v>
      </c>
      <c r="H86" s="452" t="str">
        <f>Calculations!H1423</f>
        <v xml:space="preserve"> </v>
      </c>
      <c r="I86" s="452" t="str">
        <f>Calculations!I1423</f>
        <v xml:space="preserve"> </v>
      </c>
      <c r="J86" s="452" t="str">
        <f>Calculations!J1423</f>
        <v xml:space="preserve"> </v>
      </c>
      <c r="K86" s="452" t="str">
        <f>Calculations!K1423</f>
        <v xml:space="preserve"> </v>
      </c>
      <c r="L86" s="452" t="str">
        <f>Calculations!L1423</f>
        <v xml:space="preserve"> </v>
      </c>
      <c r="M86" s="452" t="str">
        <f>Calculations!M1423</f>
        <v xml:space="preserve"> </v>
      </c>
      <c r="N86" s="452" t="str">
        <f>Calculations!N1423</f>
        <v xml:space="preserve"> </v>
      </c>
      <c r="O86" s="452" t="str">
        <f>Calculations!O1423</f>
        <v xml:space="preserve"> </v>
      </c>
      <c r="P86" s="452" t="str">
        <f>Calculations!P1423</f>
        <v xml:space="preserve"> </v>
      </c>
      <c r="Q86" s="452" t="str">
        <f>Calculations!Q1423</f>
        <v xml:space="preserve"> </v>
      </c>
      <c r="R86" s="452" t="str">
        <f>Calculations!R1423</f>
        <v xml:space="preserve"> </v>
      </c>
      <c r="S86" s="452" t="str">
        <f>Calculations!S1423</f>
        <v xml:space="preserve"> </v>
      </c>
      <c r="T86" s="452" t="str">
        <f>Calculations!T1423</f>
        <v xml:space="preserve"> </v>
      </c>
      <c r="U86" s="452" t="str">
        <f>Calculations!U1423</f>
        <v xml:space="preserve"> </v>
      </c>
      <c r="V86" s="452" t="str">
        <f>Calculations!V1423</f>
        <v xml:space="preserve"> </v>
      </c>
      <c r="W86" s="452" t="str">
        <f>Calculations!W1423</f>
        <v xml:space="preserve"> </v>
      </c>
      <c r="X86" s="452" t="str">
        <f>Calculations!X1423</f>
        <v xml:space="preserve"> </v>
      </c>
      <c r="Y86" s="452" t="str">
        <f>Calculations!Y1423</f>
        <v xml:space="preserve"> </v>
      </c>
      <c r="Z86" s="452" t="str">
        <f>Calculations!Z1423</f>
        <v xml:space="preserve"> </v>
      </c>
      <c r="AA86" s="452" t="str">
        <f>Calculations!AA1423</f>
        <v xml:space="preserve"> </v>
      </c>
      <c r="AB86" s="452" t="str">
        <f>Calculations!AB1423</f>
        <v xml:space="preserve"> </v>
      </c>
      <c r="AC86" s="452" t="str">
        <f>Calculations!AC1423</f>
        <v xml:space="preserve"> </v>
      </c>
      <c r="AD86" s="452" t="str">
        <f>Calculations!AD1423</f>
        <v xml:space="preserve"> </v>
      </c>
      <c r="AE86" s="452" t="str">
        <f>Calculations!AE1423</f>
        <v xml:space="preserve"> </v>
      </c>
      <c r="AF86" s="452" t="str">
        <f>Calculations!AF1423</f>
        <v xml:space="preserve"> </v>
      </c>
      <c r="AG86" s="452" t="str">
        <f>Calculations!AG1423</f>
        <v xml:space="preserve"> </v>
      </c>
      <c r="AH86" s="452" t="str">
        <f>Calculations!AH1423</f>
        <v xml:space="preserve"> </v>
      </c>
    </row>
    <row r="87" spans="1:65" s="18" customFormat="1" outlineLevel="1" x14ac:dyDescent="0.2">
      <c r="B87" s="57" t="str">
        <f>E68&amp; " - total annual cost in forecast period"</f>
        <v>Investment losses - total annual cost in forecast period</v>
      </c>
      <c r="D87" s="10" t="str">
        <f>'Assumptions - General'!$E$27 &amp;" millions"</f>
        <v>R$ millions</v>
      </c>
      <c r="E87" s="452" t="str">
        <f>Calculations!E1424</f>
        <v xml:space="preserve"> </v>
      </c>
      <c r="F87" s="452" t="str">
        <f>Calculations!F1424</f>
        <v xml:space="preserve"> </v>
      </c>
      <c r="G87" s="452" t="str">
        <f>Calculations!G1424</f>
        <v xml:space="preserve"> </v>
      </c>
      <c r="H87" s="452" t="str">
        <f>Calculations!H1424</f>
        <v xml:space="preserve"> </v>
      </c>
      <c r="I87" s="452" t="str">
        <f>Calculations!I1424</f>
        <v xml:space="preserve"> </v>
      </c>
      <c r="J87" s="452" t="str">
        <f>Calculations!J1424</f>
        <v xml:space="preserve"> </v>
      </c>
      <c r="K87" s="452" t="str">
        <f>Calculations!K1424</f>
        <v xml:space="preserve"> </v>
      </c>
      <c r="L87" s="452" t="str">
        <f>Calculations!L1424</f>
        <v xml:space="preserve"> </v>
      </c>
      <c r="M87" s="452" t="str">
        <f>Calculations!M1424</f>
        <v xml:space="preserve"> </v>
      </c>
      <c r="N87" s="452" t="str">
        <f>Calculations!N1424</f>
        <v xml:space="preserve"> </v>
      </c>
      <c r="O87" s="452" t="str">
        <f>Calculations!O1424</f>
        <v xml:space="preserve"> </v>
      </c>
      <c r="P87" s="452" t="str">
        <f>Calculations!P1424</f>
        <v xml:space="preserve"> </v>
      </c>
      <c r="Q87" s="452" t="str">
        <f>Calculations!Q1424</f>
        <v xml:space="preserve"> </v>
      </c>
      <c r="R87" s="452" t="str">
        <f>Calculations!R1424</f>
        <v xml:space="preserve"> </v>
      </c>
      <c r="S87" s="452" t="str">
        <f>Calculations!S1424</f>
        <v xml:space="preserve"> </v>
      </c>
      <c r="T87" s="452" t="str">
        <f>Calculations!T1424</f>
        <v xml:space="preserve"> </v>
      </c>
      <c r="U87" s="452" t="str">
        <f>Calculations!U1424</f>
        <v xml:space="preserve"> </v>
      </c>
      <c r="V87" s="452" t="str">
        <f>Calculations!V1424</f>
        <v xml:space="preserve"> </v>
      </c>
      <c r="W87" s="452" t="str">
        <f>Calculations!W1424</f>
        <v xml:space="preserve"> </v>
      </c>
      <c r="X87" s="452" t="str">
        <f>Calculations!X1424</f>
        <v xml:space="preserve"> </v>
      </c>
      <c r="Y87" s="452" t="str">
        <f>Calculations!Y1424</f>
        <v xml:space="preserve"> </v>
      </c>
      <c r="Z87" s="452" t="str">
        <f>Calculations!Z1424</f>
        <v xml:space="preserve"> </v>
      </c>
      <c r="AA87" s="452" t="str">
        <f>Calculations!AA1424</f>
        <v xml:space="preserve"> </v>
      </c>
      <c r="AB87" s="452" t="str">
        <f>Calculations!AB1424</f>
        <v xml:space="preserve"> </v>
      </c>
      <c r="AC87" s="452" t="str">
        <f>Calculations!AC1424</f>
        <v xml:space="preserve"> </v>
      </c>
      <c r="AD87" s="452" t="str">
        <f>Calculations!AD1424</f>
        <v xml:space="preserve"> </v>
      </c>
      <c r="AE87" s="452" t="str">
        <f>Calculations!AE1424</f>
        <v xml:space="preserve"> </v>
      </c>
      <c r="AF87" s="452" t="str">
        <f>Calculations!AF1424</f>
        <v xml:space="preserve"> </v>
      </c>
      <c r="AG87" s="452" t="str">
        <f>Calculations!AG1424</f>
        <v xml:space="preserve"> </v>
      </c>
      <c r="AH87" s="452" t="str">
        <f>Calculations!AH1424</f>
        <v xml:space="preserve"> </v>
      </c>
    </row>
    <row r="88" spans="1:65" s="18" customFormat="1" outlineLevel="1" x14ac:dyDescent="0.2">
      <c r="B88" s="57" t="str">
        <f>E77&amp; " - total annual cost in forecast period"</f>
        <v>Other - total annual cost in forecast period</v>
      </c>
      <c r="D88" s="10" t="str">
        <f>'Assumptions - General'!$E$27 &amp;" millions"</f>
        <v>R$ millions</v>
      </c>
      <c r="E88" s="452" t="str">
        <f>Calculations!E1425</f>
        <v xml:space="preserve"> </v>
      </c>
      <c r="F88" s="452" t="str">
        <f>Calculations!F1425</f>
        <v xml:space="preserve"> </v>
      </c>
      <c r="G88" s="452" t="str">
        <f>Calculations!G1425</f>
        <v xml:space="preserve"> </v>
      </c>
      <c r="H88" s="452" t="str">
        <f>Calculations!H1425</f>
        <v xml:space="preserve"> </v>
      </c>
      <c r="I88" s="452" t="str">
        <f>Calculations!I1425</f>
        <v xml:space="preserve"> </v>
      </c>
      <c r="J88" s="452" t="str">
        <f>Calculations!J1425</f>
        <v xml:space="preserve"> </v>
      </c>
      <c r="K88" s="452" t="str">
        <f>Calculations!K1425</f>
        <v xml:space="preserve"> </v>
      </c>
      <c r="L88" s="452" t="str">
        <f>Calculations!L1425</f>
        <v xml:space="preserve"> </v>
      </c>
      <c r="M88" s="452" t="str">
        <f>Calculations!M1425</f>
        <v xml:space="preserve"> </v>
      </c>
      <c r="N88" s="452" t="str">
        <f>Calculations!N1425</f>
        <v xml:space="preserve"> </v>
      </c>
      <c r="O88" s="452" t="str">
        <f>Calculations!O1425</f>
        <v xml:space="preserve"> </v>
      </c>
      <c r="P88" s="452" t="str">
        <f>Calculations!P1425</f>
        <v xml:space="preserve"> </v>
      </c>
      <c r="Q88" s="452" t="str">
        <f>Calculations!Q1425</f>
        <v xml:space="preserve"> </v>
      </c>
      <c r="R88" s="452" t="str">
        <f>Calculations!R1425</f>
        <v xml:space="preserve"> </v>
      </c>
      <c r="S88" s="452" t="str">
        <f>Calculations!S1425</f>
        <v xml:space="preserve"> </v>
      </c>
      <c r="T88" s="452" t="str">
        <f>Calculations!T1425</f>
        <v xml:space="preserve"> </v>
      </c>
      <c r="U88" s="452" t="str">
        <f>Calculations!U1425</f>
        <v xml:space="preserve"> </v>
      </c>
      <c r="V88" s="452" t="str">
        <f>Calculations!V1425</f>
        <v xml:space="preserve"> </v>
      </c>
      <c r="W88" s="452" t="str">
        <f>Calculations!W1425</f>
        <v xml:space="preserve"> </v>
      </c>
      <c r="X88" s="452" t="str">
        <f>Calculations!X1425</f>
        <v xml:space="preserve"> </v>
      </c>
      <c r="Y88" s="452" t="str">
        <f>Calculations!Y1425</f>
        <v xml:space="preserve"> </v>
      </c>
      <c r="Z88" s="452" t="str">
        <f>Calculations!Z1425</f>
        <v xml:space="preserve"> </v>
      </c>
      <c r="AA88" s="452" t="str">
        <f>Calculations!AA1425</f>
        <v xml:space="preserve"> </v>
      </c>
      <c r="AB88" s="452" t="str">
        <f>Calculations!AB1425</f>
        <v xml:space="preserve"> </v>
      </c>
      <c r="AC88" s="452" t="str">
        <f>Calculations!AC1425</f>
        <v xml:space="preserve"> </v>
      </c>
      <c r="AD88" s="452" t="str">
        <f>Calculations!AD1425</f>
        <v xml:space="preserve"> </v>
      </c>
      <c r="AE88" s="452" t="str">
        <f>Calculations!AE1425</f>
        <v xml:space="preserve"> </v>
      </c>
      <c r="AF88" s="452" t="str">
        <f>Calculations!AF1425</f>
        <v xml:space="preserve"> </v>
      </c>
      <c r="AG88" s="452" t="str">
        <f>Calculations!AG1425</f>
        <v xml:space="preserve"> </v>
      </c>
      <c r="AH88" s="452" t="str">
        <f>Calculations!AH1425</f>
        <v xml:space="preserve"> </v>
      </c>
    </row>
    <row r="89" spans="1:65" s="18" customFormat="1" x14ac:dyDescent="0.2">
      <c r="A89" s="7" t="s">
        <v>405</v>
      </c>
      <c r="B89" s="20"/>
    </row>
    <row r="90" spans="1:65" s="18" customFormat="1" x14ac:dyDescent="0.2">
      <c r="A90" s="7"/>
      <c r="B90" s="20"/>
    </row>
    <row r="91" spans="1:65" s="2" customFormat="1" x14ac:dyDescent="0.2">
      <c r="B91" s="4" t="str">
        <f>"Taxes and dividends for "&amp;'Assumptions - General'!E23</f>
        <v xml:space="preserve">Taxes and dividends for Ruritania Railways </v>
      </c>
    </row>
    <row r="93" spans="1:65" s="8" customFormat="1" ht="16.5" customHeight="1" x14ac:dyDescent="0.2">
      <c r="B93" s="169" t="s">
        <v>524</v>
      </c>
      <c r="D93" s="169" t="s">
        <v>149</v>
      </c>
      <c r="E93" s="241">
        <f>F93/100</f>
        <v>1.3</v>
      </c>
      <c r="F93" s="87">
        <v>130</v>
      </c>
    </row>
    <row r="94" spans="1:65" s="8" customFormat="1" ht="15" customHeight="1" x14ac:dyDescent="0.2">
      <c r="B94" s="169" t="s">
        <v>150</v>
      </c>
      <c r="D94" s="169" t="s">
        <v>15</v>
      </c>
      <c r="E94" s="242">
        <f>F94/100</f>
        <v>0.7</v>
      </c>
      <c r="F94" s="87">
        <v>70</v>
      </c>
    </row>
    <row r="95" spans="1:65" s="8" customFormat="1" ht="14" x14ac:dyDescent="0.2">
      <c r="E95" s="195"/>
    </row>
    <row r="96" spans="1:65" s="2" customFormat="1" x14ac:dyDescent="0.2">
      <c r="B96" s="4" t="str">
        <f>"Working capital assumptions for " &amp;'Assumptions - General'!$E$23</f>
        <v xml:space="preserve">Working capital assumptions for Ruritania Railways </v>
      </c>
      <c r="E96" s="196"/>
    </row>
    <row r="97" spans="2:34" s="20" customFormat="1" ht="14" x14ac:dyDescent="0.2">
      <c r="E97" s="182"/>
      <c r="F97" s="192"/>
      <c r="G97" s="192"/>
      <c r="H97" s="192"/>
      <c r="I97" s="192"/>
      <c r="J97" s="192"/>
      <c r="K97" s="192"/>
      <c r="L97" s="192"/>
      <c r="M97" s="192"/>
      <c r="N97" s="192"/>
      <c r="O97" s="192"/>
      <c r="P97" s="192"/>
      <c r="Q97" s="192"/>
      <c r="R97" s="192"/>
      <c r="S97" s="192"/>
      <c r="T97" s="192"/>
      <c r="U97" s="192"/>
      <c r="V97" s="192"/>
      <c r="W97" s="192"/>
      <c r="X97" s="192"/>
      <c r="Y97" s="192"/>
      <c r="Z97" s="192"/>
      <c r="AA97" s="192"/>
      <c r="AB97" s="192"/>
      <c r="AC97" s="192"/>
      <c r="AD97" s="192"/>
      <c r="AE97" s="192"/>
      <c r="AF97" s="192"/>
      <c r="AG97" s="192"/>
      <c r="AH97" s="192"/>
    </row>
    <row r="98" spans="2:34" x14ac:dyDescent="0.2">
      <c r="B98" s="21" t="s">
        <v>350</v>
      </c>
      <c r="D98" s="10" t="str">
        <f>'Assumptions - General'!$E$27 &amp;" millions"</f>
        <v>R$ millions</v>
      </c>
      <c r="E98" s="176">
        <v>30</v>
      </c>
      <c r="F98" s="190"/>
      <c r="G98" s="190"/>
      <c r="H98" s="190"/>
      <c r="I98" s="190"/>
      <c r="J98" s="190"/>
      <c r="K98" s="190"/>
      <c r="L98" s="190"/>
      <c r="M98" s="190"/>
      <c r="N98" s="190"/>
      <c r="O98" s="190"/>
      <c r="P98" s="190"/>
      <c r="Q98" s="190"/>
      <c r="R98" s="190"/>
      <c r="S98" s="190"/>
      <c r="T98" s="190"/>
      <c r="U98" s="190"/>
      <c r="V98" s="190"/>
      <c r="W98" s="190"/>
      <c r="X98" s="190"/>
      <c r="Y98" s="190"/>
      <c r="Z98" s="190"/>
      <c r="AA98" s="190"/>
      <c r="AB98" s="190"/>
      <c r="AC98" s="190"/>
      <c r="AD98" s="190"/>
      <c r="AE98" s="190"/>
      <c r="AF98" s="190"/>
      <c r="AG98" s="190"/>
      <c r="AH98" s="190"/>
    </row>
    <row r="99" spans="2:34" s="8" customFormat="1" ht="14" x14ac:dyDescent="0.2">
      <c r="B99" s="8" t="s">
        <v>50</v>
      </c>
      <c r="D99" s="8" t="s">
        <v>51</v>
      </c>
      <c r="E99" s="193">
        <f>IF(AND(E98&lt;&gt;0,(Calculations!E1401+Calculations!E1403)&gt;0),IF(Calculations!E21=1,(E98*365)/(Calculations!E1401+Calculations!E1403),0),0)</f>
        <v>0</v>
      </c>
      <c r="F99" s="193">
        <f>IF($E$98&lt;&gt;0,IF(Calculations!F21=1,E99+F100," "),0)</f>
        <v>0</v>
      </c>
      <c r="G99" s="193">
        <f>IF($E$98&lt;&gt;0,IF(Calculations!G21=1,F99+G100," "),0)</f>
        <v>0</v>
      </c>
      <c r="H99" s="193">
        <f>IF($E$98&lt;&gt;0,IF(Calculations!H21=1,G99+H100," "),0)</f>
        <v>0</v>
      </c>
      <c r="I99" s="193">
        <f>IF($E$98&lt;&gt;0,IF(Calculations!I21=1,H99+I100," "),0)</f>
        <v>0</v>
      </c>
      <c r="J99" s="193">
        <f>IF($E$98&lt;&gt;0,IF(Calculations!J21=1,I99+J100," "),0)</f>
        <v>0</v>
      </c>
      <c r="K99" s="193">
        <f>IF($E$98&lt;&gt;0,IF(Calculations!K21=1,J99+K100," "),0)</f>
        <v>0</v>
      </c>
      <c r="L99" s="193">
        <f>IF($E$98&lt;&gt;0,IF(Calculations!L21=1,K99+L100," "),0)</f>
        <v>0</v>
      </c>
      <c r="M99" s="193">
        <f>IF($E$98&lt;&gt;0,IF(Calculations!M21=1,L99+M100," "),0)</f>
        <v>0</v>
      </c>
      <c r="N99" s="193">
        <f>IF($E$98&lt;&gt;0,IF(Calculations!N21=1,M99+N100," "),0)</f>
        <v>0</v>
      </c>
      <c r="O99" s="193">
        <f>IF($E$98&lt;&gt;0,IF(Calculations!O21=1,N99+O100," "),0)</f>
        <v>0</v>
      </c>
      <c r="P99" s="193">
        <f>IF($E$98&lt;&gt;0,IF(Calculations!P21=1,O99+P100," "),0)</f>
        <v>0</v>
      </c>
      <c r="Q99" s="193">
        <f>IF($E$98&lt;&gt;0,IF(Calculations!Q21=1,P99+Q100," "),0)</f>
        <v>0</v>
      </c>
      <c r="R99" s="193">
        <f>IF($E$98&lt;&gt;0,IF(Calculations!R21=1,Q99+R100," "),0)</f>
        <v>0</v>
      </c>
      <c r="S99" s="193">
        <f>IF($E$98&lt;&gt;0,IF(Calculations!S21=1,R99+S100," "),0)</f>
        <v>0</v>
      </c>
      <c r="T99" s="193">
        <f>IF($E$98&lt;&gt;0,IF(Calculations!T21=1,S99+T100," "),0)</f>
        <v>0</v>
      </c>
      <c r="U99" s="193">
        <f>IF($E$98&lt;&gt;0,IF(Calculations!U21=1,T99+U100," "),0)</f>
        <v>0</v>
      </c>
      <c r="V99" s="193">
        <f>IF($E$98&lt;&gt;0,IF(Calculations!V21=1,U99+V100," "),0)</f>
        <v>0</v>
      </c>
      <c r="W99" s="193">
        <f>IF($E$98&lt;&gt;0,IF(Calculations!W21=1,V99+W100," "),0)</f>
        <v>0</v>
      </c>
      <c r="X99" s="193">
        <f>IF($E$98&lt;&gt;0,IF(Calculations!X21=1,W99+X100," "),0)</f>
        <v>0</v>
      </c>
      <c r="Y99" s="193">
        <f>IF($E$98&lt;&gt;0,IF(Calculations!Y21=1,X99+Y100," "),0)</f>
        <v>0</v>
      </c>
      <c r="Z99" s="193">
        <f>IF($E$98&lt;&gt;0,IF(Calculations!Z21=1,Y99+Z100," "),0)</f>
        <v>0</v>
      </c>
      <c r="AA99" s="193">
        <f>IF($E$98&lt;&gt;0,IF(Calculations!AA21=1,Z99+AA100," "),0)</f>
        <v>0</v>
      </c>
      <c r="AB99" s="193">
        <f>IF($E$98&lt;&gt;0,IF(Calculations!AB21=1,AA99+AB100," "),0)</f>
        <v>0</v>
      </c>
      <c r="AC99" s="193">
        <f>IF($E$98&lt;&gt;0,IF(Calculations!AC21=1,AB99+AC100," "),0)</f>
        <v>0</v>
      </c>
      <c r="AD99" s="193">
        <f>IF($E$98&lt;&gt;0,IF(Calculations!AD21=1,AC99+AD100," "),0)</f>
        <v>0</v>
      </c>
      <c r="AE99" s="193">
        <f>IF($E$98&lt;&gt;0,IF(Calculations!AE21=1,AD99+AE100," "),0)</f>
        <v>0</v>
      </c>
      <c r="AF99" s="193">
        <f>IF($E$98&lt;&gt;0,IF(Calculations!AF21=1,AE99+AF100," "),0)</f>
        <v>0</v>
      </c>
      <c r="AG99" s="193">
        <f>IF($E$98&lt;&gt;0,IF(Calculations!AG21=1,AF99+AG100," "),0)</f>
        <v>0</v>
      </c>
      <c r="AH99" s="193">
        <f>IF($E$98&lt;&gt;0,IF(Calculations!AH21=1,AG99+AH100," "),0)</f>
        <v>0</v>
      </c>
    </row>
    <row r="100" spans="2:34" s="8" customFormat="1" ht="14" x14ac:dyDescent="0.2">
      <c r="B100" s="8" t="s">
        <v>276</v>
      </c>
      <c r="D100" s="8" t="s">
        <v>270</v>
      </c>
      <c r="E100" s="182"/>
      <c r="F100" s="191">
        <v>0</v>
      </c>
      <c r="G100" s="191">
        <v>0</v>
      </c>
      <c r="H100" s="191">
        <v>0</v>
      </c>
      <c r="I100" s="191">
        <v>0</v>
      </c>
      <c r="J100" s="191">
        <v>0</v>
      </c>
      <c r="K100" s="191">
        <v>0</v>
      </c>
      <c r="L100" s="191">
        <v>0</v>
      </c>
      <c r="M100" s="191">
        <v>0</v>
      </c>
      <c r="N100" s="191">
        <v>0</v>
      </c>
      <c r="O100" s="191">
        <v>0</v>
      </c>
      <c r="P100" s="191">
        <v>0</v>
      </c>
      <c r="Q100" s="191">
        <v>0</v>
      </c>
      <c r="R100" s="191">
        <v>0</v>
      </c>
      <c r="S100" s="191">
        <v>0</v>
      </c>
      <c r="T100" s="191">
        <v>0</v>
      </c>
      <c r="U100" s="191">
        <v>0</v>
      </c>
      <c r="V100" s="191">
        <v>0</v>
      </c>
      <c r="W100" s="191">
        <v>0</v>
      </c>
      <c r="X100" s="191">
        <v>0</v>
      </c>
      <c r="Y100" s="191">
        <v>0</v>
      </c>
      <c r="Z100" s="191">
        <v>0</v>
      </c>
      <c r="AA100" s="191">
        <v>0</v>
      </c>
      <c r="AB100" s="191">
        <v>0</v>
      </c>
      <c r="AC100" s="191">
        <v>0</v>
      </c>
      <c r="AD100" s="191">
        <v>0</v>
      </c>
      <c r="AE100" s="191">
        <v>0</v>
      </c>
      <c r="AF100" s="191">
        <v>0</v>
      </c>
      <c r="AG100" s="191">
        <v>0</v>
      </c>
      <c r="AH100" s="191">
        <v>0</v>
      </c>
    </row>
    <row r="101" spans="2:34" s="20" customFormat="1" ht="14" x14ac:dyDescent="0.2">
      <c r="E101" s="182"/>
      <c r="F101" s="121"/>
      <c r="G101" s="121"/>
      <c r="H101" s="121"/>
      <c r="I101" s="121"/>
      <c r="J101" s="121"/>
      <c r="K101" s="121"/>
      <c r="L101" s="121"/>
      <c r="M101" s="121"/>
      <c r="N101" s="121"/>
      <c r="O101" s="121"/>
      <c r="P101" s="121"/>
      <c r="Q101" s="121"/>
      <c r="R101" s="121"/>
      <c r="S101" s="121"/>
      <c r="T101" s="121"/>
      <c r="U101" s="121"/>
      <c r="V101" s="121"/>
      <c r="W101" s="121"/>
      <c r="X101" s="121"/>
      <c r="Y101" s="121"/>
      <c r="Z101" s="121"/>
      <c r="AA101" s="121"/>
      <c r="AB101" s="121"/>
      <c r="AC101" s="121"/>
      <c r="AD101" s="121"/>
      <c r="AE101" s="121"/>
      <c r="AF101" s="121"/>
      <c r="AG101" s="121"/>
      <c r="AH101" s="121"/>
    </row>
    <row r="102" spans="2:34" x14ac:dyDescent="0.2">
      <c r="B102" s="21" t="s">
        <v>351</v>
      </c>
      <c r="D102" s="10" t="str">
        <f>'Assumptions - General'!$E$27 &amp;" millions"</f>
        <v>R$ millions</v>
      </c>
      <c r="E102" s="176">
        <v>30</v>
      </c>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90"/>
      <c r="AB102" s="190"/>
      <c r="AC102" s="190"/>
      <c r="AD102" s="190"/>
      <c r="AE102" s="190"/>
      <c r="AF102" s="190"/>
      <c r="AG102" s="190"/>
      <c r="AH102" s="190"/>
    </row>
    <row r="103" spans="2:34" s="8" customFormat="1" ht="14" x14ac:dyDescent="0.2">
      <c r="B103" s="8" t="s">
        <v>275</v>
      </c>
      <c r="D103" s="8" t="s">
        <v>51</v>
      </c>
      <c r="E103" s="193">
        <f>IF(AND(E102&lt;&gt;0,Calculations!E1431&lt;&gt;0),IF(Calculations!E21=1,(E102*365)/Calculations!E1431,0),0)</f>
        <v>0</v>
      </c>
      <c r="F103" s="193">
        <f>IF($E$102&lt;&gt;0,IF(Calculations!F21=1,E103+F104," "),0)</f>
        <v>0</v>
      </c>
      <c r="G103" s="193">
        <f>IF($E$102&lt;&gt;0,IF(Calculations!G21=1,F103+G104," "),0)</f>
        <v>0</v>
      </c>
      <c r="H103" s="193">
        <f>IF($E$102&lt;&gt;0,IF(Calculations!H21=1,G103+H104," "),0)</f>
        <v>0</v>
      </c>
      <c r="I103" s="193">
        <f>IF($E$102&lt;&gt;0,IF(Calculations!I21=1,H103+I104," "),0)</f>
        <v>0</v>
      </c>
      <c r="J103" s="193">
        <f>IF($E$102&lt;&gt;0,IF(Calculations!J21=1,I103+J104," "),0)</f>
        <v>0</v>
      </c>
      <c r="K103" s="193">
        <f>IF($E$102&lt;&gt;0,IF(Calculations!K21=1,J103+K104," "),0)</f>
        <v>0</v>
      </c>
      <c r="L103" s="193">
        <f>IF($E$102&lt;&gt;0,IF(Calculations!L21=1,K103+L104," "),0)</f>
        <v>0</v>
      </c>
      <c r="M103" s="193">
        <f>IF($E$102&lt;&gt;0,IF(Calculations!M21=1,L103+M104," "),0)</f>
        <v>0</v>
      </c>
      <c r="N103" s="193">
        <f>IF($E$102&lt;&gt;0,IF(Calculations!N21=1,M103+N104," "),0)</f>
        <v>0</v>
      </c>
      <c r="O103" s="193">
        <f>IF($E$102&lt;&gt;0,IF(Calculations!O21=1,N103+O104," "),0)</f>
        <v>0</v>
      </c>
      <c r="P103" s="193">
        <f>IF($E$102&lt;&gt;0,IF(Calculations!P21=1,O103+P104," "),0)</f>
        <v>0</v>
      </c>
      <c r="Q103" s="193">
        <f>IF($E$102&lt;&gt;0,IF(Calculations!Q21=1,P103+Q104," "),0)</f>
        <v>0</v>
      </c>
      <c r="R103" s="193">
        <f>IF($E$102&lt;&gt;0,IF(Calculations!R21=1,Q103+R104," "),0)</f>
        <v>0</v>
      </c>
      <c r="S103" s="193">
        <f>IF($E$102&lt;&gt;0,IF(Calculations!S21=1,R103+S104," "),0)</f>
        <v>0</v>
      </c>
      <c r="T103" s="193">
        <f>IF($E$102&lt;&gt;0,IF(Calculations!T21=1,S103+T104," "),0)</f>
        <v>0</v>
      </c>
      <c r="U103" s="193">
        <f>IF($E$102&lt;&gt;0,IF(Calculations!U21=1,T103+U104," "),0)</f>
        <v>0</v>
      </c>
      <c r="V103" s="193">
        <f>IF($E$102&lt;&gt;0,IF(Calculations!V21=1,U103+V104," "),0)</f>
        <v>0</v>
      </c>
      <c r="W103" s="193">
        <f>IF($E$102&lt;&gt;0,IF(Calculations!W21=1,V103+W104," "),0)</f>
        <v>0</v>
      </c>
      <c r="X103" s="193">
        <f>IF($E$102&lt;&gt;0,IF(Calculations!X21=1,W103+X104," "),0)</f>
        <v>0</v>
      </c>
      <c r="Y103" s="193">
        <f>IF($E$102&lt;&gt;0,IF(Calculations!Y21=1,X103+Y104," "),0)</f>
        <v>0</v>
      </c>
      <c r="Z103" s="193">
        <f>IF($E$102&lt;&gt;0,IF(Calculations!Z21=1,Y103+Z104," "),0)</f>
        <v>0</v>
      </c>
      <c r="AA103" s="193">
        <f>IF($E$102&lt;&gt;0,IF(Calculations!AA21=1,Z103+AA104," "),0)</f>
        <v>0</v>
      </c>
      <c r="AB103" s="193">
        <f>IF($E$102&lt;&gt;0,IF(Calculations!AB21=1,AA103+AB104," "),0)</f>
        <v>0</v>
      </c>
      <c r="AC103" s="193">
        <f>IF($E$102&lt;&gt;0,IF(Calculations!AC21=1,AB103+AC104," "),0)</f>
        <v>0</v>
      </c>
      <c r="AD103" s="193">
        <f>IF($E$102&lt;&gt;0,IF(Calculations!AD21=1,AC103+AD104," "),0)</f>
        <v>0</v>
      </c>
      <c r="AE103" s="193">
        <f>IF($E$102&lt;&gt;0,IF(Calculations!AE21=1,AD103+AE104," "),0)</f>
        <v>0</v>
      </c>
      <c r="AF103" s="193">
        <f>IF($E$102&lt;&gt;0,IF(Calculations!AF21=1,AE103+AF104," "),0)</f>
        <v>0</v>
      </c>
      <c r="AG103" s="193">
        <f>IF($E$102&lt;&gt;0,IF(Calculations!AG21=1,AF103+AG104," "),0)</f>
        <v>0</v>
      </c>
      <c r="AH103" s="193">
        <f>IF($E$102&lt;&gt;0,IF(Calculations!AH21=1,AG103+AH104," "),0)</f>
        <v>0</v>
      </c>
    </row>
    <row r="104" spans="2:34" s="8" customFormat="1" ht="14" x14ac:dyDescent="0.2">
      <c r="B104" s="8" t="s">
        <v>276</v>
      </c>
      <c r="D104" s="8" t="s">
        <v>270</v>
      </c>
      <c r="E104" s="182"/>
      <c r="F104" s="191">
        <v>0</v>
      </c>
      <c r="G104" s="191">
        <v>0</v>
      </c>
      <c r="H104" s="191">
        <v>0</v>
      </c>
      <c r="I104" s="191">
        <v>0</v>
      </c>
      <c r="J104" s="191">
        <v>0</v>
      </c>
      <c r="K104" s="191">
        <v>0</v>
      </c>
      <c r="L104" s="191">
        <v>0</v>
      </c>
      <c r="M104" s="191">
        <v>0</v>
      </c>
      <c r="N104" s="191">
        <v>0</v>
      </c>
      <c r="O104" s="191">
        <v>0</v>
      </c>
      <c r="P104" s="191">
        <v>0</v>
      </c>
      <c r="Q104" s="191">
        <v>0</v>
      </c>
      <c r="R104" s="191">
        <v>0</v>
      </c>
      <c r="S104" s="191">
        <v>0</v>
      </c>
      <c r="T104" s="191">
        <v>0</v>
      </c>
      <c r="U104" s="191">
        <v>0</v>
      </c>
      <c r="V104" s="191">
        <v>0</v>
      </c>
      <c r="W104" s="191">
        <v>0</v>
      </c>
      <c r="X104" s="191">
        <v>0</v>
      </c>
      <c r="Y104" s="191">
        <v>0</v>
      </c>
      <c r="Z104" s="191">
        <v>0</v>
      </c>
      <c r="AA104" s="191">
        <v>0</v>
      </c>
      <c r="AB104" s="191">
        <v>0</v>
      </c>
      <c r="AC104" s="191">
        <v>0</v>
      </c>
      <c r="AD104" s="191">
        <v>0</v>
      </c>
      <c r="AE104" s="191">
        <v>0</v>
      </c>
      <c r="AF104" s="191">
        <v>0</v>
      </c>
      <c r="AG104" s="191">
        <v>0</v>
      </c>
      <c r="AH104" s="191">
        <v>0</v>
      </c>
    </row>
    <row r="105" spans="2:34" s="20" customFormat="1" ht="14" x14ac:dyDescent="0.2">
      <c r="E105" s="208" t="str">
        <f>IF(E106&lt;&gt;E98+E102,"WARNING: CASH NOT EQUAL TO LIABILITIES", " ")</f>
        <v xml:space="preserve"> </v>
      </c>
      <c r="F105" s="121"/>
      <c r="G105" s="121"/>
      <c r="H105" s="121"/>
      <c r="I105" s="121"/>
      <c r="J105" s="121"/>
      <c r="K105" s="121"/>
      <c r="L105" s="121"/>
      <c r="M105" s="121"/>
      <c r="N105" s="121"/>
      <c r="O105" s="121"/>
      <c r="P105" s="121"/>
      <c r="Q105" s="121"/>
      <c r="R105" s="121"/>
      <c r="S105" s="121"/>
      <c r="T105" s="121"/>
      <c r="U105" s="121"/>
      <c r="V105" s="121"/>
      <c r="W105" s="121"/>
      <c r="X105" s="121"/>
      <c r="Y105" s="121"/>
      <c r="Z105" s="121"/>
      <c r="AA105" s="121"/>
      <c r="AB105" s="121"/>
      <c r="AC105" s="121"/>
      <c r="AD105" s="121"/>
      <c r="AE105" s="121"/>
      <c r="AF105" s="121"/>
      <c r="AG105" s="121"/>
      <c r="AH105" s="121"/>
    </row>
    <row r="106" spans="2:34" s="8" customFormat="1" ht="14" x14ac:dyDescent="0.2">
      <c r="B106" s="21" t="s">
        <v>352</v>
      </c>
      <c r="D106" s="8" t="str">
        <f>'Assumptions - General'!$E$27 &amp;" millions"</f>
        <v>R$ millions</v>
      </c>
      <c r="E106" s="181">
        <v>60</v>
      </c>
      <c r="F106" s="87" t="s">
        <v>33</v>
      </c>
    </row>
    <row r="107" spans="2:34" s="8" customFormat="1" ht="14" x14ac:dyDescent="0.2">
      <c r="B107" s="169" t="s">
        <v>332</v>
      </c>
      <c r="C107" s="169"/>
      <c r="D107" s="169" t="s">
        <v>32</v>
      </c>
      <c r="E107" s="177">
        <v>1</v>
      </c>
      <c r="F107" s="87" t="s">
        <v>211</v>
      </c>
    </row>
    <row r="108" spans="2:34" s="8" customFormat="1" ht="14" x14ac:dyDescent="0.2">
      <c r="B108" s="169"/>
      <c r="C108" s="169"/>
      <c r="D108" s="169"/>
      <c r="E108" s="177"/>
      <c r="F108" s="87"/>
    </row>
    <row r="109" spans="2:34" s="8" customFormat="1" ht="14" x14ac:dyDescent="0.2">
      <c r="B109" s="169" t="s">
        <v>333</v>
      </c>
      <c r="C109" s="169"/>
      <c r="D109" s="169" t="s">
        <v>15</v>
      </c>
      <c r="E109" s="198">
        <v>0.01</v>
      </c>
    </row>
    <row r="110" spans="2:34" s="8" customFormat="1" ht="14" x14ac:dyDescent="0.2">
      <c r="B110" s="169"/>
      <c r="C110" s="169"/>
      <c r="D110" s="169"/>
      <c r="E110" s="460"/>
    </row>
    <row r="111" spans="2:34" outlineLevel="1" x14ac:dyDescent="0.2">
      <c r="B111" s="8" t="s">
        <v>389</v>
      </c>
      <c r="D111" s="10" t="str">
        <f>'Assumptions - General'!$E$27 &amp;" millions"</f>
        <v>R$ millions</v>
      </c>
      <c r="E111" s="218">
        <f>Calculations!E1458</f>
        <v>0</v>
      </c>
      <c r="F111" s="218">
        <f>Calculations!F1458</f>
        <v>0</v>
      </c>
      <c r="G111" s="218">
        <f>Calculations!G1458</f>
        <v>0</v>
      </c>
      <c r="H111" s="218">
        <f>Calculations!H1458</f>
        <v>0</v>
      </c>
      <c r="I111" s="218">
        <f>Calculations!I1458</f>
        <v>0</v>
      </c>
      <c r="J111" s="218">
        <f>Calculations!J1458</f>
        <v>0</v>
      </c>
      <c r="K111" s="218">
        <f>Calculations!K1458</f>
        <v>0</v>
      </c>
      <c r="L111" s="218">
        <f>Calculations!L1458</f>
        <v>0</v>
      </c>
      <c r="M111" s="218">
        <f>Calculations!M1458</f>
        <v>0</v>
      </c>
      <c r="N111" s="218">
        <f>Calculations!N1458</f>
        <v>0</v>
      </c>
      <c r="O111" s="218">
        <f>Calculations!O1458</f>
        <v>0</v>
      </c>
      <c r="P111" s="218">
        <f>Calculations!P1458</f>
        <v>0</v>
      </c>
      <c r="Q111" s="218">
        <f>Calculations!Q1458</f>
        <v>0</v>
      </c>
      <c r="R111" s="218">
        <f>Calculations!R1458</f>
        <v>0</v>
      </c>
      <c r="S111" s="218">
        <f>Calculations!S1458</f>
        <v>0</v>
      </c>
      <c r="T111" s="218">
        <f>Calculations!T1458</f>
        <v>0</v>
      </c>
      <c r="U111" s="218">
        <f>Calculations!U1458</f>
        <v>0</v>
      </c>
      <c r="V111" s="218">
        <f>Calculations!V1458</f>
        <v>0</v>
      </c>
      <c r="W111" s="218">
        <f>Calculations!W1458</f>
        <v>0</v>
      </c>
      <c r="X111" s="218">
        <f>Calculations!X1458</f>
        <v>0</v>
      </c>
      <c r="Y111" s="218">
        <f>Calculations!Y1458</f>
        <v>0</v>
      </c>
      <c r="Z111" s="218">
        <f>Calculations!Z1458</f>
        <v>0</v>
      </c>
      <c r="AA111" s="218">
        <f>Calculations!AA1458</f>
        <v>0</v>
      </c>
      <c r="AB111" s="218">
        <f>Calculations!AB1458</f>
        <v>0</v>
      </c>
      <c r="AC111" s="218">
        <f>Calculations!AC1458</f>
        <v>0</v>
      </c>
      <c r="AD111" s="218">
        <f>Calculations!AD1458</f>
        <v>0</v>
      </c>
      <c r="AE111" s="218">
        <f>Calculations!AE1458</f>
        <v>0</v>
      </c>
      <c r="AF111" s="218">
        <f>Calculations!AF1458</f>
        <v>0</v>
      </c>
      <c r="AG111" s="218">
        <f>Calculations!AG1458</f>
        <v>0</v>
      </c>
      <c r="AH111" s="218">
        <f>Calculations!AH1458</f>
        <v>0</v>
      </c>
    </row>
    <row r="112" spans="2:34" outlineLevel="1" x14ac:dyDescent="0.2">
      <c r="B112" s="8" t="s">
        <v>390</v>
      </c>
      <c r="D112" s="10" t="str">
        <f>'Assumptions - General'!$E$27 &amp;" millions"</f>
        <v>R$ millions</v>
      </c>
      <c r="E112" s="218">
        <f>Calculations!E1459</f>
        <v>0</v>
      </c>
      <c r="F112" s="218">
        <f>Calculations!F1459</f>
        <v>0</v>
      </c>
      <c r="G112" s="218">
        <f>Calculations!G1459</f>
        <v>0</v>
      </c>
      <c r="H112" s="218">
        <f>Calculations!H1459</f>
        <v>0</v>
      </c>
      <c r="I112" s="218">
        <f>Calculations!I1459</f>
        <v>0</v>
      </c>
      <c r="J112" s="218">
        <f>Calculations!J1459</f>
        <v>0</v>
      </c>
      <c r="K112" s="218">
        <f>Calculations!K1459</f>
        <v>0</v>
      </c>
      <c r="L112" s="218">
        <f>Calculations!L1459</f>
        <v>0</v>
      </c>
      <c r="M112" s="218">
        <f>Calculations!M1459</f>
        <v>0</v>
      </c>
      <c r="N112" s="218">
        <f>Calculations!N1459</f>
        <v>0</v>
      </c>
      <c r="O112" s="218">
        <f>Calculations!O1459</f>
        <v>0</v>
      </c>
      <c r="P112" s="218">
        <f>Calculations!P1459</f>
        <v>0</v>
      </c>
      <c r="Q112" s="218">
        <f>Calculations!Q1459</f>
        <v>0</v>
      </c>
      <c r="R112" s="218">
        <f>Calculations!R1459</f>
        <v>0</v>
      </c>
      <c r="S112" s="218">
        <f>Calculations!S1459</f>
        <v>0</v>
      </c>
      <c r="T112" s="218">
        <f>Calculations!T1459</f>
        <v>0</v>
      </c>
      <c r="U112" s="218">
        <f>Calculations!U1459</f>
        <v>0</v>
      </c>
      <c r="V112" s="218">
        <f>Calculations!V1459</f>
        <v>0</v>
      </c>
      <c r="W112" s="218">
        <f>Calculations!W1459</f>
        <v>0</v>
      </c>
      <c r="X112" s="218">
        <f>Calculations!X1459</f>
        <v>0</v>
      </c>
      <c r="Y112" s="218">
        <f>Calculations!Y1459</f>
        <v>0</v>
      </c>
      <c r="Z112" s="218">
        <f>Calculations!Z1459</f>
        <v>0</v>
      </c>
      <c r="AA112" s="218">
        <f>Calculations!AA1459</f>
        <v>0</v>
      </c>
      <c r="AB112" s="218">
        <f>Calculations!AB1459</f>
        <v>0</v>
      </c>
      <c r="AC112" s="218">
        <f>Calculations!AC1459</f>
        <v>0</v>
      </c>
      <c r="AD112" s="218">
        <f>Calculations!AD1459</f>
        <v>0</v>
      </c>
      <c r="AE112" s="218">
        <f>Calculations!AE1459</f>
        <v>0</v>
      </c>
      <c r="AF112" s="218">
        <f>Calculations!AF1459</f>
        <v>0</v>
      </c>
      <c r="AG112" s="218">
        <f>Calculations!AG1459</f>
        <v>0</v>
      </c>
      <c r="AH112" s="218">
        <f>Calculations!AH1459</f>
        <v>0</v>
      </c>
    </row>
    <row r="113" spans="1:34" outlineLevel="1" x14ac:dyDescent="0.2">
      <c r="B113" s="8" t="s">
        <v>406</v>
      </c>
      <c r="D113" s="10" t="str">
        <f>'Assumptions - General'!$E$27 &amp;" millions"</f>
        <v>R$ millions</v>
      </c>
      <c r="E113" s="218">
        <f>Calculations!E1482</f>
        <v>300</v>
      </c>
      <c r="F113" s="218">
        <f>Calculations!F1482</f>
        <v>15379.085777752065</v>
      </c>
      <c r="G113" s="218">
        <f>Calculations!G1482</f>
        <v>31031.225488348296</v>
      </c>
      <c r="H113" s="218">
        <f>Calculations!H1482</f>
        <v>47504.522072844818</v>
      </c>
      <c r="I113" s="218">
        <f>Calculations!I1482</f>
        <v>65307.95340041996</v>
      </c>
      <c r="J113" s="218">
        <f>Calculations!J1482</f>
        <v>84425.694227390777</v>
      </c>
      <c r="K113" s="218">
        <f>Calculations!K1482</f>
        <v>105796.33501384177</v>
      </c>
      <c r="L113" s="218">
        <f>Calculations!L1482</f>
        <v>128673.90574739751</v>
      </c>
      <c r="M113" s="218">
        <f>Calculations!M1482</f>
        <v>152924.27316086486</v>
      </c>
      <c r="N113" s="218">
        <f>Calculations!N1482</f>
        <v>178600.23950080865</v>
      </c>
      <c r="O113" s="218">
        <f>Calculations!O1482</f>
        <v>205569.20304697164</v>
      </c>
      <c r="P113" s="218">
        <f>Calculations!P1482</f>
        <v>234047.93213994231</v>
      </c>
      <c r="Q113" s="218">
        <f>Calculations!Q1482</f>
        <v>264090.94124113204</v>
      </c>
      <c r="R113" s="218">
        <f>Calculations!R1482</f>
        <v>295761.83156434481</v>
      </c>
      <c r="S113" s="218">
        <f>Calculations!S1482</f>
        <v>329128.33648111107</v>
      </c>
      <c r="T113" s="218">
        <f>Calculations!T1482</f>
        <v>364257.44597444194</v>
      </c>
      <c r="U113" s="218">
        <f>Calculations!U1482</f>
        <v>401013.29421490786</v>
      </c>
      <c r="V113" s="218">
        <f>Calculations!V1482</f>
        <v>439897.7142348811</v>
      </c>
      <c r="W113" s="218">
        <f>Calculations!W1482</f>
        <v>480765.35109784035</v>
      </c>
      <c r="X113" s="218">
        <f>Calculations!X1482</f>
        <v>523695.65465848614</v>
      </c>
      <c r="Y113" s="218">
        <f>Calculations!Y1482</f>
        <v>568766.91478545743</v>
      </c>
      <c r="Z113" s="218">
        <f>Calculations!Z1482</f>
        <v>616062.71483090555</v>
      </c>
      <c r="AA113" s="218">
        <f>Calculations!AA1482</f>
        <v>665671.72428183153</v>
      </c>
      <c r="AB113" s="218">
        <f>Calculations!AB1482</f>
        <v>717682.60788153624</v>
      </c>
      <c r="AC113" s="218">
        <f>Calculations!AC1482</f>
        <v>772186.36791512999</v>
      </c>
      <c r="AD113" s="218">
        <f>Calculations!AD1482</f>
        <v>829277.6742687365</v>
      </c>
      <c r="AE113" s="218">
        <f>Calculations!AE1482</f>
        <v>889029.04476995312</v>
      </c>
      <c r="AF113" s="218">
        <f>Calculations!AF1482</f>
        <v>951590.13092785887</v>
      </c>
      <c r="AG113" s="218">
        <f>Calculations!AG1482</f>
        <v>1017038.5349699383</v>
      </c>
      <c r="AH113" s="218">
        <f>Calculations!AH1482</f>
        <v>1085473.5111084676</v>
      </c>
    </row>
    <row r="114" spans="1:34" x14ac:dyDescent="0.2">
      <c r="A114" s="7" t="s">
        <v>405</v>
      </c>
    </row>
    <row r="115" spans="1:34" x14ac:dyDescent="0.2">
      <c r="A115" s="7"/>
    </row>
    <row r="116" spans="1:34" s="8" customFormat="1" ht="14" x14ac:dyDescent="0.2">
      <c r="D116" s="10"/>
      <c r="E116" s="112"/>
    </row>
    <row r="117" spans="1:34" s="8" customFormat="1" ht="14" x14ac:dyDescent="0.2">
      <c r="E117" s="168"/>
      <c r="F117" s="87"/>
    </row>
    <row r="118" spans="1:34" s="8" customFormat="1" ht="14" x14ac:dyDescent="0.2">
      <c r="B118" s="7"/>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sheetData>
  <mergeCells count="1">
    <mergeCell ref="E8:E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93" r:id="rId4" name="Scroll Bar 233">
              <controlPr defaultSize="0" autoPict="0">
                <anchor moveWithCells="1">
                  <from>
                    <xdr:col>4</xdr:col>
                    <xdr:colOff>1866900</xdr:colOff>
                    <xdr:row>36</xdr:row>
                    <xdr:rowOff>38100</xdr:rowOff>
                  </from>
                  <to>
                    <xdr:col>4</xdr:col>
                    <xdr:colOff>2514600</xdr:colOff>
                    <xdr:row>36</xdr:row>
                    <xdr:rowOff>254000</xdr:rowOff>
                  </to>
                </anchor>
              </controlPr>
            </control>
          </mc:Choice>
        </mc:AlternateContent>
        <mc:AlternateContent xmlns:mc="http://schemas.openxmlformats.org/markup-compatibility/2006">
          <mc:Choice Requires="x14">
            <control shapeId="15594" r:id="rId5" name="Scroll Bar 234">
              <controlPr defaultSize="0" autoPict="0">
                <anchor moveWithCells="1">
                  <from>
                    <xdr:col>4</xdr:col>
                    <xdr:colOff>1816100</xdr:colOff>
                    <xdr:row>33</xdr:row>
                    <xdr:rowOff>38100</xdr:rowOff>
                  </from>
                  <to>
                    <xdr:col>4</xdr:col>
                    <xdr:colOff>2501900</xdr:colOff>
                    <xdr:row>33</xdr:row>
                    <xdr:rowOff>266700</xdr:rowOff>
                  </to>
                </anchor>
              </controlPr>
            </control>
          </mc:Choice>
        </mc:AlternateContent>
        <mc:AlternateContent xmlns:mc="http://schemas.openxmlformats.org/markup-compatibility/2006">
          <mc:Choice Requires="x14">
            <control shapeId="15595" r:id="rId6" name="Scroll Bar 235">
              <controlPr defaultSize="0" autoPict="0">
                <anchor moveWithCells="1">
                  <from>
                    <xdr:col>4</xdr:col>
                    <xdr:colOff>1879600</xdr:colOff>
                    <xdr:row>44</xdr:row>
                    <xdr:rowOff>25400</xdr:rowOff>
                  </from>
                  <to>
                    <xdr:col>4</xdr:col>
                    <xdr:colOff>2527300</xdr:colOff>
                    <xdr:row>44</xdr:row>
                    <xdr:rowOff>241300</xdr:rowOff>
                  </to>
                </anchor>
              </controlPr>
            </control>
          </mc:Choice>
        </mc:AlternateContent>
        <mc:AlternateContent xmlns:mc="http://schemas.openxmlformats.org/markup-compatibility/2006">
          <mc:Choice Requires="x14">
            <control shapeId="15596" r:id="rId7" name="Scroll Bar 236">
              <controlPr defaultSize="0" autoPict="0">
                <anchor moveWithCells="1">
                  <from>
                    <xdr:col>4</xdr:col>
                    <xdr:colOff>1879600</xdr:colOff>
                    <xdr:row>46</xdr:row>
                    <xdr:rowOff>25400</xdr:rowOff>
                  </from>
                  <to>
                    <xdr:col>4</xdr:col>
                    <xdr:colOff>2527300</xdr:colOff>
                    <xdr:row>46</xdr:row>
                    <xdr:rowOff>266700</xdr:rowOff>
                  </to>
                </anchor>
              </controlPr>
            </control>
          </mc:Choice>
        </mc:AlternateContent>
        <mc:AlternateContent xmlns:mc="http://schemas.openxmlformats.org/markup-compatibility/2006">
          <mc:Choice Requires="x14">
            <control shapeId="15597" r:id="rId8" name="Drop Down 237">
              <controlPr defaultSize="0" autoLine="0" autoPict="0">
                <anchor moveWithCells="1">
                  <from>
                    <xdr:col>4</xdr:col>
                    <xdr:colOff>1193800</xdr:colOff>
                    <xdr:row>24</xdr:row>
                    <xdr:rowOff>0</xdr:rowOff>
                  </from>
                  <to>
                    <xdr:col>4</xdr:col>
                    <xdr:colOff>1866900</xdr:colOff>
                    <xdr:row>24</xdr:row>
                    <xdr:rowOff>266700</xdr:rowOff>
                  </to>
                </anchor>
              </controlPr>
            </control>
          </mc:Choice>
        </mc:AlternateContent>
        <mc:AlternateContent xmlns:mc="http://schemas.openxmlformats.org/markup-compatibility/2006">
          <mc:Choice Requires="x14">
            <control shapeId="15598" r:id="rId9" name="Scroll Bar 238">
              <controlPr defaultSize="0" autoPict="0">
                <anchor moveWithCells="1">
                  <from>
                    <xdr:col>4</xdr:col>
                    <xdr:colOff>1854200</xdr:colOff>
                    <xdr:row>63</xdr:row>
                    <xdr:rowOff>38100</xdr:rowOff>
                  </from>
                  <to>
                    <xdr:col>4</xdr:col>
                    <xdr:colOff>2501900</xdr:colOff>
                    <xdr:row>63</xdr:row>
                    <xdr:rowOff>254000</xdr:rowOff>
                  </to>
                </anchor>
              </controlPr>
            </control>
          </mc:Choice>
        </mc:AlternateContent>
        <mc:AlternateContent xmlns:mc="http://schemas.openxmlformats.org/markup-compatibility/2006">
          <mc:Choice Requires="x14">
            <control shapeId="15599" r:id="rId10" name="Scroll Bar 239">
              <controlPr defaultSize="0" autoPict="0">
                <anchor moveWithCells="1">
                  <from>
                    <xdr:col>4</xdr:col>
                    <xdr:colOff>1854200</xdr:colOff>
                    <xdr:row>72</xdr:row>
                    <xdr:rowOff>38100</xdr:rowOff>
                  </from>
                  <to>
                    <xdr:col>4</xdr:col>
                    <xdr:colOff>2501900</xdr:colOff>
                    <xdr:row>72</xdr:row>
                    <xdr:rowOff>254000</xdr:rowOff>
                  </to>
                </anchor>
              </controlPr>
            </control>
          </mc:Choice>
        </mc:AlternateContent>
        <mc:AlternateContent xmlns:mc="http://schemas.openxmlformats.org/markup-compatibility/2006">
          <mc:Choice Requires="x14">
            <control shapeId="15600" r:id="rId11" name="Scroll Bar 240">
              <controlPr defaultSize="0" autoPict="0">
                <anchor moveWithCells="1">
                  <from>
                    <xdr:col>4</xdr:col>
                    <xdr:colOff>1854200</xdr:colOff>
                    <xdr:row>81</xdr:row>
                    <xdr:rowOff>38100</xdr:rowOff>
                  </from>
                  <to>
                    <xdr:col>4</xdr:col>
                    <xdr:colOff>2501900</xdr:colOff>
                    <xdr:row>81</xdr:row>
                    <xdr:rowOff>254000</xdr:rowOff>
                  </to>
                </anchor>
              </controlPr>
            </control>
          </mc:Choice>
        </mc:AlternateContent>
        <mc:AlternateContent xmlns:mc="http://schemas.openxmlformats.org/markup-compatibility/2006">
          <mc:Choice Requires="x14">
            <control shapeId="15601" r:id="rId12" name="Drop Down 241">
              <controlPr defaultSize="0" autoLine="0" autoPict="0">
                <anchor moveWithCells="1">
                  <from>
                    <xdr:col>4</xdr:col>
                    <xdr:colOff>1181100</xdr:colOff>
                    <xdr:row>56</xdr:row>
                    <xdr:rowOff>0</xdr:rowOff>
                  </from>
                  <to>
                    <xdr:col>4</xdr:col>
                    <xdr:colOff>1854200</xdr:colOff>
                    <xdr:row>56</xdr:row>
                    <xdr:rowOff>279400</xdr:rowOff>
                  </to>
                </anchor>
              </controlPr>
            </control>
          </mc:Choice>
        </mc:AlternateContent>
        <mc:AlternateContent xmlns:mc="http://schemas.openxmlformats.org/markup-compatibility/2006">
          <mc:Choice Requires="x14">
            <control shapeId="15603" r:id="rId13" name="Scroll Bar 243">
              <controlPr defaultSize="0" autoPict="0">
                <anchor moveWithCells="1">
                  <from>
                    <xdr:col>4</xdr:col>
                    <xdr:colOff>1854200</xdr:colOff>
                    <xdr:row>92</xdr:row>
                    <xdr:rowOff>38100</xdr:rowOff>
                  </from>
                  <to>
                    <xdr:col>4</xdr:col>
                    <xdr:colOff>2501900</xdr:colOff>
                    <xdr:row>92</xdr:row>
                    <xdr:rowOff>254000</xdr:rowOff>
                  </to>
                </anchor>
              </controlPr>
            </control>
          </mc:Choice>
        </mc:AlternateContent>
        <mc:AlternateContent xmlns:mc="http://schemas.openxmlformats.org/markup-compatibility/2006">
          <mc:Choice Requires="x14">
            <control shapeId="15604" r:id="rId14" name="Scroll Bar 244">
              <controlPr defaultSize="0" autoPict="0">
                <anchor moveWithCells="1">
                  <from>
                    <xdr:col>4</xdr:col>
                    <xdr:colOff>1854200</xdr:colOff>
                    <xdr:row>93</xdr:row>
                    <xdr:rowOff>12700</xdr:rowOff>
                  </from>
                  <to>
                    <xdr:col>4</xdr:col>
                    <xdr:colOff>2501900</xdr:colOff>
                    <xdr:row>93</xdr:row>
                    <xdr:rowOff>228600</xdr:rowOff>
                  </to>
                </anchor>
              </controlPr>
            </control>
          </mc:Choice>
        </mc:AlternateContent>
        <mc:AlternateContent xmlns:mc="http://schemas.openxmlformats.org/markup-compatibility/2006">
          <mc:Choice Requires="x14">
            <control shapeId="15605" r:id="rId15" name="Drop Down 245">
              <controlPr defaultSize="0" autoLine="0" autoPict="0">
                <anchor moveWithCells="1">
                  <from>
                    <xdr:col>4</xdr:col>
                    <xdr:colOff>1231900</xdr:colOff>
                    <xdr:row>106</xdr:row>
                    <xdr:rowOff>38100</xdr:rowOff>
                  </from>
                  <to>
                    <xdr:col>4</xdr:col>
                    <xdr:colOff>1917700</xdr:colOff>
                    <xdr:row>107</xdr:row>
                    <xdr:rowOff>88900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I1503"/>
  <sheetViews>
    <sheetView zoomScale="75" zoomScaleNormal="75" workbookViewId="0">
      <pane xSplit="4" ySplit="6" topLeftCell="E224" activePane="bottomRight" state="frozen"/>
      <selection pane="topRight" activeCell="E1" sqref="E1"/>
      <selection pane="bottomLeft" activeCell="A7" sqref="A7"/>
      <selection pane="bottomRight" activeCell="B1502" sqref="B1502"/>
    </sheetView>
  </sheetViews>
  <sheetFormatPr baseColWidth="10" defaultColWidth="0" defaultRowHeight="15" outlineLevelRow="1" x14ac:dyDescent="0.2"/>
  <cols>
    <col min="1" max="1" width="9.1640625" style="1" customWidth="1"/>
    <col min="2" max="2" width="12.6640625" style="1" customWidth="1"/>
    <col min="3" max="3" width="46.6640625" style="1" customWidth="1"/>
    <col min="4" max="5" width="19.5" style="1" customWidth="1"/>
    <col min="6" max="6" width="12.33203125" style="1" customWidth="1"/>
    <col min="7" max="7" width="12.1640625" style="1" customWidth="1"/>
    <col min="8" max="8" width="13.5" style="1" customWidth="1"/>
    <col min="9" max="9" width="12.5" style="1" customWidth="1"/>
    <col min="10" max="10" width="13" style="1" customWidth="1"/>
    <col min="11" max="34" width="10.5" style="1" bestFit="1" customWidth="1"/>
    <col min="35" max="35" width="9.1640625" style="18" customWidth="1"/>
    <col min="36" max="16384" width="9.1640625" style="18" hidden="1"/>
  </cols>
  <sheetData>
    <row r="1" spans="1:34" x14ac:dyDescent="0.2">
      <c r="A1" s="364"/>
      <c r="B1" s="363" t="s">
        <v>125</v>
      </c>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4"/>
      <c r="AC1" s="364"/>
      <c r="AD1" s="364"/>
      <c r="AE1" s="364"/>
      <c r="AF1" s="364"/>
      <c r="AG1" s="364"/>
      <c r="AH1" s="364"/>
    </row>
    <row r="2" spans="1:34" x14ac:dyDescent="0.2">
      <c r="A2" s="364"/>
      <c r="B2" s="365"/>
      <c r="C2" s="364"/>
      <c r="D2" s="364"/>
      <c r="E2" s="364"/>
      <c r="F2" s="364"/>
      <c r="G2" s="364"/>
      <c r="H2" s="364"/>
      <c r="I2" s="364"/>
      <c r="J2" s="364"/>
      <c r="K2" s="364"/>
      <c r="L2" s="364"/>
      <c r="M2" s="364"/>
      <c r="N2" s="364"/>
      <c r="O2" s="364"/>
      <c r="P2" s="364"/>
      <c r="Q2" s="364"/>
      <c r="R2" s="364"/>
      <c r="S2" s="364"/>
      <c r="T2" s="364"/>
      <c r="U2" s="364"/>
      <c r="V2" s="364"/>
      <c r="W2" s="364"/>
      <c r="X2" s="364"/>
      <c r="Y2" s="364"/>
      <c r="Z2" s="364"/>
      <c r="AA2" s="364"/>
      <c r="AB2" s="364"/>
      <c r="AC2" s="364"/>
      <c r="AD2" s="364"/>
      <c r="AE2" s="364"/>
      <c r="AF2" s="364"/>
      <c r="AG2" s="364"/>
      <c r="AH2" s="364"/>
    </row>
    <row r="3" spans="1:34" x14ac:dyDescent="0.2">
      <c r="A3" s="364"/>
      <c r="B3" s="365" t="str">
        <f>"All units in "  &amp;'Assumptions - General'!E27&amp;  " millions unless otherwise stated"</f>
        <v>All units in R$ millions unless otherwise stated</v>
      </c>
      <c r="C3" s="366"/>
      <c r="D3" s="364"/>
      <c r="E3" s="364"/>
      <c r="F3" s="364"/>
      <c r="G3" s="364"/>
      <c r="H3" s="364"/>
      <c r="I3" s="364"/>
      <c r="J3" s="364"/>
      <c r="K3" s="364"/>
      <c r="L3" s="364"/>
      <c r="M3" s="364"/>
      <c r="N3" s="364"/>
      <c r="O3" s="364"/>
      <c r="P3" s="364"/>
      <c r="Q3" s="364"/>
      <c r="R3" s="364"/>
      <c r="S3" s="364"/>
      <c r="T3" s="364"/>
      <c r="U3" s="364"/>
      <c r="V3" s="364"/>
      <c r="W3" s="364"/>
      <c r="X3" s="364"/>
      <c r="Y3" s="364"/>
      <c r="Z3" s="364"/>
      <c r="AA3" s="364"/>
      <c r="AB3" s="364"/>
      <c r="AC3" s="364"/>
      <c r="AD3" s="364"/>
      <c r="AE3" s="364"/>
      <c r="AF3" s="364"/>
      <c r="AG3" s="364"/>
      <c r="AH3" s="364"/>
    </row>
    <row r="4" spans="1:34" s="20" customFormat="1" ht="14" x14ac:dyDescent="0.2">
      <c r="A4" s="8"/>
      <c r="B4" s="7" t="s">
        <v>99</v>
      </c>
      <c r="C4" s="8"/>
      <c r="D4" s="8"/>
      <c r="E4" s="8">
        <v>1</v>
      </c>
      <c r="F4" s="8">
        <v>2</v>
      </c>
      <c r="G4" s="8">
        <v>3</v>
      </c>
      <c r="H4" s="8">
        <v>4</v>
      </c>
      <c r="I4" s="8">
        <v>5</v>
      </c>
      <c r="J4" s="8">
        <v>6</v>
      </c>
      <c r="K4" s="8">
        <v>7</v>
      </c>
      <c r="L4" s="8">
        <v>8</v>
      </c>
      <c r="M4" s="8">
        <v>9</v>
      </c>
      <c r="N4" s="8">
        <v>10</v>
      </c>
      <c r="O4" s="8">
        <v>11</v>
      </c>
      <c r="P4" s="8">
        <v>12</v>
      </c>
      <c r="Q4" s="8">
        <v>13</v>
      </c>
      <c r="R4" s="8">
        <v>14</v>
      </c>
      <c r="S4" s="8">
        <v>15</v>
      </c>
      <c r="T4" s="8">
        <v>16</v>
      </c>
      <c r="U4" s="8">
        <v>17</v>
      </c>
      <c r="V4" s="8">
        <v>18</v>
      </c>
      <c r="W4" s="8">
        <v>19</v>
      </c>
      <c r="X4" s="8">
        <v>20</v>
      </c>
      <c r="Y4" s="8">
        <v>21</v>
      </c>
      <c r="Z4" s="8">
        <v>22</v>
      </c>
      <c r="AA4" s="8">
        <v>23</v>
      </c>
      <c r="AB4" s="8">
        <v>24</v>
      </c>
      <c r="AC4" s="8">
        <v>25</v>
      </c>
      <c r="AD4" s="8">
        <v>26</v>
      </c>
      <c r="AE4" s="8">
        <v>27</v>
      </c>
      <c r="AF4" s="8">
        <v>28</v>
      </c>
      <c r="AG4" s="8">
        <v>29</v>
      </c>
      <c r="AH4" s="8">
        <v>30</v>
      </c>
    </row>
    <row r="5" spans="1:34" s="20" customFormat="1" ht="14" x14ac:dyDescent="0.2">
      <c r="A5" s="8"/>
      <c r="B5" s="7" t="s">
        <v>12</v>
      </c>
      <c r="C5" s="8"/>
      <c r="D5" s="8"/>
      <c r="E5" s="9">
        <f>'Assumptions - General'!$E$28</f>
        <v>40179</v>
      </c>
      <c r="F5" s="9">
        <f>E6+1</f>
        <v>40544</v>
      </c>
      <c r="G5" s="9">
        <f>F6+1</f>
        <v>40909</v>
      </c>
      <c r="H5" s="9">
        <f t="shared" ref="H5:AH5" si="0">G6+1</f>
        <v>41275</v>
      </c>
      <c r="I5" s="9">
        <f t="shared" si="0"/>
        <v>41640</v>
      </c>
      <c r="J5" s="9">
        <f t="shared" si="0"/>
        <v>42005</v>
      </c>
      <c r="K5" s="9">
        <f t="shared" si="0"/>
        <v>42370</v>
      </c>
      <c r="L5" s="9">
        <f t="shared" si="0"/>
        <v>42736</v>
      </c>
      <c r="M5" s="9">
        <f t="shared" si="0"/>
        <v>43101</v>
      </c>
      <c r="N5" s="9">
        <f t="shared" si="0"/>
        <v>43466</v>
      </c>
      <c r="O5" s="9">
        <f t="shared" si="0"/>
        <v>43831</v>
      </c>
      <c r="P5" s="9">
        <f t="shared" si="0"/>
        <v>44197</v>
      </c>
      <c r="Q5" s="9">
        <f t="shared" si="0"/>
        <v>44562</v>
      </c>
      <c r="R5" s="9">
        <f t="shared" si="0"/>
        <v>44927</v>
      </c>
      <c r="S5" s="9">
        <f t="shared" si="0"/>
        <v>45292</v>
      </c>
      <c r="T5" s="9">
        <f t="shared" si="0"/>
        <v>45658</v>
      </c>
      <c r="U5" s="9">
        <f t="shared" si="0"/>
        <v>46023</v>
      </c>
      <c r="V5" s="9">
        <f t="shared" si="0"/>
        <v>46388</v>
      </c>
      <c r="W5" s="9">
        <f t="shared" si="0"/>
        <v>46753</v>
      </c>
      <c r="X5" s="9">
        <f t="shared" si="0"/>
        <v>47119</v>
      </c>
      <c r="Y5" s="9">
        <f t="shared" si="0"/>
        <v>47484</v>
      </c>
      <c r="Z5" s="9">
        <f t="shared" si="0"/>
        <v>47849</v>
      </c>
      <c r="AA5" s="9">
        <f t="shared" si="0"/>
        <v>48214</v>
      </c>
      <c r="AB5" s="9">
        <f t="shared" si="0"/>
        <v>48580</v>
      </c>
      <c r="AC5" s="9">
        <f t="shared" si="0"/>
        <v>48945</v>
      </c>
      <c r="AD5" s="9">
        <f t="shared" si="0"/>
        <v>49310</v>
      </c>
      <c r="AE5" s="9">
        <f t="shared" si="0"/>
        <v>49675</v>
      </c>
      <c r="AF5" s="9">
        <f t="shared" si="0"/>
        <v>50041</v>
      </c>
      <c r="AG5" s="9">
        <f t="shared" si="0"/>
        <v>50406</v>
      </c>
      <c r="AH5" s="9">
        <f t="shared" si="0"/>
        <v>50771</v>
      </c>
    </row>
    <row r="6" spans="1:34" s="20" customFormat="1" ht="14" x14ac:dyDescent="0.2">
      <c r="A6" s="8"/>
      <c r="B6" s="7" t="s">
        <v>13</v>
      </c>
      <c r="C6" s="8"/>
      <c r="D6" s="8"/>
      <c r="E6" s="9">
        <f>DATE(YEAR(E5)+1, MONTH(E5), DAY(E5)-1)</f>
        <v>40543</v>
      </c>
      <c r="F6" s="9">
        <f t="shared" ref="F6:AH6" si="1">DATE(YEAR(F5)+1, MONTH(F5), DAY(F5)-1)</f>
        <v>40908</v>
      </c>
      <c r="G6" s="9">
        <f t="shared" si="1"/>
        <v>41274</v>
      </c>
      <c r="H6" s="9">
        <f t="shared" si="1"/>
        <v>41639</v>
      </c>
      <c r="I6" s="9">
        <f t="shared" si="1"/>
        <v>42004</v>
      </c>
      <c r="J6" s="9">
        <f t="shared" si="1"/>
        <v>42369</v>
      </c>
      <c r="K6" s="9">
        <f t="shared" si="1"/>
        <v>42735</v>
      </c>
      <c r="L6" s="9">
        <f t="shared" si="1"/>
        <v>43100</v>
      </c>
      <c r="M6" s="9">
        <f t="shared" si="1"/>
        <v>43465</v>
      </c>
      <c r="N6" s="9">
        <f t="shared" si="1"/>
        <v>43830</v>
      </c>
      <c r="O6" s="9">
        <f t="shared" si="1"/>
        <v>44196</v>
      </c>
      <c r="P6" s="9">
        <f t="shared" si="1"/>
        <v>44561</v>
      </c>
      <c r="Q6" s="9">
        <f t="shared" si="1"/>
        <v>44926</v>
      </c>
      <c r="R6" s="9">
        <f t="shared" si="1"/>
        <v>45291</v>
      </c>
      <c r="S6" s="9">
        <f t="shared" si="1"/>
        <v>45657</v>
      </c>
      <c r="T6" s="9">
        <f t="shared" si="1"/>
        <v>46022</v>
      </c>
      <c r="U6" s="9">
        <f t="shared" si="1"/>
        <v>46387</v>
      </c>
      <c r="V6" s="9">
        <f t="shared" si="1"/>
        <v>46752</v>
      </c>
      <c r="W6" s="9">
        <f t="shared" si="1"/>
        <v>47118</v>
      </c>
      <c r="X6" s="9">
        <f t="shared" si="1"/>
        <v>47483</v>
      </c>
      <c r="Y6" s="9">
        <f t="shared" si="1"/>
        <v>47848</v>
      </c>
      <c r="Z6" s="9">
        <f t="shared" si="1"/>
        <v>48213</v>
      </c>
      <c r="AA6" s="9">
        <f t="shared" si="1"/>
        <v>48579</v>
      </c>
      <c r="AB6" s="9">
        <f t="shared" si="1"/>
        <v>48944</v>
      </c>
      <c r="AC6" s="9">
        <f t="shared" si="1"/>
        <v>49309</v>
      </c>
      <c r="AD6" s="9">
        <f t="shared" si="1"/>
        <v>49674</v>
      </c>
      <c r="AE6" s="9">
        <f t="shared" si="1"/>
        <v>50040</v>
      </c>
      <c r="AF6" s="9">
        <f t="shared" si="1"/>
        <v>50405</v>
      </c>
      <c r="AG6" s="9">
        <f t="shared" si="1"/>
        <v>50770</v>
      </c>
      <c r="AH6" s="9">
        <f t="shared" si="1"/>
        <v>51135</v>
      </c>
    </row>
    <row r="7" spans="1:34" s="20" customFormat="1" ht="14" x14ac:dyDescent="0.2">
      <c r="A7" s="8"/>
      <c r="B7" s="7"/>
      <c r="C7" s="8"/>
      <c r="D7" s="8"/>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s="20" customFormat="1" ht="14" x14ac:dyDescent="0.2">
      <c r="A8" s="8"/>
      <c r="B8" s="175"/>
      <c r="C8" s="8" t="s">
        <v>676</v>
      </c>
      <c r="D8" s="8"/>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
      <c r="F9" s="5">
        <v>1</v>
      </c>
    </row>
    <row r="10" spans="1:34" x14ac:dyDescent="0.2">
      <c r="A10" s="364"/>
      <c r="B10" s="363" t="s">
        <v>1</v>
      </c>
      <c r="C10" s="364"/>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64"/>
    </row>
    <row r="12" spans="1:34" s="20" customFormat="1" ht="14" x14ac:dyDescent="0.2">
      <c r="A12" s="8"/>
      <c r="B12" s="8" t="s">
        <v>126</v>
      </c>
      <c r="C12" s="8"/>
      <c r="D12" s="462">
        <f>'Assumptions - General'!E28</f>
        <v>40179</v>
      </c>
      <c r="E12" s="9" t="b">
        <f t="shared" ref="E12:AH12" si="2">AND($D$12&gt;=E5,$D$12&lt;=E6)</f>
        <v>1</v>
      </c>
      <c r="F12" s="9" t="b">
        <f t="shared" si="2"/>
        <v>0</v>
      </c>
      <c r="G12" s="9" t="b">
        <f t="shared" si="2"/>
        <v>0</v>
      </c>
      <c r="H12" s="9" t="b">
        <f t="shared" si="2"/>
        <v>0</v>
      </c>
      <c r="I12" s="9" t="b">
        <f t="shared" si="2"/>
        <v>0</v>
      </c>
      <c r="J12" s="9" t="b">
        <f t="shared" si="2"/>
        <v>0</v>
      </c>
      <c r="K12" s="9" t="b">
        <f t="shared" si="2"/>
        <v>0</v>
      </c>
      <c r="L12" s="9" t="b">
        <f t="shared" si="2"/>
        <v>0</v>
      </c>
      <c r="M12" s="9" t="b">
        <f t="shared" si="2"/>
        <v>0</v>
      </c>
      <c r="N12" s="9" t="b">
        <f t="shared" si="2"/>
        <v>0</v>
      </c>
      <c r="O12" s="9" t="b">
        <f t="shared" si="2"/>
        <v>0</v>
      </c>
      <c r="P12" s="9" t="b">
        <f t="shared" si="2"/>
        <v>0</v>
      </c>
      <c r="Q12" s="9" t="b">
        <f t="shared" si="2"/>
        <v>0</v>
      </c>
      <c r="R12" s="9" t="b">
        <f t="shared" si="2"/>
        <v>0</v>
      </c>
      <c r="S12" s="9" t="b">
        <f t="shared" si="2"/>
        <v>0</v>
      </c>
      <c r="T12" s="9" t="b">
        <f t="shared" si="2"/>
        <v>0</v>
      </c>
      <c r="U12" s="9" t="b">
        <f t="shared" si="2"/>
        <v>0</v>
      </c>
      <c r="V12" s="9" t="b">
        <f t="shared" si="2"/>
        <v>0</v>
      </c>
      <c r="W12" s="9" t="b">
        <f t="shared" si="2"/>
        <v>0</v>
      </c>
      <c r="X12" s="9" t="b">
        <f t="shared" si="2"/>
        <v>0</v>
      </c>
      <c r="Y12" s="9" t="b">
        <f t="shared" si="2"/>
        <v>0</v>
      </c>
      <c r="Z12" s="9" t="b">
        <f t="shared" si="2"/>
        <v>0</v>
      </c>
      <c r="AA12" s="9" t="b">
        <f t="shared" si="2"/>
        <v>0</v>
      </c>
      <c r="AB12" s="9" t="b">
        <f t="shared" si="2"/>
        <v>0</v>
      </c>
      <c r="AC12" s="9" t="b">
        <f t="shared" si="2"/>
        <v>0</v>
      </c>
      <c r="AD12" s="9" t="b">
        <f t="shared" si="2"/>
        <v>0</v>
      </c>
      <c r="AE12" s="9" t="b">
        <f t="shared" si="2"/>
        <v>0</v>
      </c>
      <c r="AF12" s="9" t="b">
        <f t="shared" si="2"/>
        <v>0</v>
      </c>
      <c r="AG12" s="9" t="b">
        <f t="shared" si="2"/>
        <v>0</v>
      </c>
      <c r="AH12" s="9" t="b">
        <f t="shared" si="2"/>
        <v>0</v>
      </c>
    </row>
    <row r="13" spans="1:34" s="20" customFormat="1" ht="14" x14ac:dyDescent="0.2">
      <c r="A13" s="8"/>
      <c r="B13" s="8" t="s">
        <v>127</v>
      </c>
      <c r="C13" s="8"/>
      <c r="D13" s="176" t="b">
        <v>0</v>
      </c>
      <c r="E13" s="9" t="b">
        <f t="shared" ref="E13:AH13" si="3">OR(D13,E12)</f>
        <v>1</v>
      </c>
      <c r="F13" s="9" t="b">
        <f t="shared" si="3"/>
        <v>1</v>
      </c>
      <c r="G13" s="9" t="b">
        <f t="shared" si="3"/>
        <v>1</v>
      </c>
      <c r="H13" s="9" t="b">
        <f t="shared" si="3"/>
        <v>1</v>
      </c>
      <c r="I13" s="9" t="b">
        <f t="shared" si="3"/>
        <v>1</v>
      </c>
      <c r="J13" s="9" t="b">
        <f t="shared" si="3"/>
        <v>1</v>
      </c>
      <c r="K13" s="9" t="b">
        <f t="shared" si="3"/>
        <v>1</v>
      </c>
      <c r="L13" s="9" t="b">
        <f t="shared" si="3"/>
        <v>1</v>
      </c>
      <c r="M13" s="9" t="b">
        <f t="shared" si="3"/>
        <v>1</v>
      </c>
      <c r="N13" s="9" t="b">
        <f t="shared" si="3"/>
        <v>1</v>
      </c>
      <c r="O13" s="9" t="b">
        <f t="shared" si="3"/>
        <v>1</v>
      </c>
      <c r="P13" s="9" t="b">
        <f t="shared" si="3"/>
        <v>1</v>
      </c>
      <c r="Q13" s="9" t="b">
        <f t="shared" si="3"/>
        <v>1</v>
      </c>
      <c r="R13" s="9" t="b">
        <f t="shared" si="3"/>
        <v>1</v>
      </c>
      <c r="S13" s="9" t="b">
        <f t="shared" si="3"/>
        <v>1</v>
      </c>
      <c r="T13" s="9" t="b">
        <f t="shared" si="3"/>
        <v>1</v>
      </c>
      <c r="U13" s="9" t="b">
        <f t="shared" si="3"/>
        <v>1</v>
      </c>
      <c r="V13" s="9" t="b">
        <f t="shared" si="3"/>
        <v>1</v>
      </c>
      <c r="W13" s="9" t="b">
        <f t="shared" si="3"/>
        <v>1</v>
      </c>
      <c r="X13" s="9" t="b">
        <f t="shared" si="3"/>
        <v>1</v>
      </c>
      <c r="Y13" s="9" t="b">
        <f t="shared" si="3"/>
        <v>1</v>
      </c>
      <c r="Z13" s="9" t="b">
        <f t="shared" si="3"/>
        <v>1</v>
      </c>
      <c r="AA13" s="9" t="b">
        <f t="shared" si="3"/>
        <v>1</v>
      </c>
      <c r="AB13" s="9" t="b">
        <f t="shared" si="3"/>
        <v>1</v>
      </c>
      <c r="AC13" s="9" t="b">
        <f t="shared" si="3"/>
        <v>1</v>
      </c>
      <c r="AD13" s="9" t="b">
        <f t="shared" si="3"/>
        <v>1</v>
      </c>
      <c r="AE13" s="9" t="b">
        <f t="shared" si="3"/>
        <v>1</v>
      </c>
      <c r="AF13" s="9" t="b">
        <f t="shared" si="3"/>
        <v>1</v>
      </c>
      <c r="AG13" s="9" t="b">
        <f t="shared" si="3"/>
        <v>1</v>
      </c>
      <c r="AH13" s="9" t="b">
        <f t="shared" si="3"/>
        <v>1</v>
      </c>
    </row>
    <row r="14" spans="1:34" s="20" customFormat="1" ht="14" x14ac:dyDescent="0.2">
      <c r="A14" s="8"/>
      <c r="B14" s="8" t="s">
        <v>128</v>
      </c>
      <c r="C14" s="8"/>
      <c r="D14" s="462">
        <f>'Assumptions - General'!E29</f>
        <v>51135</v>
      </c>
      <c r="E14" s="9" t="b">
        <f t="shared" ref="E14:AH14" si="4">AND($D$14&gt;=E5,$D$14&lt;=E6)</f>
        <v>0</v>
      </c>
      <c r="F14" s="9" t="b">
        <f t="shared" si="4"/>
        <v>0</v>
      </c>
      <c r="G14" s="9" t="b">
        <f t="shared" si="4"/>
        <v>0</v>
      </c>
      <c r="H14" s="9" t="b">
        <f t="shared" si="4"/>
        <v>0</v>
      </c>
      <c r="I14" s="9" t="b">
        <f t="shared" si="4"/>
        <v>0</v>
      </c>
      <c r="J14" s="9" t="b">
        <f t="shared" si="4"/>
        <v>0</v>
      </c>
      <c r="K14" s="9" t="b">
        <f t="shared" si="4"/>
        <v>0</v>
      </c>
      <c r="L14" s="9" t="b">
        <f t="shared" si="4"/>
        <v>0</v>
      </c>
      <c r="M14" s="9" t="b">
        <f t="shared" si="4"/>
        <v>0</v>
      </c>
      <c r="N14" s="9" t="b">
        <f t="shared" si="4"/>
        <v>0</v>
      </c>
      <c r="O14" s="9" t="b">
        <f t="shared" si="4"/>
        <v>0</v>
      </c>
      <c r="P14" s="9" t="b">
        <f t="shared" si="4"/>
        <v>0</v>
      </c>
      <c r="Q14" s="9" t="b">
        <f t="shared" si="4"/>
        <v>0</v>
      </c>
      <c r="R14" s="9" t="b">
        <f t="shared" si="4"/>
        <v>0</v>
      </c>
      <c r="S14" s="9" t="b">
        <f t="shared" si="4"/>
        <v>0</v>
      </c>
      <c r="T14" s="9" t="b">
        <f t="shared" si="4"/>
        <v>0</v>
      </c>
      <c r="U14" s="9" t="b">
        <f t="shared" si="4"/>
        <v>0</v>
      </c>
      <c r="V14" s="9" t="b">
        <f t="shared" si="4"/>
        <v>0</v>
      </c>
      <c r="W14" s="9" t="b">
        <f t="shared" si="4"/>
        <v>0</v>
      </c>
      <c r="X14" s="9" t="b">
        <f t="shared" si="4"/>
        <v>0</v>
      </c>
      <c r="Y14" s="9" t="b">
        <f t="shared" si="4"/>
        <v>0</v>
      </c>
      <c r="Z14" s="9" t="b">
        <f t="shared" si="4"/>
        <v>0</v>
      </c>
      <c r="AA14" s="9" t="b">
        <f t="shared" si="4"/>
        <v>0</v>
      </c>
      <c r="AB14" s="9" t="b">
        <f t="shared" si="4"/>
        <v>0</v>
      </c>
      <c r="AC14" s="9" t="b">
        <f t="shared" si="4"/>
        <v>0</v>
      </c>
      <c r="AD14" s="9" t="b">
        <f t="shared" si="4"/>
        <v>0</v>
      </c>
      <c r="AE14" s="9" t="b">
        <f t="shared" si="4"/>
        <v>0</v>
      </c>
      <c r="AF14" s="9" t="b">
        <f t="shared" si="4"/>
        <v>0</v>
      </c>
      <c r="AG14" s="9" t="b">
        <f t="shared" si="4"/>
        <v>0</v>
      </c>
      <c r="AH14" s="9" t="b">
        <f t="shared" si="4"/>
        <v>1</v>
      </c>
    </row>
    <row r="15" spans="1:34" s="20" customFormat="1" ht="14" x14ac:dyDescent="0.2">
      <c r="A15" s="8"/>
      <c r="B15" s="8" t="s">
        <v>129</v>
      </c>
      <c r="C15" s="8"/>
      <c r="D15" s="176" t="b">
        <v>0</v>
      </c>
      <c r="E15" s="9" t="b">
        <f>OR(D15)</f>
        <v>0</v>
      </c>
      <c r="F15" s="9" t="b">
        <f t="shared" ref="F15:X15" si="5">OR(E15,E14)</f>
        <v>0</v>
      </c>
      <c r="G15" s="9" t="b">
        <f t="shared" si="5"/>
        <v>0</v>
      </c>
      <c r="H15" s="9" t="b">
        <f t="shared" si="5"/>
        <v>0</v>
      </c>
      <c r="I15" s="9" t="b">
        <f t="shared" si="5"/>
        <v>0</v>
      </c>
      <c r="J15" s="9" t="b">
        <f t="shared" si="5"/>
        <v>0</v>
      </c>
      <c r="K15" s="9" t="b">
        <f t="shared" si="5"/>
        <v>0</v>
      </c>
      <c r="L15" s="9" t="b">
        <f t="shared" si="5"/>
        <v>0</v>
      </c>
      <c r="M15" s="9" t="b">
        <f t="shared" si="5"/>
        <v>0</v>
      </c>
      <c r="N15" s="9" t="b">
        <f t="shared" si="5"/>
        <v>0</v>
      </c>
      <c r="O15" s="9" t="b">
        <f t="shared" si="5"/>
        <v>0</v>
      </c>
      <c r="P15" s="9" t="b">
        <f t="shared" si="5"/>
        <v>0</v>
      </c>
      <c r="Q15" s="9" t="b">
        <f t="shared" si="5"/>
        <v>0</v>
      </c>
      <c r="R15" s="9" t="b">
        <f t="shared" si="5"/>
        <v>0</v>
      </c>
      <c r="S15" s="9" t="b">
        <f t="shared" si="5"/>
        <v>0</v>
      </c>
      <c r="T15" s="9" t="b">
        <f t="shared" si="5"/>
        <v>0</v>
      </c>
      <c r="U15" s="9" t="b">
        <f t="shared" si="5"/>
        <v>0</v>
      </c>
      <c r="V15" s="9" t="b">
        <f t="shared" si="5"/>
        <v>0</v>
      </c>
      <c r="W15" s="9" t="b">
        <f t="shared" si="5"/>
        <v>0</v>
      </c>
      <c r="X15" s="9" t="b">
        <f t="shared" si="5"/>
        <v>0</v>
      </c>
      <c r="Y15" s="9" t="b">
        <f>OR(X15,X14)</f>
        <v>0</v>
      </c>
      <c r="Z15" s="9" t="b">
        <f>OR(Y15,Y14)</f>
        <v>0</v>
      </c>
      <c r="AA15" s="9" t="b">
        <f>OR(Z15,Z14)</f>
        <v>0</v>
      </c>
      <c r="AB15" s="9" t="b">
        <f t="shared" ref="AB15:AH15" si="6">OR(AA15,AA14)</f>
        <v>0</v>
      </c>
      <c r="AC15" s="9" t="b">
        <f t="shared" si="6"/>
        <v>0</v>
      </c>
      <c r="AD15" s="9" t="b">
        <f>OR(AC15,AC14)</f>
        <v>0</v>
      </c>
      <c r="AE15" s="9" t="b">
        <f t="shared" si="6"/>
        <v>0</v>
      </c>
      <c r="AF15" s="9" t="b">
        <f t="shared" si="6"/>
        <v>0</v>
      </c>
      <c r="AG15" s="9" t="b">
        <f t="shared" si="6"/>
        <v>0</v>
      </c>
      <c r="AH15" s="9" t="b">
        <f t="shared" si="6"/>
        <v>0</v>
      </c>
    </row>
    <row r="16" spans="1:34" x14ac:dyDescent="0.2">
      <c r="B16" s="8" t="s">
        <v>604</v>
      </c>
      <c r="E16" s="8">
        <f>IF(AND(E$13=TRUE,E$15=FALSE),1,0)*'Assumptions - General'!$J$21</f>
        <v>1</v>
      </c>
      <c r="F16" s="8">
        <f>IF(AND(F$13=TRUE,F$15=FALSE),1,0)*'Assumptions - General'!$J$21</f>
        <v>1</v>
      </c>
      <c r="G16" s="8">
        <f>IF(AND(G$13=TRUE,G$15=FALSE),1,0)*'Assumptions - General'!$J$21</f>
        <v>1</v>
      </c>
      <c r="H16" s="8">
        <f>IF(AND(H$13=TRUE,H$15=FALSE),1,0)*'Assumptions - General'!$J$21</f>
        <v>1</v>
      </c>
      <c r="I16" s="8">
        <f>IF(AND(I$13=TRUE,I$15=FALSE),1,0)*'Assumptions - General'!$J$21</f>
        <v>1</v>
      </c>
      <c r="J16" s="8">
        <f>IF(AND(J$13=TRUE,J$15=FALSE),1,0)*'Assumptions - General'!$J$21</f>
        <v>1</v>
      </c>
      <c r="K16" s="8">
        <f>IF(AND(K$13=TRUE,K$15=FALSE),1,0)*'Assumptions - General'!$J$21</f>
        <v>1</v>
      </c>
      <c r="L16" s="8">
        <f>IF(AND(L$13=TRUE,L$15=FALSE),1,0)*'Assumptions - General'!$J$21</f>
        <v>1</v>
      </c>
      <c r="M16" s="8">
        <f>IF(AND(M$13=TRUE,M$15=FALSE),1,0)*'Assumptions - General'!$J$21</f>
        <v>1</v>
      </c>
      <c r="N16" s="8">
        <f>IF(AND(N$13=TRUE,N$15=FALSE),1,0)*'Assumptions - General'!$J$21</f>
        <v>1</v>
      </c>
      <c r="O16" s="8">
        <f>IF(AND(O$13=TRUE,O$15=FALSE),1,0)*'Assumptions - General'!$J$21</f>
        <v>1</v>
      </c>
      <c r="P16" s="8">
        <f>IF(AND(P$13=TRUE,P$15=FALSE),1,0)*'Assumptions - General'!$J$21</f>
        <v>1</v>
      </c>
      <c r="Q16" s="8">
        <f>IF(AND(Q$13=TRUE,Q$15=FALSE),1,0)*'Assumptions - General'!$J$21</f>
        <v>1</v>
      </c>
      <c r="R16" s="8">
        <f>IF(AND(R$13=TRUE,R$15=FALSE),1,0)*'Assumptions - General'!$J$21</f>
        <v>1</v>
      </c>
      <c r="S16" s="8">
        <f>IF(AND(S$13=TRUE,S$15=FALSE),1,0)*'Assumptions - General'!$J$21</f>
        <v>1</v>
      </c>
      <c r="T16" s="8">
        <f>IF(AND(T$13=TRUE,T$15=FALSE),1,0)*'Assumptions - General'!$J$21</f>
        <v>1</v>
      </c>
      <c r="U16" s="8">
        <f>IF(AND(U$13=TRUE,U$15=FALSE),1,0)*'Assumptions - General'!$J$21</f>
        <v>1</v>
      </c>
      <c r="V16" s="8">
        <f>IF(AND(V$13=TRUE,V$15=FALSE),1,0)*'Assumptions - General'!$J$21</f>
        <v>1</v>
      </c>
      <c r="W16" s="8">
        <f>IF(AND(W$13=TRUE,W$15=FALSE),1,0)*'Assumptions - General'!$J$21</f>
        <v>1</v>
      </c>
      <c r="X16" s="8">
        <f>IF(AND(X$13=TRUE,X$15=FALSE),1,0)*'Assumptions - General'!$J$21</f>
        <v>1</v>
      </c>
      <c r="Y16" s="8">
        <f>IF(AND(Y$13=TRUE,Y$15=FALSE),1,0)*'Assumptions - General'!$J$21</f>
        <v>1</v>
      </c>
      <c r="Z16" s="8">
        <f>IF(AND(Z$13=TRUE,Z$15=FALSE),1,0)*'Assumptions - General'!$J$21</f>
        <v>1</v>
      </c>
      <c r="AA16" s="8">
        <f>IF(AND(AA$13=TRUE,AA$15=FALSE),1,0)*'Assumptions - General'!$J$21</f>
        <v>1</v>
      </c>
      <c r="AB16" s="8">
        <f>IF(AND(AB$13=TRUE,AB$15=FALSE),1,0)*'Assumptions - General'!$J$21</f>
        <v>1</v>
      </c>
      <c r="AC16" s="8">
        <f>IF(AND(AC$13=TRUE,AC$15=FALSE),1,0)*'Assumptions - General'!$J$21</f>
        <v>1</v>
      </c>
      <c r="AD16" s="8">
        <f>IF(AND(AD$13=TRUE,AD$15=FALSE),1,0)*'Assumptions - General'!$J$21</f>
        <v>1</v>
      </c>
      <c r="AE16" s="8">
        <f>IF(AND(AE$13=TRUE,AE$15=FALSE),1,0)*'Assumptions - General'!$J$21</f>
        <v>1</v>
      </c>
      <c r="AF16" s="8">
        <f>IF(AND(AF$13=TRUE,AF$15=FALSE),1,0)*'Assumptions - General'!$J$21</f>
        <v>1</v>
      </c>
      <c r="AG16" s="8">
        <f>IF(AND(AG$13=TRUE,AG$15=FALSE),1,0)*'Assumptions - General'!$J$21</f>
        <v>1</v>
      </c>
      <c r="AH16" s="8">
        <f>IF(AND(AH$13=TRUE,AH$15=FALSE),1,0)*'Assumptions - General'!$J$21</f>
        <v>1</v>
      </c>
    </row>
    <row r="17" spans="1:34" x14ac:dyDescent="0.2">
      <c r="B17" s="8" t="s">
        <v>605</v>
      </c>
      <c r="D17" s="8"/>
      <c r="E17" s="8">
        <f>IF(AND(E$13=TRUE,E$15=FALSE),1,0)*'Assumptions - General'!$J$22</f>
        <v>1</v>
      </c>
      <c r="F17" s="8">
        <f>IF(AND(F$13=TRUE,F$15=FALSE),1,0)*'Assumptions - General'!$J$22</f>
        <v>1</v>
      </c>
      <c r="G17" s="8">
        <f>IF(AND(G$13=TRUE,G$15=FALSE),1,0)*'Assumptions - General'!$J$22</f>
        <v>1</v>
      </c>
      <c r="H17" s="8">
        <f>IF(AND(H$13=TRUE,H$15=FALSE),1,0)*'Assumptions - General'!$J$22</f>
        <v>1</v>
      </c>
      <c r="I17" s="8">
        <f>IF(AND(I$13=TRUE,I$15=FALSE),1,0)*'Assumptions - General'!$J$22</f>
        <v>1</v>
      </c>
      <c r="J17" s="8">
        <f>IF(AND(J$13=TRUE,J$15=FALSE),1,0)*'Assumptions - General'!$J$22</f>
        <v>1</v>
      </c>
      <c r="K17" s="8">
        <f>IF(AND(K$13=TRUE,K$15=FALSE),1,0)*'Assumptions - General'!$J$22</f>
        <v>1</v>
      </c>
      <c r="L17" s="8">
        <f>IF(AND(L$13=TRUE,L$15=FALSE),1,0)*'Assumptions - General'!$J$22</f>
        <v>1</v>
      </c>
      <c r="M17" s="8">
        <f>IF(AND(M$13=TRUE,M$15=FALSE),1,0)*'Assumptions - General'!$J$22</f>
        <v>1</v>
      </c>
      <c r="N17" s="8">
        <f>IF(AND(N$13=TRUE,N$15=FALSE),1,0)*'Assumptions - General'!$J$22</f>
        <v>1</v>
      </c>
      <c r="O17" s="8">
        <f>IF(AND(O$13=TRUE,O$15=FALSE),1,0)*'Assumptions - General'!$J$22</f>
        <v>1</v>
      </c>
      <c r="P17" s="8">
        <f>IF(AND(P$13=TRUE,P$15=FALSE),1,0)*'Assumptions - General'!$J$22</f>
        <v>1</v>
      </c>
      <c r="Q17" s="8">
        <f>IF(AND(Q$13=TRUE,Q$15=FALSE),1,0)*'Assumptions - General'!$J$22</f>
        <v>1</v>
      </c>
      <c r="R17" s="8">
        <f>IF(AND(R$13=TRUE,R$15=FALSE),1,0)*'Assumptions - General'!$J$22</f>
        <v>1</v>
      </c>
      <c r="S17" s="8">
        <f>IF(AND(S$13=TRUE,S$15=FALSE),1,0)*'Assumptions - General'!$J$22</f>
        <v>1</v>
      </c>
      <c r="T17" s="8">
        <f>IF(AND(T$13=TRUE,T$15=FALSE),1,0)*'Assumptions - General'!$J$22</f>
        <v>1</v>
      </c>
      <c r="U17" s="8">
        <f>IF(AND(U$13=TRUE,U$15=FALSE),1,0)*'Assumptions - General'!$J$22</f>
        <v>1</v>
      </c>
      <c r="V17" s="8">
        <f>IF(AND(V$13=TRUE,V$15=FALSE),1,0)*'Assumptions - General'!$J$22</f>
        <v>1</v>
      </c>
      <c r="W17" s="8">
        <f>IF(AND(W$13=TRUE,W$15=FALSE),1,0)*'Assumptions - General'!$J$22</f>
        <v>1</v>
      </c>
      <c r="X17" s="8">
        <f>IF(AND(X$13=TRUE,X$15=FALSE),1,0)*'Assumptions - General'!$J$22</f>
        <v>1</v>
      </c>
      <c r="Y17" s="8">
        <f>IF(AND(Y$13=TRUE,Y$15=FALSE),1,0)*'Assumptions - General'!$J$22</f>
        <v>1</v>
      </c>
      <c r="Z17" s="8">
        <f>IF(AND(Z$13=TRUE,Z$15=FALSE),1,0)*'Assumptions - General'!$J$22</f>
        <v>1</v>
      </c>
      <c r="AA17" s="8">
        <f>IF(AND(AA$13=TRUE,AA$15=FALSE),1,0)*'Assumptions - General'!$J$22</f>
        <v>1</v>
      </c>
      <c r="AB17" s="8">
        <f>IF(AND(AB$13=TRUE,AB$15=FALSE),1,0)*'Assumptions - General'!$J$22</f>
        <v>1</v>
      </c>
      <c r="AC17" s="8">
        <f>IF(AND(AC$13=TRUE,AC$15=FALSE),1,0)*'Assumptions - General'!$J$22</f>
        <v>1</v>
      </c>
      <c r="AD17" s="8">
        <f>IF(AND(AD$13=TRUE,AD$15=FALSE),1,0)*'Assumptions - General'!$J$22</f>
        <v>1</v>
      </c>
      <c r="AE17" s="8">
        <f>IF(AND(AE$13=TRUE,AE$15=FALSE),1,0)*'Assumptions - General'!$J$22</f>
        <v>1</v>
      </c>
      <c r="AF17" s="8">
        <f>IF(AND(AF$13=TRUE,AF$15=FALSE),1,0)*'Assumptions - General'!$J$22</f>
        <v>1</v>
      </c>
      <c r="AG17" s="8">
        <f>IF(AND(AG$13=TRUE,AG$15=FALSE),1,0)*'Assumptions - General'!$J$22</f>
        <v>1</v>
      </c>
      <c r="AH17" s="8">
        <f>IF(AND(AH$13=TRUE,AH$15=FALSE),1,0)*'Assumptions - General'!$J$22</f>
        <v>1</v>
      </c>
    </row>
    <row r="18" spans="1:34" x14ac:dyDescent="0.2">
      <c r="B18" s="8" t="s">
        <v>684</v>
      </c>
      <c r="D18" s="8"/>
      <c r="E18" s="8">
        <f>IF(AND(E$13=TRUE,E$15=FALSE),1,0)*'Assumptions - General'!$J$26</f>
        <v>0</v>
      </c>
      <c r="F18" s="8">
        <f>IF(AND(F$13=TRUE,F$15=FALSE),1,0)*'Assumptions - General'!$J$26</f>
        <v>0</v>
      </c>
      <c r="G18" s="8">
        <f>IF(AND(G$13=TRUE,G$15=FALSE),1,0)*'Assumptions - General'!$J$26</f>
        <v>0</v>
      </c>
      <c r="H18" s="8">
        <f>IF(AND(H$13=TRUE,H$15=FALSE),1,0)*'Assumptions - General'!$J$26</f>
        <v>0</v>
      </c>
      <c r="I18" s="8">
        <f>IF(AND(I$13=TRUE,I$15=FALSE),1,0)*'Assumptions - General'!$J$26</f>
        <v>0</v>
      </c>
      <c r="J18" s="8">
        <f>IF(AND(J$13=TRUE,J$15=FALSE),1,0)*'Assumptions - General'!$J$26</f>
        <v>0</v>
      </c>
      <c r="K18" s="8">
        <f>IF(AND(K$13=TRUE,K$15=FALSE),1,0)*'Assumptions - General'!$J$26</f>
        <v>0</v>
      </c>
      <c r="L18" s="8">
        <f>IF(AND(L$13=TRUE,L$15=FALSE),1,0)*'Assumptions - General'!$J$26</f>
        <v>0</v>
      </c>
      <c r="M18" s="8">
        <f>IF(AND(M$13=TRUE,M$15=FALSE),1,0)*'Assumptions - General'!$J$26</f>
        <v>0</v>
      </c>
      <c r="N18" s="8">
        <f>IF(AND(N$13=TRUE,N$15=FALSE),1,0)*'Assumptions - General'!$J$26</f>
        <v>0</v>
      </c>
      <c r="O18" s="8">
        <f>IF(AND(O$13=TRUE,O$15=FALSE),1,0)*'Assumptions - General'!$J$26</f>
        <v>0</v>
      </c>
      <c r="P18" s="8">
        <f>IF(AND(P$13=TRUE,P$15=FALSE),1,0)*'Assumptions - General'!$J$26</f>
        <v>0</v>
      </c>
      <c r="Q18" s="8">
        <f>IF(AND(Q$13=TRUE,Q$15=FALSE),1,0)*'Assumptions - General'!$J$26</f>
        <v>0</v>
      </c>
      <c r="R18" s="8">
        <f>IF(AND(R$13=TRUE,R$15=FALSE),1,0)*'Assumptions - General'!$J$26</f>
        <v>0</v>
      </c>
      <c r="S18" s="8">
        <f>IF(AND(S$13=TRUE,S$15=FALSE),1,0)*'Assumptions - General'!$J$26</f>
        <v>0</v>
      </c>
      <c r="T18" s="8">
        <f>IF(AND(T$13=TRUE,T$15=FALSE),1,0)*'Assumptions - General'!$J$26</f>
        <v>0</v>
      </c>
      <c r="U18" s="8">
        <f>IF(AND(U$13=TRUE,U$15=FALSE),1,0)*'Assumptions - General'!$J$26</f>
        <v>0</v>
      </c>
      <c r="V18" s="8">
        <f>IF(AND(V$13=TRUE,V$15=FALSE),1,0)*'Assumptions - General'!$J$26</f>
        <v>0</v>
      </c>
      <c r="W18" s="8">
        <f>IF(AND(W$13=TRUE,W$15=FALSE),1,0)*'Assumptions - General'!$J$26</f>
        <v>0</v>
      </c>
      <c r="X18" s="8">
        <f>IF(AND(X$13=TRUE,X$15=FALSE),1,0)*'Assumptions - General'!$J$26</f>
        <v>0</v>
      </c>
      <c r="Y18" s="8">
        <f>IF(AND(Y$13=TRUE,Y$15=FALSE),1,0)*'Assumptions - General'!$J$26</f>
        <v>0</v>
      </c>
      <c r="Z18" s="8">
        <f>IF(AND(Z$13=TRUE,Z$15=FALSE),1,0)*'Assumptions - General'!$J$26</f>
        <v>0</v>
      </c>
      <c r="AA18" s="8">
        <f>IF(AND(AA$13=TRUE,AA$15=FALSE),1,0)*'Assumptions - General'!$J$26</f>
        <v>0</v>
      </c>
      <c r="AB18" s="8">
        <f>IF(AND(AB$13=TRUE,AB$15=FALSE),1,0)*'Assumptions - General'!$J$26</f>
        <v>0</v>
      </c>
      <c r="AC18" s="8">
        <f>IF(AND(AC$13=TRUE,AC$15=FALSE),1,0)*'Assumptions - General'!$J$26</f>
        <v>0</v>
      </c>
      <c r="AD18" s="8">
        <f>IF(AND(AD$13=TRUE,AD$15=FALSE),1,0)*'Assumptions - General'!$J$26</f>
        <v>0</v>
      </c>
      <c r="AE18" s="8">
        <f>IF(AND(AE$13=TRUE,AE$15=FALSE),1,0)*'Assumptions - General'!$J$26</f>
        <v>0</v>
      </c>
      <c r="AF18" s="8">
        <f>IF(AND(AF$13=TRUE,AF$15=FALSE),1,0)*'Assumptions - General'!$J$26</f>
        <v>0</v>
      </c>
      <c r="AG18" s="8">
        <f>IF(AND(AG$13=TRUE,AG$15=FALSE),1,0)*'Assumptions - General'!$J$26</f>
        <v>0</v>
      </c>
      <c r="AH18" s="8">
        <f>IF(AND(AH$13=TRUE,AH$15=FALSE),1,0)*'Assumptions - General'!$J$26</f>
        <v>0</v>
      </c>
    </row>
    <row r="19" spans="1:34" x14ac:dyDescent="0.2">
      <c r="B19" s="8" t="s">
        <v>606</v>
      </c>
      <c r="D19" s="8"/>
      <c r="E19" s="8">
        <f>IF(AND(E$13=TRUE,E$15=FALSE),1,0)*'Assumptions - General'!$J$23</f>
        <v>1</v>
      </c>
      <c r="F19" s="8">
        <f>IF(AND(F$13=TRUE,F$15=FALSE),1,0)*'Assumptions - General'!$J$23</f>
        <v>1</v>
      </c>
      <c r="G19" s="8">
        <f>IF(AND(G$13=TRUE,G$15=FALSE),1,0)*'Assumptions - General'!$J$23</f>
        <v>1</v>
      </c>
      <c r="H19" s="8">
        <f>IF(AND(H$13=TRUE,H$15=FALSE),1,0)*'Assumptions - General'!$J$23</f>
        <v>1</v>
      </c>
      <c r="I19" s="8">
        <f>IF(AND(I$13=TRUE,I$15=FALSE),1,0)*'Assumptions - General'!$J$23</f>
        <v>1</v>
      </c>
      <c r="J19" s="8">
        <f>IF(AND(J$13=TRUE,J$15=FALSE),1,0)*'Assumptions - General'!$J$23</f>
        <v>1</v>
      </c>
      <c r="K19" s="8">
        <f>IF(AND(K$13=TRUE,K$15=FALSE),1,0)*'Assumptions - General'!$J$23</f>
        <v>1</v>
      </c>
      <c r="L19" s="8">
        <f>IF(AND(L$13=TRUE,L$15=FALSE),1,0)*'Assumptions - General'!$J$23</f>
        <v>1</v>
      </c>
      <c r="M19" s="8">
        <f>IF(AND(M$13=TRUE,M$15=FALSE),1,0)*'Assumptions - General'!$J$23</f>
        <v>1</v>
      </c>
      <c r="N19" s="8">
        <f>IF(AND(N$13=TRUE,N$15=FALSE),1,0)*'Assumptions - General'!$J$23</f>
        <v>1</v>
      </c>
      <c r="O19" s="8">
        <f>IF(AND(O$13=TRUE,O$15=FALSE),1,0)*'Assumptions - General'!$J$23</f>
        <v>1</v>
      </c>
      <c r="P19" s="8">
        <f>IF(AND(P$13=TRUE,P$15=FALSE),1,0)*'Assumptions - General'!$J$23</f>
        <v>1</v>
      </c>
      <c r="Q19" s="8">
        <f>IF(AND(Q$13=TRUE,Q$15=FALSE),1,0)*'Assumptions - General'!$J$23</f>
        <v>1</v>
      </c>
      <c r="R19" s="8">
        <f>IF(AND(R$13=TRUE,R$15=FALSE),1,0)*'Assumptions - General'!$J$23</f>
        <v>1</v>
      </c>
      <c r="S19" s="8">
        <f>IF(AND(S$13=TRUE,S$15=FALSE),1,0)*'Assumptions - General'!$J$23</f>
        <v>1</v>
      </c>
      <c r="T19" s="8">
        <f>IF(AND(T$13=TRUE,T$15=FALSE),1,0)*'Assumptions - General'!$J$23</f>
        <v>1</v>
      </c>
      <c r="U19" s="8">
        <f>IF(AND(U$13=TRUE,U$15=FALSE),1,0)*'Assumptions - General'!$J$23</f>
        <v>1</v>
      </c>
      <c r="V19" s="8">
        <f>IF(AND(V$13=TRUE,V$15=FALSE),1,0)*'Assumptions - General'!$J$23</f>
        <v>1</v>
      </c>
      <c r="W19" s="8">
        <f>IF(AND(W$13=TRUE,W$15=FALSE),1,0)*'Assumptions - General'!$J$23</f>
        <v>1</v>
      </c>
      <c r="X19" s="8">
        <f>IF(AND(X$13=TRUE,X$15=FALSE),1,0)*'Assumptions - General'!$J$23</f>
        <v>1</v>
      </c>
      <c r="Y19" s="8">
        <f>IF(AND(Y$13=TRUE,Y$15=FALSE),1,0)*'Assumptions - General'!$J$23</f>
        <v>1</v>
      </c>
      <c r="Z19" s="8">
        <f>IF(AND(Z$13=TRUE,Z$15=FALSE),1,0)*'Assumptions - General'!$J$23</f>
        <v>1</v>
      </c>
      <c r="AA19" s="8">
        <f>IF(AND(AA$13=TRUE,AA$15=FALSE),1,0)*'Assumptions - General'!$J$23</f>
        <v>1</v>
      </c>
      <c r="AB19" s="8">
        <f>IF(AND(AB$13=TRUE,AB$15=FALSE),1,0)*'Assumptions - General'!$J$23</f>
        <v>1</v>
      </c>
      <c r="AC19" s="8">
        <f>IF(AND(AC$13=TRUE,AC$15=FALSE),1,0)*'Assumptions - General'!$J$23</f>
        <v>1</v>
      </c>
      <c r="AD19" s="8">
        <f>IF(AND(AD$13=TRUE,AD$15=FALSE),1,0)*'Assumptions - General'!$J$23</f>
        <v>1</v>
      </c>
      <c r="AE19" s="8">
        <f>IF(AND(AE$13=TRUE,AE$15=FALSE),1,0)*'Assumptions - General'!$J$23</f>
        <v>1</v>
      </c>
      <c r="AF19" s="8">
        <f>IF(AND(AF$13=TRUE,AF$15=FALSE),1,0)*'Assumptions - General'!$J$23</f>
        <v>1</v>
      </c>
      <c r="AG19" s="8">
        <f>IF(AND(AG$13=TRUE,AG$15=FALSE),1,0)*'Assumptions - General'!$J$23</f>
        <v>1</v>
      </c>
      <c r="AH19" s="8">
        <f>IF(AND(AH$13=TRUE,AH$15=FALSE),1,0)*'Assumptions - General'!$J$23</f>
        <v>1</v>
      </c>
    </row>
    <row r="20" spans="1:34" x14ac:dyDescent="0.2">
      <c r="B20" s="8" t="s">
        <v>685</v>
      </c>
      <c r="D20" s="8"/>
      <c r="E20" s="8">
        <f>IF(AND(E$13=TRUE,E$15=FALSE),1,0)*'Assumptions - General'!$J$27</f>
        <v>0</v>
      </c>
      <c r="F20" s="8">
        <f>IF(AND(F$13=TRUE,F$15=FALSE),1,0)*'Assumptions - General'!$J$27</f>
        <v>0</v>
      </c>
      <c r="G20" s="8">
        <f>IF(AND(G$13=TRUE,G$15=FALSE),1,0)*'Assumptions - General'!$J$27</f>
        <v>0</v>
      </c>
      <c r="H20" s="8">
        <f>IF(AND(H$13=TRUE,H$15=FALSE),1,0)*'Assumptions - General'!$J$27</f>
        <v>0</v>
      </c>
      <c r="I20" s="8">
        <f>IF(AND(I$13=TRUE,I$15=FALSE),1,0)*'Assumptions - General'!$J$27</f>
        <v>0</v>
      </c>
      <c r="J20" s="8">
        <f>IF(AND(J$13=TRUE,J$15=FALSE),1,0)*'Assumptions - General'!$J$27</f>
        <v>0</v>
      </c>
      <c r="K20" s="8">
        <f>IF(AND(K$13=TRUE,K$15=FALSE),1,0)*'Assumptions - General'!$J$27</f>
        <v>0</v>
      </c>
      <c r="L20" s="8">
        <f>IF(AND(L$13=TRUE,L$15=FALSE),1,0)*'Assumptions - General'!$J$27</f>
        <v>0</v>
      </c>
      <c r="M20" s="8">
        <f>IF(AND(M$13=TRUE,M$15=FALSE),1,0)*'Assumptions - General'!$J$27</f>
        <v>0</v>
      </c>
      <c r="N20" s="8">
        <f>IF(AND(N$13=TRUE,N$15=FALSE),1,0)*'Assumptions - General'!$J$27</f>
        <v>0</v>
      </c>
      <c r="O20" s="8">
        <f>IF(AND(O$13=TRUE,O$15=FALSE),1,0)*'Assumptions - General'!$J$27</f>
        <v>0</v>
      </c>
      <c r="P20" s="8">
        <f>IF(AND(P$13=TRUE,P$15=FALSE),1,0)*'Assumptions - General'!$J$27</f>
        <v>0</v>
      </c>
      <c r="Q20" s="8">
        <f>IF(AND(Q$13=TRUE,Q$15=FALSE),1,0)*'Assumptions - General'!$J$27</f>
        <v>0</v>
      </c>
      <c r="R20" s="8">
        <f>IF(AND(R$13=TRUE,R$15=FALSE),1,0)*'Assumptions - General'!$J$27</f>
        <v>0</v>
      </c>
      <c r="S20" s="8">
        <f>IF(AND(S$13=TRUE,S$15=FALSE),1,0)*'Assumptions - General'!$J$27</f>
        <v>0</v>
      </c>
      <c r="T20" s="8">
        <f>IF(AND(T$13=TRUE,T$15=FALSE),1,0)*'Assumptions - General'!$J$27</f>
        <v>0</v>
      </c>
      <c r="U20" s="8">
        <f>IF(AND(U$13=TRUE,U$15=FALSE),1,0)*'Assumptions - General'!$J$27</f>
        <v>0</v>
      </c>
      <c r="V20" s="8">
        <f>IF(AND(V$13=TRUE,V$15=FALSE),1,0)*'Assumptions - General'!$J$27</f>
        <v>0</v>
      </c>
      <c r="W20" s="8">
        <f>IF(AND(W$13=TRUE,W$15=FALSE),1,0)*'Assumptions - General'!$J$27</f>
        <v>0</v>
      </c>
      <c r="X20" s="8">
        <f>IF(AND(X$13=TRUE,X$15=FALSE),1,0)*'Assumptions - General'!$J$27</f>
        <v>0</v>
      </c>
      <c r="Y20" s="8">
        <f>IF(AND(Y$13=TRUE,Y$15=FALSE),1,0)*'Assumptions - General'!$J$27</f>
        <v>0</v>
      </c>
      <c r="Z20" s="8">
        <f>IF(AND(Z$13=TRUE,Z$15=FALSE),1,0)*'Assumptions - General'!$J$27</f>
        <v>0</v>
      </c>
      <c r="AA20" s="8">
        <f>IF(AND(AA$13=TRUE,AA$15=FALSE),1,0)*'Assumptions - General'!$J$27</f>
        <v>0</v>
      </c>
      <c r="AB20" s="8">
        <f>IF(AND(AB$13=TRUE,AB$15=FALSE),1,0)*'Assumptions - General'!$J$27</f>
        <v>0</v>
      </c>
      <c r="AC20" s="8">
        <f>IF(AND(AC$13=TRUE,AC$15=FALSE),1,0)*'Assumptions - General'!$J$27</f>
        <v>0</v>
      </c>
      <c r="AD20" s="8">
        <f>IF(AND(AD$13=TRUE,AD$15=FALSE),1,0)*'Assumptions - General'!$J$27</f>
        <v>0</v>
      </c>
      <c r="AE20" s="8">
        <f>IF(AND(AE$13=TRUE,AE$15=FALSE),1,0)*'Assumptions - General'!$J$27</f>
        <v>0</v>
      </c>
      <c r="AF20" s="8">
        <f>IF(AND(AF$13=TRUE,AF$15=FALSE),1,0)*'Assumptions - General'!$J$27</f>
        <v>0</v>
      </c>
      <c r="AG20" s="8">
        <f>IF(AND(AG$13=TRUE,AG$15=FALSE),1,0)*'Assumptions - General'!$J$27</f>
        <v>0</v>
      </c>
      <c r="AH20" s="8">
        <f>IF(AND(AH$13=TRUE,AH$15=FALSE),1,0)*'Assumptions - General'!$J$27</f>
        <v>0</v>
      </c>
    </row>
    <row r="21" spans="1:34" x14ac:dyDescent="0.2">
      <c r="B21" s="8" t="s">
        <v>607</v>
      </c>
      <c r="E21" s="8">
        <f>IF(AND(E$13=TRUE,E$15=FALSE),1,0)*'Assumptions - General'!$J$24</f>
        <v>1</v>
      </c>
      <c r="F21" s="8">
        <f>IF(AND(F$13=TRUE,F$15=FALSE),1,0)*'Assumptions - General'!$J$24</f>
        <v>1</v>
      </c>
      <c r="G21" s="8">
        <f>IF(AND(G$13=TRUE,G$15=FALSE),1,0)*'Assumptions - General'!$J$24</f>
        <v>1</v>
      </c>
      <c r="H21" s="8">
        <f>IF(AND(H$13=TRUE,H$15=FALSE),1,0)*'Assumptions - General'!$J$24</f>
        <v>1</v>
      </c>
      <c r="I21" s="8">
        <f>IF(AND(I$13=TRUE,I$15=FALSE),1,0)*'Assumptions - General'!$J$24</f>
        <v>1</v>
      </c>
      <c r="J21" s="8">
        <f>IF(AND(J$13=TRUE,J$15=FALSE),1,0)*'Assumptions - General'!$J$24</f>
        <v>1</v>
      </c>
      <c r="K21" s="8">
        <f>IF(AND(K$13=TRUE,K$15=FALSE),1,0)*'Assumptions - General'!$J$24</f>
        <v>1</v>
      </c>
      <c r="L21" s="8">
        <f>IF(AND(L$13=TRUE,L$15=FALSE),1,0)*'Assumptions - General'!$J$24</f>
        <v>1</v>
      </c>
      <c r="M21" s="8">
        <f>IF(AND(M$13=TRUE,M$15=FALSE),1,0)*'Assumptions - General'!$J$24</f>
        <v>1</v>
      </c>
      <c r="N21" s="8">
        <f>IF(AND(N$13=TRUE,N$15=FALSE),1,0)*'Assumptions - General'!$J$24</f>
        <v>1</v>
      </c>
      <c r="O21" s="8">
        <f>IF(AND(O$13=TRUE,O$15=FALSE),1,0)*'Assumptions - General'!$J$24</f>
        <v>1</v>
      </c>
      <c r="P21" s="8">
        <f>IF(AND(P$13=TRUE,P$15=FALSE),1,0)*'Assumptions - General'!$J$24</f>
        <v>1</v>
      </c>
      <c r="Q21" s="8">
        <f>IF(AND(Q$13=TRUE,Q$15=FALSE),1,0)*'Assumptions - General'!$J$24</f>
        <v>1</v>
      </c>
      <c r="R21" s="8">
        <f>IF(AND(R$13=TRUE,R$15=FALSE),1,0)*'Assumptions - General'!$J$24</f>
        <v>1</v>
      </c>
      <c r="S21" s="8">
        <f>IF(AND(S$13=TRUE,S$15=FALSE),1,0)*'Assumptions - General'!$J$24</f>
        <v>1</v>
      </c>
      <c r="T21" s="8">
        <f>IF(AND(T$13=TRUE,T$15=FALSE),1,0)*'Assumptions - General'!$J$24</f>
        <v>1</v>
      </c>
      <c r="U21" s="8">
        <f>IF(AND(U$13=TRUE,U$15=FALSE),1,0)*'Assumptions - General'!$J$24</f>
        <v>1</v>
      </c>
      <c r="V21" s="8">
        <f>IF(AND(V$13=TRUE,V$15=FALSE),1,0)*'Assumptions - General'!$J$24</f>
        <v>1</v>
      </c>
      <c r="W21" s="8">
        <f>IF(AND(W$13=TRUE,W$15=FALSE),1,0)*'Assumptions - General'!$J$24</f>
        <v>1</v>
      </c>
      <c r="X21" s="8">
        <f>IF(AND(X$13=TRUE,X$15=FALSE),1,0)*'Assumptions - General'!$J$24</f>
        <v>1</v>
      </c>
      <c r="Y21" s="8">
        <f>IF(AND(Y$13=TRUE,Y$15=FALSE),1,0)*'Assumptions - General'!$J$24</f>
        <v>1</v>
      </c>
      <c r="Z21" s="8">
        <f>IF(AND(Z$13=TRUE,Z$15=FALSE),1,0)*'Assumptions - General'!$J$24</f>
        <v>1</v>
      </c>
      <c r="AA21" s="8">
        <f>IF(AND(AA$13=TRUE,AA$15=FALSE),1,0)*'Assumptions - General'!$J$24</f>
        <v>1</v>
      </c>
      <c r="AB21" s="8">
        <f>IF(AND(AB$13=TRUE,AB$15=FALSE),1,0)*'Assumptions - General'!$J$24</f>
        <v>1</v>
      </c>
      <c r="AC21" s="8">
        <f>IF(AND(AC$13=TRUE,AC$15=FALSE),1,0)*'Assumptions - General'!$J$24</f>
        <v>1</v>
      </c>
      <c r="AD21" s="8">
        <f>IF(AND(AD$13=TRUE,AD$15=FALSE),1,0)*'Assumptions - General'!$J$24</f>
        <v>1</v>
      </c>
      <c r="AE21" s="8">
        <f>IF(AND(AE$13=TRUE,AE$15=FALSE),1,0)*'Assumptions - General'!$J$24</f>
        <v>1</v>
      </c>
      <c r="AF21" s="8">
        <f>IF(AND(AF$13=TRUE,AF$15=FALSE),1,0)*'Assumptions - General'!$J$24</f>
        <v>1</v>
      </c>
      <c r="AG21" s="8">
        <f>IF(AND(AG$13=TRUE,AG$15=FALSE),1,0)*'Assumptions - General'!$J$24</f>
        <v>1</v>
      </c>
      <c r="AH21" s="8">
        <f>IF(AND(AH$13=TRUE,AH$15=FALSE),1,0)*'Assumptions - General'!$J$24</f>
        <v>1</v>
      </c>
    </row>
    <row r="23" spans="1:34" x14ac:dyDescent="0.2">
      <c r="A23" s="320"/>
      <c r="B23" s="319" t="str">
        <f>"Fixed assets for " &amp;'Assumptions - General'!$E$24</f>
        <v>Fixed assets for Ruritania Freight Rail Company</v>
      </c>
      <c r="C23" s="320"/>
      <c r="D23" s="320"/>
      <c r="E23" s="320"/>
      <c r="F23" s="320"/>
      <c r="G23" s="320"/>
      <c r="H23" s="320"/>
      <c r="I23" s="320"/>
      <c r="J23" s="320"/>
      <c r="K23" s="320"/>
      <c r="L23" s="320"/>
      <c r="M23" s="320"/>
      <c r="N23" s="320"/>
      <c r="O23" s="320"/>
      <c r="P23" s="320"/>
      <c r="Q23" s="320"/>
      <c r="R23" s="320"/>
      <c r="S23" s="320"/>
      <c r="T23" s="320"/>
      <c r="U23" s="320"/>
      <c r="V23" s="320"/>
      <c r="W23" s="320"/>
      <c r="X23" s="320"/>
      <c r="Y23" s="320"/>
      <c r="Z23" s="320"/>
      <c r="AA23" s="320"/>
      <c r="AB23" s="320"/>
      <c r="AC23" s="320"/>
      <c r="AD23" s="320"/>
      <c r="AE23" s="320"/>
      <c r="AF23" s="320"/>
      <c r="AG23" s="320"/>
      <c r="AH23" s="320"/>
    </row>
    <row r="24" spans="1:34" s="20" customFormat="1" ht="14" x14ac:dyDescent="0.2">
      <c r="A24" s="8"/>
      <c r="B24" s="7"/>
      <c r="C24" s="8"/>
      <c r="D24" s="8"/>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outlineLevel="1" x14ac:dyDescent="0.2">
      <c r="B25" s="8" t="s">
        <v>474</v>
      </c>
      <c r="C25" s="8"/>
      <c r="D25" s="287">
        <f>IF('Scenarios - Consolidated'!$F$3=1,1,'Scenarios - Freight'!$F$3)</f>
        <v>2</v>
      </c>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outlineLevel="1" x14ac:dyDescent="0.2">
      <c r="B26" s="8" t="s">
        <v>478</v>
      </c>
      <c r="C26" s="8"/>
      <c r="D26" s="224">
        <f>IF(AND('Scenarios - Consolidated'!$F$3=1,'Scenarios - Consolidated'!$I$20=1),'Scenarios - Consolidated'!$I$25,'Scenarios - Freight'!$I$25)</f>
        <v>1</v>
      </c>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
      <c r="B27" s="7" t="s">
        <v>473</v>
      </c>
      <c r="C27" s="8"/>
      <c r="D27" s="8"/>
      <c r="E27" s="9"/>
      <c r="F27" s="9"/>
      <c r="G27" s="22"/>
      <c r="H27" s="22"/>
      <c r="I27" s="22"/>
      <c r="J27" s="22"/>
      <c r="K27" s="22"/>
      <c r="L27" s="22"/>
      <c r="M27" s="22"/>
      <c r="N27" s="22"/>
      <c r="O27" s="22"/>
      <c r="P27" s="22"/>
      <c r="Q27" s="22"/>
      <c r="R27" s="22"/>
      <c r="S27" s="22"/>
      <c r="T27" s="9"/>
      <c r="U27" s="9"/>
      <c r="V27" s="9"/>
      <c r="W27" s="9"/>
      <c r="X27" s="9"/>
      <c r="Y27" s="9"/>
      <c r="Z27" s="9"/>
      <c r="AA27" s="9"/>
      <c r="AB27" s="9"/>
      <c r="AC27" s="9"/>
      <c r="AD27" s="9"/>
      <c r="AE27" s="9"/>
      <c r="AF27" s="9"/>
      <c r="AG27" s="9"/>
      <c r="AH27" s="9"/>
    </row>
    <row r="28" spans="1:34" x14ac:dyDescent="0.2">
      <c r="B28" s="7"/>
      <c r="C28" s="28"/>
      <c r="D28" s="28"/>
      <c r="E28" s="9"/>
      <c r="F28" s="9"/>
      <c r="G28" s="22"/>
      <c r="H28" s="22"/>
      <c r="I28" s="22"/>
      <c r="J28" s="22"/>
      <c r="K28" s="22"/>
      <c r="L28" s="22"/>
      <c r="M28" s="22"/>
      <c r="N28" s="22"/>
      <c r="O28" s="22"/>
      <c r="P28" s="9"/>
      <c r="Q28" s="9"/>
      <c r="R28" s="9"/>
      <c r="S28" s="9"/>
      <c r="T28" s="9"/>
      <c r="U28" s="9"/>
      <c r="V28" s="9"/>
      <c r="W28" s="9"/>
      <c r="X28" s="9"/>
      <c r="Y28" s="9"/>
      <c r="Z28" s="9"/>
      <c r="AA28" s="9"/>
      <c r="AB28" s="9"/>
      <c r="AC28" s="9"/>
      <c r="AD28" s="9"/>
      <c r="AE28" s="9"/>
      <c r="AF28" s="9"/>
      <c r="AG28" s="9"/>
      <c r="AH28" s="9"/>
    </row>
    <row r="29" spans="1:34" s="20" customFormat="1" ht="14" x14ac:dyDescent="0.2">
      <c r="A29" s="87">
        <f>'Assumptions - Freight'!E60</f>
        <v>1</v>
      </c>
      <c r="B29" s="21" t="str">
        <f>'Assumptions - Freight'!E26</f>
        <v>Land</v>
      </c>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row>
    <row r="30" spans="1:34" s="20" customFormat="1" ht="14" x14ac:dyDescent="0.2">
      <c r="A30" s="87"/>
      <c r="B30" s="14" t="s">
        <v>637</v>
      </c>
      <c r="C30" s="8"/>
      <c r="D30" s="8" t="str">
        <f>'Assumptions - General'!$E$27 &amp;" millions"</f>
        <v>R$ millions</v>
      </c>
      <c r="E30" s="29"/>
      <c r="F30" s="31">
        <f>IF(F$16=1,E34," ")</f>
        <v>100</v>
      </c>
      <c r="G30" s="31">
        <f>IF(G$16=1,F34," ")</f>
        <v>100</v>
      </c>
      <c r="H30" s="31">
        <f>IF(H$16=1,G34," ")</f>
        <v>100</v>
      </c>
      <c r="I30" s="31">
        <f t="shared" ref="I30:AH30" si="7">IF(I$16=1,H34," ")</f>
        <v>100</v>
      </c>
      <c r="J30" s="31">
        <f t="shared" si="7"/>
        <v>100</v>
      </c>
      <c r="K30" s="31">
        <f t="shared" si="7"/>
        <v>100</v>
      </c>
      <c r="L30" s="31">
        <f t="shared" si="7"/>
        <v>100</v>
      </c>
      <c r="M30" s="31">
        <f t="shared" si="7"/>
        <v>100</v>
      </c>
      <c r="N30" s="31">
        <f t="shared" si="7"/>
        <v>100</v>
      </c>
      <c r="O30" s="31">
        <f t="shared" si="7"/>
        <v>100</v>
      </c>
      <c r="P30" s="31">
        <f t="shared" si="7"/>
        <v>100</v>
      </c>
      <c r="Q30" s="31">
        <f t="shared" si="7"/>
        <v>100</v>
      </c>
      <c r="R30" s="31">
        <f t="shared" si="7"/>
        <v>100</v>
      </c>
      <c r="S30" s="31">
        <f t="shared" si="7"/>
        <v>100</v>
      </c>
      <c r="T30" s="31">
        <f t="shared" si="7"/>
        <v>100</v>
      </c>
      <c r="U30" s="31">
        <f t="shared" si="7"/>
        <v>100</v>
      </c>
      <c r="V30" s="31">
        <f t="shared" si="7"/>
        <v>100</v>
      </c>
      <c r="W30" s="31">
        <f t="shared" si="7"/>
        <v>100</v>
      </c>
      <c r="X30" s="31">
        <f t="shared" si="7"/>
        <v>100</v>
      </c>
      <c r="Y30" s="31">
        <f t="shared" si="7"/>
        <v>100</v>
      </c>
      <c r="Z30" s="31">
        <f t="shared" si="7"/>
        <v>100</v>
      </c>
      <c r="AA30" s="31">
        <f t="shared" si="7"/>
        <v>100</v>
      </c>
      <c r="AB30" s="31">
        <f t="shared" si="7"/>
        <v>100</v>
      </c>
      <c r="AC30" s="31">
        <f t="shared" si="7"/>
        <v>100</v>
      </c>
      <c r="AD30" s="31">
        <f t="shared" si="7"/>
        <v>100</v>
      </c>
      <c r="AE30" s="31">
        <f t="shared" si="7"/>
        <v>100</v>
      </c>
      <c r="AF30" s="31">
        <f t="shared" si="7"/>
        <v>100</v>
      </c>
      <c r="AG30" s="31">
        <f t="shared" si="7"/>
        <v>100</v>
      </c>
      <c r="AH30" s="31">
        <f t="shared" si="7"/>
        <v>100</v>
      </c>
    </row>
    <row r="31" spans="1:34" s="20" customFormat="1" ht="14" x14ac:dyDescent="0.2">
      <c r="A31" s="87"/>
      <c r="B31" s="30" t="s">
        <v>608</v>
      </c>
      <c r="C31" s="8"/>
      <c r="D31" s="8" t="str">
        <f>'Assumptions - General'!$E$27 &amp;" millions"</f>
        <v>R$ millions</v>
      </c>
      <c r="E31" s="29"/>
      <c r="F31" s="29">
        <f>IF(F$16=1,IF(F30&gt;0,MIN(F30,'Assumptions - Freight'!F48),0)," ")</f>
        <v>0</v>
      </c>
      <c r="G31" s="29">
        <f>IF(G$16=1,IF(G30&gt;0,MIN(G30,'Assumptions - Freight'!G48),0)," ")</f>
        <v>0</v>
      </c>
      <c r="H31" s="29">
        <f>IF(H$16=1,IF(H30&gt;0,MIN(H30,'Assumptions - Freight'!H48),0)," ")</f>
        <v>0</v>
      </c>
      <c r="I31" s="29">
        <f>IF(I$16=1,IF(I30&gt;0,MIN(I30,'Assumptions - Freight'!I48),0)," ")</f>
        <v>0</v>
      </c>
      <c r="J31" s="29">
        <f>IF(J$16=1,IF(J30&gt;0,MIN(J30,'Assumptions - Freight'!J48),0)," ")</f>
        <v>0</v>
      </c>
      <c r="K31" s="29">
        <f>IF(K$16=1,IF(K30&gt;0,MIN(K30,'Assumptions - Freight'!K48),0)," ")</f>
        <v>0</v>
      </c>
      <c r="L31" s="29">
        <f>IF(L$16=1,IF(L30&gt;0,MIN(L30,'Assumptions - Freight'!L48),0)," ")</f>
        <v>0</v>
      </c>
      <c r="M31" s="29">
        <f>IF(M$16=1,IF(M30&gt;0,MIN(M30,'Assumptions - Freight'!M48),0)," ")</f>
        <v>0</v>
      </c>
      <c r="N31" s="29">
        <f>IF(N$16=1,IF(N30&gt;0,MIN(N30,'Assumptions - Freight'!N48),0)," ")</f>
        <v>0</v>
      </c>
      <c r="O31" s="29">
        <f>IF(O$16=1,IF(O30&gt;0,MIN(O30,'Assumptions - Freight'!O48),0)," ")</f>
        <v>0</v>
      </c>
      <c r="P31" s="29">
        <f>IF(P$16=1,IF(P30&gt;0,MIN(P30,'Assumptions - Freight'!P48),0)," ")</f>
        <v>0</v>
      </c>
      <c r="Q31" s="29">
        <f>IF(Q$16=1,IF(Q30&gt;0,MIN(Q30,'Assumptions - Freight'!Q48),0)," ")</f>
        <v>0</v>
      </c>
      <c r="R31" s="29">
        <f>IF(R$16=1,IF(R30&gt;0,MIN(R30,'Assumptions - Freight'!R48),0)," ")</f>
        <v>0</v>
      </c>
      <c r="S31" s="29">
        <f>IF(S$16=1,IF(S30&gt;0,MIN(S30,'Assumptions - Freight'!S48),0)," ")</f>
        <v>0</v>
      </c>
      <c r="T31" s="29">
        <f>IF(T$16=1,IF(T30&gt;0,MIN(T30,'Assumptions - Freight'!T48),0)," ")</f>
        <v>0</v>
      </c>
      <c r="U31" s="29">
        <f>IF(U$16=1,IF(U30&gt;0,MIN(U30,'Assumptions - Freight'!U48),0)," ")</f>
        <v>0</v>
      </c>
      <c r="V31" s="29">
        <f>IF(V$16=1,IF(V30&gt;0,MIN(V30,'Assumptions - Freight'!V48),0)," ")</f>
        <v>0</v>
      </c>
      <c r="W31" s="29">
        <f>IF(W$16=1,IF(W30&gt;0,MIN(W30,'Assumptions - Freight'!W48),0)," ")</f>
        <v>0</v>
      </c>
      <c r="X31" s="29">
        <f>IF(X$16=1,IF(X30&gt;0,MIN(X30,'Assumptions - Freight'!X48),0)," ")</f>
        <v>0</v>
      </c>
      <c r="Y31" s="29">
        <f>IF(Y$16=1,IF(Y30&gt;0,MIN(Y30,'Assumptions - Freight'!Y48),0)," ")</f>
        <v>0</v>
      </c>
      <c r="Z31" s="29">
        <f>IF(Z$16=1,IF(Z30&gt;0,MIN(Z30,'Assumptions - Freight'!Z48),0)," ")</f>
        <v>0</v>
      </c>
      <c r="AA31" s="29">
        <f>IF(AA$16=1,IF(AA30&gt;0,MIN(AA30,'Assumptions - Freight'!AA48),0)," ")</f>
        <v>0</v>
      </c>
      <c r="AB31" s="29">
        <f>IF(AB$16=1,IF(AB30&gt;0,MIN(AB30,'Assumptions - Freight'!AB48),0)," ")</f>
        <v>0</v>
      </c>
      <c r="AC31" s="29">
        <f>IF(AC$16=1,IF(AC30&gt;0,MIN(AC30,'Assumptions - Freight'!AC48),0)," ")</f>
        <v>0</v>
      </c>
      <c r="AD31" s="29">
        <f>IF(AD$16=1,IF(AD30&gt;0,MIN(AD30,'Assumptions - Freight'!AD48),0)," ")</f>
        <v>0</v>
      </c>
      <c r="AE31" s="29">
        <f>IF(AE$16=1,IF(AE30&gt;0,MIN(AE30,'Assumptions - Freight'!AE48),0)," ")</f>
        <v>0</v>
      </c>
      <c r="AF31" s="29">
        <f>IF(AF$16=1,IF(AF30&gt;0,MIN(AF30,'Assumptions - Freight'!AF48),0)," ")</f>
        <v>0</v>
      </c>
      <c r="AG31" s="29">
        <f>IF(AG$16=1,IF(AG30&gt;0,MIN(AG30,'Assumptions - Freight'!AG48),0)," ")</f>
        <v>0</v>
      </c>
      <c r="AH31" s="29">
        <f>IF(AH$16=1,IF(AH30&gt;0,MIN(AH30,'Assumptions - Freight'!AH48),0)," ")</f>
        <v>0</v>
      </c>
    </row>
    <row r="32" spans="1:34" s="20" customFormat="1" ht="14" x14ac:dyDescent="0.2">
      <c r="A32" s="310"/>
      <c r="B32" s="230" t="str">
        <f>IF(A29=1,"Less depreciation of existing assets","Less depreciation of assets")</f>
        <v>Less depreciation of existing assets</v>
      </c>
      <c r="D32" s="20" t="str">
        <f>'Assumptions - General'!$E$27 &amp;" millions"</f>
        <v>R$ millions</v>
      </c>
      <c r="E32" s="229"/>
      <c r="F32" s="229">
        <f>IF(F$16=1,IF(F30-F31&gt;0,(MIN((F30-F31),'Assumptions - Freight'!F59)),0)," ")</f>
        <v>0</v>
      </c>
      <c r="G32" s="229">
        <f>IF(G$16=1,IF(G30-G31&gt;0,(MIN((G30-G31),'Assumptions - Freight'!G59)),0)," ")</f>
        <v>0</v>
      </c>
      <c r="H32" s="229">
        <f>IF(H$16=1,IF(H30-H31&gt;0,(MIN((H30-H31),'Assumptions - Freight'!H59)),0)," ")</f>
        <v>0</v>
      </c>
      <c r="I32" s="229">
        <f>IF(I$16=1,IF(I30-I31&gt;0,(MIN((I30-I31),'Assumptions - Freight'!I59)),0)," ")</f>
        <v>0</v>
      </c>
      <c r="J32" s="229">
        <f>IF(J$16=1,IF(J30-J31&gt;0,(MIN((J30-J31),'Assumptions - Freight'!J59)),0)," ")</f>
        <v>0</v>
      </c>
      <c r="K32" s="229">
        <f>IF(K$16=1,IF(K30-K31&gt;0,(MIN((K30-K31),'Assumptions - Freight'!K59)),0)," ")</f>
        <v>0</v>
      </c>
      <c r="L32" s="229">
        <f>IF(L$16=1,IF(L30-L31&gt;0,(MIN((L30-L31),'Assumptions - Freight'!L59)),0)," ")</f>
        <v>0</v>
      </c>
      <c r="M32" s="229">
        <f>IF(M$16=1,IF(M30-M31&gt;0,(MIN((M30-M31),'Assumptions - Freight'!M59)),0)," ")</f>
        <v>0</v>
      </c>
      <c r="N32" s="229">
        <f>IF(N$16=1,IF(N30-N31&gt;0,(MIN((N30-N31),'Assumptions - Freight'!N59)),0)," ")</f>
        <v>0</v>
      </c>
      <c r="O32" s="229">
        <f>IF(O$16=1,IF(O30-O31&gt;0,(MIN((O30-O31),'Assumptions - Freight'!O59)),0)," ")</f>
        <v>0</v>
      </c>
      <c r="P32" s="229">
        <f>IF(P$16=1,IF(P30-P31&gt;0,(MIN((P30-P31),'Assumptions - Freight'!P59)),0)," ")</f>
        <v>0</v>
      </c>
      <c r="Q32" s="229">
        <f>IF(Q$16=1,IF(Q30-Q31&gt;0,(MIN((Q30-Q31),'Assumptions - Freight'!Q59)),0)," ")</f>
        <v>0</v>
      </c>
      <c r="R32" s="229">
        <f>IF(R$16=1,IF(R30-R31&gt;0,(MIN((R30-R31),'Assumptions - Freight'!R59)),0)," ")</f>
        <v>0</v>
      </c>
      <c r="S32" s="229">
        <f>IF(S$16=1,IF(S30-S31&gt;0,(MIN((S30-S31),'Assumptions - Freight'!S59)),0)," ")</f>
        <v>0</v>
      </c>
      <c r="T32" s="229">
        <f>IF(T$16=1,IF(T30-T31&gt;0,(MIN((T30-T31),'Assumptions - Freight'!T59)),0)," ")</f>
        <v>0</v>
      </c>
      <c r="U32" s="229">
        <f>IF(U$16=1,IF(U30-U31&gt;0,(MIN((U30-U31),'Assumptions - Freight'!U59)),0)," ")</f>
        <v>0</v>
      </c>
      <c r="V32" s="229">
        <f>IF(V$16=1,IF(V30-V31&gt;0,(MIN((V30-V31),'Assumptions - Freight'!V59)),0)," ")</f>
        <v>0</v>
      </c>
      <c r="W32" s="229">
        <f>IF(W$16=1,IF(W30-W31&gt;0,(MIN((W30-W31),'Assumptions - Freight'!W59)),0)," ")</f>
        <v>0</v>
      </c>
      <c r="X32" s="229">
        <f>IF(X$16=1,IF(X30-X31&gt;0,(MIN((X30-X31),'Assumptions - Freight'!X59)),0)," ")</f>
        <v>0</v>
      </c>
      <c r="Y32" s="229">
        <f>IF(Y$16=1,IF(Y30-Y31&gt;0,(MIN((Y30-Y31),'Assumptions - Freight'!Y59)),0)," ")</f>
        <v>0</v>
      </c>
      <c r="Z32" s="229">
        <f>IF(Z$16=1,IF(Z30-Z31&gt;0,(MIN((Z30-Z31),'Assumptions - Freight'!Z59)),0)," ")</f>
        <v>0</v>
      </c>
      <c r="AA32" s="229">
        <f>IF(AA$16=1,IF(AA30-AA31&gt;0,(MIN((AA30-AA31),'Assumptions - Freight'!AA59)),0)," ")</f>
        <v>0</v>
      </c>
      <c r="AB32" s="229">
        <f>IF(AB$16=1,IF(AB30-AB31&gt;0,(MIN((AB30-AB31),'Assumptions - Freight'!AB59)),0)," ")</f>
        <v>0</v>
      </c>
      <c r="AC32" s="229">
        <f>IF(AC$16=1,IF(AC30-AC31&gt;0,(MIN((AC30-AC31),'Assumptions - Freight'!AC59)),0)," ")</f>
        <v>0</v>
      </c>
      <c r="AD32" s="229">
        <f>IF(AD$16=1,IF(AD30-AD31&gt;0,(MIN((AD30-AD31),'Assumptions - Freight'!AD59)),0)," ")</f>
        <v>0</v>
      </c>
      <c r="AE32" s="229">
        <f>IF(AE$16=1,IF(AE30-AE31&gt;0,(MIN((AE30-AE31),'Assumptions - Freight'!AE59)),0)," ")</f>
        <v>0</v>
      </c>
      <c r="AF32" s="229">
        <f>IF(AF$16=1,IF(AF30-AF31&gt;0,(MIN((AF30-AF31),'Assumptions - Freight'!AF59)),0)," ")</f>
        <v>0</v>
      </c>
      <c r="AG32" s="229">
        <f>IF(AG$16=1,IF(AG30-AG31&gt;0,(MIN((AG30-AG31),'Assumptions - Freight'!AG59)),0)," ")</f>
        <v>0</v>
      </c>
      <c r="AH32" s="229">
        <f>IF(AH$16=1,IF(AH30-AH31&gt;0,(MIN((AH30-AH31),'Assumptions - Freight'!AH59)),0)," ")</f>
        <v>0</v>
      </c>
    </row>
    <row r="33" spans="1:34" s="20" customFormat="1" ht="14" x14ac:dyDescent="0.2">
      <c r="A33" s="87"/>
      <c r="B33" s="30" t="str">
        <f>IF(A29=1,"Accumulated depreciation of existing assets","Accumulated depreciation of assets")</f>
        <v>Accumulated depreciation of existing assets</v>
      </c>
      <c r="C33" s="8"/>
      <c r="D33" s="8" t="str">
        <f>'Assumptions - General'!$E$27 &amp;" millions"</f>
        <v>R$ millions</v>
      </c>
      <c r="E33" s="29"/>
      <c r="F33" s="29">
        <f>IF(F$16=1,SUM($E32:F32)," ")</f>
        <v>0</v>
      </c>
      <c r="G33" s="29">
        <f>IF(G$16=1,SUM($E32:G32)," ")</f>
        <v>0</v>
      </c>
      <c r="H33" s="29">
        <f>IF(H$16=1,SUM($E32:H32)," ")</f>
        <v>0</v>
      </c>
      <c r="I33" s="29">
        <f>IF(I$16=1,SUM($E32:I32)," ")</f>
        <v>0</v>
      </c>
      <c r="J33" s="29">
        <f>IF(J$16=1,SUM($E32:J32)," ")</f>
        <v>0</v>
      </c>
      <c r="K33" s="29">
        <f>IF(K$16=1,SUM($E32:K32)," ")</f>
        <v>0</v>
      </c>
      <c r="L33" s="29">
        <f>IF(L$16=1,SUM($E32:L32)," ")</f>
        <v>0</v>
      </c>
      <c r="M33" s="29">
        <f>IF(M$16=1,SUM($E32:M32)," ")</f>
        <v>0</v>
      </c>
      <c r="N33" s="29">
        <f>IF(N$16=1,SUM($E32:N32)," ")</f>
        <v>0</v>
      </c>
      <c r="O33" s="29">
        <f>IF(O$16=1,SUM($E32:O32)," ")</f>
        <v>0</v>
      </c>
      <c r="P33" s="29">
        <f>IF(P$16=1,SUM($E32:P32)," ")</f>
        <v>0</v>
      </c>
      <c r="Q33" s="29">
        <f>IF(Q$16=1,SUM($E32:Q32)," ")</f>
        <v>0</v>
      </c>
      <c r="R33" s="29">
        <f>IF(R$16=1,SUM($E32:R32)," ")</f>
        <v>0</v>
      </c>
      <c r="S33" s="29">
        <f>IF(S$16=1,SUM($E32:S32)," ")</f>
        <v>0</v>
      </c>
      <c r="T33" s="29">
        <f>IF(T$16=1,SUM($E32:T32)," ")</f>
        <v>0</v>
      </c>
      <c r="U33" s="29">
        <f>IF(U$16=1,SUM($E32:U32)," ")</f>
        <v>0</v>
      </c>
      <c r="V33" s="29">
        <f>IF(V$16=1,SUM($E32:V32)," ")</f>
        <v>0</v>
      </c>
      <c r="W33" s="29">
        <f>IF(W$16=1,SUM($E32:W32)," ")</f>
        <v>0</v>
      </c>
      <c r="X33" s="29">
        <f>IF(X$16=1,SUM($E32:X32)," ")</f>
        <v>0</v>
      </c>
      <c r="Y33" s="29">
        <f>IF(Y$16=1,SUM($E32:Y32)," ")</f>
        <v>0</v>
      </c>
      <c r="Z33" s="29">
        <f>IF(Z$16=1,SUM($E32:Z32)," ")</f>
        <v>0</v>
      </c>
      <c r="AA33" s="29">
        <f>IF(AA$16=1,SUM($E32:AA32)," ")</f>
        <v>0</v>
      </c>
      <c r="AB33" s="29">
        <f>IF(AB$16=1,SUM($E32:AB32)," ")</f>
        <v>0</v>
      </c>
      <c r="AC33" s="29">
        <f>IF(AC$16=1,SUM($E32:AC32)," ")</f>
        <v>0</v>
      </c>
      <c r="AD33" s="29">
        <f>IF(AD$16=1,SUM($E32:AD32)," ")</f>
        <v>0</v>
      </c>
      <c r="AE33" s="29">
        <f>IF(AE$16=1,SUM($E32:AE32)," ")</f>
        <v>0</v>
      </c>
      <c r="AF33" s="29">
        <f>IF(AF$16=1,SUM($E32:AF32)," ")</f>
        <v>0</v>
      </c>
      <c r="AG33" s="29">
        <f>IF(AG$16=1,SUM($E32:AG32)," ")</f>
        <v>0</v>
      </c>
      <c r="AH33" s="29">
        <f>IF(AH$16=1,SUM($E32:AH32)," ")</f>
        <v>0</v>
      </c>
    </row>
    <row r="34" spans="1:34" s="20" customFormat="1" ht="14" x14ac:dyDescent="0.2">
      <c r="A34" s="87"/>
      <c r="B34" s="14" t="s">
        <v>639</v>
      </c>
      <c r="C34" s="8"/>
      <c r="D34" s="8" t="str">
        <f>'Assumptions - General'!$E$27 &amp;" millions"</f>
        <v>R$ millions</v>
      </c>
      <c r="E34" s="463">
        <f>IF(E$16=1,'Assumptions - Freight'!E33," ")</f>
        <v>100</v>
      </c>
      <c r="F34" s="29">
        <f>IF(F$16=1,F30-F31-F32," ")</f>
        <v>100</v>
      </c>
      <c r="G34" s="29">
        <f t="shared" ref="G34:AH34" si="8">IF(G$16=1,G30-G31-G32," ")</f>
        <v>100</v>
      </c>
      <c r="H34" s="29">
        <f t="shared" si="8"/>
        <v>100</v>
      </c>
      <c r="I34" s="29">
        <f t="shared" si="8"/>
        <v>100</v>
      </c>
      <c r="J34" s="29">
        <f t="shared" si="8"/>
        <v>100</v>
      </c>
      <c r="K34" s="29">
        <f t="shared" si="8"/>
        <v>100</v>
      </c>
      <c r="L34" s="29">
        <f t="shared" si="8"/>
        <v>100</v>
      </c>
      <c r="M34" s="29">
        <f t="shared" si="8"/>
        <v>100</v>
      </c>
      <c r="N34" s="29">
        <f t="shared" si="8"/>
        <v>100</v>
      </c>
      <c r="O34" s="29">
        <f t="shared" si="8"/>
        <v>100</v>
      </c>
      <c r="P34" s="29">
        <f t="shared" si="8"/>
        <v>100</v>
      </c>
      <c r="Q34" s="29">
        <f t="shared" si="8"/>
        <v>100</v>
      </c>
      <c r="R34" s="29">
        <f t="shared" si="8"/>
        <v>100</v>
      </c>
      <c r="S34" s="29">
        <f t="shared" si="8"/>
        <v>100</v>
      </c>
      <c r="T34" s="29">
        <f t="shared" si="8"/>
        <v>100</v>
      </c>
      <c r="U34" s="29">
        <f t="shared" si="8"/>
        <v>100</v>
      </c>
      <c r="V34" s="29">
        <f t="shared" si="8"/>
        <v>100</v>
      </c>
      <c r="W34" s="29">
        <f t="shared" si="8"/>
        <v>100</v>
      </c>
      <c r="X34" s="29">
        <f t="shared" si="8"/>
        <v>100</v>
      </c>
      <c r="Y34" s="29">
        <f t="shared" si="8"/>
        <v>100</v>
      </c>
      <c r="Z34" s="29">
        <f t="shared" si="8"/>
        <v>100</v>
      </c>
      <c r="AA34" s="29">
        <f t="shared" si="8"/>
        <v>100</v>
      </c>
      <c r="AB34" s="29">
        <f t="shared" si="8"/>
        <v>100</v>
      </c>
      <c r="AC34" s="29">
        <f t="shared" si="8"/>
        <v>100</v>
      </c>
      <c r="AD34" s="29">
        <f t="shared" si="8"/>
        <v>100</v>
      </c>
      <c r="AE34" s="29">
        <f t="shared" si="8"/>
        <v>100</v>
      </c>
      <c r="AF34" s="29">
        <f t="shared" si="8"/>
        <v>100</v>
      </c>
      <c r="AG34" s="29">
        <f t="shared" si="8"/>
        <v>100</v>
      </c>
      <c r="AH34" s="29">
        <f t="shared" si="8"/>
        <v>100</v>
      </c>
    </row>
    <row r="35" spans="1:34" s="20" customFormat="1" ht="14" x14ac:dyDescent="0.2">
      <c r="A35" s="87"/>
      <c r="B35" s="14"/>
      <c r="C35" s="8"/>
      <c r="D35" s="8"/>
      <c r="E35" s="29"/>
      <c r="F35" s="29"/>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c r="AG35" s="29"/>
      <c r="AH35" s="29"/>
    </row>
    <row r="36" spans="1:34" s="20" customFormat="1" ht="14" x14ac:dyDescent="0.2">
      <c r="A36" s="87"/>
      <c r="B36" s="14" t="s">
        <v>634</v>
      </c>
      <c r="C36" s="8"/>
      <c r="D36" s="8" t="str">
        <f>'Assumptions - General'!$E$27 &amp;" millions"</f>
        <v>R$ millions</v>
      </c>
      <c r="E36" s="29"/>
      <c r="F36" s="29">
        <f t="shared" ref="F36:AH36" si="9">IF(F16=1,E41," ")</f>
        <v>0</v>
      </c>
      <c r="G36" s="29">
        <f t="shared" si="9"/>
        <v>10</v>
      </c>
      <c r="H36" s="29">
        <f t="shared" si="9"/>
        <v>19</v>
      </c>
      <c r="I36" s="29">
        <f t="shared" si="9"/>
        <v>27.5</v>
      </c>
      <c r="J36" s="29">
        <f t="shared" si="9"/>
        <v>35.5</v>
      </c>
      <c r="K36" s="29">
        <f t="shared" si="9"/>
        <v>43</v>
      </c>
      <c r="L36" s="29">
        <f t="shared" si="9"/>
        <v>50</v>
      </c>
      <c r="M36" s="29">
        <f t="shared" si="9"/>
        <v>56.5</v>
      </c>
      <c r="N36" s="29">
        <f t="shared" si="9"/>
        <v>62.5</v>
      </c>
      <c r="O36" s="29">
        <f t="shared" si="9"/>
        <v>68</v>
      </c>
      <c r="P36" s="29">
        <f t="shared" si="9"/>
        <v>73</v>
      </c>
      <c r="Q36" s="29">
        <f t="shared" si="9"/>
        <v>77.5</v>
      </c>
      <c r="R36" s="29">
        <f t="shared" si="9"/>
        <v>81.5</v>
      </c>
      <c r="S36" s="29">
        <f t="shared" si="9"/>
        <v>85</v>
      </c>
      <c r="T36" s="29">
        <f t="shared" si="9"/>
        <v>88</v>
      </c>
      <c r="U36" s="29">
        <f t="shared" si="9"/>
        <v>90.5</v>
      </c>
      <c r="V36" s="29">
        <f t="shared" si="9"/>
        <v>92.5</v>
      </c>
      <c r="W36" s="29">
        <f t="shared" si="9"/>
        <v>94</v>
      </c>
      <c r="X36" s="29">
        <f t="shared" si="9"/>
        <v>95</v>
      </c>
      <c r="Y36" s="29">
        <f t="shared" si="9"/>
        <v>95.5</v>
      </c>
      <c r="Z36" s="29">
        <f t="shared" si="9"/>
        <v>95.5</v>
      </c>
      <c r="AA36" s="29">
        <f t="shared" si="9"/>
        <v>95</v>
      </c>
      <c r="AB36" s="29">
        <f t="shared" si="9"/>
        <v>94</v>
      </c>
      <c r="AC36" s="29">
        <f t="shared" si="9"/>
        <v>92.5</v>
      </c>
      <c r="AD36" s="29">
        <f t="shared" si="9"/>
        <v>90.5</v>
      </c>
      <c r="AE36" s="29">
        <f t="shared" si="9"/>
        <v>88</v>
      </c>
      <c r="AF36" s="29">
        <f t="shared" si="9"/>
        <v>85</v>
      </c>
      <c r="AG36" s="29">
        <f t="shared" si="9"/>
        <v>81.5</v>
      </c>
      <c r="AH36" s="29">
        <f t="shared" si="9"/>
        <v>77.5</v>
      </c>
    </row>
    <row r="37" spans="1:34" s="20" customFormat="1" ht="14" x14ac:dyDescent="0.2">
      <c r="A37" s="87"/>
      <c r="B37" s="30" t="s">
        <v>130</v>
      </c>
      <c r="C37" s="8"/>
      <c r="D37" s="8" t="str">
        <f>'Assumptions - General'!$E$27 &amp;" millions"</f>
        <v>R$ millions</v>
      </c>
      <c r="E37" s="29"/>
      <c r="F37" s="29">
        <f>IF(F$16=1,IF($D$25=1,$D$26*'Assumptions - Freight'!F40,'Assumptions - Freight'!F40)," ")</f>
        <v>10</v>
      </c>
      <c r="G37" s="29">
        <f>IF(G$16=1,IF($D$25=1,$D$26*'Assumptions - Freight'!G40,'Assumptions - Freight'!G40)," ")</f>
        <v>10</v>
      </c>
      <c r="H37" s="29">
        <f>IF(H$16=1,IF($D$25=1,$D$26*'Assumptions - Freight'!H40,'Assumptions - Freight'!H40)," ")</f>
        <v>10</v>
      </c>
      <c r="I37" s="29">
        <f>IF(I$16=1,IF($D$25=1,$D$26*'Assumptions - Freight'!I40,'Assumptions - Freight'!I40)," ")</f>
        <v>10</v>
      </c>
      <c r="J37" s="29">
        <f>IF(J$16=1,IF($D$25=1,$D$26*'Assumptions - Freight'!J40,'Assumptions - Freight'!J40)," ")</f>
        <v>10</v>
      </c>
      <c r="K37" s="29">
        <f>IF(K$16=1,IF($D$25=1,$D$26*'Assumptions - Freight'!K40,'Assumptions - Freight'!K40)," ")</f>
        <v>10</v>
      </c>
      <c r="L37" s="29">
        <f>IF(L$16=1,IF($D$25=1,$D$26*'Assumptions - Freight'!L40,'Assumptions - Freight'!L40)," ")</f>
        <v>10</v>
      </c>
      <c r="M37" s="29">
        <f>IF(M$16=1,IF($D$25=1,$D$26*'Assumptions - Freight'!M40,'Assumptions - Freight'!M40)," ")</f>
        <v>10</v>
      </c>
      <c r="N37" s="29">
        <f>IF(N$16=1,IF($D$25=1,$D$26*'Assumptions - Freight'!N40,'Assumptions - Freight'!N40)," ")</f>
        <v>10</v>
      </c>
      <c r="O37" s="29">
        <f>IF(O$16=1,IF($D$25=1,$D$26*'Assumptions - Freight'!O40,'Assumptions - Freight'!O40)," ")</f>
        <v>10</v>
      </c>
      <c r="P37" s="29">
        <f>IF(P$16=1,IF($D$25=1,$D$26*'Assumptions - Freight'!P40,'Assumptions - Freight'!P40)," ")</f>
        <v>10</v>
      </c>
      <c r="Q37" s="29">
        <f>IF(Q$16=1,IF($D$25=1,$D$26*'Assumptions - Freight'!Q40,'Assumptions - Freight'!Q40)," ")</f>
        <v>10</v>
      </c>
      <c r="R37" s="29">
        <f>IF(R$16=1,IF($D$25=1,$D$26*'Assumptions - Freight'!R40,'Assumptions - Freight'!R40)," ")</f>
        <v>10</v>
      </c>
      <c r="S37" s="29">
        <f>IF(S$16=1,IF($D$25=1,$D$26*'Assumptions - Freight'!S40,'Assumptions - Freight'!S40)," ")</f>
        <v>10</v>
      </c>
      <c r="T37" s="29">
        <f>IF(T$16=1,IF($D$25=1,$D$26*'Assumptions - Freight'!T40,'Assumptions - Freight'!T40)," ")</f>
        <v>10</v>
      </c>
      <c r="U37" s="29">
        <f>IF(U$16=1,IF($D$25=1,$D$26*'Assumptions - Freight'!U40,'Assumptions - Freight'!U40)," ")</f>
        <v>10</v>
      </c>
      <c r="V37" s="29">
        <f>IF(V$16=1,IF($D$25=1,$D$26*'Assumptions - Freight'!V40,'Assumptions - Freight'!V40)," ")</f>
        <v>10</v>
      </c>
      <c r="W37" s="29">
        <f>IF(W$16=1,IF($D$25=1,$D$26*'Assumptions - Freight'!W40,'Assumptions - Freight'!W40)," ")</f>
        <v>10</v>
      </c>
      <c r="X37" s="29">
        <f>IF(X$16=1,IF($D$25=1,$D$26*'Assumptions - Freight'!X40,'Assumptions - Freight'!X40)," ")</f>
        <v>10</v>
      </c>
      <c r="Y37" s="29">
        <f>IF(Y$16=1,IF($D$25=1,$D$26*'Assumptions - Freight'!Y40,'Assumptions - Freight'!Y40)," ")</f>
        <v>10</v>
      </c>
      <c r="Z37" s="29">
        <f>IF(Z$16=1,IF($D$25=1,$D$26*'Assumptions - Freight'!Z40,'Assumptions - Freight'!Z40)," ")</f>
        <v>10</v>
      </c>
      <c r="AA37" s="29">
        <f>IF(AA$16=1,IF($D$25=1,$D$26*'Assumptions - Freight'!AA40,'Assumptions - Freight'!AA40)," ")</f>
        <v>10</v>
      </c>
      <c r="AB37" s="29">
        <f>IF(AB$16=1,IF($D$25=1,$D$26*'Assumptions - Freight'!AB40,'Assumptions - Freight'!AB40)," ")</f>
        <v>10</v>
      </c>
      <c r="AC37" s="29">
        <f>IF(AC$16=1,IF($D$25=1,$D$26*'Assumptions - Freight'!AC40,'Assumptions - Freight'!AC40)," ")</f>
        <v>10</v>
      </c>
      <c r="AD37" s="29">
        <f>IF(AD$16=1,IF($D$25=1,$D$26*'Assumptions - Freight'!AD40,'Assumptions - Freight'!AD40)," ")</f>
        <v>10</v>
      </c>
      <c r="AE37" s="29">
        <f>IF(AE$16=1,IF($D$25=1,$D$26*'Assumptions - Freight'!AE40,'Assumptions - Freight'!AE40)," ")</f>
        <v>10</v>
      </c>
      <c r="AF37" s="29">
        <f>IF(AF$16=1,IF($D$25=1,$D$26*'Assumptions - Freight'!AF40,'Assumptions - Freight'!AF40)," ")</f>
        <v>10</v>
      </c>
      <c r="AG37" s="29">
        <f>IF(AG$16=1,IF($D$25=1,$D$26*'Assumptions - Freight'!AG40,'Assumptions - Freight'!AG40)," ")</f>
        <v>10</v>
      </c>
      <c r="AH37" s="29">
        <f>IF(AH$16=1,IF($D$25=1,$D$26*'Assumptions - Freight'!AH40,'Assumptions - Freight'!AH40)," ")</f>
        <v>10</v>
      </c>
    </row>
    <row r="38" spans="1:34" s="20" customFormat="1" ht="14" x14ac:dyDescent="0.2">
      <c r="A38" s="87"/>
      <c r="B38" s="30" t="s">
        <v>608</v>
      </c>
      <c r="C38" s="8"/>
      <c r="D38" s="8" t="str">
        <f>'Assumptions - General'!$E$27 &amp;" millions"</f>
        <v>R$ millions</v>
      </c>
      <c r="E38" s="29"/>
      <c r="F38" s="29">
        <f>IF(F$16=1,'Assumptions - Freight'!F48-Calculations!F31," ")</f>
        <v>0</v>
      </c>
      <c r="G38" s="29">
        <f>IF(G$16=1,'Assumptions - Freight'!G48-Calculations!G31," ")</f>
        <v>0</v>
      </c>
      <c r="H38" s="29">
        <f>IF(H$16=1,'Assumptions - Freight'!H48-Calculations!H31," ")</f>
        <v>0</v>
      </c>
      <c r="I38" s="29">
        <f>IF(I$16=1,'Assumptions - Freight'!I48-Calculations!I31," ")</f>
        <v>0</v>
      </c>
      <c r="J38" s="29">
        <f>IF(J$16=1,'Assumptions - Freight'!J48-Calculations!J31," ")</f>
        <v>0</v>
      </c>
      <c r="K38" s="29">
        <f>IF(K$16=1,'Assumptions - Freight'!K48-Calculations!K31," ")</f>
        <v>0</v>
      </c>
      <c r="L38" s="29">
        <f>IF(L$16=1,'Assumptions - Freight'!L48-Calculations!L31," ")</f>
        <v>0</v>
      </c>
      <c r="M38" s="29">
        <f>IF(M$16=1,'Assumptions - Freight'!M48-Calculations!M31," ")</f>
        <v>0</v>
      </c>
      <c r="N38" s="29">
        <f>IF(N$16=1,'Assumptions - Freight'!N48-Calculations!N31," ")</f>
        <v>0</v>
      </c>
      <c r="O38" s="29">
        <f>IF(O$16=1,'Assumptions - Freight'!O48-Calculations!O31," ")</f>
        <v>0</v>
      </c>
      <c r="P38" s="29">
        <f>IF(P$16=1,'Assumptions - Freight'!P48-Calculations!P31," ")</f>
        <v>0</v>
      </c>
      <c r="Q38" s="29">
        <f>IF(Q$16=1,'Assumptions - Freight'!Q48-Calculations!Q31," ")</f>
        <v>0</v>
      </c>
      <c r="R38" s="29">
        <f>IF(R$16=1,'Assumptions - Freight'!R48-Calculations!R31," ")</f>
        <v>0</v>
      </c>
      <c r="S38" s="29">
        <f>IF(S$16=1,'Assumptions - Freight'!S48-Calculations!S31," ")</f>
        <v>0</v>
      </c>
      <c r="T38" s="29">
        <f>IF(T$16=1,'Assumptions - Freight'!T48-Calculations!T31," ")</f>
        <v>0</v>
      </c>
      <c r="U38" s="29">
        <f>IF(U$16=1,'Assumptions - Freight'!U48-Calculations!U31," ")</f>
        <v>0</v>
      </c>
      <c r="V38" s="29">
        <f>IF(V$16=1,'Assumptions - Freight'!V48-Calculations!V31," ")</f>
        <v>0</v>
      </c>
      <c r="W38" s="29">
        <f>IF(W$16=1,'Assumptions - Freight'!W48-Calculations!W31," ")</f>
        <v>0</v>
      </c>
      <c r="X38" s="29">
        <f>IF(X$16=1,'Assumptions - Freight'!X48-Calculations!X31," ")</f>
        <v>0</v>
      </c>
      <c r="Y38" s="29">
        <f>IF(Y$16=1,'Assumptions - Freight'!Y48-Calculations!Y31," ")</f>
        <v>0</v>
      </c>
      <c r="Z38" s="29">
        <f>IF(Z$16=1,'Assumptions - Freight'!Z48-Calculations!Z31," ")</f>
        <v>0</v>
      </c>
      <c r="AA38" s="29">
        <f>IF(AA$16=1,'Assumptions - Freight'!AA48-Calculations!AA31," ")</f>
        <v>0</v>
      </c>
      <c r="AB38" s="29">
        <f>IF(AB$16=1,'Assumptions - Freight'!AB48-Calculations!AB31," ")</f>
        <v>0</v>
      </c>
      <c r="AC38" s="29">
        <f>IF(AC$16=1,'Assumptions - Freight'!AC48-Calculations!AC31," ")</f>
        <v>0</v>
      </c>
      <c r="AD38" s="29">
        <f>IF(AD$16=1,'Assumptions - Freight'!AD48-Calculations!AD31," ")</f>
        <v>0</v>
      </c>
      <c r="AE38" s="29">
        <f>IF(AE$16=1,'Assumptions - Freight'!AE48-Calculations!AE31," ")</f>
        <v>0</v>
      </c>
      <c r="AF38" s="29">
        <f>IF(AF$16=1,'Assumptions - Freight'!AF48-Calculations!AF31," ")</f>
        <v>0</v>
      </c>
      <c r="AG38" s="29">
        <f>IF(AG$16=1,'Assumptions - Freight'!AG48-Calculations!AG31," ")</f>
        <v>0</v>
      </c>
      <c r="AH38" s="29">
        <f>IF(AH$16=1,'Assumptions - Freight'!AH48-Calculations!AH31," ")</f>
        <v>0</v>
      </c>
    </row>
    <row r="39" spans="1:34" s="20" customFormat="1" ht="14" x14ac:dyDescent="0.2">
      <c r="A39" s="87"/>
      <c r="B39" s="30" t="s">
        <v>635</v>
      </c>
      <c r="C39" s="8"/>
      <c r="D39" s="8" t="str">
        <f>'Assumptions - General'!$E$27 &amp;" millions"</f>
        <v>R$ millions</v>
      </c>
      <c r="E39" s="29"/>
      <c r="F39" s="29">
        <f>IF(F$16=1,(IF($A29=1,IF(F36-F38&gt;0,(MIN((F36-F38),(SUM($E37:F37)-SUM($E38:F38))/'Assumptions - Freight'!$E62)),0),'Assumptions - Freight'!F63))," ")</f>
        <v>0</v>
      </c>
      <c r="G39" s="29">
        <f>IF(G$16=1,(IF($A29=1,IF(G36-G38&gt;0,(MIN((G36-G38),(SUM($E37:G37)-SUM($E38:G38))/'Assumptions - Freight'!$E62)),0),'Assumptions - Freight'!G63))," ")</f>
        <v>1</v>
      </c>
      <c r="H39" s="29">
        <f>IF(H$16=1,(IF($A29=1,IF(H36-H38&gt;0,(MIN((H36-H38),(SUM($E37:H37)-SUM($E38:H38))/'Assumptions - Freight'!$E62)),0),'Assumptions - Freight'!H63))," ")</f>
        <v>1.5</v>
      </c>
      <c r="I39" s="29">
        <f>IF(I$16=1,(IF($A29=1,IF(I36-I38&gt;0,(MIN((I36-I38),(SUM($E37:I37)-SUM($E38:I38))/'Assumptions - Freight'!$E62)),0),'Assumptions - Freight'!I63))," ")</f>
        <v>2</v>
      </c>
      <c r="J39" s="29">
        <f>IF(J$16=1,(IF($A29=1,IF(J36-J38&gt;0,(MIN((J36-J38),(SUM($E37:J37)-SUM($E38:J38))/'Assumptions - Freight'!$E62)),0),'Assumptions - Freight'!J63))," ")</f>
        <v>2.5</v>
      </c>
      <c r="K39" s="29">
        <f>IF(K$16=1,(IF($A29=1,IF(K36-K38&gt;0,(MIN((K36-K38),(SUM($E37:K37)-SUM($E38:K38))/'Assumptions - Freight'!$E62)),0),'Assumptions - Freight'!K63))," ")</f>
        <v>3</v>
      </c>
      <c r="L39" s="29">
        <f>IF(L$16=1,(IF($A29=1,IF(L36-L38&gt;0,(MIN((L36-L38),(SUM($E37:L37)-SUM($E38:L38))/'Assumptions - Freight'!$E62)),0),'Assumptions - Freight'!L63))," ")</f>
        <v>3.5</v>
      </c>
      <c r="M39" s="29">
        <f>IF(M$16=1,(IF($A29=1,IF(M36-M38&gt;0,(MIN((M36-M38),(SUM($E37:M37)-SUM($E38:M38))/'Assumptions - Freight'!$E62)),0),'Assumptions - Freight'!M63))," ")</f>
        <v>4</v>
      </c>
      <c r="N39" s="29">
        <f>IF(N$16=1,(IF($A29=1,IF(N36-N38&gt;0,(MIN((N36-N38),(SUM($E37:N37)-SUM($E38:N38))/'Assumptions - Freight'!$E62)),0),'Assumptions - Freight'!N63))," ")</f>
        <v>4.5</v>
      </c>
      <c r="O39" s="29">
        <f>IF(O$16=1,(IF($A29=1,IF(O36-O38&gt;0,(MIN((O36-O38),(SUM($E37:O37)-SUM($E38:O38))/'Assumptions - Freight'!$E62)),0),'Assumptions - Freight'!O63))," ")</f>
        <v>5</v>
      </c>
      <c r="P39" s="29">
        <f>IF(P$16=1,(IF($A29=1,IF(P36-P38&gt;0,(MIN((P36-P38),(SUM($E37:P37)-SUM($E38:P38))/'Assumptions - Freight'!$E62)),0),'Assumptions - Freight'!P63))," ")</f>
        <v>5.5</v>
      </c>
      <c r="Q39" s="29">
        <f>IF(Q$16=1,(IF($A29=1,IF(Q36-Q38&gt;0,(MIN((Q36-Q38),(SUM($E37:Q37)-SUM($E38:Q38))/'Assumptions - Freight'!$E62)),0),'Assumptions - Freight'!Q63))," ")</f>
        <v>6</v>
      </c>
      <c r="R39" s="29">
        <f>IF(R$16=1,(IF($A29=1,IF(R36-R38&gt;0,(MIN((R36-R38),(SUM($E37:R37)-SUM($E38:R38))/'Assumptions - Freight'!$E62)),0),'Assumptions - Freight'!R63))," ")</f>
        <v>6.5</v>
      </c>
      <c r="S39" s="29">
        <f>IF(S$16=1,(IF($A29=1,IF(S36-S38&gt;0,(MIN((S36-S38),(SUM($E37:S37)-SUM($E38:S38))/'Assumptions - Freight'!$E62)),0),'Assumptions - Freight'!S63))," ")</f>
        <v>7</v>
      </c>
      <c r="T39" s="29">
        <f>IF(T$16=1,(IF($A29=1,IF(T36-T38&gt;0,(MIN((T36-T38),(SUM($E37:T37)-SUM($E38:T38))/'Assumptions - Freight'!$E62)),0),'Assumptions - Freight'!T63))," ")</f>
        <v>7.5</v>
      </c>
      <c r="U39" s="29">
        <f>IF(U$16=1,(IF($A29=1,IF(U36-U38&gt;0,(MIN((U36-U38),(SUM($E37:U37)-SUM($E38:U38))/'Assumptions - Freight'!$E62)),0),'Assumptions - Freight'!U63))," ")</f>
        <v>8</v>
      </c>
      <c r="V39" s="29">
        <f>IF(V$16=1,(IF($A29=1,IF(V36-V38&gt;0,(MIN((V36-V38),(SUM($E37:V37)-SUM($E38:V38))/'Assumptions - Freight'!$E62)),0),'Assumptions - Freight'!V63))," ")</f>
        <v>8.5</v>
      </c>
      <c r="W39" s="29">
        <f>IF(W$16=1,(IF($A29=1,IF(W36-W38&gt;0,(MIN((W36-W38),(SUM($E37:W37)-SUM($E38:W38))/'Assumptions - Freight'!$E62)),0),'Assumptions - Freight'!W63))," ")</f>
        <v>9</v>
      </c>
      <c r="X39" s="29">
        <f>IF(X$16=1,(IF($A29=1,IF(X36-X38&gt;0,(MIN((X36-X38),(SUM($E37:X37)-SUM($E38:X38))/'Assumptions - Freight'!$E62)),0),'Assumptions - Freight'!X63))," ")</f>
        <v>9.5</v>
      </c>
      <c r="Y39" s="29">
        <f>IF(Y$16=1,(IF($A29=1,IF(Y36-Y38&gt;0,(MIN((Y36-Y38),(SUM($E37:Y37)-SUM($E38:Y38))/'Assumptions - Freight'!$E62)),0),'Assumptions - Freight'!Y63))," ")</f>
        <v>10</v>
      </c>
      <c r="Z39" s="29">
        <f>IF(Z$16=1,(IF($A29=1,IF(Z36-Z38&gt;0,(MIN((Z36-Z38),(SUM($E37:Z37)-SUM($E38:Z38))/'Assumptions - Freight'!$E62)),0),'Assumptions - Freight'!Z63))," ")</f>
        <v>10.5</v>
      </c>
      <c r="AA39" s="29">
        <f>IF(AA$16=1,(IF($A29=1,IF(AA36-AA38&gt;0,(MIN((AA36-AA38),(SUM($E37:AA37)-SUM($E38:AA38))/'Assumptions - Freight'!$E62)),0),'Assumptions - Freight'!AA63))," ")</f>
        <v>11</v>
      </c>
      <c r="AB39" s="29">
        <f>IF(AB$16=1,(IF($A29=1,IF(AB36-AB38&gt;0,(MIN((AB36-AB38),(SUM($E37:AB37)-SUM($E38:AB38))/'Assumptions - Freight'!$E62)),0),'Assumptions - Freight'!AB63))," ")</f>
        <v>11.5</v>
      </c>
      <c r="AC39" s="29">
        <f>IF(AC$16=1,(IF($A29=1,IF(AC36-AC38&gt;0,(MIN((AC36-AC38),(SUM($E37:AC37)-SUM($E38:AC38))/'Assumptions - Freight'!$E62)),0),'Assumptions - Freight'!AC63))," ")</f>
        <v>12</v>
      </c>
      <c r="AD39" s="29">
        <f>IF(AD$16=1,(IF($A29=1,IF(AD36-AD38&gt;0,(MIN((AD36-AD38),(SUM($E37:AD37)-SUM($E38:AD38))/'Assumptions - Freight'!$E62)),0),'Assumptions - Freight'!AD63))," ")</f>
        <v>12.5</v>
      </c>
      <c r="AE39" s="29">
        <f>IF(AE$16=1,(IF($A29=1,IF(AE36-AE38&gt;0,(MIN((AE36-AE38),(SUM($E37:AE37)-SUM($E38:AE38))/'Assumptions - Freight'!$E62)),0),'Assumptions - Freight'!AE63))," ")</f>
        <v>13</v>
      </c>
      <c r="AF39" s="29">
        <f>IF(AF$16=1,(IF($A29=1,IF(AF36-AF38&gt;0,(MIN((AF36-AF38),(SUM($E37:AF37)-SUM($E38:AF38))/'Assumptions - Freight'!$E62)),0),'Assumptions - Freight'!AF63))," ")</f>
        <v>13.5</v>
      </c>
      <c r="AG39" s="29">
        <f>IF(AG$16=1,(IF($A29=1,IF(AG36-AG38&gt;0,(MIN((AG36-AG38),(SUM($E37:AG37)-SUM($E38:AG38))/'Assumptions - Freight'!$E62)),0),'Assumptions - Freight'!AG63))," ")</f>
        <v>14</v>
      </c>
      <c r="AH39" s="29">
        <f>IF(AH$16=1,(IF($A29=1,IF(AH36-AH38&gt;0,(MIN((AH36-AH38),(SUM($E37:AH37)-SUM($E38:AH38))/'Assumptions - Freight'!$E62)),0),'Assumptions - Freight'!AH63))," ")</f>
        <v>14.5</v>
      </c>
    </row>
    <row r="40" spans="1:34" s="20" customFormat="1" ht="14" x14ac:dyDescent="0.2">
      <c r="A40" s="87"/>
      <c r="B40" s="30" t="s">
        <v>636</v>
      </c>
      <c r="C40" s="8"/>
      <c r="D40" s="8" t="str">
        <f>'Assumptions - General'!$E$27 &amp;" millions"</f>
        <v>R$ millions</v>
      </c>
      <c r="E40" s="29"/>
      <c r="F40" s="29">
        <f>IF(F$16=1,SUM($E39:F39)," ")</f>
        <v>0</v>
      </c>
      <c r="G40" s="29">
        <f>IF(G$16=1,SUM($E39:G39)," ")</f>
        <v>1</v>
      </c>
      <c r="H40" s="29">
        <f>IF(H$16=1,SUM($E39:H39)," ")</f>
        <v>2.5</v>
      </c>
      <c r="I40" s="29">
        <f>IF(I$16=1,SUM($E39:I39)," ")</f>
        <v>4.5</v>
      </c>
      <c r="J40" s="29">
        <f>IF(J$16=1,SUM($E39:J39)," ")</f>
        <v>7</v>
      </c>
      <c r="K40" s="29">
        <f>IF(K$16=1,SUM($E39:K39)," ")</f>
        <v>10</v>
      </c>
      <c r="L40" s="29">
        <f>IF(L$16=1,SUM($E39:L39)," ")</f>
        <v>13.5</v>
      </c>
      <c r="M40" s="29">
        <f>IF(M$16=1,SUM($E39:M39)," ")</f>
        <v>17.5</v>
      </c>
      <c r="N40" s="29">
        <f>IF(N$16=1,SUM($E39:N39)," ")</f>
        <v>22</v>
      </c>
      <c r="O40" s="29">
        <f>IF(O$16=1,SUM($E39:O39)," ")</f>
        <v>27</v>
      </c>
      <c r="P40" s="29">
        <f>IF(P$16=1,SUM($E39:P39)," ")</f>
        <v>32.5</v>
      </c>
      <c r="Q40" s="29">
        <f>IF(Q$16=1,SUM($E39:Q39)," ")</f>
        <v>38.5</v>
      </c>
      <c r="R40" s="29">
        <f>IF(R$16=1,SUM($E39:R39)," ")</f>
        <v>45</v>
      </c>
      <c r="S40" s="29">
        <f>IF(S$16=1,SUM($E39:S39)," ")</f>
        <v>52</v>
      </c>
      <c r="T40" s="29">
        <f>IF(T$16=1,SUM($E39:T39)," ")</f>
        <v>59.5</v>
      </c>
      <c r="U40" s="29">
        <f>IF(U$16=1,SUM($E39:U39)," ")</f>
        <v>67.5</v>
      </c>
      <c r="V40" s="29">
        <f>IF(V$16=1,SUM($E39:V39)," ")</f>
        <v>76</v>
      </c>
      <c r="W40" s="29">
        <f>IF(W$16=1,SUM($E39:W39)," ")</f>
        <v>85</v>
      </c>
      <c r="X40" s="29">
        <f>IF(X$16=1,SUM($E39:X39)," ")</f>
        <v>94.5</v>
      </c>
      <c r="Y40" s="29">
        <f>IF(Y$16=1,SUM($E39:Y39)," ")</f>
        <v>104.5</v>
      </c>
      <c r="Z40" s="29">
        <f>IF(Z$16=1,SUM($E39:Z39)," ")</f>
        <v>115</v>
      </c>
      <c r="AA40" s="29">
        <f>IF(AA$16=1,SUM($E39:AA39)," ")</f>
        <v>126</v>
      </c>
      <c r="AB40" s="29">
        <f>IF(AB$16=1,SUM($E39:AB39)," ")</f>
        <v>137.5</v>
      </c>
      <c r="AC40" s="29">
        <f>IF(AC$16=1,SUM($E39:AC39)," ")</f>
        <v>149.5</v>
      </c>
      <c r="AD40" s="29">
        <f>IF(AD$16=1,SUM($E39:AD39)," ")</f>
        <v>162</v>
      </c>
      <c r="AE40" s="29">
        <f>IF(AE$16=1,SUM($E39:AE39)," ")</f>
        <v>175</v>
      </c>
      <c r="AF40" s="29">
        <f>IF(AF$16=1,SUM($E39:AF39)," ")</f>
        <v>188.5</v>
      </c>
      <c r="AG40" s="29">
        <f>IF(AG$16=1,SUM($E39:AG39)," ")</f>
        <v>202.5</v>
      </c>
      <c r="AH40" s="29">
        <f>IF(AH$16=1,SUM($E39:AH39)," ")</f>
        <v>217</v>
      </c>
    </row>
    <row r="41" spans="1:34" s="20" customFormat="1" ht="14" x14ac:dyDescent="0.2">
      <c r="A41" s="87"/>
      <c r="B41" s="14" t="s">
        <v>640</v>
      </c>
      <c r="C41" s="8"/>
      <c r="D41" s="8" t="str">
        <f>'Assumptions - General'!$E$27 &amp;" millions"</f>
        <v>R$ millions</v>
      </c>
      <c r="E41" s="29"/>
      <c r="F41" s="29">
        <f t="shared" ref="F41:AH41" si="10">IF(F16=1,F36+F37-F38-F39," ")</f>
        <v>10</v>
      </c>
      <c r="G41" s="29">
        <f t="shared" si="10"/>
        <v>19</v>
      </c>
      <c r="H41" s="29">
        <f t="shared" si="10"/>
        <v>27.5</v>
      </c>
      <c r="I41" s="29">
        <f t="shared" si="10"/>
        <v>35.5</v>
      </c>
      <c r="J41" s="29">
        <f t="shared" si="10"/>
        <v>43</v>
      </c>
      <c r="K41" s="29">
        <f t="shared" si="10"/>
        <v>50</v>
      </c>
      <c r="L41" s="29">
        <f t="shared" si="10"/>
        <v>56.5</v>
      </c>
      <c r="M41" s="29">
        <f t="shared" si="10"/>
        <v>62.5</v>
      </c>
      <c r="N41" s="29">
        <f t="shared" si="10"/>
        <v>68</v>
      </c>
      <c r="O41" s="29">
        <f t="shared" si="10"/>
        <v>73</v>
      </c>
      <c r="P41" s="29">
        <f t="shared" si="10"/>
        <v>77.5</v>
      </c>
      <c r="Q41" s="29">
        <f t="shared" si="10"/>
        <v>81.5</v>
      </c>
      <c r="R41" s="29">
        <f t="shared" si="10"/>
        <v>85</v>
      </c>
      <c r="S41" s="29">
        <f t="shared" si="10"/>
        <v>88</v>
      </c>
      <c r="T41" s="29">
        <f t="shared" si="10"/>
        <v>90.5</v>
      </c>
      <c r="U41" s="29">
        <f t="shared" si="10"/>
        <v>92.5</v>
      </c>
      <c r="V41" s="29">
        <f t="shared" si="10"/>
        <v>94</v>
      </c>
      <c r="W41" s="29">
        <f t="shared" si="10"/>
        <v>95</v>
      </c>
      <c r="X41" s="29">
        <f t="shared" si="10"/>
        <v>95.5</v>
      </c>
      <c r="Y41" s="29">
        <f t="shared" si="10"/>
        <v>95.5</v>
      </c>
      <c r="Z41" s="29">
        <f t="shared" si="10"/>
        <v>95</v>
      </c>
      <c r="AA41" s="29">
        <f t="shared" si="10"/>
        <v>94</v>
      </c>
      <c r="AB41" s="29">
        <f t="shared" si="10"/>
        <v>92.5</v>
      </c>
      <c r="AC41" s="29">
        <f t="shared" si="10"/>
        <v>90.5</v>
      </c>
      <c r="AD41" s="29">
        <f t="shared" si="10"/>
        <v>88</v>
      </c>
      <c r="AE41" s="29">
        <f t="shared" si="10"/>
        <v>85</v>
      </c>
      <c r="AF41" s="29">
        <f t="shared" si="10"/>
        <v>81.5</v>
      </c>
      <c r="AG41" s="29">
        <f t="shared" si="10"/>
        <v>77.5</v>
      </c>
      <c r="AH41" s="29">
        <f t="shared" si="10"/>
        <v>73</v>
      </c>
    </row>
    <row r="42" spans="1:34" s="20" customFormat="1" ht="14" x14ac:dyDescent="0.2">
      <c r="A42" s="87"/>
      <c r="B42" s="14"/>
      <c r="C42" s="8"/>
      <c r="D42" s="8"/>
      <c r="E42" s="29"/>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c r="AE42" s="29"/>
      <c r="AF42" s="29"/>
      <c r="AG42" s="29"/>
      <c r="AH42" s="29"/>
    </row>
    <row r="43" spans="1:34" s="20" customFormat="1" ht="14" x14ac:dyDescent="0.2">
      <c r="A43" s="87"/>
      <c r="B43" s="14" t="s">
        <v>638</v>
      </c>
      <c r="C43" s="8"/>
      <c r="D43" s="8" t="str">
        <f>'Assumptions - General'!$E$27 &amp;" millions"</f>
        <v>R$ millions</v>
      </c>
      <c r="E43" s="29">
        <f t="shared" ref="E43:AH43" si="11">IF(E16=1,E34+E41," ")</f>
        <v>100</v>
      </c>
      <c r="F43" s="29">
        <f t="shared" si="11"/>
        <v>110</v>
      </c>
      <c r="G43" s="29">
        <f t="shared" si="11"/>
        <v>119</v>
      </c>
      <c r="H43" s="29">
        <f t="shared" si="11"/>
        <v>127.5</v>
      </c>
      <c r="I43" s="29">
        <f t="shared" si="11"/>
        <v>135.5</v>
      </c>
      <c r="J43" s="29">
        <f t="shared" si="11"/>
        <v>143</v>
      </c>
      <c r="K43" s="29">
        <f t="shared" si="11"/>
        <v>150</v>
      </c>
      <c r="L43" s="29">
        <f t="shared" si="11"/>
        <v>156.5</v>
      </c>
      <c r="M43" s="29">
        <f t="shared" si="11"/>
        <v>162.5</v>
      </c>
      <c r="N43" s="29">
        <f t="shared" si="11"/>
        <v>168</v>
      </c>
      <c r="O43" s="29">
        <f t="shared" si="11"/>
        <v>173</v>
      </c>
      <c r="P43" s="29">
        <f t="shared" si="11"/>
        <v>177.5</v>
      </c>
      <c r="Q43" s="29">
        <f t="shared" si="11"/>
        <v>181.5</v>
      </c>
      <c r="R43" s="29">
        <f t="shared" si="11"/>
        <v>185</v>
      </c>
      <c r="S43" s="29">
        <f t="shared" si="11"/>
        <v>188</v>
      </c>
      <c r="T43" s="29">
        <f t="shared" si="11"/>
        <v>190.5</v>
      </c>
      <c r="U43" s="29">
        <f t="shared" si="11"/>
        <v>192.5</v>
      </c>
      <c r="V43" s="29">
        <f t="shared" si="11"/>
        <v>194</v>
      </c>
      <c r="W43" s="29">
        <f t="shared" si="11"/>
        <v>195</v>
      </c>
      <c r="X43" s="29">
        <f t="shared" si="11"/>
        <v>195.5</v>
      </c>
      <c r="Y43" s="29">
        <f t="shared" si="11"/>
        <v>195.5</v>
      </c>
      <c r="Z43" s="29">
        <f t="shared" si="11"/>
        <v>195</v>
      </c>
      <c r="AA43" s="29">
        <f t="shared" si="11"/>
        <v>194</v>
      </c>
      <c r="AB43" s="29">
        <f t="shared" si="11"/>
        <v>192.5</v>
      </c>
      <c r="AC43" s="29">
        <f t="shared" si="11"/>
        <v>190.5</v>
      </c>
      <c r="AD43" s="29">
        <f t="shared" si="11"/>
        <v>188</v>
      </c>
      <c r="AE43" s="29">
        <f t="shared" si="11"/>
        <v>185</v>
      </c>
      <c r="AF43" s="29">
        <f t="shared" si="11"/>
        <v>181.5</v>
      </c>
      <c r="AG43" s="29">
        <f t="shared" si="11"/>
        <v>177.5</v>
      </c>
      <c r="AH43" s="29">
        <f t="shared" si="11"/>
        <v>173</v>
      </c>
    </row>
    <row r="44" spans="1:34" s="310" customFormat="1" ht="14" x14ac:dyDescent="0.2">
      <c r="B44" s="444"/>
      <c r="E44" s="445"/>
      <c r="F44" s="445"/>
      <c r="G44" s="445"/>
      <c r="H44" s="445"/>
      <c r="I44" s="445"/>
      <c r="J44" s="445"/>
      <c r="K44" s="445"/>
      <c r="L44" s="445"/>
      <c r="M44" s="445"/>
      <c r="N44" s="445"/>
      <c r="O44" s="445"/>
      <c r="P44" s="445"/>
      <c r="Q44" s="445"/>
      <c r="R44" s="445"/>
      <c r="S44" s="445"/>
      <c r="T44" s="445"/>
      <c r="U44" s="445"/>
      <c r="V44" s="445"/>
      <c r="W44" s="445"/>
      <c r="X44" s="445"/>
      <c r="Y44" s="445"/>
      <c r="Z44" s="445"/>
      <c r="AA44" s="445"/>
      <c r="AB44" s="445"/>
      <c r="AC44" s="445"/>
      <c r="AD44" s="445"/>
      <c r="AE44" s="445"/>
      <c r="AF44" s="445"/>
      <c r="AG44" s="445"/>
      <c r="AH44" s="445"/>
    </row>
    <row r="45" spans="1:34" s="20" customFormat="1" ht="14" x14ac:dyDescent="0.2">
      <c r="A45" s="87">
        <f>'Assumptions - Freight'!E65</f>
        <v>1</v>
      </c>
      <c r="B45" s="21" t="str">
        <f>'Assumptions - Freight'!E27</f>
        <v>Buildings and structures</v>
      </c>
      <c r="C45" s="8"/>
      <c r="D45" s="8"/>
      <c r="E45" s="29"/>
      <c r="F45" s="31"/>
      <c r="G45" s="31"/>
      <c r="H45" s="31"/>
      <c r="I45" s="31"/>
      <c r="J45" s="31"/>
      <c r="K45" s="31"/>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s="20" customFormat="1" ht="14" x14ac:dyDescent="0.2">
      <c r="A46" s="87"/>
      <c r="B46" s="14" t="str">
        <f>"Starting value "</f>
        <v xml:space="preserve">Starting value </v>
      </c>
      <c r="C46" s="8"/>
      <c r="D46" s="8" t="str">
        <f>'Assumptions - General'!$E$27 &amp;" millions"</f>
        <v>R$ millions</v>
      </c>
      <c r="E46" s="29"/>
      <c r="F46" s="29">
        <f t="shared" ref="F46:AH46" si="12">IF(F$16=1,E50," ")</f>
        <v>150</v>
      </c>
      <c r="G46" s="29">
        <f t="shared" si="12"/>
        <v>124.28571428571428</v>
      </c>
      <c r="H46" s="29">
        <f t="shared" si="12"/>
        <v>99.285714285714278</v>
      </c>
      <c r="I46" s="29">
        <f t="shared" si="12"/>
        <v>75</v>
      </c>
      <c r="J46" s="29">
        <f t="shared" si="12"/>
        <v>51.428571428571431</v>
      </c>
      <c r="K46" s="29">
        <f t="shared" si="12"/>
        <v>28.571428571428573</v>
      </c>
      <c r="L46" s="29">
        <f t="shared" si="12"/>
        <v>6.4285714285714306</v>
      </c>
      <c r="M46" s="29">
        <f t="shared" si="12"/>
        <v>0</v>
      </c>
      <c r="N46" s="29">
        <f t="shared" si="12"/>
        <v>0</v>
      </c>
      <c r="O46" s="29">
        <f t="shared" si="12"/>
        <v>0</v>
      </c>
      <c r="P46" s="29">
        <f t="shared" si="12"/>
        <v>0</v>
      </c>
      <c r="Q46" s="29">
        <f t="shared" si="12"/>
        <v>0</v>
      </c>
      <c r="R46" s="29">
        <f t="shared" si="12"/>
        <v>0</v>
      </c>
      <c r="S46" s="29">
        <f t="shared" si="12"/>
        <v>0</v>
      </c>
      <c r="T46" s="29">
        <f t="shared" si="12"/>
        <v>0</v>
      </c>
      <c r="U46" s="29">
        <f t="shared" si="12"/>
        <v>0</v>
      </c>
      <c r="V46" s="29">
        <f t="shared" si="12"/>
        <v>0</v>
      </c>
      <c r="W46" s="29">
        <f t="shared" si="12"/>
        <v>0</v>
      </c>
      <c r="X46" s="29">
        <f t="shared" si="12"/>
        <v>0</v>
      </c>
      <c r="Y46" s="29">
        <f t="shared" si="12"/>
        <v>0</v>
      </c>
      <c r="Z46" s="29">
        <f t="shared" si="12"/>
        <v>0</v>
      </c>
      <c r="AA46" s="29">
        <f t="shared" si="12"/>
        <v>0</v>
      </c>
      <c r="AB46" s="29">
        <f t="shared" si="12"/>
        <v>0</v>
      </c>
      <c r="AC46" s="29">
        <f t="shared" si="12"/>
        <v>0</v>
      </c>
      <c r="AD46" s="29">
        <f t="shared" si="12"/>
        <v>0</v>
      </c>
      <c r="AE46" s="29">
        <f t="shared" si="12"/>
        <v>0</v>
      </c>
      <c r="AF46" s="29">
        <f t="shared" si="12"/>
        <v>0</v>
      </c>
      <c r="AG46" s="29">
        <f t="shared" si="12"/>
        <v>0</v>
      </c>
      <c r="AH46" s="29">
        <f t="shared" si="12"/>
        <v>0</v>
      </c>
    </row>
    <row r="47" spans="1:34" s="20" customFormat="1" ht="14" x14ac:dyDescent="0.2">
      <c r="A47" s="87"/>
      <c r="B47" s="30" t="s">
        <v>608</v>
      </c>
      <c r="C47" s="8"/>
      <c r="D47" s="8" t="str">
        <f>'Assumptions - General'!$E$27 &amp;" millions"</f>
        <v>R$ millions</v>
      </c>
      <c r="E47" s="29"/>
      <c r="F47" s="29">
        <f>IF(F$16=1,IF(F46&gt;0,MIN(F46,'Assumptions - Freight'!F49),0)," ")</f>
        <v>5</v>
      </c>
      <c r="G47" s="29">
        <f>IF(G$16=1,IF(G46&gt;0,MIN(G46,'Assumptions - Freight'!G49),0)," ")</f>
        <v>5</v>
      </c>
      <c r="H47" s="29">
        <f>IF(H$16=1,IF(H46&gt;0,MIN(H46,'Assumptions - Freight'!H49),0)," ")</f>
        <v>5</v>
      </c>
      <c r="I47" s="29">
        <f>IF(I$16=1,IF(I46&gt;0,MIN(I46,'Assumptions - Freight'!I49),0)," ")</f>
        <v>5</v>
      </c>
      <c r="J47" s="29">
        <f>IF(J$16=1,IF(J46&gt;0,MIN(J46,'Assumptions - Freight'!J49),0)," ")</f>
        <v>5</v>
      </c>
      <c r="K47" s="29">
        <f>IF(K$16=1,IF(K46&gt;0,MIN(K46,'Assumptions - Freight'!K49),0)," ")</f>
        <v>5</v>
      </c>
      <c r="L47" s="29">
        <f>IF(L$16=1,IF(L46&gt;0,MIN(L46,'Assumptions - Freight'!L49),0)," ")</f>
        <v>5</v>
      </c>
      <c r="M47" s="29">
        <f>IF(M$16=1,IF(M46&gt;0,MIN(M46,'Assumptions - Freight'!M49),0)," ")</f>
        <v>0</v>
      </c>
      <c r="N47" s="29">
        <f>IF(N$16=1,IF(N46&gt;0,MIN(N46,'Assumptions - Freight'!N49),0)," ")</f>
        <v>0</v>
      </c>
      <c r="O47" s="29">
        <f>IF(O$16=1,IF(O46&gt;0,MIN(O46,'Assumptions - Freight'!O49),0)," ")</f>
        <v>0</v>
      </c>
      <c r="P47" s="29">
        <f>IF(P$16=1,IF(P46&gt;0,MIN(P46,'Assumptions - Freight'!P49),0)," ")</f>
        <v>0</v>
      </c>
      <c r="Q47" s="29">
        <f>IF(Q$16=1,IF(Q46&gt;0,MIN(Q46,'Assumptions - Freight'!Q49),0)," ")</f>
        <v>0</v>
      </c>
      <c r="R47" s="29">
        <f>IF(R$16=1,IF(R46&gt;0,MIN(R46,'Assumptions - Freight'!R49),0)," ")</f>
        <v>0</v>
      </c>
      <c r="S47" s="29">
        <f>IF(S$16=1,IF(S46&gt;0,MIN(S46,'Assumptions - Freight'!S49),0)," ")</f>
        <v>0</v>
      </c>
      <c r="T47" s="29">
        <f>IF(T$16=1,IF(T46&gt;0,MIN(T46,'Assumptions - Freight'!T49),0)," ")</f>
        <v>0</v>
      </c>
      <c r="U47" s="29">
        <f>IF(U$16=1,IF(U46&gt;0,MIN(U46,'Assumptions - Freight'!U49),0)," ")</f>
        <v>0</v>
      </c>
      <c r="V47" s="29">
        <f>IF(V$16=1,IF(V46&gt;0,MIN(V46,'Assumptions - Freight'!V49),0)," ")</f>
        <v>0</v>
      </c>
      <c r="W47" s="29">
        <f>IF(W$16=1,IF(W46&gt;0,MIN(W46,'Assumptions - Freight'!W49),0)," ")</f>
        <v>0</v>
      </c>
      <c r="X47" s="29">
        <f>IF(X$16=1,IF(X46&gt;0,MIN(X46,'Assumptions - Freight'!X49),0)," ")</f>
        <v>0</v>
      </c>
      <c r="Y47" s="29">
        <f>IF(Y$16=1,IF(Y46&gt;0,MIN(Y46,'Assumptions - Freight'!Y49),0)," ")</f>
        <v>0</v>
      </c>
      <c r="Z47" s="29">
        <f>IF(Z$16=1,IF(Z46&gt;0,MIN(Z46,'Assumptions - Freight'!Z49),0)," ")</f>
        <v>0</v>
      </c>
      <c r="AA47" s="29">
        <f>IF(AA$16=1,IF(AA46&gt;0,MIN(AA46,'Assumptions - Freight'!AA49),0)," ")</f>
        <v>0</v>
      </c>
      <c r="AB47" s="29">
        <f>IF(AB$16=1,IF(AB46&gt;0,MIN(AB46,'Assumptions - Freight'!AB49),0)," ")</f>
        <v>0</v>
      </c>
      <c r="AC47" s="29">
        <f>IF(AC$16=1,IF(AC46&gt;0,MIN(AC46,'Assumptions - Freight'!AC49),0)," ")</f>
        <v>0</v>
      </c>
      <c r="AD47" s="29">
        <f>IF(AD$16=1,IF(AD46&gt;0,MIN(AD46,'Assumptions - Freight'!AD49),0)," ")</f>
        <v>0</v>
      </c>
      <c r="AE47" s="29">
        <f>IF(AE$16=1,IF(AE46&gt;0,MIN(AE46,'Assumptions - Freight'!AE49),0)," ")</f>
        <v>0</v>
      </c>
      <c r="AF47" s="29">
        <f>IF(AF$16=1,IF(AF46&gt;0,MIN(AF46,'Assumptions - Freight'!AF49),0)," ")</f>
        <v>0</v>
      </c>
      <c r="AG47" s="29">
        <f>IF(AG$16=1,IF(AG46&gt;0,MIN(AG46,'Assumptions - Freight'!AG49),0)," ")</f>
        <v>0</v>
      </c>
      <c r="AH47" s="29">
        <f>IF(AH$16=1,IF(AH46&gt;0,MIN(AH46,'Assumptions - Freight'!AH49),0)," ")</f>
        <v>0</v>
      </c>
    </row>
    <row r="48" spans="1:34" s="20" customFormat="1" ht="14" x14ac:dyDescent="0.2">
      <c r="A48" s="310"/>
      <c r="B48" s="230" t="str">
        <f>IF(A45=1,"Less depreciation of existing assets","Less depreciation of assets")</f>
        <v>Less depreciation of existing assets</v>
      </c>
      <c r="D48" s="20" t="str">
        <f>'Assumptions - General'!$E$27 &amp;" millions"</f>
        <v>R$ millions</v>
      </c>
      <c r="E48" s="229"/>
      <c r="F48" s="229">
        <f>IF(F$16=1,(IF($A45=1,IF(F46-F47&gt;0,(MIN((F46-F47),($E50-SUM($E47:F47))/'Assumptions - Freight'!$E67)),0),'Assumptions - Freight'!F70))," ")</f>
        <v>20.714285714285715</v>
      </c>
      <c r="G48" s="229">
        <f>IF(G$16=1,(IF($A45=1,IF(G46-G47&gt;0,(MIN((G46-G47),($E50-SUM($E47:G47))/'Assumptions - Freight'!$E67)),0),'Assumptions - Freight'!G70))," ")</f>
        <v>20</v>
      </c>
      <c r="H48" s="229">
        <f>IF(H$16=1,(IF($A45=1,IF(H46-H47&gt;0,(MIN((H46-H47),($E50-SUM($E47:H47))/'Assumptions - Freight'!$E67)),0),'Assumptions - Freight'!H70))," ")</f>
        <v>19.285714285714285</v>
      </c>
      <c r="I48" s="229">
        <f>IF(I$16=1,(IF($A45=1,IF(I46-I47&gt;0,(MIN((I46-I47),($E50-SUM($E47:I47))/'Assumptions - Freight'!$E67)),0),'Assumptions - Freight'!I70))," ")</f>
        <v>18.571428571428573</v>
      </c>
      <c r="J48" s="229">
        <f>IF(J$16=1,(IF($A45=1,IF(J46-J47&gt;0,(MIN((J46-J47),($E50-SUM($E47:J47))/'Assumptions - Freight'!$E67)),0),'Assumptions - Freight'!J70))," ")</f>
        <v>17.857142857142858</v>
      </c>
      <c r="K48" s="229">
        <f>IF(K$16=1,(IF($A45=1,IF(K46-K47&gt;0,(MIN((K46-K47),($E50-SUM($E47:K47))/'Assumptions - Freight'!$E67)),0),'Assumptions - Freight'!K70))," ")</f>
        <v>17.142857142857142</v>
      </c>
      <c r="L48" s="229">
        <f>IF(L$16=1,(IF($A45=1,IF(L46-L47&gt;0,(MIN((L46-L47),($E50-SUM($E47:L47))/'Assumptions - Freight'!$E67)),0),'Assumptions - Freight'!L70))," ")</f>
        <v>1.4285714285714306</v>
      </c>
      <c r="M48" s="229">
        <f>IF(M$16=1,(IF($A45=1,IF(M46-M47&gt;0,(MIN((M46-M47),($E50-SUM($E47:M47))/'Assumptions - Freight'!$E67)),0),'Assumptions - Freight'!M70))," ")</f>
        <v>0</v>
      </c>
      <c r="N48" s="229">
        <f>IF(N$16=1,(IF($A45=1,IF(N46-N47&gt;0,(MIN((N46-N47),($E50-SUM($E47:N47))/'Assumptions - Freight'!$E67)),0),'Assumptions - Freight'!N70))," ")</f>
        <v>0</v>
      </c>
      <c r="O48" s="229">
        <f>IF(O$16=1,(IF($A45=1,IF(O46-O47&gt;0,(MIN((O46-O47),($E50-SUM($E47:O47))/'Assumptions - Freight'!$E67)),0),'Assumptions - Freight'!O70))," ")</f>
        <v>0</v>
      </c>
      <c r="P48" s="229">
        <f>IF(P$16=1,(IF($A45=1,IF(P46-P47&gt;0,(MIN((P46-P47),($E50-SUM($E47:P47))/'Assumptions - Freight'!$E67)),0),'Assumptions - Freight'!P70))," ")</f>
        <v>0</v>
      </c>
      <c r="Q48" s="229">
        <f>IF(Q$16=1,(IF($A45=1,IF(Q46-Q47&gt;0,(MIN((Q46-Q47),($E50-SUM($E47:Q47))/'Assumptions - Freight'!$E67)),0),'Assumptions - Freight'!Q70))," ")</f>
        <v>0</v>
      </c>
      <c r="R48" s="229">
        <f>IF(R$16=1,(IF($A45=1,IF(R46-R47&gt;0,(MIN((R46-R47),($E50-SUM($E47:R47))/'Assumptions - Freight'!$E67)),0),'Assumptions - Freight'!R70))," ")</f>
        <v>0</v>
      </c>
      <c r="S48" s="229">
        <f>IF(S$16=1,(IF($A45=1,IF(S46-S47&gt;0,(MIN((S46-S47),($E50-SUM($E47:S47))/'Assumptions - Freight'!$E67)),0),'Assumptions - Freight'!S70))," ")</f>
        <v>0</v>
      </c>
      <c r="T48" s="229">
        <f>IF(T$16=1,(IF($A45=1,IF(T46-T47&gt;0,(MIN((T46-T47),($E50-SUM($E47:T47))/'Assumptions - Freight'!$E67)),0),'Assumptions - Freight'!T70))," ")</f>
        <v>0</v>
      </c>
      <c r="U48" s="229">
        <f>IF(U$16=1,(IF($A45=1,IF(U46-U47&gt;0,(MIN((U46-U47),($E50-SUM($E47:U47))/'Assumptions - Freight'!$E67)),0),'Assumptions - Freight'!U70))," ")</f>
        <v>0</v>
      </c>
      <c r="V48" s="229">
        <f>IF(V$16=1,(IF($A45=1,IF(V46-V47&gt;0,(MIN((V46-V47),($E50-SUM($E47:V47))/'Assumptions - Freight'!$E67)),0),'Assumptions - Freight'!V70))," ")</f>
        <v>0</v>
      </c>
      <c r="W48" s="229">
        <f>IF(W$16=1,(IF($A45=1,IF(W46-W47&gt;0,(MIN((W46-W47),($E50-SUM($E47:W47))/'Assumptions - Freight'!$E67)),0),'Assumptions - Freight'!W70))," ")</f>
        <v>0</v>
      </c>
      <c r="X48" s="229">
        <f>IF(X$16=1,(IF($A45=1,IF(X46-X47&gt;0,(MIN((X46-X47),($E50-SUM($E47:X47))/'Assumptions - Freight'!$E67)),0),'Assumptions - Freight'!X70))," ")</f>
        <v>0</v>
      </c>
      <c r="Y48" s="229">
        <f>IF(Y$16=1,(IF($A45=1,IF(Y46-Y47&gt;0,(MIN((Y46-Y47),($E50-SUM($E47:Y47))/'Assumptions - Freight'!$E67)),0),'Assumptions - Freight'!Y70))," ")</f>
        <v>0</v>
      </c>
      <c r="Z48" s="229">
        <f>IF(Z$16=1,(IF($A45=1,IF(Z46-Z47&gt;0,(MIN((Z46-Z47),($E50-SUM($E47:Z47))/'Assumptions - Freight'!$E67)),0),'Assumptions - Freight'!Z70))," ")</f>
        <v>0</v>
      </c>
      <c r="AA48" s="229">
        <f>IF(AA$16=1,(IF($A45=1,IF(AA46-AA47&gt;0,(MIN((AA46-AA47),($E50-SUM($E47:AA47))/'Assumptions - Freight'!$E67)),0),'Assumptions - Freight'!AA70))," ")</f>
        <v>0</v>
      </c>
      <c r="AB48" s="229">
        <f>IF(AB$16=1,(IF($A45=1,IF(AB46-AB47&gt;0,(MIN((AB46-AB47),($E50-SUM($E47:AB47))/'Assumptions - Freight'!$E67)),0),'Assumptions - Freight'!AB70))," ")</f>
        <v>0</v>
      </c>
      <c r="AC48" s="229">
        <f>IF(AC$16=1,(IF($A45=1,IF(AC46-AC47&gt;0,(MIN((AC46-AC47),($E50-SUM($E47:AC47))/'Assumptions - Freight'!$E67)),0),'Assumptions - Freight'!AC70))," ")</f>
        <v>0</v>
      </c>
      <c r="AD48" s="229">
        <f>IF(AD$16=1,(IF($A45=1,IF(AD46-AD47&gt;0,(MIN((AD46-AD47),($E50-SUM($E47:AD47))/'Assumptions - Freight'!$E67)),0),'Assumptions - Freight'!AD70))," ")</f>
        <v>0</v>
      </c>
      <c r="AE48" s="229">
        <f>IF(AE$16=1,(IF($A45=1,IF(AE46-AE47&gt;0,(MIN((AE46-AE47),($E50-SUM($E47:AE47))/'Assumptions - Freight'!$E67)),0),'Assumptions - Freight'!AE70))," ")</f>
        <v>0</v>
      </c>
      <c r="AF48" s="229">
        <f>IF(AF$16=1,(IF($A45=1,IF(AF46-AF47&gt;0,(MIN((AF46-AF47),($E50-SUM($E47:AF47))/'Assumptions - Freight'!$E67)),0),'Assumptions - Freight'!AF70))," ")</f>
        <v>0</v>
      </c>
      <c r="AG48" s="229">
        <f>IF(AG$16=1,(IF($A45=1,IF(AG46-AG47&gt;0,(MIN((AG46-AG47),($E50-SUM($E47:AG47))/'Assumptions - Freight'!$E67)),0),'Assumptions - Freight'!AG70))," ")</f>
        <v>0</v>
      </c>
      <c r="AH48" s="229">
        <f>IF(AH$16=1,(IF($A45=1,IF(AH46-AH47&gt;0,(MIN((AH46-AH47),($E50-SUM($E47:AH47))/'Assumptions - Freight'!$E67)),0),'Assumptions - Freight'!AH70))," ")</f>
        <v>0</v>
      </c>
    </row>
    <row r="49" spans="1:34" s="20" customFormat="1" ht="14" x14ac:dyDescent="0.2">
      <c r="A49" s="87"/>
      <c r="B49" s="30" t="str">
        <f>IF(A45=1,"Accumulated depreciation of existing assets","Accumulated depreciation of assets")</f>
        <v>Accumulated depreciation of existing assets</v>
      </c>
      <c r="C49" s="8"/>
      <c r="D49" s="8" t="str">
        <f>'Assumptions - General'!$E$27 &amp;" millions"</f>
        <v>R$ millions</v>
      </c>
      <c r="E49" s="29"/>
      <c r="F49" s="29">
        <f>IF(F$16=1,SUM($E48:F48)," ")</f>
        <v>20.714285714285715</v>
      </c>
      <c r="G49" s="29">
        <f>IF(G$16=1,SUM($E48:G48)," ")</f>
        <v>40.714285714285715</v>
      </c>
      <c r="H49" s="29">
        <f>IF(H$16=1,SUM($E48:H48)," ")</f>
        <v>60</v>
      </c>
      <c r="I49" s="29">
        <f>IF(I$16=1,SUM($E48:I48)," ")</f>
        <v>78.571428571428569</v>
      </c>
      <c r="J49" s="29">
        <f>IF(J$16=1,SUM($E48:J48)," ")</f>
        <v>96.428571428571431</v>
      </c>
      <c r="K49" s="29">
        <f>IF(K$16=1,SUM($E48:K48)," ")</f>
        <v>113.57142857142857</v>
      </c>
      <c r="L49" s="29">
        <f>IF(L$16=1,SUM($E48:L48)," ")</f>
        <v>115</v>
      </c>
      <c r="M49" s="29">
        <f>IF(M$16=1,SUM($E48:M48)," ")</f>
        <v>115</v>
      </c>
      <c r="N49" s="29">
        <f>IF(N$16=1,SUM($E48:N48)," ")</f>
        <v>115</v>
      </c>
      <c r="O49" s="29">
        <f>IF(O$16=1,SUM($E48:O48)," ")</f>
        <v>115</v>
      </c>
      <c r="P49" s="29">
        <f>IF(P$16=1,SUM($E48:P48)," ")</f>
        <v>115</v>
      </c>
      <c r="Q49" s="29">
        <f>IF(Q$16=1,SUM($E48:Q48)," ")</f>
        <v>115</v>
      </c>
      <c r="R49" s="29">
        <f>IF(R$16=1,SUM($E48:R48)," ")</f>
        <v>115</v>
      </c>
      <c r="S49" s="29">
        <f>IF(S$16=1,SUM($E48:S48)," ")</f>
        <v>115</v>
      </c>
      <c r="T49" s="29">
        <f>IF(T$16=1,SUM($E48:T48)," ")</f>
        <v>115</v>
      </c>
      <c r="U49" s="29">
        <f>IF(U$16=1,SUM($E48:U48)," ")</f>
        <v>115</v>
      </c>
      <c r="V49" s="29">
        <f>IF(V$16=1,SUM($E48:V48)," ")</f>
        <v>115</v>
      </c>
      <c r="W49" s="29">
        <f>IF(W$16=1,SUM($E48:W48)," ")</f>
        <v>115</v>
      </c>
      <c r="X49" s="29">
        <f>IF(X$16=1,SUM($E48:X48)," ")</f>
        <v>115</v>
      </c>
      <c r="Y49" s="29">
        <f>IF(Y$16=1,SUM($E48:Y48)," ")</f>
        <v>115</v>
      </c>
      <c r="Z49" s="29">
        <f>IF(Z$16=1,SUM($E48:Z48)," ")</f>
        <v>115</v>
      </c>
      <c r="AA49" s="29">
        <f>IF(AA$16=1,SUM($E48:AA48)," ")</f>
        <v>115</v>
      </c>
      <c r="AB49" s="29">
        <f>IF(AB$16=1,SUM($E48:AB48)," ")</f>
        <v>115</v>
      </c>
      <c r="AC49" s="29">
        <f>IF(AC$16=1,SUM($E48:AC48)," ")</f>
        <v>115</v>
      </c>
      <c r="AD49" s="29">
        <f>IF(AD$16=1,SUM($E48:AD48)," ")</f>
        <v>115</v>
      </c>
      <c r="AE49" s="29">
        <f>IF(AE$16=1,SUM($E48:AE48)," ")</f>
        <v>115</v>
      </c>
      <c r="AF49" s="29">
        <f>IF(AF$16=1,SUM($E48:AF48)," ")</f>
        <v>115</v>
      </c>
      <c r="AG49" s="29">
        <f>IF(AG$16=1,SUM($E48:AG48)," ")</f>
        <v>115</v>
      </c>
      <c r="AH49" s="29">
        <f>IF(AH$16=1,SUM($E48:AH48)," ")</f>
        <v>115</v>
      </c>
    </row>
    <row r="50" spans="1:34" s="20" customFormat="1" ht="14" x14ac:dyDescent="0.2">
      <c r="A50" s="87"/>
      <c r="B50" s="14" t="s">
        <v>639</v>
      </c>
      <c r="C50" s="8"/>
      <c r="D50" s="8" t="str">
        <f>'Assumptions - General'!$E$27 &amp;" millions"</f>
        <v>R$ millions</v>
      </c>
      <c r="E50" s="463">
        <f>IF(E$16=1,'Assumptions - Freight'!E34," ")</f>
        <v>150</v>
      </c>
      <c r="F50" s="29">
        <f>IF(F$16=1,F46-F47-F48," ")</f>
        <v>124.28571428571428</v>
      </c>
      <c r="G50" s="29">
        <f t="shared" ref="G50:AH50" si="13">IF(G$16=1,G46-G47-G48," ")</f>
        <v>99.285714285714278</v>
      </c>
      <c r="H50" s="29">
        <f t="shared" si="13"/>
        <v>75</v>
      </c>
      <c r="I50" s="29">
        <f t="shared" si="13"/>
        <v>51.428571428571431</v>
      </c>
      <c r="J50" s="29">
        <f t="shared" si="13"/>
        <v>28.571428571428573</v>
      </c>
      <c r="K50" s="29">
        <f t="shared" si="13"/>
        <v>6.4285714285714306</v>
      </c>
      <c r="L50" s="29">
        <f t="shared" si="13"/>
        <v>0</v>
      </c>
      <c r="M50" s="29">
        <f t="shared" si="13"/>
        <v>0</v>
      </c>
      <c r="N50" s="29">
        <f t="shared" si="13"/>
        <v>0</v>
      </c>
      <c r="O50" s="29">
        <f t="shared" si="13"/>
        <v>0</v>
      </c>
      <c r="P50" s="29">
        <f t="shared" si="13"/>
        <v>0</v>
      </c>
      <c r="Q50" s="29">
        <f t="shared" si="13"/>
        <v>0</v>
      </c>
      <c r="R50" s="29">
        <f t="shared" si="13"/>
        <v>0</v>
      </c>
      <c r="S50" s="29">
        <f t="shared" si="13"/>
        <v>0</v>
      </c>
      <c r="T50" s="29">
        <f t="shared" si="13"/>
        <v>0</v>
      </c>
      <c r="U50" s="29">
        <f t="shared" si="13"/>
        <v>0</v>
      </c>
      <c r="V50" s="29">
        <f t="shared" si="13"/>
        <v>0</v>
      </c>
      <c r="W50" s="29">
        <f t="shared" si="13"/>
        <v>0</v>
      </c>
      <c r="X50" s="29">
        <f t="shared" si="13"/>
        <v>0</v>
      </c>
      <c r="Y50" s="29">
        <f t="shared" si="13"/>
        <v>0</v>
      </c>
      <c r="Z50" s="29">
        <f t="shared" si="13"/>
        <v>0</v>
      </c>
      <c r="AA50" s="29">
        <f t="shared" si="13"/>
        <v>0</v>
      </c>
      <c r="AB50" s="29">
        <f t="shared" si="13"/>
        <v>0</v>
      </c>
      <c r="AC50" s="29">
        <f t="shared" si="13"/>
        <v>0</v>
      </c>
      <c r="AD50" s="29">
        <f t="shared" si="13"/>
        <v>0</v>
      </c>
      <c r="AE50" s="29">
        <f t="shared" si="13"/>
        <v>0</v>
      </c>
      <c r="AF50" s="29">
        <f t="shared" si="13"/>
        <v>0</v>
      </c>
      <c r="AG50" s="29">
        <f t="shared" si="13"/>
        <v>0</v>
      </c>
      <c r="AH50" s="29">
        <f t="shared" si="13"/>
        <v>0</v>
      </c>
    </row>
    <row r="51" spans="1:34" s="20" customFormat="1" ht="14" x14ac:dyDescent="0.2">
      <c r="A51" s="87"/>
      <c r="B51" s="14"/>
      <c r="C51" s="8"/>
      <c r="D51" s="8"/>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c r="AH51" s="29"/>
    </row>
    <row r="52" spans="1:34" s="20" customFormat="1" ht="14" x14ac:dyDescent="0.2">
      <c r="A52" s="87"/>
      <c r="B52" s="14" t="s">
        <v>634</v>
      </c>
      <c r="C52" s="8"/>
      <c r="D52" s="8" t="str">
        <f>'Assumptions - General'!$E$27 &amp;" millions"</f>
        <v>R$ millions</v>
      </c>
      <c r="E52" s="29"/>
      <c r="F52" s="29">
        <f t="shared" ref="F52:AH52" si="14">IF(F16=1,E57," ")</f>
        <v>0</v>
      </c>
      <c r="G52" s="29">
        <f t="shared" si="14"/>
        <v>20</v>
      </c>
      <c r="H52" s="29">
        <f t="shared" si="14"/>
        <v>38</v>
      </c>
      <c r="I52" s="29">
        <f t="shared" si="14"/>
        <v>55</v>
      </c>
      <c r="J52" s="29">
        <f t="shared" si="14"/>
        <v>71</v>
      </c>
      <c r="K52" s="29">
        <f t="shared" si="14"/>
        <v>86</v>
      </c>
      <c r="L52" s="29">
        <f t="shared" si="14"/>
        <v>100</v>
      </c>
      <c r="M52" s="29">
        <f t="shared" si="14"/>
        <v>113</v>
      </c>
      <c r="N52" s="29">
        <f t="shared" si="14"/>
        <v>120.25</v>
      </c>
      <c r="O52" s="29">
        <f t="shared" si="14"/>
        <v>126.75</v>
      </c>
      <c r="P52" s="29">
        <f t="shared" si="14"/>
        <v>132.5</v>
      </c>
      <c r="Q52" s="29">
        <f t="shared" si="14"/>
        <v>137.5</v>
      </c>
      <c r="R52" s="29">
        <f t="shared" si="14"/>
        <v>141.75</v>
      </c>
      <c r="S52" s="29">
        <f t="shared" si="14"/>
        <v>145.25</v>
      </c>
      <c r="T52" s="29">
        <f t="shared" si="14"/>
        <v>148</v>
      </c>
      <c r="U52" s="29">
        <f t="shared" si="14"/>
        <v>150</v>
      </c>
      <c r="V52" s="29">
        <f t="shared" si="14"/>
        <v>151.25</v>
      </c>
      <c r="W52" s="29">
        <f t="shared" si="14"/>
        <v>151.75</v>
      </c>
      <c r="X52" s="29">
        <f t="shared" si="14"/>
        <v>151.5</v>
      </c>
      <c r="Y52" s="29">
        <f t="shared" si="14"/>
        <v>150.5</v>
      </c>
      <c r="Z52" s="29">
        <f t="shared" si="14"/>
        <v>148.75</v>
      </c>
      <c r="AA52" s="29">
        <f t="shared" si="14"/>
        <v>146.25</v>
      </c>
      <c r="AB52" s="29">
        <f t="shared" si="14"/>
        <v>143</v>
      </c>
      <c r="AC52" s="29">
        <f t="shared" si="14"/>
        <v>139</v>
      </c>
      <c r="AD52" s="29">
        <f t="shared" si="14"/>
        <v>134.25</v>
      </c>
      <c r="AE52" s="29">
        <f t="shared" si="14"/>
        <v>128.75</v>
      </c>
      <c r="AF52" s="29">
        <f t="shared" si="14"/>
        <v>122.5</v>
      </c>
      <c r="AG52" s="29">
        <f t="shared" si="14"/>
        <v>115.5</v>
      </c>
      <c r="AH52" s="29">
        <f t="shared" si="14"/>
        <v>107.75</v>
      </c>
    </row>
    <row r="53" spans="1:34" s="20" customFormat="1" ht="14" x14ac:dyDescent="0.2">
      <c r="A53" s="87"/>
      <c r="B53" s="30" t="s">
        <v>130</v>
      </c>
      <c r="C53" s="8"/>
      <c r="D53" s="8" t="str">
        <f>'Assumptions - General'!$E$27 &amp;" millions"</f>
        <v>R$ millions</v>
      </c>
      <c r="E53" s="29"/>
      <c r="F53" s="29">
        <f>IF(F$16=1,IF($D$25=1,$D$26*'Assumptions - Freight'!F$41,'Assumptions - Freight'!F$41)," ")</f>
        <v>20</v>
      </c>
      <c r="G53" s="29">
        <f>IF(G$16=1,IF($D$25=1,$D$26*'Assumptions - Freight'!G$41,'Assumptions - Freight'!G$41)," ")</f>
        <v>20</v>
      </c>
      <c r="H53" s="29">
        <f>IF(H$16=1,IF($D$25=1,$D$26*'Assumptions - Freight'!H$41,'Assumptions - Freight'!H$41)," ")</f>
        <v>20</v>
      </c>
      <c r="I53" s="29">
        <f>IF(I$16=1,IF($D$25=1,$D$26*'Assumptions - Freight'!I$41,'Assumptions - Freight'!I$41)," ")</f>
        <v>20</v>
      </c>
      <c r="J53" s="29">
        <f>IF(J$16=1,IF($D$25=1,$D$26*'Assumptions - Freight'!J$41,'Assumptions - Freight'!J$41)," ")</f>
        <v>20</v>
      </c>
      <c r="K53" s="29">
        <f>IF(K$16=1,IF($D$25=1,$D$26*'Assumptions - Freight'!K$41,'Assumptions - Freight'!K$41)," ")</f>
        <v>20</v>
      </c>
      <c r="L53" s="29">
        <f>IF(L$16=1,IF($D$25=1,$D$26*'Assumptions - Freight'!L$41,'Assumptions - Freight'!L$41)," ")</f>
        <v>20</v>
      </c>
      <c r="M53" s="29">
        <f>IF(M$16=1,IF($D$25=1,$D$26*'Assumptions - Freight'!M$41,'Assumptions - Freight'!M$41)," ")</f>
        <v>20</v>
      </c>
      <c r="N53" s="29">
        <f>IF(N$16=1,IF($D$25=1,$D$26*'Assumptions - Freight'!N$41,'Assumptions - Freight'!N$41)," ")</f>
        <v>20</v>
      </c>
      <c r="O53" s="29">
        <f>IF(O$16=1,IF($D$25=1,$D$26*'Assumptions - Freight'!O$41,'Assumptions - Freight'!O$41)," ")</f>
        <v>20</v>
      </c>
      <c r="P53" s="29">
        <f>IF(P$16=1,IF($D$25=1,$D$26*'Assumptions - Freight'!P$41,'Assumptions - Freight'!P$41)," ")</f>
        <v>20</v>
      </c>
      <c r="Q53" s="29">
        <f>IF(Q$16=1,IF($D$25=1,$D$26*'Assumptions - Freight'!Q$41,'Assumptions - Freight'!Q$41)," ")</f>
        <v>20</v>
      </c>
      <c r="R53" s="29">
        <f>IF(R$16=1,IF($D$25=1,$D$26*'Assumptions - Freight'!R$41,'Assumptions - Freight'!R$41)," ")</f>
        <v>20</v>
      </c>
      <c r="S53" s="29">
        <f>IF(S$16=1,IF($D$25=1,$D$26*'Assumptions - Freight'!S$41,'Assumptions - Freight'!S$41)," ")</f>
        <v>20</v>
      </c>
      <c r="T53" s="29">
        <f>IF(T$16=1,IF($D$25=1,$D$26*'Assumptions - Freight'!T$41,'Assumptions - Freight'!T$41)," ")</f>
        <v>20</v>
      </c>
      <c r="U53" s="29">
        <f>IF(U$16=1,IF($D$25=1,$D$26*'Assumptions - Freight'!U$41,'Assumptions - Freight'!U$41)," ")</f>
        <v>20</v>
      </c>
      <c r="V53" s="29">
        <f>IF(V$16=1,IF($D$25=1,$D$26*'Assumptions - Freight'!V$41,'Assumptions - Freight'!V$41)," ")</f>
        <v>20</v>
      </c>
      <c r="W53" s="29">
        <f>IF(W$16=1,IF($D$25=1,$D$26*'Assumptions - Freight'!W$41,'Assumptions - Freight'!W$41)," ")</f>
        <v>20</v>
      </c>
      <c r="X53" s="29">
        <f>IF(X$16=1,IF($D$25=1,$D$26*'Assumptions - Freight'!X$41,'Assumptions - Freight'!X$41)," ")</f>
        <v>20</v>
      </c>
      <c r="Y53" s="29">
        <f>IF(Y$16=1,IF($D$25=1,$D$26*'Assumptions - Freight'!Y$41,'Assumptions - Freight'!Y$41)," ")</f>
        <v>20</v>
      </c>
      <c r="Z53" s="29">
        <f>IF(Z$16=1,IF($D$25=1,$D$26*'Assumptions - Freight'!Z$41,'Assumptions - Freight'!Z$41)," ")</f>
        <v>20</v>
      </c>
      <c r="AA53" s="29">
        <f>IF(AA$16=1,IF($D$25=1,$D$26*'Assumptions - Freight'!AA$41,'Assumptions - Freight'!AA$41)," ")</f>
        <v>20</v>
      </c>
      <c r="AB53" s="29">
        <f>IF(AB$16=1,IF($D$25=1,$D$26*'Assumptions - Freight'!AB$41,'Assumptions - Freight'!AB$41)," ")</f>
        <v>20</v>
      </c>
      <c r="AC53" s="29">
        <f>IF(AC$16=1,IF($D$25=1,$D$26*'Assumptions - Freight'!AC$41,'Assumptions - Freight'!AC$41)," ")</f>
        <v>20</v>
      </c>
      <c r="AD53" s="29">
        <f>IF(AD$16=1,IF($D$25=1,$D$26*'Assumptions - Freight'!AD$41,'Assumptions - Freight'!AD$41)," ")</f>
        <v>20</v>
      </c>
      <c r="AE53" s="29">
        <f>IF(AE$16=1,IF($D$25=1,$D$26*'Assumptions - Freight'!AE$41,'Assumptions - Freight'!AE$41)," ")</f>
        <v>20</v>
      </c>
      <c r="AF53" s="29">
        <f>IF(AF$16=1,IF($D$25=1,$D$26*'Assumptions - Freight'!AF$41,'Assumptions - Freight'!AF$41)," ")</f>
        <v>20</v>
      </c>
      <c r="AG53" s="29">
        <f>IF(AG$16=1,IF($D$25=1,$D$26*'Assumptions - Freight'!AG$41,'Assumptions - Freight'!AG$41)," ")</f>
        <v>20</v>
      </c>
      <c r="AH53" s="29">
        <f>IF(AH$16=1,IF($D$25=1,$D$26*'Assumptions - Freight'!AH$41,'Assumptions - Freight'!AH$41)," ")</f>
        <v>20</v>
      </c>
    </row>
    <row r="54" spans="1:34" s="20" customFormat="1" ht="14" x14ac:dyDescent="0.2">
      <c r="A54" s="87"/>
      <c r="B54" s="30" t="s">
        <v>608</v>
      </c>
      <c r="C54" s="8"/>
      <c r="D54" s="8" t="str">
        <f>'Assumptions - General'!$E$27 &amp;" millions"</f>
        <v>R$ millions</v>
      </c>
      <c r="E54" s="29"/>
      <c r="F54" s="29">
        <f>IF(F$16=1,'Assumptions - Freight'!F49-Calculations!F47," ")</f>
        <v>0</v>
      </c>
      <c r="G54" s="29">
        <f>IF(G$16=1,'Assumptions - Freight'!G49-Calculations!G47," ")</f>
        <v>0</v>
      </c>
      <c r="H54" s="29">
        <f>IF(H$16=1,'Assumptions - Freight'!H49-Calculations!H47," ")</f>
        <v>0</v>
      </c>
      <c r="I54" s="29">
        <f>IF(I$16=1,'Assumptions - Freight'!I49-Calculations!I47," ")</f>
        <v>0</v>
      </c>
      <c r="J54" s="29">
        <f>IF(J$16=1,'Assumptions - Freight'!J49-Calculations!J47," ")</f>
        <v>0</v>
      </c>
      <c r="K54" s="29">
        <f>IF(K$16=1,'Assumptions - Freight'!K49-Calculations!K47," ")</f>
        <v>0</v>
      </c>
      <c r="L54" s="29">
        <f>IF(L$16=1,'Assumptions - Freight'!L49-Calculations!L47," ")</f>
        <v>0</v>
      </c>
      <c r="M54" s="29">
        <f>IF(M$16=1,'Assumptions - Freight'!M49-Calculations!M47," ")</f>
        <v>5</v>
      </c>
      <c r="N54" s="29">
        <f>IF(N$16=1,'Assumptions - Freight'!N49-Calculations!N47," ")</f>
        <v>5</v>
      </c>
      <c r="O54" s="29">
        <f>IF(O$16=1,'Assumptions - Freight'!O49-Calculations!O47," ")</f>
        <v>5</v>
      </c>
      <c r="P54" s="29">
        <f>IF(P$16=1,'Assumptions - Freight'!P49-Calculations!P47," ")</f>
        <v>5</v>
      </c>
      <c r="Q54" s="29">
        <f>IF(Q$16=1,'Assumptions - Freight'!Q49-Calculations!Q47," ")</f>
        <v>5</v>
      </c>
      <c r="R54" s="29">
        <f>IF(R$16=1,'Assumptions - Freight'!R49-Calculations!R47," ")</f>
        <v>5</v>
      </c>
      <c r="S54" s="29">
        <f>IF(S$16=1,'Assumptions - Freight'!S49-Calculations!S47," ")</f>
        <v>5</v>
      </c>
      <c r="T54" s="29">
        <f>IF(T$16=1,'Assumptions - Freight'!T49-Calculations!T47," ")</f>
        <v>5</v>
      </c>
      <c r="U54" s="29">
        <f>IF(U$16=1,'Assumptions - Freight'!U49-Calculations!U47," ")</f>
        <v>5</v>
      </c>
      <c r="V54" s="29">
        <f>IF(V$16=1,'Assumptions - Freight'!V49-Calculations!V47," ")</f>
        <v>5</v>
      </c>
      <c r="W54" s="29">
        <f>IF(W$16=1,'Assumptions - Freight'!W49-Calculations!W47," ")</f>
        <v>5</v>
      </c>
      <c r="X54" s="29">
        <f>IF(X$16=1,'Assumptions - Freight'!X49-Calculations!X47," ")</f>
        <v>5</v>
      </c>
      <c r="Y54" s="29">
        <f>IF(Y$16=1,'Assumptions - Freight'!Y49-Calculations!Y47," ")</f>
        <v>5</v>
      </c>
      <c r="Z54" s="29">
        <f>IF(Z$16=1,'Assumptions - Freight'!Z49-Calculations!Z47," ")</f>
        <v>5</v>
      </c>
      <c r="AA54" s="29">
        <f>IF(AA$16=1,'Assumptions - Freight'!AA49-Calculations!AA47," ")</f>
        <v>5</v>
      </c>
      <c r="AB54" s="29">
        <f>IF(AB$16=1,'Assumptions - Freight'!AB49-Calculations!AB47," ")</f>
        <v>5</v>
      </c>
      <c r="AC54" s="29">
        <f>IF(AC$16=1,'Assumptions - Freight'!AC49-Calculations!AC47," ")</f>
        <v>5</v>
      </c>
      <c r="AD54" s="29">
        <f>IF(AD$16=1,'Assumptions - Freight'!AD49-Calculations!AD47," ")</f>
        <v>5</v>
      </c>
      <c r="AE54" s="29">
        <f>IF(AE$16=1,'Assumptions - Freight'!AE49-Calculations!AE47," ")</f>
        <v>5</v>
      </c>
      <c r="AF54" s="29">
        <f>IF(AF$16=1,'Assumptions - Freight'!AF49-Calculations!AF47," ")</f>
        <v>5</v>
      </c>
      <c r="AG54" s="29">
        <f>IF(AG$16=1,'Assumptions - Freight'!AG49-Calculations!AG47," ")</f>
        <v>5</v>
      </c>
      <c r="AH54" s="29">
        <f>IF(AH$16=1,'Assumptions - Freight'!AH49-Calculations!AH47," ")</f>
        <v>5</v>
      </c>
    </row>
    <row r="55" spans="1:34" s="20" customFormat="1" ht="14" x14ac:dyDescent="0.2">
      <c r="A55" s="87"/>
      <c r="B55" s="30" t="s">
        <v>635</v>
      </c>
      <c r="C55" s="8"/>
      <c r="D55" s="8" t="str">
        <f>'Assumptions - General'!$E$27 &amp;" millions"</f>
        <v>R$ millions</v>
      </c>
      <c r="E55" s="29"/>
      <c r="F55" s="443">
        <f>IF(F$16=1,(IF($A45=1,IF(F52-F54&gt;0,(MIN((F52-F54),(SUM($E53:F53)-SUM($E54:F54))/'Assumptions - Freight'!$E69)),0),0))," ")</f>
        <v>0</v>
      </c>
      <c r="G55" s="443">
        <f>IF(G$16=1,(IF($A45=1,IF(G52-G54&gt;0,(MIN((G52-G54),(SUM($E53:G53)-SUM($E54:G54))/'Assumptions - Freight'!$E69)),0),0))," ")</f>
        <v>2</v>
      </c>
      <c r="H55" s="443">
        <f>IF(H$16=1,(IF($A45=1,IF(H52-H54&gt;0,(MIN((H52-H54),(SUM($E53:H53)-SUM($E54:H54))/'Assumptions - Freight'!$E69)),0),0))," ")</f>
        <v>3</v>
      </c>
      <c r="I55" s="443">
        <f>IF(I$16=1,(IF($A45=1,IF(I52-I54&gt;0,(MIN((I52-I54),(SUM($E53:I53)-SUM($E54:I54))/'Assumptions - Freight'!$E69)),0),0))," ")</f>
        <v>4</v>
      </c>
      <c r="J55" s="443">
        <f>IF(J$16=1,(IF($A45=1,IF(J52-J54&gt;0,(MIN((J52-J54),(SUM($E53:J53)-SUM($E54:J54))/'Assumptions - Freight'!$E69)),0),0))," ")</f>
        <v>5</v>
      </c>
      <c r="K55" s="443">
        <f>IF(K$16=1,(IF($A45=1,IF(K52-K54&gt;0,(MIN((K52-K54),(SUM($E53:K53)-SUM($E54:K54))/'Assumptions - Freight'!$E69)),0),0))," ")</f>
        <v>6</v>
      </c>
      <c r="L55" s="443">
        <f>IF(L$16=1,(IF($A45=1,IF(L52-L54&gt;0,(MIN((L52-L54),(SUM($E53:L53)-SUM($E54:L54))/'Assumptions - Freight'!$E69)),0),0))," ")</f>
        <v>7</v>
      </c>
      <c r="M55" s="443">
        <f>IF(M$16=1,(IF($A45=1,IF(M52-M54&gt;0,(MIN((M52-M54),(SUM($E53:M53)-SUM($E54:M54))/'Assumptions - Freight'!$E69)),0),0))," ")</f>
        <v>7.75</v>
      </c>
      <c r="N55" s="443">
        <f>IF(N$16=1,(IF($A45=1,IF(N52-N54&gt;0,(MIN((N52-N54),(SUM($E53:N53)-SUM($E54:N54))/'Assumptions - Freight'!$E69)),0),0))," ")</f>
        <v>8.5</v>
      </c>
      <c r="O55" s="443">
        <f>IF(O$16=1,(IF($A45=1,IF(O52-O54&gt;0,(MIN((O52-O54),(SUM($E53:O53)-SUM($E54:O54))/'Assumptions - Freight'!$E69)),0),0))," ")</f>
        <v>9.25</v>
      </c>
      <c r="P55" s="443">
        <f>IF(P$16=1,(IF($A45=1,IF(P52-P54&gt;0,(MIN((P52-P54),(SUM($E53:P53)-SUM($E54:P54))/'Assumptions - Freight'!$E69)),0),0))," ")</f>
        <v>10</v>
      </c>
      <c r="Q55" s="443">
        <f>IF(Q$16=1,(IF($A45=1,IF(Q52-Q54&gt;0,(MIN((Q52-Q54),(SUM($E53:Q53)-SUM($E54:Q54))/'Assumptions - Freight'!$E69)),0),0))," ")</f>
        <v>10.75</v>
      </c>
      <c r="R55" s="443">
        <f>IF(R$16=1,(IF($A45=1,IF(R52-R54&gt;0,(MIN((R52-R54),(SUM($E53:R53)-SUM($E54:R54))/'Assumptions - Freight'!$E69)),0),0))," ")</f>
        <v>11.5</v>
      </c>
      <c r="S55" s="443">
        <f>IF(S$16=1,(IF($A45=1,IF(S52-S54&gt;0,(MIN((S52-S54),(SUM($E53:S53)-SUM($E54:S54))/'Assumptions - Freight'!$E69)),0),0))," ")</f>
        <v>12.25</v>
      </c>
      <c r="T55" s="443">
        <f>IF(T$16=1,(IF($A45=1,IF(T52-T54&gt;0,(MIN((T52-T54),(SUM($E53:T53)-SUM($E54:T54))/'Assumptions - Freight'!$E69)),0),0))," ")</f>
        <v>13</v>
      </c>
      <c r="U55" s="443">
        <f>IF(U$16=1,(IF($A45=1,IF(U52-U54&gt;0,(MIN((U52-U54),(SUM($E53:U53)-SUM($E54:U54))/'Assumptions - Freight'!$E69)),0),0))," ")</f>
        <v>13.75</v>
      </c>
      <c r="V55" s="443">
        <f>IF(V$16=1,(IF($A45=1,IF(V52-V54&gt;0,(MIN((V52-V54),(SUM($E53:V53)-SUM($E54:V54))/'Assumptions - Freight'!$E69)),0),0))," ")</f>
        <v>14.5</v>
      </c>
      <c r="W55" s="443">
        <f>IF(W$16=1,(IF($A45=1,IF(W52-W54&gt;0,(MIN((W52-W54),(SUM($E53:W53)-SUM($E54:W54))/'Assumptions - Freight'!$E69)),0),0))," ")</f>
        <v>15.25</v>
      </c>
      <c r="X55" s="443">
        <f>IF(X$16=1,(IF($A45=1,IF(X52-X54&gt;0,(MIN((X52-X54),(SUM($E53:X53)-SUM($E54:X54))/'Assumptions - Freight'!$E69)),0),0))," ")</f>
        <v>16</v>
      </c>
      <c r="Y55" s="443">
        <f>IF(Y$16=1,(IF($A45=1,IF(Y52-Y54&gt;0,(MIN((Y52-Y54),(SUM($E53:Y53)-SUM($E54:Y54))/'Assumptions - Freight'!$E69)),0),0))," ")</f>
        <v>16.75</v>
      </c>
      <c r="Z55" s="443">
        <f>IF(Z$16=1,(IF($A45=1,IF(Z52-Z54&gt;0,(MIN((Z52-Z54),(SUM($E53:Z53)-SUM($E54:Z54))/'Assumptions - Freight'!$E69)),0),0))," ")</f>
        <v>17.5</v>
      </c>
      <c r="AA55" s="443">
        <f>IF(AA$16=1,(IF($A45=1,IF(AA52-AA54&gt;0,(MIN((AA52-AA54),(SUM($E53:AA53)-SUM($E54:AA54))/'Assumptions - Freight'!$E69)),0),0))," ")</f>
        <v>18.25</v>
      </c>
      <c r="AB55" s="443">
        <f>IF(AB$16=1,(IF($A45=1,IF(AB52-AB54&gt;0,(MIN((AB52-AB54),(SUM($E53:AB53)-SUM($E54:AB54))/'Assumptions - Freight'!$E69)),0),0))," ")</f>
        <v>19</v>
      </c>
      <c r="AC55" s="443">
        <f>IF(AC$16=1,(IF($A45=1,IF(AC52-AC54&gt;0,(MIN((AC52-AC54),(SUM($E53:AC53)-SUM($E54:AC54))/'Assumptions - Freight'!$E69)),0),0))," ")</f>
        <v>19.75</v>
      </c>
      <c r="AD55" s="443">
        <f>IF(AD$16=1,(IF($A45=1,IF(AD52-AD54&gt;0,(MIN((AD52-AD54),(SUM($E53:AD53)-SUM($E54:AD54))/'Assumptions - Freight'!$E69)),0),0))," ")</f>
        <v>20.5</v>
      </c>
      <c r="AE55" s="443">
        <f>IF(AE$16=1,(IF($A45=1,IF(AE52-AE54&gt;0,(MIN((AE52-AE54),(SUM($E53:AE53)-SUM($E54:AE54))/'Assumptions - Freight'!$E69)),0),0))," ")</f>
        <v>21.25</v>
      </c>
      <c r="AF55" s="443">
        <f>IF(AF$16=1,(IF($A45=1,IF(AF52-AF54&gt;0,(MIN((AF52-AF54),(SUM($E53:AF53)-SUM($E54:AF54))/'Assumptions - Freight'!$E69)),0),0))," ")</f>
        <v>22</v>
      </c>
      <c r="AG55" s="443">
        <f>IF(AG$16=1,(IF($A45=1,IF(AG52-AG54&gt;0,(MIN((AG52-AG54),(SUM($E53:AG53)-SUM($E54:AG54))/'Assumptions - Freight'!$E69)),0),0))," ")</f>
        <v>22.75</v>
      </c>
      <c r="AH55" s="443">
        <f>IF(AH$16=1,(IF($A45=1,IF(AH52-AH54&gt;0,(MIN((AH52-AH54),(SUM($E53:AH53)-SUM($E54:AH54))/'Assumptions - Freight'!$E69)),0),0))," ")</f>
        <v>23.5</v>
      </c>
    </row>
    <row r="56" spans="1:34" s="20" customFormat="1" ht="14" x14ac:dyDescent="0.2">
      <c r="A56" s="87"/>
      <c r="B56" s="30" t="s">
        <v>636</v>
      </c>
      <c r="C56" s="8"/>
      <c r="D56" s="8" t="str">
        <f>'Assumptions - General'!$E$27 &amp;" millions"</f>
        <v>R$ millions</v>
      </c>
      <c r="E56" s="29"/>
      <c r="F56" s="29">
        <f>IF(F$16=1,SUM($E55:F55)," ")</f>
        <v>0</v>
      </c>
      <c r="G56" s="29">
        <f>IF(G$16=1,SUM($E55:G55)," ")</f>
        <v>2</v>
      </c>
      <c r="H56" s="29">
        <f>IF(H$16=1,SUM($E55:H55)," ")</f>
        <v>5</v>
      </c>
      <c r="I56" s="29">
        <f>IF(I$16=1,SUM($E55:I55)," ")</f>
        <v>9</v>
      </c>
      <c r="J56" s="29">
        <f>IF(J$16=1,SUM($E55:J55)," ")</f>
        <v>14</v>
      </c>
      <c r="K56" s="29">
        <f>IF(K$16=1,SUM($E55:K55)," ")</f>
        <v>20</v>
      </c>
      <c r="L56" s="29">
        <f>IF(L$16=1,SUM($E55:L55)," ")</f>
        <v>27</v>
      </c>
      <c r="M56" s="29">
        <f>IF(M$16=1,SUM($E55:M55)," ")</f>
        <v>34.75</v>
      </c>
      <c r="N56" s="29">
        <f>IF(N$16=1,SUM($E55:N55)," ")</f>
        <v>43.25</v>
      </c>
      <c r="O56" s="29">
        <f>IF(O$16=1,SUM($E55:O55)," ")</f>
        <v>52.5</v>
      </c>
      <c r="P56" s="29">
        <f>IF(P$16=1,SUM($E55:P55)," ")</f>
        <v>62.5</v>
      </c>
      <c r="Q56" s="29">
        <f>IF(Q$16=1,SUM($E55:Q55)," ")</f>
        <v>73.25</v>
      </c>
      <c r="R56" s="29">
        <f>IF(R$16=1,SUM($E55:R55)," ")</f>
        <v>84.75</v>
      </c>
      <c r="S56" s="29">
        <f>IF(S$16=1,SUM($E55:S55)," ")</f>
        <v>97</v>
      </c>
      <c r="T56" s="29">
        <f>IF(T$16=1,SUM($E55:T55)," ")</f>
        <v>110</v>
      </c>
      <c r="U56" s="29">
        <f>IF(U$16=1,SUM($E55:U55)," ")</f>
        <v>123.75</v>
      </c>
      <c r="V56" s="29">
        <f>IF(V$16=1,SUM($E55:V55)," ")</f>
        <v>138.25</v>
      </c>
      <c r="W56" s="29">
        <f>IF(W$16=1,SUM($E55:W55)," ")</f>
        <v>153.5</v>
      </c>
      <c r="X56" s="29">
        <f>IF(X$16=1,SUM($E55:X55)," ")</f>
        <v>169.5</v>
      </c>
      <c r="Y56" s="29">
        <f>IF(Y$16=1,SUM($E55:Y55)," ")</f>
        <v>186.25</v>
      </c>
      <c r="Z56" s="29">
        <f>IF(Z$16=1,SUM($E55:Z55)," ")</f>
        <v>203.75</v>
      </c>
      <c r="AA56" s="29">
        <f>IF(AA$16=1,SUM($E55:AA55)," ")</f>
        <v>222</v>
      </c>
      <c r="AB56" s="29">
        <f>IF(AB$16=1,SUM($E55:AB55)," ")</f>
        <v>241</v>
      </c>
      <c r="AC56" s="29">
        <f>IF(AC$16=1,SUM($E55:AC55)," ")</f>
        <v>260.75</v>
      </c>
      <c r="AD56" s="29">
        <f>IF(AD$16=1,SUM($E55:AD55)," ")</f>
        <v>281.25</v>
      </c>
      <c r="AE56" s="29">
        <f>IF(AE$16=1,SUM($E55:AE55)," ")</f>
        <v>302.5</v>
      </c>
      <c r="AF56" s="29">
        <f>IF(AF$16=1,SUM($E55:AF55)," ")</f>
        <v>324.5</v>
      </c>
      <c r="AG56" s="29">
        <f>IF(AG$16=1,SUM($E55:AG55)," ")</f>
        <v>347.25</v>
      </c>
      <c r="AH56" s="29">
        <f>IF(AH$16=1,SUM($E55:AH55)," ")</f>
        <v>370.75</v>
      </c>
    </row>
    <row r="57" spans="1:34" s="20" customFormat="1" ht="14" x14ac:dyDescent="0.2">
      <c r="A57" s="87"/>
      <c r="B57" s="14" t="s">
        <v>640</v>
      </c>
      <c r="C57" s="8"/>
      <c r="D57" s="8" t="str">
        <f>'Assumptions - General'!$E$27 &amp;" millions"</f>
        <v>R$ millions</v>
      </c>
      <c r="E57" s="29"/>
      <c r="F57" s="29">
        <f t="shared" ref="F57:AH57" si="15">IF(F16=1,F52+F53-F54-F55," ")</f>
        <v>20</v>
      </c>
      <c r="G57" s="29">
        <f t="shared" si="15"/>
        <v>38</v>
      </c>
      <c r="H57" s="29">
        <f t="shared" si="15"/>
        <v>55</v>
      </c>
      <c r="I57" s="29">
        <f t="shared" si="15"/>
        <v>71</v>
      </c>
      <c r="J57" s="29">
        <f t="shared" si="15"/>
        <v>86</v>
      </c>
      <c r="K57" s="29">
        <f t="shared" si="15"/>
        <v>100</v>
      </c>
      <c r="L57" s="29">
        <f t="shared" si="15"/>
        <v>113</v>
      </c>
      <c r="M57" s="29">
        <f t="shared" si="15"/>
        <v>120.25</v>
      </c>
      <c r="N57" s="29">
        <f t="shared" si="15"/>
        <v>126.75</v>
      </c>
      <c r="O57" s="29">
        <f t="shared" si="15"/>
        <v>132.5</v>
      </c>
      <c r="P57" s="29">
        <f t="shared" si="15"/>
        <v>137.5</v>
      </c>
      <c r="Q57" s="29">
        <f t="shared" si="15"/>
        <v>141.75</v>
      </c>
      <c r="R57" s="29">
        <f t="shared" si="15"/>
        <v>145.25</v>
      </c>
      <c r="S57" s="29">
        <f t="shared" si="15"/>
        <v>148</v>
      </c>
      <c r="T57" s="29">
        <f t="shared" si="15"/>
        <v>150</v>
      </c>
      <c r="U57" s="29">
        <f t="shared" si="15"/>
        <v>151.25</v>
      </c>
      <c r="V57" s="29">
        <f t="shared" si="15"/>
        <v>151.75</v>
      </c>
      <c r="W57" s="29">
        <f t="shared" si="15"/>
        <v>151.5</v>
      </c>
      <c r="X57" s="29">
        <f t="shared" si="15"/>
        <v>150.5</v>
      </c>
      <c r="Y57" s="29">
        <f t="shared" si="15"/>
        <v>148.75</v>
      </c>
      <c r="Z57" s="29">
        <f t="shared" si="15"/>
        <v>146.25</v>
      </c>
      <c r="AA57" s="29">
        <f t="shared" si="15"/>
        <v>143</v>
      </c>
      <c r="AB57" s="29">
        <f t="shared" si="15"/>
        <v>139</v>
      </c>
      <c r="AC57" s="29">
        <f t="shared" si="15"/>
        <v>134.25</v>
      </c>
      <c r="AD57" s="29">
        <f t="shared" si="15"/>
        <v>128.75</v>
      </c>
      <c r="AE57" s="29">
        <f t="shared" si="15"/>
        <v>122.5</v>
      </c>
      <c r="AF57" s="29">
        <f t="shared" si="15"/>
        <v>115.5</v>
      </c>
      <c r="AG57" s="29">
        <f t="shared" si="15"/>
        <v>107.75</v>
      </c>
      <c r="AH57" s="29">
        <f t="shared" si="15"/>
        <v>99.25</v>
      </c>
    </row>
    <row r="58" spans="1:34" s="20" customFormat="1" ht="14" x14ac:dyDescent="0.2">
      <c r="A58" s="87"/>
      <c r="B58" s="14"/>
      <c r="C58" s="8"/>
      <c r="D58" s="8"/>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row>
    <row r="59" spans="1:34" s="20" customFormat="1" ht="14" x14ac:dyDescent="0.2">
      <c r="A59" s="87"/>
      <c r="B59" s="14" t="s">
        <v>638</v>
      </c>
      <c r="C59" s="8"/>
      <c r="D59" s="8" t="str">
        <f>'Assumptions - General'!$E$27 &amp;" millions"</f>
        <v>R$ millions</v>
      </c>
      <c r="E59" s="29">
        <f t="shared" ref="E59:AH59" si="16">IF(E16=1,E50+E57," ")</f>
        <v>150</v>
      </c>
      <c r="F59" s="29">
        <f t="shared" si="16"/>
        <v>144.28571428571428</v>
      </c>
      <c r="G59" s="29">
        <f t="shared" si="16"/>
        <v>137.28571428571428</v>
      </c>
      <c r="H59" s="29">
        <f t="shared" si="16"/>
        <v>130</v>
      </c>
      <c r="I59" s="29">
        <f t="shared" si="16"/>
        <v>122.42857142857143</v>
      </c>
      <c r="J59" s="29">
        <f t="shared" si="16"/>
        <v>114.57142857142857</v>
      </c>
      <c r="K59" s="29">
        <f t="shared" si="16"/>
        <v>106.42857142857143</v>
      </c>
      <c r="L59" s="29">
        <f t="shared" si="16"/>
        <v>113</v>
      </c>
      <c r="M59" s="29">
        <f t="shared" si="16"/>
        <v>120.25</v>
      </c>
      <c r="N59" s="29">
        <f t="shared" si="16"/>
        <v>126.75</v>
      </c>
      <c r="O59" s="29">
        <f t="shared" si="16"/>
        <v>132.5</v>
      </c>
      <c r="P59" s="29">
        <f t="shared" si="16"/>
        <v>137.5</v>
      </c>
      <c r="Q59" s="29">
        <f t="shared" si="16"/>
        <v>141.75</v>
      </c>
      <c r="R59" s="29">
        <f t="shared" si="16"/>
        <v>145.25</v>
      </c>
      <c r="S59" s="29">
        <f t="shared" si="16"/>
        <v>148</v>
      </c>
      <c r="T59" s="29">
        <f t="shared" si="16"/>
        <v>150</v>
      </c>
      <c r="U59" s="29">
        <f t="shared" si="16"/>
        <v>151.25</v>
      </c>
      <c r="V59" s="29">
        <f t="shared" si="16"/>
        <v>151.75</v>
      </c>
      <c r="W59" s="29">
        <f t="shared" si="16"/>
        <v>151.5</v>
      </c>
      <c r="X59" s="29">
        <f t="shared" si="16"/>
        <v>150.5</v>
      </c>
      <c r="Y59" s="29">
        <f t="shared" si="16"/>
        <v>148.75</v>
      </c>
      <c r="Z59" s="29">
        <f t="shared" si="16"/>
        <v>146.25</v>
      </c>
      <c r="AA59" s="29">
        <f t="shared" si="16"/>
        <v>143</v>
      </c>
      <c r="AB59" s="29">
        <f t="shared" si="16"/>
        <v>139</v>
      </c>
      <c r="AC59" s="29">
        <f t="shared" si="16"/>
        <v>134.25</v>
      </c>
      <c r="AD59" s="29">
        <f t="shared" si="16"/>
        <v>128.75</v>
      </c>
      <c r="AE59" s="29">
        <f t="shared" si="16"/>
        <v>122.5</v>
      </c>
      <c r="AF59" s="29">
        <f t="shared" si="16"/>
        <v>115.5</v>
      </c>
      <c r="AG59" s="29">
        <f t="shared" si="16"/>
        <v>107.75</v>
      </c>
      <c r="AH59" s="29">
        <f t="shared" si="16"/>
        <v>99.25</v>
      </c>
    </row>
    <row r="60" spans="1:34" s="310" customFormat="1" ht="14" x14ac:dyDescent="0.2">
      <c r="A60" s="87"/>
      <c r="B60" s="446"/>
      <c r="C60" s="87"/>
      <c r="D60" s="87"/>
      <c r="E60" s="447"/>
      <c r="F60" s="447"/>
      <c r="G60" s="447"/>
      <c r="H60" s="447"/>
      <c r="I60" s="447"/>
      <c r="J60" s="447"/>
      <c r="K60" s="447"/>
      <c r="L60" s="447"/>
      <c r="M60" s="447"/>
      <c r="N60" s="447"/>
      <c r="O60" s="447"/>
      <c r="P60" s="447"/>
      <c r="Q60" s="447"/>
      <c r="R60" s="447"/>
      <c r="S60" s="447"/>
      <c r="T60" s="447"/>
      <c r="U60" s="447"/>
      <c r="V60" s="447"/>
      <c r="W60" s="447"/>
      <c r="X60" s="447"/>
      <c r="Y60" s="447"/>
      <c r="Z60" s="447"/>
      <c r="AA60" s="447"/>
      <c r="AB60" s="447"/>
      <c r="AC60" s="447"/>
      <c r="AD60" s="447"/>
      <c r="AE60" s="447"/>
      <c r="AF60" s="447"/>
      <c r="AG60" s="447"/>
      <c r="AH60" s="447"/>
    </row>
    <row r="61" spans="1:34" s="20" customFormat="1" ht="14" x14ac:dyDescent="0.2">
      <c r="A61" s="87">
        <f>'Assumptions - Freight'!E73</f>
        <v>1</v>
      </c>
      <c r="B61" s="21" t="str">
        <f>'Assumptions - Freight'!E28</f>
        <v>Track and infrastructure</v>
      </c>
      <c r="C61" s="8"/>
      <c r="D61" s="8"/>
      <c r="E61" s="29"/>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s="20" customFormat="1" ht="14" x14ac:dyDescent="0.2">
      <c r="A62" s="87"/>
      <c r="B62" s="14" t="str">
        <f>"Starting value "</f>
        <v xml:space="preserve">Starting value </v>
      </c>
      <c r="C62" s="8"/>
      <c r="D62" s="8" t="str">
        <f>'Assumptions - General'!$E$27 &amp;" millions"</f>
        <v>R$ millions</v>
      </c>
      <c r="E62" s="29"/>
      <c r="F62" s="31">
        <f t="shared" ref="F62:AH62" si="17">IF(F$16=1,E66," ")</f>
        <v>200</v>
      </c>
      <c r="G62" s="31">
        <f t="shared" si="17"/>
        <v>185.71428571428572</v>
      </c>
      <c r="H62" s="31">
        <f t="shared" si="17"/>
        <v>171.66666666666669</v>
      </c>
      <c r="I62" s="31">
        <f t="shared" si="17"/>
        <v>157.85714285714289</v>
      </c>
      <c r="J62" s="31">
        <f t="shared" si="17"/>
        <v>144.28571428571431</v>
      </c>
      <c r="K62" s="31">
        <f t="shared" si="17"/>
        <v>130.95238095238096</v>
      </c>
      <c r="L62" s="31">
        <f t="shared" si="17"/>
        <v>117.85714285714286</v>
      </c>
      <c r="M62" s="31">
        <f t="shared" si="17"/>
        <v>105</v>
      </c>
      <c r="N62" s="31">
        <f t="shared" si="17"/>
        <v>92.38095238095238</v>
      </c>
      <c r="O62" s="31">
        <f t="shared" si="17"/>
        <v>80</v>
      </c>
      <c r="P62" s="31">
        <f t="shared" si="17"/>
        <v>67.857142857142861</v>
      </c>
      <c r="Q62" s="31">
        <f t="shared" si="17"/>
        <v>55.952380952380956</v>
      </c>
      <c r="R62" s="31">
        <f t="shared" si="17"/>
        <v>44.285714285714292</v>
      </c>
      <c r="S62" s="31">
        <f t="shared" si="17"/>
        <v>32.857142857142861</v>
      </c>
      <c r="T62" s="31">
        <f t="shared" si="17"/>
        <v>21.666666666666671</v>
      </c>
      <c r="U62" s="31">
        <f t="shared" si="17"/>
        <v>10.714285714285719</v>
      </c>
      <c r="V62" s="31">
        <f t="shared" si="17"/>
        <v>4.4408920985006262E-15</v>
      </c>
      <c r="W62" s="31">
        <f t="shared" si="17"/>
        <v>0</v>
      </c>
      <c r="X62" s="31">
        <f t="shared" si="17"/>
        <v>0</v>
      </c>
      <c r="Y62" s="31">
        <f t="shared" si="17"/>
        <v>0</v>
      </c>
      <c r="Z62" s="31">
        <f t="shared" si="17"/>
        <v>0</v>
      </c>
      <c r="AA62" s="31">
        <f t="shared" si="17"/>
        <v>0</v>
      </c>
      <c r="AB62" s="31">
        <f t="shared" si="17"/>
        <v>0</v>
      </c>
      <c r="AC62" s="31">
        <f t="shared" si="17"/>
        <v>0</v>
      </c>
      <c r="AD62" s="31">
        <f t="shared" si="17"/>
        <v>0</v>
      </c>
      <c r="AE62" s="31">
        <f t="shared" si="17"/>
        <v>0</v>
      </c>
      <c r="AF62" s="31">
        <f t="shared" si="17"/>
        <v>0</v>
      </c>
      <c r="AG62" s="31">
        <f t="shared" si="17"/>
        <v>0</v>
      </c>
      <c r="AH62" s="31">
        <f t="shared" si="17"/>
        <v>0</v>
      </c>
    </row>
    <row r="63" spans="1:34" s="20" customFormat="1" ht="14" x14ac:dyDescent="0.2">
      <c r="A63" s="87"/>
      <c r="B63" s="30" t="s">
        <v>608</v>
      </c>
      <c r="C63" s="8"/>
      <c r="D63" s="8" t="str">
        <f>'Assumptions - General'!$E$27 &amp;" millions"</f>
        <v>R$ millions</v>
      </c>
      <c r="E63" s="29"/>
      <c r="F63" s="29">
        <f>IF(F$16=1,IF(F62&gt;0,MIN(F62,'Assumptions - Freight'!F50),0)," ")</f>
        <v>5</v>
      </c>
      <c r="G63" s="29">
        <f>IF(G$16=1,IF(G62&gt;0,MIN(G62,'Assumptions - Freight'!G50),0)," ")</f>
        <v>5</v>
      </c>
      <c r="H63" s="29">
        <f>IF(H$16=1,IF(H62&gt;0,MIN(H62,'Assumptions - Freight'!H50),0)," ")</f>
        <v>5</v>
      </c>
      <c r="I63" s="29">
        <f>IF(I$16=1,IF(I62&gt;0,MIN(I62,'Assumptions - Freight'!I50),0)," ")</f>
        <v>5</v>
      </c>
      <c r="J63" s="29">
        <f>IF(J$16=1,IF(J62&gt;0,MIN(J62,'Assumptions - Freight'!J50),0)," ")</f>
        <v>5</v>
      </c>
      <c r="K63" s="29">
        <f>IF(K$16=1,IF(K62&gt;0,MIN(K62,'Assumptions - Freight'!K50),0)," ")</f>
        <v>5</v>
      </c>
      <c r="L63" s="29">
        <f>IF(L$16=1,IF(L62&gt;0,MIN(L62,'Assumptions - Freight'!L50),0)," ")</f>
        <v>5</v>
      </c>
      <c r="M63" s="29">
        <f>IF(M$16=1,IF(M62&gt;0,MIN(M62,'Assumptions - Freight'!M50),0)," ")</f>
        <v>5</v>
      </c>
      <c r="N63" s="29">
        <f>IF(N$16=1,IF(N62&gt;0,MIN(N62,'Assumptions - Freight'!N50),0)," ")</f>
        <v>5</v>
      </c>
      <c r="O63" s="29">
        <f>IF(O$16=1,IF(O62&gt;0,MIN(O62,'Assumptions - Freight'!O50),0)," ")</f>
        <v>5</v>
      </c>
      <c r="P63" s="29">
        <f>IF(P$16=1,IF(P62&gt;0,MIN(P62,'Assumptions - Freight'!P50),0)," ")</f>
        <v>5</v>
      </c>
      <c r="Q63" s="29">
        <f>IF(Q$16=1,IF(Q62&gt;0,MIN(Q62,'Assumptions - Freight'!Q50),0)," ")</f>
        <v>5</v>
      </c>
      <c r="R63" s="29">
        <f>IF(R$16=1,IF(R62&gt;0,MIN(R62,'Assumptions - Freight'!R50),0)," ")</f>
        <v>5</v>
      </c>
      <c r="S63" s="29">
        <f>IF(S$16=1,IF(S62&gt;0,MIN(S62,'Assumptions - Freight'!S50),0)," ")</f>
        <v>5</v>
      </c>
      <c r="T63" s="29">
        <f>IF(T$16=1,IF(T62&gt;0,MIN(T62,'Assumptions - Freight'!T50),0)," ")</f>
        <v>5</v>
      </c>
      <c r="U63" s="29">
        <f>IF(U$16=1,IF(U62&gt;0,MIN(U62,'Assumptions - Freight'!U50),0)," ")</f>
        <v>5</v>
      </c>
      <c r="V63" s="29">
        <f>IF(V$16=1,IF(V62&gt;0,MIN(V62,'Assumptions - Freight'!V50),0)," ")</f>
        <v>4.4408920985006262E-15</v>
      </c>
      <c r="W63" s="29">
        <f>IF(W$16=1,IF(W62&gt;0,MIN(W62,'Assumptions - Freight'!W50),0)," ")</f>
        <v>0</v>
      </c>
      <c r="X63" s="29">
        <f>IF(X$16=1,IF(X62&gt;0,MIN(X62,'Assumptions - Freight'!X50),0)," ")</f>
        <v>0</v>
      </c>
      <c r="Y63" s="29">
        <f>IF(Y$16=1,IF(Y62&gt;0,MIN(Y62,'Assumptions - Freight'!Y50),0)," ")</f>
        <v>0</v>
      </c>
      <c r="Z63" s="29">
        <f>IF(Z$16=1,IF(Z62&gt;0,MIN(Z62,'Assumptions - Freight'!Z50),0)," ")</f>
        <v>0</v>
      </c>
      <c r="AA63" s="29">
        <f>IF(AA$16=1,IF(AA62&gt;0,MIN(AA62,'Assumptions - Freight'!AA50),0)," ")</f>
        <v>0</v>
      </c>
      <c r="AB63" s="29">
        <f>IF(AB$16=1,IF(AB62&gt;0,MIN(AB62,'Assumptions - Freight'!AB50),0)," ")</f>
        <v>0</v>
      </c>
      <c r="AC63" s="29">
        <f>IF(AC$16=1,IF(AC62&gt;0,MIN(AC62,'Assumptions - Freight'!AC50),0)," ")</f>
        <v>0</v>
      </c>
      <c r="AD63" s="29">
        <f>IF(AD$16=1,IF(AD62&gt;0,MIN(AD62,'Assumptions - Freight'!AD50),0)," ")</f>
        <v>0</v>
      </c>
      <c r="AE63" s="29">
        <f>IF(AE$16=1,IF(AE62&gt;0,MIN(AE62,'Assumptions - Freight'!AE50),0)," ")</f>
        <v>0</v>
      </c>
      <c r="AF63" s="29">
        <f>IF(AF$16=1,IF(AF62&gt;0,MIN(AF62,'Assumptions - Freight'!AF50),0)," ")</f>
        <v>0</v>
      </c>
      <c r="AG63" s="29">
        <f>IF(AG$16=1,IF(AG62&gt;0,MIN(AG62,'Assumptions - Freight'!AG50),0)," ")</f>
        <v>0</v>
      </c>
      <c r="AH63" s="29">
        <f>IF(AH$16=1,IF(AH62&gt;0,MIN(AH62,'Assumptions - Freight'!AH50),0)," ")</f>
        <v>0</v>
      </c>
    </row>
    <row r="64" spans="1:34" s="20" customFormat="1" ht="14" x14ac:dyDescent="0.2">
      <c r="A64" s="87"/>
      <c r="B64" s="30" t="str">
        <f>IF(A61=1,"Less depreciation of existing assets","Less depreciation of assets")</f>
        <v>Less depreciation of existing assets</v>
      </c>
      <c r="C64" s="8"/>
      <c r="D64" s="8" t="str">
        <f>'Assumptions - General'!$E$27 &amp;" millions"</f>
        <v>R$ millions</v>
      </c>
      <c r="E64" s="29"/>
      <c r="F64" s="229">
        <f>IF(F$16=1,(IF($A61=1,IF(F62-F63&gt;0,(MIN((F62-F63),($E66-SUM($E63:F63))/'Assumptions - Freight'!$E75)),0),'Assumptions - Freight'!F78))," ")</f>
        <v>9.2857142857142865</v>
      </c>
      <c r="G64" s="229">
        <f>IF(G$16=1,(IF($A61=1,IF(G62-G63&gt;0,(MIN((G62-G63),($E66-SUM($E63:G63))/'Assumptions - Freight'!$E75)),0),'Assumptions - Freight'!G78))," ")</f>
        <v>9.0476190476190474</v>
      </c>
      <c r="H64" s="229">
        <f>IF(H$16=1,(IF($A61=1,IF(H62-H63&gt;0,(MIN((H62-H63),($E66-SUM($E63:H63))/'Assumptions - Freight'!$E75)),0),'Assumptions - Freight'!H78))," ")</f>
        <v>8.8095238095238102</v>
      </c>
      <c r="I64" s="229">
        <f>IF(I$16=1,(IF($A61=1,IF(I62-I63&gt;0,(MIN((I62-I63),($E66-SUM($E63:I63))/'Assumptions - Freight'!$E75)),0),'Assumptions - Freight'!I78))," ")</f>
        <v>8.5714285714285712</v>
      </c>
      <c r="J64" s="229">
        <f>IF(J$16=1,(IF($A61=1,IF(J62-J63&gt;0,(MIN((J62-J63),($E66-SUM($E63:J63))/'Assumptions - Freight'!$E75)),0),'Assumptions - Freight'!J78))," ")</f>
        <v>8.3333333333333339</v>
      </c>
      <c r="K64" s="229">
        <f>IF(K$16=1,(IF($A61=1,IF(K62-K63&gt;0,(MIN((K62-K63),($E66-SUM($E63:K63))/'Assumptions - Freight'!$E75)),0),'Assumptions - Freight'!K78))," ")</f>
        <v>8.0952380952380949</v>
      </c>
      <c r="L64" s="229">
        <f>IF(L$16=1,(IF($A61=1,IF(L62-L63&gt;0,(MIN((L62-L63),($E66-SUM($E63:L63))/'Assumptions - Freight'!$E75)),0),'Assumptions - Freight'!L78))," ")</f>
        <v>7.8571428571428568</v>
      </c>
      <c r="M64" s="229">
        <f>IF(M$16=1,(IF($A61=1,IF(M62-M63&gt;0,(MIN((M62-M63),($E66-SUM($E63:M63))/'Assumptions - Freight'!$E75)),0),'Assumptions - Freight'!M78))," ")</f>
        <v>7.6190476190476186</v>
      </c>
      <c r="N64" s="229">
        <f>IF(N$16=1,(IF($A61=1,IF(N62-N63&gt;0,(MIN((N62-N63),($E66-SUM($E63:N63))/'Assumptions - Freight'!$E75)),0),'Assumptions - Freight'!N78))," ")</f>
        <v>7.3809523809523814</v>
      </c>
      <c r="O64" s="229">
        <f>IF(O$16=1,(IF($A61=1,IF(O62-O63&gt;0,(MIN((O62-O63),($E66-SUM($E63:O63))/'Assumptions - Freight'!$E75)),0),'Assumptions - Freight'!O78))," ")</f>
        <v>7.1428571428571432</v>
      </c>
      <c r="P64" s="229">
        <f>IF(P$16=1,(IF($A61=1,IF(P62-P63&gt;0,(MIN((P62-P63),($E66-SUM($E63:P63))/'Assumptions - Freight'!$E75)),0),'Assumptions - Freight'!P78))," ")</f>
        <v>6.9047619047619051</v>
      </c>
      <c r="Q64" s="229">
        <f>IF(Q$16=1,(IF($A61=1,IF(Q62-Q63&gt;0,(MIN((Q62-Q63),($E66-SUM($E63:Q63))/'Assumptions - Freight'!$E75)),0),'Assumptions - Freight'!Q78))," ")</f>
        <v>6.666666666666667</v>
      </c>
      <c r="R64" s="229">
        <f>IF(R$16=1,(IF($A61=1,IF(R62-R63&gt;0,(MIN((R62-R63),($E66-SUM($E63:R63))/'Assumptions - Freight'!$E75)),0),'Assumptions - Freight'!R78))," ")</f>
        <v>6.4285714285714288</v>
      </c>
      <c r="S64" s="229">
        <f>IF(S$16=1,(IF($A61=1,IF(S62-S63&gt;0,(MIN((S62-S63),($E66-SUM($E63:S63))/'Assumptions - Freight'!$E75)),0),'Assumptions - Freight'!S78))," ")</f>
        <v>6.1904761904761907</v>
      </c>
      <c r="T64" s="229">
        <f>IF(T$16=1,(IF($A61=1,IF(T62-T63&gt;0,(MIN((T62-T63),($E66-SUM($E63:T63))/'Assumptions - Freight'!$E75)),0),'Assumptions - Freight'!T78))," ")</f>
        <v>5.9523809523809526</v>
      </c>
      <c r="U64" s="229">
        <f>IF(U$16=1,(IF($A61=1,IF(U62-U63&gt;0,(MIN((U62-U63),($E66-SUM($E63:U63))/'Assumptions - Freight'!$E75)),0),'Assumptions - Freight'!U78))," ")</f>
        <v>5.7142857142857144</v>
      </c>
      <c r="V64" s="229">
        <f>IF(V$16=1,(IF($A61=1,IF(V62-V63&gt;0,(MIN((V62-V63),($E66-SUM($E63:V63))/'Assumptions - Freight'!$E75)),0),'Assumptions - Freight'!V78))," ")</f>
        <v>0</v>
      </c>
      <c r="W64" s="229">
        <f>IF(W$16=1,(IF($A61=1,IF(W62-W63&gt;0,(MIN((W62-W63),($E66-SUM($E63:W63))/'Assumptions - Freight'!$E75)),0),'Assumptions - Freight'!W78))," ")</f>
        <v>0</v>
      </c>
      <c r="X64" s="229">
        <f>IF(X$16=1,(IF($A61=1,IF(X62-X63&gt;0,(MIN((X62-X63),($E66-SUM($E63:X63))/'Assumptions - Freight'!$E75)),0),'Assumptions - Freight'!X78))," ")</f>
        <v>0</v>
      </c>
      <c r="Y64" s="229">
        <f>IF(Y$16=1,(IF($A61=1,IF(Y62-Y63&gt;0,(MIN((Y62-Y63),($E66-SUM($E63:Y63))/'Assumptions - Freight'!$E75)),0),'Assumptions - Freight'!Y78))," ")</f>
        <v>0</v>
      </c>
      <c r="Z64" s="229">
        <f>IF(Z$16=1,(IF($A61=1,IF(Z62-Z63&gt;0,(MIN((Z62-Z63),($E66-SUM($E63:Z63))/'Assumptions - Freight'!$E75)),0),'Assumptions - Freight'!Z78))," ")</f>
        <v>0</v>
      </c>
      <c r="AA64" s="229">
        <f>IF(AA$16=1,(IF($A61=1,IF(AA62-AA63&gt;0,(MIN((AA62-AA63),($E66-SUM($E63:AA63))/'Assumptions - Freight'!$E75)),0),'Assumptions - Freight'!AA78))," ")</f>
        <v>0</v>
      </c>
      <c r="AB64" s="229">
        <f>IF(AB$16=1,(IF($A61=1,IF(AB62-AB63&gt;0,(MIN((AB62-AB63),($E66-SUM($E63:AB63))/'Assumptions - Freight'!$E75)),0),'Assumptions - Freight'!AB78))," ")</f>
        <v>0</v>
      </c>
      <c r="AC64" s="229">
        <f>IF(AC$16=1,(IF($A61=1,IF(AC62-AC63&gt;0,(MIN((AC62-AC63),($E66-SUM($E63:AC63))/'Assumptions - Freight'!$E75)),0),'Assumptions - Freight'!AC78))," ")</f>
        <v>0</v>
      </c>
      <c r="AD64" s="229">
        <f>IF(AD$16=1,(IF($A61=1,IF(AD62-AD63&gt;0,(MIN((AD62-AD63),($E66-SUM($E63:AD63))/'Assumptions - Freight'!$E75)),0),'Assumptions - Freight'!AD78))," ")</f>
        <v>0</v>
      </c>
      <c r="AE64" s="229">
        <f>IF(AE$16=1,(IF($A61=1,IF(AE62-AE63&gt;0,(MIN((AE62-AE63),($E66-SUM($E63:AE63))/'Assumptions - Freight'!$E75)),0),'Assumptions - Freight'!AE78))," ")</f>
        <v>0</v>
      </c>
      <c r="AF64" s="229">
        <f>IF(AF$16=1,(IF($A61=1,IF(AF62-AF63&gt;0,(MIN((AF62-AF63),($E66-SUM($E63:AF63))/'Assumptions - Freight'!$E75)),0),'Assumptions - Freight'!AF78))," ")</f>
        <v>0</v>
      </c>
      <c r="AG64" s="229">
        <f>IF(AG$16=1,(IF($A61=1,IF(AG62-AG63&gt;0,(MIN((AG62-AG63),($E66-SUM($E63:AG63))/'Assumptions - Freight'!$E75)),0),'Assumptions - Freight'!AG78))," ")</f>
        <v>0</v>
      </c>
      <c r="AH64" s="229">
        <f>IF(AH$16=1,(IF($A61=1,IF(AH62-AH63&gt;0,(MIN((AH62-AH63),($E66-SUM($E63:AH63))/'Assumptions - Freight'!$E75)),0),'Assumptions - Freight'!AH78))," ")</f>
        <v>0</v>
      </c>
    </row>
    <row r="65" spans="1:34" s="20" customFormat="1" ht="14" x14ac:dyDescent="0.2">
      <c r="A65" s="87"/>
      <c r="B65" s="30" t="str">
        <f>IF(A61=1,"Accumulated depreciation of existing assets","Accumulated depreciation of assets")</f>
        <v>Accumulated depreciation of existing assets</v>
      </c>
      <c r="C65" s="8"/>
      <c r="D65" s="8" t="str">
        <f>'Assumptions - General'!$E$27 &amp;" millions"</f>
        <v>R$ millions</v>
      </c>
      <c r="E65" s="29"/>
      <c r="F65" s="29">
        <f>IF(F$16=1,SUM($E64:F64)," ")</f>
        <v>9.2857142857142865</v>
      </c>
      <c r="G65" s="29">
        <f>IF(G$16=1,SUM($E64:G64)," ")</f>
        <v>18.333333333333336</v>
      </c>
      <c r="H65" s="29">
        <f>IF(H$16=1,SUM($E64:H64)," ")</f>
        <v>27.142857142857146</v>
      </c>
      <c r="I65" s="29">
        <f>IF(I$16=1,SUM($E64:I64)," ")</f>
        <v>35.714285714285715</v>
      </c>
      <c r="J65" s="29">
        <f>IF(J$16=1,SUM($E64:J64)," ")</f>
        <v>44.047619047619051</v>
      </c>
      <c r="K65" s="29">
        <f>IF(K$16=1,SUM($E64:K64)," ")</f>
        <v>52.142857142857146</v>
      </c>
      <c r="L65" s="29">
        <f>IF(L$16=1,SUM($E64:L64)," ")</f>
        <v>60</v>
      </c>
      <c r="M65" s="29">
        <f>IF(M$16=1,SUM($E64:M64)," ")</f>
        <v>67.61904761904762</v>
      </c>
      <c r="N65" s="29">
        <f>IF(N$16=1,SUM($E64:N64)," ")</f>
        <v>75</v>
      </c>
      <c r="O65" s="29">
        <f>IF(O$16=1,SUM($E64:O64)," ")</f>
        <v>82.142857142857139</v>
      </c>
      <c r="P65" s="29">
        <f>IF(P$16=1,SUM($E64:P64)," ")</f>
        <v>89.047619047619037</v>
      </c>
      <c r="Q65" s="29">
        <f>IF(Q$16=1,SUM($E64:Q64)," ")</f>
        <v>95.714285714285708</v>
      </c>
      <c r="R65" s="29">
        <f>IF(R$16=1,SUM($E64:R64)," ")</f>
        <v>102.14285714285714</v>
      </c>
      <c r="S65" s="29">
        <f>IF(S$16=1,SUM($E64:S64)," ")</f>
        <v>108.33333333333333</v>
      </c>
      <c r="T65" s="29">
        <f>IF(T$16=1,SUM($E64:T64)," ")</f>
        <v>114.28571428571428</v>
      </c>
      <c r="U65" s="29">
        <f>IF(U$16=1,SUM($E64:U64)," ")</f>
        <v>119.99999999999999</v>
      </c>
      <c r="V65" s="29">
        <f>IF(V$16=1,SUM($E64:V64)," ")</f>
        <v>119.99999999999999</v>
      </c>
      <c r="W65" s="29">
        <f>IF(W$16=1,SUM($E64:W64)," ")</f>
        <v>119.99999999999999</v>
      </c>
      <c r="X65" s="29">
        <f>IF(X$16=1,SUM($E64:X64)," ")</f>
        <v>119.99999999999999</v>
      </c>
      <c r="Y65" s="29">
        <f>IF(Y$16=1,SUM($E64:Y64)," ")</f>
        <v>119.99999999999999</v>
      </c>
      <c r="Z65" s="29">
        <f>IF(Z$16=1,SUM($E64:Z64)," ")</f>
        <v>119.99999999999999</v>
      </c>
      <c r="AA65" s="29">
        <f>IF(AA$16=1,SUM($E64:AA64)," ")</f>
        <v>119.99999999999999</v>
      </c>
      <c r="AB65" s="29">
        <f>IF(AB$16=1,SUM($E64:AB64)," ")</f>
        <v>119.99999999999999</v>
      </c>
      <c r="AC65" s="29">
        <f>IF(AC$16=1,SUM($E64:AC64)," ")</f>
        <v>119.99999999999999</v>
      </c>
      <c r="AD65" s="29">
        <f>IF(AD$16=1,SUM($E64:AD64)," ")</f>
        <v>119.99999999999999</v>
      </c>
      <c r="AE65" s="29">
        <f>IF(AE$16=1,SUM($E64:AE64)," ")</f>
        <v>119.99999999999999</v>
      </c>
      <c r="AF65" s="29">
        <f>IF(AF$16=1,SUM($E64:AF64)," ")</f>
        <v>119.99999999999999</v>
      </c>
      <c r="AG65" s="29">
        <f>IF(AG$16=1,SUM($E64:AG64)," ")</f>
        <v>119.99999999999999</v>
      </c>
      <c r="AH65" s="29">
        <f>IF(AH$16=1,SUM($E64:AH64)," ")</f>
        <v>119.99999999999999</v>
      </c>
    </row>
    <row r="66" spans="1:34" s="20" customFormat="1" ht="14" x14ac:dyDescent="0.2">
      <c r="A66" s="87"/>
      <c r="B66" s="14" t="s">
        <v>639</v>
      </c>
      <c r="C66" s="8"/>
      <c r="D66" s="8" t="str">
        <f>'Assumptions - General'!$E$27 &amp;" millions"</f>
        <v>R$ millions</v>
      </c>
      <c r="E66" s="463">
        <f>IF(E$16=1,'Assumptions - Freight'!E35," ")</f>
        <v>200</v>
      </c>
      <c r="F66" s="29">
        <f>IF(F$16=1,F62-F63-F64," ")</f>
        <v>185.71428571428572</v>
      </c>
      <c r="G66" s="29">
        <f t="shared" ref="G66:AH66" si="18">IF(G$16=1,G62-G63-G64," ")</f>
        <v>171.66666666666669</v>
      </c>
      <c r="H66" s="29">
        <f t="shared" si="18"/>
        <v>157.85714285714289</v>
      </c>
      <c r="I66" s="29">
        <f t="shared" si="18"/>
        <v>144.28571428571431</v>
      </c>
      <c r="J66" s="29">
        <f t="shared" si="18"/>
        <v>130.95238095238096</v>
      </c>
      <c r="K66" s="29">
        <f t="shared" si="18"/>
        <v>117.85714285714286</v>
      </c>
      <c r="L66" s="29">
        <f t="shared" si="18"/>
        <v>105</v>
      </c>
      <c r="M66" s="29">
        <f t="shared" si="18"/>
        <v>92.38095238095238</v>
      </c>
      <c r="N66" s="29">
        <f t="shared" si="18"/>
        <v>80</v>
      </c>
      <c r="O66" s="29">
        <f t="shared" si="18"/>
        <v>67.857142857142861</v>
      </c>
      <c r="P66" s="29">
        <f t="shared" si="18"/>
        <v>55.952380952380956</v>
      </c>
      <c r="Q66" s="29">
        <f t="shared" si="18"/>
        <v>44.285714285714292</v>
      </c>
      <c r="R66" s="29">
        <f t="shared" si="18"/>
        <v>32.857142857142861</v>
      </c>
      <c r="S66" s="29">
        <f t="shared" si="18"/>
        <v>21.666666666666671</v>
      </c>
      <c r="T66" s="29">
        <f t="shared" si="18"/>
        <v>10.714285714285719</v>
      </c>
      <c r="U66" s="29">
        <f t="shared" si="18"/>
        <v>4.4408920985006262E-15</v>
      </c>
      <c r="V66" s="29">
        <f t="shared" si="18"/>
        <v>0</v>
      </c>
      <c r="W66" s="29">
        <f t="shared" si="18"/>
        <v>0</v>
      </c>
      <c r="X66" s="29">
        <f t="shared" si="18"/>
        <v>0</v>
      </c>
      <c r="Y66" s="29">
        <f t="shared" si="18"/>
        <v>0</v>
      </c>
      <c r="Z66" s="29">
        <f t="shared" si="18"/>
        <v>0</v>
      </c>
      <c r="AA66" s="29">
        <f t="shared" si="18"/>
        <v>0</v>
      </c>
      <c r="AB66" s="29">
        <f t="shared" si="18"/>
        <v>0</v>
      </c>
      <c r="AC66" s="29">
        <f t="shared" si="18"/>
        <v>0</v>
      </c>
      <c r="AD66" s="29">
        <f t="shared" si="18"/>
        <v>0</v>
      </c>
      <c r="AE66" s="29">
        <f t="shared" si="18"/>
        <v>0</v>
      </c>
      <c r="AF66" s="29">
        <f t="shared" si="18"/>
        <v>0</v>
      </c>
      <c r="AG66" s="29">
        <f t="shared" si="18"/>
        <v>0</v>
      </c>
      <c r="AH66" s="29">
        <f t="shared" si="18"/>
        <v>0</v>
      </c>
    </row>
    <row r="67" spans="1:34" s="20" customFormat="1" ht="14" x14ac:dyDescent="0.2">
      <c r="A67" s="87"/>
      <c r="B67" s="14"/>
      <c r="C67" s="8"/>
      <c r="D67" s="8"/>
      <c r="E67" s="29"/>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row>
    <row r="68" spans="1:34" s="20" customFormat="1" ht="14" x14ac:dyDescent="0.2">
      <c r="A68" s="87"/>
      <c r="B68" s="14" t="s">
        <v>634</v>
      </c>
      <c r="C68" s="8"/>
      <c r="D68" s="8" t="str">
        <f>'Assumptions - General'!$E$27 &amp;" millions"</f>
        <v>R$ millions</v>
      </c>
      <c r="E68" s="29"/>
      <c r="F68" s="29">
        <f t="shared" ref="F68:AH68" si="19">IF(F16=1,E73," ")</f>
        <v>0</v>
      </c>
      <c r="G68" s="29">
        <f t="shared" si="19"/>
        <v>20</v>
      </c>
      <c r="H68" s="29">
        <f t="shared" si="19"/>
        <v>116.12903225806451</v>
      </c>
      <c r="I68" s="29">
        <f t="shared" si="19"/>
        <v>209.03225806451613</v>
      </c>
      <c r="J68" s="29">
        <f t="shared" si="19"/>
        <v>298.70967741935482</v>
      </c>
      <c r="K68" s="29">
        <f t="shared" si="19"/>
        <v>385.16129032258061</v>
      </c>
      <c r="L68" s="29">
        <f t="shared" si="19"/>
        <v>468.38709677419354</v>
      </c>
      <c r="M68" s="29">
        <f t="shared" si="19"/>
        <v>548.38709677419354</v>
      </c>
      <c r="N68" s="29">
        <f t="shared" si="19"/>
        <v>625.16129032258061</v>
      </c>
      <c r="O68" s="29">
        <f t="shared" si="19"/>
        <v>698.70967741935476</v>
      </c>
      <c r="P68" s="29">
        <f t="shared" si="19"/>
        <v>769.0322580645161</v>
      </c>
      <c r="Q68" s="29">
        <f t="shared" si="19"/>
        <v>836.12903225806451</v>
      </c>
      <c r="R68" s="29">
        <f t="shared" si="19"/>
        <v>900</v>
      </c>
      <c r="S68" s="29">
        <f t="shared" si="19"/>
        <v>960.64516129032256</v>
      </c>
      <c r="T68" s="29">
        <f t="shared" si="19"/>
        <v>1018.0645161290321</v>
      </c>
      <c r="U68" s="29">
        <f t="shared" si="19"/>
        <v>1072.258064516129</v>
      </c>
      <c r="V68" s="29">
        <f t="shared" si="19"/>
        <v>1123.2258064516129</v>
      </c>
      <c r="W68" s="29">
        <f t="shared" si="19"/>
        <v>1166.1290322580646</v>
      </c>
      <c r="X68" s="29">
        <f t="shared" si="19"/>
        <v>1205.9677419354839</v>
      </c>
      <c r="Y68" s="29">
        <f t="shared" si="19"/>
        <v>1242.741935483871</v>
      </c>
      <c r="Z68" s="29">
        <f t="shared" si="19"/>
        <v>1276.4516129032259</v>
      </c>
      <c r="AA68" s="29">
        <f t="shared" si="19"/>
        <v>1307.0967741935485</v>
      </c>
      <c r="AB68" s="29">
        <f t="shared" si="19"/>
        <v>1334.6774193548388</v>
      </c>
      <c r="AC68" s="29">
        <f t="shared" si="19"/>
        <v>1359.1935483870968</v>
      </c>
      <c r="AD68" s="29">
        <f t="shared" si="19"/>
        <v>1380.6451612903227</v>
      </c>
      <c r="AE68" s="29">
        <f t="shared" si="19"/>
        <v>1399.0322580645163</v>
      </c>
      <c r="AF68" s="29">
        <f t="shared" si="19"/>
        <v>1414.3548387096776</v>
      </c>
      <c r="AG68" s="29">
        <f t="shared" si="19"/>
        <v>1426.6129032258066</v>
      </c>
      <c r="AH68" s="29">
        <f t="shared" si="19"/>
        <v>1435.8064516129034</v>
      </c>
    </row>
    <row r="69" spans="1:34" s="20" customFormat="1" ht="14" x14ac:dyDescent="0.2">
      <c r="A69" s="87"/>
      <c r="B69" s="30" t="s">
        <v>130</v>
      </c>
      <c r="C69" s="8"/>
      <c r="D69" s="8" t="str">
        <f>'Assumptions - General'!$E$27 &amp;" millions"</f>
        <v>R$ millions</v>
      </c>
      <c r="E69" s="29"/>
      <c r="F69" s="29">
        <f>IF(F$16=1,IF($D$25=1,$D$26*'Assumptions - Freight'!F$42,'Assumptions - Freight'!F$42)," ")</f>
        <v>20</v>
      </c>
      <c r="G69" s="29">
        <f>IF(G$16=1,IF($D$25=1,$D$26*'Assumptions - Freight'!G$42,'Assumptions - Freight'!G$42)," ")</f>
        <v>100</v>
      </c>
      <c r="H69" s="29">
        <f>IF(H$16=1,IF($D$25=1,$D$26*'Assumptions - Freight'!H$42,'Assumptions - Freight'!H$42)," ")</f>
        <v>100</v>
      </c>
      <c r="I69" s="29">
        <f>IF(I$16=1,IF($D$25=1,$D$26*'Assumptions - Freight'!I$42,'Assumptions - Freight'!I$42)," ")</f>
        <v>100</v>
      </c>
      <c r="J69" s="29">
        <f>IF(J$16=1,IF($D$25=1,$D$26*'Assumptions - Freight'!J$42,'Assumptions - Freight'!J$42)," ")</f>
        <v>100</v>
      </c>
      <c r="K69" s="29">
        <f>IF(K$16=1,IF($D$25=1,$D$26*'Assumptions - Freight'!K$42,'Assumptions - Freight'!K$42)," ")</f>
        <v>100</v>
      </c>
      <c r="L69" s="29">
        <f>IF(L$16=1,IF($D$25=1,$D$26*'Assumptions - Freight'!L$42,'Assumptions - Freight'!L$42)," ")</f>
        <v>100</v>
      </c>
      <c r="M69" s="29">
        <f>IF(M$16=1,IF($D$25=1,$D$26*'Assumptions - Freight'!M$42,'Assumptions - Freight'!M$42)," ")</f>
        <v>100</v>
      </c>
      <c r="N69" s="29">
        <f>IF(N$16=1,IF($D$25=1,$D$26*'Assumptions - Freight'!N$42,'Assumptions - Freight'!N$42)," ")</f>
        <v>100</v>
      </c>
      <c r="O69" s="29">
        <f>IF(O$16=1,IF($D$25=1,$D$26*'Assumptions - Freight'!O$42,'Assumptions - Freight'!O$42)," ")</f>
        <v>100</v>
      </c>
      <c r="P69" s="29">
        <f>IF(P$16=1,IF($D$25=1,$D$26*'Assumptions - Freight'!P$42,'Assumptions - Freight'!P$42)," ")</f>
        <v>100</v>
      </c>
      <c r="Q69" s="29">
        <f>IF(Q$16=1,IF($D$25=1,$D$26*'Assumptions - Freight'!Q$42,'Assumptions - Freight'!Q$42)," ")</f>
        <v>100</v>
      </c>
      <c r="R69" s="29">
        <f>IF(R$16=1,IF($D$25=1,$D$26*'Assumptions - Freight'!R$42,'Assumptions - Freight'!R$42)," ")</f>
        <v>100</v>
      </c>
      <c r="S69" s="29">
        <f>IF(S$16=1,IF($D$25=1,$D$26*'Assumptions - Freight'!S$42,'Assumptions - Freight'!S$42)," ")</f>
        <v>100</v>
      </c>
      <c r="T69" s="29">
        <f>IF(T$16=1,IF($D$25=1,$D$26*'Assumptions - Freight'!T$42,'Assumptions - Freight'!T$42)," ")</f>
        <v>100</v>
      </c>
      <c r="U69" s="29">
        <f>IF(U$16=1,IF($D$25=1,$D$26*'Assumptions - Freight'!U$42,'Assumptions - Freight'!U$42)," ")</f>
        <v>100</v>
      </c>
      <c r="V69" s="29">
        <f>IF(V$16=1,IF($D$25=1,$D$26*'Assumptions - Freight'!V$42,'Assumptions - Freight'!V$42)," ")</f>
        <v>100</v>
      </c>
      <c r="W69" s="29">
        <f>IF(W$16=1,IF($D$25=1,$D$26*'Assumptions - Freight'!W$42,'Assumptions - Freight'!W$42)," ")</f>
        <v>100</v>
      </c>
      <c r="X69" s="29">
        <f>IF(X$16=1,IF($D$25=1,$D$26*'Assumptions - Freight'!X$42,'Assumptions - Freight'!X$42)," ")</f>
        <v>100</v>
      </c>
      <c r="Y69" s="29">
        <f>IF(Y$16=1,IF($D$25=1,$D$26*'Assumptions - Freight'!Y$42,'Assumptions - Freight'!Y$42)," ")</f>
        <v>100</v>
      </c>
      <c r="Z69" s="29">
        <f>IF(Z$16=1,IF($D$25=1,$D$26*'Assumptions - Freight'!Z$42,'Assumptions - Freight'!Z$42)," ")</f>
        <v>100</v>
      </c>
      <c r="AA69" s="29">
        <f>IF(AA$16=1,IF($D$25=1,$D$26*'Assumptions - Freight'!AA$42,'Assumptions - Freight'!AA$42)," ")</f>
        <v>100</v>
      </c>
      <c r="AB69" s="29">
        <f>IF(AB$16=1,IF($D$25=1,$D$26*'Assumptions - Freight'!AB$42,'Assumptions - Freight'!AB$42)," ")</f>
        <v>100</v>
      </c>
      <c r="AC69" s="29">
        <f>IF(AC$16=1,IF($D$25=1,$D$26*'Assumptions - Freight'!AC$42,'Assumptions - Freight'!AC$42)," ")</f>
        <v>100</v>
      </c>
      <c r="AD69" s="29">
        <f>IF(AD$16=1,IF($D$25=1,$D$26*'Assumptions - Freight'!AD$42,'Assumptions - Freight'!AD$42)," ")</f>
        <v>100</v>
      </c>
      <c r="AE69" s="29">
        <f>IF(AE$16=1,IF($D$25=1,$D$26*'Assumptions - Freight'!AE$42,'Assumptions - Freight'!AE$42)," ")</f>
        <v>100</v>
      </c>
      <c r="AF69" s="29">
        <f>IF(AF$16=1,IF($D$25=1,$D$26*'Assumptions - Freight'!AF$42,'Assumptions - Freight'!AF$42)," ")</f>
        <v>100</v>
      </c>
      <c r="AG69" s="29">
        <f>IF(AG$16=1,IF($D$25=1,$D$26*'Assumptions - Freight'!AG$42,'Assumptions - Freight'!AG$42)," ")</f>
        <v>100</v>
      </c>
      <c r="AH69" s="29">
        <f>IF(AH$16=1,IF($D$25=1,$D$26*'Assumptions - Freight'!AH$42,'Assumptions - Freight'!AH$42)," ")</f>
        <v>100</v>
      </c>
    </row>
    <row r="70" spans="1:34" s="20" customFormat="1" ht="14" x14ac:dyDescent="0.2">
      <c r="A70" s="87"/>
      <c r="B70" s="30" t="s">
        <v>608</v>
      </c>
      <c r="C70" s="8"/>
      <c r="D70" s="8" t="str">
        <f>'Assumptions - General'!$E$27 &amp;" millions"</f>
        <v>R$ millions</v>
      </c>
      <c r="E70" s="29"/>
      <c r="F70" s="29">
        <f>IF(F$16=1,'Assumptions - Freight'!F50-Calculations!F63," ")</f>
        <v>0</v>
      </c>
      <c r="G70" s="29">
        <f>IF(G$16=1,'Assumptions - Freight'!G50-Calculations!G63," ")</f>
        <v>0</v>
      </c>
      <c r="H70" s="29">
        <f>IF(H$16=1,'Assumptions - Freight'!H50-Calculations!H63," ")</f>
        <v>0</v>
      </c>
      <c r="I70" s="29">
        <f>IF(I$16=1,'Assumptions - Freight'!I50-Calculations!I63," ")</f>
        <v>0</v>
      </c>
      <c r="J70" s="29">
        <f>IF(J$16=1,'Assumptions - Freight'!J50-Calculations!J63," ")</f>
        <v>0</v>
      </c>
      <c r="K70" s="29">
        <f>IF(K$16=1,'Assumptions - Freight'!K50-Calculations!K63," ")</f>
        <v>0</v>
      </c>
      <c r="L70" s="29">
        <f>IF(L$16=1,'Assumptions - Freight'!L50-Calculations!L63," ")</f>
        <v>0</v>
      </c>
      <c r="M70" s="29">
        <f>IF(M$16=1,'Assumptions - Freight'!M50-Calculations!M63," ")</f>
        <v>0</v>
      </c>
      <c r="N70" s="29">
        <f>IF(N$16=1,'Assumptions - Freight'!N50-Calculations!N63," ")</f>
        <v>0</v>
      </c>
      <c r="O70" s="29">
        <f>IF(O$16=1,'Assumptions - Freight'!O50-Calculations!O63," ")</f>
        <v>0</v>
      </c>
      <c r="P70" s="29">
        <f>IF(P$16=1,'Assumptions - Freight'!P50-Calculations!P63," ")</f>
        <v>0</v>
      </c>
      <c r="Q70" s="29">
        <f>IF(Q$16=1,'Assumptions - Freight'!Q50-Calculations!Q63," ")</f>
        <v>0</v>
      </c>
      <c r="R70" s="29">
        <f>IF(R$16=1,'Assumptions - Freight'!R50-Calculations!R63," ")</f>
        <v>0</v>
      </c>
      <c r="S70" s="29">
        <f>IF(S$16=1,'Assumptions - Freight'!S50-Calculations!S63," ")</f>
        <v>0</v>
      </c>
      <c r="T70" s="29">
        <f>IF(T$16=1,'Assumptions - Freight'!T50-Calculations!T63," ")</f>
        <v>0</v>
      </c>
      <c r="U70" s="29">
        <f>IF(U$16=1,'Assumptions - Freight'!U50-Calculations!U63," ")</f>
        <v>0</v>
      </c>
      <c r="V70" s="29">
        <f>IF(V$16=1,'Assumptions - Freight'!V50-Calculations!V63," ")</f>
        <v>4.9999999999999956</v>
      </c>
      <c r="W70" s="29">
        <f>IF(W$16=1,'Assumptions - Freight'!W50-Calculations!W63," ")</f>
        <v>5</v>
      </c>
      <c r="X70" s="29">
        <f>IF(X$16=1,'Assumptions - Freight'!X50-Calculations!X63," ")</f>
        <v>5</v>
      </c>
      <c r="Y70" s="29">
        <f>IF(Y$16=1,'Assumptions - Freight'!Y50-Calculations!Y63," ")</f>
        <v>5</v>
      </c>
      <c r="Z70" s="29">
        <f>IF(Z$16=1,'Assumptions - Freight'!Z50-Calculations!Z63," ")</f>
        <v>5</v>
      </c>
      <c r="AA70" s="29">
        <f>IF(AA$16=1,'Assumptions - Freight'!AA50-Calculations!AA63," ")</f>
        <v>5</v>
      </c>
      <c r="AB70" s="29">
        <f>IF(AB$16=1,'Assumptions - Freight'!AB50-Calculations!AB63," ")</f>
        <v>5</v>
      </c>
      <c r="AC70" s="29">
        <f>IF(AC$16=1,'Assumptions - Freight'!AC50-Calculations!AC63," ")</f>
        <v>5</v>
      </c>
      <c r="AD70" s="29">
        <f>IF(AD$16=1,'Assumptions - Freight'!AD50-Calculations!AD63," ")</f>
        <v>5</v>
      </c>
      <c r="AE70" s="29">
        <f>IF(AE$16=1,'Assumptions - Freight'!AE50-Calculations!AE63," ")</f>
        <v>5</v>
      </c>
      <c r="AF70" s="29">
        <f>IF(AF$16=1,'Assumptions - Freight'!AF50-Calculations!AF63," ")</f>
        <v>5</v>
      </c>
      <c r="AG70" s="29">
        <f>IF(AG$16=1,'Assumptions - Freight'!AG50-Calculations!AG63," ")</f>
        <v>5</v>
      </c>
      <c r="AH70" s="29">
        <f>IF(AH$16=1,'Assumptions - Freight'!AH50-Calculations!AH63," ")</f>
        <v>5</v>
      </c>
    </row>
    <row r="71" spans="1:34" s="20" customFormat="1" ht="14" x14ac:dyDescent="0.2">
      <c r="A71" s="87"/>
      <c r="B71" s="30" t="s">
        <v>635</v>
      </c>
      <c r="C71" s="8"/>
      <c r="D71" s="8" t="str">
        <f>'Assumptions - General'!$E$27 &amp;" millions"</f>
        <v>R$ millions</v>
      </c>
      <c r="E71" s="29"/>
      <c r="F71" s="29">
        <f>IF(F$16=1,(IF($A61=1,IF(F68-F70&gt;0,(MIN((F68-F70),(SUM($E69:F69)-SUM($E70:F70))/'Assumptions - Freight'!$E77)),0),0))," ")</f>
        <v>0</v>
      </c>
      <c r="G71" s="29">
        <f>IF(G$16=1,(IF($A61=1,IF(G68-G70&gt;0,(MIN((G68-G70),(SUM($E69:G69)-SUM($E70:G70))/'Assumptions - Freight'!$E77)),0),0))," ")</f>
        <v>3.870967741935484</v>
      </c>
      <c r="H71" s="29">
        <f>IF(H$16=1,(IF($A61=1,IF(H68-H70&gt;0,(MIN((H68-H70),(SUM($E69:H69)-SUM($E70:H70))/'Assumptions - Freight'!$E77)),0),0))," ")</f>
        <v>7.096774193548387</v>
      </c>
      <c r="I71" s="29">
        <f>IF(I$16=1,(IF($A61=1,IF(I68-I70&gt;0,(MIN((I68-I70),(SUM($E69:I69)-SUM($E70:I70))/'Assumptions - Freight'!$E77)),0),0))," ")</f>
        <v>10.32258064516129</v>
      </c>
      <c r="J71" s="29">
        <f>IF(J$16=1,(IF($A61=1,IF(J68-J70&gt;0,(MIN((J68-J70),(SUM($E69:J69)-SUM($E70:J70))/'Assumptions - Freight'!$E77)),0),0))," ")</f>
        <v>13.548387096774194</v>
      </c>
      <c r="K71" s="29">
        <f>IF(K$16=1,(IF($A61=1,IF(K68-K70&gt;0,(MIN((K68-K70),(SUM($E69:K69)-SUM($E70:K70))/'Assumptions - Freight'!$E77)),0),0))," ")</f>
        <v>16.774193548387096</v>
      </c>
      <c r="L71" s="29">
        <f>IF(L$16=1,(IF($A61=1,IF(L68-L70&gt;0,(MIN((L68-L70),(SUM($E69:L69)-SUM($E70:L70))/'Assumptions - Freight'!$E77)),0),0))," ")</f>
        <v>20</v>
      </c>
      <c r="M71" s="29">
        <f>IF(M$16=1,(IF($A61=1,IF(M68-M70&gt;0,(MIN((M68-M70),(SUM($E69:M69)-SUM($E70:M70))/'Assumptions - Freight'!$E77)),0),0))," ")</f>
        <v>23.225806451612904</v>
      </c>
      <c r="N71" s="29">
        <f>IF(N$16=1,(IF($A61=1,IF(N68-N70&gt;0,(MIN((N68-N70),(SUM($E69:N69)-SUM($E70:N70))/'Assumptions - Freight'!$E77)),0),0))," ")</f>
        <v>26.451612903225808</v>
      </c>
      <c r="O71" s="29">
        <f>IF(O$16=1,(IF($A61=1,IF(O68-O70&gt;0,(MIN((O68-O70),(SUM($E69:O69)-SUM($E70:O70))/'Assumptions - Freight'!$E77)),0),0))," ")</f>
        <v>29.677419354838708</v>
      </c>
      <c r="P71" s="29">
        <f>IF(P$16=1,(IF($A61=1,IF(P68-P70&gt;0,(MIN((P68-P70),(SUM($E69:P69)-SUM($E70:P70))/'Assumptions - Freight'!$E77)),0),0))," ")</f>
        <v>32.903225806451616</v>
      </c>
      <c r="Q71" s="29">
        <f>IF(Q$16=1,(IF($A61=1,IF(Q68-Q70&gt;0,(MIN((Q68-Q70),(SUM($E69:Q69)-SUM($E70:Q70))/'Assumptions - Freight'!$E77)),0),0))," ")</f>
        <v>36.12903225806452</v>
      </c>
      <c r="R71" s="29">
        <f>IF(R$16=1,(IF($A61=1,IF(R68-R70&gt;0,(MIN((R68-R70),(SUM($E69:R69)-SUM($E70:R70))/'Assumptions - Freight'!$E77)),0),0))," ")</f>
        <v>39.354838709677416</v>
      </c>
      <c r="S71" s="29">
        <f>IF(S$16=1,(IF($A61=1,IF(S68-S70&gt;0,(MIN((S68-S70),(SUM($E69:S69)-SUM($E70:S70))/'Assumptions - Freight'!$E77)),0),0))," ")</f>
        <v>42.58064516129032</v>
      </c>
      <c r="T71" s="29">
        <f>IF(T$16=1,(IF($A61=1,IF(T68-T70&gt;0,(MIN((T68-T70),(SUM($E69:T69)-SUM($E70:T70))/'Assumptions - Freight'!$E77)),0),0))," ")</f>
        <v>45.806451612903224</v>
      </c>
      <c r="U71" s="29">
        <f>IF(U$16=1,(IF($A61=1,IF(U68-U70&gt;0,(MIN((U68-U70),(SUM($E69:U69)-SUM($E70:U70))/'Assumptions - Freight'!$E77)),0),0))," ")</f>
        <v>49.032258064516128</v>
      </c>
      <c r="V71" s="29">
        <f>IF(V$16=1,(IF($A61=1,IF(V68-V70&gt;0,(MIN((V68-V70),(SUM($E69:V69)-SUM($E70:V70))/'Assumptions - Freight'!$E77)),0),0))," ")</f>
        <v>52.096774193548384</v>
      </c>
      <c r="W71" s="29">
        <f>IF(W$16=1,(IF($A61=1,IF(W68-W70&gt;0,(MIN((W68-W70),(SUM($E69:W69)-SUM($E70:W70))/'Assumptions - Freight'!$E77)),0),0))," ")</f>
        <v>55.161290322580648</v>
      </c>
      <c r="X71" s="29">
        <f>IF(X$16=1,(IF($A61=1,IF(X68-X70&gt;0,(MIN((X68-X70),(SUM($E69:X69)-SUM($E70:X70))/'Assumptions - Freight'!$E77)),0),0))," ")</f>
        <v>58.225806451612904</v>
      </c>
      <c r="Y71" s="29">
        <f>IF(Y$16=1,(IF($A61=1,IF(Y68-Y70&gt;0,(MIN((Y68-Y70),(SUM($E69:Y69)-SUM($E70:Y70))/'Assumptions - Freight'!$E77)),0),0))," ")</f>
        <v>61.29032258064516</v>
      </c>
      <c r="Z71" s="29">
        <f>IF(Z$16=1,(IF($A61=1,IF(Z68-Z70&gt;0,(MIN((Z68-Z70),(SUM($E69:Z69)-SUM($E70:Z70))/'Assumptions - Freight'!$E77)),0),0))," ")</f>
        <v>64.354838709677423</v>
      </c>
      <c r="AA71" s="29">
        <f>IF(AA$16=1,(IF($A61=1,IF(AA68-AA70&gt;0,(MIN((AA68-AA70),(SUM($E69:AA69)-SUM($E70:AA70))/'Assumptions - Freight'!$E77)),0),0))," ")</f>
        <v>67.41935483870968</v>
      </c>
      <c r="AB71" s="29">
        <f>IF(AB$16=1,(IF($A61=1,IF(AB68-AB70&gt;0,(MIN((AB68-AB70),(SUM($E69:AB69)-SUM($E70:AB70))/'Assumptions - Freight'!$E77)),0),0))," ")</f>
        <v>70.483870967741936</v>
      </c>
      <c r="AC71" s="29">
        <f>IF(AC$16=1,(IF($A61=1,IF(AC68-AC70&gt;0,(MIN((AC68-AC70),(SUM($E69:AC69)-SUM($E70:AC70))/'Assumptions - Freight'!$E77)),0),0))," ")</f>
        <v>73.548387096774192</v>
      </c>
      <c r="AD71" s="29">
        <f>IF(AD$16=1,(IF($A61=1,IF(AD68-AD70&gt;0,(MIN((AD68-AD70),(SUM($E69:AD69)-SUM($E70:AD70))/'Assumptions - Freight'!$E77)),0),0))," ")</f>
        <v>76.612903225806448</v>
      </c>
      <c r="AE71" s="29">
        <f>IF(AE$16=1,(IF($A61=1,IF(AE68-AE70&gt;0,(MIN((AE68-AE70),(SUM($E69:AE69)-SUM($E70:AE70))/'Assumptions - Freight'!$E77)),0),0))," ")</f>
        <v>79.677419354838705</v>
      </c>
      <c r="AF71" s="29">
        <f>IF(AF$16=1,(IF($A61=1,IF(AF68-AF70&gt;0,(MIN((AF68-AF70),(SUM($E69:AF69)-SUM($E70:AF70))/'Assumptions - Freight'!$E77)),0),0))," ")</f>
        <v>82.741935483870961</v>
      </c>
      <c r="AG71" s="29">
        <f>IF(AG$16=1,(IF($A61=1,IF(AG68-AG70&gt;0,(MIN((AG68-AG70),(SUM($E69:AG69)-SUM($E70:AG70))/'Assumptions - Freight'!$E77)),0),0))," ")</f>
        <v>85.806451612903231</v>
      </c>
      <c r="AH71" s="29">
        <f>IF(AH$16=1,(IF($A61=1,IF(AH68-AH70&gt;0,(MIN((AH68-AH70),(SUM($E69:AH69)-SUM($E70:AH70))/'Assumptions - Freight'!$E77)),0),0))," ")</f>
        <v>88.870967741935488</v>
      </c>
    </row>
    <row r="72" spans="1:34" s="20" customFormat="1" ht="14" x14ac:dyDescent="0.2">
      <c r="A72" s="87"/>
      <c r="B72" s="30" t="s">
        <v>636</v>
      </c>
      <c r="C72" s="8"/>
      <c r="D72" s="8" t="str">
        <f>'Assumptions - General'!$E$27 &amp;" millions"</f>
        <v>R$ millions</v>
      </c>
      <c r="E72" s="29"/>
      <c r="F72" s="29">
        <f>IF(F$16=1,SUM($E71:F71)," ")</f>
        <v>0</v>
      </c>
      <c r="G72" s="29">
        <f>IF(G$16=1,SUM($E71:G71)," ")</f>
        <v>3.870967741935484</v>
      </c>
      <c r="H72" s="29">
        <f>IF(H$16=1,SUM($E71:H71)," ")</f>
        <v>10.967741935483872</v>
      </c>
      <c r="I72" s="29">
        <f>IF(I$16=1,SUM($E71:I71)," ")</f>
        <v>21.29032258064516</v>
      </c>
      <c r="J72" s="29">
        <f>IF(J$16=1,SUM($E71:J71)," ")</f>
        <v>34.838709677419352</v>
      </c>
      <c r="K72" s="29">
        <f>IF(K$16=1,SUM($E71:K71)," ")</f>
        <v>51.612903225806448</v>
      </c>
      <c r="L72" s="29">
        <f>IF(L$16=1,SUM($E71:L71)," ")</f>
        <v>71.612903225806448</v>
      </c>
      <c r="M72" s="29">
        <f>IF(M$16=1,SUM($E71:M71)," ")</f>
        <v>94.838709677419359</v>
      </c>
      <c r="N72" s="29">
        <f>IF(N$16=1,SUM($E71:N71)," ")</f>
        <v>121.29032258064517</v>
      </c>
      <c r="O72" s="29">
        <f>IF(O$16=1,SUM($E71:O71)," ")</f>
        <v>150.96774193548387</v>
      </c>
      <c r="P72" s="29">
        <f>IF(P$16=1,SUM($E71:P71)," ")</f>
        <v>183.87096774193549</v>
      </c>
      <c r="Q72" s="29">
        <f>IF(Q$16=1,SUM($E71:Q71)," ")</f>
        <v>220</v>
      </c>
      <c r="R72" s="29">
        <f>IF(R$16=1,SUM($E71:R71)," ")</f>
        <v>259.35483870967744</v>
      </c>
      <c r="S72" s="29">
        <f>IF(S$16=1,SUM($E71:S71)," ")</f>
        <v>301.93548387096774</v>
      </c>
      <c r="T72" s="29">
        <f>IF(T$16=1,SUM($E71:T71)," ")</f>
        <v>347.74193548387098</v>
      </c>
      <c r="U72" s="29">
        <f>IF(U$16=1,SUM($E71:U71)," ")</f>
        <v>396.77419354838707</v>
      </c>
      <c r="V72" s="29">
        <f>IF(V$16=1,SUM($E71:V71)," ")</f>
        <v>448.87096774193549</v>
      </c>
      <c r="W72" s="29">
        <f>IF(W$16=1,SUM($E71:W71)," ")</f>
        <v>504.03225806451616</v>
      </c>
      <c r="X72" s="29">
        <f>IF(X$16=1,SUM($E71:X71)," ")</f>
        <v>562.25806451612902</v>
      </c>
      <c r="Y72" s="29">
        <f>IF(Y$16=1,SUM($E71:Y71)," ")</f>
        <v>623.54838709677415</v>
      </c>
      <c r="Z72" s="29">
        <f>IF(Z$16=1,SUM($E71:Z71)," ")</f>
        <v>687.90322580645159</v>
      </c>
      <c r="AA72" s="29">
        <f>IF(AA$16=1,SUM($E71:AA71)," ")</f>
        <v>755.32258064516122</v>
      </c>
      <c r="AB72" s="29">
        <f>IF(AB$16=1,SUM($E71:AB71)," ")</f>
        <v>825.80645161290317</v>
      </c>
      <c r="AC72" s="29">
        <f>IF(AC$16=1,SUM($E71:AC71)," ")</f>
        <v>899.35483870967732</v>
      </c>
      <c r="AD72" s="29">
        <f>IF(AD$16=1,SUM($E71:AD71)," ")</f>
        <v>975.96774193548379</v>
      </c>
      <c r="AE72" s="29">
        <f>IF(AE$16=1,SUM($E71:AE71)," ")</f>
        <v>1055.6451612903224</v>
      </c>
      <c r="AF72" s="29">
        <f>IF(AF$16=1,SUM($E71:AF71)," ")</f>
        <v>1138.3870967741934</v>
      </c>
      <c r="AG72" s="29">
        <f>IF(AG$16=1,SUM($E71:AG71)," ")</f>
        <v>1224.1935483870966</v>
      </c>
      <c r="AH72" s="29">
        <f>IF(AH$16=1,SUM($E71:AH71)," ")</f>
        <v>1313.0645161290322</v>
      </c>
    </row>
    <row r="73" spans="1:34" s="20" customFormat="1" ht="14" x14ac:dyDescent="0.2">
      <c r="A73" s="87"/>
      <c r="B73" s="14" t="s">
        <v>640</v>
      </c>
      <c r="C73" s="8"/>
      <c r="D73" s="8" t="str">
        <f>'Assumptions - General'!$E$27 &amp;" millions"</f>
        <v>R$ millions</v>
      </c>
      <c r="E73" s="29"/>
      <c r="F73" s="29">
        <f t="shared" ref="F73:AH73" si="20">IF(F16=1,F68+F69-F70-F71," ")</f>
        <v>20</v>
      </c>
      <c r="G73" s="29">
        <f t="shared" si="20"/>
        <v>116.12903225806451</v>
      </c>
      <c r="H73" s="29">
        <f t="shared" si="20"/>
        <v>209.03225806451613</v>
      </c>
      <c r="I73" s="29">
        <f t="shared" si="20"/>
        <v>298.70967741935482</v>
      </c>
      <c r="J73" s="29">
        <f t="shared" si="20"/>
        <v>385.16129032258061</v>
      </c>
      <c r="K73" s="29">
        <f t="shared" si="20"/>
        <v>468.38709677419354</v>
      </c>
      <c r="L73" s="29">
        <f t="shared" si="20"/>
        <v>548.38709677419354</v>
      </c>
      <c r="M73" s="29">
        <f t="shared" si="20"/>
        <v>625.16129032258061</v>
      </c>
      <c r="N73" s="29">
        <f t="shared" si="20"/>
        <v>698.70967741935476</v>
      </c>
      <c r="O73" s="29">
        <f t="shared" si="20"/>
        <v>769.0322580645161</v>
      </c>
      <c r="P73" s="29">
        <f t="shared" si="20"/>
        <v>836.12903225806451</v>
      </c>
      <c r="Q73" s="29">
        <f t="shared" si="20"/>
        <v>900</v>
      </c>
      <c r="R73" s="29">
        <f t="shared" si="20"/>
        <v>960.64516129032256</v>
      </c>
      <c r="S73" s="29">
        <f t="shared" si="20"/>
        <v>1018.0645161290321</v>
      </c>
      <c r="T73" s="29">
        <f t="shared" si="20"/>
        <v>1072.258064516129</v>
      </c>
      <c r="U73" s="29">
        <f t="shared" si="20"/>
        <v>1123.2258064516129</v>
      </c>
      <c r="V73" s="29">
        <f t="shared" si="20"/>
        <v>1166.1290322580646</v>
      </c>
      <c r="W73" s="29">
        <f t="shared" si="20"/>
        <v>1205.9677419354839</v>
      </c>
      <c r="X73" s="29">
        <f t="shared" si="20"/>
        <v>1242.741935483871</v>
      </c>
      <c r="Y73" s="29">
        <f t="shared" si="20"/>
        <v>1276.4516129032259</v>
      </c>
      <c r="Z73" s="29">
        <f t="shared" si="20"/>
        <v>1307.0967741935485</v>
      </c>
      <c r="AA73" s="29">
        <f t="shared" si="20"/>
        <v>1334.6774193548388</v>
      </c>
      <c r="AB73" s="29">
        <f t="shared" si="20"/>
        <v>1359.1935483870968</v>
      </c>
      <c r="AC73" s="29">
        <f t="shared" si="20"/>
        <v>1380.6451612903227</v>
      </c>
      <c r="AD73" s="29">
        <f t="shared" si="20"/>
        <v>1399.0322580645163</v>
      </c>
      <c r="AE73" s="29">
        <f t="shared" si="20"/>
        <v>1414.3548387096776</v>
      </c>
      <c r="AF73" s="29">
        <f t="shared" si="20"/>
        <v>1426.6129032258066</v>
      </c>
      <c r="AG73" s="29">
        <f t="shared" si="20"/>
        <v>1435.8064516129034</v>
      </c>
      <c r="AH73" s="29">
        <f t="shared" si="20"/>
        <v>1441.9354838709678</v>
      </c>
    </row>
    <row r="74" spans="1:34" s="20" customFormat="1" ht="14" x14ac:dyDescent="0.2">
      <c r="A74" s="87"/>
      <c r="B74" s="14"/>
      <c r="C74" s="8"/>
      <c r="D74" s="8"/>
      <c r="E74" s="29"/>
      <c r="F74" s="29"/>
      <c r="G74" s="29"/>
      <c r="H74" s="29"/>
      <c r="I74" s="29"/>
      <c r="J74" s="29"/>
      <c r="K74" s="29"/>
      <c r="L74" s="29"/>
      <c r="M74" s="29"/>
      <c r="N74" s="29"/>
      <c r="O74" s="29"/>
      <c r="P74" s="29"/>
      <c r="Q74" s="29"/>
      <c r="R74" s="29"/>
      <c r="S74" s="29"/>
      <c r="T74" s="29"/>
      <c r="U74" s="29"/>
      <c r="V74" s="29"/>
      <c r="W74" s="29"/>
      <c r="X74" s="29"/>
      <c r="Y74" s="29"/>
      <c r="Z74" s="29"/>
      <c r="AA74" s="29"/>
      <c r="AB74" s="29"/>
      <c r="AC74" s="29"/>
      <c r="AD74" s="29"/>
      <c r="AE74" s="29"/>
      <c r="AF74" s="29"/>
      <c r="AG74" s="29"/>
      <c r="AH74" s="29"/>
    </row>
    <row r="75" spans="1:34" s="20" customFormat="1" ht="14" x14ac:dyDescent="0.2">
      <c r="A75" s="87"/>
      <c r="B75" s="14" t="s">
        <v>638</v>
      </c>
      <c r="C75" s="8"/>
      <c r="D75" s="8" t="str">
        <f>'Assumptions - General'!$E$27 &amp;" millions"</f>
        <v>R$ millions</v>
      </c>
      <c r="E75" s="29">
        <f t="shared" ref="E75:AH75" si="21">IF(E16=1,E66+E73," ")</f>
        <v>200</v>
      </c>
      <c r="F75" s="29">
        <f t="shared" si="21"/>
        <v>205.71428571428572</v>
      </c>
      <c r="G75" s="29">
        <f t="shared" si="21"/>
        <v>287.7956989247312</v>
      </c>
      <c r="H75" s="29">
        <f t="shared" si="21"/>
        <v>366.88940092165899</v>
      </c>
      <c r="I75" s="29">
        <f t="shared" si="21"/>
        <v>442.9953917050691</v>
      </c>
      <c r="J75" s="29">
        <f t="shared" si="21"/>
        <v>516.11367127496158</v>
      </c>
      <c r="K75" s="29">
        <f t="shared" si="21"/>
        <v>586.24423963133643</v>
      </c>
      <c r="L75" s="29">
        <f t="shared" si="21"/>
        <v>653.38709677419354</v>
      </c>
      <c r="M75" s="29">
        <f t="shared" si="21"/>
        <v>717.54224270353302</v>
      </c>
      <c r="N75" s="29">
        <f t="shared" si="21"/>
        <v>778.70967741935476</v>
      </c>
      <c r="O75" s="29">
        <f t="shared" si="21"/>
        <v>836.88940092165899</v>
      </c>
      <c r="P75" s="29">
        <f t="shared" si="21"/>
        <v>892.08141321044548</v>
      </c>
      <c r="Q75" s="29">
        <f t="shared" si="21"/>
        <v>944.28571428571433</v>
      </c>
      <c r="R75" s="29">
        <f t="shared" si="21"/>
        <v>993.50230414746545</v>
      </c>
      <c r="S75" s="29">
        <f t="shared" si="21"/>
        <v>1039.7311827956987</v>
      </c>
      <c r="T75" s="29">
        <f t="shared" si="21"/>
        <v>1082.9723502304148</v>
      </c>
      <c r="U75" s="29">
        <f t="shared" si="21"/>
        <v>1123.2258064516129</v>
      </c>
      <c r="V75" s="29">
        <f t="shared" si="21"/>
        <v>1166.1290322580646</v>
      </c>
      <c r="W75" s="29">
        <f t="shared" si="21"/>
        <v>1205.9677419354839</v>
      </c>
      <c r="X75" s="29">
        <f t="shared" si="21"/>
        <v>1242.741935483871</v>
      </c>
      <c r="Y75" s="29">
        <f t="shared" si="21"/>
        <v>1276.4516129032259</v>
      </c>
      <c r="Z75" s="29">
        <f t="shared" si="21"/>
        <v>1307.0967741935485</v>
      </c>
      <c r="AA75" s="29">
        <f t="shared" si="21"/>
        <v>1334.6774193548388</v>
      </c>
      <c r="AB75" s="29">
        <f t="shared" si="21"/>
        <v>1359.1935483870968</v>
      </c>
      <c r="AC75" s="29">
        <f t="shared" si="21"/>
        <v>1380.6451612903227</v>
      </c>
      <c r="AD75" s="29">
        <f t="shared" si="21"/>
        <v>1399.0322580645163</v>
      </c>
      <c r="AE75" s="29">
        <f t="shared" si="21"/>
        <v>1414.3548387096776</v>
      </c>
      <c r="AF75" s="29">
        <f t="shared" si="21"/>
        <v>1426.6129032258066</v>
      </c>
      <c r="AG75" s="29">
        <f t="shared" si="21"/>
        <v>1435.8064516129034</v>
      </c>
      <c r="AH75" s="29">
        <f t="shared" si="21"/>
        <v>1441.9354838709678</v>
      </c>
    </row>
    <row r="76" spans="1:34" s="310" customFormat="1" ht="14" x14ac:dyDescent="0.2">
      <c r="A76" s="87"/>
      <c r="B76" s="446"/>
      <c r="C76" s="87"/>
      <c r="D76" s="87"/>
      <c r="E76" s="447"/>
      <c r="F76" s="447"/>
      <c r="G76" s="447"/>
      <c r="H76" s="447"/>
      <c r="I76" s="447"/>
      <c r="J76" s="447"/>
      <c r="K76" s="447"/>
      <c r="L76" s="447"/>
      <c r="M76" s="447"/>
      <c r="N76" s="447"/>
      <c r="O76" s="447"/>
      <c r="P76" s="447"/>
      <c r="Q76" s="447"/>
      <c r="R76" s="447"/>
      <c r="S76" s="447"/>
      <c r="T76" s="447"/>
      <c r="U76" s="447"/>
      <c r="V76" s="447"/>
      <c r="W76" s="447"/>
      <c r="X76" s="447"/>
      <c r="Y76" s="447"/>
      <c r="Z76" s="447"/>
      <c r="AA76" s="447"/>
      <c r="AB76" s="447"/>
      <c r="AC76" s="447"/>
      <c r="AD76" s="447"/>
      <c r="AE76" s="447"/>
      <c r="AF76" s="447"/>
      <c r="AG76" s="447"/>
      <c r="AH76" s="447"/>
    </row>
    <row r="77" spans="1:34" s="20" customFormat="1" ht="14" x14ac:dyDescent="0.2">
      <c r="A77" s="87">
        <f>'Assumptions - Freight'!E81</f>
        <v>1</v>
      </c>
      <c r="B77" s="21" t="str">
        <f>'Assumptions - Freight'!E29</f>
        <v>Locomotives and railway cars</v>
      </c>
      <c r="C77" s="8"/>
      <c r="D77" s="8"/>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s="20" customFormat="1" ht="14" x14ac:dyDescent="0.2">
      <c r="A78" s="87"/>
      <c r="B78" s="14" t="s">
        <v>637</v>
      </c>
      <c r="C78" s="8"/>
      <c r="D78" s="8" t="str">
        <f>'Assumptions - General'!$E$27 &amp;" millions"</f>
        <v>R$ millions</v>
      </c>
      <c r="E78" s="29"/>
      <c r="F78" s="31">
        <f t="shared" ref="F78:AH78" si="22">IF(F$16=1,E82," ")</f>
        <v>300</v>
      </c>
      <c r="G78" s="31">
        <f t="shared" si="22"/>
        <v>280.25</v>
      </c>
      <c r="H78" s="31">
        <f t="shared" si="22"/>
        <v>260.75</v>
      </c>
      <c r="I78" s="31">
        <f t="shared" si="22"/>
        <v>241.5</v>
      </c>
      <c r="J78" s="31">
        <f t="shared" si="22"/>
        <v>222.5</v>
      </c>
      <c r="K78" s="31">
        <f t="shared" si="22"/>
        <v>203.75</v>
      </c>
      <c r="L78" s="31">
        <f t="shared" si="22"/>
        <v>185.25</v>
      </c>
      <c r="M78" s="31">
        <f t="shared" si="22"/>
        <v>167</v>
      </c>
      <c r="N78" s="31">
        <f t="shared" si="22"/>
        <v>149</v>
      </c>
      <c r="O78" s="31">
        <f t="shared" si="22"/>
        <v>131.25</v>
      </c>
      <c r="P78" s="31">
        <f t="shared" si="22"/>
        <v>113.75</v>
      </c>
      <c r="Q78" s="31">
        <f t="shared" si="22"/>
        <v>96.5</v>
      </c>
      <c r="R78" s="31">
        <f t="shared" si="22"/>
        <v>79.5</v>
      </c>
      <c r="S78" s="31">
        <f t="shared" si="22"/>
        <v>62.75</v>
      </c>
      <c r="T78" s="31">
        <f t="shared" si="22"/>
        <v>46.25</v>
      </c>
      <c r="U78" s="31">
        <f t="shared" si="22"/>
        <v>30</v>
      </c>
      <c r="V78" s="31">
        <f t="shared" si="22"/>
        <v>14</v>
      </c>
      <c r="W78" s="31">
        <f t="shared" si="22"/>
        <v>0</v>
      </c>
      <c r="X78" s="31">
        <f t="shared" si="22"/>
        <v>0</v>
      </c>
      <c r="Y78" s="31">
        <f t="shared" si="22"/>
        <v>0</v>
      </c>
      <c r="Z78" s="31">
        <f t="shared" si="22"/>
        <v>0</v>
      </c>
      <c r="AA78" s="31">
        <f t="shared" si="22"/>
        <v>0</v>
      </c>
      <c r="AB78" s="31">
        <f t="shared" si="22"/>
        <v>0</v>
      </c>
      <c r="AC78" s="31">
        <f t="shared" si="22"/>
        <v>0</v>
      </c>
      <c r="AD78" s="31">
        <f t="shared" si="22"/>
        <v>0</v>
      </c>
      <c r="AE78" s="31">
        <f t="shared" si="22"/>
        <v>0</v>
      </c>
      <c r="AF78" s="31">
        <f t="shared" si="22"/>
        <v>0</v>
      </c>
      <c r="AG78" s="31">
        <f t="shared" si="22"/>
        <v>0</v>
      </c>
      <c r="AH78" s="31">
        <f t="shared" si="22"/>
        <v>0</v>
      </c>
    </row>
    <row r="79" spans="1:34" s="20" customFormat="1" ht="14" x14ac:dyDescent="0.2">
      <c r="A79" s="87"/>
      <c r="B79" s="30" t="s">
        <v>608</v>
      </c>
      <c r="C79" s="8"/>
      <c r="D79" s="8" t="str">
        <f>'Assumptions - General'!$E$27 &amp;" millions"</f>
        <v>R$ millions</v>
      </c>
      <c r="E79" s="29"/>
      <c r="F79" s="29">
        <f>IF(F$16=1,IF(F78&gt;0,MIN(F78,'Assumptions - Freight'!F51),0)," ")</f>
        <v>5</v>
      </c>
      <c r="G79" s="29">
        <f>IF(G$16=1,IF(G78&gt;0,MIN(G78,'Assumptions - Freight'!G51),0)," ")</f>
        <v>5</v>
      </c>
      <c r="H79" s="29">
        <f>IF(H$16=1,IF(H78&gt;0,MIN(H78,'Assumptions - Freight'!H51),0)," ")</f>
        <v>5</v>
      </c>
      <c r="I79" s="29">
        <f>IF(I$16=1,IF(I78&gt;0,MIN(I78,'Assumptions - Freight'!I51),0)," ")</f>
        <v>5</v>
      </c>
      <c r="J79" s="29">
        <f>IF(J$16=1,IF(J78&gt;0,MIN(J78,'Assumptions - Freight'!J51),0)," ")</f>
        <v>5</v>
      </c>
      <c r="K79" s="29">
        <f>IF(K$16=1,IF(K78&gt;0,MIN(K78,'Assumptions - Freight'!K51),0)," ")</f>
        <v>5</v>
      </c>
      <c r="L79" s="29">
        <f>IF(L$16=1,IF(L78&gt;0,MIN(L78,'Assumptions - Freight'!L51),0)," ")</f>
        <v>5</v>
      </c>
      <c r="M79" s="29">
        <f>IF(M$16=1,IF(M78&gt;0,MIN(M78,'Assumptions - Freight'!M51),0)," ")</f>
        <v>5</v>
      </c>
      <c r="N79" s="29">
        <f>IF(N$16=1,IF(N78&gt;0,MIN(N78,'Assumptions - Freight'!N51),0)," ")</f>
        <v>5</v>
      </c>
      <c r="O79" s="29">
        <f>IF(O$16=1,IF(O78&gt;0,MIN(O78,'Assumptions - Freight'!O51),0)," ")</f>
        <v>5</v>
      </c>
      <c r="P79" s="29">
        <f>IF(P$16=1,IF(P78&gt;0,MIN(P78,'Assumptions - Freight'!P51),0)," ")</f>
        <v>5</v>
      </c>
      <c r="Q79" s="29">
        <f>IF(Q$16=1,IF(Q78&gt;0,MIN(Q78,'Assumptions - Freight'!Q51),0)," ")</f>
        <v>5</v>
      </c>
      <c r="R79" s="29">
        <f>IF(R$16=1,IF(R78&gt;0,MIN(R78,'Assumptions - Freight'!R51),0)," ")</f>
        <v>5</v>
      </c>
      <c r="S79" s="29">
        <f>IF(S$16=1,IF(S78&gt;0,MIN(S78,'Assumptions - Freight'!S51),0)," ")</f>
        <v>5</v>
      </c>
      <c r="T79" s="29">
        <f>IF(T$16=1,IF(T78&gt;0,MIN(T78,'Assumptions - Freight'!T51),0)," ")</f>
        <v>5</v>
      </c>
      <c r="U79" s="29">
        <f>IF(U$16=1,IF(U78&gt;0,MIN(U78,'Assumptions - Freight'!U51),0)," ")</f>
        <v>5</v>
      </c>
      <c r="V79" s="29">
        <f>IF(V$16=1,IF(V78&gt;0,MIN(V78,'Assumptions - Freight'!V51),0)," ")</f>
        <v>5</v>
      </c>
      <c r="W79" s="29">
        <f>IF(W$16=1,IF(W78&gt;0,MIN(W78,'Assumptions - Freight'!W51),0)," ")</f>
        <v>0</v>
      </c>
      <c r="X79" s="29">
        <f>IF(X$16=1,IF(X78&gt;0,MIN(X78,'Assumptions - Freight'!X51),0)," ")</f>
        <v>0</v>
      </c>
      <c r="Y79" s="29">
        <f>IF(Y$16=1,IF(Y78&gt;0,MIN(Y78,'Assumptions - Freight'!Y51),0)," ")</f>
        <v>0</v>
      </c>
      <c r="Z79" s="29">
        <f>IF(Z$16=1,IF(Z78&gt;0,MIN(Z78,'Assumptions - Freight'!Z51),0)," ")</f>
        <v>0</v>
      </c>
      <c r="AA79" s="29">
        <f>IF(AA$16=1,IF(AA78&gt;0,MIN(AA78,'Assumptions - Freight'!AA51),0)," ")</f>
        <v>0</v>
      </c>
      <c r="AB79" s="29">
        <f>IF(AB$16=1,IF(AB78&gt;0,MIN(AB78,'Assumptions - Freight'!AB51),0)," ")</f>
        <v>0</v>
      </c>
      <c r="AC79" s="29">
        <f>IF(AC$16=1,IF(AC78&gt;0,MIN(AC78,'Assumptions - Freight'!AC51),0)," ")</f>
        <v>0</v>
      </c>
      <c r="AD79" s="29">
        <f>IF(AD$16=1,IF(AD78&gt;0,MIN(AD78,'Assumptions - Freight'!AD51),0)," ")</f>
        <v>0</v>
      </c>
      <c r="AE79" s="29">
        <f>IF(AE$16=1,IF(AE78&gt;0,MIN(AE78,'Assumptions - Freight'!AE51),0)," ")</f>
        <v>0</v>
      </c>
      <c r="AF79" s="29">
        <f>IF(AF$16=1,IF(AF78&gt;0,MIN(AF78,'Assumptions - Freight'!AF51),0)," ")</f>
        <v>0</v>
      </c>
      <c r="AG79" s="29">
        <f>IF(AG$16=1,IF(AG78&gt;0,MIN(AG78,'Assumptions - Freight'!AG51),0)," ")</f>
        <v>0</v>
      </c>
      <c r="AH79" s="29">
        <f>IF(AH$16=1,IF(AH78&gt;0,MIN(AH78,'Assumptions - Freight'!AH51),0)," ")</f>
        <v>0</v>
      </c>
    </row>
    <row r="80" spans="1:34" s="20" customFormat="1" ht="14" x14ac:dyDescent="0.2">
      <c r="A80" s="87"/>
      <c r="B80" s="30" t="str">
        <f>IF(A77=1,"Less depreciation of existing assets","Less depreciation of assets")</f>
        <v>Less depreciation of existing assets</v>
      </c>
      <c r="C80" s="8"/>
      <c r="D80" s="8" t="str">
        <f>'Assumptions - General'!$E$27 &amp;" millions"</f>
        <v>R$ millions</v>
      </c>
      <c r="E80" s="29"/>
      <c r="F80" s="229">
        <f>IF(F$16=1,(IF($A77=1,IF(F78-F79&gt;0,(MIN((F78-F79),($E82-SUM($E79:F79))/'Assumptions - Freight'!$E83)),0),'Assumptions - Freight'!F86))," ")</f>
        <v>14.75</v>
      </c>
      <c r="G80" s="229">
        <f>IF(G$16=1,(IF($A77=1,IF(G78-G79&gt;0,(MIN((G78-G79),($E82-SUM($E79:G79))/'Assumptions - Freight'!$E83)),0),'Assumptions - Freight'!G86))," ")</f>
        <v>14.5</v>
      </c>
      <c r="H80" s="229">
        <f>IF(H$16=1,(IF($A77=1,IF(H78-H79&gt;0,(MIN((H78-H79),($E82-SUM($E79:H79))/'Assumptions - Freight'!$E83)),0),'Assumptions - Freight'!H86))," ")</f>
        <v>14.25</v>
      </c>
      <c r="I80" s="229">
        <f>IF(I$16=1,(IF($A77=1,IF(I78-I79&gt;0,(MIN((I78-I79),($E82-SUM($E79:I79))/'Assumptions - Freight'!$E83)),0),'Assumptions - Freight'!I86))," ")</f>
        <v>14</v>
      </c>
      <c r="J80" s="229">
        <f>IF(J$16=1,(IF($A77=1,IF(J78-J79&gt;0,(MIN((J78-J79),($E82-SUM($E79:J79))/'Assumptions - Freight'!$E83)),0),'Assumptions - Freight'!J86))," ")</f>
        <v>13.75</v>
      </c>
      <c r="K80" s="229">
        <f>IF(K$16=1,(IF($A77=1,IF(K78-K79&gt;0,(MIN((K78-K79),($E82-SUM($E79:K79))/'Assumptions - Freight'!$E83)),0),'Assumptions - Freight'!K86))," ")</f>
        <v>13.5</v>
      </c>
      <c r="L80" s="229">
        <f>IF(L$16=1,(IF($A77=1,IF(L78-L79&gt;0,(MIN((L78-L79),($E82-SUM($E79:L79))/'Assumptions - Freight'!$E83)),0),'Assumptions - Freight'!L86))," ")</f>
        <v>13.25</v>
      </c>
      <c r="M80" s="229">
        <f>IF(M$16=1,(IF($A77=1,IF(M78-M79&gt;0,(MIN((M78-M79),($E82-SUM($E79:M79))/'Assumptions - Freight'!$E83)),0),'Assumptions - Freight'!M86))," ")</f>
        <v>13</v>
      </c>
      <c r="N80" s="229">
        <f>IF(N$16=1,(IF($A77=1,IF(N78-N79&gt;0,(MIN((N78-N79),($E82-SUM($E79:N79))/'Assumptions - Freight'!$E83)),0),'Assumptions - Freight'!N86))," ")</f>
        <v>12.75</v>
      </c>
      <c r="O80" s="229">
        <f>IF(O$16=1,(IF($A77=1,IF(O78-O79&gt;0,(MIN((O78-O79),($E82-SUM($E79:O79))/'Assumptions - Freight'!$E83)),0),'Assumptions - Freight'!O86))," ")</f>
        <v>12.5</v>
      </c>
      <c r="P80" s="229">
        <f>IF(P$16=1,(IF($A77=1,IF(P78-P79&gt;0,(MIN((P78-P79),($E82-SUM($E79:P79))/'Assumptions - Freight'!$E83)),0),'Assumptions - Freight'!P86))," ")</f>
        <v>12.25</v>
      </c>
      <c r="Q80" s="229">
        <f>IF(Q$16=1,(IF($A77=1,IF(Q78-Q79&gt;0,(MIN((Q78-Q79),($E82-SUM($E79:Q79))/'Assumptions - Freight'!$E83)),0),'Assumptions - Freight'!Q86))," ")</f>
        <v>12</v>
      </c>
      <c r="R80" s="229">
        <f>IF(R$16=1,(IF($A77=1,IF(R78-R79&gt;0,(MIN((R78-R79),($E82-SUM($E79:R79))/'Assumptions - Freight'!$E83)),0),'Assumptions - Freight'!R86))," ")</f>
        <v>11.75</v>
      </c>
      <c r="S80" s="229">
        <f>IF(S$16=1,(IF($A77=1,IF(S78-S79&gt;0,(MIN((S78-S79),($E82-SUM($E79:S79))/'Assumptions - Freight'!$E83)),0),'Assumptions - Freight'!S86))," ")</f>
        <v>11.5</v>
      </c>
      <c r="T80" s="229">
        <f>IF(T$16=1,(IF($A77=1,IF(T78-T79&gt;0,(MIN((T78-T79),($E82-SUM($E79:T79))/'Assumptions - Freight'!$E83)),0),'Assumptions - Freight'!T86))," ")</f>
        <v>11.25</v>
      </c>
      <c r="U80" s="229">
        <f>IF(U$16=1,(IF($A77=1,IF(U78-U79&gt;0,(MIN((U78-U79),($E82-SUM($E79:U79))/'Assumptions - Freight'!$E83)),0),'Assumptions - Freight'!U86))," ")</f>
        <v>11</v>
      </c>
      <c r="V80" s="229">
        <f>IF(V$16=1,(IF($A77=1,IF(V78-V79&gt;0,(MIN((V78-V79),($E82-SUM($E79:V79))/'Assumptions - Freight'!$E83)),0),'Assumptions - Freight'!V86))," ")</f>
        <v>9</v>
      </c>
      <c r="W80" s="229">
        <f>IF(W$16=1,(IF($A77=1,IF(W78-W79&gt;0,(MIN((W78-W79),($E82-SUM($E79:W79))/'Assumptions - Freight'!$E83)),0),'Assumptions - Freight'!W86))," ")</f>
        <v>0</v>
      </c>
      <c r="X80" s="229">
        <f>IF(X$16=1,(IF($A77=1,IF(X78-X79&gt;0,(MIN((X78-X79),($E82-SUM($E79:X79))/'Assumptions - Freight'!$E83)),0),'Assumptions - Freight'!X86))," ")</f>
        <v>0</v>
      </c>
      <c r="Y80" s="229">
        <f>IF(Y$16=1,(IF($A77=1,IF(Y78-Y79&gt;0,(MIN((Y78-Y79),($E82-SUM($E79:Y79))/'Assumptions - Freight'!$E83)),0),'Assumptions - Freight'!Y86))," ")</f>
        <v>0</v>
      </c>
      <c r="Z80" s="229">
        <f>IF(Z$16=1,(IF($A77=1,IF(Z78-Z79&gt;0,(MIN((Z78-Z79),($E82-SUM($E79:Z79))/'Assumptions - Freight'!$E83)),0),'Assumptions - Freight'!Z86))," ")</f>
        <v>0</v>
      </c>
      <c r="AA80" s="229">
        <f>IF(AA$16=1,(IF($A77=1,IF(AA78-AA79&gt;0,(MIN((AA78-AA79),($E82-SUM($E79:AA79))/'Assumptions - Freight'!$E83)),0),'Assumptions - Freight'!AA86))," ")</f>
        <v>0</v>
      </c>
      <c r="AB80" s="229">
        <f>IF(AB$16=1,(IF($A77=1,IF(AB78-AB79&gt;0,(MIN((AB78-AB79),($E82-SUM($E79:AB79))/'Assumptions - Freight'!$E83)),0),'Assumptions - Freight'!AB86))," ")</f>
        <v>0</v>
      </c>
      <c r="AC80" s="229">
        <f>IF(AC$16=1,(IF($A77=1,IF(AC78-AC79&gt;0,(MIN((AC78-AC79),($E82-SUM($E79:AC79))/'Assumptions - Freight'!$E83)),0),'Assumptions - Freight'!AC86))," ")</f>
        <v>0</v>
      </c>
      <c r="AD80" s="229">
        <f>IF(AD$16=1,(IF($A77=1,IF(AD78-AD79&gt;0,(MIN((AD78-AD79),($E82-SUM($E79:AD79))/'Assumptions - Freight'!$E83)),0),'Assumptions - Freight'!AD86))," ")</f>
        <v>0</v>
      </c>
      <c r="AE80" s="229">
        <f>IF(AE$16=1,(IF($A77=1,IF(AE78-AE79&gt;0,(MIN((AE78-AE79),($E82-SUM($E79:AE79))/'Assumptions - Freight'!$E83)),0),'Assumptions - Freight'!AE86))," ")</f>
        <v>0</v>
      </c>
      <c r="AF80" s="229">
        <f>IF(AF$16=1,(IF($A77=1,IF(AF78-AF79&gt;0,(MIN((AF78-AF79),($E82-SUM($E79:AF79))/'Assumptions - Freight'!$E83)),0),'Assumptions - Freight'!AF86))," ")</f>
        <v>0</v>
      </c>
      <c r="AG80" s="229">
        <f>IF(AG$16=1,(IF($A77=1,IF(AG78-AG79&gt;0,(MIN((AG78-AG79),($E82-SUM($E79:AG79))/'Assumptions - Freight'!$E83)),0),'Assumptions - Freight'!AG86))," ")</f>
        <v>0</v>
      </c>
      <c r="AH80" s="229">
        <f>IF(AH$16=1,(IF($A77=1,IF(AH78-AH79&gt;0,(MIN((AH78-AH79),($E82-SUM($E79:AH79))/'Assumptions - Freight'!$E83)),0),'Assumptions - Freight'!AH86))," ")</f>
        <v>0</v>
      </c>
    </row>
    <row r="81" spans="1:34" s="20" customFormat="1" ht="14" x14ac:dyDescent="0.2">
      <c r="A81" s="87"/>
      <c r="B81" s="30" t="str">
        <f>IF(A77=1,"Accumulated depreciation of existing assets","Accumulated depreciation of assets")</f>
        <v>Accumulated depreciation of existing assets</v>
      </c>
      <c r="C81" s="8"/>
      <c r="D81" s="8" t="str">
        <f>'Assumptions - General'!$E$27 &amp;" millions"</f>
        <v>R$ millions</v>
      </c>
      <c r="E81" s="29"/>
      <c r="F81" s="29">
        <f>IF(F$16=1,SUM($E80:F80)," ")</f>
        <v>14.75</v>
      </c>
      <c r="G81" s="29">
        <f>IF(G$16=1,SUM($E80:G80)," ")</f>
        <v>29.25</v>
      </c>
      <c r="H81" s="29">
        <f>IF(H$16=1,SUM($E80:H80)," ")</f>
        <v>43.5</v>
      </c>
      <c r="I81" s="29">
        <f>IF(I$16=1,SUM($E80:I80)," ")</f>
        <v>57.5</v>
      </c>
      <c r="J81" s="29">
        <f>IF(J$16=1,SUM($E80:J80)," ")</f>
        <v>71.25</v>
      </c>
      <c r="K81" s="29">
        <f>IF(K$16=1,SUM($E80:K80)," ")</f>
        <v>84.75</v>
      </c>
      <c r="L81" s="29">
        <f>IF(L$16=1,SUM($E80:L80)," ")</f>
        <v>98</v>
      </c>
      <c r="M81" s="29">
        <f>IF(M$16=1,SUM($E80:M80)," ")</f>
        <v>111</v>
      </c>
      <c r="N81" s="29">
        <f>IF(N$16=1,SUM($E80:N80)," ")</f>
        <v>123.75</v>
      </c>
      <c r="O81" s="29">
        <f>IF(O$16=1,SUM($E80:O80)," ")</f>
        <v>136.25</v>
      </c>
      <c r="P81" s="29">
        <f>IF(P$16=1,SUM($E80:P80)," ")</f>
        <v>148.5</v>
      </c>
      <c r="Q81" s="29">
        <f>IF(Q$16=1,SUM($E80:Q80)," ")</f>
        <v>160.5</v>
      </c>
      <c r="R81" s="29">
        <f>IF(R$16=1,SUM($E80:R80)," ")</f>
        <v>172.25</v>
      </c>
      <c r="S81" s="29">
        <f>IF(S$16=1,SUM($E80:S80)," ")</f>
        <v>183.75</v>
      </c>
      <c r="T81" s="29">
        <f>IF(T$16=1,SUM($E80:T80)," ")</f>
        <v>195</v>
      </c>
      <c r="U81" s="29">
        <f>IF(U$16=1,SUM($E80:U80)," ")</f>
        <v>206</v>
      </c>
      <c r="V81" s="29">
        <f>IF(V$16=1,SUM($E80:V80)," ")</f>
        <v>215</v>
      </c>
      <c r="W81" s="29">
        <f>IF(W$16=1,SUM($E80:W80)," ")</f>
        <v>215</v>
      </c>
      <c r="X81" s="29">
        <f>IF(X$16=1,SUM($E80:X80)," ")</f>
        <v>215</v>
      </c>
      <c r="Y81" s="29">
        <f>IF(Y$16=1,SUM($E80:Y80)," ")</f>
        <v>215</v>
      </c>
      <c r="Z81" s="29">
        <f>IF(Z$16=1,SUM($E80:Z80)," ")</f>
        <v>215</v>
      </c>
      <c r="AA81" s="29">
        <f>IF(AA$16=1,SUM($E80:AA80)," ")</f>
        <v>215</v>
      </c>
      <c r="AB81" s="29">
        <f>IF(AB$16=1,SUM($E80:AB80)," ")</f>
        <v>215</v>
      </c>
      <c r="AC81" s="29">
        <f>IF(AC$16=1,SUM($E80:AC80)," ")</f>
        <v>215</v>
      </c>
      <c r="AD81" s="29">
        <f>IF(AD$16=1,SUM($E80:AD80)," ")</f>
        <v>215</v>
      </c>
      <c r="AE81" s="29">
        <f>IF(AE$16=1,SUM($E80:AE80)," ")</f>
        <v>215</v>
      </c>
      <c r="AF81" s="29">
        <f>IF(AF$16=1,SUM($E80:AF80)," ")</f>
        <v>215</v>
      </c>
      <c r="AG81" s="29">
        <f>IF(AG$16=1,SUM($E80:AG80)," ")</f>
        <v>215</v>
      </c>
      <c r="AH81" s="29">
        <f>IF(AH$16=1,SUM($E80:AH80)," ")</f>
        <v>215</v>
      </c>
    </row>
    <row r="82" spans="1:34" s="20" customFormat="1" ht="14" x14ac:dyDescent="0.2">
      <c r="A82" s="87"/>
      <c r="B82" s="14" t="s">
        <v>639</v>
      </c>
      <c r="C82" s="8"/>
      <c r="D82" s="8" t="str">
        <f>'Assumptions - General'!$E$27 &amp;" millions"</f>
        <v>R$ millions</v>
      </c>
      <c r="E82" s="463">
        <f>IF(E$16=1,'Assumptions - Freight'!E36," ")</f>
        <v>300</v>
      </c>
      <c r="F82" s="29">
        <f>IF(F$16=1,F78-F79-F80," ")</f>
        <v>280.25</v>
      </c>
      <c r="G82" s="29">
        <f t="shared" ref="G82:AH82" si="23">IF(G$16=1,G78-G79-G80," ")</f>
        <v>260.75</v>
      </c>
      <c r="H82" s="29">
        <f t="shared" si="23"/>
        <v>241.5</v>
      </c>
      <c r="I82" s="29">
        <f t="shared" si="23"/>
        <v>222.5</v>
      </c>
      <c r="J82" s="29">
        <f t="shared" si="23"/>
        <v>203.75</v>
      </c>
      <c r="K82" s="29">
        <f t="shared" si="23"/>
        <v>185.25</v>
      </c>
      <c r="L82" s="29">
        <f t="shared" si="23"/>
        <v>167</v>
      </c>
      <c r="M82" s="29">
        <f t="shared" si="23"/>
        <v>149</v>
      </c>
      <c r="N82" s="29">
        <f t="shared" si="23"/>
        <v>131.25</v>
      </c>
      <c r="O82" s="29">
        <f t="shared" si="23"/>
        <v>113.75</v>
      </c>
      <c r="P82" s="29">
        <f t="shared" si="23"/>
        <v>96.5</v>
      </c>
      <c r="Q82" s="29">
        <f t="shared" si="23"/>
        <v>79.5</v>
      </c>
      <c r="R82" s="29">
        <f t="shared" si="23"/>
        <v>62.75</v>
      </c>
      <c r="S82" s="29">
        <f t="shared" si="23"/>
        <v>46.25</v>
      </c>
      <c r="T82" s="29">
        <f t="shared" si="23"/>
        <v>30</v>
      </c>
      <c r="U82" s="29">
        <f t="shared" si="23"/>
        <v>14</v>
      </c>
      <c r="V82" s="29">
        <f t="shared" si="23"/>
        <v>0</v>
      </c>
      <c r="W82" s="29">
        <f t="shared" si="23"/>
        <v>0</v>
      </c>
      <c r="X82" s="29">
        <f t="shared" si="23"/>
        <v>0</v>
      </c>
      <c r="Y82" s="29">
        <f t="shared" si="23"/>
        <v>0</v>
      </c>
      <c r="Z82" s="29">
        <f t="shared" si="23"/>
        <v>0</v>
      </c>
      <c r="AA82" s="29">
        <f t="shared" si="23"/>
        <v>0</v>
      </c>
      <c r="AB82" s="29">
        <f t="shared" si="23"/>
        <v>0</v>
      </c>
      <c r="AC82" s="29">
        <f t="shared" si="23"/>
        <v>0</v>
      </c>
      <c r="AD82" s="29">
        <f t="shared" si="23"/>
        <v>0</v>
      </c>
      <c r="AE82" s="29">
        <f t="shared" si="23"/>
        <v>0</v>
      </c>
      <c r="AF82" s="29">
        <f t="shared" si="23"/>
        <v>0</v>
      </c>
      <c r="AG82" s="29">
        <f t="shared" si="23"/>
        <v>0</v>
      </c>
      <c r="AH82" s="29">
        <f t="shared" si="23"/>
        <v>0</v>
      </c>
    </row>
    <row r="83" spans="1:34" s="20" customFormat="1" ht="14" x14ac:dyDescent="0.2">
      <c r="A83" s="87"/>
      <c r="B83" s="14"/>
      <c r="C83" s="8"/>
      <c r="D83" s="8"/>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row>
    <row r="84" spans="1:34" s="20" customFormat="1" ht="14" x14ac:dyDescent="0.2">
      <c r="A84" s="87"/>
      <c r="B84" s="14" t="s">
        <v>634</v>
      </c>
      <c r="C84" s="8"/>
      <c r="D84" s="8" t="str">
        <f>'Assumptions - General'!$E$27 &amp;" millions"</f>
        <v>R$ millions</v>
      </c>
      <c r="E84" s="29"/>
      <c r="F84" s="29">
        <f t="shared" ref="F84:AH84" si="24">IF(F16=1,E89," ")</f>
        <v>0</v>
      </c>
      <c r="G84" s="29">
        <f t="shared" si="24"/>
        <v>25</v>
      </c>
      <c r="H84" s="29">
        <f t="shared" si="24"/>
        <v>120.83333333333333</v>
      </c>
      <c r="I84" s="29">
        <f t="shared" si="24"/>
        <v>213.33333333333331</v>
      </c>
      <c r="J84" s="29">
        <f t="shared" si="24"/>
        <v>302.5</v>
      </c>
      <c r="K84" s="29">
        <f t="shared" si="24"/>
        <v>388.33333333333331</v>
      </c>
      <c r="L84" s="29">
        <f t="shared" si="24"/>
        <v>470.83333333333331</v>
      </c>
      <c r="M84" s="29">
        <f t="shared" si="24"/>
        <v>549.99999999999989</v>
      </c>
      <c r="N84" s="29">
        <f t="shared" si="24"/>
        <v>625.83333333333326</v>
      </c>
      <c r="O84" s="29">
        <f t="shared" si="24"/>
        <v>698.33333333333326</v>
      </c>
      <c r="P84" s="29">
        <f t="shared" si="24"/>
        <v>767.49999999999989</v>
      </c>
      <c r="Q84" s="29">
        <f t="shared" si="24"/>
        <v>833.33333333333326</v>
      </c>
      <c r="R84" s="29">
        <f t="shared" si="24"/>
        <v>895.83333333333326</v>
      </c>
      <c r="S84" s="29">
        <f t="shared" si="24"/>
        <v>954.99999999999989</v>
      </c>
      <c r="T84" s="29">
        <f t="shared" si="24"/>
        <v>1010.8333333333334</v>
      </c>
      <c r="U84" s="29">
        <f t="shared" si="24"/>
        <v>1063.3333333333335</v>
      </c>
      <c r="V84" s="29">
        <f t="shared" si="24"/>
        <v>1112.5000000000002</v>
      </c>
      <c r="W84" s="29">
        <f t="shared" si="24"/>
        <v>1158.3333333333335</v>
      </c>
      <c r="X84" s="29">
        <f t="shared" si="24"/>
        <v>1196.0000000000002</v>
      </c>
      <c r="Y84" s="29">
        <f t="shared" si="24"/>
        <v>1230.5000000000002</v>
      </c>
      <c r="Z84" s="29">
        <f t="shared" si="24"/>
        <v>1261.8333333333335</v>
      </c>
      <c r="AA84" s="29">
        <f t="shared" si="24"/>
        <v>1290.0000000000002</v>
      </c>
      <c r="AB84" s="29">
        <f t="shared" si="24"/>
        <v>1315.0000000000002</v>
      </c>
      <c r="AC84" s="29">
        <f t="shared" si="24"/>
        <v>1336.8333333333335</v>
      </c>
      <c r="AD84" s="29">
        <f t="shared" si="24"/>
        <v>1355.5000000000002</v>
      </c>
      <c r="AE84" s="29">
        <f t="shared" si="24"/>
        <v>1371.0000000000002</v>
      </c>
      <c r="AF84" s="29">
        <f t="shared" si="24"/>
        <v>1383.3333333333335</v>
      </c>
      <c r="AG84" s="29">
        <f t="shared" si="24"/>
        <v>1392.5000000000002</v>
      </c>
      <c r="AH84" s="29">
        <f t="shared" si="24"/>
        <v>1398.5000000000002</v>
      </c>
    </row>
    <row r="85" spans="1:34" s="20" customFormat="1" ht="14" x14ac:dyDescent="0.2">
      <c r="A85" s="87"/>
      <c r="B85" s="30" t="s">
        <v>130</v>
      </c>
      <c r="C85" s="8"/>
      <c r="D85" s="8" t="str">
        <f>'Assumptions - General'!$E$27 &amp;" millions"</f>
        <v>R$ millions</v>
      </c>
      <c r="E85" s="29"/>
      <c r="F85" s="29">
        <f>IF(F$16=1,IF($D$25=1,$D$26*'Assumptions - Freight'!F$43,'Assumptions - Freight'!F$43)," ")</f>
        <v>25</v>
      </c>
      <c r="G85" s="29">
        <f>IF(G$16=1,IF($D$25=1,$D$26*'Assumptions - Freight'!G$43,'Assumptions - Freight'!G$43)," ")</f>
        <v>100</v>
      </c>
      <c r="H85" s="29">
        <f>IF(H$16=1,IF($D$25=1,$D$26*'Assumptions - Freight'!H$43,'Assumptions - Freight'!H$43)," ")</f>
        <v>100</v>
      </c>
      <c r="I85" s="29">
        <f>IF(I$16=1,IF($D$25=1,$D$26*'Assumptions - Freight'!I$43,'Assumptions - Freight'!I$43)," ")</f>
        <v>100</v>
      </c>
      <c r="J85" s="29">
        <f>IF(J$16=1,IF($D$25=1,$D$26*'Assumptions - Freight'!J$43,'Assumptions - Freight'!J$43)," ")</f>
        <v>100</v>
      </c>
      <c r="K85" s="29">
        <f>IF(K$16=1,IF($D$25=1,$D$26*'Assumptions - Freight'!K$43,'Assumptions - Freight'!K$43)," ")</f>
        <v>100</v>
      </c>
      <c r="L85" s="29">
        <f>IF(L$16=1,IF($D$25=1,$D$26*'Assumptions - Freight'!L$43,'Assumptions - Freight'!L$43)," ")</f>
        <v>100</v>
      </c>
      <c r="M85" s="29">
        <f>IF(M$16=1,IF($D$25=1,$D$26*'Assumptions - Freight'!M$43,'Assumptions - Freight'!M$43)," ")</f>
        <v>100</v>
      </c>
      <c r="N85" s="29">
        <f>IF(N$16=1,IF($D$25=1,$D$26*'Assumptions - Freight'!N$43,'Assumptions - Freight'!N$43)," ")</f>
        <v>100</v>
      </c>
      <c r="O85" s="29">
        <f>IF(O$16=1,IF($D$25=1,$D$26*'Assumptions - Freight'!O$43,'Assumptions - Freight'!O$43)," ")</f>
        <v>100</v>
      </c>
      <c r="P85" s="29">
        <f>IF(P$16=1,IF($D$25=1,$D$26*'Assumptions - Freight'!P$43,'Assumptions - Freight'!P$43)," ")</f>
        <v>100</v>
      </c>
      <c r="Q85" s="29">
        <f>IF(Q$16=1,IF($D$25=1,$D$26*'Assumptions - Freight'!Q$43,'Assumptions - Freight'!Q$43)," ")</f>
        <v>100</v>
      </c>
      <c r="R85" s="29">
        <f>IF(R$16=1,IF($D$25=1,$D$26*'Assumptions - Freight'!R$43,'Assumptions - Freight'!R$43)," ")</f>
        <v>100</v>
      </c>
      <c r="S85" s="29">
        <f>IF(S$16=1,IF($D$25=1,$D$26*'Assumptions - Freight'!S$43,'Assumptions - Freight'!S$43)," ")</f>
        <v>100</v>
      </c>
      <c r="T85" s="29">
        <f>IF(T$16=1,IF($D$25=1,$D$26*'Assumptions - Freight'!T$43,'Assumptions - Freight'!T$43)," ")</f>
        <v>100</v>
      </c>
      <c r="U85" s="29">
        <f>IF(U$16=1,IF($D$25=1,$D$26*'Assumptions - Freight'!U$43,'Assumptions - Freight'!U$43)," ")</f>
        <v>100</v>
      </c>
      <c r="V85" s="29">
        <f>IF(V$16=1,IF($D$25=1,$D$26*'Assumptions - Freight'!V$43,'Assumptions - Freight'!V$43)," ")</f>
        <v>100</v>
      </c>
      <c r="W85" s="29">
        <f>IF(W$16=1,IF($D$25=1,$D$26*'Assumptions - Freight'!W$43,'Assumptions - Freight'!W$43)," ")</f>
        <v>100</v>
      </c>
      <c r="X85" s="29">
        <f>IF(X$16=1,IF($D$25=1,$D$26*'Assumptions - Freight'!X$43,'Assumptions - Freight'!X$43)," ")</f>
        <v>100</v>
      </c>
      <c r="Y85" s="29">
        <f>IF(Y$16=1,IF($D$25=1,$D$26*'Assumptions - Freight'!Y$43,'Assumptions - Freight'!Y$43)," ")</f>
        <v>100</v>
      </c>
      <c r="Z85" s="29">
        <f>IF(Z$16=1,IF($D$25=1,$D$26*'Assumptions - Freight'!Z$43,'Assumptions - Freight'!Z$43)," ")</f>
        <v>100</v>
      </c>
      <c r="AA85" s="29">
        <f>IF(AA$16=1,IF($D$25=1,$D$26*'Assumptions - Freight'!AA$43,'Assumptions - Freight'!AA$43)," ")</f>
        <v>100</v>
      </c>
      <c r="AB85" s="29">
        <f>IF(AB$16=1,IF($D$25=1,$D$26*'Assumptions - Freight'!AB$43,'Assumptions - Freight'!AB$43)," ")</f>
        <v>100</v>
      </c>
      <c r="AC85" s="29">
        <f>IF(AC$16=1,IF($D$25=1,$D$26*'Assumptions - Freight'!AC$43,'Assumptions - Freight'!AC$43)," ")</f>
        <v>100</v>
      </c>
      <c r="AD85" s="29">
        <f>IF(AD$16=1,IF($D$25=1,$D$26*'Assumptions - Freight'!AD$43,'Assumptions - Freight'!AD$43)," ")</f>
        <v>100</v>
      </c>
      <c r="AE85" s="29">
        <f>IF(AE$16=1,IF($D$25=1,$D$26*'Assumptions - Freight'!AE$43,'Assumptions - Freight'!AE$43)," ")</f>
        <v>100</v>
      </c>
      <c r="AF85" s="29">
        <f>IF(AF$16=1,IF($D$25=1,$D$26*'Assumptions - Freight'!AF$43,'Assumptions - Freight'!AF$43)," ")</f>
        <v>100</v>
      </c>
      <c r="AG85" s="29">
        <f>IF(AG$16=1,IF($D$25=1,$D$26*'Assumptions - Freight'!AG$43,'Assumptions - Freight'!AG$43)," ")</f>
        <v>100</v>
      </c>
      <c r="AH85" s="29">
        <f>IF(AH$16=1,IF($D$25=1,$D$26*'Assumptions - Freight'!AH$43,'Assumptions - Freight'!AH$43)," ")</f>
        <v>100</v>
      </c>
    </row>
    <row r="86" spans="1:34" s="20" customFormat="1" ht="14" x14ac:dyDescent="0.2">
      <c r="A86" s="87"/>
      <c r="B86" s="30" t="s">
        <v>608</v>
      </c>
      <c r="C86" s="8"/>
      <c r="D86" s="8" t="str">
        <f>'Assumptions - General'!$E$27 &amp;" millions"</f>
        <v>R$ millions</v>
      </c>
      <c r="E86" s="29"/>
      <c r="F86" s="29">
        <f>IF(F$16=1,'Assumptions - Freight'!F51-Calculations!F79," ")</f>
        <v>0</v>
      </c>
      <c r="G86" s="29">
        <f>IF(G$16=1,'Assumptions - Freight'!G51-Calculations!G79," ")</f>
        <v>0</v>
      </c>
      <c r="H86" s="29">
        <f>IF(H$16=1,'Assumptions - Freight'!H51-Calculations!H79," ")</f>
        <v>0</v>
      </c>
      <c r="I86" s="29">
        <f>IF(I$16=1,'Assumptions - Freight'!I51-Calculations!I79," ")</f>
        <v>0</v>
      </c>
      <c r="J86" s="29">
        <f>IF(J$16=1,'Assumptions - Freight'!J51-Calculations!J79," ")</f>
        <v>0</v>
      </c>
      <c r="K86" s="29">
        <f>IF(K$16=1,'Assumptions - Freight'!K51-Calculations!K79," ")</f>
        <v>0</v>
      </c>
      <c r="L86" s="29">
        <f>IF(L$16=1,'Assumptions - Freight'!L51-Calculations!L79," ")</f>
        <v>0</v>
      </c>
      <c r="M86" s="29">
        <f>IF(M$16=1,'Assumptions - Freight'!M51-Calculations!M79," ")</f>
        <v>0</v>
      </c>
      <c r="N86" s="29">
        <f>IF(N$16=1,'Assumptions - Freight'!N51-Calculations!N79," ")</f>
        <v>0</v>
      </c>
      <c r="O86" s="29">
        <f>IF(O$16=1,'Assumptions - Freight'!O51-Calculations!O79," ")</f>
        <v>0</v>
      </c>
      <c r="P86" s="29">
        <f>IF(P$16=1,'Assumptions - Freight'!P51-Calculations!P79," ")</f>
        <v>0</v>
      </c>
      <c r="Q86" s="29">
        <f>IF(Q$16=1,'Assumptions - Freight'!Q51-Calculations!Q79," ")</f>
        <v>0</v>
      </c>
      <c r="R86" s="29">
        <f>IF(R$16=1,'Assumptions - Freight'!R51-Calculations!R79," ")</f>
        <v>0</v>
      </c>
      <c r="S86" s="29">
        <f>IF(S$16=1,'Assumptions - Freight'!S51-Calculations!S79," ")</f>
        <v>0</v>
      </c>
      <c r="T86" s="29">
        <f>IF(T$16=1,'Assumptions - Freight'!T51-Calculations!T79," ")</f>
        <v>0</v>
      </c>
      <c r="U86" s="29">
        <f>IF(U$16=1,'Assumptions - Freight'!U51-Calculations!U79," ")</f>
        <v>0</v>
      </c>
      <c r="V86" s="29">
        <f>IF(V$16=1,'Assumptions - Freight'!V51-Calculations!V79," ")</f>
        <v>0</v>
      </c>
      <c r="W86" s="29">
        <f>IF(W$16=1,'Assumptions - Freight'!W51-Calculations!W79," ")</f>
        <v>5</v>
      </c>
      <c r="X86" s="29">
        <f>IF(X$16=1,'Assumptions - Freight'!X51-Calculations!X79," ")</f>
        <v>5</v>
      </c>
      <c r="Y86" s="29">
        <f>IF(Y$16=1,'Assumptions - Freight'!Y51-Calculations!Y79," ")</f>
        <v>5</v>
      </c>
      <c r="Z86" s="29">
        <f>IF(Z$16=1,'Assumptions - Freight'!Z51-Calculations!Z79," ")</f>
        <v>5</v>
      </c>
      <c r="AA86" s="29">
        <f>IF(AA$16=1,'Assumptions - Freight'!AA51-Calculations!AA79," ")</f>
        <v>5</v>
      </c>
      <c r="AB86" s="29">
        <f>IF(AB$16=1,'Assumptions - Freight'!AB51-Calculations!AB79," ")</f>
        <v>5</v>
      </c>
      <c r="AC86" s="29">
        <f>IF(AC$16=1,'Assumptions - Freight'!AC51-Calculations!AC79," ")</f>
        <v>5</v>
      </c>
      <c r="AD86" s="29">
        <f>IF(AD$16=1,'Assumptions - Freight'!AD51-Calculations!AD79," ")</f>
        <v>5</v>
      </c>
      <c r="AE86" s="29">
        <f>IF(AE$16=1,'Assumptions - Freight'!AE51-Calculations!AE79," ")</f>
        <v>5</v>
      </c>
      <c r="AF86" s="29">
        <f>IF(AF$16=1,'Assumptions - Freight'!AF51-Calculations!AF79," ")</f>
        <v>5</v>
      </c>
      <c r="AG86" s="29">
        <f>IF(AG$16=1,'Assumptions - Freight'!AG51-Calculations!AG79," ")</f>
        <v>5</v>
      </c>
      <c r="AH86" s="29">
        <f>IF(AH$16=1,'Assumptions - Freight'!AH51-Calculations!AH79," ")</f>
        <v>5</v>
      </c>
    </row>
    <row r="87" spans="1:34" s="20" customFormat="1" ht="14" x14ac:dyDescent="0.2">
      <c r="A87" s="87"/>
      <c r="B87" s="30" t="s">
        <v>635</v>
      </c>
      <c r="C87" s="8"/>
      <c r="D87" s="8" t="str">
        <f>'Assumptions - General'!$E$27 &amp;" millions"</f>
        <v>R$ millions</v>
      </c>
      <c r="E87" s="29"/>
      <c r="F87" s="29">
        <f>IF(F$16=1,(IF($A77=1,IF(F84-F86&gt;0,(MIN((F84-F86),(SUM($E85:F85)-SUM($E86:F86))/'Assumptions - Freight'!$E85)),0),0))," ")</f>
        <v>0</v>
      </c>
      <c r="G87" s="29">
        <f>IF(G$16=1,(IF($A77=1,IF(G84-G86&gt;0,(MIN((G84-G86),(SUM($E85:G85)-SUM($E86:G86))/'Assumptions - Freight'!$E85)),0),0))," ")</f>
        <v>4.166666666666667</v>
      </c>
      <c r="H87" s="29">
        <f>IF(H$16=1,(IF($A77=1,IF(H84-H86&gt;0,(MIN((H84-H86),(SUM($E85:H85)-SUM($E86:H86))/'Assumptions - Freight'!$E85)),0),0))," ")</f>
        <v>7.5</v>
      </c>
      <c r="I87" s="29">
        <f>IF(I$16=1,(IF($A77=1,IF(I84-I86&gt;0,(MIN((I84-I86),(SUM($E85:I85)-SUM($E86:I86))/'Assumptions - Freight'!$E85)),0),0))," ")</f>
        <v>10.833333333333334</v>
      </c>
      <c r="J87" s="29">
        <f>IF(J$16=1,(IF($A77=1,IF(J84-J86&gt;0,(MIN((J84-J86),(SUM($E85:J85)-SUM($E86:J86))/'Assumptions - Freight'!$E85)),0),0))," ")</f>
        <v>14.166666666666666</v>
      </c>
      <c r="K87" s="29">
        <f>IF(K$16=1,(IF($A77=1,IF(K84-K86&gt;0,(MIN((K84-K86),(SUM($E85:K85)-SUM($E86:K86))/'Assumptions - Freight'!$E85)),0),0))," ")</f>
        <v>17.5</v>
      </c>
      <c r="L87" s="29">
        <f>IF(L$16=1,(IF($A77=1,IF(L84-L86&gt;0,(MIN((L84-L86),(SUM($E85:L85)-SUM($E86:L86))/'Assumptions - Freight'!$E85)),0),0))," ")</f>
        <v>20.833333333333332</v>
      </c>
      <c r="M87" s="29">
        <f>IF(M$16=1,(IF($A77=1,IF(M84-M86&gt;0,(MIN((M84-M86),(SUM($E85:M85)-SUM($E86:M86))/'Assumptions - Freight'!$E85)),0),0))," ")</f>
        <v>24.166666666666668</v>
      </c>
      <c r="N87" s="29">
        <f>IF(N$16=1,(IF($A77=1,IF(N84-N86&gt;0,(MIN((N84-N86),(SUM($E85:N85)-SUM($E86:N86))/'Assumptions - Freight'!$E85)),0),0))," ")</f>
        <v>27.5</v>
      </c>
      <c r="O87" s="29">
        <f>IF(O$16=1,(IF($A77=1,IF(O84-O86&gt;0,(MIN((O84-O86),(SUM($E85:O85)-SUM($E86:O86))/'Assumptions - Freight'!$E85)),0),0))," ")</f>
        <v>30.833333333333332</v>
      </c>
      <c r="P87" s="29">
        <f>IF(P$16=1,(IF($A77=1,IF(P84-P86&gt;0,(MIN((P84-P86),(SUM($E85:P85)-SUM($E86:P86))/'Assumptions - Freight'!$E85)),0),0))," ")</f>
        <v>34.166666666666664</v>
      </c>
      <c r="Q87" s="29">
        <f>IF(Q$16=1,(IF($A77=1,IF(Q84-Q86&gt;0,(MIN((Q84-Q86),(SUM($E85:Q85)-SUM($E86:Q86))/'Assumptions - Freight'!$E85)),0),0))," ")</f>
        <v>37.5</v>
      </c>
      <c r="R87" s="29">
        <f>IF(R$16=1,(IF($A77=1,IF(R84-R86&gt;0,(MIN((R84-R86),(SUM($E85:R85)-SUM($E86:R86))/'Assumptions - Freight'!$E85)),0),0))," ")</f>
        <v>40.833333333333336</v>
      </c>
      <c r="S87" s="29">
        <f>IF(S$16=1,(IF($A77=1,IF(S84-S86&gt;0,(MIN((S84-S86),(SUM($E85:S85)-SUM($E86:S86))/'Assumptions - Freight'!$E85)),0),0))," ")</f>
        <v>44.166666666666664</v>
      </c>
      <c r="T87" s="29">
        <f>IF(T$16=1,(IF($A77=1,IF(T84-T86&gt;0,(MIN((T84-T86),(SUM($E85:T85)-SUM($E86:T86))/'Assumptions - Freight'!$E85)),0),0))," ")</f>
        <v>47.5</v>
      </c>
      <c r="U87" s="29">
        <f>IF(U$16=1,(IF($A77=1,IF(U84-U86&gt;0,(MIN((U84-U86),(SUM($E85:U85)-SUM($E86:U86))/'Assumptions - Freight'!$E85)),0),0))," ")</f>
        <v>50.833333333333336</v>
      </c>
      <c r="V87" s="29">
        <f>IF(V$16=1,(IF($A77=1,IF(V84-V86&gt;0,(MIN((V84-V86),(SUM($E85:V85)-SUM($E86:V86))/'Assumptions - Freight'!$E85)),0),0))," ")</f>
        <v>54.166666666666664</v>
      </c>
      <c r="W87" s="29">
        <f>IF(W$16=1,(IF($A77=1,IF(W84-W86&gt;0,(MIN((W84-W86),(SUM($E85:W85)-SUM($E86:W86))/'Assumptions - Freight'!$E85)),0),0))," ")</f>
        <v>57.333333333333336</v>
      </c>
      <c r="X87" s="29">
        <f>IF(X$16=1,(IF($A77=1,IF(X84-X86&gt;0,(MIN((X84-X86),(SUM($E85:X85)-SUM($E86:X86))/'Assumptions - Freight'!$E85)),0),0))," ")</f>
        <v>60.5</v>
      </c>
      <c r="Y87" s="29">
        <f>IF(Y$16=1,(IF($A77=1,IF(Y84-Y86&gt;0,(MIN((Y84-Y86),(SUM($E85:Y85)-SUM($E86:Y86))/'Assumptions - Freight'!$E85)),0),0))," ")</f>
        <v>63.666666666666664</v>
      </c>
      <c r="Z87" s="29">
        <f>IF(Z$16=1,(IF($A77=1,IF(Z84-Z86&gt;0,(MIN((Z84-Z86),(SUM($E85:Z85)-SUM($E86:Z86))/'Assumptions - Freight'!$E85)),0),0))," ")</f>
        <v>66.833333333333329</v>
      </c>
      <c r="AA87" s="29">
        <f>IF(AA$16=1,(IF($A77=1,IF(AA84-AA86&gt;0,(MIN((AA84-AA86),(SUM($E85:AA85)-SUM($E86:AA86))/'Assumptions - Freight'!$E85)),0),0))," ")</f>
        <v>70</v>
      </c>
      <c r="AB87" s="29">
        <f>IF(AB$16=1,(IF($A77=1,IF(AB84-AB86&gt;0,(MIN((AB84-AB86),(SUM($E85:AB85)-SUM($E86:AB86))/'Assumptions - Freight'!$E85)),0),0))," ")</f>
        <v>73.166666666666671</v>
      </c>
      <c r="AC87" s="29">
        <f>IF(AC$16=1,(IF($A77=1,IF(AC84-AC86&gt;0,(MIN((AC84-AC86),(SUM($E85:AC85)-SUM($E86:AC86))/'Assumptions - Freight'!$E85)),0),0))," ")</f>
        <v>76.333333333333329</v>
      </c>
      <c r="AD87" s="29">
        <f>IF(AD$16=1,(IF($A77=1,IF(AD84-AD86&gt;0,(MIN((AD84-AD86),(SUM($E85:AD85)-SUM($E86:AD86))/'Assumptions - Freight'!$E85)),0),0))," ")</f>
        <v>79.5</v>
      </c>
      <c r="AE87" s="29">
        <f>IF(AE$16=1,(IF($A77=1,IF(AE84-AE86&gt;0,(MIN((AE84-AE86),(SUM($E85:AE85)-SUM($E86:AE86))/'Assumptions - Freight'!$E85)),0),0))," ")</f>
        <v>82.666666666666671</v>
      </c>
      <c r="AF87" s="29">
        <f>IF(AF$16=1,(IF($A77=1,IF(AF84-AF86&gt;0,(MIN((AF84-AF86),(SUM($E85:AF85)-SUM($E86:AF86))/'Assumptions - Freight'!$E85)),0),0))," ")</f>
        <v>85.833333333333329</v>
      </c>
      <c r="AG87" s="29">
        <f>IF(AG$16=1,(IF($A77=1,IF(AG84-AG86&gt;0,(MIN((AG84-AG86),(SUM($E85:AG85)-SUM($E86:AG86))/'Assumptions - Freight'!$E85)),0),0))," ")</f>
        <v>89</v>
      </c>
      <c r="AH87" s="29">
        <f>IF(AH$16=1,(IF($A77=1,IF(AH84-AH86&gt;0,(MIN((AH84-AH86),(SUM($E85:AH85)-SUM($E86:AH86))/'Assumptions - Freight'!$E85)),0),0))," ")</f>
        <v>92.166666666666671</v>
      </c>
    </row>
    <row r="88" spans="1:34" s="20" customFormat="1" ht="14" x14ac:dyDescent="0.2">
      <c r="A88" s="87"/>
      <c r="B88" s="30" t="s">
        <v>636</v>
      </c>
      <c r="C88" s="8"/>
      <c r="D88" s="8" t="str">
        <f>'Assumptions - General'!$E$27 &amp;" millions"</f>
        <v>R$ millions</v>
      </c>
      <c r="E88" s="29"/>
      <c r="F88" s="29">
        <f>IF(F$16=1,SUM($E87:F87)," ")</f>
        <v>0</v>
      </c>
      <c r="G88" s="29">
        <f>IF(G$16=1,SUM($E87:G87)," ")</f>
        <v>4.166666666666667</v>
      </c>
      <c r="H88" s="29">
        <f>IF(H$16=1,SUM($E87:H87)," ")</f>
        <v>11.666666666666668</v>
      </c>
      <c r="I88" s="29">
        <f>IF(I$16=1,SUM($E87:I87)," ")</f>
        <v>22.5</v>
      </c>
      <c r="J88" s="29">
        <f>IF(J$16=1,SUM($E87:J87)," ")</f>
        <v>36.666666666666664</v>
      </c>
      <c r="K88" s="29">
        <f>IF(K$16=1,SUM($E87:K87)," ")</f>
        <v>54.166666666666664</v>
      </c>
      <c r="L88" s="29">
        <f>IF(L$16=1,SUM($E87:L87)," ")</f>
        <v>75</v>
      </c>
      <c r="M88" s="29">
        <f>IF(M$16=1,SUM($E87:M87)," ")</f>
        <v>99.166666666666671</v>
      </c>
      <c r="N88" s="29">
        <f>IF(N$16=1,SUM($E87:N87)," ")</f>
        <v>126.66666666666667</v>
      </c>
      <c r="O88" s="29">
        <f>IF(O$16=1,SUM($E87:O87)," ")</f>
        <v>157.5</v>
      </c>
      <c r="P88" s="29">
        <f>IF(P$16=1,SUM($E87:P87)," ")</f>
        <v>191.66666666666666</v>
      </c>
      <c r="Q88" s="29">
        <f>IF(Q$16=1,SUM($E87:Q87)," ")</f>
        <v>229.16666666666666</v>
      </c>
      <c r="R88" s="29">
        <f>IF(R$16=1,SUM($E87:R87)," ")</f>
        <v>270</v>
      </c>
      <c r="S88" s="29">
        <f>IF(S$16=1,SUM($E87:S87)," ")</f>
        <v>314.16666666666669</v>
      </c>
      <c r="T88" s="29">
        <f>IF(T$16=1,SUM($E87:T87)," ")</f>
        <v>361.66666666666669</v>
      </c>
      <c r="U88" s="29">
        <f>IF(U$16=1,SUM($E87:U87)," ")</f>
        <v>412.5</v>
      </c>
      <c r="V88" s="29">
        <f>IF(V$16=1,SUM($E87:V87)," ")</f>
        <v>466.66666666666669</v>
      </c>
      <c r="W88" s="29">
        <f>IF(W$16=1,SUM($E87:W87)," ")</f>
        <v>524</v>
      </c>
      <c r="X88" s="29">
        <f>IF(X$16=1,SUM($E87:X87)," ")</f>
        <v>584.5</v>
      </c>
      <c r="Y88" s="29">
        <f>IF(Y$16=1,SUM($E87:Y87)," ")</f>
        <v>648.16666666666663</v>
      </c>
      <c r="Z88" s="29">
        <f>IF(Z$16=1,SUM($E87:Z87)," ")</f>
        <v>715</v>
      </c>
      <c r="AA88" s="29">
        <f>IF(AA$16=1,SUM($E87:AA87)," ")</f>
        <v>785</v>
      </c>
      <c r="AB88" s="29">
        <f>IF(AB$16=1,SUM($E87:AB87)," ")</f>
        <v>858.16666666666663</v>
      </c>
      <c r="AC88" s="29">
        <f>IF(AC$16=1,SUM($E87:AC87)," ")</f>
        <v>934.5</v>
      </c>
      <c r="AD88" s="29">
        <f>IF(AD$16=1,SUM($E87:AD87)," ")</f>
        <v>1014</v>
      </c>
      <c r="AE88" s="29">
        <f>IF(AE$16=1,SUM($E87:AE87)," ")</f>
        <v>1096.6666666666667</v>
      </c>
      <c r="AF88" s="29">
        <f>IF(AF$16=1,SUM($E87:AF87)," ")</f>
        <v>1182.5</v>
      </c>
      <c r="AG88" s="29">
        <f>IF(AG$16=1,SUM($E87:AG87)," ")</f>
        <v>1271.5</v>
      </c>
      <c r="AH88" s="29">
        <f>IF(AH$16=1,SUM($E87:AH87)," ")</f>
        <v>1363.6666666666667</v>
      </c>
    </row>
    <row r="89" spans="1:34" s="20" customFormat="1" ht="14" x14ac:dyDescent="0.2">
      <c r="A89" s="87"/>
      <c r="B89" s="14" t="s">
        <v>640</v>
      </c>
      <c r="C89" s="8"/>
      <c r="D89" s="8" t="str">
        <f>'Assumptions - General'!$E$27 &amp;" millions"</f>
        <v>R$ millions</v>
      </c>
      <c r="E89" s="29"/>
      <c r="F89" s="29">
        <f t="shared" ref="F89:AH89" si="25">IF(F16=1,F84+F85-F86-F87," ")</f>
        <v>25</v>
      </c>
      <c r="G89" s="29">
        <f t="shared" si="25"/>
        <v>120.83333333333333</v>
      </c>
      <c r="H89" s="29">
        <f t="shared" si="25"/>
        <v>213.33333333333331</v>
      </c>
      <c r="I89" s="29">
        <f t="shared" si="25"/>
        <v>302.5</v>
      </c>
      <c r="J89" s="29">
        <f t="shared" si="25"/>
        <v>388.33333333333331</v>
      </c>
      <c r="K89" s="29">
        <f t="shared" si="25"/>
        <v>470.83333333333331</v>
      </c>
      <c r="L89" s="29">
        <f t="shared" si="25"/>
        <v>549.99999999999989</v>
      </c>
      <c r="M89" s="29">
        <f t="shared" si="25"/>
        <v>625.83333333333326</v>
      </c>
      <c r="N89" s="29">
        <f t="shared" si="25"/>
        <v>698.33333333333326</v>
      </c>
      <c r="O89" s="29">
        <f t="shared" si="25"/>
        <v>767.49999999999989</v>
      </c>
      <c r="P89" s="29">
        <f t="shared" si="25"/>
        <v>833.33333333333326</v>
      </c>
      <c r="Q89" s="29">
        <f t="shared" si="25"/>
        <v>895.83333333333326</v>
      </c>
      <c r="R89" s="29">
        <f t="shared" si="25"/>
        <v>954.99999999999989</v>
      </c>
      <c r="S89" s="29">
        <f t="shared" si="25"/>
        <v>1010.8333333333334</v>
      </c>
      <c r="T89" s="29">
        <f t="shared" si="25"/>
        <v>1063.3333333333335</v>
      </c>
      <c r="U89" s="29">
        <f t="shared" si="25"/>
        <v>1112.5000000000002</v>
      </c>
      <c r="V89" s="29">
        <f t="shared" si="25"/>
        <v>1158.3333333333335</v>
      </c>
      <c r="W89" s="29">
        <f t="shared" si="25"/>
        <v>1196.0000000000002</v>
      </c>
      <c r="X89" s="29">
        <f t="shared" si="25"/>
        <v>1230.5000000000002</v>
      </c>
      <c r="Y89" s="29">
        <f t="shared" si="25"/>
        <v>1261.8333333333335</v>
      </c>
      <c r="Z89" s="29">
        <f t="shared" si="25"/>
        <v>1290.0000000000002</v>
      </c>
      <c r="AA89" s="29">
        <f t="shared" si="25"/>
        <v>1315.0000000000002</v>
      </c>
      <c r="AB89" s="29">
        <f t="shared" si="25"/>
        <v>1336.8333333333335</v>
      </c>
      <c r="AC89" s="29">
        <f t="shared" si="25"/>
        <v>1355.5000000000002</v>
      </c>
      <c r="AD89" s="29">
        <f t="shared" si="25"/>
        <v>1371.0000000000002</v>
      </c>
      <c r="AE89" s="29">
        <f t="shared" si="25"/>
        <v>1383.3333333333335</v>
      </c>
      <c r="AF89" s="29">
        <f t="shared" si="25"/>
        <v>1392.5000000000002</v>
      </c>
      <c r="AG89" s="29">
        <f t="shared" si="25"/>
        <v>1398.5000000000002</v>
      </c>
      <c r="AH89" s="29">
        <f t="shared" si="25"/>
        <v>1401.3333333333335</v>
      </c>
    </row>
    <row r="90" spans="1:34" s="20" customFormat="1" ht="14" x14ac:dyDescent="0.2">
      <c r="A90" s="87"/>
      <c r="B90" s="14"/>
      <c r="C90" s="8"/>
      <c r="D90" s="8"/>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row>
    <row r="91" spans="1:34" s="20" customFormat="1" ht="14" x14ac:dyDescent="0.2">
      <c r="A91" s="87"/>
      <c r="B91" s="14" t="s">
        <v>638</v>
      </c>
      <c r="C91" s="8"/>
      <c r="D91" s="8" t="str">
        <f>'Assumptions - General'!$E$27 &amp;" millions"</f>
        <v>R$ millions</v>
      </c>
      <c r="E91" s="29">
        <f t="shared" ref="E91:AH91" si="26">IF(E16=1,E82+E89," ")</f>
        <v>300</v>
      </c>
      <c r="F91" s="29">
        <f t="shared" si="26"/>
        <v>305.25</v>
      </c>
      <c r="G91" s="29">
        <f t="shared" si="26"/>
        <v>381.58333333333331</v>
      </c>
      <c r="H91" s="29">
        <f t="shared" si="26"/>
        <v>454.83333333333331</v>
      </c>
      <c r="I91" s="29">
        <f t="shared" si="26"/>
        <v>525</v>
      </c>
      <c r="J91" s="29">
        <f t="shared" si="26"/>
        <v>592.08333333333326</v>
      </c>
      <c r="K91" s="29">
        <f t="shared" si="26"/>
        <v>656.08333333333326</v>
      </c>
      <c r="L91" s="29">
        <f t="shared" si="26"/>
        <v>716.99999999999989</v>
      </c>
      <c r="M91" s="29">
        <f t="shared" si="26"/>
        <v>774.83333333333326</v>
      </c>
      <c r="N91" s="29">
        <f t="shared" si="26"/>
        <v>829.58333333333326</v>
      </c>
      <c r="O91" s="29">
        <f t="shared" si="26"/>
        <v>881.24999999999989</v>
      </c>
      <c r="P91" s="29">
        <f t="shared" si="26"/>
        <v>929.83333333333326</v>
      </c>
      <c r="Q91" s="29">
        <f t="shared" si="26"/>
        <v>975.33333333333326</v>
      </c>
      <c r="R91" s="29">
        <f t="shared" si="26"/>
        <v>1017.7499999999999</v>
      </c>
      <c r="S91" s="29">
        <f t="shared" si="26"/>
        <v>1057.0833333333335</v>
      </c>
      <c r="T91" s="29">
        <f t="shared" si="26"/>
        <v>1093.3333333333335</v>
      </c>
      <c r="U91" s="29">
        <f t="shared" si="26"/>
        <v>1126.5000000000002</v>
      </c>
      <c r="V91" s="29">
        <f t="shared" si="26"/>
        <v>1158.3333333333335</v>
      </c>
      <c r="W91" s="29">
        <f t="shared" si="26"/>
        <v>1196.0000000000002</v>
      </c>
      <c r="X91" s="29">
        <f t="shared" si="26"/>
        <v>1230.5000000000002</v>
      </c>
      <c r="Y91" s="29">
        <f t="shared" si="26"/>
        <v>1261.8333333333335</v>
      </c>
      <c r="Z91" s="29">
        <f t="shared" si="26"/>
        <v>1290.0000000000002</v>
      </c>
      <c r="AA91" s="29">
        <f t="shared" si="26"/>
        <v>1315.0000000000002</v>
      </c>
      <c r="AB91" s="29">
        <f t="shared" si="26"/>
        <v>1336.8333333333335</v>
      </c>
      <c r="AC91" s="29">
        <f t="shared" si="26"/>
        <v>1355.5000000000002</v>
      </c>
      <c r="AD91" s="29">
        <f t="shared" si="26"/>
        <v>1371.0000000000002</v>
      </c>
      <c r="AE91" s="29">
        <f t="shared" si="26"/>
        <v>1383.3333333333335</v>
      </c>
      <c r="AF91" s="29">
        <f t="shared" si="26"/>
        <v>1392.5000000000002</v>
      </c>
      <c r="AG91" s="29">
        <f t="shared" si="26"/>
        <v>1398.5000000000002</v>
      </c>
      <c r="AH91" s="29">
        <f t="shared" si="26"/>
        <v>1401.3333333333335</v>
      </c>
    </row>
    <row r="92" spans="1:34" s="310" customFormat="1" ht="14" x14ac:dyDescent="0.2">
      <c r="A92" s="87"/>
      <c r="B92" s="446"/>
      <c r="C92" s="87"/>
      <c r="D92" s="87"/>
      <c r="E92" s="447"/>
      <c r="F92" s="447"/>
      <c r="G92" s="447"/>
      <c r="H92" s="447"/>
      <c r="I92" s="447"/>
      <c r="J92" s="447"/>
      <c r="K92" s="447"/>
      <c r="L92" s="447"/>
      <c r="M92" s="447"/>
      <c r="N92" s="447"/>
      <c r="O92" s="447"/>
      <c r="P92" s="447"/>
      <c r="Q92" s="447"/>
      <c r="R92" s="447"/>
      <c r="S92" s="447"/>
      <c r="T92" s="447"/>
      <c r="U92" s="447"/>
      <c r="V92" s="447"/>
      <c r="W92" s="447"/>
      <c r="X92" s="447"/>
      <c r="Y92" s="447"/>
      <c r="Z92" s="447"/>
      <c r="AA92" s="447"/>
      <c r="AB92" s="447"/>
      <c r="AC92" s="447"/>
      <c r="AD92" s="447"/>
      <c r="AE92" s="447"/>
      <c r="AF92" s="447"/>
      <c r="AG92" s="447"/>
      <c r="AH92" s="447"/>
    </row>
    <row r="93" spans="1:34" s="20" customFormat="1" ht="14" x14ac:dyDescent="0.2">
      <c r="A93" s="87">
        <f>'Assumptions - Freight'!E89</f>
        <v>1</v>
      </c>
      <c r="B93" s="21" t="str">
        <f>'Assumptions - Freight'!E30</f>
        <v>Machines, equipment and spare parts</v>
      </c>
      <c r="C93" s="8"/>
      <c r="D93" s="8"/>
      <c r="E93" s="29"/>
      <c r="F93" s="31"/>
      <c r="G93" s="31"/>
      <c r="H93" s="31"/>
      <c r="I93" s="31"/>
      <c r="J93" s="31"/>
      <c r="K93" s="31"/>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s="20" customFormat="1" ht="14" x14ac:dyDescent="0.2">
      <c r="A94" s="87"/>
      <c r="B94" s="14" t="str">
        <f>"Starting value "</f>
        <v xml:space="preserve">Starting value </v>
      </c>
      <c r="C94" s="8"/>
      <c r="D94" s="8" t="str">
        <f>'Assumptions - General'!$E$27 &amp;" millions"</f>
        <v>R$ millions</v>
      </c>
      <c r="E94" s="29"/>
      <c r="F94" s="29">
        <f t="shared" ref="F94:AH94" si="27">IF(F$16=1,E98," ")</f>
        <v>300</v>
      </c>
      <c r="G94" s="29">
        <f t="shared" si="27"/>
        <v>280.25</v>
      </c>
      <c r="H94" s="29">
        <f t="shared" si="27"/>
        <v>260.75</v>
      </c>
      <c r="I94" s="29">
        <f t="shared" si="27"/>
        <v>241.5</v>
      </c>
      <c r="J94" s="29">
        <f t="shared" si="27"/>
        <v>222.5</v>
      </c>
      <c r="K94" s="29">
        <f t="shared" si="27"/>
        <v>203.75</v>
      </c>
      <c r="L94" s="29">
        <f t="shared" si="27"/>
        <v>185.25</v>
      </c>
      <c r="M94" s="29">
        <f t="shared" si="27"/>
        <v>167</v>
      </c>
      <c r="N94" s="29">
        <f t="shared" si="27"/>
        <v>149</v>
      </c>
      <c r="O94" s="29">
        <f t="shared" si="27"/>
        <v>131.25</v>
      </c>
      <c r="P94" s="29">
        <f t="shared" si="27"/>
        <v>113.75</v>
      </c>
      <c r="Q94" s="29">
        <f t="shared" si="27"/>
        <v>96.5</v>
      </c>
      <c r="R94" s="29">
        <f t="shared" si="27"/>
        <v>79.5</v>
      </c>
      <c r="S94" s="29">
        <f t="shared" si="27"/>
        <v>62.75</v>
      </c>
      <c r="T94" s="29">
        <f t="shared" si="27"/>
        <v>46.25</v>
      </c>
      <c r="U94" s="29">
        <f t="shared" si="27"/>
        <v>30</v>
      </c>
      <c r="V94" s="29">
        <f t="shared" si="27"/>
        <v>14</v>
      </c>
      <c r="W94" s="29">
        <f t="shared" si="27"/>
        <v>0</v>
      </c>
      <c r="X94" s="29">
        <f t="shared" si="27"/>
        <v>0</v>
      </c>
      <c r="Y94" s="29">
        <f t="shared" si="27"/>
        <v>0</v>
      </c>
      <c r="Z94" s="29">
        <f t="shared" si="27"/>
        <v>0</v>
      </c>
      <c r="AA94" s="29">
        <f t="shared" si="27"/>
        <v>0</v>
      </c>
      <c r="AB94" s="29">
        <f t="shared" si="27"/>
        <v>0</v>
      </c>
      <c r="AC94" s="29">
        <f t="shared" si="27"/>
        <v>0</v>
      </c>
      <c r="AD94" s="29">
        <f t="shared" si="27"/>
        <v>0</v>
      </c>
      <c r="AE94" s="29">
        <f t="shared" si="27"/>
        <v>0</v>
      </c>
      <c r="AF94" s="29">
        <f t="shared" si="27"/>
        <v>0</v>
      </c>
      <c r="AG94" s="29">
        <f t="shared" si="27"/>
        <v>0</v>
      </c>
      <c r="AH94" s="29">
        <f t="shared" si="27"/>
        <v>0</v>
      </c>
    </row>
    <row r="95" spans="1:34" s="20" customFormat="1" ht="14" x14ac:dyDescent="0.2">
      <c r="A95" s="87"/>
      <c r="B95" s="30" t="s">
        <v>608</v>
      </c>
      <c r="C95" s="8"/>
      <c r="D95" s="8" t="str">
        <f>'Assumptions - General'!$E$27 &amp;" millions"</f>
        <v>R$ millions</v>
      </c>
      <c r="E95" s="29"/>
      <c r="F95" s="29">
        <f>IF(F$16=1,IF(F94&gt;0,MIN(F94,'Assumptions - Freight'!F52),0)," ")</f>
        <v>5</v>
      </c>
      <c r="G95" s="29">
        <f>IF(G$16=1,IF(G94&gt;0,MIN(G94,'Assumptions - Freight'!G52),0)," ")</f>
        <v>5</v>
      </c>
      <c r="H95" s="29">
        <f>IF(H$16=1,IF(H94&gt;0,MIN(H94,'Assumptions - Freight'!H52),0)," ")</f>
        <v>5</v>
      </c>
      <c r="I95" s="29">
        <f>IF(I$16=1,IF(I94&gt;0,MIN(I94,'Assumptions - Freight'!I52),0)," ")</f>
        <v>5</v>
      </c>
      <c r="J95" s="29">
        <f>IF(J$16=1,IF(J94&gt;0,MIN(J94,'Assumptions - Freight'!J52),0)," ")</f>
        <v>5</v>
      </c>
      <c r="K95" s="29">
        <f>IF(K$16=1,IF(K94&gt;0,MIN(K94,'Assumptions - Freight'!K52),0)," ")</f>
        <v>5</v>
      </c>
      <c r="L95" s="29">
        <f>IF(L$16=1,IF(L94&gt;0,MIN(L94,'Assumptions - Freight'!L52),0)," ")</f>
        <v>5</v>
      </c>
      <c r="M95" s="29">
        <f>IF(M$16=1,IF(M94&gt;0,MIN(M94,'Assumptions - Freight'!M52),0)," ")</f>
        <v>5</v>
      </c>
      <c r="N95" s="29">
        <f>IF(N$16=1,IF(N94&gt;0,MIN(N94,'Assumptions - Freight'!N52),0)," ")</f>
        <v>5</v>
      </c>
      <c r="O95" s="29">
        <f>IF(O$16=1,IF(O94&gt;0,MIN(O94,'Assumptions - Freight'!O52),0)," ")</f>
        <v>5</v>
      </c>
      <c r="P95" s="29">
        <f>IF(P$16=1,IF(P94&gt;0,MIN(P94,'Assumptions - Freight'!P52),0)," ")</f>
        <v>5</v>
      </c>
      <c r="Q95" s="29">
        <f>IF(Q$16=1,IF(Q94&gt;0,MIN(Q94,'Assumptions - Freight'!Q52),0)," ")</f>
        <v>5</v>
      </c>
      <c r="R95" s="29">
        <f>IF(R$16=1,IF(R94&gt;0,MIN(R94,'Assumptions - Freight'!R52),0)," ")</f>
        <v>5</v>
      </c>
      <c r="S95" s="29">
        <f>IF(S$16=1,IF(S94&gt;0,MIN(S94,'Assumptions - Freight'!S52),0)," ")</f>
        <v>5</v>
      </c>
      <c r="T95" s="29">
        <f>IF(T$16=1,IF(T94&gt;0,MIN(T94,'Assumptions - Freight'!T52),0)," ")</f>
        <v>5</v>
      </c>
      <c r="U95" s="29">
        <f>IF(U$16=1,IF(U94&gt;0,MIN(U94,'Assumptions - Freight'!U52),0)," ")</f>
        <v>5</v>
      </c>
      <c r="V95" s="29">
        <f>IF(V$16=1,IF(V94&gt;0,MIN(V94,'Assumptions - Freight'!V52),0)," ")</f>
        <v>5</v>
      </c>
      <c r="W95" s="29">
        <f>IF(W$16=1,IF(W94&gt;0,MIN(W94,'Assumptions - Freight'!W52),0)," ")</f>
        <v>0</v>
      </c>
      <c r="X95" s="29">
        <f>IF(X$16=1,IF(X94&gt;0,MIN(X94,'Assumptions - Freight'!X52),0)," ")</f>
        <v>0</v>
      </c>
      <c r="Y95" s="29">
        <f>IF(Y$16=1,IF(Y94&gt;0,MIN(Y94,'Assumptions - Freight'!Y52),0)," ")</f>
        <v>0</v>
      </c>
      <c r="Z95" s="29">
        <f>IF(Z$16=1,IF(Z94&gt;0,MIN(Z94,'Assumptions - Freight'!Z52),0)," ")</f>
        <v>0</v>
      </c>
      <c r="AA95" s="29">
        <f>IF(AA$16=1,IF(AA94&gt;0,MIN(AA94,'Assumptions - Freight'!AA52),0)," ")</f>
        <v>0</v>
      </c>
      <c r="AB95" s="29">
        <f>IF(AB$16=1,IF(AB94&gt;0,MIN(AB94,'Assumptions - Freight'!AB52),0)," ")</f>
        <v>0</v>
      </c>
      <c r="AC95" s="29">
        <f>IF(AC$16=1,IF(AC94&gt;0,MIN(AC94,'Assumptions - Freight'!AC52),0)," ")</f>
        <v>0</v>
      </c>
      <c r="AD95" s="29">
        <f>IF(AD$16=1,IF(AD94&gt;0,MIN(AD94,'Assumptions - Freight'!AD52),0)," ")</f>
        <v>0</v>
      </c>
      <c r="AE95" s="29">
        <f>IF(AE$16=1,IF(AE94&gt;0,MIN(AE94,'Assumptions - Freight'!AE52),0)," ")</f>
        <v>0</v>
      </c>
      <c r="AF95" s="29">
        <f>IF(AF$16=1,IF(AF94&gt;0,MIN(AF94,'Assumptions - Freight'!AF52),0)," ")</f>
        <v>0</v>
      </c>
      <c r="AG95" s="29">
        <f>IF(AG$16=1,IF(AG94&gt;0,MIN(AG94,'Assumptions - Freight'!AG52),0)," ")</f>
        <v>0</v>
      </c>
      <c r="AH95" s="29">
        <f>IF(AH$16=1,IF(AH94&gt;0,MIN(AH94,'Assumptions - Freight'!AH52),0)," ")</f>
        <v>0</v>
      </c>
    </row>
    <row r="96" spans="1:34" s="20" customFormat="1" ht="14" x14ac:dyDescent="0.2">
      <c r="A96" s="87"/>
      <c r="B96" s="30" t="str">
        <f>IF(A93=1,"Less depreciation of existing assets","Less depreciation of assets")</f>
        <v>Less depreciation of existing assets</v>
      </c>
      <c r="C96" s="8"/>
      <c r="D96" s="8" t="str">
        <f>'Assumptions - General'!$E$27 &amp;" millions"</f>
        <v>R$ millions</v>
      </c>
      <c r="E96" s="29"/>
      <c r="F96" s="229">
        <f>IF(F$16=1,(IF($A93=1,IF(F94-F95&gt;0,(MIN((F94-F95),($E98-SUM($E95:F95))/'Assumptions - Freight'!$E91)),0),'Assumptions - Freight'!F94))," ")</f>
        <v>14.75</v>
      </c>
      <c r="G96" s="229">
        <f>IF(G$16=1,(IF($A93=1,IF(G94-G95&gt;0,(MIN((G94-G95),($E98-SUM($E95:G95))/'Assumptions - Freight'!$E91)),0),'Assumptions - Freight'!G94))," ")</f>
        <v>14.5</v>
      </c>
      <c r="H96" s="229">
        <f>IF(H$16=1,(IF($A93=1,IF(H94-H95&gt;0,(MIN((H94-H95),($E98-SUM($E95:H95))/'Assumptions - Freight'!$E91)),0),'Assumptions - Freight'!H94))," ")</f>
        <v>14.25</v>
      </c>
      <c r="I96" s="229">
        <f>IF(I$16=1,(IF($A93=1,IF(I94-I95&gt;0,(MIN((I94-I95),($E98-SUM($E95:I95))/'Assumptions - Freight'!$E91)),0),'Assumptions - Freight'!I94))," ")</f>
        <v>14</v>
      </c>
      <c r="J96" s="229">
        <f>IF(J$16=1,(IF($A93=1,IF(J94-J95&gt;0,(MIN((J94-J95),($E98-SUM($E95:J95))/'Assumptions - Freight'!$E91)),0),'Assumptions - Freight'!J94))," ")</f>
        <v>13.75</v>
      </c>
      <c r="K96" s="229">
        <f>IF(K$16=1,(IF($A93=1,IF(K94-K95&gt;0,(MIN((K94-K95),($E98-SUM($E95:K95))/'Assumptions - Freight'!$E91)),0),'Assumptions - Freight'!K94))," ")</f>
        <v>13.5</v>
      </c>
      <c r="L96" s="229">
        <f>IF(L$16=1,(IF($A93=1,IF(L94-L95&gt;0,(MIN((L94-L95),($E98-SUM($E95:L95))/'Assumptions - Freight'!$E91)),0),'Assumptions - Freight'!L94))," ")</f>
        <v>13.25</v>
      </c>
      <c r="M96" s="229">
        <f>IF(M$16=1,(IF($A93=1,IF(M94-M95&gt;0,(MIN((M94-M95),($E98-SUM($E95:M95))/'Assumptions - Freight'!$E91)),0),'Assumptions - Freight'!M94))," ")</f>
        <v>13</v>
      </c>
      <c r="N96" s="229">
        <f>IF(N$16=1,(IF($A93=1,IF(N94-N95&gt;0,(MIN((N94-N95),($E98-SUM($E95:N95))/'Assumptions - Freight'!$E91)),0),'Assumptions - Freight'!N94))," ")</f>
        <v>12.75</v>
      </c>
      <c r="O96" s="229">
        <f>IF(O$16=1,(IF($A93=1,IF(O94-O95&gt;0,(MIN((O94-O95),($E98-SUM($E95:O95))/'Assumptions - Freight'!$E91)),0),'Assumptions - Freight'!O94))," ")</f>
        <v>12.5</v>
      </c>
      <c r="P96" s="229">
        <f>IF(P$16=1,(IF($A93=1,IF(P94-P95&gt;0,(MIN((P94-P95),($E98-SUM($E95:P95))/'Assumptions - Freight'!$E91)),0),'Assumptions - Freight'!P94))," ")</f>
        <v>12.25</v>
      </c>
      <c r="Q96" s="229">
        <f>IF(Q$16=1,(IF($A93=1,IF(Q94-Q95&gt;0,(MIN((Q94-Q95),($E98-SUM($E95:Q95))/'Assumptions - Freight'!$E91)),0),'Assumptions - Freight'!Q94))," ")</f>
        <v>12</v>
      </c>
      <c r="R96" s="229">
        <f>IF(R$16=1,(IF($A93=1,IF(R94-R95&gt;0,(MIN((R94-R95),($E98-SUM($E95:R95))/'Assumptions - Freight'!$E91)),0),'Assumptions - Freight'!R94))," ")</f>
        <v>11.75</v>
      </c>
      <c r="S96" s="229">
        <f>IF(S$16=1,(IF($A93=1,IF(S94-S95&gt;0,(MIN((S94-S95),($E98-SUM($E95:S95))/'Assumptions - Freight'!$E91)),0),'Assumptions - Freight'!S94))," ")</f>
        <v>11.5</v>
      </c>
      <c r="T96" s="229">
        <f>IF(T$16=1,(IF($A93=1,IF(T94-T95&gt;0,(MIN((T94-T95),($E98-SUM($E95:T95))/'Assumptions - Freight'!$E91)),0),'Assumptions - Freight'!T94))," ")</f>
        <v>11.25</v>
      </c>
      <c r="U96" s="229">
        <f>IF(U$16=1,(IF($A93=1,IF(U94-U95&gt;0,(MIN((U94-U95),($E98-SUM($E95:U95))/'Assumptions - Freight'!$E91)),0),'Assumptions - Freight'!U94))," ")</f>
        <v>11</v>
      </c>
      <c r="V96" s="229">
        <f>IF(V$16=1,(IF($A93=1,IF(V94-V95&gt;0,(MIN((V94-V95),($E98-SUM($E95:V95))/'Assumptions - Freight'!$E91)),0),'Assumptions - Freight'!V94))," ")</f>
        <v>9</v>
      </c>
      <c r="W96" s="229">
        <f>IF(W$16=1,(IF($A93=1,IF(W94-W95&gt;0,(MIN((W94-W95),($E98-SUM($E95:W95))/'Assumptions - Freight'!$E91)),0),'Assumptions - Freight'!W94))," ")</f>
        <v>0</v>
      </c>
      <c r="X96" s="229">
        <f>IF(X$16=1,(IF($A93=1,IF(X94-X95&gt;0,(MIN((X94-X95),($E98-SUM($E95:X95))/'Assumptions - Freight'!$E91)),0),'Assumptions - Freight'!X94))," ")</f>
        <v>0</v>
      </c>
      <c r="Y96" s="229">
        <f>IF(Y$16=1,(IF($A93=1,IF(Y94-Y95&gt;0,(MIN((Y94-Y95),($E98-SUM($E95:Y95))/'Assumptions - Freight'!$E91)),0),'Assumptions - Freight'!Y94))," ")</f>
        <v>0</v>
      </c>
      <c r="Z96" s="229">
        <f>IF(Z$16=1,(IF($A93=1,IF(Z94-Z95&gt;0,(MIN((Z94-Z95),($E98-SUM($E95:Z95))/'Assumptions - Freight'!$E91)),0),'Assumptions - Freight'!Z94))," ")</f>
        <v>0</v>
      </c>
      <c r="AA96" s="229">
        <f>IF(AA$16=1,(IF($A93=1,IF(AA94-AA95&gt;0,(MIN((AA94-AA95),($E98-SUM($E95:AA95))/'Assumptions - Freight'!$E91)),0),'Assumptions - Freight'!AA94))," ")</f>
        <v>0</v>
      </c>
      <c r="AB96" s="229">
        <f>IF(AB$16=1,(IF($A93=1,IF(AB94-AB95&gt;0,(MIN((AB94-AB95),($E98-SUM($E95:AB95))/'Assumptions - Freight'!$E91)),0),'Assumptions - Freight'!AB94))," ")</f>
        <v>0</v>
      </c>
      <c r="AC96" s="229">
        <f>IF(AC$16=1,(IF($A93=1,IF(AC94-AC95&gt;0,(MIN((AC94-AC95),($E98-SUM($E95:AC95))/'Assumptions - Freight'!$E91)),0),'Assumptions - Freight'!AC94))," ")</f>
        <v>0</v>
      </c>
      <c r="AD96" s="229">
        <f>IF(AD$16=1,(IF($A93=1,IF(AD94-AD95&gt;0,(MIN((AD94-AD95),($E98-SUM($E95:AD95))/'Assumptions - Freight'!$E91)),0),'Assumptions - Freight'!AD94))," ")</f>
        <v>0</v>
      </c>
      <c r="AE96" s="229">
        <f>IF(AE$16=1,(IF($A93=1,IF(AE94-AE95&gt;0,(MIN((AE94-AE95),($E98-SUM($E95:AE95))/'Assumptions - Freight'!$E91)),0),'Assumptions - Freight'!AE94))," ")</f>
        <v>0</v>
      </c>
      <c r="AF96" s="229">
        <f>IF(AF$16=1,(IF($A93=1,IF(AF94-AF95&gt;0,(MIN((AF94-AF95),($E98-SUM($E95:AF95))/'Assumptions - Freight'!$E91)),0),'Assumptions - Freight'!AF94))," ")</f>
        <v>0</v>
      </c>
      <c r="AG96" s="229">
        <f>IF(AG$16=1,(IF($A93=1,IF(AG94-AG95&gt;0,(MIN((AG94-AG95),($E98-SUM($E95:AG95))/'Assumptions - Freight'!$E91)),0),'Assumptions - Freight'!AG94))," ")</f>
        <v>0</v>
      </c>
      <c r="AH96" s="229">
        <f>IF(AH$16=1,(IF($A93=1,IF(AH94-AH95&gt;0,(MIN((AH94-AH95),($E98-SUM($E95:AH95))/'Assumptions - Freight'!$E91)),0),'Assumptions - Freight'!AH94))," ")</f>
        <v>0</v>
      </c>
    </row>
    <row r="97" spans="1:34" s="20" customFormat="1" ht="14" x14ac:dyDescent="0.2">
      <c r="A97" s="87"/>
      <c r="B97" s="30" t="str">
        <f>IF(A93=1,"Accumulated depreciation of existing assets","Accumulated depreciation of assets")</f>
        <v>Accumulated depreciation of existing assets</v>
      </c>
      <c r="C97" s="8"/>
      <c r="D97" s="8" t="str">
        <f>'Assumptions - General'!$E$27 &amp;" millions"</f>
        <v>R$ millions</v>
      </c>
      <c r="E97" s="29"/>
      <c r="F97" s="29">
        <f>IF(F$16=1,SUM($E96:F96)," ")</f>
        <v>14.75</v>
      </c>
      <c r="G97" s="29">
        <f>IF(G$16=1,SUM($E96:G96)," ")</f>
        <v>29.25</v>
      </c>
      <c r="H97" s="29">
        <f>IF(H$16=1,SUM($E96:H96)," ")</f>
        <v>43.5</v>
      </c>
      <c r="I97" s="29">
        <f>IF(I$16=1,SUM($E96:I96)," ")</f>
        <v>57.5</v>
      </c>
      <c r="J97" s="29">
        <f>IF(J$16=1,SUM($E96:J96)," ")</f>
        <v>71.25</v>
      </c>
      <c r="K97" s="29">
        <f>IF(K$16=1,SUM($E96:K96)," ")</f>
        <v>84.75</v>
      </c>
      <c r="L97" s="29">
        <f>IF(L$16=1,SUM($E96:L96)," ")</f>
        <v>98</v>
      </c>
      <c r="M97" s="29">
        <f>IF(M$16=1,SUM($E96:M96)," ")</f>
        <v>111</v>
      </c>
      <c r="N97" s="29">
        <f>IF(N$16=1,SUM($E96:N96)," ")</f>
        <v>123.75</v>
      </c>
      <c r="O97" s="29">
        <f>IF(O$16=1,SUM($E96:O96)," ")</f>
        <v>136.25</v>
      </c>
      <c r="P97" s="29">
        <f>IF(P$16=1,SUM($E96:P96)," ")</f>
        <v>148.5</v>
      </c>
      <c r="Q97" s="29">
        <f>IF(Q$16=1,SUM($E96:Q96)," ")</f>
        <v>160.5</v>
      </c>
      <c r="R97" s="29">
        <f>IF(R$16=1,SUM($E96:R96)," ")</f>
        <v>172.25</v>
      </c>
      <c r="S97" s="29">
        <f>IF(S$16=1,SUM($E96:S96)," ")</f>
        <v>183.75</v>
      </c>
      <c r="T97" s="29">
        <f>IF(T$16=1,SUM($E96:T96)," ")</f>
        <v>195</v>
      </c>
      <c r="U97" s="29">
        <f>IF(U$16=1,SUM($E96:U96)," ")</f>
        <v>206</v>
      </c>
      <c r="V97" s="29">
        <f>IF(V$16=1,SUM($E96:V96)," ")</f>
        <v>215</v>
      </c>
      <c r="W97" s="29">
        <f>IF(W$16=1,SUM($E96:W96)," ")</f>
        <v>215</v>
      </c>
      <c r="X97" s="29">
        <f>IF(X$16=1,SUM($E96:X96)," ")</f>
        <v>215</v>
      </c>
      <c r="Y97" s="29">
        <f>IF(Y$16=1,SUM($E96:Y96)," ")</f>
        <v>215</v>
      </c>
      <c r="Z97" s="29">
        <f>IF(Z$16=1,SUM($E96:Z96)," ")</f>
        <v>215</v>
      </c>
      <c r="AA97" s="29">
        <f>IF(AA$16=1,SUM($E96:AA96)," ")</f>
        <v>215</v>
      </c>
      <c r="AB97" s="29">
        <f>IF(AB$16=1,SUM($E96:AB96)," ")</f>
        <v>215</v>
      </c>
      <c r="AC97" s="29">
        <f>IF(AC$16=1,SUM($E96:AC96)," ")</f>
        <v>215</v>
      </c>
      <c r="AD97" s="29">
        <f>IF(AD$16=1,SUM($E96:AD96)," ")</f>
        <v>215</v>
      </c>
      <c r="AE97" s="29">
        <f>IF(AE$16=1,SUM($E96:AE96)," ")</f>
        <v>215</v>
      </c>
      <c r="AF97" s="29">
        <f>IF(AF$16=1,SUM($E96:AF96)," ")</f>
        <v>215</v>
      </c>
      <c r="AG97" s="29">
        <f>IF(AG$16=1,SUM($E96:AG96)," ")</f>
        <v>215</v>
      </c>
      <c r="AH97" s="29">
        <f>IF(AH$16=1,SUM($E96:AH96)," ")</f>
        <v>215</v>
      </c>
    </row>
    <row r="98" spans="1:34" s="20" customFormat="1" ht="14" x14ac:dyDescent="0.2">
      <c r="A98" s="87"/>
      <c r="B98" s="14" t="s">
        <v>639</v>
      </c>
      <c r="C98" s="8"/>
      <c r="D98" s="8" t="str">
        <f>'Assumptions - General'!$E$27 &amp;" millions"</f>
        <v>R$ millions</v>
      </c>
      <c r="E98" s="463">
        <f>IF(E$16=1,'Assumptions - Freight'!E37," ")</f>
        <v>300</v>
      </c>
      <c r="F98" s="29">
        <f>IF(F$16=1,F94-F95-F96," ")</f>
        <v>280.25</v>
      </c>
      <c r="G98" s="29">
        <f t="shared" ref="G98:AH98" si="28">IF(G$16=1,G94-G95-G96," ")</f>
        <v>260.75</v>
      </c>
      <c r="H98" s="29">
        <f t="shared" si="28"/>
        <v>241.5</v>
      </c>
      <c r="I98" s="29">
        <f t="shared" si="28"/>
        <v>222.5</v>
      </c>
      <c r="J98" s="29">
        <f t="shared" si="28"/>
        <v>203.75</v>
      </c>
      <c r="K98" s="29">
        <f t="shared" si="28"/>
        <v>185.25</v>
      </c>
      <c r="L98" s="29">
        <f t="shared" si="28"/>
        <v>167</v>
      </c>
      <c r="M98" s="29">
        <f t="shared" si="28"/>
        <v>149</v>
      </c>
      <c r="N98" s="29">
        <f t="shared" si="28"/>
        <v>131.25</v>
      </c>
      <c r="O98" s="29">
        <f t="shared" si="28"/>
        <v>113.75</v>
      </c>
      <c r="P98" s="29">
        <f t="shared" si="28"/>
        <v>96.5</v>
      </c>
      <c r="Q98" s="29">
        <f t="shared" si="28"/>
        <v>79.5</v>
      </c>
      <c r="R98" s="29">
        <f t="shared" si="28"/>
        <v>62.75</v>
      </c>
      <c r="S98" s="29">
        <f t="shared" si="28"/>
        <v>46.25</v>
      </c>
      <c r="T98" s="29">
        <f t="shared" si="28"/>
        <v>30</v>
      </c>
      <c r="U98" s="29">
        <f t="shared" si="28"/>
        <v>14</v>
      </c>
      <c r="V98" s="29">
        <f t="shared" si="28"/>
        <v>0</v>
      </c>
      <c r="W98" s="29">
        <f t="shared" si="28"/>
        <v>0</v>
      </c>
      <c r="X98" s="29">
        <f t="shared" si="28"/>
        <v>0</v>
      </c>
      <c r="Y98" s="29">
        <f t="shared" si="28"/>
        <v>0</v>
      </c>
      <c r="Z98" s="29">
        <f t="shared" si="28"/>
        <v>0</v>
      </c>
      <c r="AA98" s="29">
        <f t="shared" si="28"/>
        <v>0</v>
      </c>
      <c r="AB98" s="29">
        <f t="shared" si="28"/>
        <v>0</v>
      </c>
      <c r="AC98" s="29">
        <f t="shared" si="28"/>
        <v>0</v>
      </c>
      <c r="AD98" s="29">
        <f t="shared" si="28"/>
        <v>0</v>
      </c>
      <c r="AE98" s="29">
        <f t="shared" si="28"/>
        <v>0</v>
      </c>
      <c r="AF98" s="29">
        <f t="shared" si="28"/>
        <v>0</v>
      </c>
      <c r="AG98" s="29">
        <f t="shared" si="28"/>
        <v>0</v>
      </c>
      <c r="AH98" s="29">
        <f t="shared" si="28"/>
        <v>0</v>
      </c>
    </row>
    <row r="99" spans="1:34" s="20" customFormat="1" ht="14" x14ac:dyDescent="0.2">
      <c r="A99" s="87"/>
      <c r="B99" s="14"/>
      <c r="C99" s="8"/>
      <c r="D99" s="8"/>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row>
    <row r="100" spans="1:34" s="20" customFormat="1" ht="14" x14ac:dyDescent="0.2">
      <c r="A100" s="87"/>
      <c r="B100" s="14" t="s">
        <v>634</v>
      </c>
      <c r="C100" s="8"/>
      <c r="D100" s="8" t="str">
        <f>'Assumptions - General'!$E$27 &amp;" millions"</f>
        <v>R$ millions</v>
      </c>
      <c r="E100" s="29"/>
      <c r="F100" s="29">
        <f t="shared" ref="F100:AH100" si="29">IF(F16=1,E105," ")</f>
        <v>0</v>
      </c>
      <c r="G100" s="29">
        <f t="shared" si="29"/>
        <v>25</v>
      </c>
      <c r="H100" s="29">
        <f t="shared" si="29"/>
        <v>48.333333333333336</v>
      </c>
      <c r="I100" s="29">
        <f t="shared" si="29"/>
        <v>70.833333333333343</v>
      </c>
      <c r="J100" s="29">
        <f t="shared" si="29"/>
        <v>92.500000000000014</v>
      </c>
      <c r="K100" s="29">
        <f t="shared" si="29"/>
        <v>113.33333333333334</v>
      </c>
      <c r="L100" s="29">
        <f t="shared" si="29"/>
        <v>133.33333333333334</v>
      </c>
      <c r="M100" s="29">
        <f t="shared" si="29"/>
        <v>152.5</v>
      </c>
      <c r="N100" s="29">
        <f t="shared" si="29"/>
        <v>170.83333333333334</v>
      </c>
      <c r="O100" s="29">
        <f t="shared" si="29"/>
        <v>188.33333333333334</v>
      </c>
      <c r="P100" s="29">
        <f t="shared" si="29"/>
        <v>205</v>
      </c>
      <c r="Q100" s="29">
        <f t="shared" si="29"/>
        <v>220.83333333333334</v>
      </c>
      <c r="R100" s="29">
        <f t="shared" si="29"/>
        <v>235.83333333333334</v>
      </c>
      <c r="S100" s="29">
        <f t="shared" si="29"/>
        <v>250.00000000000003</v>
      </c>
      <c r="T100" s="29">
        <f t="shared" si="29"/>
        <v>263.33333333333331</v>
      </c>
      <c r="U100" s="29">
        <f t="shared" si="29"/>
        <v>275.83333333333331</v>
      </c>
      <c r="V100" s="29">
        <f t="shared" si="29"/>
        <v>287.5</v>
      </c>
      <c r="W100" s="29">
        <f t="shared" si="29"/>
        <v>298.33333333333331</v>
      </c>
      <c r="X100" s="29">
        <f t="shared" si="29"/>
        <v>303.5</v>
      </c>
      <c r="Y100" s="29">
        <f t="shared" si="29"/>
        <v>308</v>
      </c>
      <c r="Z100" s="29">
        <f t="shared" si="29"/>
        <v>311.83333333333331</v>
      </c>
      <c r="AA100" s="29">
        <f t="shared" si="29"/>
        <v>315</v>
      </c>
      <c r="AB100" s="29">
        <f t="shared" si="29"/>
        <v>317.5</v>
      </c>
      <c r="AC100" s="29">
        <f t="shared" si="29"/>
        <v>319.33333333333331</v>
      </c>
      <c r="AD100" s="29">
        <f t="shared" si="29"/>
        <v>320.5</v>
      </c>
      <c r="AE100" s="29">
        <f t="shared" si="29"/>
        <v>321</v>
      </c>
      <c r="AF100" s="29">
        <f t="shared" si="29"/>
        <v>320.83333333333331</v>
      </c>
      <c r="AG100" s="29">
        <f t="shared" si="29"/>
        <v>320</v>
      </c>
      <c r="AH100" s="29">
        <f t="shared" si="29"/>
        <v>318.5</v>
      </c>
    </row>
    <row r="101" spans="1:34" s="20" customFormat="1" ht="14" x14ac:dyDescent="0.2">
      <c r="A101" s="87"/>
      <c r="B101" s="30" t="s">
        <v>130</v>
      </c>
      <c r="C101" s="8"/>
      <c r="D101" s="8" t="str">
        <f>'Assumptions - General'!$E$27 &amp;" millions"</f>
        <v>R$ millions</v>
      </c>
      <c r="E101" s="29"/>
      <c r="F101" s="29">
        <f>IF(F$16=1,IF($D$25=1,$D$26*'Assumptions - Freight'!F$44,'Assumptions - Freight'!F$44)," ")</f>
        <v>25</v>
      </c>
      <c r="G101" s="29">
        <f>IF(G$16=1,IF($D$25=1,$D$26*'Assumptions - Freight'!G$44,'Assumptions - Freight'!G$44)," ")</f>
        <v>25</v>
      </c>
      <c r="H101" s="29">
        <f>IF(H$16=1,IF($D$25=1,$D$26*'Assumptions - Freight'!H$44,'Assumptions - Freight'!H$44)," ")</f>
        <v>25</v>
      </c>
      <c r="I101" s="29">
        <f>IF(I$16=1,IF($D$25=1,$D$26*'Assumptions - Freight'!I$44,'Assumptions - Freight'!I$44)," ")</f>
        <v>25</v>
      </c>
      <c r="J101" s="29">
        <f>IF(J$16=1,IF($D$25=1,$D$26*'Assumptions - Freight'!J$44,'Assumptions - Freight'!J$44)," ")</f>
        <v>25</v>
      </c>
      <c r="K101" s="29">
        <f>IF(K$16=1,IF($D$25=1,$D$26*'Assumptions - Freight'!K$44,'Assumptions - Freight'!K$44)," ")</f>
        <v>25</v>
      </c>
      <c r="L101" s="29">
        <f>IF(L$16=1,IF($D$25=1,$D$26*'Assumptions - Freight'!L$44,'Assumptions - Freight'!L$44)," ")</f>
        <v>25</v>
      </c>
      <c r="M101" s="29">
        <f>IF(M$16=1,IF($D$25=1,$D$26*'Assumptions - Freight'!M$44,'Assumptions - Freight'!M$44)," ")</f>
        <v>25</v>
      </c>
      <c r="N101" s="29">
        <f>IF(N$16=1,IF($D$25=1,$D$26*'Assumptions - Freight'!N$44,'Assumptions - Freight'!N$44)," ")</f>
        <v>25</v>
      </c>
      <c r="O101" s="29">
        <f>IF(O$16=1,IF($D$25=1,$D$26*'Assumptions - Freight'!O$44,'Assumptions - Freight'!O$44)," ")</f>
        <v>25</v>
      </c>
      <c r="P101" s="29">
        <f>IF(P$16=1,IF($D$25=1,$D$26*'Assumptions - Freight'!P$44,'Assumptions - Freight'!P$44)," ")</f>
        <v>25</v>
      </c>
      <c r="Q101" s="29">
        <f>IF(Q$16=1,IF($D$25=1,$D$26*'Assumptions - Freight'!Q$44,'Assumptions - Freight'!Q$44)," ")</f>
        <v>25</v>
      </c>
      <c r="R101" s="29">
        <f>IF(R$16=1,IF($D$25=1,$D$26*'Assumptions - Freight'!R$44,'Assumptions - Freight'!R$44)," ")</f>
        <v>25</v>
      </c>
      <c r="S101" s="29">
        <f>IF(S$16=1,IF($D$25=1,$D$26*'Assumptions - Freight'!S$44,'Assumptions - Freight'!S$44)," ")</f>
        <v>25</v>
      </c>
      <c r="T101" s="29">
        <f>IF(T$16=1,IF($D$25=1,$D$26*'Assumptions - Freight'!T$44,'Assumptions - Freight'!T$44)," ")</f>
        <v>25</v>
      </c>
      <c r="U101" s="29">
        <f>IF(U$16=1,IF($D$25=1,$D$26*'Assumptions - Freight'!U$44,'Assumptions - Freight'!U$44)," ")</f>
        <v>25</v>
      </c>
      <c r="V101" s="29">
        <f>IF(V$16=1,IF($D$25=1,$D$26*'Assumptions - Freight'!V$44,'Assumptions - Freight'!V$44)," ")</f>
        <v>25</v>
      </c>
      <c r="W101" s="29">
        <f>IF(W$16=1,IF($D$25=1,$D$26*'Assumptions - Freight'!W$44,'Assumptions - Freight'!W$44)," ")</f>
        <v>25</v>
      </c>
      <c r="X101" s="29">
        <f>IF(X$16=1,IF($D$25=1,$D$26*'Assumptions - Freight'!X$44,'Assumptions - Freight'!X$44)," ")</f>
        <v>25</v>
      </c>
      <c r="Y101" s="29">
        <f>IF(Y$16=1,IF($D$25=1,$D$26*'Assumptions - Freight'!Y$44,'Assumptions - Freight'!Y$44)," ")</f>
        <v>25</v>
      </c>
      <c r="Z101" s="29">
        <f>IF(Z$16=1,IF($D$25=1,$D$26*'Assumptions - Freight'!Z$44,'Assumptions - Freight'!Z$44)," ")</f>
        <v>25</v>
      </c>
      <c r="AA101" s="29">
        <f>IF(AA$16=1,IF($D$25=1,$D$26*'Assumptions - Freight'!AA$44,'Assumptions - Freight'!AA$44)," ")</f>
        <v>25</v>
      </c>
      <c r="AB101" s="29">
        <f>IF(AB$16=1,IF($D$25=1,$D$26*'Assumptions - Freight'!AB$44,'Assumptions - Freight'!AB$44)," ")</f>
        <v>25</v>
      </c>
      <c r="AC101" s="29">
        <f>IF(AC$16=1,IF($D$25=1,$D$26*'Assumptions - Freight'!AC$44,'Assumptions - Freight'!AC$44)," ")</f>
        <v>25</v>
      </c>
      <c r="AD101" s="29">
        <f>IF(AD$16=1,IF($D$25=1,$D$26*'Assumptions - Freight'!AD$44,'Assumptions - Freight'!AD$44)," ")</f>
        <v>25</v>
      </c>
      <c r="AE101" s="29">
        <f>IF(AE$16=1,IF($D$25=1,$D$26*'Assumptions - Freight'!AE$44,'Assumptions - Freight'!AE$44)," ")</f>
        <v>25</v>
      </c>
      <c r="AF101" s="29">
        <f>IF(AF$16=1,IF($D$25=1,$D$26*'Assumptions - Freight'!AF$44,'Assumptions - Freight'!AF$44)," ")</f>
        <v>25</v>
      </c>
      <c r="AG101" s="29">
        <f>IF(AG$16=1,IF($D$25=1,$D$26*'Assumptions - Freight'!AG$44,'Assumptions - Freight'!AG$44)," ")</f>
        <v>25</v>
      </c>
      <c r="AH101" s="29">
        <f>IF(AH$16=1,IF($D$25=1,$D$26*'Assumptions - Freight'!AH$44,'Assumptions - Freight'!AH$44)," ")</f>
        <v>25</v>
      </c>
    </row>
    <row r="102" spans="1:34" s="20" customFormat="1" ht="14" x14ac:dyDescent="0.2">
      <c r="A102" s="87"/>
      <c r="B102" s="30" t="s">
        <v>608</v>
      </c>
      <c r="C102" s="8"/>
      <c r="D102" s="8" t="str">
        <f>'Assumptions - General'!$E$27 &amp;" millions"</f>
        <v>R$ millions</v>
      </c>
      <c r="E102" s="29"/>
      <c r="F102" s="29">
        <f>IF(F$16=1,'Assumptions - Freight'!F52-Calculations!F95," ")</f>
        <v>0</v>
      </c>
      <c r="G102" s="29">
        <f>IF(G$16=1,'Assumptions - Freight'!G52-Calculations!G95," ")</f>
        <v>0</v>
      </c>
      <c r="H102" s="29">
        <f>IF(H$16=1,'Assumptions - Freight'!H52-Calculations!H95," ")</f>
        <v>0</v>
      </c>
      <c r="I102" s="29">
        <f>IF(I$16=1,'Assumptions - Freight'!I52-Calculations!I95," ")</f>
        <v>0</v>
      </c>
      <c r="J102" s="29">
        <f>IF(J$16=1,'Assumptions - Freight'!J52-Calculations!J95," ")</f>
        <v>0</v>
      </c>
      <c r="K102" s="29">
        <f>IF(K$16=1,'Assumptions - Freight'!K52-Calculations!K95," ")</f>
        <v>0</v>
      </c>
      <c r="L102" s="29">
        <f>IF(L$16=1,'Assumptions - Freight'!L52-Calculations!L95," ")</f>
        <v>0</v>
      </c>
      <c r="M102" s="29">
        <f>IF(M$16=1,'Assumptions - Freight'!M52-Calculations!M95," ")</f>
        <v>0</v>
      </c>
      <c r="N102" s="29">
        <f>IF(N$16=1,'Assumptions - Freight'!N52-Calculations!N95," ")</f>
        <v>0</v>
      </c>
      <c r="O102" s="29">
        <f>IF(O$16=1,'Assumptions - Freight'!O52-Calculations!O95," ")</f>
        <v>0</v>
      </c>
      <c r="P102" s="29">
        <f>IF(P$16=1,'Assumptions - Freight'!P52-Calculations!P95," ")</f>
        <v>0</v>
      </c>
      <c r="Q102" s="29">
        <f>IF(Q$16=1,'Assumptions - Freight'!Q52-Calculations!Q95," ")</f>
        <v>0</v>
      </c>
      <c r="R102" s="29">
        <f>IF(R$16=1,'Assumptions - Freight'!R52-Calculations!R95," ")</f>
        <v>0</v>
      </c>
      <c r="S102" s="29">
        <f>IF(S$16=1,'Assumptions - Freight'!S52-Calculations!S95," ")</f>
        <v>0</v>
      </c>
      <c r="T102" s="29">
        <f>IF(T$16=1,'Assumptions - Freight'!T52-Calculations!T95," ")</f>
        <v>0</v>
      </c>
      <c r="U102" s="29">
        <f>IF(U$16=1,'Assumptions - Freight'!U52-Calculations!U95," ")</f>
        <v>0</v>
      </c>
      <c r="V102" s="29">
        <f>IF(V$16=1,'Assumptions - Freight'!V52-Calculations!V95," ")</f>
        <v>0</v>
      </c>
      <c r="W102" s="29">
        <f>IF(W$16=1,'Assumptions - Freight'!W52-Calculations!W95," ")</f>
        <v>5</v>
      </c>
      <c r="X102" s="29">
        <f>IF(X$16=1,'Assumptions - Freight'!X52-Calculations!X95," ")</f>
        <v>5</v>
      </c>
      <c r="Y102" s="29">
        <f>IF(Y$16=1,'Assumptions - Freight'!Y52-Calculations!Y95," ")</f>
        <v>5</v>
      </c>
      <c r="Z102" s="29">
        <f>IF(Z$16=1,'Assumptions - Freight'!Z52-Calculations!Z95," ")</f>
        <v>5</v>
      </c>
      <c r="AA102" s="29">
        <f>IF(AA$16=1,'Assumptions - Freight'!AA52-Calculations!AA95," ")</f>
        <v>5</v>
      </c>
      <c r="AB102" s="29">
        <f>IF(AB$16=1,'Assumptions - Freight'!AB52-Calculations!AB95," ")</f>
        <v>5</v>
      </c>
      <c r="AC102" s="29">
        <f>IF(AC$16=1,'Assumptions - Freight'!AC52-Calculations!AC95," ")</f>
        <v>5</v>
      </c>
      <c r="AD102" s="29">
        <f>IF(AD$16=1,'Assumptions - Freight'!AD52-Calculations!AD95," ")</f>
        <v>5</v>
      </c>
      <c r="AE102" s="29">
        <f>IF(AE$16=1,'Assumptions - Freight'!AE52-Calculations!AE95," ")</f>
        <v>5</v>
      </c>
      <c r="AF102" s="29">
        <f>IF(AF$16=1,'Assumptions - Freight'!AF52-Calculations!AF95," ")</f>
        <v>5</v>
      </c>
      <c r="AG102" s="29">
        <f>IF(AG$16=1,'Assumptions - Freight'!AG52-Calculations!AG95," ")</f>
        <v>5</v>
      </c>
      <c r="AH102" s="29">
        <f>IF(AH$16=1,'Assumptions - Freight'!AH52-Calculations!AH95," ")</f>
        <v>5</v>
      </c>
    </row>
    <row r="103" spans="1:34" s="20" customFormat="1" ht="14" x14ac:dyDescent="0.2">
      <c r="A103" s="87"/>
      <c r="B103" s="30" t="s">
        <v>635</v>
      </c>
      <c r="C103" s="8"/>
      <c r="D103" s="8" t="str">
        <f>'Assumptions - General'!$E$27 &amp;" millions"</f>
        <v>R$ millions</v>
      </c>
      <c r="E103" s="29"/>
      <c r="F103" s="29">
        <f>IF(F$16=1,(IF($A93=1,IF(F100-F102&gt;0,(MIN((F100-F102),(SUM($E101:F101)-SUM($E102:F102))/'Assumptions - Freight'!$E93)),0),0))," ")</f>
        <v>0</v>
      </c>
      <c r="G103" s="29">
        <f>IF(G$16=1,(IF($A93=1,IF(G100-G102&gt;0,(MIN((G100-G102),(SUM($E101:G101)-SUM($E102:G102))/'Assumptions - Freight'!$E93)),0),0))," ")</f>
        <v>1.6666666666666667</v>
      </c>
      <c r="H103" s="29">
        <f>IF(H$16=1,(IF($A93=1,IF(H100-H102&gt;0,(MIN((H100-H102),(SUM($E101:H101)-SUM($E102:H102))/'Assumptions - Freight'!$E93)),0),0))," ")</f>
        <v>2.5</v>
      </c>
      <c r="I103" s="29">
        <f>IF(I$16=1,(IF($A93=1,IF(I100-I102&gt;0,(MIN((I100-I102),(SUM($E101:I101)-SUM($E102:I102))/'Assumptions - Freight'!$E93)),0),0))," ")</f>
        <v>3.3333333333333335</v>
      </c>
      <c r="J103" s="29">
        <f>IF(J$16=1,(IF($A93=1,IF(J100-J102&gt;0,(MIN((J100-J102),(SUM($E101:J101)-SUM($E102:J102))/'Assumptions - Freight'!$E93)),0),0))," ")</f>
        <v>4.166666666666667</v>
      </c>
      <c r="K103" s="29">
        <f>IF(K$16=1,(IF($A93=1,IF(K100-K102&gt;0,(MIN((K100-K102),(SUM($E101:K101)-SUM($E102:K102))/'Assumptions - Freight'!$E93)),0),0))," ")</f>
        <v>5</v>
      </c>
      <c r="L103" s="29">
        <f>IF(L$16=1,(IF($A93=1,IF(L100-L102&gt;0,(MIN((L100-L102),(SUM($E101:L101)-SUM($E102:L102))/'Assumptions - Freight'!$E93)),0),0))," ")</f>
        <v>5.833333333333333</v>
      </c>
      <c r="M103" s="29">
        <f>IF(M$16=1,(IF($A93=1,IF(M100-M102&gt;0,(MIN((M100-M102),(SUM($E101:M101)-SUM($E102:M102))/'Assumptions - Freight'!$E93)),0),0))," ")</f>
        <v>6.666666666666667</v>
      </c>
      <c r="N103" s="29">
        <f>IF(N$16=1,(IF($A93=1,IF(N100-N102&gt;0,(MIN((N100-N102),(SUM($E101:N101)-SUM($E102:N102))/'Assumptions - Freight'!$E93)),0),0))," ")</f>
        <v>7.5</v>
      </c>
      <c r="O103" s="29">
        <f>IF(O$16=1,(IF($A93=1,IF(O100-O102&gt;0,(MIN((O100-O102),(SUM($E101:O101)-SUM($E102:O102))/'Assumptions - Freight'!$E93)),0),0))," ")</f>
        <v>8.3333333333333339</v>
      </c>
      <c r="P103" s="29">
        <f>IF(P$16=1,(IF($A93=1,IF(P100-P102&gt;0,(MIN((P100-P102),(SUM($E101:P101)-SUM($E102:P102))/'Assumptions - Freight'!$E93)),0),0))," ")</f>
        <v>9.1666666666666661</v>
      </c>
      <c r="Q103" s="29">
        <f>IF(Q$16=1,(IF($A93=1,IF(Q100-Q102&gt;0,(MIN((Q100-Q102),(SUM($E101:Q101)-SUM($E102:Q102))/'Assumptions - Freight'!$E93)),0),0))," ")</f>
        <v>10</v>
      </c>
      <c r="R103" s="29">
        <f>IF(R$16=1,(IF($A93=1,IF(R100-R102&gt;0,(MIN((R100-R102),(SUM($E101:R101)-SUM($E102:R102))/'Assumptions - Freight'!$E93)),0),0))," ")</f>
        <v>10.833333333333334</v>
      </c>
      <c r="S103" s="29">
        <f>IF(S$16=1,(IF($A93=1,IF(S100-S102&gt;0,(MIN((S100-S102),(SUM($E101:S101)-SUM($E102:S102))/'Assumptions - Freight'!$E93)),0),0))," ")</f>
        <v>11.666666666666666</v>
      </c>
      <c r="T103" s="29">
        <f>IF(T$16=1,(IF($A93=1,IF(T100-T102&gt;0,(MIN((T100-T102),(SUM($E101:T101)-SUM($E102:T102))/'Assumptions - Freight'!$E93)),0),0))," ")</f>
        <v>12.5</v>
      </c>
      <c r="U103" s="29">
        <f>IF(U$16=1,(IF($A93=1,IF(U100-U102&gt;0,(MIN((U100-U102),(SUM($E101:U101)-SUM($E102:U102))/'Assumptions - Freight'!$E93)),0),0))," ")</f>
        <v>13.333333333333334</v>
      </c>
      <c r="V103" s="29">
        <f>IF(V$16=1,(IF($A93=1,IF(V100-V102&gt;0,(MIN((V100-V102),(SUM($E101:V101)-SUM($E102:V102))/'Assumptions - Freight'!$E93)),0),0))," ")</f>
        <v>14.166666666666666</v>
      </c>
      <c r="W103" s="29">
        <f>IF(W$16=1,(IF($A93=1,IF(W100-W102&gt;0,(MIN((W100-W102),(SUM($E101:W101)-SUM($E102:W102))/'Assumptions - Freight'!$E93)),0),0))," ")</f>
        <v>14.833333333333334</v>
      </c>
      <c r="X103" s="29">
        <f>IF(X$16=1,(IF($A93=1,IF(X100-X102&gt;0,(MIN((X100-X102),(SUM($E101:X101)-SUM($E102:X102))/'Assumptions - Freight'!$E93)),0),0))," ")</f>
        <v>15.5</v>
      </c>
      <c r="Y103" s="29">
        <f>IF(Y$16=1,(IF($A93=1,IF(Y100-Y102&gt;0,(MIN((Y100-Y102),(SUM($E101:Y101)-SUM($E102:Y102))/'Assumptions - Freight'!$E93)),0),0))," ")</f>
        <v>16.166666666666668</v>
      </c>
      <c r="Z103" s="29">
        <f>IF(Z$16=1,(IF($A93=1,IF(Z100-Z102&gt;0,(MIN((Z100-Z102),(SUM($E101:Z101)-SUM($E102:Z102))/'Assumptions - Freight'!$E93)),0),0))," ")</f>
        <v>16.833333333333332</v>
      </c>
      <c r="AA103" s="29">
        <f>IF(AA$16=1,(IF($A93=1,IF(AA100-AA102&gt;0,(MIN((AA100-AA102),(SUM($E101:AA101)-SUM($E102:AA102))/'Assumptions - Freight'!$E93)),0),0))," ")</f>
        <v>17.5</v>
      </c>
      <c r="AB103" s="29">
        <f>IF(AB$16=1,(IF($A93=1,IF(AB100-AB102&gt;0,(MIN((AB100-AB102),(SUM($E101:AB101)-SUM($E102:AB102))/'Assumptions - Freight'!$E93)),0),0))," ")</f>
        <v>18.166666666666668</v>
      </c>
      <c r="AC103" s="29">
        <f>IF(AC$16=1,(IF($A93=1,IF(AC100-AC102&gt;0,(MIN((AC100-AC102),(SUM($E101:AC101)-SUM($E102:AC102))/'Assumptions - Freight'!$E93)),0),0))," ")</f>
        <v>18.833333333333332</v>
      </c>
      <c r="AD103" s="29">
        <f>IF(AD$16=1,(IF($A93=1,IF(AD100-AD102&gt;0,(MIN((AD100-AD102),(SUM($E101:AD101)-SUM($E102:AD102))/'Assumptions - Freight'!$E93)),0),0))," ")</f>
        <v>19.5</v>
      </c>
      <c r="AE103" s="29">
        <f>IF(AE$16=1,(IF($A93=1,IF(AE100-AE102&gt;0,(MIN((AE100-AE102),(SUM($E101:AE101)-SUM($E102:AE102))/'Assumptions - Freight'!$E93)),0),0))," ")</f>
        <v>20.166666666666668</v>
      </c>
      <c r="AF103" s="29">
        <f>IF(AF$16=1,(IF($A93=1,IF(AF100-AF102&gt;0,(MIN((AF100-AF102),(SUM($E101:AF101)-SUM($E102:AF102))/'Assumptions - Freight'!$E93)),0),0))," ")</f>
        <v>20.833333333333332</v>
      </c>
      <c r="AG103" s="29">
        <f>IF(AG$16=1,(IF($A93=1,IF(AG100-AG102&gt;0,(MIN((AG100-AG102),(SUM($E101:AG101)-SUM($E102:AG102))/'Assumptions - Freight'!$E93)),0),0))," ")</f>
        <v>21.5</v>
      </c>
      <c r="AH103" s="29">
        <f>IF(AH$16=1,(IF($A93=1,IF(AH100-AH102&gt;0,(MIN((AH100-AH102),(SUM($E101:AH101)-SUM($E102:AH102))/'Assumptions - Freight'!$E93)),0),0))," ")</f>
        <v>22.166666666666668</v>
      </c>
    </row>
    <row r="104" spans="1:34" s="20" customFormat="1" ht="14" x14ac:dyDescent="0.2">
      <c r="A104" s="87"/>
      <c r="B104" s="30" t="s">
        <v>636</v>
      </c>
      <c r="C104" s="8"/>
      <c r="D104" s="8" t="str">
        <f>'Assumptions - General'!$E$27 &amp;" millions"</f>
        <v>R$ millions</v>
      </c>
      <c r="E104" s="29"/>
      <c r="F104" s="29">
        <f>IF(F$16=1,SUM($E103:F103)," ")</f>
        <v>0</v>
      </c>
      <c r="G104" s="29">
        <f>IF(G$16=1,SUM($E103:G103)," ")</f>
        <v>1.6666666666666667</v>
      </c>
      <c r="H104" s="29">
        <f>IF(H$16=1,SUM($E103:H103)," ")</f>
        <v>4.166666666666667</v>
      </c>
      <c r="I104" s="29">
        <f>IF(I$16=1,SUM($E103:I103)," ")</f>
        <v>7.5</v>
      </c>
      <c r="J104" s="29">
        <f>IF(J$16=1,SUM($E103:J103)," ")</f>
        <v>11.666666666666668</v>
      </c>
      <c r="K104" s="29">
        <f>IF(K$16=1,SUM($E103:K103)," ")</f>
        <v>16.666666666666668</v>
      </c>
      <c r="L104" s="29">
        <f>IF(L$16=1,SUM($E103:L103)," ")</f>
        <v>22.5</v>
      </c>
      <c r="M104" s="29">
        <f>IF(M$16=1,SUM($E103:M103)," ")</f>
        <v>29.166666666666668</v>
      </c>
      <c r="N104" s="29">
        <f>IF(N$16=1,SUM($E103:N103)," ")</f>
        <v>36.666666666666671</v>
      </c>
      <c r="O104" s="29">
        <f>IF(O$16=1,SUM($E103:O103)," ")</f>
        <v>45.000000000000007</v>
      </c>
      <c r="P104" s="29">
        <f>IF(P$16=1,SUM($E103:P103)," ")</f>
        <v>54.166666666666671</v>
      </c>
      <c r="Q104" s="29">
        <f>IF(Q$16=1,SUM($E103:Q103)," ")</f>
        <v>64.166666666666671</v>
      </c>
      <c r="R104" s="29">
        <f>IF(R$16=1,SUM($E103:R103)," ")</f>
        <v>75</v>
      </c>
      <c r="S104" s="29">
        <f>IF(S$16=1,SUM($E103:S103)," ")</f>
        <v>86.666666666666671</v>
      </c>
      <c r="T104" s="29">
        <f>IF(T$16=1,SUM($E103:T103)," ")</f>
        <v>99.166666666666671</v>
      </c>
      <c r="U104" s="29">
        <f>IF(U$16=1,SUM($E103:U103)," ")</f>
        <v>112.5</v>
      </c>
      <c r="V104" s="29">
        <f>IF(V$16=1,SUM($E103:V103)," ")</f>
        <v>126.66666666666667</v>
      </c>
      <c r="W104" s="29">
        <f>IF(W$16=1,SUM($E103:W103)," ")</f>
        <v>141.5</v>
      </c>
      <c r="X104" s="29">
        <f>IF(X$16=1,SUM($E103:X103)," ")</f>
        <v>157</v>
      </c>
      <c r="Y104" s="29">
        <f>IF(Y$16=1,SUM($E103:Y103)," ")</f>
        <v>173.16666666666666</v>
      </c>
      <c r="Z104" s="29">
        <f>IF(Z$16=1,SUM($E103:Z103)," ")</f>
        <v>190</v>
      </c>
      <c r="AA104" s="29">
        <f>IF(AA$16=1,SUM($E103:AA103)," ")</f>
        <v>207.5</v>
      </c>
      <c r="AB104" s="29">
        <f>IF(AB$16=1,SUM($E103:AB103)," ")</f>
        <v>225.66666666666666</v>
      </c>
      <c r="AC104" s="29">
        <f>IF(AC$16=1,SUM($E103:AC103)," ")</f>
        <v>244.5</v>
      </c>
      <c r="AD104" s="29">
        <f>IF(AD$16=1,SUM($E103:AD103)," ")</f>
        <v>264</v>
      </c>
      <c r="AE104" s="29">
        <f>IF(AE$16=1,SUM($E103:AE103)," ")</f>
        <v>284.16666666666669</v>
      </c>
      <c r="AF104" s="29">
        <f>IF(AF$16=1,SUM($E103:AF103)," ")</f>
        <v>305</v>
      </c>
      <c r="AG104" s="29">
        <f>IF(AG$16=1,SUM($E103:AG103)," ")</f>
        <v>326.5</v>
      </c>
      <c r="AH104" s="29">
        <f>IF(AH$16=1,SUM($E103:AH103)," ")</f>
        <v>348.66666666666669</v>
      </c>
    </row>
    <row r="105" spans="1:34" s="20" customFormat="1" ht="14" x14ac:dyDescent="0.2">
      <c r="A105" s="87"/>
      <c r="B105" s="14" t="s">
        <v>640</v>
      </c>
      <c r="C105" s="8"/>
      <c r="D105" s="8" t="str">
        <f>'Assumptions - General'!$E$27 &amp;" millions"</f>
        <v>R$ millions</v>
      </c>
      <c r="E105" s="29"/>
      <c r="F105" s="29">
        <f t="shared" ref="F105:AH105" si="30">IF(F16=1,F100+F101-F102-F103," ")</f>
        <v>25</v>
      </c>
      <c r="G105" s="29">
        <f t="shared" si="30"/>
        <v>48.333333333333336</v>
      </c>
      <c r="H105" s="29">
        <f t="shared" si="30"/>
        <v>70.833333333333343</v>
      </c>
      <c r="I105" s="29">
        <f t="shared" si="30"/>
        <v>92.500000000000014</v>
      </c>
      <c r="J105" s="29">
        <f t="shared" si="30"/>
        <v>113.33333333333334</v>
      </c>
      <c r="K105" s="29">
        <f t="shared" si="30"/>
        <v>133.33333333333334</v>
      </c>
      <c r="L105" s="29">
        <f t="shared" si="30"/>
        <v>152.5</v>
      </c>
      <c r="M105" s="29">
        <f t="shared" si="30"/>
        <v>170.83333333333334</v>
      </c>
      <c r="N105" s="29">
        <f t="shared" si="30"/>
        <v>188.33333333333334</v>
      </c>
      <c r="O105" s="29">
        <f t="shared" si="30"/>
        <v>205</v>
      </c>
      <c r="P105" s="29">
        <f t="shared" si="30"/>
        <v>220.83333333333334</v>
      </c>
      <c r="Q105" s="29">
        <f t="shared" si="30"/>
        <v>235.83333333333334</v>
      </c>
      <c r="R105" s="29">
        <f t="shared" si="30"/>
        <v>250.00000000000003</v>
      </c>
      <c r="S105" s="29">
        <f t="shared" si="30"/>
        <v>263.33333333333331</v>
      </c>
      <c r="T105" s="29">
        <f t="shared" si="30"/>
        <v>275.83333333333331</v>
      </c>
      <c r="U105" s="29">
        <f t="shared" si="30"/>
        <v>287.5</v>
      </c>
      <c r="V105" s="29">
        <f t="shared" si="30"/>
        <v>298.33333333333331</v>
      </c>
      <c r="W105" s="29">
        <f t="shared" si="30"/>
        <v>303.5</v>
      </c>
      <c r="X105" s="29">
        <f t="shared" si="30"/>
        <v>308</v>
      </c>
      <c r="Y105" s="29">
        <f t="shared" si="30"/>
        <v>311.83333333333331</v>
      </c>
      <c r="Z105" s="29">
        <f t="shared" si="30"/>
        <v>315</v>
      </c>
      <c r="AA105" s="29">
        <f t="shared" si="30"/>
        <v>317.5</v>
      </c>
      <c r="AB105" s="29">
        <f t="shared" si="30"/>
        <v>319.33333333333331</v>
      </c>
      <c r="AC105" s="29">
        <f t="shared" si="30"/>
        <v>320.5</v>
      </c>
      <c r="AD105" s="29">
        <f t="shared" si="30"/>
        <v>321</v>
      </c>
      <c r="AE105" s="29">
        <f t="shared" si="30"/>
        <v>320.83333333333331</v>
      </c>
      <c r="AF105" s="29">
        <f t="shared" si="30"/>
        <v>320</v>
      </c>
      <c r="AG105" s="29">
        <f t="shared" si="30"/>
        <v>318.5</v>
      </c>
      <c r="AH105" s="29">
        <f t="shared" si="30"/>
        <v>316.33333333333331</v>
      </c>
    </row>
    <row r="106" spans="1:34" s="20" customFormat="1" ht="14" x14ac:dyDescent="0.2">
      <c r="A106" s="87"/>
      <c r="B106" s="14"/>
      <c r="C106" s="8"/>
      <c r="D106" s="8"/>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row>
    <row r="107" spans="1:34" s="20" customFormat="1" ht="14" x14ac:dyDescent="0.2">
      <c r="A107" s="87"/>
      <c r="B107" s="14" t="s">
        <v>638</v>
      </c>
      <c r="C107" s="8"/>
      <c r="D107" s="8" t="str">
        <f>'Assumptions - General'!$E$27 &amp;" millions"</f>
        <v>R$ millions</v>
      </c>
      <c r="E107" s="29">
        <f t="shared" ref="E107:AH107" si="31">IF(E16=1,E98+E105," ")</f>
        <v>300</v>
      </c>
      <c r="F107" s="29">
        <f t="shared" si="31"/>
        <v>305.25</v>
      </c>
      <c r="G107" s="29">
        <f t="shared" si="31"/>
        <v>309.08333333333331</v>
      </c>
      <c r="H107" s="29">
        <f t="shared" si="31"/>
        <v>312.33333333333337</v>
      </c>
      <c r="I107" s="29">
        <f t="shared" si="31"/>
        <v>315</v>
      </c>
      <c r="J107" s="29">
        <f t="shared" si="31"/>
        <v>317.08333333333337</v>
      </c>
      <c r="K107" s="29">
        <f t="shared" si="31"/>
        <v>318.58333333333337</v>
      </c>
      <c r="L107" s="29">
        <f t="shared" si="31"/>
        <v>319.5</v>
      </c>
      <c r="M107" s="29">
        <f t="shared" si="31"/>
        <v>319.83333333333337</v>
      </c>
      <c r="N107" s="29">
        <f t="shared" si="31"/>
        <v>319.58333333333337</v>
      </c>
      <c r="O107" s="29">
        <f t="shared" si="31"/>
        <v>318.75</v>
      </c>
      <c r="P107" s="29">
        <f t="shared" si="31"/>
        <v>317.33333333333337</v>
      </c>
      <c r="Q107" s="29">
        <f t="shared" si="31"/>
        <v>315.33333333333337</v>
      </c>
      <c r="R107" s="29">
        <f t="shared" si="31"/>
        <v>312.75</v>
      </c>
      <c r="S107" s="29">
        <f t="shared" si="31"/>
        <v>309.58333333333331</v>
      </c>
      <c r="T107" s="29">
        <f t="shared" si="31"/>
        <v>305.83333333333331</v>
      </c>
      <c r="U107" s="29">
        <f t="shared" si="31"/>
        <v>301.5</v>
      </c>
      <c r="V107" s="29">
        <f t="shared" si="31"/>
        <v>298.33333333333331</v>
      </c>
      <c r="W107" s="29">
        <f t="shared" si="31"/>
        <v>303.5</v>
      </c>
      <c r="X107" s="29">
        <f t="shared" si="31"/>
        <v>308</v>
      </c>
      <c r="Y107" s="29">
        <f t="shared" si="31"/>
        <v>311.83333333333331</v>
      </c>
      <c r="Z107" s="29">
        <f t="shared" si="31"/>
        <v>315</v>
      </c>
      <c r="AA107" s="29">
        <f t="shared" si="31"/>
        <v>317.5</v>
      </c>
      <c r="AB107" s="29">
        <f t="shared" si="31"/>
        <v>319.33333333333331</v>
      </c>
      <c r="AC107" s="29">
        <f t="shared" si="31"/>
        <v>320.5</v>
      </c>
      <c r="AD107" s="29">
        <f t="shared" si="31"/>
        <v>321</v>
      </c>
      <c r="AE107" s="29">
        <f t="shared" si="31"/>
        <v>320.83333333333331</v>
      </c>
      <c r="AF107" s="29">
        <f t="shared" si="31"/>
        <v>320</v>
      </c>
      <c r="AG107" s="29">
        <f t="shared" si="31"/>
        <v>318.5</v>
      </c>
      <c r="AH107" s="29">
        <f t="shared" si="31"/>
        <v>316.33333333333331</v>
      </c>
    </row>
    <row r="108" spans="1:34" s="310" customFormat="1" ht="14" x14ac:dyDescent="0.2">
      <c r="A108" s="87"/>
      <c r="B108" s="446"/>
      <c r="C108" s="87"/>
      <c r="D108" s="87"/>
      <c r="E108" s="447"/>
      <c r="F108" s="447"/>
      <c r="G108" s="447"/>
      <c r="H108" s="447"/>
      <c r="I108" s="447"/>
      <c r="J108" s="447"/>
      <c r="K108" s="447"/>
      <c r="L108" s="447"/>
      <c r="M108" s="447"/>
      <c r="N108" s="447"/>
      <c r="O108" s="447"/>
      <c r="P108" s="447"/>
      <c r="Q108" s="447"/>
      <c r="R108" s="447"/>
      <c r="S108" s="447"/>
      <c r="T108" s="447"/>
      <c r="U108" s="447"/>
      <c r="V108" s="447"/>
      <c r="W108" s="447"/>
      <c r="X108" s="447"/>
      <c r="Y108" s="447"/>
      <c r="Z108" s="447"/>
      <c r="AA108" s="447"/>
      <c r="AB108" s="447"/>
      <c r="AC108" s="447"/>
      <c r="AD108" s="447"/>
      <c r="AE108" s="447"/>
      <c r="AF108" s="447"/>
      <c r="AG108" s="447"/>
      <c r="AH108" s="447"/>
    </row>
    <row r="109" spans="1:34" s="20" customFormat="1" ht="14" x14ac:dyDescent="0.2">
      <c r="A109" s="87">
        <f>'Assumptions - Freight'!E97</f>
        <v>1</v>
      </c>
      <c r="B109" s="21" t="str">
        <f>'Assumptions - Freight'!E31</f>
        <v>Others</v>
      </c>
      <c r="C109" s="8"/>
      <c r="D109" s="8"/>
      <c r="E109" s="29"/>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s="20" customFormat="1" ht="14" x14ac:dyDescent="0.2">
      <c r="A110" s="8"/>
      <c r="B110" s="14" t="str">
        <f>"Starting value "</f>
        <v xml:space="preserve">Starting value </v>
      </c>
      <c r="C110" s="8"/>
      <c r="D110" s="8" t="str">
        <f>'Assumptions - General'!$E$27 &amp;" millions"</f>
        <v>R$ millions</v>
      </c>
      <c r="E110" s="29"/>
      <c r="F110" s="31">
        <f t="shared" ref="F110:AH110" si="32">IF(F$16=1,E114," ")</f>
        <v>50</v>
      </c>
      <c r="G110" s="31">
        <f t="shared" si="32"/>
        <v>47.5</v>
      </c>
      <c r="H110" s="31">
        <f t="shared" si="32"/>
        <v>45</v>
      </c>
      <c r="I110" s="31">
        <f t="shared" si="32"/>
        <v>42.5</v>
      </c>
      <c r="J110" s="31">
        <f t="shared" si="32"/>
        <v>40</v>
      </c>
      <c r="K110" s="31">
        <f t="shared" si="32"/>
        <v>37.5</v>
      </c>
      <c r="L110" s="31">
        <f t="shared" si="32"/>
        <v>35</v>
      </c>
      <c r="M110" s="31">
        <f t="shared" si="32"/>
        <v>32.5</v>
      </c>
      <c r="N110" s="31">
        <f t="shared" si="32"/>
        <v>30</v>
      </c>
      <c r="O110" s="31">
        <f t="shared" si="32"/>
        <v>27.5</v>
      </c>
      <c r="P110" s="31">
        <f t="shared" si="32"/>
        <v>25</v>
      </c>
      <c r="Q110" s="31">
        <f t="shared" si="32"/>
        <v>22.5</v>
      </c>
      <c r="R110" s="31">
        <f t="shared" si="32"/>
        <v>20</v>
      </c>
      <c r="S110" s="31">
        <f t="shared" si="32"/>
        <v>17.5</v>
      </c>
      <c r="T110" s="31">
        <f t="shared" si="32"/>
        <v>15</v>
      </c>
      <c r="U110" s="31">
        <f t="shared" si="32"/>
        <v>12.5</v>
      </c>
      <c r="V110" s="31">
        <f t="shared" si="32"/>
        <v>10</v>
      </c>
      <c r="W110" s="31">
        <f t="shared" si="32"/>
        <v>7.5</v>
      </c>
      <c r="X110" s="31">
        <f t="shared" si="32"/>
        <v>5</v>
      </c>
      <c r="Y110" s="31">
        <f t="shared" si="32"/>
        <v>2.5</v>
      </c>
      <c r="Z110" s="31">
        <f t="shared" si="32"/>
        <v>0</v>
      </c>
      <c r="AA110" s="31">
        <f t="shared" si="32"/>
        <v>0</v>
      </c>
      <c r="AB110" s="31">
        <f t="shared" si="32"/>
        <v>0</v>
      </c>
      <c r="AC110" s="31">
        <f t="shared" si="32"/>
        <v>0</v>
      </c>
      <c r="AD110" s="31">
        <f t="shared" si="32"/>
        <v>0</v>
      </c>
      <c r="AE110" s="31">
        <f t="shared" si="32"/>
        <v>0</v>
      </c>
      <c r="AF110" s="31">
        <f t="shared" si="32"/>
        <v>0</v>
      </c>
      <c r="AG110" s="31">
        <f t="shared" si="32"/>
        <v>0</v>
      </c>
      <c r="AH110" s="31">
        <f t="shared" si="32"/>
        <v>0</v>
      </c>
    </row>
    <row r="111" spans="1:34" s="20" customFormat="1" ht="14" x14ac:dyDescent="0.2">
      <c r="A111" s="87"/>
      <c r="B111" s="30" t="s">
        <v>608</v>
      </c>
      <c r="C111" s="8"/>
      <c r="D111" s="8" t="str">
        <f>'Assumptions - General'!$E$27 &amp;" millions"</f>
        <v>R$ millions</v>
      </c>
      <c r="E111" s="29"/>
      <c r="F111" s="29">
        <f>IF(F$16=1,IF(F110&gt;0,MIN(F110,'Assumptions - Freight'!F53),0)," ")</f>
        <v>0</v>
      </c>
      <c r="G111" s="29">
        <f>IF(G$16=1,IF(G110&gt;0,MIN(G110,'Assumptions - Freight'!G53),0)," ")</f>
        <v>0</v>
      </c>
      <c r="H111" s="29">
        <f>IF(H$16=1,IF(H110&gt;0,MIN(H110,'Assumptions - Freight'!H53),0)," ")</f>
        <v>0</v>
      </c>
      <c r="I111" s="29">
        <f>IF(I$16=1,IF(I110&gt;0,MIN(I110,'Assumptions - Freight'!I53),0)," ")</f>
        <v>0</v>
      </c>
      <c r="J111" s="29">
        <f>IF(J$16=1,IF(J110&gt;0,MIN(J110,'Assumptions - Freight'!J53),0)," ")</f>
        <v>0</v>
      </c>
      <c r="K111" s="29">
        <f>IF(K$16=1,IF(K110&gt;0,MIN(K110,'Assumptions - Freight'!K53),0)," ")</f>
        <v>0</v>
      </c>
      <c r="L111" s="29">
        <f>IF(L$16=1,IF(L110&gt;0,MIN(L110,'Assumptions - Freight'!L53),0)," ")</f>
        <v>0</v>
      </c>
      <c r="M111" s="29">
        <f>IF(M$16=1,IF(M110&gt;0,MIN(M110,'Assumptions - Freight'!M53),0)," ")</f>
        <v>0</v>
      </c>
      <c r="N111" s="29">
        <f>IF(N$16=1,IF(N110&gt;0,MIN(N110,'Assumptions - Freight'!N53),0)," ")</f>
        <v>0</v>
      </c>
      <c r="O111" s="29">
        <f>IF(O$16=1,IF(O110&gt;0,MIN(O110,'Assumptions - Freight'!O53),0)," ")</f>
        <v>0</v>
      </c>
      <c r="P111" s="29">
        <f>IF(P$16=1,IF(P110&gt;0,MIN(P110,'Assumptions - Freight'!P53),0)," ")</f>
        <v>0</v>
      </c>
      <c r="Q111" s="29">
        <f>IF(Q$16=1,IF(Q110&gt;0,MIN(Q110,'Assumptions - Freight'!Q53),0)," ")</f>
        <v>0</v>
      </c>
      <c r="R111" s="29">
        <f>IF(R$16=1,IF(R110&gt;0,MIN(R110,'Assumptions - Freight'!R53),0)," ")</f>
        <v>0</v>
      </c>
      <c r="S111" s="29">
        <f>IF(S$16=1,IF(S110&gt;0,MIN(S110,'Assumptions - Freight'!S53),0)," ")</f>
        <v>0</v>
      </c>
      <c r="T111" s="29">
        <f>IF(T$16=1,IF(T110&gt;0,MIN(T110,'Assumptions - Freight'!T53),0)," ")</f>
        <v>0</v>
      </c>
      <c r="U111" s="29">
        <f>IF(U$16=1,IF(U110&gt;0,MIN(U110,'Assumptions - Freight'!U53),0)," ")</f>
        <v>0</v>
      </c>
      <c r="V111" s="29">
        <f>IF(V$16=1,IF(V110&gt;0,MIN(V110,'Assumptions - Freight'!V53),0)," ")</f>
        <v>0</v>
      </c>
      <c r="W111" s="29">
        <f>IF(W$16=1,IF(W110&gt;0,MIN(W110,'Assumptions - Freight'!W53),0)," ")</f>
        <v>0</v>
      </c>
      <c r="X111" s="29">
        <f>IF(X$16=1,IF(X110&gt;0,MIN(X110,'Assumptions - Freight'!X53),0)," ")</f>
        <v>0</v>
      </c>
      <c r="Y111" s="29">
        <f>IF(Y$16=1,IF(Y110&gt;0,MIN(Y110,'Assumptions - Freight'!Y53),0)," ")</f>
        <v>0</v>
      </c>
      <c r="Z111" s="29">
        <f>IF(Z$16=1,IF(Z110&gt;0,MIN(Z110,'Assumptions - Freight'!Z53),0)," ")</f>
        <v>0</v>
      </c>
      <c r="AA111" s="29">
        <f>IF(AA$16=1,IF(AA110&gt;0,MIN(AA110,'Assumptions - Freight'!AA53),0)," ")</f>
        <v>0</v>
      </c>
      <c r="AB111" s="29">
        <f>IF(AB$16=1,IF(AB110&gt;0,MIN(AB110,'Assumptions - Freight'!AB53),0)," ")</f>
        <v>0</v>
      </c>
      <c r="AC111" s="29">
        <f>IF(AC$16=1,IF(AC110&gt;0,MIN(AC110,'Assumptions - Freight'!AC53),0)," ")</f>
        <v>0</v>
      </c>
      <c r="AD111" s="29">
        <f>IF(AD$16=1,IF(AD110&gt;0,MIN(AD110,'Assumptions - Freight'!AD53),0)," ")</f>
        <v>0</v>
      </c>
      <c r="AE111" s="29">
        <f>IF(AE$16=1,IF(AE110&gt;0,MIN(AE110,'Assumptions - Freight'!AE53),0)," ")</f>
        <v>0</v>
      </c>
      <c r="AF111" s="29">
        <f>IF(AF$16=1,IF(AF110&gt;0,MIN(AF110,'Assumptions - Freight'!AF53),0)," ")</f>
        <v>0</v>
      </c>
      <c r="AG111" s="29">
        <f>IF(AG$16=1,IF(AG110&gt;0,MIN(AG110,'Assumptions - Freight'!AG53),0)," ")</f>
        <v>0</v>
      </c>
      <c r="AH111" s="29">
        <f>IF(AH$16=1,IF(AH110&gt;0,MIN(AH110,'Assumptions - Freight'!AH53),0)," ")</f>
        <v>0</v>
      </c>
    </row>
    <row r="112" spans="1:34" s="20" customFormat="1" ht="14" x14ac:dyDescent="0.2">
      <c r="A112" s="8"/>
      <c r="B112" s="30" t="str">
        <f>IF(A109=1,"Less depreciation of existing assets","Less depreciation of assets")</f>
        <v>Less depreciation of existing assets</v>
      </c>
      <c r="C112" s="8"/>
      <c r="D112" s="8" t="str">
        <f>'Assumptions - General'!$E$27 &amp;" millions"</f>
        <v>R$ millions</v>
      </c>
      <c r="E112" s="29"/>
      <c r="F112" s="229">
        <f>IF(F$16=1,(IF($A109=1,IF(F110-F111&gt;0,(MIN((F110-F111),($E114-SUM($E111:F111))/'Assumptions - Freight'!$E99)),0),'Assumptions - Freight'!F102))," ")</f>
        <v>2.5</v>
      </c>
      <c r="G112" s="229">
        <f>IF(G$16=1,(IF($A109=1,IF(G110-G111&gt;0,(MIN((G110-G111),($E114-SUM($E111:G111))/'Assumptions - Freight'!$E99)),0),'Assumptions - Freight'!G102))," ")</f>
        <v>2.5</v>
      </c>
      <c r="H112" s="229">
        <f>IF(H$16=1,(IF($A109=1,IF(H110-H111&gt;0,(MIN((H110-H111),($E114-SUM($E111:H111))/'Assumptions - Freight'!$E99)),0),'Assumptions - Freight'!H102))," ")</f>
        <v>2.5</v>
      </c>
      <c r="I112" s="229">
        <f>IF(I$16=1,(IF($A109=1,IF(I110-I111&gt;0,(MIN((I110-I111),($E114-SUM($E111:I111))/'Assumptions - Freight'!$E99)),0),'Assumptions - Freight'!I102))," ")</f>
        <v>2.5</v>
      </c>
      <c r="J112" s="229">
        <f>IF(J$16=1,(IF($A109=1,IF(J110-J111&gt;0,(MIN((J110-J111),($E114-SUM($E111:J111))/'Assumptions - Freight'!$E99)),0),'Assumptions - Freight'!J102))," ")</f>
        <v>2.5</v>
      </c>
      <c r="K112" s="229">
        <f>IF(K$16=1,(IF($A109=1,IF(K110-K111&gt;0,(MIN((K110-K111),($E114-SUM($E111:K111))/'Assumptions - Freight'!$E99)),0),'Assumptions - Freight'!K102))," ")</f>
        <v>2.5</v>
      </c>
      <c r="L112" s="229">
        <f>IF(L$16=1,(IF($A109=1,IF(L110-L111&gt;0,(MIN((L110-L111),($E114-SUM($E111:L111))/'Assumptions - Freight'!$E99)),0),'Assumptions - Freight'!L102))," ")</f>
        <v>2.5</v>
      </c>
      <c r="M112" s="229">
        <f>IF(M$16=1,(IF($A109=1,IF(M110-M111&gt;0,(MIN((M110-M111),($E114-SUM($E111:M111))/'Assumptions - Freight'!$E99)),0),'Assumptions - Freight'!M102))," ")</f>
        <v>2.5</v>
      </c>
      <c r="N112" s="229">
        <f>IF(N$16=1,(IF($A109=1,IF(N110-N111&gt;0,(MIN((N110-N111),($E114-SUM($E111:N111))/'Assumptions - Freight'!$E99)),0),'Assumptions - Freight'!N102))," ")</f>
        <v>2.5</v>
      </c>
      <c r="O112" s="229">
        <f>IF(O$16=1,(IF($A109=1,IF(O110-O111&gt;0,(MIN((O110-O111),($E114-SUM($E111:O111))/'Assumptions - Freight'!$E99)),0),'Assumptions - Freight'!O102))," ")</f>
        <v>2.5</v>
      </c>
      <c r="P112" s="229">
        <f>IF(P$16=1,(IF($A109=1,IF(P110-P111&gt;0,(MIN((P110-P111),($E114-SUM($E111:P111))/'Assumptions - Freight'!$E99)),0),'Assumptions - Freight'!P102))," ")</f>
        <v>2.5</v>
      </c>
      <c r="Q112" s="229">
        <f>IF(Q$16=1,(IF($A109=1,IF(Q110-Q111&gt;0,(MIN((Q110-Q111),($E114-SUM($E111:Q111))/'Assumptions - Freight'!$E99)),0),'Assumptions - Freight'!Q102))," ")</f>
        <v>2.5</v>
      </c>
      <c r="R112" s="229">
        <f>IF(R$16=1,(IF($A109=1,IF(R110-R111&gt;0,(MIN((R110-R111),($E114-SUM($E111:R111))/'Assumptions - Freight'!$E99)),0),'Assumptions - Freight'!R102))," ")</f>
        <v>2.5</v>
      </c>
      <c r="S112" s="229">
        <f>IF(S$16=1,(IF($A109=1,IF(S110-S111&gt;0,(MIN((S110-S111),($E114-SUM($E111:S111))/'Assumptions - Freight'!$E99)),0),'Assumptions - Freight'!S102))," ")</f>
        <v>2.5</v>
      </c>
      <c r="T112" s="229">
        <f>IF(T$16=1,(IF($A109=1,IF(T110-T111&gt;0,(MIN((T110-T111),($E114-SUM($E111:T111))/'Assumptions - Freight'!$E99)),0),'Assumptions - Freight'!T102))," ")</f>
        <v>2.5</v>
      </c>
      <c r="U112" s="229">
        <f>IF(U$16=1,(IF($A109=1,IF(U110-U111&gt;0,(MIN((U110-U111),($E114-SUM($E111:U111))/'Assumptions - Freight'!$E99)),0),'Assumptions - Freight'!U102))," ")</f>
        <v>2.5</v>
      </c>
      <c r="V112" s="229">
        <f>IF(V$16=1,(IF($A109=1,IF(V110-V111&gt;0,(MIN((V110-V111),($E114-SUM($E111:V111))/'Assumptions - Freight'!$E99)),0),'Assumptions - Freight'!V102))," ")</f>
        <v>2.5</v>
      </c>
      <c r="W112" s="229">
        <f>IF(W$16=1,(IF($A109=1,IF(W110-W111&gt;0,(MIN((W110-W111),($E114-SUM($E111:W111))/'Assumptions - Freight'!$E99)),0),'Assumptions - Freight'!W102))," ")</f>
        <v>2.5</v>
      </c>
      <c r="X112" s="229">
        <f>IF(X$16=1,(IF($A109=1,IF(X110-X111&gt;0,(MIN((X110-X111),($E114-SUM($E111:X111))/'Assumptions - Freight'!$E99)),0),'Assumptions - Freight'!X102))," ")</f>
        <v>2.5</v>
      </c>
      <c r="Y112" s="229">
        <f>IF(Y$16=1,(IF($A109=1,IF(Y110-Y111&gt;0,(MIN((Y110-Y111),($E114-SUM($E111:Y111))/'Assumptions - Freight'!$E99)),0),'Assumptions - Freight'!Y102))," ")</f>
        <v>2.5</v>
      </c>
      <c r="Z112" s="229">
        <f>IF(Z$16=1,(IF($A109=1,IF(Z110-Z111&gt;0,(MIN((Z110-Z111),($E114-SUM($E111:Z111))/'Assumptions - Freight'!$E99)),0),'Assumptions - Freight'!Z102))," ")</f>
        <v>0</v>
      </c>
      <c r="AA112" s="229">
        <f>IF(AA$16=1,(IF($A109=1,IF(AA110-AA111&gt;0,(MIN((AA110-AA111),($E114-SUM($E111:AA111))/'Assumptions - Freight'!$E99)),0),'Assumptions - Freight'!AA102))," ")</f>
        <v>0</v>
      </c>
      <c r="AB112" s="229">
        <f>IF(AB$16=1,(IF($A109=1,IF(AB110-AB111&gt;0,(MIN((AB110-AB111),($E114-SUM($E111:AB111))/'Assumptions - Freight'!$E99)),0),'Assumptions - Freight'!AB102))," ")</f>
        <v>0</v>
      </c>
      <c r="AC112" s="229">
        <f>IF(AC$16=1,(IF($A109=1,IF(AC110-AC111&gt;0,(MIN((AC110-AC111),($E114-SUM($E111:AC111))/'Assumptions - Freight'!$E99)),0),'Assumptions - Freight'!AC102))," ")</f>
        <v>0</v>
      </c>
      <c r="AD112" s="229">
        <f>IF(AD$16=1,(IF($A109=1,IF(AD110-AD111&gt;0,(MIN((AD110-AD111),($E114-SUM($E111:AD111))/'Assumptions - Freight'!$E99)),0),'Assumptions - Freight'!AD102))," ")</f>
        <v>0</v>
      </c>
      <c r="AE112" s="229">
        <f>IF(AE$16=1,(IF($A109=1,IF(AE110-AE111&gt;0,(MIN((AE110-AE111),($E114-SUM($E111:AE111))/'Assumptions - Freight'!$E99)),0),'Assumptions - Freight'!AE102))," ")</f>
        <v>0</v>
      </c>
      <c r="AF112" s="229">
        <f>IF(AF$16=1,(IF($A109=1,IF(AF110-AF111&gt;0,(MIN((AF110-AF111),($E114-SUM($E111:AF111))/'Assumptions - Freight'!$E99)),0),'Assumptions - Freight'!AF102))," ")</f>
        <v>0</v>
      </c>
      <c r="AG112" s="229">
        <f>IF(AG$16=1,(IF($A109=1,IF(AG110-AG111&gt;0,(MIN((AG110-AG111),($E114-SUM($E111:AG111))/'Assumptions - Freight'!$E99)),0),'Assumptions - Freight'!AG102))," ")</f>
        <v>0</v>
      </c>
      <c r="AH112" s="229">
        <f>IF(AH$16=1,(IF($A109=1,IF(AH110-AH111&gt;0,(MIN((AH110-AH111),($E114-SUM($E111:AH111))/'Assumptions - Freight'!$E99)),0),'Assumptions - Freight'!AH102))," ")</f>
        <v>0</v>
      </c>
    </row>
    <row r="113" spans="1:34" s="20" customFormat="1" ht="14" x14ac:dyDescent="0.2">
      <c r="A113" s="8"/>
      <c r="B113" s="30" t="str">
        <f>IF(A109=1,"Accumulated depreciation of existing assets","Accumulated depreciation of assets")</f>
        <v>Accumulated depreciation of existing assets</v>
      </c>
      <c r="C113" s="8"/>
      <c r="D113" s="8" t="str">
        <f>'Assumptions - General'!$E$27 &amp;" millions"</f>
        <v>R$ millions</v>
      </c>
      <c r="E113" s="29"/>
      <c r="F113" s="29">
        <f>IF(F$16=1,SUM($E112:F112)," ")</f>
        <v>2.5</v>
      </c>
      <c r="G113" s="29">
        <f>IF(G$16=1,SUM($E112:G112)," ")</f>
        <v>5</v>
      </c>
      <c r="H113" s="29">
        <f>IF(H$16=1,SUM($E112:H112)," ")</f>
        <v>7.5</v>
      </c>
      <c r="I113" s="29">
        <f>IF(I$16=1,SUM($E112:I112)," ")</f>
        <v>10</v>
      </c>
      <c r="J113" s="29">
        <f>IF(J$16=1,SUM($E112:J112)," ")</f>
        <v>12.5</v>
      </c>
      <c r="K113" s="29">
        <f>IF(K$16=1,SUM($E112:K112)," ")</f>
        <v>15</v>
      </c>
      <c r="L113" s="29">
        <f>IF(L$16=1,SUM($E112:L112)," ")</f>
        <v>17.5</v>
      </c>
      <c r="M113" s="29">
        <f>IF(M$16=1,SUM($E112:M112)," ")</f>
        <v>20</v>
      </c>
      <c r="N113" s="29">
        <f>IF(N$16=1,SUM($E112:N112)," ")</f>
        <v>22.5</v>
      </c>
      <c r="O113" s="29">
        <f>IF(O$16=1,SUM($E112:O112)," ")</f>
        <v>25</v>
      </c>
      <c r="P113" s="29">
        <f>IF(P$16=1,SUM($E112:P112)," ")</f>
        <v>27.5</v>
      </c>
      <c r="Q113" s="29">
        <f>IF(Q$16=1,SUM($E112:Q112)," ")</f>
        <v>30</v>
      </c>
      <c r="R113" s="29">
        <f>IF(R$16=1,SUM($E112:R112)," ")</f>
        <v>32.5</v>
      </c>
      <c r="S113" s="29">
        <f>IF(S$16=1,SUM($E112:S112)," ")</f>
        <v>35</v>
      </c>
      <c r="T113" s="29">
        <f>IF(T$16=1,SUM($E112:T112)," ")</f>
        <v>37.5</v>
      </c>
      <c r="U113" s="29">
        <f>IF(U$16=1,SUM($E112:U112)," ")</f>
        <v>40</v>
      </c>
      <c r="V113" s="29">
        <f>IF(V$16=1,SUM($E112:V112)," ")</f>
        <v>42.5</v>
      </c>
      <c r="W113" s="29">
        <f>IF(W$16=1,SUM($E112:W112)," ")</f>
        <v>45</v>
      </c>
      <c r="X113" s="29">
        <f>IF(X$16=1,SUM($E112:X112)," ")</f>
        <v>47.5</v>
      </c>
      <c r="Y113" s="29">
        <f>IF(Y$16=1,SUM($E112:Y112)," ")</f>
        <v>50</v>
      </c>
      <c r="Z113" s="29">
        <f>IF(Z$16=1,SUM($E112:Z112)," ")</f>
        <v>50</v>
      </c>
      <c r="AA113" s="29">
        <f>IF(AA$16=1,SUM($E112:AA112)," ")</f>
        <v>50</v>
      </c>
      <c r="AB113" s="29">
        <f>IF(AB$16=1,SUM($E112:AB112)," ")</f>
        <v>50</v>
      </c>
      <c r="AC113" s="29">
        <f>IF(AC$16=1,SUM($E112:AC112)," ")</f>
        <v>50</v>
      </c>
      <c r="AD113" s="29">
        <f>IF(AD$16=1,SUM($E112:AD112)," ")</f>
        <v>50</v>
      </c>
      <c r="AE113" s="29">
        <f>IF(AE$16=1,SUM($E112:AE112)," ")</f>
        <v>50</v>
      </c>
      <c r="AF113" s="29">
        <f>IF(AF$16=1,SUM($E112:AF112)," ")</f>
        <v>50</v>
      </c>
      <c r="AG113" s="29">
        <f>IF(AG$16=1,SUM($E112:AG112)," ")</f>
        <v>50</v>
      </c>
      <c r="AH113" s="29">
        <f>IF(AH$16=1,SUM($E112:AH112)," ")</f>
        <v>50</v>
      </c>
    </row>
    <row r="114" spans="1:34" s="20" customFormat="1" ht="14" x14ac:dyDescent="0.2">
      <c r="A114" s="8"/>
      <c r="B114" s="14" t="s">
        <v>639</v>
      </c>
      <c r="C114" s="8"/>
      <c r="D114" s="8" t="str">
        <f>'Assumptions - General'!$E$27 &amp;" millions"</f>
        <v>R$ millions</v>
      </c>
      <c r="E114" s="463">
        <f>IF(E$16=1,'Assumptions - Freight'!E38," ")</f>
        <v>50</v>
      </c>
      <c r="F114" s="29">
        <f>IF(F$16=1,F110-F111-F112," ")</f>
        <v>47.5</v>
      </c>
      <c r="G114" s="29">
        <f t="shared" ref="G114:AH114" si="33">IF(G$16=1,G110-G111-G112," ")</f>
        <v>45</v>
      </c>
      <c r="H114" s="29">
        <f t="shared" si="33"/>
        <v>42.5</v>
      </c>
      <c r="I114" s="29">
        <f t="shared" si="33"/>
        <v>40</v>
      </c>
      <c r="J114" s="29">
        <f t="shared" si="33"/>
        <v>37.5</v>
      </c>
      <c r="K114" s="29">
        <f t="shared" si="33"/>
        <v>35</v>
      </c>
      <c r="L114" s="29">
        <f t="shared" si="33"/>
        <v>32.5</v>
      </c>
      <c r="M114" s="29">
        <f t="shared" si="33"/>
        <v>30</v>
      </c>
      <c r="N114" s="29">
        <f t="shared" si="33"/>
        <v>27.5</v>
      </c>
      <c r="O114" s="29">
        <f t="shared" si="33"/>
        <v>25</v>
      </c>
      <c r="P114" s="29">
        <f t="shared" si="33"/>
        <v>22.5</v>
      </c>
      <c r="Q114" s="29">
        <f t="shared" si="33"/>
        <v>20</v>
      </c>
      <c r="R114" s="29">
        <f t="shared" si="33"/>
        <v>17.5</v>
      </c>
      <c r="S114" s="29">
        <f t="shared" si="33"/>
        <v>15</v>
      </c>
      <c r="T114" s="29">
        <f t="shared" si="33"/>
        <v>12.5</v>
      </c>
      <c r="U114" s="29">
        <f t="shared" si="33"/>
        <v>10</v>
      </c>
      <c r="V114" s="29">
        <f t="shared" si="33"/>
        <v>7.5</v>
      </c>
      <c r="W114" s="29">
        <f t="shared" si="33"/>
        <v>5</v>
      </c>
      <c r="X114" s="29">
        <f t="shared" si="33"/>
        <v>2.5</v>
      </c>
      <c r="Y114" s="29">
        <f t="shared" si="33"/>
        <v>0</v>
      </c>
      <c r="Z114" s="29">
        <f t="shared" si="33"/>
        <v>0</v>
      </c>
      <c r="AA114" s="29">
        <f t="shared" si="33"/>
        <v>0</v>
      </c>
      <c r="AB114" s="29">
        <f t="shared" si="33"/>
        <v>0</v>
      </c>
      <c r="AC114" s="29">
        <f t="shared" si="33"/>
        <v>0</v>
      </c>
      <c r="AD114" s="29">
        <f t="shared" si="33"/>
        <v>0</v>
      </c>
      <c r="AE114" s="29">
        <f t="shared" si="33"/>
        <v>0</v>
      </c>
      <c r="AF114" s="29">
        <f t="shared" si="33"/>
        <v>0</v>
      </c>
      <c r="AG114" s="29">
        <f t="shared" si="33"/>
        <v>0</v>
      </c>
      <c r="AH114" s="29">
        <f t="shared" si="33"/>
        <v>0</v>
      </c>
    </row>
    <row r="115" spans="1:34" s="20" customFormat="1" ht="14" x14ac:dyDescent="0.2">
      <c r="A115" s="8"/>
      <c r="B115" s="14"/>
      <c r="C115" s="8"/>
      <c r="D115" s="8"/>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row>
    <row r="116" spans="1:34" s="20" customFormat="1" ht="14" x14ac:dyDescent="0.2">
      <c r="A116" s="87"/>
      <c r="B116" s="14" t="s">
        <v>634</v>
      </c>
      <c r="C116" s="8"/>
      <c r="D116" s="8" t="str">
        <f>'Assumptions - General'!$E$27 &amp;" millions"</f>
        <v>R$ millions</v>
      </c>
      <c r="E116" s="29"/>
      <c r="F116" s="29">
        <f t="shared" ref="F116:AH116" si="34">IF(F16=1,E121," ")</f>
        <v>0</v>
      </c>
      <c r="G116" s="29">
        <f t="shared" si="34"/>
        <v>25</v>
      </c>
      <c r="H116" s="29">
        <f t="shared" si="34"/>
        <v>48.387096774193552</v>
      </c>
      <c r="I116" s="29">
        <f t="shared" si="34"/>
        <v>70.967741935483872</v>
      </c>
      <c r="J116" s="29">
        <f t="shared" si="34"/>
        <v>92.741935483870975</v>
      </c>
      <c r="K116" s="29">
        <f t="shared" si="34"/>
        <v>113.70967741935485</v>
      </c>
      <c r="L116" s="29">
        <f t="shared" si="34"/>
        <v>133.87096774193549</v>
      </c>
      <c r="M116" s="29">
        <f t="shared" si="34"/>
        <v>153.2258064516129</v>
      </c>
      <c r="N116" s="29">
        <f t="shared" si="34"/>
        <v>171.7741935483871</v>
      </c>
      <c r="O116" s="29">
        <f t="shared" si="34"/>
        <v>189.51612903225808</v>
      </c>
      <c r="P116" s="29">
        <f t="shared" si="34"/>
        <v>206.45161290322582</v>
      </c>
      <c r="Q116" s="29">
        <f t="shared" si="34"/>
        <v>222.58064516129033</v>
      </c>
      <c r="R116" s="29">
        <f t="shared" si="34"/>
        <v>237.90322580645162</v>
      </c>
      <c r="S116" s="29">
        <f t="shared" si="34"/>
        <v>252.41935483870964</v>
      </c>
      <c r="T116" s="29">
        <f t="shared" si="34"/>
        <v>266.12903225806446</v>
      </c>
      <c r="U116" s="29">
        <f t="shared" si="34"/>
        <v>279.03225806451604</v>
      </c>
      <c r="V116" s="29">
        <f t="shared" si="34"/>
        <v>291.12903225806446</v>
      </c>
      <c r="W116" s="29">
        <f t="shared" si="34"/>
        <v>302.41935483870964</v>
      </c>
      <c r="X116" s="29">
        <f t="shared" si="34"/>
        <v>312.90322580645159</v>
      </c>
      <c r="Y116" s="29">
        <f t="shared" si="34"/>
        <v>322.58064516129031</v>
      </c>
      <c r="Z116" s="29">
        <f t="shared" si="34"/>
        <v>331.45161290322579</v>
      </c>
      <c r="AA116" s="29">
        <f t="shared" si="34"/>
        <v>339.51612903225805</v>
      </c>
      <c r="AB116" s="29">
        <f t="shared" si="34"/>
        <v>346.77419354838707</v>
      </c>
      <c r="AC116" s="29">
        <f t="shared" si="34"/>
        <v>353.22580645161287</v>
      </c>
      <c r="AD116" s="29">
        <f t="shared" si="34"/>
        <v>358.87096774193543</v>
      </c>
      <c r="AE116" s="29">
        <f t="shared" si="34"/>
        <v>363.70967741935476</v>
      </c>
      <c r="AF116" s="29">
        <f t="shared" si="34"/>
        <v>367.74193548387086</v>
      </c>
      <c r="AG116" s="29">
        <f t="shared" si="34"/>
        <v>370.96774193548379</v>
      </c>
      <c r="AH116" s="29">
        <f t="shared" si="34"/>
        <v>373.38709677419348</v>
      </c>
    </row>
    <row r="117" spans="1:34" s="20" customFormat="1" ht="14" x14ac:dyDescent="0.2">
      <c r="A117" s="87"/>
      <c r="B117" s="30" t="s">
        <v>130</v>
      </c>
      <c r="C117" s="8"/>
      <c r="D117" s="8" t="str">
        <f>'Assumptions - General'!$E$27 &amp;" millions"</f>
        <v>R$ millions</v>
      </c>
      <c r="E117" s="29"/>
      <c r="F117" s="29">
        <f>IF(F$16=1,IF($D$25=1,$D$26*'Assumptions - Freight'!F45,'Assumptions - Freight'!F45)," ")</f>
        <v>25</v>
      </c>
      <c r="G117" s="29">
        <f>IF(G$16=1,IF($D$25=1,$D$26*'Assumptions - Freight'!G45,'Assumptions - Freight'!G45)," ")</f>
        <v>25</v>
      </c>
      <c r="H117" s="29">
        <f>IF(H$16=1,IF($D$25=1,$D$26*'Assumptions - Freight'!H45,'Assumptions - Freight'!H45)," ")</f>
        <v>25</v>
      </c>
      <c r="I117" s="29">
        <f>IF(I$16=1,IF($D$25=1,$D$26*'Assumptions - Freight'!I45,'Assumptions - Freight'!I45)," ")</f>
        <v>25</v>
      </c>
      <c r="J117" s="29">
        <f>IF(J$16=1,IF($D$25=1,$D$26*'Assumptions - Freight'!J45,'Assumptions - Freight'!J45)," ")</f>
        <v>25</v>
      </c>
      <c r="K117" s="29">
        <f>IF(K$16=1,IF($D$25=1,$D$26*'Assumptions - Freight'!K45,'Assumptions - Freight'!K45)," ")</f>
        <v>25</v>
      </c>
      <c r="L117" s="29">
        <f>IF(L$16=1,IF($D$25=1,$D$26*'Assumptions - Freight'!L45,'Assumptions - Freight'!L45)," ")</f>
        <v>25</v>
      </c>
      <c r="M117" s="29">
        <f>IF(M$16=1,IF($D$25=1,$D$26*'Assumptions - Freight'!M45,'Assumptions - Freight'!M45)," ")</f>
        <v>25</v>
      </c>
      <c r="N117" s="29">
        <f>IF(N$16=1,IF($D$25=1,$D$26*'Assumptions - Freight'!N45,'Assumptions - Freight'!N45)," ")</f>
        <v>25</v>
      </c>
      <c r="O117" s="29">
        <f>IF(O$16=1,IF($D$25=1,$D$26*'Assumptions - Freight'!O45,'Assumptions - Freight'!O45)," ")</f>
        <v>25</v>
      </c>
      <c r="P117" s="29">
        <f>IF(P$16=1,IF($D$25=1,$D$26*'Assumptions - Freight'!P45,'Assumptions - Freight'!P45)," ")</f>
        <v>25</v>
      </c>
      <c r="Q117" s="29">
        <f>IF(Q$16=1,IF($D$25=1,$D$26*'Assumptions - Freight'!Q45,'Assumptions - Freight'!Q45)," ")</f>
        <v>25</v>
      </c>
      <c r="R117" s="29">
        <f>IF(R$16=1,IF($D$25=1,$D$26*'Assumptions - Freight'!R45,'Assumptions - Freight'!R45)," ")</f>
        <v>25</v>
      </c>
      <c r="S117" s="29">
        <f>IF(S$16=1,IF($D$25=1,$D$26*'Assumptions - Freight'!S45,'Assumptions - Freight'!S45)," ")</f>
        <v>25</v>
      </c>
      <c r="T117" s="29">
        <f>IF(T$16=1,IF($D$25=1,$D$26*'Assumptions - Freight'!T45,'Assumptions - Freight'!T45)," ")</f>
        <v>25</v>
      </c>
      <c r="U117" s="29">
        <f>IF(U$16=1,IF($D$25=1,$D$26*'Assumptions - Freight'!U45,'Assumptions - Freight'!U45)," ")</f>
        <v>25</v>
      </c>
      <c r="V117" s="29">
        <f>IF(V$16=1,IF($D$25=1,$D$26*'Assumptions - Freight'!V45,'Assumptions - Freight'!V45)," ")</f>
        <v>25</v>
      </c>
      <c r="W117" s="29">
        <f>IF(W$16=1,IF($D$25=1,$D$26*'Assumptions - Freight'!W45,'Assumptions - Freight'!W45)," ")</f>
        <v>25</v>
      </c>
      <c r="X117" s="29">
        <f>IF(X$16=1,IF($D$25=1,$D$26*'Assumptions - Freight'!X45,'Assumptions - Freight'!X45)," ")</f>
        <v>25</v>
      </c>
      <c r="Y117" s="29">
        <f>IF(Y$16=1,IF($D$25=1,$D$26*'Assumptions - Freight'!Y45,'Assumptions - Freight'!Y45)," ")</f>
        <v>25</v>
      </c>
      <c r="Z117" s="29">
        <f>IF(Z$16=1,IF($D$25=1,$D$26*'Assumptions - Freight'!Z45,'Assumptions - Freight'!Z45)," ")</f>
        <v>25</v>
      </c>
      <c r="AA117" s="29">
        <f>IF(AA$16=1,IF($D$25=1,$D$26*'Assumptions - Freight'!AA45,'Assumptions - Freight'!AA45)," ")</f>
        <v>25</v>
      </c>
      <c r="AB117" s="29">
        <f>IF(AB$16=1,IF($D$25=1,$D$26*'Assumptions - Freight'!AB45,'Assumptions - Freight'!AB45)," ")</f>
        <v>25</v>
      </c>
      <c r="AC117" s="29">
        <f>IF(AC$16=1,IF($D$25=1,$D$26*'Assumptions - Freight'!AC45,'Assumptions - Freight'!AC45)," ")</f>
        <v>25</v>
      </c>
      <c r="AD117" s="29">
        <f>IF(AD$16=1,IF($D$25=1,$D$26*'Assumptions - Freight'!AD45,'Assumptions - Freight'!AD45)," ")</f>
        <v>25</v>
      </c>
      <c r="AE117" s="29">
        <f>IF(AE$16=1,IF($D$25=1,$D$26*'Assumptions - Freight'!AE45,'Assumptions - Freight'!AE45)," ")</f>
        <v>25</v>
      </c>
      <c r="AF117" s="29">
        <f>IF(AF$16=1,IF($D$25=1,$D$26*'Assumptions - Freight'!AF45,'Assumptions - Freight'!AF45)," ")</f>
        <v>25</v>
      </c>
      <c r="AG117" s="29">
        <f>IF(AG$16=1,IF($D$25=1,$D$26*'Assumptions - Freight'!AG45,'Assumptions - Freight'!AG45)," ")</f>
        <v>25</v>
      </c>
      <c r="AH117" s="29">
        <f>IF(AH$16=1,IF($D$25=1,$D$26*'Assumptions - Freight'!AH45,'Assumptions - Freight'!AH45)," ")</f>
        <v>25</v>
      </c>
    </row>
    <row r="118" spans="1:34" s="20" customFormat="1" ht="14" x14ac:dyDescent="0.2">
      <c r="A118" s="87"/>
      <c r="B118" s="30" t="s">
        <v>608</v>
      </c>
      <c r="C118" s="8"/>
      <c r="D118" s="8" t="str">
        <f>'Assumptions - General'!$E$27 &amp;" millions"</f>
        <v>R$ millions</v>
      </c>
      <c r="E118" s="29"/>
      <c r="F118" s="29">
        <f>IF(F$16=1,'Assumptions - Freight'!F53-Calculations!F111," ")</f>
        <v>0</v>
      </c>
      <c r="G118" s="29">
        <f>IF(G$16=1,'Assumptions - Freight'!G53-Calculations!G111," ")</f>
        <v>0</v>
      </c>
      <c r="H118" s="29">
        <f>IF(H$16=1,'Assumptions - Freight'!H53-Calculations!H111," ")</f>
        <v>0</v>
      </c>
      <c r="I118" s="29">
        <f>IF(I$16=1,'Assumptions - Freight'!I53-Calculations!I111," ")</f>
        <v>0</v>
      </c>
      <c r="J118" s="29">
        <f>IF(J$16=1,'Assumptions - Freight'!J53-Calculations!J111," ")</f>
        <v>0</v>
      </c>
      <c r="K118" s="29">
        <f>IF(K$16=1,'Assumptions - Freight'!K53-Calculations!K111," ")</f>
        <v>0</v>
      </c>
      <c r="L118" s="29">
        <f>IF(L$16=1,'Assumptions - Freight'!L53-Calculations!L111," ")</f>
        <v>0</v>
      </c>
      <c r="M118" s="29">
        <f>IF(M$16=1,'Assumptions - Freight'!M53-Calculations!M111," ")</f>
        <v>0</v>
      </c>
      <c r="N118" s="29">
        <f>IF(N$16=1,'Assumptions - Freight'!N53-Calculations!N111," ")</f>
        <v>0</v>
      </c>
      <c r="O118" s="29">
        <f>IF(O$16=1,'Assumptions - Freight'!O53-Calculations!O111," ")</f>
        <v>0</v>
      </c>
      <c r="P118" s="29">
        <f>IF(P$16=1,'Assumptions - Freight'!P53-Calculations!P111," ")</f>
        <v>0</v>
      </c>
      <c r="Q118" s="29">
        <f>IF(Q$16=1,'Assumptions - Freight'!Q53-Calculations!Q111," ")</f>
        <v>0</v>
      </c>
      <c r="R118" s="29">
        <f>IF(R$16=1,'Assumptions - Freight'!R53-Calculations!R111," ")</f>
        <v>0</v>
      </c>
      <c r="S118" s="29">
        <f>IF(S$16=1,'Assumptions - Freight'!S53-Calculations!S111," ")</f>
        <v>0</v>
      </c>
      <c r="T118" s="29">
        <f>IF(T$16=1,'Assumptions - Freight'!T53-Calculations!T111," ")</f>
        <v>0</v>
      </c>
      <c r="U118" s="29">
        <f>IF(U$16=1,'Assumptions - Freight'!U53-Calculations!U111," ")</f>
        <v>0</v>
      </c>
      <c r="V118" s="29">
        <f>IF(V$16=1,'Assumptions - Freight'!V53-Calculations!V111," ")</f>
        <v>0</v>
      </c>
      <c r="W118" s="29">
        <f>IF(W$16=1,'Assumptions - Freight'!W53-Calculations!W111," ")</f>
        <v>0</v>
      </c>
      <c r="X118" s="29">
        <f>IF(X$16=1,'Assumptions - Freight'!X53-Calculations!X111," ")</f>
        <v>0</v>
      </c>
      <c r="Y118" s="29">
        <f>IF(Y$16=1,'Assumptions - Freight'!Y53-Calculations!Y111," ")</f>
        <v>0</v>
      </c>
      <c r="Z118" s="29">
        <f>IF(Z$16=1,'Assumptions - Freight'!Z53-Calculations!Z111," ")</f>
        <v>0</v>
      </c>
      <c r="AA118" s="29">
        <f>IF(AA$16=1,'Assumptions - Freight'!AA53-Calculations!AA111," ")</f>
        <v>0</v>
      </c>
      <c r="AB118" s="29">
        <f>IF(AB$16=1,'Assumptions - Freight'!AB53-Calculations!AB111," ")</f>
        <v>0</v>
      </c>
      <c r="AC118" s="29">
        <f>IF(AC$16=1,'Assumptions - Freight'!AC53-Calculations!AC111," ")</f>
        <v>0</v>
      </c>
      <c r="AD118" s="29">
        <f>IF(AD$16=1,'Assumptions - Freight'!AD53-Calculations!AD111," ")</f>
        <v>0</v>
      </c>
      <c r="AE118" s="29">
        <f>IF(AE$16=1,'Assumptions - Freight'!AE53-Calculations!AE111," ")</f>
        <v>0</v>
      </c>
      <c r="AF118" s="29">
        <f>IF(AF$16=1,'Assumptions - Freight'!AF53-Calculations!AF111," ")</f>
        <v>0</v>
      </c>
      <c r="AG118" s="29">
        <f>IF(AG$16=1,'Assumptions - Freight'!AG53-Calculations!AG111," ")</f>
        <v>0</v>
      </c>
      <c r="AH118" s="29">
        <f>IF(AH$16=1,'Assumptions - Freight'!AH53-Calculations!AH111," ")</f>
        <v>0</v>
      </c>
    </row>
    <row r="119" spans="1:34" s="20" customFormat="1" ht="14" x14ac:dyDescent="0.2">
      <c r="A119" s="87"/>
      <c r="B119" s="30" t="s">
        <v>635</v>
      </c>
      <c r="C119" s="8"/>
      <c r="D119" s="8" t="str">
        <f>'Assumptions - General'!$E$27 &amp;" millions"</f>
        <v>R$ millions</v>
      </c>
      <c r="E119" s="29"/>
      <c r="F119" s="29">
        <f>IF(F$16=1,(IF($A109=1,IF(F116-F118&gt;0,(MIN((F116-F118),(SUM($E117:F117)-SUM($E118:F118))/'Assumptions - Freight'!$E101)),0),0))," ")</f>
        <v>0</v>
      </c>
      <c r="G119" s="29">
        <f>IF(G$16=1,(IF($A109=1,IF(G116-G118&gt;0,(MIN((G116-G118),(SUM($E117:G117)-SUM($E118:G118))/'Assumptions - Freight'!$E101)),0),0))," ")</f>
        <v>1.6129032258064515</v>
      </c>
      <c r="H119" s="29">
        <f>IF(H$16=1,(IF($A109=1,IF(H116-H118&gt;0,(MIN((H116-H118),(SUM($E117:H117)-SUM($E118:H118))/'Assumptions - Freight'!$E101)),0),0))," ")</f>
        <v>2.4193548387096775</v>
      </c>
      <c r="I119" s="29">
        <f>IF(I$16=1,(IF($A109=1,IF(I116-I118&gt;0,(MIN((I116-I118),(SUM($E117:I117)-SUM($E118:I118))/'Assumptions - Freight'!$E101)),0),0))," ")</f>
        <v>3.225806451612903</v>
      </c>
      <c r="J119" s="29">
        <f>IF(J$16=1,(IF($A109=1,IF(J116-J118&gt;0,(MIN((J116-J118),(SUM($E117:J117)-SUM($E118:J118))/'Assumptions - Freight'!$E101)),0),0))," ")</f>
        <v>4.032258064516129</v>
      </c>
      <c r="K119" s="29">
        <f>IF(K$16=1,(IF($A109=1,IF(K116-K118&gt;0,(MIN((K116-K118),(SUM($E117:K117)-SUM($E118:K118))/'Assumptions - Freight'!$E101)),0),0))," ")</f>
        <v>4.838709677419355</v>
      </c>
      <c r="L119" s="29">
        <f>IF(L$16=1,(IF($A109=1,IF(L116-L118&gt;0,(MIN((L116-L118),(SUM($E117:L117)-SUM($E118:L118))/'Assumptions - Freight'!$E101)),0),0))," ")</f>
        <v>5.645161290322581</v>
      </c>
      <c r="M119" s="29">
        <f>IF(M$16=1,(IF($A109=1,IF(M116-M118&gt;0,(MIN((M116-M118),(SUM($E117:M117)-SUM($E118:M118))/'Assumptions - Freight'!$E101)),0),0))," ")</f>
        <v>6.4516129032258061</v>
      </c>
      <c r="N119" s="29">
        <f>IF(N$16=1,(IF($A109=1,IF(N116-N118&gt;0,(MIN((N116-N118),(SUM($E117:N117)-SUM($E118:N118))/'Assumptions - Freight'!$E101)),0),0))," ")</f>
        <v>7.258064516129032</v>
      </c>
      <c r="O119" s="29">
        <f>IF(O$16=1,(IF($A109=1,IF(O116-O118&gt;0,(MIN((O116-O118),(SUM($E117:O117)-SUM($E118:O118))/'Assumptions - Freight'!$E101)),0),0))," ")</f>
        <v>8.064516129032258</v>
      </c>
      <c r="P119" s="29">
        <f>IF(P$16=1,(IF($A109=1,IF(P116-P118&gt;0,(MIN((P116-P118),(SUM($E117:P117)-SUM($E118:P118))/'Assumptions - Freight'!$E101)),0),0))," ")</f>
        <v>8.870967741935484</v>
      </c>
      <c r="Q119" s="29">
        <f>IF(Q$16=1,(IF($A109=1,IF(Q116-Q118&gt;0,(MIN((Q116-Q118),(SUM($E117:Q117)-SUM($E118:Q118))/'Assumptions - Freight'!$E101)),0),0))," ")</f>
        <v>9.67741935483871</v>
      </c>
      <c r="R119" s="29">
        <f>IF(R$16=1,(IF($A109=1,IF(R116-R118&gt;0,(MIN((R116-R118),(SUM($E117:R117)-SUM($E118:R118))/'Assumptions - Freight'!$E101)),0),0))," ")</f>
        <v>10.483870967741936</v>
      </c>
      <c r="S119" s="29">
        <f>IF(S$16=1,(IF($A109=1,IF(S116-S118&gt;0,(MIN((S116-S118),(SUM($E117:S117)-SUM($E118:S118))/'Assumptions - Freight'!$E101)),0),0))," ")</f>
        <v>11.290322580645162</v>
      </c>
      <c r="T119" s="29">
        <f>IF(T$16=1,(IF($A109=1,IF(T116-T118&gt;0,(MIN((T116-T118),(SUM($E117:T117)-SUM($E118:T118))/'Assumptions - Freight'!$E101)),0),0))," ")</f>
        <v>12.096774193548388</v>
      </c>
      <c r="U119" s="29">
        <f>IF(U$16=1,(IF($A109=1,IF(U116-U118&gt;0,(MIN((U116-U118),(SUM($E117:U117)-SUM($E118:U118))/'Assumptions - Freight'!$E101)),0),0))," ")</f>
        <v>12.903225806451612</v>
      </c>
      <c r="V119" s="29">
        <f>IF(V$16=1,(IF($A109=1,IF(V116-V118&gt;0,(MIN((V116-V118),(SUM($E117:V117)-SUM($E118:V118))/'Assumptions - Freight'!$E101)),0),0))," ")</f>
        <v>13.709677419354838</v>
      </c>
      <c r="W119" s="29">
        <f>IF(W$16=1,(IF($A109=1,IF(W116-W118&gt;0,(MIN((W116-W118),(SUM($E117:W117)-SUM($E118:W118))/'Assumptions - Freight'!$E101)),0),0))," ")</f>
        <v>14.516129032258064</v>
      </c>
      <c r="X119" s="29">
        <f>IF(X$16=1,(IF($A109=1,IF(X116-X118&gt;0,(MIN((X116-X118),(SUM($E117:X117)-SUM($E118:X118))/'Assumptions - Freight'!$E101)),0),0))," ")</f>
        <v>15.32258064516129</v>
      </c>
      <c r="Y119" s="29">
        <f>IF(Y$16=1,(IF($A109=1,IF(Y116-Y118&gt;0,(MIN((Y116-Y118),(SUM($E117:Y117)-SUM($E118:Y118))/'Assumptions - Freight'!$E101)),0),0))," ")</f>
        <v>16.129032258064516</v>
      </c>
      <c r="Z119" s="29">
        <f>IF(Z$16=1,(IF($A109=1,IF(Z116-Z118&gt;0,(MIN((Z116-Z118),(SUM($E117:Z117)-SUM($E118:Z118))/'Assumptions - Freight'!$E101)),0),0))," ")</f>
        <v>16.93548387096774</v>
      </c>
      <c r="AA119" s="29">
        <f>IF(AA$16=1,(IF($A109=1,IF(AA116-AA118&gt;0,(MIN((AA116-AA118),(SUM($E117:AA117)-SUM($E118:AA118))/'Assumptions - Freight'!$E101)),0),0))," ")</f>
        <v>17.741935483870968</v>
      </c>
      <c r="AB119" s="29">
        <f>IF(AB$16=1,(IF($A109=1,IF(AB116-AB118&gt;0,(MIN((AB116-AB118),(SUM($E117:AB117)-SUM($E118:AB118))/'Assumptions - Freight'!$E101)),0),0))," ")</f>
        <v>18.548387096774192</v>
      </c>
      <c r="AC119" s="29">
        <f>IF(AC$16=1,(IF($A109=1,IF(AC116-AC118&gt;0,(MIN((AC116-AC118),(SUM($E117:AC117)-SUM($E118:AC118))/'Assumptions - Freight'!$E101)),0),0))," ")</f>
        <v>19.35483870967742</v>
      </c>
      <c r="AD119" s="29">
        <f>IF(AD$16=1,(IF($A109=1,IF(AD116-AD118&gt;0,(MIN((AD116-AD118),(SUM($E117:AD117)-SUM($E118:AD118))/'Assumptions - Freight'!$E101)),0),0))," ")</f>
        <v>20.161290322580644</v>
      </c>
      <c r="AE119" s="29">
        <f>IF(AE$16=1,(IF($A109=1,IF(AE116-AE118&gt;0,(MIN((AE116-AE118),(SUM($E117:AE117)-SUM($E118:AE118))/'Assumptions - Freight'!$E101)),0),0))," ")</f>
        <v>20.967741935483872</v>
      </c>
      <c r="AF119" s="29">
        <f>IF(AF$16=1,(IF($A109=1,IF(AF116-AF118&gt;0,(MIN((AF116-AF118),(SUM($E117:AF117)-SUM($E118:AF118))/'Assumptions - Freight'!$E101)),0),0))," ")</f>
        <v>21.774193548387096</v>
      </c>
      <c r="AG119" s="29">
        <f>IF(AG$16=1,(IF($A109=1,IF(AG116-AG118&gt;0,(MIN((AG116-AG118),(SUM($E117:AG117)-SUM($E118:AG118))/'Assumptions - Freight'!$E101)),0),0))," ")</f>
        <v>22.580645161290324</v>
      </c>
      <c r="AH119" s="29">
        <f>IF(AH$16=1,(IF($A109=1,IF(AH116-AH118&gt;0,(MIN((AH116-AH118),(SUM($E117:AH117)-SUM($E118:AH118))/'Assumptions - Freight'!$E101)),0),0))," ")</f>
        <v>23.387096774193548</v>
      </c>
    </row>
    <row r="120" spans="1:34" s="20" customFormat="1" ht="14" x14ac:dyDescent="0.2">
      <c r="A120" s="87"/>
      <c r="B120" s="30" t="s">
        <v>636</v>
      </c>
      <c r="C120" s="8"/>
      <c r="D120" s="8" t="str">
        <f>'Assumptions - General'!$E$27 &amp;" millions"</f>
        <v>R$ millions</v>
      </c>
      <c r="E120" s="29"/>
      <c r="F120" s="29">
        <f>IF(F$16=1,SUM($E119:F119)," ")</f>
        <v>0</v>
      </c>
      <c r="G120" s="29">
        <f>IF(G$16=1,SUM($E119:G119)," ")</f>
        <v>1.6129032258064515</v>
      </c>
      <c r="H120" s="29">
        <f>IF(H$16=1,SUM($E119:H119)," ")</f>
        <v>4.032258064516129</v>
      </c>
      <c r="I120" s="29">
        <f>IF(I$16=1,SUM($E119:I119)," ")</f>
        <v>7.258064516129032</v>
      </c>
      <c r="J120" s="29">
        <f>IF(J$16=1,SUM($E119:J119)," ")</f>
        <v>11.29032258064516</v>
      </c>
      <c r="K120" s="29">
        <f>IF(K$16=1,SUM($E119:K119)," ")</f>
        <v>16.129032258064516</v>
      </c>
      <c r="L120" s="29">
        <f>IF(L$16=1,SUM($E119:L119)," ")</f>
        <v>21.774193548387096</v>
      </c>
      <c r="M120" s="29">
        <f>IF(M$16=1,SUM($E119:M119)," ")</f>
        <v>28.225806451612904</v>
      </c>
      <c r="N120" s="29">
        <f>IF(N$16=1,SUM($E119:N119)," ")</f>
        <v>35.483870967741936</v>
      </c>
      <c r="O120" s="29">
        <f>IF(O$16=1,SUM($E119:O119)," ")</f>
        <v>43.548387096774192</v>
      </c>
      <c r="P120" s="29">
        <f>IF(P$16=1,SUM($E119:P119)," ")</f>
        <v>52.41935483870968</v>
      </c>
      <c r="Q120" s="29">
        <f>IF(Q$16=1,SUM($E119:Q119)," ")</f>
        <v>62.096774193548391</v>
      </c>
      <c r="R120" s="29">
        <f>IF(R$16=1,SUM($E119:R119)," ")</f>
        <v>72.580645161290334</v>
      </c>
      <c r="S120" s="29">
        <f>IF(S$16=1,SUM($E119:S119)," ")</f>
        <v>83.870967741935502</v>
      </c>
      <c r="T120" s="29">
        <f>IF(T$16=1,SUM($E119:T119)," ")</f>
        <v>95.967741935483886</v>
      </c>
      <c r="U120" s="29">
        <f>IF(U$16=1,SUM($E119:U119)," ")</f>
        <v>108.8709677419355</v>
      </c>
      <c r="V120" s="29">
        <f>IF(V$16=1,SUM($E119:V119)," ")</f>
        <v>122.58064516129033</v>
      </c>
      <c r="W120" s="29">
        <f>IF(W$16=1,SUM($E119:W119)," ")</f>
        <v>137.09677419354841</v>
      </c>
      <c r="X120" s="29">
        <f>IF(X$16=1,SUM($E119:X119)," ")</f>
        <v>152.41935483870969</v>
      </c>
      <c r="Y120" s="29">
        <f>IF(Y$16=1,SUM($E119:Y119)," ")</f>
        <v>168.54838709677421</v>
      </c>
      <c r="Z120" s="29">
        <f>IF(Z$16=1,SUM($E119:Z119)," ")</f>
        <v>185.48387096774195</v>
      </c>
      <c r="AA120" s="29">
        <f>IF(AA$16=1,SUM($E119:AA119)," ")</f>
        <v>203.22580645161293</v>
      </c>
      <c r="AB120" s="29">
        <f>IF(AB$16=1,SUM($E119:AB119)," ")</f>
        <v>221.77419354838713</v>
      </c>
      <c r="AC120" s="29">
        <f>IF(AC$16=1,SUM($E119:AC119)," ")</f>
        <v>241.12903225806454</v>
      </c>
      <c r="AD120" s="29">
        <f>IF(AD$16=1,SUM($E119:AD119)," ")</f>
        <v>261.29032258064518</v>
      </c>
      <c r="AE120" s="29">
        <f>IF(AE$16=1,SUM($E119:AE119)," ")</f>
        <v>282.25806451612902</v>
      </c>
      <c r="AF120" s="29">
        <f>IF(AF$16=1,SUM($E119:AF119)," ")</f>
        <v>304.0322580645161</v>
      </c>
      <c r="AG120" s="29">
        <f>IF(AG$16=1,SUM($E119:AG119)," ")</f>
        <v>326.61290322580641</v>
      </c>
      <c r="AH120" s="29">
        <f>IF(AH$16=1,SUM($E119:AH119)," ")</f>
        <v>349.99999999999994</v>
      </c>
    </row>
    <row r="121" spans="1:34" s="20" customFormat="1" ht="14" x14ac:dyDescent="0.2">
      <c r="A121" s="87"/>
      <c r="B121" s="14" t="s">
        <v>640</v>
      </c>
      <c r="C121" s="8"/>
      <c r="D121" s="8" t="str">
        <f>'Assumptions - General'!$E$27 &amp;" millions"</f>
        <v>R$ millions</v>
      </c>
      <c r="E121" s="29"/>
      <c r="F121" s="29">
        <f t="shared" ref="F121:AH121" si="35">IF(F16=1,F116+F117-F118-F119," ")</f>
        <v>25</v>
      </c>
      <c r="G121" s="29">
        <f t="shared" si="35"/>
        <v>48.387096774193552</v>
      </c>
      <c r="H121" s="29">
        <f t="shared" si="35"/>
        <v>70.967741935483872</v>
      </c>
      <c r="I121" s="29">
        <f t="shared" si="35"/>
        <v>92.741935483870975</v>
      </c>
      <c r="J121" s="29">
        <f t="shared" si="35"/>
        <v>113.70967741935485</v>
      </c>
      <c r="K121" s="29">
        <f t="shared" si="35"/>
        <v>133.87096774193549</v>
      </c>
      <c r="L121" s="29">
        <f t="shared" si="35"/>
        <v>153.2258064516129</v>
      </c>
      <c r="M121" s="29">
        <f t="shared" si="35"/>
        <v>171.7741935483871</v>
      </c>
      <c r="N121" s="29">
        <f t="shared" si="35"/>
        <v>189.51612903225808</v>
      </c>
      <c r="O121" s="29">
        <f t="shared" si="35"/>
        <v>206.45161290322582</v>
      </c>
      <c r="P121" s="29">
        <f t="shared" si="35"/>
        <v>222.58064516129033</v>
      </c>
      <c r="Q121" s="29">
        <f t="shared" si="35"/>
        <v>237.90322580645162</v>
      </c>
      <c r="R121" s="29">
        <f t="shared" si="35"/>
        <v>252.41935483870964</v>
      </c>
      <c r="S121" s="29">
        <f t="shared" si="35"/>
        <v>266.12903225806446</v>
      </c>
      <c r="T121" s="29">
        <f t="shared" si="35"/>
        <v>279.03225806451604</v>
      </c>
      <c r="U121" s="29">
        <f t="shared" si="35"/>
        <v>291.12903225806446</v>
      </c>
      <c r="V121" s="29">
        <f t="shared" si="35"/>
        <v>302.41935483870964</v>
      </c>
      <c r="W121" s="29">
        <f t="shared" si="35"/>
        <v>312.90322580645159</v>
      </c>
      <c r="X121" s="29">
        <f t="shared" si="35"/>
        <v>322.58064516129031</v>
      </c>
      <c r="Y121" s="29">
        <f t="shared" si="35"/>
        <v>331.45161290322579</v>
      </c>
      <c r="Z121" s="29">
        <f t="shared" si="35"/>
        <v>339.51612903225805</v>
      </c>
      <c r="AA121" s="29">
        <f t="shared" si="35"/>
        <v>346.77419354838707</v>
      </c>
      <c r="AB121" s="29">
        <f t="shared" si="35"/>
        <v>353.22580645161287</v>
      </c>
      <c r="AC121" s="29">
        <f t="shared" si="35"/>
        <v>358.87096774193543</v>
      </c>
      <c r="AD121" s="29">
        <f t="shared" si="35"/>
        <v>363.70967741935476</v>
      </c>
      <c r="AE121" s="29">
        <f t="shared" si="35"/>
        <v>367.74193548387086</v>
      </c>
      <c r="AF121" s="29">
        <f t="shared" si="35"/>
        <v>370.96774193548379</v>
      </c>
      <c r="AG121" s="29">
        <f t="shared" si="35"/>
        <v>373.38709677419348</v>
      </c>
      <c r="AH121" s="29">
        <f t="shared" si="35"/>
        <v>374.99999999999994</v>
      </c>
    </row>
    <row r="122" spans="1:34" s="20" customFormat="1" ht="14" x14ac:dyDescent="0.2">
      <c r="A122" s="87"/>
      <c r="B122" s="14"/>
      <c r="C122" s="8"/>
      <c r="D122" s="8"/>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row>
    <row r="123" spans="1:34" s="20" customFormat="1" ht="14" x14ac:dyDescent="0.2">
      <c r="A123" s="87"/>
      <c r="B123" s="14" t="s">
        <v>638</v>
      </c>
      <c r="C123" s="8"/>
      <c r="D123" s="8" t="str">
        <f>'Assumptions - General'!$E$27 &amp;" millions"</f>
        <v>R$ millions</v>
      </c>
      <c r="E123" s="29">
        <f t="shared" ref="E123:AH123" si="36">IF(E16=1,E114+E121," ")</f>
        <v>50</v>
      </c>
      <c r="F123" s="29">
        <f t="shared" si="36"/>
        <v>72.5</v>
      </c>
      <c r="G123" s="29">
        <f t="shared" si="36"/>
        <v>93.387096774193552</v>
      </c>
      <c r="H123" s="29">
        <f t="shared" si="36"/>
        <v>113.46774193548387</v>
      </c>
      <c r="I123" s="29">
        <f t="shared" si="36"/>
        <v>132.74193548387098</v>
      </c>
      <c r="J123" s="29">
        <f t="shared" si="36"/>
        <v>151.20967741935485</v>
      </c>
      <c r="K123" s="29">
        <f t="shared" si="36"/>
        <v>168.87096774193549</v>
      </c>
      <c r="L123" s="29">
        <f t="shared" si="36"/>
        <v>185.7258064516129</v>
      </c>
      <c r="M123" s="29">
        <f t="shared" si="36"/>
        <v>201.7741935483871</v>
      </c>
      <c r="N123" s="29">
        <f t="shared" si="36"/>
        <v>217.01612903225808</v>
      </c>
      <c r="O123" s="29">
        <f t="shared" si="36"/>
        <v>231.45161290322582</v>
      </c>
      <c r="P123" s="29">
        <f t="shared" si="36"/>
        <v>245.08064516129033</v>
      </c>
      <c r="Q123" s="29">
        <f t="shared" si="36"/>
        <v>257.90322580645159</v>
      </c>
      <c r="R123" s="29">
        <f t="shared" si="36"/>
        <v>269.91935483870964</v>
      </c>
      <c r="S123" s="29">
        <f t="shared" si="36"/>
        <v>281.12903225806446</v>
      </c>
      <c r="T123" s="29">
        <f t="shared" si="36"/>
        <v>291.53225806451604</v>
      </c>
      <c r="U123" s="29">
        <f t="shared" si="36"/>
        <v>301.12903225806446</v>
      </c>
      <c r="V123" s="29">
        <f t="shared" si="36"/>
        <v>309.91935483870964</v>
      </c>
      <c r="W123" s="29">
        <f t="shared" si="36"/>
        <v>317.90322580645159</v>
      </c>
      <c r="X123" s="29">
        <f t="shared" si="36"/>
        <v>325.08064516129031</v>
      </c>
      <c r="Y123" s="29">
        <f t="shared" si="36"/>
        <v>331.45161290322579</v>
      </c>
      <c r="Z123" s="29">
        <f t="shared" si="36"/>
        <v>339.51612903225805</v>
      </c>
      <c r="AA123" s="29">
        <f t="shared" si="36"/>
        <v>346.77419354838707</v>
      </c>
      <c r="AB123" s="29">
        <f t="shared" si="36"/>
        <v>353.22580645161287</v>
      </c>
      <c r="AC123" s="29">
        <f t="shared" si="36"/>
        <v>358.87096774193543</v>
      </c>
      <c r="AD123" s="29">
        <f t="shared" si="36"/>
        <v>363.70967741935476</v>
      </c>
      <c r="AE123" s="29">
        <f t="shared" si="36"/>
        <v>367.74193548387086</v>
      </c>
      <c r="AF123" s="29">
        <f t="shared" si="36"/>
        <v>370.96774193548379</v>
      </c>
      <c r="AG123" s="29">
        <f t="shared" si="36"/>
        <v>373.38709677419348</v>
      </c>
      <c r="AH123" s="29">
        <f t="shared" si="36"/>
        <v>374.99999999999994</v>
      </c>
    </row>
    <row r="124" spans="1:34" s="310" customFormat="1" ht="14" x14ac:dyDescent="0.2">
      <c r="A124" s="87"/>
      <c r="B124" s="446"/>
      <c r="C124" s="87"/>
      <c r="D124" s="87"/>
      <c r="E124" s="447"/>
      <c r="F124" s="447"/>
      <c r="G124" s="447"/>
      <c r="H124" s="447"/>
      <c r="I124" s="447"/>
      <c r="J124" s="447"/>
      <c r="K124" s="447"/>
      <c r="L124" s="447"/>
      <c r="M124" s="447"/>
      <c r="N124" s="447"/>
      <c r="O124" s="447"/>
      <c r="P124" s="447"/>
      <c r="Q124" s="447"/>
      <c r="R124" s="447"/>
      <c r="S124" s="447"/>
      <c r="T124" s="447"/>
      <c r="U124" s="447"/>
      <c r="V124" s="447"/>
      <c r="W124" s="447"/>
      <c r="X124" s="447"/>
      <c r="Y124" s="447"/>
      <c r="Z124" s="447"/>
      <c r="AA124" s="447"/>
      <c r="AB124" s="447"/>
      <c r="AC124" s="447"/>
      <c r="AD124" s="447"/>
      <c r="AE124" s="447"/>
      <c r="AF124" s="447"/>
      <c r="AG124" s="447"/>
      <c r="AH124" s="447"/>
    </row>
    <row r="125" spans="1:34" collapsed="1" x14ac:dyDescent="0.2">
      <c r="P125" s="437"/>
    </row>
    <row r="126" spans="1:34" x14ac:dyDescent="0.2">
      <c r="A126" s="320"/>
      <c r="B126" s="319" t="str">
        <f>"Traffic  for " &amp;'Assumptions - General'!$E$24</f>
        <v>Traffic  for Ruritania Freight Rail Company</v>
      </c>
      <c r="C126" s="320"/>
      <c r="D126" s="320"/>
      <c r="E126" s="320"/>
      <c r="F126" s="320"/>
      <c r="G126" s="320"/>
      <c r="H126" s="320"/>
      <c r="I126" s="320"/>
      <c r="J126" s="320"/>
      <c r="K126" s="320"/>
      <c r="L126" s="320"/>
      <c r="M126" s="320"/>
      <c r="N126" s="320"/>
      <c r="O126" s="320"/>
      <c r="P126" s="320"/>
      <c r="Q126" s="320"/>
      <c r="R126" s="320"/>
      <c r="S126" s="320"/>
      <c r="T126" s="320"/>
      <c r="U126" s="320"/>
      <c r="V126" s="320"/>
      <c r="W126" s="320"/>
      <c r="X126" s="320"/>
      <c r="Y126" s="320"/>
      <c r="Z126" s="320"/>
      <c r="AA126" s="320"/>
      <c r="AB126" s="320"/>
      <c r="AC126" s="320"/>
      <c r="AD126" s="320"/>
      <c r="AE126" s="320"/>
      <c r="AF126" s="320"/>
      <c r="AG126" s="320"/>
      <c r="AH126" s="320"/>
    </row>
    <row r="127" spans="1:34" x14ac:dyDescent="0.2">
      <c r="B127" s="7"/>
      <c r="C127" s="8"/>
      <c r="D127" s="8"/>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outlineLevel="1" x14ac:dyDescent="0.2">
      <c r="B128" s="8" t="s">
        <v>474</v>
      </c>
      <c r="C128" s="8"/>
      <c r="D128" s="287">
        <f>IF('Scenarios - Consolidated'!F3=1,1,IF('Scenarios - Infra'!F3=1,1,'Scenarios - Freight'!F3))</f>
        <v>2</v>
      </c>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2:34" outlineLevel="1" x14ac:dyDescent="0.2">
      <c r="B129" s="8" t="s">
        <v>470</v>
      </c>
      <c r="C129" s="8"/>
      <c r="D129" s="224">
        <f>IF(AND('Scenarios - Consolidated'!F3=1,'Scenarios - Consolidated'!F20=1),'Scenarios - Consolidated'!F25,IF(AND('Scenarios - Infra'!F3=1,'Scenarios - Infra'!F20=1),'Scenarios - Infra'!F25,'Scenarios - Freight'!F25))</f>
        <v>1</v>
      </c>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2:34" outlineLevel="1" x14ac:dyDescent="0.2">
      <c r="B130" s="8" t="s">
        <v>471</v>
      </c>
      <c r="C130" s="8"/>
      <c r="D130" s="288">
        <f>IF(AND('Scenarios - Consolidated'!F3=1,'Scenarios - Consolidated'!G20=1),'Scenarios - Consolidated'!G25,IF(AND('Scenarios - Infra'!F3=1,'Scenarios - Infra'!G20=1),'Scenarios - Infra'!G25,'Scenarios - Freight'!G25))</f>
        <v>3.2151722025077767E-3</v>
      </c>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2:34" outlineLevel="1" x14ac:dyDescent="0.2">
      <c r="B131" s="30" t="s">
        <v>472</v>
      </c>
      <c r="C131" s="8"/>
      <c r="D131" s="287">
        <f>IF(AND('Scenarios - Consolidated'!F3=1,'Scenarios - Consolidated'!G20=1),1,IF(AND('Scenarios - Infra'!F3=1,'Scenarios - Infra'!G20=1),1,'Scenarios - Freight'!G20))</f>
        <v>2</v>
      </c>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2:34" x14ac:dyDescent="0.2">
      <c r="B132" s="7" t="s">
        <v>473</v>
      </c>
      <c r="C132" s="8"/>
      <c r="D132" s="8"/>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2:34" x14ac:dyDescent="0.2">
      <c r="B133" s="7"/>
      <c r="C133" s="8"/>
      <c r="D133" s="8"/>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2:34" x14ac:dyDescent="0.2">
      <c r="B134" s="8" t="str">
        <f>"Annual traffic volume of " &amp;'Assumptions - Freight'!E116</f>
        <v>Annual traffic volume of Commodity 1</v>
      </c>
      <c r="C134" s="8"/>
      <c r="D134" s="8" t="str">
        <f>'Assumptions - Freight'!D130</f>
        <v>Net ton-km (million)</v>
      </c>
      <c r="E134" s="463">
        <f>IF(OR(E$16=1,E$19=1),IF($D$128=1,$D$129*'Assumptions - Freight'!E130,'Assumptions - Freight'!E130)," ")</f>
        <v>4000</v>
      </c>
      <c r="F134" s="12">
        <f>IF(OR(F$16=1,F$19=1),IF(AND($D$128=1,$D$131=1),E134*(1+$D$130),'Assumptions - Freight'!F130*$D$129)," ")</f>
        <v>4000</v>
      </c>
      <c r="G134" s="12">
        <f>IF(OR(G$16=1,G$19=1),IF(AND($D$128=1,$D$131=1),F134*(1+$D$130),'Assumptions - Freight'!G130*$D$129)," ")</f>
        <v>4000</v>
      </c>
      <c r="H134" s="12">
        <f>IF(OR(H$16=1,H$19=1),IF(AND($D$128=1,$D$131=1),G134*(1+$D$130),'Assumptions - Freight'!H130*$D$129)," ")</f>
        <v>4000</v>
      </c>
      <c r="I134" s="12">
        <f>IF(OR(I$16=1,I$19=1),IF(AND($D$128=1,$D$131=1),H134*(1+$D$130),'Assumptions - Freight'!I130*$D$129)," ")</f>
        <v>4000</v>
      </c>
      <c r="J134" s="12">
        <f>IF(OR(J$16=1,J$19=1),IF(AND($D$128=1,$D$131=1),I134*(1+$D$130),'Assumptions - Freight'!J130*$D$129)," ")</f>
        <v>4000</v>
      </c>
      <c r="K134" s="12">
        <f>IF(OR(K$16=1,K$19=1),IF(AND($D$128=1,$D$131=1),J134*(1+$D$130),'Assumptions - Freight'!K130*$D$129)," ")</f>
        <v>4500</v>
      </c>
      <c r="L134" s="12">
        <f>IF(OR(L$16=1,L$19=1),IF(AND($D$128=1,$D$131=1),K134*(1+$D$130),'Assumptions - Freight'!L130*$D$129)," ")</f>
        <v>4500</v>
      </c>
      <c r="M134" s="12">
        <f>IF(OR(M$16=1,M$19=1),IF(AND($D$128=1,$D$131=1),L134*(1+$D$130),'Assumptions - Freight'!M130*$D$129)," ")</f>
        <v>4500</v>
      </c>
      <c r="N134" s="12">
        <f>IF(OR(N$16=1,N$19=1),IF(AND($D$128=1,$D$131=1),M134*(1+$D$130),'Assumptions - Freight'!N130*$D$129)," ")</f>
        <v>4500</v>
      </c>
      <c r="O134" s="12">
        <f>IF(OR(O$16=1,O$19=1),IF(AND($D$128=1,$D$131=1),N134*(1+$D$130),'Assumptions - Freight'!O130*$D$129)," ")</f>
        <v>4500</v>
      </c>
      <c r="P134" s="12">
        <f>IF(OR(P$16=1,P$19=1),IF(AND($D$128=1,$D$131=1),O134*(1+$D$130),'Assumptions - Freight'!P130*$D$129)," ")</f>
        <v>4500</v>
      </c>
      <c r="Q134" s="12">
        <f>IF(OR(Q$16=1,Q$19=1),IF(AND($D$128=1,$D$131=1),P134*(1+$D$130),'Assumptions - Freight'!Q130*$D$129)," ")</f>
        <v>4500</v>
      </c>
      <c r="R134" s="12">
        <f>IF(OR(R$16=1,R$19=1),IF(AND($D$128=1,$D$131=1),Q134*(1+$D$130),'Assumptions - Freight'!R130*$D$129)," ")</f>
        <v>4500</v>
      </c>
      <c r="S134" s="12">
        <f>IF(OR(S$16=1,S$19=1),IF(AND($D$128=1,$D$131=1),R134*(1+$D$130),'Assumptions - Freight'!S130*$D$129)," ")</f>
        <v>4500</v>
      </c>
      <c r="T134" s="12">
        <f>IF(OR(T$16=1,T$19=1),IF(AND($D$128=1,$D$131=1),S134*(1+$D$130),'Assumptions - Freight'!T130*$D$129)," ")</f>
        <v>4500</v>
      </c>
      <c r="U134" s="12">
        <f>IF(OR(U$16=1,U$19=1),IF(AND($D$128=1,$D$131=1),T134*(1+$D$130),'Assumptions - Freight'!U130*$D$129)," ")</f>
        <v>4500</v>
      </c>
      <c r="V134" s="12">
        <f>IF(OR(V$16=1,V$19=1),IF(AND($D$128=1,$D$131=1),U134*(1+$D$130),'Assumptions - Freight'!V130*$D$129)," ")</f>
        <v>4500</v>
      </c>
      <c r="W134" s="12">
        <f>IF(OR(W$16=1,W$19=1),IF(AND($D$128=1,$D$131=1),V134*(1+$D$130),'Assumptions - Freight'!W130*$D$129)," ")</f>
        <v>4500</v>
      </c>
      <c r="X134" s="12">
        <f>IF(OR(X$16=1,X$19=1),IF(AND($D$128=1,$D$131=1),W134*(1+$D$130),'Assumptions - Freight'!X130*$D$129)," ")</f>
        <v>4500</v>
      </c>
      <c r="Y134" s="12">
        <f>IF(OR(Y$16=1,Y$19=1),IF(AND($D$128=1,$D$131=1),X134*(1+$D$130),'Assumptions - Freight'!Y130*$D$129)," ")</f>
        <v>4500</v>
      </c>
      <c r="Z134" s="12">
        <f>IF(OR(Z$16=1,Z$19=1),IF(AND($D$128=1,$D$131=1),Y134*(1+$D$130),'Assumptions - Freight'!Z130*$D$129)," ")</f>
        <v>4500</v>
      </c>
      <c r="AA134" s="12">
        <f>IF(OR(AA$16=1,AA$19=1),IF(AND($D$128=1,$D$131=1),Z134*(1+$D$130),'Assumptions - Freight'!AA130*$D$129)," ")</f>
        <v>4500</v>
      </c>
      <c r="AB134" s="12">
        <f>IF(OR(AB$16=1,AB$19=1),IF(AND($D$128=1,$D$131=1),AA134*(1+$D$130),'Assumptions - Freight'!AB130*$D$129)," ")</f>
        <v>4500</v>
      </c>
      <c r="AC134" s="12">
        <f>IF(OR(AC$16=1,AC$19=1),IF(AND($D$128=1,$D$131=1),AB134*(1+$D$130),'Assumptions - Freight'!AC130*$D$129)," ")</f>
        <v>4500</v>
      </c>
      <c r="AD134" s="12">
        <f>IF(OR(AD$16=1,AD$19=1),IF(AND($D$128=1,$D$131=1),AC134*(1+$D$130),'Assumptions - Freight'!AD130*$D$129)," ")</f>
        <v>4500</v>
      </c>
      <c r="AE134" s="12">
        <f>IF(OR(AE$16=1,AE$19=1),IF(AND($D$128=1,$D$131=1),AD134*(1+$D$130),'Assumptions - Freight'!AE130*$D$129)," ")</f>
        <v>4500</v>
      </c>
      <c r="AF134" s="12">
        <f>IF(OR(AF$16=1,AF$19=1),IF(AND($D$128=1,$D$131=1),AE134*(1+$D$130),'Assumptions - Freight'!AF130*$D$129)," ")</f>
        <v>4500</v>
      </c>
      <c r="AG134" s="12">
        <f>IF(OR(AG$16=1,AG$19=1),IF(AND($D$128=1,$D$131=1),AF134*(1+$D$130),'Assumptions - Freight'!AG130*$D$129)," ")</f>
        <v>4500</v>
      </c>
      <c r="AH134" s="12">
        <f>IF(OR(AH$16=1,AH$19=1),IF(AND($D$128=1,$D$131=1),AG134*(1+$D$130),'Assumptions - Freight'!AH130*$D$129)," ")</f>
        <v>4500</v>
      </c>
    </row>
    <row r="135" spans="2:34" x14ac:dyDescent="0.2">
      <c r="B135" s="8" t="str">
        <f>"Annual traffic volume of " &amp;'Assumptions - Freight'!E117</f>
        <v>Annual traffic volume of Commodity 2</v>
      </c>
      <c r="C135" s="8"/>
      <c r="D135" s="8" t="str">
        <f>D134</f>
        <v>Net ton-km (million)</v>
      </c>
      <c r="E135" s="463">
        <f>IF(OR(E$16=1,E$19=1),IF($D$128=1,$D$129*'Assumptions - Freight'!E131,'Assumptions - Freight'!E131)," ")</f>
        <v>4000</v>
      </c>
      <c r="F135" s="12">
        <f>IF(OR(F$16=1,F$19=1),IF(AND($D$128=1,$D$131=1),E135*(1+$D$130),'Assumptions - Freight'!F131*$D$129)," ")</f>
        <v>4000</v>
      </c>
      <c r="G135" s="12">
        <f>IF(OR(G$16=1,G$19=1),IF(AND($D$128=1,$D$131=1),F135*(1+$D$130),'Assumptions - Freight'!G131*$D$129)," ")</f>
        <v>4000</v>
      </c>
      <c r="H135" s="12">
        <f>IF(OR(H$16=1,H$19=1),IF(AND($D$128=1,$D$131=1),G135*(1+$D$130),'Assumptions - Freight'!H131*$D$129)," ")</f>
        <v>4000</v>
      </c>
      <c r="I135" s="12">
        <f>IF(OR(I$16=1,I$19=1),IF(AND($D$128=1,$D$131=1),H135*(1+$D$130),'Assumptions - Freight'!I131*$D$129)," ")</f>
        <v>4000</v>
      </c>
      <c r="J135" s="12">
        <f>IF(OR(J$16=1,J$19=1),IF(AND($D$128=1,$D$131=1),I135*(1+$D$130),'Assumptions - Freight'!J131*$D$129)," ")</f>
        <v>4000</v>
      </c>
      <c r="K135" s="12">
        <f>IF(OR(K$16=1,K$19=1),IF(AND($D$128=1,$D$131=1),J135*(1+$D$130),'Assumptions - Freight'!K131*$D$129)," ")</f>
        <v>4500</v>
      </c>
      <c r="L135" s="12">
        <f>IF(OR(L$16=1,L$19=1),IF(AND($D$128=1,$D$131=1),K135*(1+$D$130),'Assumptions - Freight'!L131*$D$129)," ")</f>
        <v>4500</v>
      </c>
      <c r="M135" s="12">
        <f>IF(OR(M$16=1,M$19=1),IF(AND($D$128=1,$D$131=1),L135*(1+$D$130),'Assumptions - Freight'!M131*$D$129)," ")</f>
        <v>4500</v>
      </c>
      <c r="N135" s="12">
        <f>IF(OR(N$16=1,N$19=1),IF(AND($D$128=1,$D$131=1),M135*(1+$D$130),'Assumptions - Freight'!N131*$D$129)," ")</f>
        <v>4500</v>
      </c>
      <c r="O135" s="12">
        <f>IF(OR(O$16=1,O$19=1),IF(AND($D$128=1,$D$131=1),N135*(1+$D$130),'Assumptions - Freight'!O131*$D$129)," ")</f>
        <v>4500</v>
      </c>
      <c r="P135" s="12">
        <f>IF(OR(P$16=1,P$19=1),IF(AND($D$128=1,$D$131=1),O135*(1+$D$130),'Assumptions - Freight'!P131*$D$129)," ")</f>
        <v>4500</v>
      </c>
      <c r="Q135" s="12">
        <f>IF(OR(Q$16=1,Q$19=1),IF(AND($D$128=1,$D$131=1),P135*(1+$D$130),'Assumptions - Freight'!Q131*$D$129)," ")</f>
        <v>4500</v>
      </c>
      <c r="R135" s="12">
        <f>IF(OR(R$16=1,R$19=1),IF(AND($D$128=1,$D$131=1),Q135*(1+$D$130),'Assumptions - Freight'!R131*$D$129)," ")</f>
        <v>4500</v>
      </c>
      <c r="S135" s="12">
        <f>IF(OR(S$16=1,S$19=1),IF(AND($D$128=1,$D$131=1),R135*(1+$D$130),'Assumptions - Freight'!S131*$D$129)," ")</f>
        <v>4500</v>
      </c>
      <c r="T135" s="12">
        <f>IF(OR(T$16=1,T$19=1),IF(AND($D$128=1,$D$131=1),S135*(1+$D$130),'Assumptions - Freight'!T131*$D$129)," ")</f>
        <v>4500</v>
      </c>
      <c r="U135" s="12">
        <f>IF(OR(U$16=1,U$19=1),IF(AND($D$128=1,$D$131=1),T135*(1+$D$130),'Assumptions - Freight'!U131*$D$129)," ")</f>
        <v>4500</v>
      </c>
      <c r="V135" s="12">
        <f>IF(OR(V$16=1,V$19=1),IF(AND($D$128=1,$D$131=1),U135*(1+$D$130),'Assumptions - Freight'!V131*$D$129)," ")</f>
        <v>4500</v>
      </c>
      <c r="W135" s="12">
        <f>IF(OR(W$16=1,W$19=1),IF(AND($D$128=1,$D$131=1),V135*(1+$D$130),'Assumptions - Freight'!W131*$D$129)," ")</f>
        <v>4500</v>
      </c>
      <c r="X135" s="12">
        <f>IF(OR(X$16=1,X$19=1),IF(AND($D$128=1,$D$131=1),W135*(1+$D$130),'Assumptions - Freight'!X131*$D$129)," ")</f>
        <v>4500</v>
      </c>
      <c r="Y135" s="12">
        <f>IF(OR(Y$16=1,Y$19=1),IF(AND($D$128=1,$D$131=1),X135*(1+$D$130),'Assumptions - Freight'!Y131*$D$129)," ")</f>
        <v>4500</v>
      </c>
      <c r="Z135" s="12">
        <f>IF(OR(Z$16=1,Z$19=1),IF(AND($D$128=1,$D$131=1),Y135*(1+$D$130),'Assumptions - Freight'!Z131*$D$129)," ")</f>
        <v>4500</v>
      </c>
      <c r="AA135" s="12">
        <f>IF(OR(AA$16=1,AA$19=1),IF(AND($D$128=1,$D$131=1),Z135*(1+$D$130),'Assumptions - Freight'!AA131*$D$129)," ")</f>
        <v>4500</v>
      </c>
      <c r="AB135" s="12">
        <f>IF(OR(AB$16=1,AB$19=1),IF(AND($D$128=1,$D$131=1),AA135*(1+$D$130),'Assumptions - Freight'!AB131*$D$129)," ")</f>
        <v>4500</v>
      </c>
      <c r="AC135" s="12">
        <f>IF(OR(AC$16=1,AC$19=1),IF(AND($D$128=1,$D$131=1),AB135*(1+$D$130),'Assumptions - Freight'!AC131*$D$129)," ")</f>
        <v>4500</v>
      </c>
      <c r="AD135" s="12">
        <f>IF(OR(AD$16=1,AD$19=1),IF(AND($D$128=1,$D$131=1),AC135*(1+$D$130),'Assumptions - Freight'!AD131*$D$129)," ")</f>
        <v>4500</v>
      </c>
      <c r="AE135" s="12">
        <f>IF(OR(AE$16=1,AE$19=1),IF(AND($D$128=1,$D$131=1),AD135*(1+$D$130),'Assumptions - Freight'!AE131*$D$129)," ")</f>
        <v>4500</v>
      </c>
      <c r="AF135" s="12">
        <f>IF(OR(AF$16=1,AF$19=1),IF(AND($D$128=1,$D$131=1),AE135*(1+$D$130),'Assumptions - Freight'!AF131*$D$129)," ")</f>
        <v>4500</v>
      </c>
      <c r="AG135" s="12">
        <f>IF(OR(AG$16=1,AG$19=1),IF(AND($D$128=1,$D$131=1),AF135*(1+$D$130),'Assumptions - Freight'!AG131*$D$129)," ")</f>
        <v>4500</v>
      </c>
      <c r="AH135" s="12">
        <f>IF(OR(AH$16=1,AH$19=1),IF(AND($D$128=1,$D$131=1),AG135*(1+$D$130),'Assumptions - Freight'!AH131*$D$129)," ")</f>
        <v>4500</v>
      </c>
    </row>
    <row r="136" spans="2:34" x14ac:dyDescent="0.2">
      <c r="B136" s="8" t="str">
        <f>"Annual traffic volume of " &amp;'Assumptions - Freight'!E118</f>
        <v>Annual traffic volume of Commodity 3</v>
      </c>
      <c r="C136" s="8"/>
      <c r="D136" s="8" t="str">
        <f t="shared" ref="D136:D143" si="37">D135</f>
        <v>Net ton-km (million)</v>
      </c>
      <c r="E136" s="463">
        <f>IF(OR(E$16=1,E$19=1),IF($D$128=1,$D$129*'Assumptions - Freight'!E132,'Assumptions - Freight'!E132)," ")</f>
        <v>5000</v>
      </c>
      <c r="F136" s="12">
        <f>IF(OR(F$16=1,F$19=1),IF(AND($D$128=1,$D$131=1),E136*(1+$D$130),'Assumptions - Freight'!F132*$D$129)," ")</f>
        <v>4000</v>
      </c>
      <c r="G136" s="12">
        <f>IF(OR(G$16=1,G$19=1),IF(AND($D$128=1,$D$131=1),F136*(1+$D$130),'Assumptions - Freight'!G132*$D$129)," ")</f>
        <v>4000</v>
      </c>
      <c r="H136" s="12">
        <f>IF(OR(H$16=1,H$19=1),IF(AND($D$128=1,$D$131=1),G136*(1+$D$130),'Assumptions - Freight'!H132*$D$129)," ")</f>
        <v>4000</v>
      </c>
      <c r="I136" s="12">
        <f>IF(OR(I$16=1,I$19=1),IF(AND($D$128=1,$D$131=1),H136*(1+$D$130),'Assumptions - Freight'!I132*$D$129)," ")</f>
        <v>4000</v>
      </c>
      <c r="J136" s="12">
        <f>IF(OR(J$16=1,J$19=1),IF(AND($D$128=1,$D$131=1),I136*(1+$D$130),'Assumptions - Freight'!J132*$D$129)," ")</f>
        <v>4000</v>
      </c>
      <c r="K136" s="12">
        <f>IF(OR(K$16=1,K$19=1),IF(AND($D$128=1,$D$131=1),J136*(1+$D$130),'Assumptions - Freight'!K132*$D$129)," ")</f>
        <v>4500</v>
      </c>
      <c r="L136" s="12">
        <f>IF(OR(L$16=1,L$19=1),IF(AND($D$128=1,$D$131=1),K136*(1+$D$130),'Assumptions - Freight'!L132*$D$129)," ")</f>
        <v>4500</v>
      </c>
      <c r="M136" s="12">
        <f>IF(OR(M$16=1,M$19=1),IF(AND($D$128=1,$D$131=1),L136*(1+$D$130),'Assumptions - Freight'!M132*$D$129)," ")</f>
        <v>4500</v>
      </c>
      <c r="N136" s="12">
        <f>IF(OR(N$16=1,N$19=1),IF(AND($D$128=1,$D$131=1),M136*(1+$D$130),'Assumptions - Freight'!N132*$D$129)," ")</f>
        <v>4500</v>
      </c>
      <c r="O136" s="12">
        <f>IF(OR(O$16=1,O$19=1),IF(AND($D$128=1,$D$131=1),N136*(1+$D$130),'Assumptions - Freight'!O132*$D$129)," ")</f>
        <v>4500</v>
      </c>
      <c r="P136" s="12">
        <f>IF(OR(P$16=1,P$19=1),IF(AND($D$128=1,$D$131=1),O136*(1+$D$130),'Assumptions - Freight'!P132*$D$129)," ")</f>
        <v>4500</v>
      </c>
      <c r="Q136" s="12">
        <f>IF(OR(Q$16=1,Q$19=1),IF(AND($D$128=1,$D$131=1),P136*(1+$D$130),'Assumptions - Freight'!Q132*$D$129)," ")</f>
        <v>4500</v>
      </c>
      <c r="R136" s="12">
        <f>IF(OR(R$16=1,R$19=1),IF(AND($D$128=1,$D$131=1),Q136*(1+$D$130),'Assumptions - Freight'!R132*$D$129)," ")</f>
        <v>4500</v>
      </c>
      <c r="S136" s="12">
        <f>IF(OR(S$16=1,S$19=1),IF(AND($D$128=1,$D$131=1),R136*(1+$D$130),'Assumptions - Freight'!S132*$D$129)," ")</f>
        <v>4500</v>
      </c>
      <c r="T136" s="12">
        <f>IF(OR(T$16=1,T$19=1),IF(AND($D$128=1,$D$131=1),S136*(1+$D$130),'Assumptions - Freight'!T132*$D$129)," ")</f>
        <v>4500</v>
      </c>
      <c r="U136" s="12">
        <f>IF(OR(U$16=1,U$19=1),IF(AND($D$128=1,$D$131=1),T136*(1+$D$130),'Assumptions - Freight'!U132*$D$129)," ")</f>
        <v>4500</v>
      </c>
      <c r="V136" s="12">
        <f>IF(OR(V$16=1,V$19=1),IF(AND($D$128=1,$D$131=1),U136*(1+$D$130),'Assumptions - Freight'!V132*$D$129)," ")</f>
        <v>4500</v>
      </c>
      <c r="W136" s="12">
        <f>IF(OR(W$16=1,W$19=1),IF(AND($D$128=1,$D$131=1),V136*(1+$D$130),'Assumptions - Freight'!W132*$D$129)," ")</f>
        <v>4500</v>
      </c>
      <c r="X136" s="12">
        <f>IF(OR(X$16=1,X$19=1),IF(AND($D$128=1,$D$131=1),W136*(1+$D$130),'Assumptions - Freight'!X132*$D$129)," ")</f>
        <v>4500</v>
      </c>
      <c r="Y136" s="12">
        <f>IF(OR(Y$16=1,Y$19=1),IF(AND($D$128=1,$D$131=1),X136*(1+$D$130),'Assumptions - Freight'!Y132*$D$129)," ")</f>
        <v>4500</v>
      </c>
      <c r="Z136" s="12">
        <f>IF(OR(Z$16=1,Z$19=1),IF(AND($D$128=1,$D$131=1),Y136*(1+$D$130),'Assumptions - Freight'!Z132*$D$129)," ")</f>
        <v>4500</v>
      </c>
      <c r="AA136" s="12">
        <f>IF(OR(AA$16=1,AA$19=1),IF(AND($D$128=1,$D$131=1),Z136*(1+$D$130),'Assumptions - Freight'!AA132*$D$129)," ")</f>
        <v>4500</v>
      </c>
      <c r="AB136" s="12">
        <f>IF(OR(AB$16=1,AB$19=1),IF(AND($D$128=1,$D$131=1),AA136*(1+$D$130),'Assumptions - Freight'!AB132*$D$129)," ")</f>
        <v>4500</v>
      </c>
      <c r="AC136" s="12">
        <f>IF(OR(AC$16=1,AC$19=1),IF(AND($D$128=1,$D$131=1),AB136*(1+$D$130),'Assumptions - Freight'!AC132*$D$129)," ")</f>
        <v>4500</v>
      </c>
      <c r="AD136" s="12">
        <f>IF(OR(AD$16=1,AD$19=1),IF(AND($D$128=1,$D$131=1),AC136*(1+$D$130),'Assumptions - Freight'!AD132*$D$129)," ")</f>
        <v>4500</v>
      </c>
      <c r="AE136" s="12">
        <f>IF(OR(AE$16=1,AE$19=1),IF(AND($D$128=1,$D$131=1),AD136*(1+$D$130),'Assumptions - Freight'!AE132*$D$129)," ")</f>
        <v>4500</v>
      </c>
      <c r="AF136" s="12">
        <f>IF(OR(AF$16=1,AF$19=1),IF(AND($D$128=1,$D$131=1),AE136*(1+$D$130),'Assumptions - Freight'!AF132*$D$129)," ")</f>
        <v>4500</v>
      </c>
      <c r="AG136" s="12">
        <f>IF(OR(AG$16=1,AG$19=1),IF(AND($D$128=1,$D$131=1),AF136*(1+$D$130),'Assumptions - Freight'!AG132*$D$129)," ")</f>
        <v>4500</v>
      </c>
      <c r="AH136" s="12">
        <f>IF(OR(AH$16=1,AH$19=1),IF(AND($D$128=1,$D$131=1),AG136*(1+$D$130),'Assumptions - Freight'!AH132*$D$129)," ")</f>
        <v>4500</v>
      </c>
    </row>
    <row r="137" spans="2:34" x14ac:dyDescent="0.2">
      <c r="B137" s="8" t="str">
        <f>"Annual traffic volume of " &amp;'Assumptions - Freight'!E119</f>
        <v>Annual traffic volume of Commodity 4</v>
      </c>
      <c r="C137" s="8"/>
      <c r="D137" s="8" t="str">
        <f t="shared" si="37"/>
        <v>Net ton-km (million)</v>
      </c>
      <c r="E137" s="463">
        <f>IF(OR(E$16=1,E$19=1),IF($D$128=1,$D$129*'Assumptions - Freight'!E133,'Assumptions - Freight'!E133)," ")</f>
        <v>4000</v>
      </c>
      <c r="F137" s="12">
        <f>IF(OR(F$16=1,F$19=1),IF(AND($D$128=1,$D$131=1),E137*(1+$D$130),'Assumptions - Freight'!F133*$D$129)," ")</f>
        <v>4000</v>
      </c>
      <c r="G137" s="12">
        <f>IF(OR(G$16=1,G$19=1),IF(AND($D$128=1,$D$131=1),F137*(1+$D$130),'Assumptions - Freight'!G133*$D$129)," ")</f>
        <v>4000</v>
      </c>
      <c r="H137" s="12">
        <f>IF(OR(H$16=1,H$19=1),IF(AND($D$128=1,$D$131=1),G137*(1+$D$130),'Assumptions - Freight'!H133*$D$129)," ")</f>
        <v>4000</v>
      </c>
      <c r="I137" s="12">
        <f>IF(OR(I$16=1,I$19=1),IF(AND($D$128=1,$D$131=1),H137*(1+$D$130),'Assumptions - Freight'!I133*$D$129)," ")</f>
        <v>4000</v>
      </c>
      <c r="J137" s="12">
        <f>IF(OR(J$16=1,J$19=1),IF(AND($D$128=1,$D$131=1),I137*(1+$D$130),'Assumptions - Freight'!J133*$D$129)," ")</f>
        <v>4000</v>
      </c>
      <c r="K137" s="12">
        <f>IF(OR(K$16=1,K$19=1),IF(AND($D$128=1,$D$131=1),J137*(1+$D$130),'Assumptions - Freight'!K133*$D$129)," ")</f>
        <v>4500</v>
      </c>
      <c r="L137" s="12">
        <f>IF(OR(L$16=1,L$19=1),IF(AND($D$128=1,$D$131=1),K137*(1+$D$130),'Assumptions - Freight'!L133*$D$129)," ")</f>
        <v>4500</v>
      </c>
      <c r="M137" s="12">
        <f>IF(OR(M$16=1,M$19=1),IF(AND($D$128=1,$D$131=1),L137*(1+$D$130),'Assumptions - Freight'!M133*$D$129)," ")</f>
        <v>4500</v>
      </c>
      <c r="N137" s="12">
        <f>IF(OR(N$16=1,N$19=1),IF(AND($D$128=1,$D$131=1),M137*(1+$D$130),'Assumptions - Freight'!N133*$D$129)," ")</f>
        <v>4500</v>
      </c>
      <c r="O137" s="12">
        <f>IF(OR(O$16=1,O$19=1),IF(AND($D$128=1,$D$131=1),N137*(1+$D$130),'Assumptions - Freight'!O133*$D$129)," ")</f>
        <v>4500</v>
      </c>
      <c r="P137" s="12">
        <f>IF(OR(P$16=1,P$19=1),IF(AND($D$128=1,$D$131=1),O137*(1+$D$130),'Assumptions - Freight'!P133*$D$129)," ")</f>
        <v>4500</v>
      </c>
      <c r="Q137" s="12">
        <f>IF(OR(Q$16=1,Q$19=1),IF(AND($D$128=1,$D$131=1),P137*(1+$D$130),'Assumptions - Freight'!Q133*$D$129)," ")</f>
        <v>4500</v>
      </c>
      <c r="R137" s="12">
        <f>IF(OR(R$16=1,R$19=1),IF(AND($D$128=1,$D$131=1),Q137*(1+$D$130),'Assumptions - Freight'!R133*$D$129)," ")</f>
        <v>4500</v>
      </c>
      <c r="S137" s="12">
        <f>IF(OR(S$16=1,S$19=1),IF(AND($D$128=1,$D$131=1),R137*(1+$D$130),'Assumptions - Freight'!S133*$D$129)," ")</f>
        <v>4500</v>
      </c>
      <c r="T137" s="12">
        <f>IF(OR(T$16=1,T$19=1),IF(AND($D$128=1,$D$131=1),S137*(1+$D$130),'Assumptions - Freight'!T133*$D$129)," ")</f>
        <v>4500</v>
      </c>
      <c r="U137" s="12">
        <f>IF(OR(U$16=1,U$19=1),IF(AND($D$128=1,$D$131=1),T137*(1+$D$130),'Assumptions - Freight'!U133*$D$129)," ")</f>
        <v>4500</v>
      </c>
      <c r="V137" s="12">
        <f>IF(OR(V$16=1,V$19=1),IF(AND($D$128=1,$D$131=1),U137*(1+$D$130),'Assumptions - Freight'!V133*$D$129)," ")</f>
        <v>4500</v>
      </c>
      <c r="W137" s="12">
        <f>IF(OR(W$16=1,W$19=1),IF(AND($D$128=1,$D$131=1),V137*(1+$D$130),'Assumptions - Freight'!W133*$D$129)," ")</f>
        <v>4500</v>
      </c>
      <c r="X137" s="12">
        <f>IF(OR(X$16=1,X$19=1),IF(AND($D$128=1,$D$131=1),W137*(1+$D$130),'Assumptions - Freight'!X133*$D$129)," ")</f>
        <v>4500</v>
      </c>
      <c r="Y137" s="12">
        <f>IF(OR(Y$16=1,Y$19=1),IF(AND($D$128=1,$D$131=1),X137*(1+$D$130),'Assumptions - Freight'!Y133*$D$129)," ")</f>
        <v>4500</v>
      </c>
      <c r="Z137" s="12">
        <f>IF(OR(Z$16=1,Z$19=1),IF(AND($D$128=1,$D$131=1),Y137*(1+$D$130),'Assumptions - Freight'!Z133*$D$129)," ")</f>
        <v>4500</v>
      </c>
      <c r="AA137" s="12">
        <f>IF(OR(AA$16=1,AA$19=1),IF(AND($D$128=1,$D$131=1),Z137*(1+$D$130),'Assumptions - Freight'!AA133*$D$129)," ")</f>
        <v>4500</v>
      </c>
      <c r="AB137" s="12">
        <f>IF(OR(AB$16=1,AB$19=1),IF(AND($D$128=1,$D$131=1),AA137*(1+$D$130),'Assumptions - Freight'!AB133*$D$129)," ")</f>
        <v>4500</v>
      </c>
      <c r="AC137" s="12">
        <f>IF(OR(AC$16=1,AC$19=1),IF(AND($D$128=1,$D$131=1),AB137*(1+$D$130),'Assumptions - Freight'!AC133*$D$129)," ")</f>
        <v>4500</v>
      </c>
      <c r="AD137" s="12">
        <f>IF(OR(AD$16=1,AD$19=1),IF(AND($D$128=1,$D$131=1),AC137*(1+$D$130),'Assumptions - Freight'!AD133*$D$129)," ")</f>
        <v>4500</v>
      </c>
      <c r="AE137" s="12">
        <f>IF(OR(AE$16=1,AE$19=1),IF(AND($D$128=1,$D$131=1),AD137*(1+$D$130),'Assumptions - Freight'!AE133*$D$129)," ")</f>
        <v>4500</v>
      </c>
      <c r="AF137" s="12">
        <f>IF(OR(AF$16=1,AF$19=1),IF(AND($D$128=1,$D$131=1),AE137*(1+$D$130),'Assumptions - Freight'!AF133*$D$129)," ")</f>
        <v>4500</v>
      </c>
      <c r="AG137" s="12">
        <f>IF(OR(AG$16=1,AG$19=1),IF(AND($D$128=1,$D$131=1),AF137*(1+$D$130),'Assumptions - Freight'!AG133*$D$129)," ")</f>
        <v>4500</v>
      </c>
      <c r="AH137" s="12">
        <f>IF(OR(AH$16=1,AH$19=1),IF(AND($D$128=1,$D$131=1),AG137*(1+$D$130),'Assumptions - Freight'!AH133*$D$129)," ")</f>
        <v>4500</v>
      </c>
    </row>
    <row r="138" spans="2:34" x14ac:dyDescent="0.2">
      <c r="B138" s="8" t="str">
        <f>"Annual traffic volume of " &amp;'Assumptions - Freight'!E120</f>
        <v>Annual traffic volume of Commodity 5</v>
      </c>
      <c r="C138" s="8"/>
      <c r="D138" s="8" t="str">
        <f t="shared" si="37"/>
        <v>Net ton-km (million)</v>
      </c>
      <c r="E138" s="463">
        <f>IF(OR(E$16=1,E$19=1),IF($D$128=1,$D$129*'Assumptions - Freight'!E134,'Assumptions - Freight'!E134)," ")</f>
        <v>4000</v>
      </c>
      <c r="F138" s="12">
        <f>IF(OR(F$16=1,F$19=1),IF(AND($D$128=1,$D$131=1),E138*(1+$D$130),'Assumptions - Freight'!F134*$D$129)," ")</f>
        <v>4000</v>
      </c>
      <c r="G138" s="12">
        <f>IF(OR(G$16=1,G$19=1),IF(AND($D$128=1,$D$131=1),F138*(1+$D$130),'Assumptions - Freight'!G134*$D$129)," ")</f>
        <v>4000</v>
      </c>
      <c r="H138" s="12">
        <f>IF(OR(H$16=1,H$19=1),IF(AND($D$128=1,$D$131=1),G138*(1+$D$130),'Assumptions - Freight'!H134*$D$129)," ")</f>
        <v>4000</v>
      </c>
      <c r="I138" s="12">
        <f>IF(OR(I$16=1,I$19=1),IF(AND($D$128=1,$D$131=1),H138*(1+$D$130),'Assumptions - Freight'!I134*$D$129)," ")</f>
        <v>4000</v>
      </c>
      <c r="J138" s="12">
        <f>IF(OR(J$16=1,J$19=1),IF(AND($D$128=1,$D$131=1),I138*(1+$D$130),'Assumptions - Freight'!J134*$D$129)," ")</f>
        <v>4000</v>
      </c>
      <c r="K138" s="12">
        <f>IF(OR(K$16=1,K$19=1),IF(AND($D$128=1,$D$131=1),J138*(1+$D$130),'Assumptions - Freight'!K134*$D$129)," ")</f>
        <v>4500</v>
      </c>
      <c r="L138" s="12">
        <f>IF(OR(L$16=1,L$19=1),IF(AND($D$128=1,$D$131=1),K138*(1+$D$130),'Assumptions - Freight'!L134*$D$129)," ")</f>
        <v>4500</v>
      </c>
      <c r="M138" s="12">
        <f>IF(OR(M$16=1,M$19=1),IF(AND($D$128=1,$D$131=1),L138*(1+$D$130),'Assumptions - Freight'!M134*$D$129)," ")</f>
        <v>4500</v>
      </c>
      <c r="N138" s="12">
        <f>IF(OR(N$16=1,N$19=1),IF(AND($D$128=1,$D$131=1),M138*(1+$D$130),'Assumptions - Freight'!N134*$D$129)," ")</f>
        <v>4500</v>
      </c>
      <c r="O138" s="12">
        <f>IF(OR(O$16=1,O$19=1),IF(AND($D$128=1,$D$131=1),N138*(1+$D$130),'Assumptions - Freight'!O134*$D$129)," ")</f>
        <v>4500</v>
      </c>
      <c r="P138" s="12">
        <f>IF(OR(P$16=1,P$19=1),IF(AND($D$128=1,$D$131=1),O138*(1+$D$130),'Assumptions - Freight'!P134*$D$129)," ")</f>
        <v>4500</v>
      </c>
      <c r="Q138" s="12">
        <f>IF(OR(Q$16=1,Q$19=1),IF(AND($D$128=1,$D$131=1),P138*(1+$D$130),'Assumptions - Freight'!Q134*$D$129)," ")</f>
        <v>4500</v>
      </c>
      <c r="R138" s="12">
        <f>IF(OR(R$16=1,R$19=1),IF(AND($D$128=1,$D$131=1),Q138*(1+$D$130),'Assumptions - Freight'!R134*$D$129)," ")</f>
        <v>4500</v>
      </c>
      <c r="S138" s="12">
        <f>IF(OR(S$16=1,S$19=1),IF(AND($D$128=1,$D$131=1),R138*(1+$D$130),'Assumptions - Freight'!S134*$D$129)," ")</f>
        <v>4500</v>
      </c>
      <c r="T138" s="12">
        <f>IF(OR(T$16=1,T$19=1),IF(AND($D$128=1,$D$131=1),S138*(1+$D$130),'Assumptions - Freight'!T134*$D$129)," ")</f>
        <v>4500</v>
      </c>
      <c r="U138" s="12">
        <f>IF(OR(U$16=1,U$19=1),IF(AND($D$128=1,$D$131=1),T138*(1+$D$130),'Assumptions - Freight'!U134*$D$129)," ")</f>
        <v>4500</v>
      </c>
      <c r="V138" s="12">
        <f>IF(OR(V$16=1,V$19=1),IF(AND($D$128=1,$D$131=1),U138*(1+$D$130),'Assumptions - Freight'!V134*$D$129)," ")</f>
        <v>4500</v>
      </c>
      <c r="W138" s="12">
        <f>IF(OR(W$16=1,W$19=1),IF(AND($D$128=1,$D$131=1),V138*(1+$D$130),'Assumptions - Freight'!W134*$D$129)," ")</f>
        <v>4500</v>
      </c>
      <c r="X138" s="12">
        <f>IF(OR(X$16=1,X$19=1),IF(AND($D$128=1,$D$131=1),W138*(1+$D$130),'Assumptions - Freight'!X134*$D$129)," ")</f>
        <v>4500</v>
      </c>
      <c r="Y138" s="12">
        <f>IF(OR(Y$16=1,Y$19=1),IF(AND($D$128=1,$D$131=1),X138*(1+$D$130),'Assumptions - Freight'!Y134*$D$129)," ")</f>
        <v>4500</v>
      </c>
      <c r="Z138" s="12">
        <f>IF(OR(Z$16=1,Z$19=1),IF(AND($D$128=1,$D$131=1),Y138*(1+$D$130),'Assumptions - Freight'!Z134*$D$129)," ")</f>
        <v>4500</v>
      </c>
      <c r="AA138" s="12">
        <f>IF(OR(AA$16=1,AA$19=1),IF(AND($D$128=1,$D$131=1),Z138*(1+$D$130),'Assumptions - Freight'!AA134*$D$129)," ")</f>
        <v>4500</v>
      </c>
      <c r="AB138" s="12">
        <f>IF(OR(AB$16=1,AB$19=1),IF(AND($D$128=1,$D$131=1),AA138*(1+$D$130),'Assumptions - Freight'!AB134*$D$129)," ")</f>
        <v>4500</v>
      </c>
      <c r="AC138" s="12">
        <f>IF(OR(AC$16=1,AC$19=1),IF(AND($D$128=1,$D$131=1),AB138*(1+$D$130),'Assumptions - Freight'!AC134*$D$129)," ")</f>
        <v>4500</v>
      </c>
      <c r="AD138" s="12">
        <f>IF(OR(AD$16=1,AD$19=1),IF(AND($D$128=1,$D$131=1),AC138*(1+$D$130),'Assumptions - Freight'!AD134*$D$129)," ")</f>
        <v>4500</v>
      </c>
      <c r="AE138" s="12">
        <f>IF(OR(AE$16=1,AE$19=1),IF(AND($D$128=1,$D$131=1),AD138*(1+$D$130),'Assumptions - Freight'!AE134*$D$129)," ")</f>
        <v>4500</v>
      </c>
      <c r="AF138" s="12">
        <f>IF(OR(AF$16=1,AF$19=1),IF(AND($D$128=1,$D$131=1),AE138*(1+$D$130),'Assumptions - Freight'!AF134*$D$129)," ")</f>
        <v>4500</v>
      </c>
      <c r="AG138" s="12">
        <f>IF(OR(AG$16=1,AG$19=1),IF(AND($D$128=1,$D$131=1),AF138*(1+$D$130),'Assumptions - Freight'!AG134*$D$129)," ")</f>
        <v>4500</v>
      </c>
      <c r="AH138" s="12">
        <f>IF(OR(AH$16=1,AH$19=1),IF(AND($D$128=1,$D$131=1),AG138*(1+$D$130),'Assumptions - Freight'!AH134*$D$129)," ")</f>
        <v>4500</v>
      </c>
    </row>
    <row r="139" spans="2:34" x14ac:dyDescent="0.2">
      <c r="B139" s="8" t="str">
        <f>"Annual traffic volume of " &amp;'Assumptions - Freight'!E121</f>
        <v>Annual traffic volume of Commodity 6</v>
      </c>
      <c r="C139" s="8"/>
      <c r="D139" s="8" t="str">
        <f t="shared" si="37"/>
        <v>Net ton-km (million)</v>
      </c>
      <c r="E139" s="463">
        <f>IF(OR(E$16=1,E$19=1),IF($D$128=1,$D$129*'Assumptions - Freight'!E135,'Assumptions - Freight'!E135)," ")</f>
        <v>4000</v>
      </c>
      <c r="F139" s="12">
        <f>IF(OR(F$16=1,F$19=1),IF(AND($D$128=1,$D$131=1),E139*(1+$D$130),'Assumptions - Freight'!F135*$D$129)," ")</f>
        <v>4000</v>
      </c>
      <c r="G139" s="12">
        <f>IF(OR(G$16=1,G$19=1),IF(AND($D$128=1,$D$131=1),F139*(1+$D$130),'Assumptions - Freight'!G135*$D$129)," ")</f>
        <v>4000</v>
      </c>
      <c r="H139" s="12">
        <f>IF(OR(H$16=1,H$19=1),IF(AND($D$128=1,$D$131=1),G139*(1+$D$130),'Assumptions - Freight'!H135*$D$129)," ")</f>
        <v>4000</v>
      </c>
      <c r="I139" s="12">
        <f>IF(OR(I$16=1,I$19=1),IF(AND($D$128=1,$D$131=1),H139*(1+$D$130),'Assumptions - Freight'!I135*$D$129)," ")</f>
        <v>4000</v>
      </c>
      <c r="J139" s="12">
        <f>IF(OR(J$16=1,J$19=1),IF(AND($D$128=1,$D$131=1),I139*(1+$D$130),'Assumptions - Freight'!J135*$D$129)," ")</f>
        <v>4000</v>
      </c>
      <c r="K139" s="12">
        <f>IF(OR(K$16=1,K$19=1),IF(AND($D$128=1,$D$131=1),J139*(1+$D$130),'Assumptions - Freight'!K135*$D$129)," ")</f>
        <v>4500</v>
      </c>
      <c r="L139" s="12">
        <f>IF(OR(L$16=1,L$19=1),IF(AND($D$128=1,$D$131=1),K139*(1+$D$130),'Assumptions - Freight'!L135*$D$129)," ")</f>
        <v>4500</v>
      </c>
      <c r="M139" s="12">
        <f>IF(OR(M$16=1,M$19=1),IF(AND($D$128=1,$D$131=1),L139*(1+$D$130),'Assumptions - Freight'!M135*$D$129)," ")</f>
        <v>4500</v>
      </c>
      <c r="N139" s="12">
        <f>IF(OR(N$16=1,N$19=1),IF(AND($D$128=1,$D$131=1),M139*(1+$D$130),'Assumptions - Freight'!N135*$D$129)," ")</f>
        <v>4500</v>
      </c>
      <c r="O139" s="12">
        <f>IF(OR(O$16=1,O$19=1),IF(AND($D$128=1,$D$131=1),N139*(1+$D$130),'Assumptions - Freight'!O135*$D$129)," ")</f>
        <v>4500</v>
      </c>
      <c r="P139" s="12">
        <f>IF(OR(P$16=1,P$19=1),IF(AND($D$128=1,$D$131=1),O139*(1+$D$130),'Assumptions - Freight'!P135*$D$129)," ")</f>
        <v>4500</v>
      </c>
      <c r="Q139" s="12">
        <f>IF(OR(Q$16=1,Q$19=1),IF(AND($D$128=1,$D$131=1),P139*(1+$D$130),'Assumptions - Freight'!Q135*$D$129)," ")</f>
        <v>4500</v>
      </c>
      <c r="R139" s="12">
        <f>IF(OR(R$16=1,R$19=1),IF(AND($D$128=1,$D$131=1),Q139*(1+$D$130),'Assumptions - Freight'!R135*$D$129)," ")</f>
        <v>4500</v>
      </c>
      <c r="S139" s="12">
        <f>IF(OR(S$16=1,S$19=1),IF(AND($D$128=1,$D$131=1),R139*(1+$D$130),'Assumptions - Freight'!S135*$D$129)," ")</f>
        <v>4500</v>
      </c>
      <c r="T139" s="12">
        <f>IF(OR(T$16=1,T$19=1),IF(AND($D$128=1,$D$131=1),S139*(1+$D$130),'Assumptions - Freight'!T135*$D$129)," ")</f>
        <v>4500</v>
      </c>
      <c r="U139" s="12">
        <f>IF(OR(U$16=1,U$19=1),IF(AND($D$128=1,$D$131=1),T139*(1+$D$130),'Assumptions - Freight'!U135*$D$129)," ")</f>
        <v>4500</v>
      </c>
      <c r="V139" s="12">
        <f>IF(OR(V$16=1,V$19=1),IF(AND($D$128=1,$D$131=1),U139*(1+$D$130),'Assumptions - Freight'!V135*$D$129)," ")</f>
        <v>4500</v>
      </c>
      <c r="W139" s="12">
        <f>IF(OR(W$16=1,W$19=1),IF(AND($D$128=1,$D$131=1),V139*(1+$D$130),'Assumptions - Freight'!W135*$D$129)," ")</f>
        <v>4500</v>
      </c>
      <c r="X139" s="12">
        <f>IF(OR(X$16=1,X$19=1),IF(AND($D$128=1,$D$131=1),W139*(1+$D$130),'Assumptions - Freight'!X135*$D$129)," ")</f>
        <v>4500</v>
      </c>
      <c r="Y139" s="12">
        <f>IF(OR(Y$16=1,Y$19=1),IF(AND($D$128=1,$D$131=1),X139*(1+$D$130),'Assumptions - Freight'!Y135*$D$129)," ")</f>
        <v>4500</v>
      </c>
      <c r="Z139" s="12">
        <f>IF(OR(Z$16=1,Z$19=1),IF(AND($D$128=1,$D$131=1),Y139*(1+$D$130),'Assumptions - Freight'!Z135*$D$129)," ")</f>
        <v>4500</v>
      </c>
      <c r="AA139" s="12">
        <f>IF(OR(AA$16=1,AA$19=1),IF(AND($D$128=1,$D$131=1),Z139*(1+$D$130),'Assumptions - Freight'!AA135*$D$129)," ")</f>
        <v>4500</v>
      </c>
      <c r="AB139" s="12">
        <f>IF(OR(AB$16=1,AB$19=1),IF(AND($D$128=1,$D$131=1),AA139*(1+$D$130),'Assumptions - Freight'!AB135*$D$129)," ")</f>
        <v>4500</v>
      </c>
      <c r="AC139" s="12">
        <f>IF(OR(AC$16=1,AC$19=1),IF(AND($D$128=1,$D$131=1),AB139*(1+$D$130),'Assumptions - Freight'!AC135*$D$129)," ")</f>
        <v>4500</v>
      </c>
      <c r="AD139" s="12">
        <f>IF(OR(AD$16=1,AD$19=1),IF(AND($D$128=1,$D$131=1),AC139*(1+$D$130),'Assumptions - Freight'!AD135*$D$129)," ")</f>
        <v>4500</v>
      </c>
      <c r="AE139" s="12">
        <f>IF(OR(AE$16=1,AE$19=1),IF(AND($D$128=1,$D$131=1),AD139*(1+$D$130),'Assumptions - Freight'!AE135*$D$129)," ")</f>
        <v>4500</v>
      </c>
      <c r="AF139" s="12">
        <f>IF(OR(AF$16=1,AF$19=1),IF(AND($D$128=1,$D$131=1),AE139*(1+$D$130),'Assumptions - Freight'!AF135*$D$129)," ")</f>
        <v>4500</v>
      </c>
      <c r="AG139" s="12">
        <f>IF(OR(AG$16=1,AG$19=1),IF(AND($D$128=1,$D$131=1),AF139*(1+$D$130),'Assumptions - Freight'!AG135*$D$129)," ")</f>
        <v>4500</v>
      </c>
      <c r="AH139" s="12">
        <f>IF(OR(AH$16=1,AH$19=1),IF(AND($D$128=1,$D$131=1),AG139*(1+$D$130),'Assumptions - Freight'!AH135*$D$129)," ")</f>
        <v>4500</v>
      </c>
    </row>
    <row r="140" spans="2:34" x14ac:dyDescent="0.2">
      <c r="B140" s="8" t="str">
        <f>"Annual traffic volume of " &amp;'Assumptions - Freight'!E122</f>
        <v>Annual traffic volume of Commodity 7</v>
      </c>
      <c r="C140" s="8"/>
      <c r="D140" s="8" t="str">
        <f t="shared" si="37"/>
        <v>Net ton-km (million)</v>
      </c>
      <c r="E140" s="463">
        <f>IF(OR(E$16=1,E$19=1),IF($D$128=1,$D$129*'Assumptions - Freight'!E136,'Assumptions - Freight'!E136)," ")</f>
        <v>4000</v>
      </c>
      <c r="F140" s="12">
        <f>IF(OR(F$16=1,F$19=1),IF(AND($D$128=1,$D$131=1),E140*(1+$D$130),'Assumptions - Freight'!F136*$D$129)," ")</f>
        <v>4000</v>
      </c>
      <c r="G140" s="12">
        <f>IF(OR(G$16=1,G$19=1),IF(AND($D$128=1,$D$131=1),F140*(1+$D$130),'Assumptions - Freight'!G136*$D$129)," ")</f>
        <v>4000</v>
      </c>
      <c r="H140" s="12">
        <f>IF(OR(H$16=1,H$19=1),IF(AND($D$128=1,$D$131=1),G140*(1+$D$130),'Assumptions - Freight'!H136*$D$129)," ")</f>
        <v>4000</v>
      </c>
      <c r="I140" s="12">
        <f>IF(OR(I$16=1,I$19=1),IF(AND($D$128=1,$D$131=1),H140*(1+$D$130),'Assumptions - Freight'!I136*$D$129)," ")</f>
        <v>4000</v>
      </c>
      <c r="J140" s="12">
        <f>IF(OR(J$16=1,J$19=1),IF(AND($D$128=1,$D$131=1),I140*(1+$D$130),'Assumptions - Freight'!J136*$D$129)," ")</f>
        <v>4000</v>
      </c>
      <c r="K140" s="12">
        <f>IF(OR(K$16=1,K$19=1),IF(AND($D$128=1,$D$131=1),J140*(1+$D$130),'Assumptions - Freight'!K136*$D$129)," ")</f>
        <v>4500</v>
      </c>
      <c r="L140" s="12">
        <f>IF(OR(L$16=1,L$19=1),IF(AND($D$128=1,$D$131=1),K140*(1+$D$130),'Assumptions - Freight'!L136*$D$129)," ")</f>
        <v>4500</v>
      </c>
      <c r="M140" s="12">
        <f>IF(OR(M$16=1,M$19=1),IF(AND($D$128=1,$D$131=1),L140*(1+$D$130),'Assumptions - Freight'!M136*$D$129)," ")</f>
        <v>4500</v>
      </c>
      <c r="N140" s="12">
        <f>IF(OR(N$16=1,N$19=1),IF(AND($D$128=1,$D$131=1),M140*(1+$D$130),'Assumptions - Freight'!N136*$D$129)," ")</f>
        <v>4500</v>
      </c>
      <c r="O140" s="12">
        <f>IF(OR(O$16=1,O$19=1),IF(AND($D$128=1,$D$131=1),N140*(1+$D$130),'Assumptions - Freight'!O136*$D$129)," ")</f>
        <v>4500</v>
      </c>
      <c r="P140" s="12">
        <f>IF(OR(P$16=1,P$19=1),IF(AND($D$128=1,$D$131=1),O140*(1+$D$130),'Assumptions - Freight'!P136*$D$129)," ")</f>
        <v>4500</v>
      </c>
      <c r="Q140" s="12">
        <f>IF(OR(Q$16=1,Q$19=1),IF(AND($D$128=1,$D$131=1),P140*(1+$D$130),'Assumptions - Freight'!Q136*$D$129)," ")</f>
        <v>4500</v>
      </c>
      <c r="R140" s="12">
        <f>IF(OR(R$16=1,R$19=1),IF(AND($D$128=1,$D$131=1),Q140*(1+$D$130),'Assumptions - Freight'!R136*$D$129)," ")</f>
        <v>4500</v>
      </c>
      <c r="S140" s="12">
        <f>IF(OR(S$16=1,S$19=1),IF(AND($D$128=1,$D$131=1),R140*(1+$D$130),'Assumptions - Freight'!S136*$D$129)," ")</f>
        <v>4500</v>
      </c>
      <c r="T140" s="12">
        <f>IF(OR(T$16=1,T$19=1),IF(AND($D$128=1,$D$131=1),S140*(1+$D$130),'Assumptions - Freight'!T136*$D$129)," ")</f>
        <v>4500</v>
      </c>
      <c r="U140" s="12">
        <f>IF(OR(U$16=1,U$19=1),IF(AND($D$128=1,$D$131=1),T140*(1+$D$130),'Assumptions - Freight'!U136*$D$129)," ")</f>
        <v>4500</v>
      </c>
      <c r="V140" s="12">
        <f>IF(OR(V$16=1,V$19=1),IF(AND($D$128=1,$D$131=1),U140*(1+$D$130),'Assumptions - Freight'!V136*$D$129)," ")</f>
        <v>4500</v>
      </c>
      <c r="W140" s="12">
        <f>IF(OR(W$16=1,W$19=1),IF(AND($D$128=1,$D$131=1),V140*(1+$D$130),'Assumptions - Freight'!W136*$D$129)," ")</f>
        <v>4500</v>
      </c>
      <c r="X140" s="12">
        <f>IF(OR(X$16=1,X$19=1),IF(AND($D$128=1,$D$131=1),W140*(1+$D$130),'Assumptions - Freight'!X136*$D$129)," ")</f>
        <v>4500</v>
      </c>
      <c r="Y140" s="12">
        <f>IF(OR(Y$16=1,Y$19=1),IF(AND($D$128=1,$D$131=1),X140*(1+$D$130),'Assumptions - Freight'!Y136*$D$129)," ")</f>
        <v>4500</v>
      </c>
      <c r="Z140" s="12">
        <f>IF(OR(Z$16=1,Z$19=1),IF(AND($D$128=1,$D$131=1),Y140*(1+$D$130),'Assumptions - Freight'!Z136*$D$129)," ")</f>
        <v>4500</v>
      </c>
      <c r="AA140" s="12">
        <f>IF(OR(AA$16=1,AA$19=1),IF(AND($D$128=1,$D$131=1),Z140*(1+$D$130),'Assumptions - Freight'!AA136*$D$129)," ")</f>
        <v>4500</v>
      </c>
      <c r="AB140" s="12">
        <f>IF(OR(AB$16=1,AB$19=1),IF(AND($D$128=1,$D$131=1),AA140*(1+$D$130),'Assumptions - Freight'!AB136*$D$129)," ")</f>
        <v>4500</v>
      </c>
      <c r="AC140" s="12">
        <f>IF(OR(AC$16=1,AC$19=1),IF(AND($D$128=1,$D$131=1),AB140*(1+$D$130),'Assumptions - Freight'!AC136*$D$129)," ")</f>
        <v>4500</v>
      </c>
      <c r="AD140" s="12">
        <f>IF(OR(AD$16=1,AD$19=1),IF(AND($D$128=1,$D$131=1),AC140*(1+$D$130),'Assumptions - Freight'!AD136*$D$129)," ")</f>
        <v>4500</v>
      </c>
      <c r="AE140" s="12">
        <f>IF(OR(AE$16=1,AE$19=1),IF(AND($D$128=1,$D$131=1),AD140*(1+$D$130),'Assumptions - Freight'!AE136*$D$129)," ")</f>
        <v>4500</v>
      </c>
      <c r="AF140" s="12">
        <f>IF(OR(AF$16=1,AF$19=1),IF(AND($D$128=1,$D$131=1),AE140*(1+$D$130),'Assumptions - Freight'!AF136*$D$129)," ")</f>
        <v>4500</v>
      </c>
      <c r="AG140" s="12">
        <f>IF(OR(AG$16=1,AG$19=1),IF(AND($D$128=1,$D$131=1),AF140*(1+$D$130),'Assumptions - Freight'!AG136*$D$129)," ")</f>
        <v>4500</v>
      </c>
      <c r="AH140" s="12">
        <f>IF(OR(AH$16=1,AH$19=1),IF(AND($D$128=1,$D$131=1),AG140*(1+$D$130),'Assumptions - Freight'!AH136*$D$129)," ")</f>
        <v>4500</v>
      </c>
    </row>
    <row r="141" spans="2:34" x14ac:dyDescent="0.2">
      <c r="B141" s="8" t="str">
        <f>"Annual traffic volume of " &amp;'Assumptions - Freight'!E123</f>
        <v>Annual traffic volume of Commodity 8</v>
      </c>
      <c r="C141" s="8"/>
      <c r="D141" s="8" t="str">
        <f t="shared" si="37"/>
        <v>Net ton-km (million)</v>
      </c>
      <c r="E141" s="463">
        <f>IF(OR(E$16=1,E$19=1),IF($D$128=1,$D$129*'Assumptions - Freight'!E137,'Assumptions - Freight'!E137)," ")</f>
        <v>4000</v>
      </c>
      <c r="F141" s="12">
        <f>IF(OR(F$16=1,F$19=1),IF(AND($D$128=1,$D$131=1),E141*(1+$D$130),'Assumptions - Freight'!F137*$D$129)," ")</f>
        <v>4000</v>
      </c>
      <c r="G141" s="12">
        <f>IF(OR(G$16=1,G$19=1),IF(AND($D$128=1,$D$131=1),F141*(1+$D$130),'Assumptions - Freight'!G137*$D$129)," ")</f>
        <v>4000</v>
      </c>
      <c r="H141" s="12">
        <f>IF(OR(H$16=1,H$19=1),IF(AND($D$128=1,$D$131=1),G141*(1+$D$130),'Assumptions - Freight'!H137*$D$129)," ")</f>
        <v>4000</v>
      </c>
      <c r="I141" s="12">
        <f>IF(OR(I$16=1,I$19=1),IF(AND($D$128=1,$D$131=1),H141*(1+$D$130),'Assumptions - Freight'!I137*$D$129)," ")</f>
        <v>4000</v>
      </c>
      <c r="J141" s="12">
        <f>IF(OR(J$16=1,J$19=1),IF(AND($D$128=1,$D$131=1),I141*(1+$D$130),'Assumptions - Freight'!J137*$D$129)," ")</f>
        <v>4000</v>
      </c>
      <c r="K141" s="12">
        <f>IF(OR(K$16=1,K$19=1),IF(AND($D$128=1,$D$131=1),J141*(1+$D$130),'Assumptions - Freight'!K137*$D$129)," ")</f>
        <v>4500</v>
      </c>
      <c r="L141" s="12">
        <f>IF(OR(L$16=1,L$19=1),IF(AND($D$128=1,$D$131=1),K141*(1+$D$130),'Assumptions - Freight'!L137*$D$129)," ")</f>
        <v>4500</v>
      </c>
      <c r="M141" s="12">
        <f>IF(OR(M$16=1,M$19=1),IF(AND($D$128=1,$D$131=1),L141*(1+$D$130),'Assumptions - Freight'!M137*$D$129)," ")</f>
        <v>4500</v>
      </c>
      <c r="N141" s="12">
        <f>IF(OR(N$16=1,N$19=1),IF(AND($D$128=1,$D$131=1),M141*(1+$D$130),'Assumptions - Freight'!N137*$D$129)," ")</f>
        <v>4500</v>
      </c>
      <c r="O141" s="12">
        <f>IF(OR(O$16=1,O$19=1),IF(AND($D$128=1,$D$131=1),N141*(1+$D$130),'Assumptions - Freight'!O137*$D$129)," ")</f>
        <v>4500</v>
      </c>
      <c r="P141" s="12">
        <f>IF(OR(P$16=1,P$19=1),IF(AND($D$128=1,$D$131=1),O141*(1+$D$130),'Assumptions - Freight'!P137*$D$129)," ")</f>
        <v>4500</v>
      </c>
      <c r="Q141" s="12">
        <f>IF(OR(Q$16=1,Q$19=1),IF(AND($D$128=1,$D$131=1),P141*(1+$D$130),'Assumptions - Freight'!Q137*$D$129)," ")</f>
        <v>4500</v>
      </c>
      <c r="R141" s="12">
        <f>IF(OR(R$16=1,R$19=1),IF(AND($D$128=1,$D$131=1),Q141*(1+$D$130),'Assumptions - Freight'!R137*$D$129)," ")</f>
        <v>4500</v>
      </c>
      <c r="S141" s="12">
        <f>IF(OR(S$16=1,S$19=1),IF(AND($D$128=1,$D$131=1),R141*(1+$D$130),'Assumptions - Freight'!S137*$D$129)," ")</f>
        <v>4500</v>
      </c>
      <c r="T141" s="12">
        <f>IF(OR(T$16=1,T$19=1),IF(AND($D$128=1,$D$131=1),S141*(1+$D$130),'Assumptions - Freight'!T137*$D$129)," ")</f>
        <v>4500</v>
      </c>
      <c r="U141" s="12">
        <f>IF(OR(U$16=1,U$19=1),IF(AND($D$128=1,$D$131=1),T141*(1+$D$130),'Assumptions - Freight'!U137*$D$129)," ")</f>
        <v>4500</v>
      </c>
      <c r="V141" s="12">
        <f>IF(OR(V$16=1,V$19=1),IF(AND($D$128=1,$D$131=1),U141*(1+$D$130),'Assumptions - Freight'!V137*$D$129)," ")</f>
        <v>4500</v>
      </c>
      <c r="W141" s="12">
        <f>IF(OR(W$16=1,W$19=1),IF(AND($D$128=1,$D$131=1),V141*(1+$D$130),'Assumptions - Freight'!W137*$D$129)," ")</f>
        <v>4500</v>
      </c>
      <c r="X141" s="12">
        <f>IF(OR(X$16=1,X$19=1),IF(AND($D$128=1,$D$131=1),W141*(1+$D$130),'Assumptions - Freight'!X137*$D$129)," ")</f>
        <v>4500</v>
      </c>
      <c r="Y141" s="12">
        <f>IF(OR(Y$16=1,Y$19=1),IF(AND($D$128=1,$D$131=1),X141*(1+$D$130),'Assumptions - Freight'!Y137*$D$129)," ")</f>
        <v>4500</v>
      </c>
      <c r="Z141" s="12">
        <f>IF(OR(Z$16=1,Z$19=1),IF(AND($D$128=1,$D$131=1),Y141*(1+$D$130),'Assumptions - Freight'!Z137*$D$129)," ")</f>
        <v>4500</v>
      </c>
      <c r="AA141" s="12">
        <f>IF(OR(AA$16=1,AA$19=1),IF(AND($D$128=1,$D$131=1),Z141*(1+$D$130),'Assumptions - Freight'!AA137*$D$129)," ")</f>
        <v>4500</v>
      </c>
      <c r="AB141" s="12">
        <f>IF(OR(AB$16=1,AB$19=1),IF(AND($D$128=1,$D$131=1),AA141*(1+$D$130),'Assumptions - Freight'!AB137*$D$129)," ")</f>
        <v>4500</v>
      </c>
      <c r="AC141" s="12">
        <f>IF(OR(AC$16=1,AC$19=1),IF(AND($D$128=1,$D$131=1),AB141*(1+$D$130),'Assumptions - Freight'!AC137*$D$129)," ")</f>
        <v>4500</v>
      </c>
      <c r="AD141" s="12">
        <f>IF(OR(AD$16=1,AD$19=1),IF(AND($D$128=1,$D$131=1),AC141*(1+$D$130),'Assumptions - Freight'!AD137*$D$129)," ")</f>
        <v>4500</v>
      </c>
      <c r="AE141" s="12">
        <f>IF(OR(AE$16=1,AE$19=1),IF(AND($D$128=1,$D$131=1),AD141*(1+$D$130),'Assumptions - Freight'!AE137*$D$129)," ")</f>
        <v>4500</v>
      </c>
      <c r="AF141" s="12">
        <f>IF(OR(AF$16=1,AF$19=1),IF(AND($D$128=1,$D$131=1),AE141*(1+$D$130),'Assumptions - Freight'!AF137*$D$129)," ")</f>
        <v>4500</v>
      </c>
      <c r="AG141" s="12">
        <f>IF(OR(AG$16=1,AG$19=1),IF(AND($D$128=1,$D$131=1),AF141*(1+$D$130),'Assumptions - Freight'!AG137*$D$129)," ")</f>
        <v>4500</v>
      </c>
      <c r="AH141" s="12">
        <f>IF(OR(AH$16=1,AH$19=1),IF(AND($D$128=1,$D$131=1),AG141*(1+$D$130),'Assumptions - Freight'!AH137*$D$129)," ")</f>
        <v>4500</v>
      </c>
    </row>
    <row r="142" spans="2:34" x14ac:dyDescent="0.2">
      <c r="B142" s="8" t="str">
        <f>"Annual traffic volume of " &amp;'Assumptions - Freight'!E124</f>
        <v>Annual traffic volume of Commodity 9</v>
      </c>
      <c r="C142" s="8"/>
      <c r="D142" s="8" t="str">
        <f t="shared" si="37"/>
        <v>Net ton-km (million)</v>
      </c>
      <c r="E142" s="463">
        <f>IF(OR(E$16=1,E$19=1),IF($D$128=1,$D$129*'Assumptions - Freight'!E138,'Assumptions - Freight'!E138)," ")</f>
        <v>4000</v>
      </c>
      <c r="F142" s="12">
        <f>IF(OR(F$16=1,F$19=1),IF(AND($D$128=1,$D$131=1),E142*(1+$D$130),'Assumptions - Freight'!F138*$D$129)," ")</f>
        <v>4000</v>
      </c>
      <c r="G142" s="12">
        <f>IF(OR(G$16=1,G$19=1),IF(AND($D$128=1,$D$131=1),F142*(1+$D$130),'Assumptions - Freight'!G138*$D$129)," ")</f>
        <v>4000</v>
      </c>
      <c r="H142" s="12">
        <f>IF(OR(H$16=1,H$19=1),IF(AND($D$128=1,$D$131=1),G142*(1+$D$130),'Assumptions - Freight'!H138*$D$129)," ")</f>
        <v>4000</v>
      </c>
      <c r="I142" s="12">
        <f>IF(OR(I$16=1,I$19=1),IF(AND($D$128=1,$D$131=1),H142*(1+$D$130),'Assumptions - Freight'!I138*$D$129)," ")</f>
        <v>4000</v>
      </c>
      <c r="J142" s="12">
        <f>IF(OR(J$16=1,J$19=1),IF(AND($D$128=1,$D$131=1),I142*(1+$D$130),'Assumptions - Freight'!J138*$D$129)," ")</f>
        <v>4000</v>
      </c>
      <c r="K142" s="12">
        <f>IF(OR(K$16=1,K$19=1),IF(AND($D$128=1,$D$131=1),J142*(1+$D$130),'Assumptions - Freight'!K138*$D$129)," ")</f>
        <v>4500</v>
      </c>
      <c r="L142" s="12">
        <f>IF(OR(L$16=1,L$19=1),IF(AND($D$128=1,$D$131=1),K142*(1+$D$130),'Assumptions - Freight'!L138*$D$129)," ")</f>
        <v>4500</v>
      </c>
      <c r="M142" s="12">
        <f>IF(OR(M$16=1,M$19=1),IF(AND($D$128=1,$D$131=1),L142*(1+$D$130),'Assumptions - Freight'!M138*$D$129)," ")</f>
        <v>4500</v>
      </c>
      <c r="N142" s="12">
        <f>IF(OR(N$16=1,N$19=1),IF(AND($D$128=1,$D$131=1),M142*(1+$D$130),'Assumptions - Freight'!N138*$D$129)," ")</f>
        <v>4500</v>
      </c>
      <c r="O142" s="12">
        <f>IF(OR(O$16=1,O$19=1),IF(AND($D$128=1,$D$131=1),N142*(1+$D$130),'Assumptions - Freight'!O138*$D$129)," ")</f>
        <v>4500</v>
      </c>
      <c r="P142" s="12">
        <f>IF(OR(P$16=1,P$19=1),IF(AND($D$128=1,$D$131=1),O142*(1+$D$130),'Assumptions - Freight'!P138*$D$129)," ")</f>
        <v>4500</v>
      </c>
      <c r="Q142" s="12">
        <f>IF(OR(Q$16=1,Q$19=1),IF(AND($D$128=1,$D$131=1),P142*(1+$D$130),'Assumptions - Freight'!Q138*$D$129)," ")</f>
        <v>4500</v>
      </c>
      <c r="R142" s="12">
        <f>IF(OR(R$16=1,R$19=1),IF(AND($D$128=1,$D$131=1),Q142*(1+$D$130),'Assumptions - Freight'!R138*$D$129)," ")</f>
        <v>4500</v>
      </c>
      <c r="S142" s="12">
        <f>IF(OR(S$16=1,S$19=1),IF(AND($D$128=1,$D$131=1),R142*(1+$D$130),'Assumptions - Freight'!S138*$D$129)," ")</f>
        <v>4500</v>
      </c>
      <c r="T142" s="12">
        <f>IF(OR(T$16=1,T$19=1),IF(AND($D$128=1,$D$131=1),S142*(1+$D$130),'Assumptions - Freight'!T138*$D$129)," ")</f>
        <v>4500</v>
      </c>
      <c r="U142" s="12">
        <f>IF(OR(U$16=1,U$19=1),IF(AND($D$128=1,$D$131=1),T142*(1+$D$130),'Assumptions - Freight'!U138*$D$129)," ")</f>
        <v>4500</v>
      </c>
      <c r="V142" s="12">
        <f>IF(OR(V$16=1,V$19=1),IF(AND($D$128=1,$D$131=1),U142*(1+$D$130),'Assumptions - Freight'!V138*$D$129)," ")</f>
        <v>4500</v>
      </c>
      <c r="W142" s="12">
        <f>IF(OR(W$16=1,W$19=1),IF(AND($D$128=1,$D$131=1),V142*(1+$D$130),'Assumptions - Freight'!W138*$D$129)," ")</f>
        <v>4500</v>
      </c>
      <c r="X142" s="12">
        <f>IF(OR(X$16=1,X$19=1),IF(AND($D$128=1,$D$131=1),W142*(1+$D$130),'Assumptions - Freight'!X138*$D$129)," ")</f>
        <v>4500</v>
      </c>
      <c r="Y142" s="12">
        <f>IF(OR(Y$16=1,Y$19=1),IF(AND($D$128=1,$D$131=1),X142*(1+$D$130),'Assumptions - Freight'!Y138*$D$129)," ")</f>
        <v>4500</v>
      </c>
      <c r="Z142" s="12">
        <f>IF(OR(Z$16=1,Z$19=1),IF(AND($D$128=1,$D$131=1),Y142*(1+$D$130),'Assumptions - Freight'!Z138*$D$129)," ")</f>
        <v>4500</v>
      </c>
      <c r="AA142" s="12">
        <f>IF(OR(AA$16=1,AA$19=1),IF(AND($D$128=1,$D$131=1),Z142*(1+$D$130),'Assumptions - Freight'!AA138*$D$129)," ")</f>
        <v>4500</v>
      </c>
      <c r="AB142" s="12">
        <f>IF(OR(AB$16=1,AB$19=1),IF(AND($D$128=1,$D$131=1),AA142*(1+$D$130),'Assumptions - Freight'!AB138*$D$129)," ")</f>
        <v>4500</v>
      </c>
      <c r="AC142" s="12">
        <f>IF(OR(AC$16=1,AC$19=1),IF(AND($D$128=1,$D$131=1),AB142*(1+$D$130),'Assumptions - Freight'!AC138*$D$129)," ")</f>
        <v>4500</v>
      </c>
      <c r="AD142" s="12">
        <f>IF(OR(AD$16=1,AD$19=1),IF(AND($D$128=1,$D$131=1),AC142*(1+$D$130),'Assumptions - Freight'!AD138*$D$129)," ")</f>
        <v>4500</v>
      </c>
      <c r="AE142" s="12">
        <f>IF(OR(AE$16=1,AE$19=1),IF(AND($D$128=1,$D$131=1),AD142*(1+$D$130),'Assumptions - Freight'!AE138*$D$129)," ")</f>
        <v>4500</v>
      </c>
      <c r="AF142" s="12">
        <f>IF(OR(AF$16=1,AF$19=1),IF(AND($D$128=1,$D$131=1),AE142*(1+$D$130),'Assumptions - Freight'!AF138*$D$129)," ")</f>
        <v>4500</v>
      </c>
      <c r="AG142" s="12">
        <f>IF(OR(AG$16=1,AG$19=1),IF(AND($D$128=1,$D$131=1),AF142*(1+$D$130),'Assumptions - Freight'!AG138*$D$129)," ")</f>
        <v>4500</v>
      </c>
      <c r="AH142" s="12">
        <f>IF(OR(AH$16=1,AH$19=1),IF(AND($D$128=1,$D$131=1),AG142*(1+$D$130),'Assumptions - Freight'!AH138*$D$129)," ")</f>
        <v>4500</v>
      </c>
    </row>
    <row r="143" spans="2:34" x14ac:dyDescent="0.2">
      <c r="B143" s="8" t="str">
        <f>"Annual traffic volume of " &amp;'Assumptions - Freight'!E125</f>
        <v>Annual traffic volume of Commodity 10</v>
      </c>
      <c r="C143" s="8"/>
      <c r="D143" s="8" t="str">
        <f t="shared" si="37"/>
        <v>Net ton-km (million)</v>
      </c>
      <c r="E143" s="463">
        <f>IF(OR(E$16=1,E$19=1),IF($D$128=1,$D$129*'Assumptions - Freight'!E139,'Assumptions - Freight'!E139)," ")</f>
        <v>4000</v>
      </c>
      <c r="F143" s="12">
        <f>IF(OR(F$16=1,F$19=1),IF(AND($D$128=1,$D$131=1),E143*(1+$D$130),'Assumptions - Freight'!F139*$D$129)," ")</f>
        <v>4000</v>
      </c>
      <c r="G143" s="12">
        <f>IF(OR(G$16=1,G$19=1),IF(AND($D$128=1,$D$131=1),F143*(1+$D$130),'Assumptions - Freight'!G139*$D$129)," ")</f>
        <v>4000</v>
      </c>
      <c r="H143" s="12">
        <f>IF(OR(H$16=1,H$19=1),IF(AND($D$128=1,$D$131=1),G143*(1+$D$130),'Assumptions - Freight'!H139*$D$129)," ")</f>
        <v>4000</v>
      </c>
      <c r="I143" s="12">
        <f>IF(OR(I$16=1,I$19=1),IF(AND($D$128=1,$D$131=1),H143*(1+$D$130),'Assumptions - Freight'!I139*$D$129)," ")</f>
        <v>4000</v>
      </c>
      <c r="J143" s="12">
        <f>IF(OR(J$16=1,J$19=1),IF(AND($D$128=1,$D$131=1),I143*(1+$D$130),'Assumptions - Freight'!J139*$D$129)," ")</f>
        <v>4000</v>
      </c>
      <c r="K143" s="12">
        <f>IF(OR(K$16=1,K$19=1),IF(AND($D$128=1,$D$131=1),J143*(1+$D$130),'Assumptions - Freight'!K139*$D$129)," ")</f>
        <v>4500</v>
      </c>
      <c r="L143" s="12">
        <f>IF(OR(L$16=1,L$19=1),IF(AND($D$128=1,$D$131=1),K143*(1+$D$130),'Assumptions - Freight'!L139*$D$129)," ")</f>
        <v>4500</v>
      </c>
      <c r="M143" s="12">
        <f>IF(OR(M$16=1,M$19=1),IF(AND($D$128=1,$D$131=1),L143*(1+$D$130),'Assumptions - Freight'!M139*$D$129)," ")</f>
        <v>4500</v>
      </c>
      <c r="N143" s="12">
        <f>IF(OR(N$16=1,N$19=1),IF(AND($D$128=1,$D$131=1),M143*(1+$D$130),'Assumptions - Freight'!N139*$D$129)," ")</f>
        <v>4500</v>
      </c>
      <c r="O143" s="12">
        <f>IF(OR(O$16=1,O$19=1),IF(AND($D$128=1,$D$131=1),N143*(1+$D$130),'Assumptions - Freight'!O139*$D$129)," ")</f>
        <v>4500</v>
      </c>
      <c r="P143" s="12">
        <f>IF(OR(P$16=1,P$19=1),IF(AND($D$128=1,$D$131=1),O143*(1+$D$130),'Assumptions - Freight'!P139*$D$129)," ")</f>
        <v>4500</v>
      </c>
      <c r="Q143" s="12">
        <f>IF(OR(Q$16=1,Q$19=1),IF(AND($D$128=1,$D$131=1),P143*(1+$D$130),'Assumptions - Freight'!Q139*$D$129)," ")</f>
        <v>4500</v>
      </c>
      <c r="R143" s="12">
        <f>IF(OR(R$16=1,R$19=1),IF(AND($D$128=1,$D$131=1),Q143*(1+$D$130),'Assumptions - Freight'!R139*$D$129)," ")</f>
        <v>4500</v>
      </c>
      <c r="S143" s="12">
        <f>IF(OR(S$16=1,S$19=1),IF(AND($D$128=1,$D$131=1),R143*(1+$D$130),'Assumptions - Freight'!S139*$D$129)," ")</f>
        <v>4500</v>
      </c>
      <c r="T143" s="12">
        <f>IF(OR(T$16=1,T$19=1),IF(AND($D$128=1,$D$131=1),S143*(1+$D$130),'Assumptions - Freight'!T139*$D$129)," ")</f>
        <v>4500</v>
      </c>
      <c r="U143" s="12">
        <f>IF(OR(U$16=1,U$19=1),IF(AND($D$128=1,$D$131=1),T143*(1+$D$130),'Assumptions - Freight'!U139*$D$129)," ")</f>
        <v>4500</v>
      </c>
      <c r="V143" s="12">
        <f>IF(OR(V$16=1,V$19=1),IF(AND($D$128=1,$D$131=1),U143*(1+$D$130),'Assumptions - Freight'!V139*$D$129)," ")</f>
        <v>4500</v>
      </c>
      <c r="W143" s="12">
        <f>IF(OR(W$16=1,W$19=1),IF(AND($D$128=1,$D$131=1),V143*(1+$D$130),'Assumptions - Freight'!W139*$D$129)," ")</f>
        <v>4500</v>
      </c>
      <c r="X143" s="12">
        <f>IF(OR(X$16=1,X$19=1),IF(AND($D$128=1,$D$131=1),W143*(1+$D$130),'Assumptions - Freight'!X139*$D$129)," ")</f>
        <v>4500</v>
      </c>
      <c r="Y143" s="12">
        <f>IF(OR(Y$16=1,Y$19=1),IF(AND($D$128=1,$D$131=1),X143*(1+$D$130),'Assumptions - Freight'!Y139*$D$129)," ")</f>
        <v>4500</v>
      </c>
      <c r="Z143" s="12">
        <f>IF(OR(Z$16=1,Z$19=1),IF(AND($D$128=1,$D$131=1),Y143*(1+$D$130),'Assumptions - Freight'!Z139*$D$129)," ")</f>
        <v>4500</v>
      </c>
      <c r="AA143" s="12">
        <f>IF(OR(AA$16=1,AA$19=1),IF(AND($D$128=1,$D$131=1),Z143*(1+$D$130),'Assumptions - Freight'!AA139*$D$129)," ")</f>
        <v>4500</v>
      </c>
      <c r="AB143" s="12">
        <f>IF(OR(AB$16=1,AB$19=1),IF(AND($D$128=1,$D$131=1),AA143*(1+$D$130),'Assumptions - Freight'!AB139*$D$129)," ")</f>
        <v>4500</v>
      </c>
      <c r="AC143" s="12">
        <f>IF(OR(AC$16=1,AC$19=1),IF(AND($D$128=1,$D$131=1),AB143*(1+$D$130),'Assumptions - Freight'!AC139*$D$129)," ")</f>
        <v>4500</v>
      </c>
      <c r="AD143" s="12">
        <f>IF(OR(AD$16=1,AD$19=1),IF(AND($D$128=1,$D$131=1),AC143*(1+$D$130),'Assumptions - Freight'!AD139*$D$129)," ")</f>
        <v>4500</v>
      </c>
      <c r="AE143" s="12">
        <f>IF(OR(AE$16=1,AE$19=1),IF(AND($D$128=1,$D$131=1),AD143*(1+$D$130),'Assumptions - Freight'!AE139*$D$129)," ")</f>
        <v>4500</v>
      </c>
      <c r="AF143" s="12">
        <f>IF(OR(AF$16=1,AF$19=1),IF(AND($D$128=1,$D$131=1),AE143*(1+$D$130),'Assumptions - Freight'!AF139*$D$129)," ")</f>
        <v>4500</v>
      </c>
      <c r="AG143" s="12">
        <f>IF(OR(AG$16=1,AG$19=1),IF(AND($D$128=1,$D$131=1),AF143*(1+$D$130),'Assumptions - Freight'!AG139*$D$129)," ")</f>
        <v>4500</v>
      </c>
      <c r="AH143" s="12">
        <f>IF(OR(AH$16=1,AH$19=1),IF(AND($D$128=1,$D$131=1),AG143*(1+$D$130),'Assumptions - Freight'!AH139*$D$129)," ")</f>
        <v>4500</v>
      </c>
    </row>
    <row r="144" spans="2:34" x14ac:dyDescent="0.2">
      <c r="B144" s="7"/>
      <c r="C144" s="8"/>
      <c r="D144" s="8"/>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row>
    <row r="145" spans="2:34" x14ac:dyDescent="0.2">
      <c r="B145" s="8" t="str">
        <f>B134</f>
        <v>Annual traffic volume of Commodity 1</v>
      </c>
      <c r="C145" s="8"/>
      <c r="D145" s="8" t="str">
        <f>IF('Assumptions - Freight'!$E$111=1, "Tons (million)", "Net ton-km (million)")</f>
        <v>Tons (million)</v>
      </c>
      <c r="E145" s="123">
        <f>IF(E134&lt;&gt;0,IF(OR(E$16=1,E$19=1),IF('Assumptions - Freight'!$E$111=1, E134/'Assumptions - Freight'!$E$113,E134*'Assumptions - Freight'!$E$113)," "),0)</f>
        <v>40</v>
      </c>
      <c r="F145" s="123">
        <f>IF(F134&lt;&gt;0,IF(OR(F$16=1,F$19=1),IF('Assumptions - Freight'!$E$111=1, F134/'Assumptions - Freight'!$E$113,F134*'Assumptions - Freight'!$E$113)," "),0)</f>
        <v>40</v>
      </c>
      <c r="G145" s="123">
        <f>IF(G134&lt;&gt;0,IF(OR(G$16=1,G$19=1),IF('Assumptions - Freight'!$E$111=1, G134/'Assumptions - Freight'!$E$113,G134*'Assumptions - Freight'!$E$113)," "),0)</f>
        <v>40</v>
      </c>
      <c r="H145" s="123">
        <f>IF(H134&lt;&gt;0,IF(OR(H$16=1,H$19=1),IF('Assumptions - Freight'!$E$111=1, H134/'Assumptions - Freight'!$E$113,H134*'Assumptions - Freight'!$E$113)," "),0)</f>
        <v>40</v>
      </c>
      <c r="I145" s="123">
        <f>IF(I134&lt;&gt;0,IF(OR(I$16=1,I$19=1),IF('Assumptions - Freight'!$E$111=1, I134/'Assumptions - Freight'!$E$113,I134*'Assumptions - Freight'!$E$113)," "),0)</f>
        <v>40</v>
      </c>
      <c r="J145" s="123">
        <f>IF(J134&lt;&gt;0,IF(OR(J$16=1,J$19=1),IF('Assumptions - Freight'!$E$111=1, J134/'Assumptions - Freight'!$E$113,J134*'Assumptions - Freight'!$E$113)," "),0)</f>
        <v>40</v>
      </c>
      <c r="K145" s="123">
        <f>IF(K134&lt;&gt;0,IF(OR(K$16=1,K$19=1),IF('Assumptions - Freight'!$E$111=1, K134/'Assumptions - Freight'!$E$113,K134*'Assumptions - Freight'!$E$113)," "),0)</f>
        <v>45</v>
      </c>
      <c r="L145" s="123">
        <f>IF(L134&lt;&gt;0,IF(OR(L$16=1,L$19=1),IF('Assumptions - Freight'!$E$111=1, L134/'Assumptions - Freight'!$E$113,L134*'Assumptions - Freight'!$E$113)," "),0)</f>
        <v>45</v>
      </c>
      <c r="M145" s="123">
        <f>IF(M134&lt;&gt;0,IF(OR(M$16=1,M$19=1),IF('Assumptions - Freight'!$E$111=1, M134/'Assumptions - Freight'!$E$113,M134*'Assumptions - Freight'!$E$113)," "),0)</f>
        <v>45</v>
      </c>
      <c r="N145" s="123">
        <f>IF(N134&lt;&gt;0,IF(OR(N$16=1,N$19=1),IF('Assumptions - Freight'!$E$111=1, N134/'Assumptions - Freight'!$E$113,N134*'Assumptions - Freight'!$E$113)," "),0)</f>
        <v>45</v>
      </c>
      <c r="O145" s="123">
        <f>IF(O134&lt;&gt;0,IF(OR(O$16=1,O$19=1),IF('Assumptions - Freight'!$E$111=1, O134/'Assumptions - Freight'!$E$113,O134*'Assumptions - Freight'!$E$113)," "),0)</f>
        <v>45</v>
      </c>
      <c r="P145" s="123">
        <f>IF(P134&lt;&gt;0,IF(OR(P$16=1,P$19=1),IF('Assumptions - Freight'!$E$111=1, P134/'Assumptions - Freight'!$E$113,P134*'Assumptions - Freight'!$E$113)," "),0)</f>
        <v>45</v>
      </c>
      <c r="Q145" s="123">
        <f>IF(Q134&lt;&gt;0,IF(OR(Q$16=1,Q$19=1),IF('Assumptions - Freight'!$E$111=1, Q134/'Assumptions - Freight'!$E$113,Q134*'Assumptions - Freight'!$E$113)," "),0)</f>
        <v>45</v>
      </c>
      <c r="R145" s="123">
        <f>IF(R134&lt;&gt;0,IF(OR(R$16=1,R$19=1),IF('Assumptions - Freight'!$E$111=1, R134/'Assumptions - Freight'!$E$113,R134*'Assumptions - Freight'!$E$113)," "),0)</f>
        <v>45</v>
      </c>
      <c r="S145" s="123">
        <f>IF(S134&lt;&gt;0,IF(OR(S$16=1,S$19=1),IF('Assumptions - Freight'!$E$111=1, S134/'Assumptions - Freight'!$E$113,S134*'Assumptions - Freight'!$E$113)," "),0)</f>
        <v>45</v>
      </c>
      <c r="T145" s="123">
        <f>IF(T134&lt;&gt;0,IF(OR(T$16=1,T$19=1),IF('Assumptions - Freight'!$E$111=1, T134/'Assumptions - Freight'!$E$113,T134*'Assumptions - Freight'!$E$113)," "),0)</f>
        <v>45</v>
      </c>
      <c r="U145" s="123">
        <f>IF(U134&lt;&gt;0,IF(OR(U$16=1,U$19=1),IF('Assumptions - Freight'!$E$111=1, U134/'Assumptions - Freight'!$E$113,U134*'Assumptions - Freight'!$E$113)," "),0)</f>
        <v>45</v>
      </c>
      <c r="V145" s="123">
        <f>IF(V134&lt;&gt;0,IF(OR(V$16=1,V$19=1),IF('Assumptions - Freight'!$E$111=1, V134/'Assumptions - Freight'!$E$113,V134*'Assumptions - Freight'!$E$113)," "),0)</f>
        <v>45</v>
      </c>
      <c r="W145" s="123">
        <f>IF(W134&lt;&gt;0,IF(OR(W$16=1,W$19=1),IF('Assumptions - Freight'!$E$111=1, W134/'Assumptions - Freight'!$E$113,W134*'Assumptions - Freight'!$E$113)," "),0)</f>
        <v>45</v>
      </c>
      <c r="X145" s="123">
        <f>IF(X134&lt;&gt;0,IF(OR(X$16=1,X$19=1),IF('Assumptions - Freight'!$E$111=1, X134/'Assumptions - Freight'!$E$113,X134*'Assumptions - Freight'!$E$113)," "),0)</f>
        <v>45</v>
      </c>
      <c r="Y145" s="123">
        <f>IF(Y134&lt;&gt;0,IF(OR(Y$16=1,Y$19=1),IF('Assumptions - Freight'!$E$111=1, Y134/'Assumptions - Freight'!$E$113,Y134*'Assumptions - Freight'!$E$113)," "),0)</f>
        <v>45</v>
      </c>
      <c r="Z145" s="123">
        <f>IF(Z134&lt;&gt;0,IF(OR(Z$16=1,Z$19=1),IF('Assumptions - Freight'!$E$111=1, Z134/'Assumptions - Freight'!$E$113,Z134*'Assumptions - Freight'!$E$113)," "),0)</f>
        <v>45</v>
      </c>
      <c r="AA145" s="123">
        <f>IF(AA134&lt;&gt;0,IF(OR(AA$16=1,AA$19=1),IF('Assumptions - Freight'!$E$111=1, AA134/'Assumptions - Freight'!$E$113,AA134*'Assumptions - Freight'!$E$113)," "),0)</f>
        <v>45</v>
      </c>
      <c r="AB145" s="123">
        <f>IF(AB134&lt;&gt;0,IF(OR(AB$16=1,AB$19=1),IF('Assumptions - Freight'!$E$111=1, AB134/'Assumptions - Freight'!$E$113,AB134*'Assumptions - Freight'!$E$113)," "),0)</f>
        <v>45</v>
      </c>
      <c r="AC145" s="123">
        <f>IF(AC134&lt;&gt;0,IF(OR(AC$16=1,AC$19=1),IF('Assumptions - Freight'!$E$111=1, AC134/'Assumptions - Freight'!$E$113,AC134*'Assumptions - Freight'!$E$113)," "),0)</f>
        <v>45</v>
      </c>
      <c r="AD145" s="123">
        <f>IF(AD134&lt;&gt;0,IF(OR(AD$16=1,AD$19=1),IF('Assumptions - Freight'!$E$111=1, AD134/'Assumptions - Freight'!$E$113,AD134*'Assumptions - Freight'!$E$113)," "),0)</f>
        <v>45</v>
      </c>
      <c r="AE145" s="123">
        <f>IF(AE134&lt;&gt;0,IF(OR(AE$16=1,AE$19=1),IF('Assumptions - Freight'!$E$111=1, AE134/'Assumptions - Freight'!$E$113,AE134*'Assumptions - Freight'!$E$113)," "),0)</f>
        <v>45</v>
      </c>
      <c r="AF145" s="123">
        <f>IF(AF134&lt;&gt;0,IF(OR(AF$16=1,AF$19=1),IF('Assumptions - Freight'!$E$111=1, AF134/'Assumptions - Freight'!$E$113,AF134*'Assumptions - Freight'!$E$113)," "),0)</f>
        <v>45</v>
      </c>
      <c r="AG145" s="123">
        <f>IF(AG134&lt;&gt;0,IF(OR(AG$16=1,AG$19=1),IF('Assumptions - Freight'!$E$111=1, AG134/'Assumptions - Freight'!$E$113,AG134*'Assumptions - Freight'!$E$113)," "),0)</f>
        <v>45</v>
      </c>
      <c r="AH145" s="123">
        <f>IF(AH134&lt;&gt;0,IF(OR(AH$16=1,AH$19=1),IF('Assumptions - Freight'!$E$111=1, AH134/'Assumptions - Freight'!$E$113,AH134*'Assumptions - Freight'!$E$113)," "),0)</f>
        <v>45</v>
      </c>
    </row>
    <row r="146" spans="2:34" x14ac:dyDescent="0.2">
      <c r="B146" s="8" t="str">
        <f t="shared" ref="B146:B154" si="38">B135</f>
        <v>Annual traffic volume of Commodity 2</v>
      </c>
      <c r="C146" s="8"/>
      <c r="D146" s="8" t="str">
        <f>D145</f>
        <v>Tons (million)</v>
      </c>
      <c r="E146" s="123">
        <f>IF(E135&lt;&gt;0,IF(OR(E$16=1,E$19=1),IF('Assumptions - Freight'!$E$111=1, E135/'Assumptions - Freight'!$E$113,E135*'Assumptions - Freight'!$E$113)," "),0)</f>
        <v>40</v>
      </c>
      <c r="F146" s="123">
        <f>IF(F135&lt;&gt;0,IF(OR(F$16=1,F$19=1),IF('Assumptions - Freight'!$E$111=1, F135/'Assumptions - Freight'!$E$113,F135*'Assumptions - Freight'!$E$113)," "),0)</f>
        <v>40</v>
      </c>
      <c r="G146" s="123">
        <f>IF(G135&lt;&gt;0,IF(OR(G$16=1,G$19=1),IF('Assumptions - Freight'!$E$111=1, G135/'Assumptions - Freight'!$E$113,G135*'Assumptions - Freight'!$E$113)," "),0)</f>
        <v>40</v>
      </c>
      <c r="H146" s="123">
        <f>IF(H135&lt;&gt;0,IF(OR(H$16=1,H$19=1),IF('Assumptions - Freight'!$E$111=1, H135/'Assumptions - Freight'!$E$113,H135*'Assumptions - Freight'!$E$113)," "),0)</f>
        <v>40</v>
      </c>
      <c r="I146" s="123">
        <f>IF(I135&lt;&gt;0,IF(OR(I$16=1,I$19=1),IF('Assumptions - Freight'!$E$111=1, I135/'Assumptions - Freight'!$E$113,I135*'Assumptions - Freight'!$E$113)," "),0)</f>
        <v>40</v>
      </c>
      <c r="J146" s="123">
        <f>IF(J135&lt;&gt;0,IF(OR(J$16=1,J$19=1),IF('Assumptions - Freight'!$E$111=1, J135/'Assumptions - Freight'!$E$113,J135*'Assumptions - Freight'!$E$113)," "),0)</f>
        <v>40</v>
      </c>
      <c r="K146" s="123">
        <f>IF(K135&lt;&gt;0,IF(OR(K$16=1,K$19=1),IF('Assumptions - Freight'!$E$111=1, K135/'Assumptions - Freight'!$E$113,K135*'Assumptions - Freight'!$E$113)," "),0)</f>
        <v>45</v>
      </c>
      <c r="L146" s="123">
        <f>IF(L135&lt;&gt;0,IF(OR(L$16=1,L$19=1),IF('Assumptions - Freight'!$E$111=1, L135/'Assumptions - Freight'!$E$113,L135*'Assumptions - Freight'!$E$113)," "),0)</f>
        <v>45</v>
      </c>
      <c r="M146" s="123">
        <f>IF(M135&lt;&gt;0,IF(OR(M$16=1,M$19=1),IF('Assumptions - Freight'!$E$111=1, M135/'Assumptions - Freight'!$E$113,M135*'Assumptions - Freight'!$E$113)," "),0)</f>
        <v>45</v>
      </c>
      <c r="N146" s="123">
        <f>IF(N135&lt;&gt;0,IF(OR(N$16=1,N$19=1),IF('Assumptions - Freight'!$E$111=1, N135/'Assumptions - Freight'!$E$113,N135*'Assumptions - Freight'!$E$113)," "),0)</f>
        <v>45</v>
      </c>
      <c r="O146" s="123">
        <f>IF(O135&lt;&gt;0,IF(OR(O$16=1,O$19=1),IF('Assumptions - Freight'!$E$111=1, O135/'Assumptions - Freight'!$E$113,O135*'Assumptions - Freight'!$E$113)," "),0)</f>
        <v>45</v>
      </c>
      <c r="P146" s="123">
        <f>IF(P135&lt;&gt;0,IF(OR(P$16=1,P$19=1),IF('Assumptions - Freight'!$E$111=1, P135/'Assumptions - Freight'!$E$113,P135*'Assumptions - Freight'!$E$113)," "),0)</f>
        <v>45</v>
      </c>
      <c r="Q146" s="123">
        <f>IF(Q135&lt;&gt;0,IF(OR(Q$16=1,Q$19=1),IF('Assumptions - Freight'!$E$111=1, Q135/'Assumptions - Freight'!$E$113,Q135*'Assumptions - Freight'!$E$113)," "),0)</f>
        <v>45</v>
      </c>
      <c r="R146" s="123">
        <f>IF(R135&lt;&gt;0,IF(OR(R$16=1,R$19=1),IF('Assumptions - Freight'!$E$111=1, R135/'Assumptions - Freight'!$E$113,R135*'Assumptions - Freight'!$E$113)," "),0)</f>
        <v>45</v>
      </c>
      <c r="S146" s="123">
        <f>IF(S135&lt;&gt;0,IF(OR(S$16=1,S$19=1),IF('Assumptions - Freight'!$E$111=1, S135/'Assumptions - Freight'!$E$113,S135*'Assumptions - Freight'!$E$113)," "),0)</f>
        <v>45</v>
      </c>
      <c r="T146" s="123">
        <f>IF(T135&lt;&gt;0,IF(OR(T$16=1,T$19=1),IF('Assumptions - Freight'!$E$111=1, T135/'Assumptions - Freight'!$E$113,T135*'Assumptions - Freight'!$E$113)," "),0)</f>
        <v>45</v>
      </c>
      <c r="U146" s="123">
        <f>IF(U135&lt;&gt;0,IF(OR(U$16=1,U$19=1),IF('Assumptions - Freight'!$E$111=1, U135/'Assumptions - Freight'!$E$113,U135*'Assumptions - Freight'!$E$113)," "),0)</f>
        <v>45</v>
      </c>
      <c r="V146" s="123">
        <f>IF(V135&lt;&gt;0,IF(OR(V$16=1,V$19=1),IF('Assumptions - Freight'!$E$111=1, V135/'Assumptions - Freight'!$E$113,V135*'Assumptions - Freight'!$E$113)," "),0)</f>
        <v>45</v>
      </c>
      <c r="W146" s="123">
        <f>IF(W135&lt;&gt;0,IF(OR(W$16=1,W$19=1),IF('Assumptions - Freight'!$E$111=1, W135/'Assumptions - Freight'!$E$113,W135*'Assumptions - Freight'!$E$113)," "),0)</f>
        <v>45</v>
      </c>
      <c r="X146" s="123">
        <f>IF(X135&lt;&gt;0,IF(OR(X$16=1,X$19=1),IF('Assumptions - Freight'!$E$111=1, X135/'Assumptions - Freight'!$E$113,X135*'Assumptions - Freight'!$E$113)," "),0)</f>
        <v>45</v>
      </c>
      <c r="Y146" s="123">
        <f>IF(Y135&lt;&gt;0,IF(OR(Y$16=1,Y$19=1),IF('Assumptions - Freight'!$E$111=1, Y135/'Assumptions - Freight'!$E$113,Y135*'Assumptions - Freight'!$E$113)," "),0)</f>
        <v>45</v>
      </c>
      <c r="Z146" s="123">
        <f>IF(Z135&lt;&gt;0,IF(OR(Z$16=1,Z$19=1),IF('Assumptions - Freight'!$E$111=1, Z135/'Assumptions - Freight'!$E$113,Z135*'Assumptions - Freight'!$E$113)," "),0)</f>
        <v>45</v>
      </c>
      <c r="AA146" s="123">
        <f>IF(AA135&lt;&gt;0,IF(OR(AA$16=1,AA$19=1),IF('Assumptions - Freight'!$E$111=1, AA135/'Assumptions - Freight'!$E$113,AA135*'Assumptions - Freight'!$E$113)," "),0)</f>
        <v>45</v>
      </c>
      <c r="AB146" s="123">
        <f>IF(AB135&lt;&gt;0,IF(OR(AB$16=1,AB$19=1),IF('Assumptions - Freight'!$E$111=1, AB135/'Assumptions - Freight'!$E$113,AB135*'Assumptions - Freight'!$E$113)," "),0)</f>
        <v>45</v>
      </c>
      <c r="AC146" s="123">
        <f>IF(AC135&lt;&gt;0,IF(OR(AC$16=1,AC$19=1),IF('Assumptions - Freight'!$E$111=1, AC135/'Assumptions - Freight'!$E$113,AC135*'Assumptions - Freight'!$E$113)," "),0)</f>
        <v>45</v>
      </c>
      <c r="AD146" s="123">
        <f>IF(AD135&lt;&gt;0,IF(OR(AD$16=1,AD$19=1),IF('Assumptions - Freight'!$E$111=1, AD135/'Assumptions - Freight'!$E$113,AD135*'Assumptions - Freight'!$E$113)," "),0)</f>
        <v>45</v>
      </c>
      <c r="AE146" s="123">
        <f>IF(AE135&lt;&gt;0,IF(OR(AE$16=1,AE$19=1),IF('Assumptions - Freight'!$E$111=1, AE135/'Assumptions - Freight'!$E$113,AE135*'Assumptions - Freight'!$E$113)," "),0)</f>
        <v>45</v>
      </c>
      <c r="AF146" s="123">
        <f>IF(AF135&lt;&gt;0,IF(OR(AF$16=1,AF$19=1),IF('Assumptions - Freight'!$E$111=1, AF135/'Assumptions - Freight'!$E$113,AF135*'Assumptions - Freight'!$E$113)," "),0)</f>
        <v>45</v>
      </c>
      <c r="AG146" s="123">
        <f>IF(AG135&lt;&gt;0,IF(OR(AG$16=1,AG$19=1),IF('Assumptions - Freight'!$E$111=1, AG135/'Assumptions - Freight'!$E$113,AG135*'Assumptions - Freight'!$E$113)," "),0)</f>
        <v>45</v>
      </c>
      <c r="AH146" s="123">
        <f>IF(AH135&lt;&gt;0,IF(OR(AH$16=1,AH$19=1),IF('Assumptions - Freight'!$E$111=1, AH135/'Assumptions - Freight'!$E$113,AH135*'Assumptions - Freight'!$E$113)," "),0)</f>
        <v>45</v>
      </c>
    </row>
    <row r="147" spans="2:34" x14ac:dyDescent="0.2">
      <c r="B147" s="8" t="str">
        <f t="shared" si="38"/>
        <v>Annual traffic volume of Commodity 3</v>
      </c>
      <c r="C147" s="8"/>
      <c r="D147" s="8" t="str">
        <f t="shared" ref="D147:D154" si="39">D146</f>
        <v>Tons (million)</v>
      </c>
      <c r="E147" s="123">
        <f>IF(E136&lt;&gt;0,IF(OR(E$16=1,E$19=1),IF('Assumptions - Freight'!$E$111=1, E136/'Assumptions - Freight'!$E$113,E136*'Assumptions - Freight'!$E$113)," "),0)</f>
        <v>50</v>
      </c>
      <c r="F147" s="123">
        <f>IF(F136&lt;&gt;0,IF(OR(F$16=1,F$19=1),IF('Assumptions - Freight'!$E$111=1, F136/'Assumptions - Freight'!$E$113,F136*'Assumptions - Freight'!$E$113)," "),0)</f>
        <v>40</v>
      </c>
      <c r="G147" s="123">
        <f>IF(G136&lt;&gt;0,IF(OR(G$16=1,G$19=1),IF('Assumptions - Freight'!$E$111=1, G136/'Assumptions - Freight'!$E$113,G136*'Assumptions - Freight'!$E$113)," "),0)</f>
        <v>40</v>
      </c>
      <c r="H147" s="123">
        <f>IF(H136&lt;&gt;0,IF(OR(H$16=1,H$19=1),IF('Assumptions - Freight'!$E$111=1, H136/'Assumptions - Freight'!$E$113,H136*'Assumptions - Freight'!$E$113)," "),0)</f>
        <v>40</v>
      </c>
      <c r="I147" s="123">
        <f>IF(I136&lt;&gt;0,IF(OR(I$16=1,I$19=1),IF('Assumptions - Freight'!$E$111=1, I136/'Assumptions - Freight'!$E$113,I136*'Assumptions - Freight'!$E$113)," "),0)</f>
        <v>40</v>
      </c>
      <c r="J147" s="123">
        <f>IF(J136&lt;&gt;0,IF(OR(J$16=1,J$19=1),IF('Assumptions - Freight'!$E$111=1, J136/'Assumptions - Freight'!$E$113,J136*'Assumptions - Freight'!$E$113)," "),0)</f>
        <v>40</v>
      </c>
      <c r="K147" s="123">
        <f>IF(K136&lt;&gt;0,IF(OR(K$16=1,K$19=1),IF('Assumptions - Freight'!$E$111=1, K136/'Assumptions - Freight'!$E$113,K136*'Assumptions - Freight'!$E$113)," "),0)</f>
        <v>45</v>
      </c>
      <c r="L147" s="123">
        <f>IF(L136&lt;&gt;0,IF(OR(L$16=1,L$19=1),IF('Assumptions - Freight'!$E$111=1, L136/'Assumptions - Freight'!$E$113,L136*'Assumptions - Freight'!$E$113)," "),0)</f>
        <v>45</v>
      </c>
      <c r="M147" s="123">
        <f>IF(M136&lt;&gt;0,IF(OR(M$16=1,M$19=1),IF('Assumptions - Freight'!$E$111=1, M136/'Assumptions - Freight'!$E$113,M136*'Assumptions - Freight'!$E$113)," "),0)</f>
        <v>45</v>
      </c>
      <c r="N147" s="123">
        <f>IF(N136&lt;&gt;0,IF(OR(N$16=1,N$19=1),IF('Assumptions - Freight'!$E$111=1, N136/'Assumptions - Freight'!$E$113,N136*'Assumptions - Freight'!$E$113)," "),0)</f>
        <v>45</v>
      </c>
      <c r="O147" s="123">
        <f>IF(O136&lt;&gt;0,IF(OR(O$16=1,O$19=1),IF('Assumptions - Freight'!$E$111=1, O136/'Assumptions - Freight'!$E$113,O136*'Assumptions - Freight'!$E$113)," "),0)</f>
        <v>45</v>
      </c>
      <c r="P147" s="123">
        <f>IF(P136&lt;&gt;0,IF(OR(P$16=1,P$19=1),IF('Assumptions - Freight'!$E$111=1, P136/'Assumptions - Freight'!$E$113,P136*'Assumptions - Freight'!$E$113)," "),0)</f>
        <v>45</v>
      </c>
      <c r="Q147" s="123">
        <f>IF(Q136&lt;&gt;0,IF(OR(Q$16=1,Q$19=1),IF('Assumptions - Freight'!$E$111=1, Q136/'Assumptions - Freight'!$E$113,Q136*'Assumptions - Freight'!$E$113)," "),0)</f>
        <v>45</v>
      </c>
      <c r="R147" s="123">
        <f>IF(R136&lt;&gt;0,IF(OR(R$16=1,R$19=1),IF('Assumptions - Freight'!$E$111=1, R136/'Assumptions - Freight'!$E$113,R136*'Assumptions - Freight'!$E$113)," "),0)</f>
        <v>45</v>
      </c>
      <c r="S147" s="123">
        <f>IF(S136&lt;&gt;0,IF(OR(S$16=1,S$19=1),IF('Assumptions - Freight'!$E$111=1, S136/'Assumptions - Freight'!$E$113,S136*'Assumptions - Freight'!$E$113)," "),0)</f>
        <v>45</v>
      </c>
      <c r="T147" s="123">
        <f>IF(T136&lt;&gt;0,IF(OR(T$16=1,T$19=1),IF('Assumptions - Freight'!$E$111=1, T136/'Assumptions - Freight'!$E$113,T136*'Assumptions - Freight'!$E$113)," "),0)</f>
        <v>45</v>
      </c>
      <c r="U147" s="123">
        <f>IF(U136&lt;&gt;0,IF(OR(U$16=1,U$19=1),IF('Assumptions - Freight'!$E$111=1, U136/'Assumptions - Freight'!$E$113,U136*'Assumptions - Freight'!$E$113)," "),0)</f>
        <v>45</v>
      </c>
      <c r="V147" s="123">
        <f>IF(V136&lt;&gt;0,IF(OR(V$16=1,V$19=1),IF('Assumptions - Freight'!$E$111=1, V136/'Assumptions - Freight'!$E$113,V136*'Assumptions - Freight'!$E$113)," "),0)</f>
        <v>45</v>
      </c>
      <c r="W147" s="123">
        <f>IF(W136&lt;&gt;0,IF(OR(W$16=1,W$19=1),IF('Assumptions - Freight'!$E$111=1, W136/'Assumptions - Freight'!$E$113,W136*'Assumptions - Freight'!$E$113)," "),0)</f>
        <v>45</v>
      </c>
      <c r="X147" s="123">
        <f>IF(X136&lt;&gt;0,IF(OR(X$16=1,X$19=1),IF('Assumptions - Freight'!$E$111=1, X136/'Assumptions - Freight'!$E$113,X136*'Assumptions - Freight'!$E$113)," "),0)</f>
        <v>45</v>
      </c>
      <c r="Y147" s="123">
        <f>IF(Y136&lt;&gt;0,IF(OR(Y$16=1,Y$19=1),IF('Assumptions - Freight'!$E$111=1, Y136/'Assumptions - Freight'!$E$113,Y136*'Assumptions - Freight'!$E$113)," "),0)</f>
        <v>45</v>
      </c>
      <c r="Z147" s="123">
        <f>IF(Z136&lt;&gt;0,IF(OR(Z$16=1,Z$19=1),IF('Assumptions - Freight'!$E$111=1, Z136/'Assumptions - Freight'!$E$113,Z136*'Assumptions - Freight'!$E$113)," "),0)</f>
        <v>45</v>
      </c>
      <c r="AA147" s="123">
        <f>IF(AA136&lt;&gt;0,IF(OR(AA$16=1,AA$19=1),IF('Assumptions - Freight'!$E$111=1, AA136/'Assumptions - Freight'!$E$113,AA136*'Assumptions - Freight'!$E$113)," "),0)</f>
        <v>45</v>
      </c>
      <c r="AB147" s="123">
        <f>IF(AB136&lt;&gt;0,IF(OR(AB$16=1,AB$19=1),IF('Assumptions - Freight'!$E$111=1, AB136/'Assumptions - Freight'!$E$113,AB136*'Assumptions - Freight'!$E$113)," "),0)</f>
        <v>45</v>
      </c>
      <c r="AC147" s="123">
        <f>IF(AC136&lt;&gt;0,IF(OR(AC$16=1,AC$19=1),IF('Assumptions - Freight'!$E$111=1, AC136/'Assumptions - Freight'!$E$113,AC136*'Assumptions - Freight'!$E$113)," "),0)</f>
        <v>45</v>
      </c>
      <c r="AD147" s="123">
        <f>IF(AD136&lt;&gt;0,IF(OR(AD$16=1,AD$19=1),IF('Assumptions - Freight'!$E$111=1, AD136/'Assumptions - Freight'!$E$113,AD136*'Assumptions - Freight'!$E$113)," "),0)</f>
        <v>45</v>
      </c>
      <c r="AE147" s="123">
        <f>IF(AE136&lt;&gt;0,IF(OR(AE$16=1,AE$19=1),IF('Assumptions - Freight'!$E$111=1, AE136/'Assumptions - Freight'!$E$113,AE136*'Assumptions - Freight'!$E$113)," "),0)</f>
        <v>45</v>
      </c>
      <c r="AF147" s="123">
        <f>IF(AF136&lt;&gt;0,IF(OR(AF$16=1,AF$19=1),IF('Assumptions - Freight'!$E$111=1, AF136/'Assumptions - Freight'!$E$113,AF136*'Assumptions - Freight'!$E$113)," "),0)</f>
        <v>45</v>
      </c>
      <c r="AG147" s="123">
        <f>IF(AG136&lt;&gt;0,IF(OR(AG$16=1,AG$19=1),IF('Assumptions - Freight'!$E$111=1, AG136/'Assumptions - Freight'!$E$113,AG136*'Assumptions - Freight'!$E$113)," "),0)</f>
        <v>45</v>
      </c>
      <c r="AH147" s="123">
        <f>IF(AH136&lt;&gt;0,IF(OR(AH$16=1,AH$19=1),IF('Assumptions - Freight'!$E$111=1, AH136/'Assumptions - Freight'!$E$113,AH136*'Assumptions - Freight'!$E$113)," "),0)</f>
        <v>45</v>
      </c>
    </row>
    <row r="148" spans="2:34" x14ac:dyDescent="0.2">
      <c r="B148" s="8" t="str">
        <f t="shared" si="38"/>
        <v>Annual traffic volume of Commodity 4</v>
      </c>
      <c r="C148" s="8"/>
      <c r="D148" s="8" t="str">
        <f t="shared" si="39"/>
        <v>Tons (million)</v>
      </c>
      <c r="E148" s="123">
        <f>IF(E137&lt;&gt;0,IF(OR(E$16=1,E$19=1),IF('Assumptions - Freight'!$E$111=1, E137/'Assumptions - Freight'!$E$113,E137*'Assumptions - Freight'!$E$113)," "),0)</f>
        <v>40</v>
      </c>
      <c r="F148" s="123">
        <f>IF(F137&lt;&gt;0,IF(OR(F$16=1,F$19=1),IF('Assumptions - Freight'!$E$111=1, F137/'Assumptions - Freight'!$E$113,F137*'Assumptions - Freight'!$E$113)," "),0)</f>
        <v>40</v>
      </c>
      <c r="G148" s="123">
        <f>IF(G137&lt;&gt;0,IF(OR(G$16=1,G$19=1),IF('Assumptions - Freight'!$E$111=1, G137/'Assumptions - Freight'!$E$113,G137*'Assumptions - Freight'!$E$113)," "),0)</f>
        <v>40</v>
      </c>
      <c r="H148" s="123">
        <f>IF(H137&lt;&gt;0,IF(OR(H$16=1,H$19=1),IF('Assumptions - Freight'!$E$111=1, H137/'Assumptions - Freight'!$E$113,H137*'Assumptions - Freight'!$E$113)," "),0)</f>
        <v>40</v>
      </c>
      <c r="I148" s="123">
        <f>IF(I137&lt;&gt;0,IF(OR(I$16=1,I$19=1),IF('Assumptions - Freight'!$E$111=1, I137/'Assumptions - Freight'!$E$113,I137*'Assumptions - Freight'!$E$113)," "),0)</f>
        <v>40</v>
      </c>
      <c r="J148" s="123">
        <f>IF(J137&lt;&gt;0,IF(OR(J$16=1,J$19=1),IF('Assumptions - Freight'!$E$111=1, J137/'Assumptions - Freight'!$E$113,J137*'Assumptions - Freight'!$E$113)," "),0)</f>
        <v>40</v>
      </c>
      <c r="K148" s="123">
        <f>IF(K137&lt;&gt;0,IF(OR(K$16=1,K$19=1),IF('Assumptions - Freight'!$E$111=1, K137/'Assumptions - Freight'!$E$113,K137*'Assumptions - Freight'!$E$113)," "),0)</f>
        <v>45</v>
      </c>
      <c r="L148" s="123">
        <f>IF(L137&lt;&gt;0,IF(OR(L$16=1,L$19=1),IF('Assumptions - Freight'!$E$111=1, L137/'Assumptions - Freight'!$E$113,L137*'Assumptions - Freight'!$E$113)," "),0)</f>
        <v>45</v>
      </c>
      <c r="M148" s="123">
        <f>IF(M137&lt;&gt;0,IF(OR(M$16=1,M$19=1),IF('Assumptions - Freight'!$E$111=1, M137/'Assumptions - Freight'!$E$113,M137*'Assumptions - Freight'!$E$113)," "),0)</f>
        <v>45</v>
      </c>
      <c r="N148" s="123">
        <f>IF(N137&lt;&gt;0,IF(OR(N$16=1,N$19=1),IF('Assumptions - Freight'!$E$111=1, N137/'Assumptions - Freight'!$E$113,N137*'Assumptions - Freight'!$E$113)," "),0)</f>
        <v>45</v>
      </c>
      <c r="O148" s="123">
        <f>IF(O137&lt;&gt;0,IF(OR(O$16=1,O$19=1),IF('Assumptions - Freight'!$E$111=1, O137/'Assumptions - Freight'!$E$113,O137*'Assumptions - Freight'!$E$113)," "),0)</f>
        <v>45</v>
      </c>
      <c r="P148" s="123">
        <f>IF(P137&lt;&gt;0,IF(OR(P$16=1,P$19=1),IF('Assumptions - Freight'!$E$111=1, P137/'Assumptions - Freight'!$E$113,P137*'Assumptions - Freight'!$E$113)," "),0)</f>
        <v>45</v>
      </c>
      <c r="Q148" s="123">
        <f>IF(Q137&lt;&gt;0,IF(OR(Q$16=1,Q$19=1),IF('Assumptions - Freight'!$E$111=1, Q137/'Assumptions - Freight'!$E$113,Q137*'Assumptions - Freight'!$E$113)," "),0)</f>
        <v>45</v>
      </c>
      <c r="R148" s="123">
        <f>IF(R137&lt;&gt;0,IF(OR(R$16=1,R$19=1),IF('Assumptions - Freight'!$E$111=1, R137/'Assumptions - Freight'!$E$113,R137*'Assumptions - Freight'!$E$113)," "),0)</f>
        <v>45</v>
      </c>
      <c r="S148" s="123">
        <f>IF(S137&lt;&gt;0,IF(OR(S$16=1,S$19=1),IF('Assumptions - Freight'!$E$111=1, S137/'Assumptions - Freight'!$E$113,S137*'Assumptions - Freight'!$E$113)," "),0)</f>
        <v>45</v>
      </c>
      <c r="T148" s="123">
        <f>IF(T137&lt;&gt;0,IF(OR(T$16=1,T$19=1),IF('Assumptions - Freight'!$E$111=1, T137/'Assumptions - Freight'!$E$113,T137*'Assumptions - Freight'!$E$113)," "),0)</f>
        <v>45</v>
      </c>
      <c r="U148" s="123">
        <f>IF(U137&lt;&gt;0,IF(OR(U$16=1,U$19=1),IF('Assumptions - Freight'!$E$111=1, U137/'Assumptions - Freight'!$E$113,U137*'Assumptions - Freight'!$E$113)," "),0)</f>
        <v>45</v>
      </c>
      <c r="V148" s="123">
        <f>IF(V137&lt;&gt;0,IF(OR(V$16=1,V$19=1),IF('Assumptions - Freight'!$E$111=1, V137/'Assumptions - Freight'!$E$113,V137*'Assumptions - Freight'!$E$113)," "),0)</f>
        <v>45</v>
      </c>
      <c r="W148" s="123">
        <f>IF(W137&lt;&gt;0,IF(OR(W$16=1,W$19=1),IF('Assumptions - Freight'!$E$111=1, W137/'Assumptions - Freight'!$E$113,W137*'Assumptions - Freight'!$E$113)," "),0)</f>
        <v>45</v>
      </c>
      <c r="X148" s="123">
        <f>IF(X137&lt;&gt;0,IF(OR(X$16=1,X$19=1),IF('Assumptions - Freight'!$E$111=1, X137/'Assumptions - Freight'!$E$113,X137*'Assumptions - Freight'!$E$113)," "),0)</f>
        <v>45</v>
      </c>
      <c r="Y148" s="123">
        <f>IF(Y137&lt;&gt;0,IF(OR(Y$16=1,Y$19=1),IF('Assumptions - Freight'!$E$111=1, Y137/'Assumptions - Freight'!$E$113,Y137*'Assumptions - Freight'!$E$113)," "),0)</f>
        <v>45</v>
      </c>
      <c r="Z148" s="123">
        <f>IF(Z137&lt;&gt;0,IF(OR(Z$16=1,Z$19=1),IF('Assumptions - Freight'!$E$111=1, Z137/'Assumptions - Freight'!$E$113,Z137*'Assumptions - Freight'!$E$113)," "),0)</f>
        <v>45</v>
      </c>
      <c r="AA148" s="123">
        <f>IF(AA137&lt;&gt;0,IF(OR(AA$16=1,AA$19=1),IF('Assumptions - Freight'!$E$111=1, AA137/'Assumptions - Freight'!$E$113,AA137*'Assumptions - Freight'!$E$113)," "),0)</f>
        <v>45</v>
      </c>
      <c r="AB148" s="123">
        <f>IF(AB137&lt;&gt;0,IF(OR(AB$16=1,AB$19=1),IF('Assumptions - Freight'!$E$111=1, AB137/'Assumptions - Freight'!$E$113,AB137*'Assumptions - Freight'!$E$113)," "),0)</f>
        <v>45</v>
      </c>
      <c r="AC148" s="123">
        <f>IF(AC137&lt;&gt;0,IF(OR(AC$16=1,AC$19=1),IF('Assumptions - Freight'!$E$111=1, AC137/'Assumptions - Freight'!$E$113,AC137*'Assumptions - Freight'!$E$113)," "),0)</f>
        <v>45</v>
      </c>
      <c r="AD148" s="123">
        <f>IF(AD137&lt;&gt;0,IF(OR(AD$16=1,AD$19=1),IF('Assumptions - Freight'!$E$111=1, AD137/'Assumptions - Freight'!$E$113,AD137*'Assumptions - Freight'!$E$113)," "),0)</f>
        <v>45</v>
      </c>
      <c r="AE148" s="123">
        <f>IF(AE137&lt;&gt;0,IF(OR(AE$16=1,AE$19=1),IF('Assumptions - Freight'!$E$111=1, AE137/'Assumptions - Freight'!$E$113,AE137*'Assumptions - Freight'!$E$113)," "),0)</f>
        <v>45</v>
      </c>
      <c r="AF148" s="123">
        <f>IF(AF137&lt;&gt;0,IF(OR(AF$16=1,AF$19=1),IF('Assumptions - Freight'!$E$111=1, AF137/'Assumptions - Freight'!$E$113,AF137*'Assumptions - Freight'!$E$113)," "),0)</f>
        <v>45</v>
      </c>
      <c r="AG148" s="123">
        <f>IF(AG137&lt;&gt;0,IF(OR(AG$16=1,AG$19=1),IF('Assumptions - Freight'!$E$111=1, AG137/'Assumptions - Freight'!$E$113,AG137*'Assumptions - Freight'!$E$113)," "),0)</f>
        <v>45</v>
      </c>
      <c r="AH148" s="123">
        <f>IF(AH137&lt;&gt;0,IF(OR(AH$16=1,AH$19=1),IF('Assumptions - Freight'!$E$111=1, AH137/'Assumptions - Freight'!$E$113,AH137*'Assumptions - Freight'!$E$113)," "),0)</f>
        <v>45</v>
      </c>
    </row>
    <row r="149" spans="2:34" x14ac:dyDescent="0.2">
      <c r="B149" s="8" t="str">
        <f t="shared" si="38"/>
        <v>Annual traffic volume of Commodity 5</v>
      </c>
      <c r="C149" s="8"/>
      <c r="D149" s="8" t="str">
        <f t="shared" si="39"/>
        <v>Tons (million)</v>
      </c>
      <c r="E149" s="123">
        <f>IF(E138&lt;&gt;0,IF(OR(E$16=1,E$19=1),IF('Assumptions - Freight'!$E$111=1, E138/'Assumptions - Freight'!$E$113,E138*'Assumptions - Freight'!$E$113)," "),0)</f>
        <v>40</v>
      </c>
      <c r="F149" s="123">
        <f>IF(F138&lt;&gt;0,IF(OR(F$16=1,F$19=1),IF('Assumptions - Freight'!$E$111=1, F138/'Assumptions - Freight'!$E$113,F138*'Assumptions - Freight'!$E$113)," "),0)</f>
        <v>40</v>
      </c>
      <c r="G149" s="123">
        <f>IF(G138&lt;&gt;0,IF(OR(G$16=1,G$19=1),IF('Assumptions - Freight'!$E$111=1, G138/'Assumptions - Freight'!$E$113,G138*'Assumptions - Freight'!$E$113)," "),0)</f>
        <v>40</v>
      </c>
      <c r="H149" s="123">
        <f>IF(H138&lt;&gt;0,IF(OR(H$16=1,H$19=1),IF('Assumptions - Freight'!$E$111=1, H138/'Assumptions - Freight'!$E$113,H138*'Assumptions - Freight'!$E$113)," "),0)</f>
        <v>40</v>
      </c>
      <c r="I149" s="123">
        <f>IF(I138&lt;&gt;0,IF(OR(I$16=1,I$19=1),IF('Assumptions - Freight'!$E$111=1, I138/'Assumptions - Freight'!$E$113,I138*'Assumptions - Freight'!$E$113)," "),0)</f>
        <v>40</v>
      </c>
      <c r="J149" s="123">
        <f>IF(J138&lt;&gt;0,IF(OR(J$16=1,J$19=1),IF('Assumptions - Freight'!$E$111=1, J138/'Assumptions - Freight'!$E$113,J138*'Assumptions - Freight'!$E$113)," "),0)</f>
        <v>40</v>
      </c>
      <c r="K149" s="123">
        <f>IF(K138&lt;&gt;0,IF(OR(K$16=1,K$19=1),IF('Assumptions - Freight'!$E$111=1, K138/'Assumptions - Freight'!$E$113,K138*'Assumptions - Freight'!$E$113)," "),0)</f>
        <v>45</v>
      </c>
      <c r="L149" s="123">
        <f>IF(L138&lt;&gt;0,IF(OR(L$16=1,L$19=1),IF('Assumptions - Freight'!$E$111=1, L138/'Assumptions - Freight'!$E$113,L138*'Assumptions - Freight'!$E$113)," "),0)</f>
        <v>45</v>
      </c>
      <c r="M149" s="123">
        <f>IF(M138&lt;&gt;0,IF(OR(M$16=1,M$19=1),IF('Assumptions - Freight'!$E$111=1, M138/'Assumptions - Freight'!$E$113,M138*'Assumptions - Freight'!$E$113)," "),0)</f>
        <v>45</v>
      </c>
      <c r="N149" s="123">
        <f>IF(N138&lt;&gt;0,IF(OR(N$16=1,N$19=1),IF('Assumptions - Freight'!$E$111=1, N138/'Assumptions - Freight'!$E$113,N138*'Assumptions - Freight'!$E$113)," "),0)</f>
        <v>45</v>
      </c>
      <c r="O149" s="123">
        <f>IF(O138&lt;&gt;0,IF(OR(O$16=1,O$19=1),IF('Assumptions - Freight'!$E$111=1, O138/'Assumptions - Freight'!$E$113,O138*'Assumptions - Freight'!$E$113)," "),0)</f>
        <v>45</v>
      </c>
      <c r="P149" s="123">
        <f>IF(P138&lt;&gt;0,IF(OR(P$16=1,P$19=1),IF('Assumptions - Freight'!$E$111=1, P138/'Assumptions - Freight'!$E$113,P138*'Assumptions - Freight'!$E$113)," "),0)</f>
        <v>45</v>
      </c>
      <c r="Q149" s="123">
        <f>IF(Q138&lt;&gt;0,IF(OR(Q$16=1,Q$19=1),IF('Assumptions - Freight'!$E$111=1, Q138/'Assumptions - Freight'!$E$113,Q138*'Assumptions - Freight'!$E$113)," "),0)</f>
        <v>45</v>
      </c>
      <c r="R149" s="123">
        <f>IF(R138&lt;&gt;0,IF(OR(R$16=1,R$19=1),IF('Assumptions - Freight'!$E$111=1, R138/'Assumptions - Freight'!$E$113,R138*'Assumptions - Freight'!$E$113)," "),0)</f>
        <v>45</v>
      </c>
      <c r="S149" s="123">
        <f>IF(S138&lt;&gt;0,IF(OR(S$16=1,S$19=1),IF('Assumptions - Freight'!$E$111=1, S138/'Assumptions - Freight'!$E$113,S138*'Assumptions - Freight'!$E$113)," "),0)</f>
        <v>45</v>
      </c>
      <c r="T149" s="123">
        <f>IF(T138&lt;&gt;0,IF(OR(T$16=1,T$19=1),IF('Assumptions - Freight'!$E$111=1, T138/'Assumptions - Freight'!$E$113,T138*'Assumptions - Freight'!$E$113)," "),0)</f>
        <v>45</v>
      </c>
      <c r="U149" s="123">
        <f>IF(U138&lt;&gt;0,IF(OR(U$16=1,U$19=1),IF('Assumptions - Freight'!$E$111=1, U138/'Assumptions - Freight'!$E$113,U138*'Assumptions - Freight'!$E$113)," "),0)</f>
        <v>45</v>
      </c>
      <c r="V149" s="123">
        <f>IF(V138&lt;&gt;0,IF(OR(V$16=1,V$19=1),IF('Assumptions - Freight'!$E$111=1, V138/'Assumptions - Freight'!$E$113,V138*'Assumptions - Freight'!$E$113)," "),0)</f>
        <v>45</v>
      </c>
      <c r="W149" s="123">
        <f>IF(W138&lt;&gt;0,IF(OR(W$16=1,W$19=1),IF('Assumptions - Freight'!$E$111=1, W138/'Assumptions - Freight'!$E$113,W138*'Assumptions - Freight'!$E$113)," "),0)</f>
        <v>45</v>
      </c>
      <c r="X149" s="123">
        <f>IF(X138&lt;&gt;0,IF(OR(X$16=1,X$19=1),IF('Assumptions - Freight'!$E$111=1, X138/'Assumptions - Freight'!$E$113,X138*'Assumptions - Freight'!$E$113)," "),0)</f>
        <v>45</v>
      </c>
      <c r="Y149" s="123">
        <f>IF(Y138&lt;&gt;0,IF(OR(Y$16=1,Y$19=1),IF('Assumptions - Freight'!$E$111=1, Y138/'Assumptions - Freight'!$E$113,Y138*'Assumptions - Freight'!$E$113)," "),0)</f>
        <v>45</v>
      </c>
      <c r="Z149" s="123">
        <f>IF(Z138&lt;&gt;0,IF(OR(Z$16=1,Z$19=1),IF('Assumptions - Freight'!$E$111=1, Z138/'Assumptions - Freight'!$E$113,Z138*'Assumptions - Freight'!$E$113)," "),0)</f>
        <v>45</v>
      </c>
      <c r="AA149" s="123">
        <f>IF(AA138&lt;&gt;0,IF(OR(AA$16=1,AA$19=1),IF('Assumptions - Freight'!$E$111=1, AA138/'Assumptions - Freight'!$E$113,AA138*'Assumptions - Freight'!$E$113)," "),0)</f>
        <v>45</v>
      </c>
      <c r="AB149" s="123">
        <f>IF(AB138&lt;&gt;0,IF(OR(AB$16=1,AB$19=1),IF('Assumptions - Freight'!$E$111=1, AB138/'Assumptions - Freight'!$E$113,AB138*'Assumptions - Freight'!$E$113)," "),0)</f>
        <v>45</v>
      </c>
      <c r="AC149" s="123">
        <f>IF(AC138&lt;&gt;0,IF(OR(AC$16=1,AC$19=1),IF('Assumptions - Freight'!$E$111=1, AC138/'Assumptions - Freight'!$E$113,AC138*'Assumptions - Freight'!$E$113)," "),0)</f>
        <v>45</v>
      </c>
      <c r="AD149" s="123">
        <f>IF(AD138&lt;&gt;0,IF(OR(AD$16=1,AD$19=1),IF('Assumptions - Freight'!$E$111=1, AD138/'Assumptions - Freight'!$E$113,AD138*'Assumptions - Freight'!$E$113)," "),0)</f>
        <v>45</v>
      </c>
      <c r="AE149" s="123">
        <f>IF(AE138&lt;&gt;0,IF(OR(AE$16=1,AE$19=1),IF('Assumptions - Freight'!$E$111=1, AE138/'Assumptions - Freight'!$E$113,AE138*'Assumptions - Freight'!$E$113)," "),0)</f>
        <v>45</v>
      </c>
      <c r="AF149" s="123">
        <f>IF(AF138&lt;&gt;0,IF(OR(AF$16=1,AF$19=1),IF('Assumptions - Freight'!$E$111=1, AF138/'Assumptions - Freight'!$E$113,AF138*'Assumptions - Freight'!$E$113)," "),0)</f>
        <v>45</v>
      </c>
      <c r="AG149" s="123">
        <f>IF(AG138&lt;&gt;0,IF(OR(AG$16=1,AG$19=1),IF('Assumptions - Freight'!$E$111=1, AG138/'Assumptions - Freight'!$E$113,AG138*'Assumptions - Freight'!$E$113)," "),0)</f>
        <v>45</v>
      </c>
      <c r="AH149" s="123">
        <f>IF(AH138&lt;&gt;0,IF(OR(AH$16=1,AH$19=1),IF('Assumptions - Freight'!$E$111=1, AH138/'Assumptions - Freight'!$E$113,AH138*'Assumptions - Freight'!$E$113)," "),0)</f>
        <v>45</v>
      </c>
    </row>
    <row r="150" spans="2:34" x14ac:dyDescent="0.2">
      <c r="B150" s="8" t="str">
        <f t="shared" si="38"/>
        <v>Annual traffic volume of Commodity 6</v>
      </c>
      <c r="C150" s="8"/>
      <c r="D150" s="8" t="str">
        <f t="shared" si="39"/>
        <v>Tons (million)</v>
      </c>
      <c r="E150" s="123">
        <f>IF(E139&lt;&gt;0,IF(OR(E$16=1,E$19=1),IF('Assumptions - Freight'!$E$111=1, E139/'Assumptions - Freight'!$E$113,E139*'Assumptions - Freight'!$E$113)," "),0)</f>
        <v>40</v>
      </c>
      <c r="F150" s="123">
        <f>IF(F139&lt;&gt;0,IF(OR(F$16=1,F$19=1),IF('Assumptions - Freight'!$E$111=1, F139/'Assumptions - Freight'!$E$113,F139*'Assumptions - Freight'!$E$113)," "),0)</f>
        <v>40</v>
      </c>
      <c r="G150" s="123">
        <f>IF(G139&lt;&gt;0,IF(OR(G$16=1,G$19=1),IF('Assumptions - Freight'!$E$111=1, G139/'Assumptions - Freight'!$E$113,G139*'Assumptions - Freight'!$E$113)," "),0)</f>
        <v>40</v>
      </c>
      <c r="H150" s="123">
        <f>IF(H139&lt;&gt;0,IF(OR(H$16=1,H$19=1),IF('Assumptions - Freight'!$E$111=1, H139/'Assumptions - Freight'!$E$113,H139*'Assumptions - Freight'!$E$113)," "),0)</f>
        <v>40</v>
      </c>
      <c r="I150" s="123">
        <f>IF(I139&lt;&gt;0,IF(OR(I$16=1,I$19=1),IF('Assumptions - Freight'!$E$111=1, I139/'Assumptions - Freight'!$E$113,I139*'Assumptions - Freight'!$E$113)," "),0)</f>
        <v>40</v>
      </c>
      <c r="J150" s="123">
        <f>IF(J139&lt;&gt;0,IF(OR(J$16=1,J$19=1),IF('Assumptions - Freight'!$E$111=1, J139/'Assumptions - Freight'!$E$113,J139*'Assumptions - Freight'!$E$113)," "),0)</f>
        <v>40</v>
      </c>
      <c r="K150" s="123">
        <f>IF(K139&lt;&gt;0,IF(OR(K$16=1,K$19=1),IF('Assumptions - Freight'!$E$111=1, K139/'Assumptions - Freight'!$E$113,K139*'Assumptions - Freight'!$E$113)," "),0)</f>
        <v>45</v>
      </c>
      <c r="L150" s="123">
        <f>IF(L139&lt;&gt;0,IF(OR(L$16=1,L$19=1),IF('Assumptions - Freight'!$E$111=1, L139/'Assumptions - Freight'!$E$113,L139*'Assumptions - Freight'!$E$113)," "),0)</f>
        <v>45</v>
      </c>
      <c r="M150" s="123">
        <f>IF(M139&lt;&gt;0,IF(OR(M$16=1,M$19=1),IF('Assumptions - Freight'!$E$111=1, M139/'Assumptions - Freight'!$E$113,M139*'Assumptions - Freight'!$E$113)," "),0)</f>
        <v>45</v>
      </c>
      <c r="N150" s="123">
        <f>IF(N139&lt;&gt;0,IF(OR(N$16=1,N$19=1),IF('Assumptions - Freight'!$E$111=1, N139/'Assumptions - Freight'!$E$113,N139*'Assumptions - Freight'!$E$113)," "),0)</f>
        <v>45</v>
      </c>
      <c r="O150" s="123">
        <f>IF(O139&lt;&gt;0,IF(OR(O$16=1,O$19=1),IF('Assumptions - Freight'!$E$111=1, O139/'Assumptions - Freight'!$E$113,O139*'Assumptions - Freight'!$E$113)," "),0)</f>
        <v>45</v>
      </c>
      <c r="P150" s="123">
        <f>IF(P139&lt;&gt;0,IF(OR(P$16=1,P$19=1),IF('Assumptions - Freight'!$E$111=1, P139/'Assumptions - Freight'!$E$113,P139*'Assumptions - Freight'!$E$113)," "),0)</f>
        <v>45</v>
      </c>
      <c r="Q150" s="123">
        <f>IF(Q139&lt;&gt;0,IF(OR(Q$16=1,Q$19=1),IF('Assumptions - Freight'!$E$111=1, Q139/'Assumptions - Freight'!$E$113,Q139*'Assumptions - Freight'!$E$113)," "),0)</f>
        <v>45</v>
      </c>
      <c r="R150" s="123">
        <f>IF(R139&lt;&gt;0,IF(OR(R$16=1,R$19=1),IF('Assumptions - Freight'!$E$111=1, R139/'Assumptions - Freight'!$E$113,R139*'Assumptions - Freight'!$E$113)," "),0)</f>
        <v>45</v>
      </c>
      <c r="S150" s="123">
        <f>IF(S139&lt;&gt;0,IF(OR(S$16=1,S$19=1),IF('Assumptions - Freight'!$E$111=1, S139/'Assumptions - Freight'!$E$113,S139*'Assumptions - Freight'!$E$113)," "),0)</f>
        <v>45</v>
      </c>
      <c r="T150" s="123">
        <f>IF(T139&lt;&gt;0,IF(OR(T$16=1,T$19=1),IF('Assumptions - Freight'!$E$111=1, T139/'Assumptions - Freight'!$E$113,T139*'Assumptions - Freight'!$E$113)," "),0)</f>
        <v>45</v>
      </c>
      <c r="U150" s="123">
        <f>IF(U139&lt;&gt;0,IF(OR(U$16=1,U$19=1),IF('Assumptions - Freight'!$E$111=1, U139/'Assumptions - Freight'!$E$113,U139*'Assumptions - Freight'!$E$113)," "),0)</f>
        <v>45</v>
      </c>
      <c r="V150" s="123">
        <f>IF(V139&lt;&gt;0,IF(OR(V$16=1,V$19=1),IF('Assumptions - Freight'!$E$111=1, V139/'Assumptions - Freight'!$E$113,V139*'Assumptions - Freight'!$E$113)," "),0)</f>
        <v>45</v>
      </c>
      <c r="W150" s="123">
        <f>IF(W139&lt;&gt;0,IF(OR(W$16=1,W$19=1),IF('Assumptions - Freight'!$E$111=1, W139/'Assumptions - Freight'!$E$113,W139*'Assumptions - Freight'!$E$113)," "),0)</f>
        <v>45</v>
      </c>
      <c r="X150" s="123">
        <f>IF(X139&lt;&gt;0,IF(OR(X$16=1,X$19=1),IF('Assumptions - Freight'!$E$111=1, X139/'Assumptions - Freight'!$E$113,X139*'Assumptions - Freight'!$E$113)," "),0)</f>
        <v>45</v>
      </c>
      <c r="Y150" s="123">
        <f>IF(Y139&lt;&gt;0,IF(OR(Y$16=1,Y$19=1),IF('Assumptions - Freight'!$E$111=1, Y139/'Assumptions - Freight'!$E$113,Y139*'Assumptions - Freight'!$E$113)," "),0)</f>
        <v>45</v>
      </c>
      <c r="Z150" s="123">
        <f>IF(Z139&lt;&gt;0,IF(OR(Z$16=1,Z$19=1),IF('Assumptions - Freight'!$E$111=1, Z139/'Assumptions - Freight'!$E$113,Z139*'Assumptions - Freight'!$E$113)," "),0)</f>
        <v>45</v>
      </c>
      <c r="AA150" s="123">
        <f>IF(AA139&lt;&gt;0,IF(OR(AA$16=1,AA$19=1),IF('Assumptions - Freight'!$E$111=1, AA139/'Assumptions - Freight'!$E$113,AA139*'Assumptions - Freight'!$E$113)," "),0)</f>
        <v>45</v>
      </c>
      <c r="AB150" s="123">
        <f>IF(AB139&lt;&gt;0,IF(OR(AB$16=1,AB$19=1),IF('Assumptions - Freight'!$E$111=1, AB139/'Assumptions - Freight'!$E$113,AB139*'Assumptions - Freight'!$E$113)," "),0)</f>
        <v>45</v>
      </c>
      <c r="AC150" s="123">
        <f>IF(AC139&lt;&gt;0,IF(OR(AC$16=1,AC$19=1),IF('Assumptions - Freight'!$E$111=1, AC139/'Assumptions - Freight'!$E$113,AC139*'Assumptions - Freight'!$E$113)," "),0)</f>
        <v>45</v>
      </c>
      <c r="AD150" s="123">
        <f>IF(AD139&lt;&gt;0,IF(OR(AD$16=1,AD$19=1),IF('Assumptions - Freight'!$E$111=1, AD139/'Assumptions - Freight'!$E$113,AD139*'Assumptions - Freight'!$E$113)," "),0)</f>
        <v>45</v>
      </c>
      <c r="AE150" s="123">
        <f>IF(AE139&lt;&gt;0,IF(OR(AE$16=1,AE$19=1),IF('Assumptions - Freight'!$E$111=1, AE139/'Assumptions - Freight'!$E$113,AE139*'Assumptions - Freight'!$E$113)," "),0)</f>
        <v>45</v>
      </c>
      <c r="AF150" s="123">
        <f>IF(AF139&lt;&gt;0,IF(OR(AF$16=1,AF$19=1),IF('Assumptions - Freight'!$E$111=1, AF139/'Assumptions - Freight'!$E$113,AF139*'Assumptions - Freight'!$E$113)," "),0)</f>
        <v>45</v>
      </c>
      <c r="AG150" s="123">
        <f>IF(AG139&lt;&gt;0,IF(OR(AG$16=1,AG$19=1),IF('Assumptions - Freight'!$E$111=1, AG139/'Assumptions - Freight'!$E$113,AG139*'Assumptions - Freight'!$E$113)," "),0)</f>
        <v>45</v>
      </c>
      <c r="AH150" s="123">
        <f>IF(AH139&lt;&gt;0,IF(OR(AH$16=1,AH$19=1),IF('Assumptions - Freight'!$E$111=1, AH139/'Assumptions - Freight'!$E$113,AH139*'Assumptions - Freight'!$E$113)," "),0)</f>
        <v>45</v>
      </c>
    </row>
    <row r="151" spans="2:34" x14ac:dyDescent="0.2">
      <c r="B151" s="8" t="str">
        <f t="shared" si="38"/>
        <v>Annual traffic volume of Commodity 7</v>
      </c>
      <c r="C151" s="8"/>
      <c r="D151" s="8" t="str">
        <f t="shared" si="39"/>
        <v>Tons (million)</v>
      </c>
      <c r="E151" s="123">
        <f>IF(E140&lt;&gt;0,IF(OR(E$16=1,E$19=1),IF('Assumptions - Freight'!$E$111=1, E140/'Assumptions - Freight'!$E$113,E140*'Assumptions - Freight'!$E$113)," "),0)</f>
        <v>40</v>
      </c>
      <c r="F151" s="123">
        <f>IF(F140&lt;&gt;0,IF(OR(F$16=1,F$19=1),IF('Assumptions - Freight'!$E$111=1, F140/'Assumptions - Freight'!$E$113,F140*'Assumptions - Freight'!$E$113)," "),0)</f>
        <v>40</v>
      </c>
      <c r="G151" s="123">
        <f>IF(G140&lt;&gt;0,IF(OR(G$16=1,G$19=1),IF('Assumptions - Freight'!$E$111=1, G140/'Assumptions - Freight'!$E$113,G140*'Assumptions - Freight'!$E$113)," "),0)</f>
        <v>40</v>
      </c>
      <c r="H151" s="123">
        <f>IF(H140&lt;&gt;0,IF(OR(H$16=1,H$19=1),IF('Assumptions - Freight'!$E$111=1, H140/'Assumptions - Freight'!$E$113,H140*'Assumptions - Freight'!$E$113)," "),0)</f>
        <v>40</v>
      </c>
      <c r="I151" s="123">
        <f>IF(I140&lt;&gt;0,IF(OR(I$16=1,I$19=1),IF('Assumptions - Freight'!$E$111=1, I140/'Assumptions - Freight'!$E$113,I140*'Assumptions - Freight'!$E$113)," "),0)</f>
        <v>40</v>
      </c>
      <c r="J151" s="123">
        <f>IF(J140&lt;&gt;0,IF(OR(J$16=1,J$19=1),IF('Assumptions - Freight'!$E$111=1, J140/'Assumptions - Freight'!$E$113,J140*'Assumptions - Freight'!$E$113)," "),0)</f>
        <v>40</v>
      </c>
      <c r="K151" s="123">
        <f>IF(K140&lt;&gt;0,IF(OR(K$16=1,K$19=1),IF('Assumptions - Freight'!$E$111=1, K140/'Assumptions - Freight'!$E$113,K140*'Assumptions - Freight'!$E$113)," "),0)</f>
        <v>45</v>
      </c>
      <c r="L151" s="123">
        <f>IF(L140&lt;&gt;0,IF(OR(L$16=1,L$19=1),IF('Assumptions - Freight'!$E$111=1, L140/'Assumptions - Freight'!$E$113,L140*'Assumptions - Freight'!$E$113)," "),0)</f>
        <v>45</v>
      </c>
      <c r="M151" s="123">
        <f>IF(M140&lt;&gt;0,IF(OR(M$16=1,M$19=1),IF('Assumptions - Freight'!$E$111=1, M140/'Assumptions - Freight'!$E$113,M140*'Assumptions - Freight'!$E$113)," "),0)</f>
        <v>45</v>
      </c>
      <c r="N151" s="123">
        <f>IF(N140&lt;&gt;0,IF(OR(N$16=1,N$19=1),IF('Assumptions - Freight'!$E$111=1, N140/'Assumptions - Freight'!$E$113,N140*'Assumptions - Freight'!$E$113)," "),0)</f>
        <v>45</v>
      </c>
      <c r="O151" s="123">
        <f>IF(O140&lt;&gt;0,IF(OR(O$16=1,O$19=1),IF('Assumptions - Freight'!$E$111=1, O140/'Assumptions - Freight'!$E$113,O140*'Assumptions - Freight'!$E$113)," "),0)</f>
        <v>45</v>
      </c>
      <c r="P151" s="123">
        <f>IF(P140&lt;&gt;0,IF(OR(P$16=1,P$19=1),IF('Assumptions - Freight'!$E$111=1, P140/'Assumptions - Freight'!$E$113,P140*'Assumptions - Freight'!$E$113)," "),0)</f>
        <v>45</v>
      </c>
      <c r="Q151" s="123">
        <f>IF(Q140&lt;&gt;0,IF(OR(Q$16=1,Q$19=1),IF('Assumptions - Freight'!$E$111=1, Q140/'Assumptions - Freight'!$E$113,Q140*'Assumptions - Freight'!$E$113)," "),0)</f>
        <v>45</v>
      </c>
      <c r="R151" s="123">
        <f>IF(R140&lt;&gt;0,IF(OR(R$16=1,R$19=1),IF('Assumptions - Freight'!$E$111=1, R140/'Assumptions - Freight'!$E$113,R140*'Assumptions - Freight'!$E$113)," "),0)</f>
        <v>45</v>
      </c>
      <c r="S151" s="123">
        <f>IF(S140&lt;&gt;0,IF(OR(S$16=1,S$19=1),IF('Assumptions - Freight'!$E$111=1, S140/'Assumptions - Freight'!$E$113,S140*'Assumptions - Freight'!$E$113)," "),0)</f>
        <v>45</v>
      </c>
      <c r="T151" s="123">
        <f>IF(T140&lt;&gt;0,IF(OR(T$16=1,T$19=1),IF('Assumptions - Freight'!$E$111=1, T140/'Assumptions - Freight'!$E$113,T140*'Assumptions - Freight'!$E$113)," "),0)</f>
        <v>45</v>
      </c>
      <c r="U151" s="123">
        <f>IF(U140&lt;&gt;0,IF(OR(U$16=1,U$19=1),IF('Assumptions - Freight'!$E$111=1, U140/'Assumptions - Freight'!$E$113,U140*'Assumptions - Freight'!$E$113)," "),0)</f>
        <v>45</v>
      </c>
      <c r="V151" s="123">
        <f>IF(V140&lt;&gt;0,IF(OR(V$16=1,V$19=1),IF('Assumptions - Freight'!$E$111=1, V140/'Assumptions - Freight'!$E$113,V140*'Assumptions - Freight'!$E$113)," "),0)</f>
        <v>45</v>
      </c>
      <c r="W151" s="123">
        <f>IF(W140&lt;&gt;0,IF(OR(W$16=1,W$19=1),IF('Assumptions - Freight'!$E$111=1, W140/'Assumptions - Freight'!$E$113,W140*'Assumptions - Freight'!$E$113)," "),0)</f>
        <v>45</v>
      </c>
      <c r="X151" s="123">
        <f>IF(X140&lt;&gt;0,IF(OR(X$16=1,X$19=1),IF('Assumptions - Freight'!$E$111=1, X140/'Assumptions - Freight'!$E$113,X140*'Assumptions - Freight'!$E$113)," "),0)</f>
        <v>45</v>
      </c>
      <c r="Y151" s="123">
        <f>IF(Y140&lt;&gt;0,IF(OR(Y$16=1,Y$19=1),IF('Assumptions - Freight'!$E$111=1, Y140/'Assumptions - Freight'!$E$113,Y140*'Assumptions - Freight'!$E$113)," "),0)</f>
        <v>45</v>
      </c>
      <c r="Z151" s="123">
        <f>IF(Z140&lt;&gt;0,IF(OR(Z$16=1,Z$19=1),IF('Assumptions - Freight'!$E$111=1, Z140/'Assumptions - Freight'!$E$113,Z140*'Assumptions - Freight'!$E$113)," "),0)</f>
        <v>45</v>
      </c>
      <c r="AA151" s="123">
        <f>IF(AA140&lt;&gt;0,IF(OR(AA$16=1,AA$19=1),IF('Assumptions - Freight'!$E$111=1, AA140/'Assumptions - Freight'!$E$113,AA140*'Assumptions - Freight'!$E$113)," "),0)</f>
        <v>45</v>
      </c>
      <c r="AB151" s="123">
        <f>IF(AB140&lt;&gt;0,IF(OR(AB$16=1,AB$19=1),IF('Assumptions - Freight'!$E$111=1, AB140/'Assumptions - Freight'!$E$113,AB140*'Assumptions - Freight'!$E$113)," "),0)</f>
        <v>45</v>
      </c>
      <c r="AC151" s="123">
        <f>IF(AC140&lt;&gt;0,IF(OR(AC$16=1,AC$19=1),IF('Assumptions - Freight'!$E$111=1, AC140/'Assumptions - Freight'!$E$113,AC140*'Assumptions - Freight'!$E$113)," "),0)</f>
        <v>45</v>
      </c>
      <c r="AD151" s="123">
        <f>IF(AD140&lt;&gt;0,IF(OR(AD$16=1,AD$19=1),IF('Assumptions - Freight'!$E$111=1, AD140/'Assumptions - Freight'!$E$113,AD140*'Assumptions - Freight'!$E$113)," "),0)</f>
        <v>45</v>
      </c>
      <c r="AE151" s="123">
        <f>IF(AE140&lt;&gt;0,IF(OR(AE$16=1,AE$19=1),IF('Assumptions - Freight'!$E$111=1, AE140/'Assumptions - Freight'!$E$113,AE140*'Assumptions - Freight'!$E$113)," "),0)</f>
        <v>45</v>
      </c>
      <c r="AF151" s="123">
        <f>IF(AF140&lt;&gt;0,IF(OR(AF$16=1,AF$19=1),IF('Assumptions - Freight'!$E$111=1, AF140/'Assumptions - Freight'!$E$113,AF140*'Assumptions - Freight'!$E$113)," "),0)</f>
        <v>45</v>
      </c>
      <c r="AG151" s="123">
        <f>IF(AG140&lt;&gt;0,IF(OR(AG$16=1,AG$19=1),IF('Assumptions - Freight'!$E$111=1, AG140/'Assumptions - Freight'!$E$113,AG140*'Assumptions - Freight'!$E$113)," "),0)</f>
        <v>45</v>
      </c>
      <c r="AH151" s="123">
        <f>IF(AH140&lt;&gt;0,IF(OR(AH$16=1,AH$19=1),IF('Assumptions - Freight'!$E$111=1, AH140/'Assumptions - Freight'!$E$113,AH140*'Assumptions - Freight'!$E$113)," "),0)</f>
        <v>45</v>
      </c>
    </row>
    <row r="152" spans="2:34" x14ac:dyDescent="0.2">
      <c r="B152" s="8" t="str">
        <f t="shared" si="38"/>
        <v>Annual traffic volume of Commodity 8</v>
      </c>
      <c r="C152" s="8"/>
      <c r="D152" s="8" t="str">
        <f t="shared" si="39"/>
        <v>Tons (million)</v>
      </c>
      <c r="E152" s="123">
        <f>IF(E141&lt;&gt;0,IF(OR(E$16=1,E$19=1),IF('Assumptions - Freight'!$E$111=1, E141/'Assumptions - Freight'!$E$113,E141*'Assumptions - Freight'!$E$113)," "),0)</f>
        <v>40</v>
      </c>
      <c r="F152" s="123">
        <f>IF(F141&lt;&gt;0,IF(OR(F$16=1,F$19=1),IF('Assumptions - Freight'!$E$111=1, F141/'Assumptions - Freight'!$E$113,F141*'Assumptions - Freight'!$E$113)," "),0)</f>
        <v>40</v>
      </c>
      <c r="G152" s="123">
        <f>IF(G141&lt;&gt;0,IF(OR(G$16=1,G$19=1),IF('Assumptions - Freight'!$E$111=1, G141/'Assumptions - Freight'!$E$113,G141*'Assumptions - Freight'!$E$113)," "),0)</f>
        <v>40</v>
      </c>
      <c r="H152" s="123">
        <f>IF(H141&lt;&gt;0,IF(OR(H$16=1,H$19=1),IF('Assumptions - Freight'!$E$111=1, H141/'Assumptions - Freight'!$E$113,H141*'Assumptions - Freight'!$E$113)," "),0)</f>
        <v>40</v>
      </c>
      <c r="I152" s="123">
        <f>IF(I141&lt;&gt;0,IF(OR(I$16=1,I$19=1),IF('Assumptions - Freight'!$E$111=1, I141/'Assumptions - Freight'!$E$113,I141*'Assumptions - Freight'!$E$113)," "),0)</f>
        <v>40</v>
      </c>
      <c r="J152" s="123">
        <f>IF(J141&lt;&gt;0,IF(OR(J$16=1,J$19=1),IF('Assumptions - Freight'!$E$111=1, J141/'Assumptions - Freight'!$E$113,J141*'Assumptions - Freight'!$E$113)," "),0)</f>
        <v>40</v>
      </c>
      <c r="K152" s="123">
        <f>IF(K141&lt;&gt;0,IF(OR(K$16=1,K$19=1),IF('Assumptions - Freight'!$E$111=1, K141/'Assumptions - Freight'!$E$113,K141*'Assumptions - Freight'!$E$113)," "),0)</f>
        <v>45</v>
      </c>
      <c r="L152" s="123">
        <f>IF(L141&lt;&gt;0,IF(OR(L$16=1,L$19=1),IF('Assumptions - Freight'!$E$111=1, L141/'Assumptions - Freight'!$E$113,L141*'Assumptions - Freight'!$E$113)," "),0)</f>
        <v>45</v>
      </c>
      <c r="M152" s="123">
        <f>IF(M141&lt;&gt;0,IF(OR(M$16=1,M$19=1),IF('Assumptions - Freight'!$E$111=1, M141/'Assumptions - Freight'!$E$113,M141*'Assumptions - Freight'!$E$113)," "),0)</f>
        <v>45</v>
      </c>
      <c r="N152" s="123">
        <f>IF(N141&lt;&gt;0,IF(OR(N$16=1,N$19=1),IF('Assumptions - Freight'!$E$111=1, N141/'Assumptions - Freight'!$E$113,N141*'Assumptions - Freight'!$E$113)," "),0)</f>
        <v>45</v>
      </c>
      <c r="O152" s="123">
        <f>IF(O141&lt;&gt;0,IF(OR(O$16=1,O$19=1),IF('Assumptions - Freight'!$E$111=1, O141/'Assumptions - Freight'!$E$113,O141*'Assumptions - Freight'!$E$113)," "),0)</f>
        <v>45</v>
      </c>
      <c r="P152" s="123">
        <f>IF(P141&lt;&gt;0,IF(OR(P$16=1,P$19=1),IF('Assumptions - Freight'!$E$111=1, P141/'Assumptions - Freight'!$E$113,P141*'Assumptions - Freight'!$E$113)," "),0)</f>
        <v>45</v>
      </c>
      <c r="Q152" s="123">
        <f>IF(Q141&lt;&gt;0,IF(OR(Q$16=1,Q$19=1),IF('Assumptions - Freight'!$E$111=1, Q141/'Assumptions - Freight'!$E$113,Q141*'Assumptions - Freight'!$E$113)," "),0)</f>
        <v>45</v>
      </c>
      <c r="R152" s="123">
        <f>IF(R141&lt;&gt;0,IF(OR(R$16=1,R$19=1),IF('Assumptions - Freight'!$E$111=1, R141/'Assumptions - Freight'!$E$113,R141*'Assumptions - Freight'!$E$113)," "),0)</f>
        <v>45</v>
      </c>
      <c r="S152" s="123">
        <f>IF(S141&lt;&gt;0,IF(OR(S$16=1,S$19=1),IF('Assumptions - Freight'!$E$111=1, S141/'Assumptions - Freight'!$E$113,S141*'Assumptions - Freight'!$E$113)," "),0)</f>
        <v>45</v>
      </c>
      <c r="T152" s="123">
        <f>IF(T141&lt;&gt;0,IF(OR(T$16=1,T$19=1),IF('Assumptions - Freight'!$E$111=1, T141/'Assumptions - Freight'!$E$113,T141*'Assumptions - Freight'!$E$113)," "),0)</f>
        <v>45</v>
      </c>
      <c r="U152" s="123">
        <f>IF(U141&lt;&gt;0,IF(OR(U$16=1,U$19=1),IF('Assumptions - Freight'!$E$111=1, U141/'Assumptions - Freight'!$E$113,U141*'Assumptions - Freight'!$E$113)," "),0)</f>
        <v>45</v>
      </c>
      <c r="V152" s="123">
        <f>IF(V141&lt;&gt;0,IF(OR(V$16=1,V$19=1),IF('Assumptions - Freight'!$E$111=1, V141/'Assumptions - Freight'!$E$113,V141*'Assumptions - Freight'!$E$113)," "),0)</f>
        <v>45</v>
      </c>
      <c r="W152" s="123">
        <f>IF(W141&lt;&gt;0,IF(OR(W$16=1,W$19=1),IF('Assumptions - Freight'!$E$111=1, W141/'Assumptions - Freight'!$E$113,W141*'Assumptions - Freight'!$E$113)," "),0)</f>
        <v>45</v>
      </c>
      <c r="X152" s="123">
        <f>IF(X141&lt;&gt;0,IF(OR(X$16=1,X$19=1),IF('Assumptions - Freight'!$E$111=1, X141/'Assumptions - Freight'!$E$113,X141*'Assumptions - Freight'!$E$113)," "),0)</f>
        <v>45</v>
      </c>
      <c r="Y152" s="123">
        <f>IF(Y141&lt;&gt;0,IF(OR(Y$16=1,Y$19=1),IF('Assumptions - Freight'!$E$111=1, Y141/'Assumptions - Freight'!$E$113,Y141*'Assumptions - Freight'!$E$113)," "),0)</f>
        <v>45</v>
      </c>
      <c r="Z152" s="123">
        <f>IF(Z141&lt;&gt;0,IF(OR(Z$16=1,Z$19=1),IF('Assumptions - Freight'!$E$111=1, Z141/'Assumptions - Freight'!$E$113,Z141*'Assumptions - Freight'!$E$113)," "),0)</f>
        <v>45</v>
      </c>
      <c r="AA152" s="123">
        <f>IF(AA141&lt;&gt;0,IF(OR(AA$16=1,AA$19=1),IF('Assumptions - Freight'!$E$111=1, AA141/'Assumptions - Freight'!$E$113,AA141*'Assumptions - Freight'!$E$113)," "),0)</f>
        <v>45</v>
      </c>
      <c r="AB152" s="123">
        <f>IF(AB141&lt;&gt;0,IF(OR(AB$16=1,AB$19=1),IF('Assumptions - Freight'!$E$111=1, AB141/'Assumptions - Freight'!$E$113,AB141*'Assumptions - Freight'!$E$113)," "),0)</f>
        <v>45</v>
      </c>
      <c r="AC152" s="123">
        <f>IF(AC141&lt;&gt;0,IF(OR(AC$16=1,AC$19=1),IF('Assumptions - Freight'!$E$111=1, AC141/'Assumptions - Freight'!$E$113,AC141*'Assumptions - Freight'!$E$113)," "),0)</f>
        <v>45</v>
      </c>
      <c r="AD152" s="123">
        <f>IF(AD141&lt;&gt;0,IF(OR(AD$16=1,AD$19=1),IF('Assumptions - Freight'!$E$111=1, AD141/'Assumptions - Freight'!$E$113,AD141*'Assumptions - Freight'!$E$113)," "),0)</f>
        <v>45</v>
      </c>
      <c r="AE152" s="123">
        <f>IF(AE141&lt;&gt;0,IF(OR(AE$16=1,AE$19=1),IF('Assumptions - Freight'!$E$111=1, AE141/'Assumptions - Freight'!$E$113,AE141*'Assumptions - Freight'!$E$113)," "),0)</f>
        <v>45</v>
      </c>
      <c r="AF152" s="123">
        <f>IF(AF141&lt;&gt;0,IF(OR(AF$16=1,AF$19=1),IF('Assumptions - Freight'!$E$111=1, AF141/'Assumptions - Freight'!$E$113,AF141*'Assumptions - Freight'!$E$113)," "),0)</f>
        <v>45</v>
      </c>
      <c r="AG152" s="123">
        <f>IF(AG141&lt;&gt;0,IF(OR(AG$16=1,AG$19=1),IF('Assumptions - Freight'!$E$111=1, AG141/'Assumptions - Freight'!$E$113,AG141*'Assumptions - Freight'!$E$113)," "),0)</f>
        <v>45</v>
      </c>
      <c r="AH152" s="123">
        <f>IF(AH141&lt;&gt;0,IF(OR(AH$16=1,AH$19=1),IF('Assumptions - Freight'!$E$111=1, AH141/'Assumptions - Freight'!$E$113,AH141*'Assumptions - Freight'!$E$113)," "),0)</f>
        <v>45</v>
      </c>
    </row>
    <row r="153" spans="2:34" x14ac:dyDescent="0.2">
      <c r="B153" s="8" t="str">
        <f t="shared" si="38"/>
        <v>Annual traffic volume of Commodity 9</v>
      </c>
      <c r="C153" s="8"/>
      <c r="D153" s="8" t="str">
        <f t="shared" si="39"/>
        <v>Tons (million)</v>
      </c>
      <c r="E153" s="123">
        <f>IF(E142&lt;&gt;0,IF(OR(E$16=1,E$19=1),IF('Assumptions - Freight'!$E$111=1, E142/'Assumptions - Freight'!$E$113,E142*'Assumptions - Freight'!$E$113)," "),0)</f>
        <v>40</v>
      </c>
      <c r="F153" s="123">
        <f>IF(F142&lt;&gt;0,IF(OR(F$16=1,F$19=1),IF('Assumptions - Freight'!$E$111=1, F142/'Assumptions - Freight'!$E$113,F142*'Assumptions - Freight'!$E$113)," "),0)</f>
        <v>40</v>
      </c>
      <c r="G153" s="123">
        <f>IF(G142&lt;&gt;0,IF(OR(G$16=1,G$19=1),IF('Assumptions - Freight'!$E$111=1, G142/'Assumptions - Freight'!$E$113,G142*'Assumptions - Freight'!$E$113)," "),0)</f>
        <v>40</v>
      </c>
      <c r="H153" s="123">
        <f>IF(H142&lt;&gt;0,IF(OR(H$16=1,H$19=1),IF('Assumptions - Freight'!$E$111=1, H142/'Assumptions - Freight'!$E$113,H142*'Assumptions - Freight'!$E$113)," "),0)</f>
        <v>40</v>
      </c>
      <c r="I153" s="123">
        <f>IF(I142&lt;&gt;0,IF(OR(I$16=1,I$19=1),IF('Assumptions - Freight'!$E$111=1, I142/'Assumptions - Freight'!$E$113,I142*'Assumptions - Freight'!$E$113)," "),0)</f>
        <v>40</v>
      </c>
      <c r="J153" s="123">
        <f>IF(J142&lt;&gt;0,IF(OR(J$16=1,J$19=1),IF('Assumptions - Freight'!$E$111=1, J142/'Assumptions - Freight'!$E$113,J142*'Assumptions - Freight'!$E$113)," "),0)</f>
        <v>40</v>
      </c>
      <c r="K153" s="123">
        <f>IF(K142&lt;&gt;0,IF(OR(K$16=1,K$19=1),IF('Assumptions - Freight'!$E$111=1, K142/'Assumptions - Freight'!$E$113,K142*'Assumptions - Freight'!$E$113)," "),0)</f>
        <v>45</v>
      </c>
      <c r="L153" s="123">
        <f>IF(L142&lt;&gt;0,IF(OR(L$16=1,L$19=1),IF('Assumptions - Freight'!$E$111=1, L142/'Assumptions - Freight'!$E$113,L142*'Assumptions - Freight'!$E$113)," "),0)</f>
        <v>45</v>
      </c>
      <c r="M153" s="123">
        <f>IF(M142&lt;&gt;0,IF(OR(M$16=1,M$19=1),IF('Assumptions - Freight'!$E$111=1, M142/'Assumptions - Freight'!$E$113,M142*'Assumptions - Freight'!$E$113)," "),0)</f>
        <v>45</v>
      </c>
      <c r="N153" s="123">
        <f>IF(N142&lt;&gt;0,IF(OR(N$16=1,N$19=1),IF('Assumptions - Freight'!$E$111=1, N142/'Assumptions - Freight'!$E$113,N142*'Assumptions - Freight'!$E$113)," "),0)</f>
        <v>45</v>
      </c>
      <c r="O153" s="123">
        <f>IF(O142&lt;&gt;0,IF(OR(O$16=1,O$19=1),IF('Assumptions - Freight'!$E$111=1, O142/'Assumptions - Freight'!$E$113,O142*'Assumptions - Freight'!$E$113)," "),0)</f>
        <v>45</v>
      </c>
      <c r="P153" s="123">
        <f>IF(P142&lt;&gt;0,IF(OR(P$16=1,P$19=1),IF('Assumptions - Freight'!$E$111=1, P142/'Assumptions - Freight'!$E$113,P142*'Assumptions - Freight'!$E$113)," "),0)</f>
        <v>45</v>
      </c>
      <c r="Q153" s="123">
        <f>IF(Q142&lt;&gt;0,IF(OR(Q$16=1,Q$19=1),IF('Assumptions - Freight'!$E$111=1, Q142/'Assumptions - Freight'!$E$113,Q142*'Assumptions - Freight'!$E$113)," "),0)</f>
        <v>45</v>
      </c>
      <c r="R153" s="123">
        <f>IF(R142&lt;&gt;0,IF(OR(R$16=1,R$19=1),IF('Assumptions - Freight'!$E$111=1, R142/'Assumptions - Freight'!$E$113,R142*'Assumptions - Freight'!$E$113)," "),0)</f>
        <v>45</v>
      </c>
      <c r="S153" s="123">
        <f>IF(S142&lt;&gt;0,IF(OR(S$16=1,S$19=1),IF('Assumptions - Freight'!$E$111=1, S142/'Assumptions - Freight'!$E$113,S142*'Assumptions - Freight'!$E$113)," "),0)</f>
        <v>45</v>
      </c>
      <c r="T153" s="123">
        <f>IF(T142&lt;&gt;0,IF(OR(T$16=1,T$19=1),IF('Assumptions - Freight'!$E$111=1, T142/'Assumptions - Freight'!$E$113,T142*'Assumptions - Freight'!$E$113)," "),0)</f>
        <v>45</v>
      </c>
      <c r="U153" s="123">
        <f>IF(U142&lt;&gt;0,IF(OR(U$16=1,U$19=1),IF('Assumptions - Freight'!$E$111=1, U142/'Assumptions - Freight'!$E$113,U142*'Assumptions - Freight'!$E$113)," "),0)</f>
        <v>45</v>
      </c>
      <c r="V153" s="123">
        <f>IF(V142&lt;&gt;0,IF(OR(V$16=1,V$19=1),IF('Assumptions - Freight'!$E$111=1, V142/'Assumptions - Freight'!$E$113,V142*'Assumptions - Freight'!$E$113)," "),0)</f>
        <v>45</v>
      </c>
      <c r="W153" s="123">
        <f>IF(W142&lt;&gt;0,IF(OR(W$16=1,W$19=1),IF('Assumptions - Freight'!$E$111=1, W142/'Assumptions - Freight'!$E$113,W142*'Assumptions - Freight'!$E$113)," "),0)</f>
        <v>45</v>
      </c>
      <c r="X153" s="123">
        <f>IF(X142&lt;&gt;0,IF(OR(X$16=1,X$19=1),IF('Assumptions - Freight'!$E$111=1, X142/'Assumptions - Freight'!$E$113,X142*'Assumptions - Freight'!$E$113)," "),0)</f>
        <v>45</v>
      </c>
      <c r="Y153" s="123">
        <f>IF(Y142&lt;&gt;0,IF(OR(Y$16=1,Y$19=1),IF('Assumptions - Freight'!$E$111=1, Y142/'Assumptions - Freight'!$E$113,Y142*'Assumptions - Freight'!$E$113)," "),0)</f>
        <v>45</v>
      </c>
      <c r="Z153" s="123">
        <f>IF(Z142&lt;&gt;0,IF(OR(Z$16=1,Z$19=1),IF('Assumptions - Freight'!$E$111=1, Z142/'Assumptions - Freight'!$E$113,Z142*'Assumptions - Freight'!$E$113)," "),0)</f>
        <v>45</v>
      </c>
      <c r="AA153" s="123">
        <f>IF(AA142&lt;&gt;0,IF(OR(AA$16=1,AA$19=1),IF('Assumptions - Freight'!$E$111=1, AA142/'Assumptions - Freight'!$E$113,AA142*'Assumptions - Freight'!$E$113)," "),0)</f>
        <v>45</v>
      </c>
      <c r="AB153" s="123">
        <f>IF(AB142&lt;&gt;0,IF(OR(AB$16=1,AB$19=1),IF('Assumptions - Freight'!$E$111=1, AB142/'Assumptions - Freight'!$E$113,AB142*'Assumptions - Freight'!$E$113)," "),0)</f>
        <v>45</v>
      </c>
      <c r="AC153" s="123">
        <f>IF(AC142&lt;&gt;0,IF(OR(AC$16=1,AC$19=1),IF('Assumptions - Freight'!$E$111=1, AC142/'Assumptions - Freight'!$E$113,AC142*'Assumptions - Freight'!$E$113)," "),0)</f>
        <v>45</v>
      </c>
      <c r="AD153" s="123">
        <f>IF(AD142&lt;&gt;0,IF(OR(AD$16=1,AD$19=1),IF('Assumptions - Freight'!$E$111=1, AD142/'Assumptions - Freight'!$E$113,AD142*'Assumptions - Freight'!$E$113)," "),0)</f>
        <v>45</v>
      </c>
      <c r="AE153" s="123">
        <f>IF(AE142&lt;&gt;0,IF(OR(AE$16=1,AE$19=1),IF('Assumptions - Freight'!$E$111=1, AE142/'Assumptions - Freight'!$E$113,AE142*'Assumptions - Freight'!$E$113)," "),0)</f>
        <v>45</v>
      </c>
      <c r="AF153" s="123">
        <f>IF(AF142&lt;&gt;0,IF(OR(AF$16=1,AF$19=1),IF('Assumptions - Freight'!$E$111=1, AF142/'Assumptions - Freight'!$E$113,AF142*'Assumptions - Freight'!$E$113)," "),0)</f>
        <v>45</v>
      </c>
      <c r="AG153" s="123">
        <f>IF(AG142&lt;&gt;0,IF(OR(AG$16=1,AG$19=1),IF('Assumptions - Freight'!$E$111=1, AG142/'Assumptions - Freight'!$E$113,AG142*'Assumptions - Freight'!$E$113)," "),0)</f>
        <v>45</v>
      </c>
      <c r="AH153" s="123">
        <f>IF(AH142&lt;&gt;0,IF(OR(AH$16=1,AH$19=1),IF('Assumptions - Freight'!$E$111=1, AH142/'Assumptions - Freight'!$E$113,AH142*'Assumptions - Freight'!$E$113)," "),0)</f>
        <v>45</v>
      </c>
    </row>
    <row r="154" spans="2:34" x14ac:dyDescent="0.2">
      <c r="B154" s="8" t="str">
        <f t="shared" si="38"/>
        <v>Annual traffic volume of Commodity 10</v>
      </c>
      <c r="C154" s="8"/>
      <c r="D154" s="8" t="str">
        <f t="shared" si="39"/>
        <v>Tons (million)</v>
      </c>
      <c r="E154" s="123">
        <f>IF(E143&lt;&gt;0,IF(OR(E$16=1,E$19=1),IF('Assumptions - Freight'!$E$111=1, E143/'Assumptions - Freight'!$E$113,E143*'Assumptions - Freight'!$E$113)," "),0)</f>
        <v>40</v>
      </c>
      <c r="F154" s="123">
        <f>IF(F143&lt;&gt;0,IF(OR(F$16=1,F$19=1),IF('Assumptions - Freight'!$E$111=1, F143/'Assumptions - Freight'!$E$113,F143*'Assumptions - Freight'!$E$113)," "),0)</f>
        <v>40</v>
      </c>
      <c r="G154" s="123">
        <f>IF(G143&lt;&gt;0,IF(OR(G$16=1,G$19=1),IF('Assumptions - Freight'!$E$111=1, G143/'Assumptions - Freight'!$E$113,G143*'Assumptions - Freight'!$E$113)," "),0)</f>
        <v>40</v>
      </c>
      <c r="H154" s="123">
        <f>IF(H143&lt;&gt;0,IF(OR(H$16=1,H$19=1),IF('Assumptions - Freight'!$E$111=1, H143/'Assumptions - Freight'!$E$113,H143*'Assumptions - Freight'!$E$113)," "),0)</f>
        <v>40</v>
      </c>
      <c r="I154" s="123">
        <f>IF(I143&lt;&gt;0,IF(OR(I$16=1,I$19=1),IF('Assumptions - Freight'!$E$111=1, I143/'Assumptions - Freight'!$E$113,I143*'Assumptions - Freight'!$E$113)," "),0)</f>
        <v>40</v>
      </c>
      <c r="J154" s="123">
        <f>IF(J143&lt;&gt;0,IF(OR(J$16=1,J$19=1),IF('Assumptions - Freight'!$E$111=1, J143/'Assumptions - Freight'!$E$113,J143*'Assumptions - Freight'!$E$113)," "),0)</f>
        <v>40</v>
      </c>
      <c r="K154" s="123">
        <f>IF(K143&lt;&gt;0,IF(OR(K$16=1,K$19=1),IF('Assumptions - Freight'!$E$111=1, K143/'Assumptions - Freight'!$E$113,K143*'Assumptions - Freight'!$E$113)," "),0)</f>
        <v>45</v>
      </c>
      <c r="L154" s="123">
        <f>IF(L143&lt;&gt;0,IF(OR(L$16=1,L$19=1),IF('Assumptions - Freight'!$E$111=1, L143/'Assumptions - Freight'!$E$113,L143*'Assumptions - Freight'!$E$113)," "),0)</f>
        <v>45</v>
      </c>
      <c r="M154" s="123">
        <f>IF(M143&lt;&gt;0,IF(OR(M$16=1,M$19=1),IF('Assumptions - Freight'!$E$111=1, M143/'Assumptions - Freight'!$E$113,M143*'Assumptions - Freight'!$E$113)," "),0)</f>
        <v>45</v>
      </c>
      <c r="N154" s="123">
        <f>IF(N143&lt;&gt;0,IF(OR(N$16=1,N$19=1),IF('Assumptions - Freight'!$E$111=1, N143/'Assumptions - Freight'!$E$113,N143*'Assumptions - Freight'!$E$113)," "),0)</f>
        <v>45</v>
      </c>
      <c r="O154" s="123">
        <f>IF(O143&lt;&gt;0,IF(OR(O$16=1,O$19=1),IF('Assumptions - Freight'!$E$111=1, O143/'Assumptions - Freight'!$E$113,O143*'Assumptions - Freight'!$E$113)," "),0)</f>
        <v>45</v>
      </c>
      <c r="P154" s="123">
        <f>IF(P143&lt;&gt;0,IF(OR(P$16=1,P$19=1),IF('Assumptions - Freight'!$E$111=1, P143/'Assumptions - Freight'!$E$113,P143*'Assumptions - Freight'!$E$113)," "),0)</f>
        <v>45</v>
      </c>
      <c r="Q154" s="123">
        <f>IF(Q143&lt;&gt;0,IF(OR(Q$16=1,Q$19=1),IF('Assumptions - Freight'!$E$111=1, Q143/'Assumptions - Freight'!$E$113,Q143*'Assumptions - Freight'!$E$113)," "),0)</f>
        <v>45</v>
      </c>
      <c r="R154" s="123">
        <f>IF(R143&lt;&gt;0,IF(OR(R$16=1,R$19=1),IF('Assumptions - Freight'!$E$111=1, R143/'Assumptions - Freight'!$E$113,R143*'Assumptions - Freight'!$E$113)," "),0)</f>
        <v>45</v>
      </c>
      <c r="S154" s="123">
        <f>IF(S143&lt;&gt;0,IF(OR(S$16=1,S$19=1),IF('Assumptions - Freight'!$E$111=1, S143/'Assumptions - Freight'!$E$113,S143*'Assumptions - Freight'!$E$113)," "),0)</f>
        <v>45</v>
      </c>
      <c r="T154" s="123">
        <f>IF(T143&lt;&gt;0,IF(OR(T$16=1,T$19=1),IF('Assumptions - Freight'!$E$111=1, T143/'Assumptions - Freight'!$E$113,T143*'Assumptions - Freight'!$E$113)," "),0)</f>
        <v>45</v>
      </c>
      <c r="U154" s="123">
        <f>IF(U143&lt;&gt;0,IF(OR(U$16=1,U$19=1),IF('Assumptions - Freight'!$E$111=1, U143/'Assumptions - Freight'!$E$113,U143*'Assumptions - Freight'!$E$113)," "),0)</f>
        <v>45</v>
      </c>
      <c r="V154" s="123">
        <f>IF(V143&lt;&gt;0,IF(OR(V$16=1,V$19=1),IF('Assumptions - Freight'!$E$111=1, V143/'Assumptions - Freight'!$E$113,V143*'Assumptions - Freight'!$E$113)," "),0)</f>
        <v>45</v>
      </c>
      <c r="W154" s="123">
        <f>IF(W143&lt;&gt;0,IF(OR(W$16=1,W$19=1),IF('Assumptions - Freight'!$E$111=1, W143/'Assumptions - Freight'!$E$113,W143*'Assumptions - Freight'!$E$113)," "),0)</f>
        <v>45</v>
      </c>
      <c r="X154" s="123">
        <f>IF(X143&lt;&gt;0,IF(OR(X$16=1,X$19=1),IF('Assumptions - Freight'!$E$111=1, X143/'Assumptions - Freight'!$E$113,X143*'Assumptions - Freight'!$E$113)," "),0)</f>
        <v>45</v>
      </c>
      <c r="Y154" s="123">
        <f>IF(Y143&lt;&gt;0,IF(OR(Y$16=1,Y$19=1),IF('Assumptions - Freight'!$E$111=1, Y143/'Assumptions - Freight'!$E$113,Y143*'Assumptions - Freight'!$E$113)," "),0)</f>
        <v>45</v>
      </c>
      <c r="Z154" s="123">
        <f>IF(Z143&lt;&gt;0,IF(OR(Z$16=1,Z$19=1),IF('Assumptions - Freight'!$E$111=1, Z143/'Assumptions - Freight'!$E$113,Z143*'Assumptions - Freight'!$E$113)," "),0)</f>
        <v>45</v>
      </c>
      <c r="AA154" s="123">
        <f>IF(AA143&lt;&gt;0,IF(OR(AA$16=1,AA$19=1),IF('Assumptions - Freight'!$E$111=1, AA143/'Assumptions - Freight'!$E$113,AA143*'Assumptions - Freight'!$E$113)," "),0)</f>
        <v>45</v>
      </c>
      <c r="AB154" s="123">
        <f>IF(AB143&lt;&gt;0,IF(OR(AB$16=1,AB$19=1),IF('Assumptions - Freight'!$E$111=1, AB143/'Assumptions - Freight'!$E$113,AB143*'Assumptions - Freight'!$E$113)," "),0)</f>
        <v>45</v>
      </c>
      <c r="AC154" s="123">
        <f>IF(AC143&lt;&gt;0,IF(OR(AC$16=1,AC$19=1),IF('Assumptions - Freight'!$E$111=1, AC143/'Assumptions - Freight'!$E$113,AC143*'Assumptions - Freight'!$E$113)," "),0)</f>
        <v>45</v>
      </c>
      <c r="AD154" s="123">
        <f>IF(AD143&lt;&gt;0,IF(OR(AD$16=1,AD$19=1),IF('Assumptions - Freight'!$E$111=1, AD143/'Assumptions - Freight'!$E$113,AD143*'Assumptions - Freight'!$E$113)," "),0)</f>
        <v>45</v>
      </c>
      <c r="AE154" s="123">
        <f>IF(AE143&lt;&gt;0,IF(OR(AE$16=1,AE$19=1),IF('Assumptions - Freight'!$E$111=1, AE143/'Assumptions - Freight'!$E$113,AE143*'Assumptions - Freight'!$E$113)," "),0)</f>
        <v>45</v>
      </c>
      <c r="AF154" s="123">
        <f>IF(AF143&lt;&gt;0,IF(OR(AF$16=1,AF$19=1),IF('Assumptions - Freight'!$E$111=1, AF143/'Assumptions - Freight'!$E$113,AF143*'Assumptions - Freight'!$E$113)," "),0)</f>
        <v>45</v>
      </c>
      <c r="AG154" s="123">
        <f>IF(AG143&lt;&gt;0,IF(OR(AG$16=1,AG$19=1),IF('Assumptions - Freight'!$E$111=1, AG143/'Assumptions - Freight'!$E$113,AG143*'Assumptions - Freight'!$E$113)," "),0)</f>
        <v>45</v>
      </c>
      <c r="AH154" s="123">
        <f>IF(AH143&lt;&gt;0,IF(OR(AH$16=1,AH$19=1),IF('Assumptions - Freight'!$E$111=1, AH143/'Assumptions - Freight'!$E$113,AH143*'Assumptions - Freight'!$E$113)," "),0)</f>
        <v>45</v>
      </c>
    </row>
    <row r="155" spans="2:34" x14ac:dyDescent="0.2">
      <c r="B155" s="7"/>
      <c r="C155" s="8"/>
      <c r="D155" s="8"/>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row>
    <row r="156" spans="2:34" x14ac:dyDescent="0.2">
      <c r="B156" s="8" t="str">
        <f>"Annual traffic volume of " &amp;'Assumptions - Freight'!E116</f>
        <v>Annual traffic volume of Commodity 1</v>
      </c>
      <c r="C156" s="8"/>
      <c r="D156" s="8" t="s">
        <v>370</v>
      </c>
      <c r="E156" s="12">
        <f>IF(E134&lt;&gt;0,IF(OR(E$16=1,E$19=1),IF('Assumptions - Freight'!$E$111=1,E134/'Assumptions - Freight'!$E$114,E134*'Assumptions - Freight'!$E$113/'Assumptions - Freight'!$E$114)," "),0)</f>
        <v>40</v>
      </c>
      <c r="F156" s="12">
        <f>IF(F134&lt;&gt;0,IF(OR(F$16=1,F$19=1),IF('Assumptions - Freight'!$E$111=1,F134/'Assumptions - Freight'!$E$114,F134*'Assumptions - Freight'!$E$113/'Assumptions - Freight'!$E$114)," "),0)</f>
        <v>40</v>
      </c>
      <c r="G156" s="12">
        <f>IF(G134&lt;&gt;0,IF(OR(G$16=1,G$19=1),IF('Assumptions - Freight'!$E$111=1,G134/'Assumptions - Freight'!$E$114,G134*'Assumptions - Freight'!$E$113/'Assumptions - Freight'!$E$114)," "),0)</f>
        <v>40</v>
      </c>
      <c r="H156" s="12">
        <f>IF(H134&lt;&gt;0,IF(OR(H$16=1,H$19=1),IF('Assumptions - Freight'!$E$111=1,H134/'Assumptions - Freight'!$E$114,H134*'Assumptions - Freight'!$E$113/'Assumptions - Freight'!$E$114)," "),0)</f>
        <v>40</v>
      </c>
      <c r="I156" s="12">
        <f>IF(I134&lt;&gt;0,IF(OR(I$16=1,I$19=1),IF('Assumptions - Freight'!$E$111=1,I134/'Assumptions - Freight'!$E$114,I134*'Assumptions - Freight'!$E$113/'Assumptions - Freight'!$E$114)," "),0)</f>
        <v>40</v>
      </c>
      <c r="J156" s="12">
        <f>IF(J134&lt;&gt;0,IF(OR(J$16=1,J$19=1),IF('Assumptions - Freight'!$E$111=1,J134/'Assumptions - Freight'!$E$114,J134*'Assumptions - Freight'!$E$113/'Assumptions - Freight'!$E$114)," "),0)</f>
        <v>40</v>
      </c>
      <c r="K156" s="12">
        <f>IF(K134&lt;&gt;0,IF(OR(K$16=1,K$19=1),IF('Assumptions - Freight'!$E$111=1,K134/'Assumptions - Freight'!$E$114,K134*'Assumptions - Freight'!$E$113/'Assumptions - Freight'!$E$114)," "),0)</f>
        <v>45</v>
      </c>
      <c r="L156" s="12">
        <f>IF(L134&lt;&gt;0,IF(OR(L$16=1,L$19=1),IF('Assumptions - Freight'!$E$111=1,L134/'Assumptions - Freight'!$E$114,L134*'Assumptions - Freight'!$E$113/'Assumptions - Freight'!$E$114)," "),0)</f>
        <v>45</v>
      </c>
      <c r="M156" s="12">
        <f>IF(M134&lt;&gt;0,IF(OR(M$16=1,M$19=1),IF('Assumptions - Freight'!$E$111=1,M134/'Assumptions - Freight'!$E$114,M134*'Assumptions - Freight'!$E$113/'Assumptions - Freight'!$E$114)," "),0)</f>
        <v>45</v>
      </c>
      <c r="N156" s="12">
        <f>IF(N134&lt;&gt;0,IF(OR(N$16=1,N$19=1),IF('Assumptions - Freight'!$E$111=1,N134/'Assumptions - Freight'!$E$114,N134*'Assumptions - Freight'!$E$113/'Assumptions - Freight'!$E$114)," "),0)</f>
        <v>45</v>
      </c>
      <c r="O156" s="12">
        <f>IF(O134&lt;&gt;0,IF(OR(O$16=1,O$19=1),IF('Assumptions - Freight'!$E$111=1,O134/'Assumptions - Freight'!$E$114,O134*'Assumptions - Freight'!$E$113/'Assumptions - Freight'!$E$114)," "),0)</f>
        <v>45</v>
      </c>
      <c r="P156" s="12">
        <f>IF(P134&lt;&gt;0,IF(OR(P$16=1,P$19=1),IF('Assumptions - Freight'!$E$111=1,P134/'Assumptions - Freight'!$E$114,P134*'Assumptions - Freight'!$E$113/'Assumptions - Freight'!$E$114)," "),0)</f>
        <v>45</v>
      </c>
      <c r="Q156" s="12">
        <f>IF(Q134&lt;&gt;0,IF(OR(Q$16=1,Q$19=1),IF('Assumptions - Freight'!$E$111=1,Q134/'Assumptions - Freight'!$E$114,Q134*'Assumptions - Freight'!$E$113/'Assumptions - Freight'!$E$114)," "),0)</f>
        <v>45</v>
      </c>
      <c r="R156" s="12">
        <f>IF(R134&lt;&gt;0,IF(OR(R$16=1,R$19=1),IF('Assumptions - Freight'!$E$111=1,R134/'Assumptions - Freight'!$E$114,R134*'Assumptions - Freight'!$E$113/'Assumptions - Freight'!$E$114)," "),0)</f>
        <v>45</v>
      </c>
      <c r="S156" s="12">
        <f>IF(S134&lt;&gt;0,IF(OR(S$16=1,S$19=1),IF('Assumptions - Freight'!$E$111=1,S134/'Assumptions - Freight'!$E$114,S134*'Assumptions - Freight'!$E$113/'Assumptions - Freight'!$E$114)," "),0)</f>
        <v>45</v>
      </c>
      <c r="T156" s="12">
        <f>IF(T134&lt;&gt;0,IF(OR(T$16=1,T$19=1),IF('Assumptions - Freight'!$E$111=1,T134/'Assumptions - Freight'!$E$114,T134*'Assumptions - Freight'!$E$113/'Assumptions - Freight'!$E$114)," "),0)</f>
        <v>45</v>
      </c>
      <c r="U156" s="12">
        <f>IF(U134&lt;&gt;0,IF(OR(U$16=1,U$19=1),IF('Assumptions - Freight'!$E$111=1,U134/'Assumptions - Freight'!$E$114,U134*'Assumptions - Freight'!$E$113/'Assumptions - Freight'!$E$114)," "),0)</f>
        <v>45</v>
      </c>
      <c r="V156" s="12">
        <f>IF(V134&lt;&gt;0,IF(OR(V$16=1,V$19=1),IF('Assumptions - Freight'!$E$111=1,V134/'Assumptions - Freight'!$E$114,V134*'Assumptions - Freight'!$E$113/'Assumptions - Freight'!$E$114)," "),0)</f>
        <v>45</v>
      </c>
      <c r="W156" s="12">
        <f>IF(W134&lt;&gt;0,IF(OR(W$16=1,W$19=1),IF('Assumptions - Freight'!$E$111=1,W134/'Assumptions - Freight'!$E$114,W134*'Assumptions - Freight'!$E$113/'Assumptions - Freight'!$E$114)," "),0)</f>
        <v>45</v>
      </c>
      <c r="X156" s="12">
        <f>IF(X134&lt;&gt;0,IF(OR(X$16=1,X$19=1),IF('Assumptions - Freight'!$E$111=1,X134/'Assumptions - Freight'!$E$114,X134*'Assumptions - Freight'!$E$113/'Assumptions - Freight'!$E$114)," "),0)</f>
        <v>45</v>
      </c>
      <c r="Y156" s="12">
        <f>IF(Y134&lt;&gt;0,IF(OR(Y$16=1,Y$19=1),IF('Assumptions - Freight'!$E$111=1,Y134/'Assumptions - Freight'!$E$114,Y134*'Assumptions - Freight'!$E$113/'Assumptions - Freight'!$E$114)," "),0)</f>
        <v>45</v>
      </c>
      <c r="Z156" s="12">
        <f>IF(Z134&lt;&gt;0,IF(OR(Z$16=1,Z$19=1),IF('Assumptions - Freight'!$E$111=1,Z134/'Assumptions - Freight'!$E$114,Z134*'Assumptions - Freight'!$E$113/'Assumptions - Freight'!$E$114)," "),0)</f>
        <v>45</v>
      </c>
      <c r="AA156" s="12">
        <f>IF(AA134&lt;&gt;0,IF(OR(AA$16=1,AA$19=1),IF('Assumptions - Freight'!$E$111=1,AA134/'Assumptions - Freight'!$E$114,AA134*'Assumptions - Freight'!$E$113/'Assumptions - Freight'!$E$114)," "),0)</f>
        <v>45</v>
      </c>
      <c r="AB156" s="12">
        <f>IF(AB134&lt;&gt;0,IF(OR(AB$16=1,AB$19=1),IF('Assumptions - Freight'!$E$111=1,AB134/'Assumptions - Freight'!$E$114,AB134*'Assumptions - Freight'!$E$113/'Assumptions - Freight'!$E$114)," "),0)</f>
        <v>45</v>
      </c>
      <c r="AC156" s="12">
        <f>IF(AC134&lt;&gt;0,IF(OR(AC$16=1,AC$19=1),IF('Assumptions - Freight'!$E$111=1,AC134/'Assumptions - Freight'!$E$114,AC134*'Assumptions - Freight'!$E$113/'Assumptions - Freight'!$E$114)," "),0)</f>
        <v>45</v>
      </c>
      <c r="AD156" s="12">
        <f>IF(AD134&lt;&gt;0,IF(OR(AD$16=1,AD$19=1),IF('Assumptions - Freight'!$E$111=1,AD134/'Assumptions - Freight'!$E$114,AD134*'Assumptions - Freight'!$E$113/'Assumptions - Freight'!$E$114)," "),0)</f>
        <v>45</v>
      </c>
      <c r="AE156" s="12">
        <f>IF(AE134&lt;&gt;0,IF(OR(AE$16=1,AE$19=1),IF('Assumptions - Freight'!$E$111=1,AE134/'Assumptions - Freight'!$E$114,AE134*'Assumptions - Freight'!$E$113/'Assumptions - Freight'!$E$114)," "),0)</f>
        <v>45</v>
      </c>
      <c r="AF156" s="12">
        <f>IF(AF134&lt;&gt;0,IF(OR(AF$16=1,AF$19=1),IF('Assumptions - Freight'!$E$111=1,AF134/'Assumptions - Freight'!$E$114,AF134*'Assumptions - Freight'!$E$113/'Assumptions - Freight'!$E$114)," "),0)</f>
        <v>45</v>
      </c>
      <c r="AG156" s="12">
        <f>IF(AG134&lt;&gt;0,IF(OR(AG$16=1,AG$19=1),IF('Assumptions - Freight'!$E$111=1,AG134/'Assumptions - Freight'!$E$114,AG134*'Assumptions - Freight'!$E$113/'Assumptions - Freight'!$E$114)," "),0)</f>
        <v>45</v>
      </c>
      <c r="AH156" s="12">
        <f>IF(AH134&lt;&gt;0,IF(OR(AH$16=1,AH$19=1),IF('Assumptions - Freight'!$E$111=1,AH134/'Assumptions - Freight'!$E$114,AH134*'Assumptions - Freight'!$E$113/'Assumptions - Freight'!$E$114)," "),0)</f>
        <v>45</v>
      </c>
    </row>
    <row r="157" spans="2:34" x14ac:dyDescent="0.2">
      <c r="B157" s="8" t="str">
        <f>"Annual traffic volume of " &amp;'Assumptions - Freight'!E117</f>
        <v>Annual traffic volume of Commodity 2</v>
      </c>
      <c r="C157" s="8"/>
      <c r="D157" s="8" t="str">
        <f t="shared" ref="D157:D165" si="40">D156</f>
        <v>Train-km (millions)</v>
      </c>
      <c r="E157" s="12">
        <f>IF(E135&lt;&gt;0,IF(OR(E$16=1,E$19=1),IF('Assumptions - Freight'!$E$111=1,E135/'Assumptions - Freight'!$E$114,E135*'Assumptions - Freight'!$E$113/'Assumptions - Freight'!$E$114)," "),0)</f>
        <v>40</v>
      </c>
      <c r="F157" s="12">
        <f>IF(F135&lt;&gt;0,IF(OR(F$16=1,F$19=1),IF('Assumptions - Freight'!$E$111=1,F135/'Assumptions - Freight'!$E$114,F135*'Assumptions - Freight'!$E$113/'Assumptions - Freight'!$E$114)," "),0)</f>
        <v>40</v>
      </c>
      <c r="G157" s="12">
        <f>IF(G135&lt;&gt;0,IF(OR(G$16=1,G$19=1),IF('Assumptions - Freight'!$E$111=1,G135/'Assumptions - Freight'!$E$114,G135*'Assumptions - Freight'!$E$113/'Assumptions - Freight'!$E$114)," "),0)</f>
        <v>40</v>
      </c>
      <c r="H157" s="12">
        <f>IF(H135&lt;&gt;0,IF(OR(H$16=1,H$19=1),IF('Assumptions - Freight'!$E$111=1,H135/'Assumptions - Freight'!$E$114,H135*'Assumptions - Freight'!$E$113/'Assumptions - Freight'!$E$114)," "),0)</f>
        <v>40</v>
      </c>
      <c r="I157" s="12">
        <f>IF(I135&lt;&gt;0,IF(OR(I$16=1,I$19=1),IF('Assumptions - Freight'!$E$111=1,I135/'Assumptions - Freight'!$E$114,I135*'Assumptions - Freight'!$E$113/'Assumptions - Freight'!$E$114)," "),0)</f>
        <v>40</v>
      </c>
      <c r="J157" s="12">
        <f>IF(J135&lt;&gt;0,IF(OR(J$16=1,J$19=1),IF('Assumptions - Freight'!$E$111=1,J135/'Assumptions - Freight'!$E$114,J135*'Assumptions - Freight'!$E$113/'Assumptions - Freight'!$E$114)," "),0)</f>
        <v>40</v>
      </c>
      <c r="K157" s="12">
        <f>IF(K135&lt;&gt;0,IF(OR(K$16=1,K$19=1),IF('Assumptions - Freight'!$E$111=1,K135/'Assumptions - Freight'!$E$114,K135*'Assumptions - Freight'!$E$113/'Assumptions - Freight'!$E$114)," "),0)</f>
        <v>45</v>
      </c>
      <c r="L157" s="12">
        <f>IF(L135&lt;&gt;0,IF(OR(L$16=1,L$19=1),IF('Assumptions - Freight'!$E$111=1,L135/'Assumptions - Freight'!$E$114,L135*'Assumptions - Freight'!$E$113/'Assumptions - Freight'!$E$114)," "),0)</f>
        <v>45</v>
      </c>
      <c r="M157" s="12">
        <f>IF(M135&lt;&gt;0,IF(OR(M$16=1,M$19=1),IF('Assumptions - Freight'!$E$111=1,M135/'Assumptions - Freight'!$E$114,M135*'Assumptions - Freight'!$E$113/'Assumptions - Freight'!$E$114)," "),0)</f>
        <v>45</v>
      </c>
      <c r="N157" s="12">
        <f>IF(N135&lt;&gt;0,IF(OR(N$16=1,N$19=1),IF('Assumptions - Freight'!$E$111=1,N135/'Assumptions - Freight'!$E$114,N135*'Assumptions - Freight'!$E$113/'Assumptions - Freight'!$E$114)," "),0)</f>
        <v>45</v>
      </c>
      <c r="O157" s="12">
        <f>IF(O135&lt;&gt;0,IF(OR(O$16=1,O$19=1),IF('Assumptions - Freight'!$E$111=1,O135/'Assumptions - Freight'!$E$114,O135*'Assumptions - Freight'!$E$113/'Assumptions - Freight'!$E$114)," "),0)</f>
        <v>45</v>
      </c>
      <c r="P157" s="12">
        <f>IF(P135&lt;&gt;0,IF(OR(P$16=1,P$19=1),IF('Assumptions - Freight'!$E$111=1,P135/'Assumptions - Freight'!$E$114,P135*'Assumptions - Freight'!$E$113/'Assumptions - Freight'!$E$114)," "),0)</f>
        <v>45</v>
      </c>
      <c r="Q157" s="12">
        <f>IF(Q135&lt;&gt;0,IF(OR(Q$16=1,Q$19=1),IF('Assumptions - Freight'!$E$111=1,Q135/'Assumptions - Freight'!$E$114,Q135*'Assumptions - Freight'!$E$113/'Assumptions - Freight'!$E$114)," "),0)</f>
        <v>45</v>
      </c>
      <c r="R157" s="12">
        <f>IF(R135&lt;&gt;0,IF(OR(R$16=1,R$19=1),IF('Assumptions - Freight'!$E$111=1,R135/'Assumptions - Freight'!$E$114,R135*'Assumptions - Freight'!$E$113/'Assumptions - Freight'!$E$114)," "),0)</f>
        <v>45</v>
      </c>
      <c r="S157" s="12">
        <f>IF(S135&lt;&gt;0,IF(OR(S$16=1,S$19=1),IF('Assumptions - Freight'!$E$111=1,S135/'Assumptions - Freight'!$E$114,S135*'Assumptions - Freight'!$E$113/'Assumptions - Freight'!$E$114)," "),0)</f>
        <v>45</v>
      </c>
      <c r="T157" s="12">
        <f>IF(T135&lt;&gt;0,IF(OR(T$16=1,T$19=1),IF('Assumptions - Freight'!$E$111=1,T135/'Assumptions - Freight'!$E$114,T135*'Assumptions - Freight'!$E$113/'Assumptions - Freight'!$E$114)," "),0)</f>
        <v>45</v>
      </c>
      <c r="U157" s="12">
        <f>IF(U135&lt;&gt;0,IF(OR(U$16=1,U$19=1),IF('Assumptions - Freight'!$E$111=1,U135/'Assumptions - Freight'!$E$114,U135*'Assumptions - Freight'!$E$113/'Assumptions - Freight'!$E$114)," "),0)</f>
        <v>45</v>
      </c>
      <c r="V157" s="12">
        <f>IF(V135&lt;&gt;0,IF(OR(V$16=1,V$19=1),IF('Assumptions - Freight'!$E$111=1,V135/'Assumptions - Freight'!$E$114,V135*'Assumptions - Freight'!$E$113/'Assumptions - Freight'!$E$114)," "),0)</f>
        <v>45</v>
      </c>
      <c r="W157" s="12">
        <f>IF(W135&lt;&gt;0,IF(OR(W$16=1,W$19=1),IF('Assumptions - Freight'!$E$111=1,W135/'Assumptions - Freight'!$E$114,W135*'Assumptions - Freight'!$E$113/'Assumptions - Freight'!$E$114)," "),0)</f>
        <v>45</v>
      </c>
      <c r="X157" s="12">
        <f>IF(X135&lt;&gt;0,IF(OR(X$16=1,X$19=1),IF('Assumptions - Freight'!$E$111=1,X135/'Assumptions - Freight'!$E$114,X135*'Assumptions - Freight'!$E$113/'Assumptions - Freight'!$E$114)," "),0)</f>
        <v>45</v>
      </c>
      <c r="Y157" s="12">
        <f>IF(Y135&lt;&gt;0,IF(OR(Y$16=1,Y$19=1),IF('Assumptions - Freight'!$E$111=1,Y135/'Assumptions - Freight'!$E$114,Y135*'Assumptions - Freight'!$E$113/'Assumptions - Freight'!$E$114)," "),0)</f>
        <v>45</v>
      </c>
      <c r="Z157" s="12">
        <f>IF(Z135&lt;&gt;0,IF(OR(Z$16=1,Z$19=1),IF('Assumptions - Freight'!$E$111=1,Z135/'Assumptions - Freight'!$E$114,Z135*'Assumptions - Freight'!$E$113/'Assumptions - Freight'!$E$114)," "),0)</f>
        <v>45</v>
      </c>
      <c r="AA157" s="12">
        <f>IF(AA135&lt;&gt;0,IF(OR(AA$16=1,AA$19=1),IF('Assumptions - Freight'!$E$111=1,AA135/'Assumptions - Freight'!$E$114,AA135*'Assumptions - Freight'!$E$113/'Assumptions - Freight'!$E$114)," "),0)</f>
        <v>45</v>
      </c>
      <c r="AB157" s="12">
        <f>IF(AB135&lt;&gt;0,IF(OR(AB$16=1,AB$19=1),IF('Assumptions - Freight'!$E$111=1,AB135/'Assumptions - Freight'!$E$114,AB135*'Assumptions - Freight'!$E$113/'Assumptions - Freight'!$E$114)," "),0)</f>
        <v>45</v>
      </c>
      <c r="AC157" s="12">
        <f>IF(AC135&lt;&gt;0,IF(OR(AC$16=1,AC$19=1),IF('Assumptions - Freight'!$E$111=1,AC135/'Assumptions - Freight'!$E$114,AC135*'Assumptions - Freight'!$E$113/'Assumptions - Freight'!$E$114)," "),0)</f>
        <v>45</v>
      </c>
      <c r="AD157" s="12">
        <f>IF(AD135&lt;&gt;0,IF(OR(AD$16=1,AD$19=1),IF('Assumptions - Freight'!$E$111=1,AD135/'Assumptions - Freight'!$E$114,AD135*'Assumptions - Freight'!$E$113/'Assumptions - Freight'!$E$114)," "),0)</f>
        <v>45</v>
      </c>
      <c r="AE157" s="12">
        <f>IF(AE135&lt;&gt;0,IF(OR(AE$16=1,AE$19=1),IF('Assumptions - Freight'!$E$111=1,AE135/'Assumptions - Freight'!$E$114,AE135*'Assumptions - Freight'!$E$113/'Assumptions - Freight'!$E$114)," "),0)</f>
        <v>45</v>
      </c>
      <c r="AF157" s="12">
        <f>IF(AF135&lt;&gt;0,IF(OR(AF$16=1,AF$19=1),IF('Assumptions - Freight'!$E$111=1,AF135/'Assumptions - Freight'!$E$114,AF135*'Assumptions - Freight'!$E$113/'Assumptions - Freight'!$E$114)," "),0)</f>
        <v>45</v>
      </c>
      <c r="AG157" s="12">
        <f>IF(AG135&lt;&gt;0,IF(OR(AG$16=1,AG$19=1),IF('Assumptions - Freight'!$E$111=1,AG135/'Assumptions - Freight'!$E$114,AG135*'Assumptions - Freight'!$E$113/'Assumptions - Freight'!$E$114)," "),0)</f>
        <v>45</v>
      </c>
      <c r="AH157" s="12">
        <f>IF(AH135&lt;&gt;0,IF(OR(AH$16=1,AH$19=1),IF('Assumptions - Freight'!$E$111=1,AH135/'Assumptions - Freight'!$E$114,AH135*'Assumptions - Freight'!$E$113/'Assumptions - Freight'!$E$114)," "),0)</f>
        <v>45</v>
      </c>
    </row>
    <row r="158" spans="2:34" x14ac:dyDescent="0.2">
      <c r="B158" s="8" t="str">
        <f>"Annual traffic volume of " &amp;'Assumptions - Freight'!E118</f>
        <v>Annual traffic volume of Commodity 3</v>
      </c>
      <c r="C158" s="8"/>
      <c r="D158" s="8" t="str">
        <f t="shared" si="40"/>
        <v>Train-km (millions)</v>
      </c>
      <c r="E158" s="12">
        <f>IF(E136&lt;&gt;0,IF(OR(E$16=1,E$19=1),IF('Assumptions - Freight'!$E$111=1,E136/'Assumptions - Freight'!$E$114,E136*'Assumptions - Freight'!$E$113/'Assumptions - Freight'!$E$114)," "),0)</f>
        <v>50</v>
      </c>
      <c r="F158" s="12">
        <f>IF(F136&lt;&gt;0,IF(OR(F$16=1,F$19=1),IF('Assumptions - Freight'!$E$111=1,F136/'Assumptions - Freight'!$E$114,F136*'Assumptions - Freight'!$E$113/'Assumptions - Freight'!$E$114)," "),0)</f>
        <v>40</v>
      </c>
      <c r="G158" s="12">
        <f>IF(G136&lt;&gt;0,IF(OR(G$16=1,G$19=1),IF('Assumptions - Freight'!$E$111=1,G136/'Assumptions - Freight'!$E$114,G136*'Assumptions - Freight'!$E$113/'Assumptions - Freight'!$E$114)," "),0)</f>
        <v>40</v>
      </c>
      <c r="H158" s="12">
        <f>IF(H136&lt;&gt;0,IF(OR(H$16=1,H$19=1),IF('Assumptions - Freight'!$E$111=1,H136/'Assumptions - Freight'!$E$114,H136*'Assumptions - Freight'!$E$113/'Assumptions - Freight'!$E$114)," "),0)</f>
        <v>40</v>
      </c>
      <c r="I158" s="12">
        <f>IF(I136&lt;&gt;0,IF(OR(I$16=1,I$19=1),IF('Assumptions - Freight'!$E$111=1,I136/'Assumptions - Freight'!$E$114,I136*'Assumptions - Freight'!$E$113/'Assumptions - Freight'!$E$114)," "),0)</f>
        <v>40</v>
      </c>
      <c r="J158" s="12">
        <f>IF(J136&lt;&gt;0,IF(OR(J$16=1,J$19=1),IF('Assumptions - Freight'!$E$111=1,J136/'Assumptions - Freight'!$E$114,J136*'Assumptions - Freight'!$E$113/'Assumptions - Freight'!$E$114)," "),0)</f>
        <v>40</v>
      </c>
      <c r="K158" s="12">
        <f>IF(K136&lt;&gt;0,IF(OR(K$16=1,K$19=1),IF('Assumptions - Freight'!$E$111=1,K136/'Assumptions - Freight'!$E$114,K136*'Assumptions - Freight'!$E$113/'Assumptions - Freight'!$E$114)," "),0)</f>
        <v>45</v>
      </c>
      <c r="L158" s="12">
        <f>IF(L136&lt;&gt;0,IF(OR(L$16=1,L$19=1),IF('Assumptions - Freight'!$E$111=1,L136/'Assumptions - Freight'!$E$114,L136*'Assumptions - Freight'!$E$113/'Assumptions - Freight'!$E$114)," "),0)</f>
        <v>45</v>
      </c>
      <c r="M158" s="12">
        <f>IF(M136&lt;&gt;0,IF(OR(M$16=1,M$19=1),IF('Assumptions - Freight'!$E$111=1,M136/'Assumptions - Freight'!$E$114,M136*'Assumptions - Freight'!$E$113/'Assumptions - Freight'!$E$114)," "),0)</f>
        <v>45</v>
      </c>
      <c r="N158" s="12">
        <f>IF(N136&lt;&gt;0,IF(OR(N$16=1,N$19=1),IF('Assumptions - Freight'!$E$111=1,N136/'Assumptions - Freight'!$E$114,N136*'Assumptions - Freight'!$E$113/'Assumptions - Freight'!$E$114)," "),0)</f>
        <v>45</v>
      </c>
      <c r="O158" s="12">
        <f>IF(O136&lt;&gt;0,IF(OR(O$16=1,O$19=1),IF('Assumptions - Freight'!$E$111=1,O136/'Assumptions - Freight'!$E$114,O136*'Assumptions - Freight'!$E$113/'Assumptions - Freight'!$E$114)," "),0)</f>
        <v>45</v>
      </c>
      <c r="P158" s="12">
        <f>IF(P136&lt;&gt;0,IF(OR(P$16=1,P$19=1),IF('Assumptions - Freight'!$E$111=1,P136/'Assumptions - Freight'!$E$114,P136*'Assumptions - Freight'!$E$113/'Assumptions - Freight'!$E$114)," "),0)</f>
        <v>45</v>
      </c>
      <c r="Q158" s="12">
        <f>IF(Q136&lt;&gt;0,IF(OR(Q$16=1,Q$19=1),IF('Assumptions - Freight'!$E$111=1,Q136/'Assumptions - Freight'!$E$114,Q136*'Assumptions - Freight'!$E$113/'Assumptions - Freight'!$E$114)," "),0)</f>
        <v>45</v>
      </c>
      <c r="R158" s="12">
        <f>IF(R136&lt;&gt;0,IF(OR(R$16=1,R$19=1),IF('Assumptions - Freight'!$E$111=1,R136/'Assumptions - Freight'!$E$114,R136*'Assumptions - Freight'!$E$113/'Assumptions - Freight'!$E$114)," "),0)</f>
        <v>45</v>
      </c>
      <c r="S158" s="12">
        <f>IF(S136&lt;&gt;0,IF(OR(S$16=1,S$19=1),IF('Assumptions - Freight'!$E$111=1,S136/'Assumptions - Freight'!$E$114,S136*'Assumptions - Freight'!$E$113/'Assumptions - Freight'!$E$114)," "),0)</f>
        <v>45</v>
      </c>
      <c r="T158" s="12">
        <f>IF(T136&lt;&gt;0,IF(OR(T$16=1,T$19=1),IF('Assumptions - Freight'!$E$111=1,T136/'Assumptions - Freight'!$E$114,T136*'Assumptions - Freight'!$E$113/'Assumptions - Freight'!$E$114)," "),0)</f>
        <v>45</v>
      </c>
      <c r="U158" s="12">
        <f>IF(U136&lt;&gt;0,IF(OR(U$16=1,U$19=1),IF('Assumptions - Freight'!$E$111=1,U136/'Assumptions - Freight'!$E$114,U136*'Assumptions - Freight'!$E$113/'Assumptions - Freight'!$E$114)," "),0)</f>
        <v>45</v>
      </c>
      <c r="V158" s="12">
        <f>IF(V136&lt;&gt;0,IF(OR(V$16=1,V$19=1),IF('Assumptions - Freight'!$E$111=1,V136/'Assumptions - Freight'!$E$114,V136*'Assumptions - Freight'!$E$113/'Assumptions - Freight'!$E$114)," "),0)</f>
        <v>45</v>
      </c>
      <c r="W158" s="12">
        <f>IF(W136&lt;&gt;0,IF(OR(W$16=1,W$19=1),IF('Assumptions - Freight'!$E$111=1,W136/'Assumptions - Freight'!$E$114,W136*'Assumptions - Freight'!$E$113/'Assumptions - Freight'!$E$114)," "),0)</f>
        <v>45</v>
      </c>
      <c r="X158" s="12">
        <f>IF(X136&lt;&gt;0,IF(OR(X$16=1,X$19=1),IF('Assumptions - Freight'!$E$111=1,X136/'Assumptions - Freight'!$E$114,X136*'Assumptions - Freight'!$E$113/'Assumptions - Freight'!$E$114)," "),0)</f>
        <v>45</v>
      </c>
      <c r="Y158" s="12">
        <f>IF(Y136&lt;&gt;0,IF(OR(Y$16=1,Y$19=1),IF('Assumptions - Freight'!$E$111=1,Y136/'Assumptions - Freight'!$E$114,Y136*'Assumptions - Freight'!$E$113/'Assumptions - Freight'!$E$114)," "),0)</f>
        <v>45</v>
      </c>
      <c r="Z158" s="12">
        <f>IF(Z136&lt;&gt;0,IF(OR(Z$16=1,Z$19=1),IF('Assumptions - Freight'!$E$111=1,Z136/'Assumptions - Freight'!$E$114,Z136*'Assumptions - Freight'!$E$113/'Assumptions - Freight'!$E$114)," "),0)</f>
        <v>45</v>
      </c>
      <c r="AA158" s="12">
        <f>IF(AA136&lt;&gt;0,IF(OR(AA$16=1,AA$19=1),IF('Assumptions - Freight'!$E$111=1,AA136/'Assumptions - Freight'!$E$114,AA136*'Assumptions - Freight'!$E$113/'Assumptions - Freight'!$E$114)," "),0)</f>
        <v>45</v>
      </c>
      <c r="AB158" s="12">
        <f>IF(AB136&lt;&gt;0,IF(OR(AB$16=1,AB$19=1),IF('Assumptions - Freight'!$E$111=1,AB136/'Assumptions - Freight'!$E$114,AB136*'Assumptions - Freight'!$E$113/'Assumptions - Freight'!$E$114)," "),0)</f>
        <v>45</v>
      </c>
      <c r="AC158" s="12">
        <f>IF(AC136&lt;&gt;0,IF(OR(AC$16=1,AC$19=1),IF('Assumptions - Freight'!$E$111=1,AC136/'Assumptions - Freight'!$E$114,AC136*'Assumptions - Freight'!$E$113/'Assumptions - Freight'!$E$114)," "),0)</f>
        <v>45</v>
      </c>
      <c r="AD158" s="12">
        <f>IF(AD136&lt;&gt;0,IF(OR(AD$16=1,AD$19=1),IF('Assumptions - Freight'!$E$111=1,AD136/'Assumptions - Freight'!$E$114,AD136*'Assumptions - Freight'!$E$113/'Assumptions - Freight'!$E$114)," "),0)</f>
        <v>45</v>
      </c>
      <c r="AE158" s="12">
        <f>IF(AE136&lt;&gt;0,IF(OR(AE$16=1,AE$19=1),IF('Assumptions - Freight'!$E$111=1,AE136/'Assumptions - Freight'!$E$114,AE136*'Assumptions - Freight'!$E$113/'Assumptions - Freight'!$E$114)," "),0)</f>
        <v>45</v>
      </c>
      <c r="AF158" s="12">
        <f>IF(AF136&lt;&gt;0,IF(OR(AF$16=1,AF$19=1),IF('Assumptions - Freight'!$E$111=1,AF136/'Assumptions - Freight'!$E$114,AF136*'Assumptions - Freight'!$E$113/'Assumptions - Freight'!$E$114)," "),0)</f>
        <v>45</v>
      </c>
      <c r="AG158" s="12">
        <f>IF(AG136&lt;&gt;0,IF(OR(AG$16=1,AG$19=1),IF('Assumptions - Freight'!$E$111=1,AG136/'Assumptions - Freight'!$E$114,AG136*'Assumptions - Freight'!$E$113/'Assumptions - Freight'!$E$114)," "),0)</f>
        <v>45</v>
      </c>
      <c r="AH158" s="12">
        <f>IF(AH136&lt;&gt;0,IF(OR(AH$16=1,AH$19=1),IF('Assumptions - Freight'!$E$111=1,AH136/'Assumptions - Freight'!$E$114,AH136*'Assumptions - Freight'!$E$113/'Assumptions - Freight'!$E$114)," "),0)</f>
        <v>45</v>
      </c>
    </row>
    <row r="159" spans="2:34" x14ac:dyDescent="0.2">
      <c r="B159" s="8" t="str">
        <f>"Annual traffic volume of " &amp;'Assumptions - Freight'!E119</f>
        <v>Annual traffic volume of Commodity 4</v>
      </c>
      <c r="C159" s="8"/>
      <c r="D159" s="8" t="str">
        <f t="shared" si="40"/>
        <v>Train-km (millions)</v>
      </c>
      <c r="E159" s="12">
        <f>IF(E137&lt;&gt;0,IF(OR(E$16=1,E$19=1),IF('Assumptions - Freight'!$E$111=1,E137/'Assumptions - Freight'!$E$114,E137*'Assumptions - Freight'!$E$113/'Assumptions - Freight'!$E$114)," "),0)</f>
        <v>40</v>
      </c>
      <c r="F159" s="12">
        <f>IF(F137&lt;&gt;0,IF(OR(F$16=1,F$19=1),IF('Assumptions - Freight'!$E$111=1,F137/'Assumptions - Freight'!$E$114,F137*'Assumptions - Freight'!$E$113/'Assumptions - Freight'!$E$114)," "),0)</f>
        <v>40</v>
      </c>
      <c r="G159" s="12">
        <f>IF(G137&lt;&gt;0,IF(OR(G$16=1,G$19=1),IF('Assumptions - Freight'!$E$111=1,G137/'Assumptions - Freight'!$E$114,G137*'Assumptions - Freight'!$E$113/'Assumptions - Freight'!$E$114)," "),0)</f>
        <v>40</v>
      </c>
      <c r="H159" s="12">
        <f>IF(H137&lt;&gt;0,IF(OR(H$16=1,H$19=1),IF('Assumptions - Freight'!$E$111=1,H137/'Assumptions - Freight'!$E$114,H137*'Assumptions - Freight'!$E$113/'Assumptions - Freight'!$E$114)," "),0)</f>
        <v>40</v>
      </c>
      <c r="I159" s="12">
        <f>IF(I137&lt;&gt;0,IF(OR(I$16=1,I$19=1),IF('Assumptions - Freight'!$E$111=1,I137/'Assumptions - Freight'!$E$114,I137*'Assumptions - Freight'!$E$113/'Assumptions - Freight'!$E$114)," "),0)</f>
        <v>40</v>
      </c>
      <c r="J159" s="12">
        <f>IF(J137&lt;&gt;0,IF(OR(J$16=1,J$19=1),IF('Assumptions - Freight'!$E$111=1,J137/'Assumptions - Freight'!$E$114,J137*'Assumptions - Freight'!$E$113/'Assumptions - Freight'!$E$114)," "),0)</f>
        <v>40</v>
      </c>
      <c r="K159" s="12">
        <f>IF(K137&lt;&gt;0,IF(OR(K$16=1,K$19=1),IF('Assumptions - Freight'!$E$111=1,K137/'Assumptions - Freight'!$E$114,K137*'Assumptions - Freight'!$E$113/'Assumptions - Freight'!$E$114)," "),0)</f>
        <v>45</v>
      </c>
      <c r="L159" s="12">
        <f>IF(L137&lt;&gt;0,IF(OR(L$16=1,L$19=1),IF('Assumptions - Freight'!$E$111=1,L137/'Assumptions - Freight'!$E$114,L137*'Assumptions - Freight'!$E$113/'Assumptions - Freight'!$E$114)," "),0)</f>
        <v>45</v>
      </c>
      <c r="M159" s="12">
        <f>IF(M137&lt;&gt;0,IF(OR(M$16=1,M$19=1),IF('Assumptions - Freight'!$E$111=1,M137/'Assumptions - Freight'!$E$114,M137*'Assumptions - Freight'!$E$113/'Assumptions - Freight'!$E$114)," "),0)</f>
        <v>45</v>
      </c>
      <c r="N159" s="12">
        <f>IF(N137&lt;&gt;0,IF(OR(N$16=1,N$19=1),IF('Assumptions - Freight'!$E$111=1,N137/'Assumptions - Freight'!$E$114,N137*'Assumptions - Freight'!$E$113/'Assumptions - Freight'!$E$114)," "),0)</f>
        <v>45</v>
      </c>
      <c r="O159" s="12">
        <f>IF(O137&lt;&gt;0,IF(OR(O$16=1,O$19=1),IF('Assumptions - Freight'!$E$111=1,O137/'Assumptions - Freight'!$E$114,O137*'Assumptions - Freight'!$E$113/'Assumptions - Freight'!$E$114)," "),0)</f>
        <v>45</v>
      </c>
      <c r="P159" s="12">
        <f>IF(P137&lt;&gt;0,IF(OR(P$16=1,P$19=1),IF('Assumptions - Freight'!$E$111=1,P137/'Assumptions - Freight'!$E$114,P137*'Assumptions - Freight'!$E$113/'Assumptions - Freight'!$E$114)," "),0)</f>
        <v>45</v>
      </c>
      <c r="Q159" s="12">
        <f>IF(Q137&lt;&gt;0,IF(OR(Q$16=1,Q$19=1),IF('Assumptions - Freight'!$E$111=1,Q137/'Assumptions - Freight'!$E$114,Q137*'Assumptions - Freight'!$E$113/'Assumptions - Freight'!$E$114)," "),0)</f>
        <v>45</v>
      </c>
      <c r="R159" s="12">
        <f>IF(R137&lt;&gt;0,IF(OR(R$16=1,R$19=1),IF('Assumptions - Freight'!$E$111=1,R137/'Assumptions - Freight'!$E$114,R137*'Assumptions - Freight'!$E$113/'Assumptions - Freight'!$E$114)," "),0)</f>
        <v>45</v>
      </c>
      <c r="S159" s="12">
        <f>IF(S137&lt;&gt;0,IF(OR(S$16=1,S$19=1),IF('Assumptions - Freight'!$E$111=1,S137/'Assumptions - Freight'!$E$114,S137*'Assumptions - Freight'!$E$113/'Assumptions - Freight'!$E$114)," "),0)</f>
        <v>45</v>
      </c>
      <c r="T159" s="12">
        <f>IF(T137&lt;&gt;0,IF(OR(T$16=1,T$19=1),IF('Assumptions - Freight'!$E$111=1,T137/'Assumptions - Freight'!$E$114,T137*'Assumptions - Freight'!$E$113/'Assumptions - Freight'!$E$114)," "),0)</f>
        <v>45</v>
      </c>
      <c r="U159" s="12">
        <f>IF(U137&lt;&gt;0,IF(OR(U$16=1,U$19=1),IF('Assumptions - Freight'!$E$111=1,U137/'Assumptions - Freight'!$E$114,U137*'Assumptions - Freight'!$E$113/'Assumptions - Freight'!$E$114)," "),0)</f>
        <v>45</v>
      </c>
      <c r="V159" s="12">
        <f>IF(V137&lt;&gt;0,IF(OR(V$16=1,V$19=1),IF('Assumptions - Freight'!$E$111=1,V137/'Assumptions - Freight'!$E$114,V137*'Assumptions - Freight'!$E$113/'Assumptions - Freight'!$E$114)," "),0)</f>
        <v>45</v>
      </c>
      <c r="W159" s="12">
        <f>IF(W137&lt;&gt;0,IF(OR(W$16=1,W$19=1),IF('Assumptions - Freight'!$E$111=1,W137/'Assumptions - Freight'!$E$114,W137*'Assumptions - Freight'!$E$113/'Assumptions - Freight'!$E$114)," "),0)</f>
        <v>45</v>
      </c>
      <c r="X159" s="12">
        <f>IF(X137&lt;&gt;0,IF(OR(X$16=1,X$19=1),IF('Assumptions - Freight'!$E$111=1,X137/'Assumptions - Freight'!$E$114,X137*'Assumptions - Freight'!$E$113/'Assumptions - Freight'!$E$114)," "),0)</f>
        <v>45</v>
      </c>
      <c r="Y159" s="12">
        <f>IF(Y137&lt;&gt;0,IF(OR(Y$16=1,Y$19=1),IF('Assumptions - Freight'!$E$111=1,Y137/'Assumptions - Freight'!$E$114,Y137*'Assumptions - Freight'!$E$113/'Assumptions - Freight'!$E$114)," "),0)</f>
        <v>45</v>
      </c>
      <c r="Z159" s="12">
        <f>IF(Z137&lt;&gt;0,IF(OR(Z$16=1,Z$19=1),IF('Assumptions - Freight'!$E$111=1,Z137/'Assumptions - Freight'!$E$114,Z137*'Assumptions - Freight'!$E$113/'Assumptions - Freight'!$E$114)," "),0)</f>
        <v>45</v>
      </c>
      <c r="AA159" s="12">
        <f>IF(AA137&lt;&gt;0,IF(OR(AA$16=1,AA$19=1),IF('Assumptions - Freight'!$E$111=1,AA137/'Assumptions - Freight'!$E$114,AA137*'Assumptions - Freight'!$E$113/'Assumptions - Freight'!$E$114)," "),0)</f>
        <v>45</v>
      </c>
      <c r="AB159" s="12">
        <f>IF(AB137&lt;&gt;0,IF(OR(AB$16=1,AB$19=1),IF('Assumptions - Freight'!$E$111=1,AB137/'Assumptions - Freight'!$E$114,AB137*'Assumptions - Freight'!$E$113/'Assumptions - Freight'!$E$114)," "),0)</f>
        <v>45</v>
      </c>
      <c r="AC159" s="12">
        <f>IF(AC137&lt;&gt;0,IF(OR(AC$16=1,AC$19=1),IF('Assumptions - Freight'!$E$111=1,AC137/'Assumptions - Freight'!$E$114,AC137*'Assumptions - Freight'!$E$113/'Assumptions - Freight'!$E$114)," "),0)</f>
        <v>45</v>
      </c>
      <c r="AD159" s="12">
        <f>IF(AD137&lt;&gt;0,IF(OR(AD$16=1,AD$19=1),IF('Assumptions - Freight'!$E$111=1,AD137/'Assumptions - Freight'!$E$114,AD137*'Assumptions - Freight'!$E$113/'Assumptions - Freight'!$E$114)," "),0)</f>
        <v>45</v>
      </c>
      <c r="AE159" s="12">
        <f>IF(AE137&lt;&gt;0,IF(OR(AE$16=1,AE$19=1),IF('Assumptions - Freight'!$E$111=1,AE137/'Assumptions - Freight'!$E$114,AE137*'Assumptions - Freight'!$E$113/'Assumptions - Freight'!$E$114)," "),0)</f>
        <v>45</v>
      </c>
      <c r="AF159" s="12">
        <f>IF(AF137&lt;&gt;0,IF(OR(AF$16=1,AF$19=1),IF('Assumptions - Freight'!$E$111=1,AF137/'Assumptions - Freight'!$E$114,AF137*'Assumptions - Freight'!$E$113/'Assumptions - Freight'!$E$114)," "),0)</f>
        <v>45</v>
      </c>
      <c r="AG159" s="12">
        <f>IF(AG137&lt;&gt;0,IF(OR(AG$16=1,AG$19=1),IF('Assumptions - Freight'!$E$111=1,AG137/'Assumptions - Freight'!$E$114,AG137*'Assumptions - Freight'!$E$113/'Assumptions - Freight'!$E$114)," "),0)</f>
        <v>45</v>
      </c>
      <c r="AH159" s="12">
        <f>IF(AH137&lt;&gt;0,IF(OR(AH$16=1,AH$19=1),IF('Assumptions - Freight'!$E$111=1,AH137/'Assumptions - Freight'!$E$114,AH137*'Assumptions - Freight'!$E$113/'Assumptions - Freight'!$E$114)," "),0)</f>
        <v>45</v>
      </c>
    </row>
    <row r="160" spans="2:34" x14ac:dyDescent="0.2">
      <c r="B160" s="8" t="str">
        <f>"Annual traffic volume of " &amp;'Assumptions - Freight'!E120</f>
        <v>Annual traffic volume of Commodity 5</v>
      </c>
      <c r="C160" s="8"/>
      <c r="D160" s="8" t="str">
        <f t="shared" si="40"/>
        <v>Train-km (millions)</v>
      </c>
      <c r="E160" s="12">
        <f>IF(E138&lt;&gt;0,IF(OR(E$16=1,E$19=1),IF('Assumptions - Freight'!$E$111=1,E138/'Assumptions - Freight'!$E$114,E138*'Assumptions - Freight'!$E$113/'Assumptions - Freight'!$E$114)," "),0)</f>
        <v>40</v>
      </c>
      <c r="F160" s="12">
        <f>IF(F138&lt;&gt;0,IF(OR(F$16=1,F$19=1),IF('Assumptions - Freight'!$E$111=1,F138/'Assumptions - Freight'!$E$114,F138*'Assumptions - Freight'!$E$113/'Assumptions - Freight'!$E$114)," "),0)</f>
        <v>40</v>
      </c>
      <c r="G160" s="12">
        <f>IF(G138&lt;&gt;0,IF(OR(G$16=1,G$19=1),IF('Assumptions - Freight'!$E$111=1,G138/'Assumptions - Freight'!$E$114,G138*'Assumptions - Freight'!$E$113/'Assumptions - Freight'!$E$114)," "),0)</f>
        <v>40</v>
      </c>
      <c r="H160" s="12">
        <f>IF(H138&lt;&gt;0,IF(OR(H$16=1,H$19=1),IF('Assumptions - Freight'!$E$111=1,H138/'Assumptions - Freight'!$E$114,H138*'Assumptions - Freight'!$E$113/'Assumptions - Freight'!$E$114)," "),0)</f>
        <v>40</v>
      </c>
      <c r="I160" s="12">
        <f>IF(I138&lt;&gt;0,IF(OR(I$16=1,I$19=1),IF('Assumptions - Freight'!$E$111=1,I138/'Assumptions - Freight'!$E$114,I138*'Assumptions - Freight'!$E$113/'Assumptions - Freight'!$E$114)," "),0)</f>
        <v>40</v>
      </c>
      <c r="J160" s="12">
        <f>IF(J138&lt;&gt;0,IF(OR(J$16=1,J$19=1),IF('Assumptions - Freight'!$E$111=1,J138/'Assumptions - Freight'!$E$114,J138*'Assumptions - Freight'!$E$113/'Assumptions - Freight'!$E$114)," "),0)</f>
        <v>40</v>
      </c>
      <c r="K160" s="12">
        <f>IF(K138&lt;&gt;0,IF(OR(K$16=1,K$19=1),IF('Assumptions - Freight'!$E$111=1,K138/'Assumptions - Freight'!$E$114,K138*'Assumptions - Freight'!$E$113/'Assumptions - Freight'!$E$114)," "),0)</f>
        <v>45</v>
      </c>
      <c r="L160" s="12">
        <f>IF(L138&lt;&gt;0,IF(OR(L$16=1,L$19=1),IF('Assumptions - Freight'!$E$111=1,L138/'Assumptions - Freight'!$E$114,L138*'Assumptions - Freight'!$E$113/'Assumptions - Freight'!$E$114)," "),0)</f>
        <v>45</v>
      </c>
      <c r="M160" s="12">
        <f>IF(M138&lt;&gt;0,IF(OR(M$16=1,M$19=1),IF('Assumptions - Freight'!$E$111=1,M138/'Assumptions - Freight'!$E$114,M138*'Assumptions - Freight'!$E$113/'Assumptions - Freight'!$E$114)," "),0)</f>
        <v>45</v>
      </c>
      <c r="N160" s="12">
        <f>IF(N138&lt;&gt;0,IF(OR(N$16=1,N$19=1),IF('Assumptions - Freight'!$E$111=1,N138/'Assumptions - Freight'!$E$114,N138*'Assumptions - Freight'!$E$113/'Assumptions - Freight'!$E$114)," "),0)</f>
        <v>45</v>
      </c>
      <c r="O160" s="12">
        <f>IF(O138&lt;&gt;0,IF(OR(O$16=1,O$19=1),IF('Assumptions - Freight'!$E$111=1,O138/'Assumptions - Freight'!$E$114,O138*'Assumptions - Freight'!$E$113/'Assumptions - Freight'!$E$114)," "),0)</f>
        <v>45</v>
      </c>
      <c r="P160" s="12">
        <f>IF(P138&lt;&gt;0,IF(OR(P$16=1,P$19=1),IF('Assumptions - Freight'!$E$111=1,P138/'Assumptions - Freight'!$E$114,P138*'Assumptions - Freight'!$E$113/'Assumptions - Freight'!$E$114)," "),0)</f>
        <v>45</v>
      </c>
      <c r="Q160" s="12">
        <f>IF(Q138&lt;&gt;0,IF(OR(Q$16=1,Q$19=1),IF('Assumptions - Freight'!$E$111=1,Q138/'Assumptions - Freight'!$E$114,Q138*'Assumptions - Freight'!$E$113/'Assumptions - Freight'!$E$114)," "),0)</f>
        <v>45</v>
      </c>
      <c r="R160" s="12">
        <f>IF(R138&lt;&gt;0,IF(OR(R$16=1,R$19=1),IF('Assumptions - Freight'!$E$111=1,R138/'Assumptions - Freight'!$E$114,R138*'Assumptions - Freight'!$E$113/'Assumptions - Freight'!$E$114)," "),0)</f>
        <v>45</v>
      </c>
      <c r="S160" s="12">
        <f>IF(S138&lt;&gt;0,IF(OR(S$16=1,S$19=1),IF('Assumptions - Freight'!$E$111=1,S138/'Assumptions - Freight'!$E$114,S138*'Assumptions - Freight'!$E$113/'Assumptions - Freight'!$E$114)," "),0)</f>
        <v>45</v>
      </c>
      <c r="T160" s="12">
        <f>IF(T138&lt;&gt;0,IF(OR(T$16=1,T$19=1),IF('Assumptions - Freight'!$E$111=1,T138/'Assumptions - Freight'!$E$114,T138*'Assumptions - Freight'!$E$113/'Assumptions - Freight'!$E$114)," "),0)</f>
        <v>45</v>
      </c>
      <c r="U160" s="12">
        <f>IF(U138&lt;&gt;0,IF(OR(U$16=1,U$19=1),IF('Assumptions - Freight'!$E$111=1,U138/'Assumptions - Freight'!$E$114,U138*'Assumptions - Freight'!$E$113/'Assumptions - Freight'!$E$114)," "),0)</f>
        <v>45</v>
      </c>
      <c r="V160" s="12">
        <f>IF(V138&lt;&gt;0,IF(OR(V$16=1,V$19=1),IF('Assumptions - Freight'!$E$111=1,V138/'Assumptions - Freight'!$E$114,V138*'Assumptions - Freight'!$E$113/'Assumptions - Freight'!$E$114)," "),0)</f>
        <v>45</v>
      </c>
      <c r="W160" s="12">
        <f>IF(W138&lt;&gt;0,IF(OR(W$16=1,W$19=1),IF('Assumptions - Freight'!$E$111=1,W138/'Assumptions - Freight'!$E$114,W138*'Assumptions - Freight'!$E$113/'Assumptions - Freight'!$E$114)," "),0)</f>
        <v>45</v>
      </c>
      <c r="X160" s="12">
        <f>IF(X138&lt;&gt;0,IF(OR(X$16=1,X$19=1),IF('Assumptions - Freight'!$E$111=1,X138/'Assumptions - Freight'!$E$114,X138*'Assumptions - Freight'!$E$113/'Assumptions - Freight'!$E$114)," "),0)</f>
        <v>45</v>
      </c>
      <c r="Y160" s="12">
        <f>IF(Y138&lt;&gt;0,IF(OR(Y$16=1,Y$19=1),IF('Assumptions - Freight'!$E$111=1,Y138/'Assumptions - Freight'!$E$114,Y138*'Assumptions - Freight'!$E$113/'Assumptions - Freight'!$E$114)," "),0)</f>
        <v>45</v>
      </c>
      <c r="Z160" s="12">
        <f>IF(Z138&lt;&gt;0,IF(OR(Z$16=1,Z$19=1),IF('Assumptions - Freight'!$E$111=1,Z138/'Assumptions - Freight'!$E$114,Z138*'Assumptions - Freight'!$E$113/'Assumptions - Freight'!$E$114)," "),0)</f>
        <v>45</v>
      </c>
      <c r="AA160" s="12">
        <f>IF(AA138&lt;&gt;0,IF(OR(AA$16=1,AA$19=1),IF('Assumptions - Freight'!$E$111=1,AA138/'Assumptions - Freight'!$E$114,AA138*'Assumptions - Freight'!$E$113/'Assumptions - Freight'!$E$114)," "),0)</f>
        <v>45</v>
      </c>
      <c r="AB160" s="12">
        <f>IF(AB138&lt;&gt;0,IF(OR(AB$16=1,AB$19=1),IF('Assumptions - Freight'!$E$111=1,AB138/'Assumptions - Freight'!$E$114,AB138*'Assumptions - Freight'!$E$113/'Assumptions - Freight'!$E$114)," "),0)</f>
        <v>45</v>
      </c>
      <c r="AC160" s="12">
        <f>IF(AC138&lt;&gt;0,IF(OR(AC$16=1,AC$19=1),IF('Assumptions - Freight'!$E$111=1,AC138/'Assumptions - Freight'!$E$114,AC138*'Assumptions - Freight'!$E$113/'Assumptions - Freight'!$E$114)," "),0)</f>
        <v>45</v>
      </c>
      <c r="AD160" s="12">
        <f>IF(AD138&lt;&gt;0,IF(OR(AD$16=1,AD$19=1),IF('Assumptions - Freight'!$E$111=1,AD138/'Assumptions - Freight'!$E$114,AD138*'Assumptions - Freight'!$E$113/'Assumptions - Freight'!$E$114)," "),0)</f>
        <v>45</v>
      </c>
      <c r="AE160" s="12">
        <f>IF(AE138&lt;&gt;0,IF(OR(AE$16=1,AE$19=1),IF('Assumptions - Freight'!$E$111=1,AE138/'Assumptions - Freight'!$E$114,AE138*'Assumptions - Freight'!$E$113/'Assumptions - Freight'!$E$114)," "),0)</f>
        <v>45</v>
      </c>
      <c r="AF160" s="12">
        <f>IF(AF138&lt;&gt;0,IF(OR(AF$16=1,AF$19=1),IF('Assumptions - Freight'!$E$111=1,AF138/'Assumptions - Freight'!$E$114,AF138*'Assumptions - Freight'!$E$113/'Assumptions - Freight'!$E$114)," "),0)</f>
        <v>45</v>
      </c>
      <c r="AG160" s="12">
        <f>IF(AG138&lt;&gt;0,IF(OR(AG$16=1,AG$19=1),IF('Assumptions - Freight'!$E$111=1,AG138/'Assumptions - Freight'!$E$114,AG138*'Assumptions - Freight'!$E$113/'Assumptions - Freight'!$E$114)," "),0)</f>
        <v>45</v>
      </c>
      <c r="AH160" s="12">
        <f>IF(AH138&lt;&gt;0,IF(OR(AH$16=1,AH$19=1),IF('Assumptions - Freight'!$E$111=1,AH138/'Assumptions - Freight'!$E$114,AH138*'Assumptions - Freight'!$E$113/'Assumptions - Freight'!$E$114)," "),0)</f>
        <v>45</v>
      </c>
    </row>
    <row r="161" spans="2:34" x14ac:dyDescent="0.2">
      <c r="B161" s="8" t="str">
        <f>"Annual traffic volume of " &amp;'Assumptions - Freight'!E121</f>
        <v>Annual traffic volume of Commodity 6</v>
      </c>
      <c r="C161" s="8"/>
      <c r="D161" s="8" t="str">
        <f t="shared" si="40"/>
        <v>Train-km (millions)</v>
      </c>
      <c r="E161" s="12">
        <f>IF(E139&lt;&gt;0,IF(OR(E$16=1,E$19=1),IF('Assumptions - Freight'!$E$111=1,E139/'Assumptions - Freight'!$E$114,E139*'Assumptions - Freight'!$E$113/'Assumptions - Freight'!$E$114)," "),0)</f>
        <v>40</v>
      </c>
      <c r="F161" s="12">
        <f>IF(F139&lt;&gt;0,IF(OR(F$16=1,F$19=1),IF('Assumptions - Freight'!$E$111=1,F139/'Assumptions - Freight'!$E$114,F139*'Assumptions - Freight'!$E$113/'Assumptions - Freight'!$E$114)," "),0)</f>
        <v>40</v>
      </c>
      <c r="G161" s="12">
        <f>IF(G139&lt;&gt;0,IF(OR(G$16=1,G$19=1),IF('Assumptions - Freight'!$E$111=1,G139/'Assumptions - Freight'!$E$114,G139*'Assumptions - Freight'!$E$113/'Assumptions - Freight'!$E$114)," "),0)</f>
        <v>40</v>
      </c>
      <c r="H161" s="12">
        <f>IF(H139&lt;&gt;0,IF(OR(H$16=1,H$19=1),IF('Assumptions - Freight'!$E$111=1,H139/'Assumptions - Freight'!$E$114,H139*'Assumptions - Freight'!$E$113/'Assumptions - Freight'!$E$114)," "),0)</f>
        <v>40</v>
      </c>
      <c r="I161" s="12">
        <f>IF(I139&lt;&gt;0,IF(OR(I$16=1,I$19=1),IF('Assumptions - Freight'!$E$111=1,I139/'Assumptions - Freight'!$E$114,I139*'Assumptions - Freight'!$E$113/'Assumptions - Freight'!$E$114)," "),0)</f>
        <v>40</v>
      </c>
      <c r="J161" s="12">
        <f>IF(J139&lt;&gt;0,IF(OR(J$16=1,J$19=1),IF('Assumptions - Freight'!$E$111=1,J139/'Assumptions - Freight'!$E$114,J139*'Assumptions - Freight'!$E$113/'Assumptions - Freight'!$E$114)," "),0)</f>
        <v>40</v>
      </c>
      <c r="K161" s="12">
        <f>IF(K139&lt;&gt;0,IF(OR(K$16=1,K$19=1),IF('Assumptions - Freight'!$E$111=1,K139/'Assumptions - Freight'!$E$114,K139*'Assumptions - Freight'!$E$113/'Assumptions - Freight'!$E$114)," "),0)</f>
        <v>45</v>
      </c>
      <c r="L161" s="12">
        <f>IF(L139&lt;&gt;0,IF(OR(L$16=1,L$19=1),IF('Assumptions - Freight'!$E$111=1,L139/'Assumptions - Freight'!$E$114,L139*'Assumptions - Freight'!$E$113/'Assumptions - Freight'!$E$114)," "),0)</f>
        <v>45</v>
      </c>
      <c r="M161" s="12">
        <f>IF(M139&lt;&gt;0,IF(OR(M$16=1,M$19=1),IF('Assumptions - Freight'!$E$111=1,M139/'Assumptions - Freight'!$E$114,M139*'Assumptions - Freight'!$E$113/'Assumptions - Freight'!$E$114)," "),0)</f>
        <v>45</v>
      </c>
      <c r="N161" s="12">
        <f>IF(N139&lt;&gt;0,IF(OR(N$16=1,N$19=1),IF('Assumptions - Freight'!$E$111=1,N139/'Assumptions - Freight'!$E$114,N139*'Assumptions - Freight'!$E$113/'Assumptions - Freight'!$E$114)," "),0)</f>
        <v>45</v>
      </c>
      <c r="O161" s="12">
        <f>IF(O139&lt;&gt;0,IF(OR(O$16=1,O$19=1),IF('Assumptions - Freight'!$E$111=1,O139/'Assumptions - Freight'!$E$114,O139*'Assumptions - Freight'!$E$113/'Assumptions - Freight'!$E$114)," "),0)</f>
        <v>45</v>
      </c>
      <c r="P161" s="12">
        <f>IF(P139&lt;&gt;0,IF(OR(P$16=1,P$19=1),IF('Assumptions - Freight'!$E$111=1,P139/'Assumptions - Freight'!$E$114,P139*'Assumptions - Freight'!$E$113/'Assumptions - Freight'!$E$114)," "),0)</f>
        <v>45</v>
      </c>
      <c r="Q161" s="12">
        <f>IF(Q139&lt;&gt;0,IF(OR(Q$16=1,Q$19=1),IF('Assumptions - Freight'!$E$111=1,Q139/'Assumptions - Freight'!$E$114,Q139*'Assumptions - Freight'!$E$113/'Assumptions - Freight'!$E$114)," "),0)</f>
        <v>45</v>
      </c>
      <c r="R161" s="12">
        <f>IF(R139&lt;&gt;0,IF(OR(R$16=1,R$19=1),IF('Assumptions - Freight'!$E$111=1,R139/'Assumptions - Freight'!$E$114,R139*'Assumptions - Freight'!$E$113/'Assumptions - Freight'!$E$114)," "),0)</f>
        <v>45</v>
      </c>
      <c r="S161" s="12">
        <f>IF(S139&lt;&gt;0,IF(OR(S$16=1,S$19=1),IF('Assumptions - Freight'!$E$111=1,S139/'Assumptions - Freight'!$E$114,S139*'Assumptions - Freight'!$E$113/'Assumptions - Freight'!$E$114)," "),0)</f>
        <v>45</v>
      </c>
      <c r="T161" s="12">
        <f>IF(T139&lt;&gt;0,IF(OR(T$16=1,T$19=1),IF('Assumptions - Freight'!$E$111=1,T139/'Assumptions - Freight'!$E$114,T139*'Assumptions - Freight'!$E$113/'Assumptions - Freight'!$E$114)," "),0)</f>
        <v>45</v>
      </c>
      <c r="U161" s="12">
        <f>IF(U139&lt;&gt;0,IF(OR(U$16=1,U$19=1),IF('Assumptions - Freight'!$E$111=1,U139/'Assumptions - Freight'!$E$114,U139*'Assumptions - Freight'!$E$113/'Assumptions - Freight'!$E$114)," "),0)</f>
        <v>45</v>
      </c>
      <c r="V161" s="12">
        <f>IF(V139&lt;&gt;0,IF(OR(V$16=1,V$19=1),IF('Assumptions - Freight'!$E$111=1,V139/'Assumptions - Freight'!$E$114,V139*'Assumptions - Freight'!$E$113/'Assumptions - Freight'!$E$114)," "),0)</f>
        <v>45</v>
      </c>
      <c r="W161" s="12">
        <f>IF(W139&lt;&gt;0,IF(OR(W$16=1,W$19=1),IF('Assumptions - Freight'!$E$111=1,W139/'Assumptions - Freight'!$E$114,W139*'Assumptions - Freight'!$E$113/'Assumptions - Freight'!$E$114)," "),0)</f>
        <v>45</v>
      </c>
      <c r="X161" s="12">
        <f>IF(X139&lt;&gt;0,IF(OR(X$16=1,X$19=1),IF('Assumptions - Freight'!$E$111=1,X139/'Assumptions - Freight'!$E$114,X139*'Assumptions - Freight'!$E$113/'Assumptions - Freight'!$E$114)," "),0)</f>
        <v>45</v>
      </c>
      <c r="Y161" s="12">
        <f>IF(Y139&lt;&gt;0,IF(OR(Y$16=1,Y$19=1),IF('Assumptions - Freight'!$E$111=1,Y139/'Assumptions - Freight'!$E$114,Y139*'Assumptions - Freight'!$E$113/'Assumptions - Freight'!$E$114)," "),0)</f>
        <v>45</v>
      </c>
      <c r="Z161" s="12">
        <f>IF(Z139&lt;&gt;0,IF(OR(Z$16=1,Z$19=1),IF('Assumptions - Freight'!$E$111=1,Z139/'Assumptions - Freight'!$E$114,Z139*'Assumptions - Freight'!$E$113/'Assumptions - Freight'!$E$114)," "),0)</f>
        <v>45</v>
      </c>
      <c r="AA161" s="12">
        <f>IF(AA139&lt;&gt;0,IF(OR(AA$16=1,AA$19=1),IF('Assumptions - Freight'!$E$111=1,AA139/'Assumptions - Freight'!$E$114,AA139*'Assumptions - Freight'!$E$113/'Assumptions - Freight'!$E$114)," "),0)</f>
        <v>45</v>
      </c>
      <c r="AB161" s="12">
        <f>IF(AB139&lt;&gt;0,IF(OR(AB$16=1,AB$19=1),IF('Assumptions - Freight'!$E$111=1,AB139/'Assumptions - Freight'!$E$114,AB139*'Assumptions - Freight'!$E$113/'Assumptions - Freight'!$E$114)," "),0)</f>
        <v>45</v>
      </c>
      <c r="AC161" s="12">
        <f>IF(AC139&lt;&gt;0,IF(OR(AC$16=1,AC$19=1),IF('Assumptions - Freight'!$E$111=1,AC139/'Assumptions - Freight'!$E$114,AC139*'Assumptions - Freight'!$E$113/'Assumptions - Freight'!$E$114)," "),0)</f>
        <v>45</v>
      </c>
      <c r="AD161" s="12">
        <f>IF(AD139&lt;&gt;0,IF(OR(AD$16=1,AD$19=1),IF('Assumptions - Freight'!$E$111=1,AD139/'Assumptions - Freight'!$E$114,AD139*'Assumptions - Freight'!$E$113/'Assumptions - Freight'!$E$114)," "),0)</f>
        <v>45</v>
      </c>
      <c r="AE161" s="12">
        <f>IF(AE139&lt;&gt;0,IF(OR(AE$16=1,AE$19=1),IF('Assumptions - Freight'!$E$111=1,AE139/'Assumptions - Freight'!$E$114,AE139*'Assumptions - Freight'!$E$113/'Assumptions - Freight'!$E$114)," "),0)</f>
        <v>45</v>
      </c>
      <c r="AF161" s="12">
        <f>IF(AF139&lt;&gt;0,IF(OR(AF$16=1,AF$19=1),IF('Assumptions - Freight'!$E$111=1,AF139/'Assumptions - Freight'!$E$114,AF139*'Assumptions - Freight'!$E$113/'Assumptions - Freight'!$E$114)," "),0)</f>
        <v>45</v>
      </c>
      <c r="AG161" s="12">
        <f>IF(AG139&lt;&gt;0,IF(OR(AG$16=1,AG$19=1),IF('Assumptions - Freight'!$E$111=1,AG139/'Assumptions - Freight'!$E$114,AG139*'Assumptions - Freight'!$E$113/'Assumptions - Freight'!$E$114)," "),0)</f>
        <v>45</v>
      </c>
      <c r="AH161" s="12">
        <f>IF(AH139&lt;&gt;0,IF(OR(AH$16=1,AH$19=1),IF('Assumptions - Freight'!$E$111=1,AH139/'Assumptions - Freight'!$E$114,AH139*'Assumptions - Freight'!$E$113/'Assumptions - Freight'!$E$114)," "),0)</f>
        <v>45</v>
      </c>
    </row>
    <row r="162" spans="2:34" x14ac:dyDescent="0.2">
      <c r="B162" s="8" t="str">
        <f>"Annual traffic volume of " &amp;'Assumptions - Freight'!E122</f>
        <v>Annual traffic volume of Commodity 7</v>
      </c>
      <c r="C162" s="8"/>
      <c r="D162" s="8" t="str">
        <f t="shared" si="40"/>
        <v>Train-km (millions)</v>
      </c>
      <c r="E162" s="12">
        <f>IF(E140&lt;&gt;0,IF(OR(E$16=1,E$19=1),IF('Assumptions - Freight'!$E$111=1,E140/'Assumptions - Freight'!$E$114,E140*'Assumptions - Freight'!$E$113/'Assumptions - Freight'!$E$114)," "),0)</f>
        <v>40</v>
      </c>
      <c r="F162" s="12">
        <f>IF(F140&lt;&gt;0,IF(OR(F$16=1,F$19=1),IF('Assumptions - Freight'!$E$111=1,F140/'Assumptions - Freight'!$E$114,F140*'Assumptions - Freight'!$E$113/'Assumptions - Freight'!$E$114)," "),0)</f>
        <v>40</v>
      </c>
      <c r="G162" s="12">
        <f>IF(G140&lt;&gt;0,IF(OR(G$16=1,G$19=1),IF('Assumptions - Freight'!$E$111=1,G140/'Assumptions - Freight'!$E$114,G140*'Assumptions - Freight'!$E$113/'Assumptions - Freight'!$E$114)," "),0)</f>
        <v>40</v>
      </c>
      <c r="H162" s="12">
        <f>IF(H140&lt;&gt;0,IF(OR(H$16=1,H$19=1),IF('Assumptions - Freight'!$E$111=1,H140/'Assumptions - Freight'!$E$114,H140*'Assumptions - Freight'!$E$113/'Assumptions - Freight'!$E$114)," "),0)</f>
        <v>40</v>
      </c>
      <c r="I162" s="12">
        <f>IF(I140&lt;&gt;0,IF(OR(I$16=1,I$19=1),IF('Assumptions - Freight'!$E$111=1,I140/'Assumptions - Freight'!$E$114,I140*'Assumptions - Freight'!$E$113/'Assumptions - Freight'!$E$114)," "),0)</f>
        <v>40</v>
      </c>
      <c r="J162" s="12">
        <f>IF(J140&lt;&gt;0,IF(OR(J$16=1,J$19=1),IF('Assumptions - Freight'!$E$111=1,J140/'Assumptions - Freight'!$E$114,J140*'Assumptions - Freight'!$E$113/'Assumptions - Freight'!$E$114)," "),0)</f>
        <v>40</v>
      </c>
      <c r="K162" s="12">
        <f>IF(K140&lt;&gt;0,IF(OR(K$16=1,K$19=1),IF('Assumptions - Freight'!$E$111=1,K140/'Assumptions - Freight'!$E$114,K140*'Assumptions - Freight'!$E$113/'Assumptions - Freight'!$E$114)," "),0)</f>
        <v>45</v>
      </c>
      <c r="L162" s="12">
        <f>IF(L140&lt;&gt;0,IF(OR(L$16=1,L$19=1),IF('Assumptions - Freight'!$E$111=1,L140/'Assumptions - Freight'!$E$114,L140*'Assumptions - Freight'!$E$113/'Assumptions - Freight'!$E$114)," "),0)</f>
        <v>45</v>
      </c>
      <c r="M162" s="12">
        <f>IF(M140&lt;&gt;0,IF(OR(M$16=1,M$19=1),IF('Assumptions - Freight'!$E$111=1,M140/'Assumptions - Freight'!$E$114,M140*'Assumptions - Freight'!$E$113/'Assumptions - Freight'!$E$114)," "),0)</f>
        <v>45</v>
      </c>
      <c r="N162" s="12">
        <f>IF(N140&lt;&gt;0,IF(OR(N$16=1,N$19=1),IF('Assumptions - Freight'!$E$111=1,N140/'Assumptions - Freight'!$E$114,N140*'Assumptions - Freight'!$E$113/'Assumptions - Freight'!$E$114)," "),0)</f>
        <v>45</v>
      </c>
      <c r="O162" s="12">
        <f>IF(O140&lt;&gt;0,IF(OR(O$16=1,O$19=1),IF('Assumptions - Freight'!$E$111=1,O140/'Assumptions - Freight'!$E$114,O140*'Assumptions - Freight'!$E$113/'Assumptions - Freight'!$E$114)," "),0)</f>
        <v>45</v>
      </c>
      <c r="P162" s="12">
        <f>IF(P140&lt;&gt;0,IF(OR(P$16=1,P$19=1),IF('Assumptions - Freight'!$E$111=1,P140/'Assumptions - Freight'!$E$114,P140*'Assumptions - Freight'!$E$113/'Assumptions - Freight'!$E$114)," "),0)</f>
        <v>45</v>
      </c>
      <c r="Q162" s="12">
        <f>IF(Q140&lt;&gt;0,IF(OR(Q$16=1,Q$19=1),IF('Assumptions - Freight'!$E$111=1,Q140/'Assumptions - Freight'!$E$114,Q140*'Assumptions - Freight'!$E$113/'Assumptions - Freight'!$E$114)," "),0)</f>
        <v>45</v>
      </c>
      <c r="R162" s="12">
        <f>IF(R140&lt;&gt;0,IF(OR(R$16=1,R$19=1),IF('Assumptions - Freight'!$E$111=1,R140/'Assumptions - Freight'!$E$114,R140*'Assumptions - Freight'!$E$113/'Assumptions - Freight'!$E$114)," "),0)</f>
        <v>45</v>
      </c>
      <c r="S162" s="12">
        <f>IF(S140&lt;&gt;0,IF(OR(S$16=1,S$19=1),IF('Assumptions - Freight'!$E$111=1,S140/'Assumptions - Freight'!$E$114,S140*'Assumptions - Freight'!$E$113/'Assumptions - Freight'!$E$114)," "),0)</f>
        <v>45</v>
      </c>
      <c r="T162" s="12">
        <f>IF(T140&lt;&gt;0,IF(OR(T$16=1,T$19=1),IF('Assumptions - Freight'!$E$111=1,T140/'Assumptions - Freight'!$E$114,T140*'Assumptions - Freight'!$E$113/'Assumptions - Freight'!$E$114)," "),0)</f>
        <v>45</v>
      </c>
      <c r="U162" s="12">
        <f>IF(U140&lt;&gt;0,IF(OR(U$16=1,U$19=1),IF('Assumptions - Freight'!$E$111=1,U140/'Assumptions - Freight'!$E$114,U140*'Assumptions - Freight'!$E$113/'Assumptions - Freight'!$E$114)," "),0)</f>
        <v>45</v>
      </c>
      <c r="V162" s="12">
        <f>IF(V140&lt;&gt;0,IF(OR(V$16=1,V$19=1),IF('Assumptions - Freight'!$E$111=1,V140/'Assumptions - Freight'!$E$114,V140*'Assumptions - Freight'!$E$113/'Assumptions - Freight'!$E$114)," "),0)</f>
        <v>45</v>
      </c>
      <c r="W162" s="12">
        <f>IF(W140&lt;&gt;0,IF(OR(W$16=1,W$19=1),IF('Assumptions - Freight'!$E$111=1,W140/'Assumptions - Freight'!$E$114,W140*'Assumptions - Freight'!$E$113/'Assumptions - Freight'!$E$114)," "),0)</f>
        <v>45</v>
      </c>
      <c r="X162" s="12">
        <f>IF(X140&lt;&gt;0,IF(OR(X$16=1,X$19=1),IF('Assumptions - Freight'!$E$111=1,X140/'Assumptions - Freight'!$E$114,X140*'Assumptions - Freight'!$E$113/'Assumptions - Freight'!$E$114)," "),0)</f>
        <v>45</v>
      </c>
      <c r="Y162" s="12">
        <f>IF(Y140&lt;&gt;0,IF(OR(Y$16=1,Y$19=1),IF('Assumptions - Freight'!$E$111=1,Y140/'Assumptions - Freight'!$E$114,Y140*'Assumptions - Freight'!$E$113/'Assumptions - Freight'!$E$114)," "),0)</f>
        <v>45</v>
      </c>
      <c r="Z162" s="12">
        <f>IF(Z140&lt;&gt;0,IF(OR(Z$16=1,Z$19=1),IF('Assumptions - Freight'!$E$111=1,Z140/'Assumptions - Freight'!$E$114,Z140*'Assumptions - Freight'!$E$113/'Assumptions - Freight'!$E$114)," "),0)</f>
        <v>45</v>
      </c>
      <c r="AA162" s="12">
        <f>IF(AA140&lt;&gt;0,IF(OR(AA$16=1,AA$19=1),IF('Assumptions - Freight'!$E$111=1,AA140/'Assumptions - Freight'!$E$114,AA140*'Assumptions - Freight'!$E$113/'Assumptions - Freight'!$E$114)," "),0)</f>
        <v>45</v>
      </c>
      <c r="AB162" s="12">
        <f>IF(AB140&lt;&gt;0,IF(OR(AB$16=1,AB$19=1),IF('Assumptions - Freight'!$E$111=1,AB140/'Assumptions - Freight'!$E$114,AB140*'Assumptions - Freight'!$E$113/'Assumptions - Freight'!$E$114)," "),0)</f>
        <v>45</v>
      </c>
      <c r="AC162" s="12">
        <f>IF(AC140&lt;&gt;0,IF(OR(AC$16=1,AC$19=1),IF('Assumptions - Freight'!$E$111=1,AC140/'Assumptions - Freight'!$E$114,AC140*'Assumptions - Freight'!$E$113/'Assumptions - Freight'!$E$114)," "),0)</f>
        <v>45</v>
      </c>
      <c r="AD162" s="12">
        <f>IF(AD140&lt;&gt;0,IF(OR(AD$16=1,AD$19=1),IF('Assumptions - Freight'!$E$111=1,AD140/'Assumptions - Freight'!$E$114,AD140*'Assumptions - Freight'!$E$113/'Assumptions - Freight'!$E$114)," "),0)</f>
        <v>45</v>
      </c>
      <c r="AE162" s="12">
        <f>IF(AE140&lt;&gt;0,IF(OR(AE$16=1,AE$19=1),IF('Assumptions - Freight'!$E$111=1,AE140/'Assumptions - Freight'!$E$114,AE140*'Assumptions - Freight'!$E$113/'Assumptions - Freight'!$E$114)," "),0)</f>
        <v>45</v>
      </c>
      <c r="AF162" s="12">
        <f>IF(AF140&lt;&gt;0,IF(OR(AF$16=1,AF$19=1),IF('Assumptions - Freight'!$E$111=1,AF140/'Assumptions - Freight'!$E$114,AF140*'Assumptions - Freight'!$E$113/'Assumptions - Freight'!$E$114)," "),0)</f>
        <v>45</v>
      </c>
      <c r="AG162" s="12">
        <f>IF(AG140&lt;&gt;0,IF(OR(AG$16=1,AG$19=1),IF('Assumptions - Freight'!$E$111=1,AG140/'Assumptions - Freight'!$E$114,AG140*'Assumptions - Freight'!$E$113/'Assumptions - Freight'!$E$114)," "),0)</f>
        <v>45</v>
      </c>
      <c r="AH162" s="12">
        <f>IF(AH140&lt;&gt;0,IF(OR(AH$16=1,AH$19=1),IF('Assumptions - Freight'!$E$111=1,AH140/'Assumptions - Freight'!$E$114,AH140*'Assumptions - Freight'!$E$113/'Assumptions - Freight'!$E$114)," "),0)</f>
        <v>45</v>
      </c>
    </row>
    <row r="163" spans="2:34" x14ac:dyDescent="0.2">
      <c r="B163" s="8" t="str">
        <f>"Annual traffic volume of " &amp;'Assumptions - Freight'!E123</f>
        <v>Annual traffic volume of Commodity 8</v>
      </c>
      <c r="C163" s="8"/>
      <c r="D163" s="8" t="str">
        <f t="shared" si="40"/>
        <v>Train-km (millions)</v>
      </c>
      <c r="E163" s="12">
        <f>IF(E141&lt;&gt;0,IF(OR(E$16=1,E$19=1),IF('Assumptions - Freight'!$E$111=1,E141/'Assumptions - Freight'!$E$114,E141*'Assumptions - Freight'!$E$113/'Assumptions - Freight'!$E$114)," "),0)</f>
        <v>40</v>
      </c>
      <c r="F163" s="12">
        <f>IF(F141&lt;&gt;0,IF(OR(F$16=1,F$19=1),IF('Assumptions - Freight'!$E$111=1,F141/'Assumptions - Freight'!$E$114,F141*'Assumptions - Freight'!$E$113/'Assumptions - Freight'!$E$114)," "),0)</f>
        <v>40</v>
      </c>
      <c r="G163" s="12">
        <f>IF(G141&lt;&gt;0,IF(OR(G$16=1,G$19=1),IF('Assumptions - Freight'!$E$111=1,G141/'Assumptions - Freight'!$E$114,G141*'Assumptions - Freight'!$E$113/'Assumptions - Freight'!$E$114)," "),0)</f>
        <v>40</v>
      </c>
      <c r="H163" s="12">
        <f>IF(H141&lt;&gt;0,IF(OR(H$16=1,H$19=1),IF('Assumptions - Freight'!$E$111=1,H141/'Assumptions - Freight'!$E$114,H141*'Assumptions - Freight'!$E$113/'Assumptions - Freight'!$E$114)," "),0)</f>
        <v>40</v>
      </c>
      <c r="I163" s="12">
        <f>IF(I141&lt;&gt;0,IF(OR(I$16=1,I$19=1),IF('Assumptions - Freight'!$E$111=1,I141/'Assumptions - Freight'!$E$114,I141*'Assumptions - Freight'!$E$113/'Assumptions - Freight'!$E$114)," "),0)</f>
        <v>40</v>
      </c>
      <c r="J163" s="12">
        <f>IF(J141&lt;&gt;0,IF(OR(J$16=1,J$19=1),IF('Assumptions - Freight'!$E$111=1,J141/'Assumptions - Freight'!$E$114,J141*'Assumptions - Freight'!$E$113/'Assumptions - Freight'!$E$114)," "),0)</f>
        <v>40</v>
      </c>
      <c r="K163" s="12">
        <f>IF(K141&lt;&gt;0,IF(OR(K$16=1,K$19=1),IF('Assumptions - Freight'!$E$111=1,K141/'Assumptions - Freight'!$E$114,K141*'Assumptions - Freight'!$E$113/'Assumptions - Freight'!$E$114)," "),0)</f>
        <v>45</v>
      </c>
      <c r="L163" s="12">
        <f>IF(L141&lt;&gt;0,IF(OR(L$16=1,L$19=1),IF('Assumptions - Freight'!$E$111=1,L141/'Assumptions - Freight'!$E$114,L141*'Assumptions - Freight'!$E$113/'Assumptions - Freight'!$E$114)," "),0)</f>
        <v>45</v>
      </c>
      <c r="M163" s="12">
        <f>IF(M141&lt;&gt;0,IF(OR(M$16=1,M$19=1),IF('Assumptions - Freight'!$E$111=1,M141/'Assumptions - Freight'!$E$114,M141*'Assumptions - Freight'!$E$113/'Assumptions - Freight'!$E$114)," "),0)</f>
        <v>45</v>
      </c>
      <c r="N163" s="12">
        <f>IF(N141&lt;&gt;0,IF(OR(N$16=1,N$19=1),IF('Assumptions - Freight'!$E$111=1,N141/'Assumptions - Freight'!$E$114,N141*'Assumptions - Freight'!$E$113/'Assumptions - Freight'!$E$114)," "),0)</f>
        <v>45</v>
      </c>
      <c r="O163" s="12">
        <f>IF(O141&lt;&gt;0,IF(OR(O$16=1,O$19=1),IF('Assumptions - Freight'!$E$111=1,O141/'Assumptions - Freight'!$E$114,O141*'Assumptions - Freight'!$E$113/'Assumptions - Freight'!$E$114)," "),0)</f>
        <v>45</v>
      </c>
      <c r="P163" s="12">
        <f>IF(P141&lt;&gt;0,IF(OR(P$16=1,P$19=1),IF('Assumptions - Freight'!$E$111=1,P141/'Assumptions - Freight'!$E$114,P141*'Assumptions - Freight'!$E$113/'Assumptions - Freight'!$E$114)," "),0)</f>
        <v>45</v>
      </c>
      <c r="Q163" s="12">
        <f>IF(Q141&lt;&gt;0,IF(OR(Q$16=1,Q$19=1),IF('Assumptions - Freight'!$E$111=1,Q141/'Assumptions - Freight'!$E$114,Q141*'Assumptions - Freight'!$E$113/'Assumptions - Freight'!$E$114)," "),0)</f>
        <v>45</v>
      </c>
      <c r="R163" s="12">
        <f>IF(R141&lt;&gt;0,IF(OR(R$16=1,R$19=1),IF('Assumptions - Freight'!$E$111=1,R141/'Assumptions - Freight'!$E$114,R141*'Assumptions - Freight'!$E$113/'Assumptions - Freight'!$E$114)," "),0)</f>
        <v>45</v>
      </c>
      <c r="S163" s="12">
        <f>IF(S141&lt;&gt;0,IF(OR(S$16=1,S$19=1),IF('Assumptions - Freight'!$E$111=1,S141/'Assumptions - Freight'!$E$114,S141*'Assumptions - Freight'!$E$113/'Assumptions - Freight'!$E$114)," "),0)</f>
        <v>45</v>
      </c>
      <c r="T163" s="12">
        <f>IF(T141&lt;&gt;0,IF(OR(T$16=1,T$19=1),IF('Assumptions - Freight'!$E$111=1,T141/'Assumptions - Freight'!$E$114,T141*'Assumptions - Freight'!$E$113/'Assumptions - Freight'!$E$114)," "),0)</f>
        <v>45</v>
      </c>
      <c r="U163" s="12">
        <f>IF(U141&lt;&gt;0,IF(OR(U$16=1,U$19=1),IF('Assumptions - Freight'!$E$111=1,U141/'Assumptions - Freight'!$E$114,U141*'Assumptions - Freight'!$E$113/'Assumptions - Freight'!$E$114)," "),0)</f>
        <v>45</v>
      </c>
      <c r="V163" s="12">
        <f>IF(V141&lt;&gt;0,IF(OR(V$16=1,V$19=1),IF('Assumptions - Freight'!$E$111=1,V141/'Assumptions - Freight'!$E$114,V141*'Assumptions - Freight'!$E$113/'Assumptions - Freight'!$E$114)," "),0)</f>
        <v>45</v>
      </c>
      <c r="W163" s="12">
        <f>IF(W141&lt;&gt;0,IF(OR(W$16=1,W$19=1),IF('Assumptions - Freight'!$E$111=1,W141/'Assumptions - Freight'!$E$114,W141*'Assumptions - Freight'!$E$113/'Assumptions - Freight'!$E$114)," "),0)</f>
        <v>45</v>
      </c>
      <c r="X163" s="12">
        <f>IF(X141&lt;&gt;0,IF(OR(X$16=1,X$19=1),IF('Assumptions - Freight'!$E$111=1,X141/'Assumptions - Freight'!$E$114,X141*'Assumptions - Freight'!$E$113/'Assumptions - Freight'!$E$114)," "),0)</f>
        <v>45</v>
      </c>
      <c r="Y163" s="12">
        <f>IF(Y141&lt;&gt;0,IF(OR(Y$16=1,Y$19=1),IF('Assumptions - Freight'!$E$111=1,Y141/'Assumptions - Freight'!$E$114,Y141*'Assumptions - Freight'!$E$113/'Assumptions - Freight'!$E$114)," "),0)</f>
        <v>45</v>
      </c>
      <c r="Z163" s="12">
        <f>IF(Z141&lt;&gt;0,IF(OR(Z$16=1,Z$19=1),IF('Assumptions - Freight'!$E$111=1,Z141/'Assumptions - Freight'!$E$114,Z141*'Assumptions - Freight'!$E$113/'Assumptions - Freight'!$E$114)," "),0)</f>
        <v>45</v>
      </c>
      <c r="AA163" s="12">
        <f>IF(AA141&lt;&gt;0,IF(OR(AA$16=1,AA$19=1),IF('Assumptions - Freight'!$E$111=1,AA141/'Assumptions - Freight'!$E$114,AA141*'Assumptions - Freight'!$E$113/'Assumptions - Freight'!$E$114)," "),0)</f>
        <v>45</v>
      </c>
      <c r="AB163" s="12">
        <f>IF(AB141&lt;&gt;0,IF(OR(AB$16=1,AB$19=1),IF('Assumptions - Freight'!$E$111=1,AB141/'Assumptions - Freight'!$E$114,AB141*'Assumptions - Freight'!$E$113/'Assumptions - Freight'!$E$114)," "),0)</f>
        <v>45</v>
      </c>
      <c r="AC163" s="12">
        <f>IF(AC141&lt;&gt;0,IF(OR(AC$16=1,AC$19=1),IF('Assumptions - Freight'!$E$111=1,AC141/'Assumptions - Freight'!$E$114,AC141*'Assumptions - Freight'!$E$113/'Assumptions - Freight'!$E$114)," "),0)</f>
        <v>45</v>
      </c>
      <c r="AD163" s="12">
        <f>IF(AD141&lt;&gt;0,IF(OR(AD$16=1,AD$19=1),IF('Assumptions - Freight'!$E$111=1,AD141/'Assumptions - Freight'!$E$114,AD141*'Assumptions - Freight'!$E$113/'Assumptions - Freight'!$E$114)," "),0)</f>
        <v>45</v>
      </c>
      <c r="AE163" s="12">
        <f>IF(AE141&lt;&gt;0,IF(OR(AE$16=1,AE$19=1),IF('Assumptions - Freight'!$E$111=1,AE141/'Assumptions - Freight'!$E$114,AE141*'Assumptions - Freight'!$E$113/'Assumptions - Freight'!$E$114)," "),0)</f>
        <v>45</v>
      </c>
      <c r="AF163" s="12">
        <f>IF(AF141&lt;&gt;0,IF(OR(AF$16=1,AF$19=1),IF('Assumptions - Freight'!$E$111=1,AF141/'Assumptions - Freight'!$E$114,AF141*'Assumptions - Freight'!$E$113/'Assumptions - Freight'!$E$114)," "),0)</f>
        <v>45</v>
      </c>
      <c r="AG163" s="12">
        <f>IF(AG141&lt;&gt;0,IF(OR(AG$16=1,AG$19=1),IF('Assumptions - Freight'!$E$111=1,AG141/'Assumptions - Freight'!$E$114,AG141*'Assumptions - Freight'!$E$113/'Assumptions - Freight'!$E$114)," "),0)</f>
        <v>45</v>
      </c>
      <c r="AH163" s="12">
        <f>IF(AH141&lt;&gt;0,IF(OR(AH$16=1,AH$19=1),IF('Assumptions - Freight'!$E$111=1,AH141/'Assumptions - Freight'!$E$114,AH141*'Assumptions - Freight'!$E$113/'Assumptions - Freight'!$E$114)," "),0)</f>
        <v>45</v>
      </c>
    </row>
    <row r="164" spans="2:34" x14ac:dyDescent="0.2">
      <c r="B164" s="8" t="str">
        <f>"Annual traffic volume of " &amp;'Assumptions - Freight'!E124</f>
        <v>Annual traffic volume of Commodity 9</v>
      </c>
      <c r="C164" s="8"/>
      <c r="D164" s="8" t="str">
        <f t="shared" si="40"/>
        <v>Train-km (millions)</v>
      </c>
      <c r="E164" s="12">
        <f>IF(E142&lt;&gt;0,IF(OR(E$16=1,E$19=1),IF('Assumptions - Freight'!$E$111=1,E142/'Assumptions - Freight'!$E$114,E142*'Assumptions - Freight'!$E$113/'Assumptions - Freight'!$E$114)," "),0)</f>
        <v>40</v>
      </c>
      <c r="F164" s="12">
        <f>IF(F142&lt;&gt;0,IF(OR(F$16=1,F$19=1),IF('Assumptions - Freight'!$E$111=1,F142/'Assumptions - Freight'!$E$114,F142*'Assumptions - Freight'!$E$113/'Assumptions - Freight'!$E$114)," "),0)</f>
        <v>40</v>
      </c>
      <c r="G164" s="12">
        <f>IF(G142&lt;&gt;0,IF(OR(G$16=1,G$19=1),IF('Assumptions - Freight'!$E$111=1,G142/'Assumptions - Freight'!$E$114,G142*'Assumptions - Freight'!$E$113/'Assumptions - Freight'!$E$114)," "),0)</f>
        <v>40</v>
      </c>
      <c r="H164" s="12">
        <f>IF(H142&lt;&gt;0,IF(OR(H$16=1,H$19=1),IF('Assumptions - Freight'!$E$111=1,H142/'Assumptions - Freight'!$E$114,H142*'Assumptions - Freight'!$E$113/'Assumptions - Freight'!$E$114)," "),0)</f>
        <v>40</v>
      </c>
      <c r="I164" s="12">
        <f>IF(I142&lt;&gt;0,IF(OR(I$16=1,I$19=1),IF('Assumptions - Freight'!$E$111=1,I142/'Assumptions - Freight'!$E$114,I142*'Assumptions - Freight'!$E$113/'Assumptions - Freight'!$E$114)," "),0)</f>
        <v>40</v>
      </c>
      <c r="J164" s="12">
        <f>IF(J142&lt;&gt;0,IF(OR(J$16=1,J$19=1),IF('Assumptions - Freight'!$E$111=1,J142/'Assumptions - Freight'!$E$114,J142*'Assumptions - Freight'!$E$113/'Assumptions - Freight'!$E$114)," "),0)</f>
        <v>40</v>
      </c>
      <c r="K164" s="12">
        <f>IF(K142&lt;&gt;0,IF(OR(K$16=1,K$19=1),IF('Assumptions - Freight'!$E$111=1,K142/'Assumptions - Freight'!$E$114,K142*'Assumptions - Freight'!$E$113/'Assumptions - Freight'!$E$114)," "),0)</f>
        <v>45</v>
      </c>
      <c r="L164" s="12">
        <f>IF(L142&lt;&gt;0,IF(OR(L$16=1,L$19=1),IF('Assumptions - Freight'!$E$111=1,L142/'Assumptions - Freight'!$E$114,L142*'Assumptions - Freight'!$E$113/'Assumptions - Freight'!$E$114)," "),0)</f>
        <v>45</v>
      </c>
      <c r="M164" s="12">
        <f>IF(M142&lt;&gt;0,IF(OR(M$16=1,M$19=1),IF('Assumptions - Freight'!$E$111=1,M142/'Assumptions - Freight'!$E$114,M142*'Assumptions - Freight'!$E$113/'Assumptions - Freight'!$E$114)," "),0)</f>
        <v>45</v>
      </c>
      <c r="N164" s="12">
        <f>IF(N142&lt;&gt;0,IF(OR(N$16=1,N$19=1),IF('Assumptions - Freight'!$E$111=1,N142/'Assumptions - Freight'!$E$114,N142*'Assumptions - Freight'!$E$113/'Assumptions - Freight'!$E$114)," "),0)</f>
        <v>45</v>
      </c>
      <c r="O164" s="12">
        <f>IF(O142&lt;&gt;0,IF(OR(O$16=1,O$19=1),IF('Assumptions - Freight'!$E$111=1,O142/'Assumptions - Freight'!$E$114,O142*'Assumptions - Freight'!$E$113/'Assumptions - Freight'!$E$114)," "),0)</f>
        <v>45</v>
      </c>
      <c r="P164" s="12">
        <f>IF(P142&lt;&gt;0,IF(OR(P$16=1,P$19=1),IF('Assumptions - Freight'!$E$111=1,P142/'Assumptions - Freight'!$E$114,P142*'Assumptions - Freight'!$E$113/'Assumptions - Freight'!$E$114)," "),0)</f>
        <v>45</v>
      </c>
      <c r="Q164" s="12">
        <f>IF(Q142&lt;&gt;0,IF(OR(Q$16=1,Q$19=1),IF('Assumptions - Freight'!$E$111=1,Q142/'Assumptions - Freight'!$E$114,Q142*'Assumptions - Freight'!$E$113/'Assumptions - Freight'!$E$114)," "),0)</f>
        <v>45</v>
      </c>
      <c r="R164" s="12">
        <f>IF(R142&lt;&gt;0,IF(OR(R$16=1,R$19=1),IF('Assumptions - Freight'!$E$111=1,R142/'Assumptions - Freight'!$E$114,R142*'Assumptions - Freight'!$E$113/'Assumptions - Freight'!$E$114)," "),0)</f>
        <v>45</v>
      </c>
      <c r="S164" s="12">
        <f>IF(S142&lt;&gt;0,IF(OR(S$16=1,S$19=1),IF('Assumptions - Freight'!$E$111=1,S142/'Assumptions - Freight'!$E$114,S142*'Assumptions - Freight'!$E$113/'Assumptions - Freight'!$E$114)," "),0)</f>
        <v>45</v>
      </c>
      <c r="T164" s="12">
        <f>IF(T142&lt;&gt;0,IF(OR(T$16=1,T$19=1),IF('Assumptions - Freight'!$E$111=1,T142/'Assumptions - Freight'!$E$114,T142*'Assumptions - Freight'!$E$113/'Assumptions - Freight'!$E$114)," "),0)</f>
        <v>45</v>
      </c>
      <c r="U164" s="12">
        <f>IF(U142&lt;&gt;0,IF(OR(U$16=1,U$19=1),IF('Assumptions - Freight'!$E$111=1,U142/'Assumptions - Freight'!$E$114,U142*'Assumptions - Freight'!$E$113/'Assumptions - Freight'!$E$114)," "),0)</f>
        <v>45</v>
      </c>
      <c r="V164" s="12">
        <f>IF(V142&lt;&gt;0,IF(OR(V$16=1,V$19=1),IF('Assumptions - Freight'!$E$111=1,V142/'Assumptions - Freight'!$E$114,V142*'Assumptions - Freight'!$E$113/'Assumptions - Freight'!$E$114)," "),0)</f>
        <v>45</v>
      </c>
      <c r="W164" s="12">
        <f>IF(W142&lt;&gt;0,IF(OR(W$16=1,W$19=1),IF('Assumptions - Freight'!$E$111=1,W142/'Assumptions - Freight'!$E$114,W142*'Assumptions - Freight'!$E$113/'Assumptions - Freight'!$E$114)," "),0)</f>
        <v>45</v>
      </c>
      <c r="X164" s="12">
        <f>IF(X142&lt;&gt;0,IF(OR(X$16=1,X$19=1),IF('Assumptions - Freight'!$E$111=1,X142/'Assumptions - Freight'!$E$114,X142*'Assumptions - Freight'!$E$113/'Assumptions - Freight'!$E$114)," "),0)</f>
        <v>45</v>
      </c>
      <c r="Y164" s="12">
        <f>IF(Y142&lt;&gt;0,IF(OR(Y$16=1,Y$19=1),IF('Assumptions - Freight'!$E$111=1,Y142/'Assumptions - Freight'!$E$114,Y142*'Assumptions - Freight'!$E$113/'Assumptions - Freight'!$E$114)," "),0)</f>
        <v>45</v>
      </c>
      <c r="Z164" s="12">
        <f>IF(Z142&lt;&gt;0,IF(OR(Z$16=1,Z$19=1),IF('Assumptions - Freight'!$E$111=1,Z142/'Assumptions - Freight'!$E$114,Z142*'Assumptions - Freight'!$E$113/'Assumptions - Freight'!$E$114)," "),0)</f>
        <v>45</v>
      </c>
      <c r="AA164" s="12">
        <f>IF(AA142&lt;&gt;0,IF(OR(AA$16=1,AA$19=1),IF('Assumptions - Freight'!$E$111=1,AA142/'Assumptions - Freight'!$E$114,AA142*'Assumptions - Freight'!$E$113/'Assumptions - Freight'!$E$114)," "),0)</f>
        <v>45</v>
      </c>
      <c r="AB164" s="12">
        <f>IF(AB142&lt;&gt;0,IF(OR(AB$16=1,AB$19=1),IF('Assumptions - Freight'!$E$111=1,AB142/'Assumptions - Freight'!$E$114,AB142*'Assumptions - Freight'!$E$113/'Assumptions - Freight'!$E$114)," "),0)</f>
        <v>45</v>
      </c>
      <c r="AC164" s="12">
        <f>IF(AC142&lt;&gt;0,IF(OR(AC$16=1,AC$19=1),IF('Assumptions - Freight'!$E$111=1,AC142/'Assumptions - Freight'!$E$114,AC142*'Assumptions - Freight'!$E$113/'Assumptions - Freight'!$E$114)," "),0)</f>
        <v>45</v>
      </c>
      <c r="AD164" s="12">
        <f>IF(AD142&lt;&gt;0,IF(OR(AD$16=1,AD$19=1),IF('Assumptions - Freight'!$E$111=1,AD142/'Assumptions - Freight'!$E$114,AD142*'Assumptions - Freight'!$E$113/'Assumptions - Freight'!$E$114)," "),0)</f>
        <v>45</v>
      </c>
      <c r="AE164" s="12">
        <f>IF(AE142&lt;&gt;0,IF(OR(AE$16=1,AE$19=1),IF('Assumptions - Freight'!$E$111=1,AE142/'Assumptions - Freight'!$E$114,AE142*'Assumptions - Freight'!$E$113/'Assumptions - Freight'!$E$114)," "),0)</f>
        <v>45</v>
      </c>
      <c r="AF164" s="12">
        <f>IF(AF142&lt;&gt;0,IF(OR(AF$16=1,AF$19=1),IF('Assumptions - Freight'!$E$111=1,AF142/'Assumptions - Freight'!$E$114,AF142*'Assumptions - Freight'!$E$113/'Assumptions - Freight'!$E$114)," "),0)</f>
        <v>45</v>
      </c>
      <c r="AG164" s="12">
        <f>IF(AG142&lt;&gt;0,IF(OR(AG$16=1,AG$19=1),IF('Assumptions - Freight'!$E$111=1,AG142/'Assumptions - Freight'!$E$114,AG142*'Assumptions - Freight'!$E$113/'Assumptions - Freight'!$E$114)," "),0)</f>
        <v>45</v>
      </c>
      <c r="AH164" s="12">
        <f>IF(AH142&lt;&gt;0,IF(OR(AH$16=1,AH$19=1),IF('Assumptions - Freight'!$E$111=1,AH142/'Assumptions - Freight'!$E$114,AH142*'Assumptions - Freight'!$E$113/'Assumptions - Freight'!$E$114)," "),0)</f>
        <v>45</v>
      </c>
    </row>
    <row r="165" spans="2:34" x14ac:dyDescent="0.2">
      <c r="B165" s="8" t="str">
        <f>"Annual traffic volume of " &amp;'Assumptions - Freight'!E125</f>
        <v>Annual traffic volume of Commodity 10</v>
      </c>
      <c r="C165" s="8"/>
      <c r="D165" s="8" t="str">
        <f t="shared" si="40"/>
        <v>Train-km (millions)</v>
      </c>
      <c r="E165" s="12">
        <f>IF(E143&lt;&gt;0,IF(OR(E$16=1,E$19=1),IF('Assumptions - Freight'!$E$111=1,E143/'Assumptions - Freight'!$E$114,E143*'Assumptions - Freight'!$E$113/'Assumptions - Freight'!$E$114)," "),0)</f>
        <v>40</v>
      </c>
      <c r="F165" s="12">
        <f>IF(F143&lt;&gt;0,IF(OR(F$16=1,F$19=1),IF('Assumptions - Freight'!$E$111=1,F143/'Assumptions - Freight'!$E$114,F143*'Assumptions - Freight'!$E$113/'Assumptions - Freight'!$E$114)," "),0)</f>
        <v>40</v>
      </c>
      <c r="G165" s="12">
        <f>IF(G143&lt;&gt;0,IF(OR(G$16=1,G$19=1),IF('Assumptions - Freight'!$E$111=1,G143/'Assumptions - Freight'!$E$114,G143*'Assumptions - Freight'!$E$113/'Assumptions - Freight'!$E$114)," "),0)</f>
        <v>40</v>
      </c>
      <c r="H165" s="12">
        <f>IF(H143&lt;&gt;0,IF(OR(H$16=1,H$19=1),IF('Assumptions - Freight'!$E$111=1,H143/'Assumptions - Freight'!$E$114,H143*'Assumptions - Freight'!$E$113/'Assumptions - Freight'!$E$114)," "),0)</f>
        <v>40</v>
      </c>
      <c r="I165" s="12">
        <f>IF(I143&lt;&gt;0,IF(OR(I$16=1,I$19=1),IF('Assumptions - Freight'!$E$111=1,I143/'Assumptions - Freight'!$E$114,I143*'Assumptions - Freight'!$E$113/'Assumptions - Freight'!$E$114)," "),0)</f>
        <v>40</v>
      </c>
      <c r="J165" s="12">
        <f>IF(J143&lt;&gt;0,IF(OR(J$16=1,J$19=1),IF('Assumptions - Freight'!$E$111=1,J143/'Assumptions - Freight'!$E$114,J143*'Assumptions - Freight'!$E$113/'Assumptions - Freight'!$E$114)," "),0)</f>
        <v>40</v>
      </c>
      <c r="K165" s="12">
        <f>IF(K143&lt;&gt;0,IF(OR(K$16=1,K$19=1),IF('Assumptions - Freight'!$E$111=1,K143/'Assumptions - Freight'!$E$114,K143*'Assumptions - Freight'!$E$113/'Assumptions - Freight'!$E$114)," "),0)</f>
        <v>45</v>
      </c>
      <c r="L165" s="12">
        <f>IF(L143&lt;&gt;0,IF(OR(L$16=1,L$19=1),IF('Assumptions - Freight'!$E$111=1,L143/'Assumptions - Freight'!$E$114,L143*'Assumptions - Freight'!$E$113/'Assumptions - Freight'!$E$114)," "),0)</f>
        <v>45</v>
      </c>
      <c r="M165" s="12">
        <f>IF(M143&lt;&gt;0,IF(OR(M$16=1,M$19=1),IF('Assumptions - Freight'!$E$111=1,M143/'Assumptions - Freight'!$E$114,M143*'Assumptions - Freight'!$E$113/'Assumptions - Freight'!$E$114)," "),0)</f>
        <v>45</v>
      </c>
      <c r="N165" s="12">
        <f>IF(N143&lt;&gt;0,IF(OR(N$16=1,N$19=1),IF('Assumptions - Freight'!$E$111=1,N143/'Assumptions - Freight'!$E$114,N143*'Assumptions - Freight'!$E$113/'Assumptions - Freight'!$E$114)," "),0)</f>
        <v>45</v>
      </c>
      <c r="O165" s="12">
        <f>IF(O143&lt;&gt;0,IF(OR(O$16=1,O$19=1),IF('Assumptions - Freight'!$E$111=1,O143/'Assumptions - Freight'!$E$114,O143*'Assumptions - Freight'!$E$113/'Assumptions - Freight'!$E$114)," "),0)</f>
        <v>45</v>
      </c>
      <c r="P165" s="12">
        <f>IF(P143&lt;&gt;0,IF(OR(P$16=1,P$19=1),IF('Assumptions - Freight'!$E$111=1,P143/'Assumptions - Freight'!$E$114,P143*'Assumptions - Freight'!$E$113/'Assumptions - Freight'!$E$114)," "),0)</f>
        <v>45</v>
      </c>
      <c r="Q165" s="12">
        <f>IF(Q143&lt;&gt;0,IF(OR(Q$16=1,Q$19=1),IF('Assumptions - Freight'!$E$111=1,Q143/'Assumptions - Freight'!$E$114,Q143*'Assumptions - Freight'!$E$113/'Assumptions - Freight'!$E$114)," "),0)</f>
        <v>45</v>
      </c>
      <c r="R165" s="12">
        <f>IF(R143&lt;&gt;0,IF(OR(R$16=1,R$19=1),IF('Assumptions - Freight'!$E$111=1,R143/'Assumptions - Freight'!$E$114,R143*'Assumptions - Freight'!$E$113/'Assumptions - Freight'!$E$114)," "),0)</f>
        <v>45</v>
      </c>
      <c r="S165" s="12">
        <f>IF(S143&lt;&gt;0,IF(OR(S$16=1,S$19=1),IF('Assumptions - Freight'!$E$111=1,S143/'Assumptions - Freight'!$E$114,S143*'Assumptions - Freight'!$E$113/'Assumptions - Freight'!$E$114)," "),0)</f>
        <v>45</v>
      </c>
      <c r="T165" s="12">
        <f>IF(T143&lt;&gt;0,IF(OR(T$16=1,T$19=1),IF('Assumptions - Freight'!$E$111=1,T143/'Assumptions - Freight'!$E$114,T143*'Assumptions - Freight'!$E$113/'Assumptions - Freight'!$E$114)," "),0)</f>
        <v>45</v>
      </c>
      <c r="U165" s="12">
        <f>IF(U143&lt;&gt;0,IF(OR(U$16=1,U$19=1),IF('Assumptions - Freight'!$E$111=1,U143/'Assumptions - Freight'!$E$114,U143*'Assumptions - Freight'!$E$113/'Assumptions - Freight'!$E$114)," "),0)</f>
        <v>45</v>
      </c>
      <c r="V165" s="12">
        <f>IF(V143&lt;&gt;0,IF(OR(V$16=1,V$19=1),IF('Assumptions - Freight'!$E$111=1,V143/'Assumptions - Freight'!$E$114,V143*'Assumptions - Freight'!$E$113/'Assumptions - Freight'!$E$114)," "),0)</f>
        <v>45</v>
      </c>
      <c r="W165" s="12">
        <f>IF(W143&lt;&gt;0,IF(OR(W$16=1,W$19=1),IF('Assumptions - Freight'!$E$111=1,W143/'Assumptions - Freight'!$E$114,W143*'Assumptions - Freight'!$E$113/'Assumptions - Freight'!$E$114)," "),0)</f>
        <v>45</v>
      </c>
      <c r="X165" s="12">
        <f>IF(X143&lt;&gt;0,IF(OR(X$16=1,X$19=1),IF('Assumptions - Freight'!$E$111=1,X143/'Assumptions - Freight'!$E$114,X143*'Assumptions - Freight'!$E$113/'Assumptions - Freight'!$E$114)," "),0)</f>
        <v>45</v>
      </c>
      <c r="Y165" s="12">
        <f>IF(Y143&lt;&gt;0,IF(OR(Y$16=1,Y$19=1),IF('Assumptions - Freight'!$E$111=1,Y143/'Assumptions - Freight'!$E$114,Y143*'Assumptions - Freight'!$E$113/'Assumptions - Freight'!$E$114)," "),0)</f>
        <v>45</v>
      </c>
      <c r="Z165" s="12">
        <f>IF(Z143&lt;&gt;0,IF(OR(Z$16=1,Z$19=1),IF('Assumptions - Freight'!$E$111=1,Z143/'Assumptions - Freight'!$E$114,Z143*'Assumptions - Freight'!$E$113/'Assumptions - Freight'!$E$114)," "),0)</f>
        <v>45</v>
      </c>
      <c r="AA165" s="12">
        <f>IF(AA143&lt;&gt;0,IF(OR(AA$16=1,AA$19=1),IF('Assumptions - Freight'!$E$111=1,AA143/'Assumptions - Freight'!$E$114,AA143*'Assumptions - Freight'!$E$113/'Assumptions - Freight'!$E$114)," "),0)</f>
        <v>45</v>
      </c>
      <c r="AB165" s="12">
        <f>IF(AB143&lt;&gt;0,IF(OR(AB$16=1,AB$19=1),IF('Assumptions - Freight'!$E$111=1,AB143/'Assumptions - Freight'!$E$114,AB143*'Assumptions - Freight'!$E$113/'Assumptions - Freight'!$E$114)," "),0)</f>
        <v>45</v>
      </c>
      <c r="AC165" s="12">
        <f>IF(AC143&lt;&gt;0,IF(OR(AC$16=1,AC$19=1),IF('Assumptions - Freight'!$E$111=1,AC143/'Assumptions - Freight'!$E$114,AC143*'Assumptions - Freight'!$E$113/'Assumptions - Freight'!$E$114)," "),0)</f>
        <v>45</v>
      </c>
      <c r="AD165" s="12">
        <f>IF(AD143&lt;&gt;0,IF(OR(AD$16=1,AD$19=1),IF('Assumptions - Freight'!$E$111=1,AD143/'Assumptions - Freight'!$E$114,AD143*'Assumptions - Freight'!$E$113/'Assumptions - Freight'!$E$114)," "),0)</f>
        <v>45</v>
      </c>
      <c r="AE165" s="12">
        <f>IF(AE143&lt;&gt;0,IF(OR(AE$16=1,AE$19=1),IF('Assumptions - Freight'!$E$111=1,AE143/'Assumptions - Freight'!$E$114,AE143*'Assumptions - Freight'!$E$113/'Assumptions - Freight'!$E$114)," "),0)</f>
        <v>45</v>
      </c>
      <c r="AF165" s="12">
        <f>IF(AF143&lt;&gt;0,IF(OR(AF$16=1,AF$19=1),IF('Assumptions - Freight'!$E$111=1,AF143/'Assumptions - Freight'!$E$114,AF143*'Assumptions - Freight'!$E$113/'Assumptions - Freight'!$E$114)," "),0)</f>
        <v>45</v>
      </c>
      <c r="AG165" s="12">
        <f>IF(AG143&lt;&gt;0,IF(OR(AG$16=1,AG$19=1),IF('Assumptions - Freight'!$E$111=1,AG143/'Assumptions - Freight'!$E$114,AG143*'Assumptions - Freight'!$E$113/'Assumptions - Freight'!$E$114)," "),0)</f>
        <v>45</v>
      </c>
      <c r="AH165" s="12">
        <f>IF(AH143&lt;&gt;0,IF(OR(AH$16=1,AH$19=1),IF('Assumptions - Freight'!$E$111=1,AH143/'Assumptions - Freight'!$E$114,AH143*'Assumptions - Freight'!$E$113/'Assumptions - Freight'!$E$114)," "),0)</f>
        <v>45</v>
      </c>
    </row>
    <row r="166" spans="2:34" x14ac:dyDescent="0.2">
      <c r="B166" s="14"/>
      <c r="C166" s="8"/>
      <c r="D166" s="8"/>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row>
    <row r="167" spans="2:34" x14ac:dyDescent="0.2">
      <c r="B167" s="8" t="str">
        <f>"Annual traffic volume of " &amp;'Assumptions - Freight'!E116</f>
        <v>Annual traffic volume of Commodity 1</v>
      </c>
      <c r="C167" s="8"/>
      <c r="D167" s="8" t="s">
        <v>286</v>
      </c>
      <c r="E167" s="12">
        <f>IF(E134&lt;&gt;0,IF(OR(E$16=1,E$19=1),IF('Assumptions - Freight'!$E$111=1,'Assumptions - Freight'!E$127*E134,'Assumptions - Freight'!$E$113*'Assumptions - Freight'!E$127*E134)," "),0)</f>
        <v>4878.0487804878048</v>
      </c>
      <c r="F167" s="12">
        <f>IF(F134&lt;&gt;0,IF(OR(F$16=1,F$19=1),IF('Assumptions - Freight'!$E$111=1,'Assumptions - Freight'!F$127*F134,'Assumptions - Freight'!$E$113*'Assumptions - Freight'!F$127*F134)," "),0)</f>
        <v>4878.0487804878048</v>
      </c>
      <c r="G167" s="12">
        <f>IF(G134&lt;&gt;0,IF(OR(G$16=1,G$19=1),IF('Assumptions - Freight'!$E$111=1,'Assumptions - Freight'!G$127*G134,'Assumptions - Freight'!$E$113*'Assumptions - Freight'!G$127*G134)," "),0)</f>
        <v>4878.0487804878048</v>
      </c>
      <c r="H167" s="12">
        <f>IF(H134&lt;&gt;0,IF(OR(H$16=1,H$19=1),IF('Assumptions - Freight'!$E$111=1,'Assumptions - Freight'!H$127*H134,'Assumptions - Freight'!$E$113*'Assumptions - Freight'!H$127*H134)," "),0)</f>
        <v>4878.0487804878048</v>
      </c>
      <c r="I167" s="12">
        <f>IF(I134&lt;&gt;0,IF(OR(I$16=1,I$19=1),IF('Assumptions - Freight'!$E$111=1,'Assumptions - Freight'!I$127*I134,'Assumptions - Freight'!$E$113*'Assumptions - Freight'!I$127*I134)," "),0)</f>
        <v>4878.0487804878048</v>
      </c>
      <c r="J167" s="12">
        <f>IF(J134&lt;&gt;0,IF(OR(J$16=1,J$19=1),IF('Assumptions - Freight'!$E$111=1,'Assumptions - Freight'!J$127*J134,'Assumptions - Freight'!$E$113*'Assumptions - Freight'!J$127*J134)," "),0)</f>
        <v>4878.0487804878048</v>
      </c>
      <c r="K167" s="12">
        <f>IF(K134&lt;&gt;0,IF(OR(K$16=1,K$19=1),IF('Assumptions - Freight'!$E$111=1,'Assumptions - Freight'!K$127*K134,'Assumptions - Freight'!$E$113*'Assumptions - Freight'!K$127*K134)," "),0)</f>
        <v>5487.8048780487807</v>
      </c>
      <c r="L167" s="12">
        <f>IF(L134&lt;&gt;0,IF(OR(L$16=1,L$19=1),IF('Assumptions - Freight'!$E$111=1,'Assumptions - Freight'!L$127*L134,'Assumptions - Freight'!$E$113*'Assumptions - Freight'!L$127*L134)," "),0)</f>
        <v>5487.8048780487807</v>
      </c>
      <c r="M167" s="12">
        <f>IF(M134&lt;&gt;0,IF(OR(M$16=1,M$19=1),IF('Assumptions - Freight'!$E$111=1,'Assumptions - Freight'!M$127*M134,'Assumptions - Freight'!$E$113*'Assumptions - Freight'!M$127*M134)," "),0)</f>
        <v>5487.8048780487807</v>
      </c>
      <c r="N167" s="12">
        <f>IF(N134&lt;&gt;0,IF(OR(N$16=1,N$19=1),IF('Assumptions - Freight'!$E$111=1,'Assumptions - Freight'!N$127*N134,'Assumptions - Freight'!$E$113*'Assumptions - Freight'!N$127*N134)," "),0)</f>
        <v>5487.8048780487807</v>
      </c>
      <c r="O167" s="12">
        <f>IF(O134&lt;&gt;0,IF(OR(O$16=1,O$19=1),IF('Assumptions - Freight'!$E$111=1,'Assumptions - Freight'!O$127*O134,'Assumptions - Freight'!$E$113*'Assumptions - Freight'!O$127*O134)," "),0)</f>
        <v>5487.8048780487807</v>
      </c>
      <c r="P167" s="12">
        <f>IF(P134&lt;&gt;0,IF(OR(P$16=1,P$19=1),IF('Assumptions - Freight'!$E$111=1,'Assumptions - Freight'!P$127*P134,'Assumptions - Freight'!$E$113*'Assumptions - Freight'!P$127*P134)," "),0)</f>
        <v>5487.8048780487807</v>
      </c>
      <c r="Q167" s="12">
        <f>IF(Q134&lt;&gt;0,IF(OR(Q$16=1,Q$19=1),IF('Assumptions - Freight'!$E$111=1,'Assumptions - Freight'!Q$127*Q134,'Assumptions - Freight'!$E$113*'Assumptions - Freight'!Q$127*Q134)," "),0)</f>
        <v>5487.8048780487807</v>
      </c>
      <c r="R167" s="12">
        <f>IF(R134&lt;&gt;0,IF(OR(R$16=1,R$19=1),IF('Assumptions - Freight'!$E$111=1,'Assumptions - Freight'!R$127*R134,'Assumptions - Freight'!$E$113*'Assumptions - Freight'!R$127*R134)," "),0)</f>
        <v>5487.8048780487807</v>
      </c>
      <c r="S167" s="12">
        <f>IF(S134&lt;&gt;0,IF(OR(S$16=1,S$19=1),IF('Assumptions - Freight'!$E$111=1,'Assumptions - Freight'!S$127*S134,'Assumptions - Freight'!$E$113*'Assumptions - Freight'!S$127*S134)," "),0)</f>
        <v>5487.8048780487807</v>
      </c>
      <c r="T167" s="12">
        <f>IF(T134&lt;&gt;0,IF(OR(T$16=1,T$19=1),IF('Assumptions - Freight'!$E$111=1,'Assumptions - Freight'!T$127*T134,'Assumptions - Freight'!$E$113*'Assumptions - Freight'!T$127*T134)," "),0)</f>
        <v>5487.8048780487807</v>
      </c>
      <c r="U167" s="12">
        <f>IF(U134&lt;&gt;0,IF(OR(U$16=1,U$19=1),IF('Assumptions - Freight'!$E$111=1,'Assumptions - Freight'!U$127*U134,'Assumptions - Freight'!$E$113*'Assumptions - Freight'!U$127*U134)," "),0)</f>
        <v>5487.8048780487807</v>
      </c>
      <c r="V167" s="12">
        <f>IF(V134&lt;&gt;0,IF(OR(V$16=1,V$19=1),IF('Assumptions - Freight'!$E$111=1,'Assumptions - Freight'!V$127*V134,'Assumptions - Freight'!$E$113*'Assumptions - Freight'!V$127*V134)," "),0)</f>
        <v>5487.8048780487807</v>
      </c>
      <c r="W167" s="12">
        <f>IF(W134&lt;&gt;0,IF(OR(W$16=1,W$19=1),IF('Assumptions - Freight'!$E$111=1,'Assumptions - Freight'!W$127*W134,'Assumptions - Freight'!$E$113*'Assumptions - Freight'!W$127*W134)," "),0)</f>
        <v>5487.8048780487807</v>
      </c>
      <c r="X167" s="12">
        <f>IF(X134&lt;&gt;0,IF(OR(X$16=1,X$19=1),IF('Assumptions - Freight'!$E$111=1,'Assumptions - Freight'!X$127*X134,'Assumptions - Freight'!$E$113*'Assumptions - Freight'!X$127*X134)," "),0)</f>
        <v>5487.8048780487807</v>
      </c>
      <c r="Y167" s="12">
        <f>IF(Y134&lt;&gt;0,IF(OR(Y$16=1,Y$19=1),IF('Assumptions - Freight'!$E$111=1,'Assumptions - Freight'!Y$127*Y134,'Assumptions - Freight'!$E$113*'Assumptions - Freight'!Y$127*Y134)," "),0)</f>
        <v>5487.8048780487807</v>
      </c>
      <c r="Z167" s="12">
        <f>IF(Z134&lt;&gt;0,IF(OR(Z$16=1,Z$19=1),IF('Assumptions - Freight'!$E$111=1,'Assumptions - Freight'!Z$127*Z134,'Assumptions - Freight'!$E$113*'Assumptions - Freight'!Z$127*Z134)," "),0)</f>
        <v>5487.8048780487807</v>
      </c>
      <c r="AA167" s="12">
        <f>IF(AA134&lt;&gt;0,IF(OR(AA$16=1,AA$19=1),IF('Assumptions - Freight'!$E$111=1,'Assumptions - Freight'!AA$127*AA134,'Assumptions - Freight'!$E$113*'Assumptions - Freight'!AA$127*AA134)," "),0)</f>
        <v>5487.8048780487807</v>
      </c>
      <c r="AB167" s="12">
        <f>IF(AB134&lt;&gt;0,IF(OR(AB$16=1,AB$19=1),IF('Assumptions - Freight'!$E$111=1,'Assumptions - Freight'!AB$127*AB134,'Assumptions - Freight'!$E$113*'Assumptions - Freight'!AB$127*AB134)," "),0)</f>
        <v>5487.8048780487807</v>
      </c>
      <c r="AC167" s="12">
        <f>IF(AC134&lt;&gt;0,IF(OR(AC$16=1,AC$19=1),IF('Assumptions - Freight'!$E$111=1,'Assumptions - Freight'!AC$127*AC134,'Assumptions - Freight'!$E$113*'Assumptions - Freight'!AC$127*AC134)," "),0)</f>
        <v>5487.8048780487807</v>
      </c>
      <c r="AD167" s="12">
        <f>IF(AD134&lt;&gt;0,IF(OR(AD$16=1,AD$19=1),IF('Assumptions - Freight'!$E$111=1,'Assumptions - Freight'!AD$127*AD134,'Assumptions - Freight'!$E$113*'Assumptions - Freight'!AD$127*AD134)," "),0)</f>
        <v>5487.8048780487807</v>
      </c>
      <c r="AE167" s="12">
        <f>IF(AE134&lt;&gt;0,IF(OR(AE$16=1,AE$19=1),IF('Assumptions - Freight'!$E$111=1,'Assumptions - Freight'!AE$127*AE134,'Assumptions - Freight'!$E$113*'Assumptions - Freight'!AE$127*AE134)," "),0)</f>
        <v>5487.8048780487807</v>
      </c>
      <c r="AF167" s="12">
        <f>IF(AF134&lt;&gt;0,IF(OR(AF$16=1,AF$19=1),IF('Assumptions - Freight'!$E$111=1,'Assumptions - Freight'!AF$127*AF134,'Assumptions - Freight'!$E$113*'Assumptions - Freight'!AF$127*AF134)," "),0)</f>
        <v>5487.8048780487807</v>
      </c>
      <c r="AG167" s="12">
        <f>IF(AG134&lt;&gt;0,IF(OR(AG$16=1,AG$19=1),IF('Assumptions - Freight'!$E$111=1,'Assumptions - Freight'!AG$127*AG134,'Assumptions - Freight'!$E$113*'Assumptions - Freight'!AG$127*AG134)," "),0)</f>
        <v>5487.8048780487807</v>
      </c>
      <c r="AH167" s="12">
        <f>IF(AH134&lt;&gt;0,IF(OR(AH$16=1,AH$19=1),IF('Assumptions - Freight'!$E$111=1,'Assumptions - Freight'!AH$127*AH134,'Assumptions - Freight'!$E$113*'Assumptions - Freight'!AH$127*AH134)," "),0)</f>
        <v>5487.8048780487807</v>
      </c>
    </row>
    <row r="168" spans="2:34" x14ac:dyDescent="0.2">
      <c r="B168" s="8" t="str">
        <f>"Annual traffic volume of " &amp;'Assumptions - Freight'!E117</f>
        <v>Annual traffic volume of Commodity 2</v>
      </c>
      <c r="C168" s="8"/>
      <c r="D168" s="8" t="str">
        <f t="shared" ref="D168:D176" si="41">D167</f>
        <v>GTK (millions)</v>
      </c>
      <c r="E168" s="12">
        <f>IF(E135&lt;&gt;0,IF(OR(E$16=1,E$19=1),IF('Assumptions - Freight'!$E$111=1,'Assumptions - Freight'!E$127*E135,'Assumptions - Freight'!$E$113*'Assumptions - Freight'!E$127*E135)," "),0)</f>
        <v>4878.0487804878048</v>
      </c>
      <c r="F168" s="12">
        <f>IF(F135&lt;&gt;0,IF(OR(F$16=1,F$19=1),IF('Assumptions - Freight'!$E$111=1,'Assumptions - Freight'!F$127*F135,'Assumptions - Freight'!$E$113*'Assumptions - Freight'!F$127*F135)," "),0)</f>
        <v>4878.0487804878048</v>
      </c>
      <c r="G168" s="12">
        <f>IF(G135&lt;&gt;0,IF(OR(G$16=1,G$19=1),IF('Assumptions - Freight'!$E$111=1,'Assumptions - Freight'!G$127*G135,'Assumptions - Freight'!$E$113*'Assumptions - Freight'!G$127*G135)," "),0)</f>
        <v>4878.0487804878048</v>
      </c>
      <c r="H168" s="12">
        <f>IF(H135&lt;&gt;0,IF(OR(H$16=1,H$19=1),IF('Assumptions - Freight'!$E$111=1,'Assumptions - Freight'!H$127*H135,'Assumptions - Freight'!$E$113*'Assumptions - Freight'!H$127*H135)," "),0)</f>
        <v>4878.0487804878048</v>
      </c>
      <c r="I168" s="12">
        <f>IF(I135&lt;&gt;0,IF(OR(I$16=1,I$19=1),IF('Assumptions - Freight'!$E$111=1,'Assumptions - Freight'!I$127*I135,'Assumptions - Freight'!$E$113*'Assumptions - Freight'!I$127*I135)," "),0)</f>
        <v>4878.0487804878048</v>
      </c>
      <c r="J168" s="12">
        <f>IF(J135&lt;&gt;0,IF(OR(J$16=1,J$19=1),IF('Assumptions - Freight'!$E$111=1,'Assumptions - Freight'!J$127*J135,'Assumptions - Freight'!$E$113*'Assumptions - Freight'!J$127*J135)," "),0)</f>
        <v>4878.0487804878048</v>
      </c>
      <c r="K168" s="12">
        <f>IF(K135&lt;&gt;0,IF(OR(K$16=1,K$19=1),IF('Assumptions - Freight'!$E$111=1,'Assumptions - Freight'!K$127*K135,'Assumptions - Freight'!$E$113*'Assumptions - Freight'!K$127*K135)," "),0)</f>
        <v>5487.8048780487807</v>
      </c>
      <c r="L168" s="12">
        <f>IF(L135&lt;&gt;0,IF(OR(L$16=1,L$19=1),IF('Assumptions - Freight'!$E$111=1,'Assumptions - Freight'!L$127*L135,'Assumptions - Freight'!$E$113*'Assumptions - Freight'!L$127*L135)," "),0)</f>
        <v>5487.8048780487807</v>
      </c>
      <c r="M168" s="12">
        <f>IF(M135&lt;&gt;0,IF(OR(M$16=1,M$19=1),IF('Assumptions - Freight'!$E$111=1,'Assumptions - Freight'!M$127*M135,'Assumptions - Freight'!$E$113*'Assumptions - Freight'!M$127*M135)," "),0)</f>
        <v>5487.8048780487807</v>
      </c>
      <c r="N168" s="12">
        <f>IF(N135&lt;&gt;0,IF(OR(N$16=1,N$19=1),IF('Assumptions - Freight'!$E$111=1,'Assumptions - Freight'!N$127*N135,'Assumptions - Freight'!$E$113*'Assumptions - Freight'!N$127*N135)," "),0)</f>
        <v>5487.8048780487807</v>
      </c>
      <c r="O168" s="12">
        <f>IF(O135&lt;&gt;0,IF(OR(O$16=1,O$19=1),IF('Assumptions - Freight'!$E$111=1,'Assumptions - Freight'!O$127*O135,'Assumptions - Freight'!$E$113*'Assumptions - Freight'!O$127*O135)," "),0)</f>
        <v>5487.8048780487807</v>
      </c>
      <c r="P168" s="12">
        <f>IF(P135&lt;&gt;0,IF(OR(P$16=1,P$19=1),IF('Assumptions - Freight'!$E$111=1,'Assumptions - Freight'!P$127*P135,'Assumptions - Freight'!$E$113*'Assumptions - Freight'!P$127*P135)," "),0)</f>
        <v>5487.8048780487807</v>
      </c>
      <c r="Q168" s="12">
        <f>IF(Q135&lt;&gt;0,IF(OR(Q$16=1,Q$19=1),IF('Assumptions - Freight'!$E$111=1,'Assumptions - Freight'!Q$127*Q135,'Assumptions - Freight'!$E$113*'Assumptions - Freight'!Q$127*Q135)," "),0)</f>
        <v>5487.8048780487807</v>
      </c>
      <c r="R168" s="12">
        <f>IF(R135&lt;&gt;0,IF(OR(R$16=1,R$19=1),IF('Assumptions - Freight'!$E$111=1,'Assumptions - Freight'!R$127*R135,'Assumptions - Freight'!$E$113*'Assumptions - Freight'!R$127*R135)," "),0)</f>
        <v>5487.8048780487807</v>
      </c>
      <c r="S168" s="12">
        <f>IF(S135&lt;&gt;0,IF(OR(S$16=1,S$19=1),IF('Assumptions - Freight'!$E$111=1,'Assumptions - Freight'!S$127*S135,'Assumptions - Freight'!$E$113*'Assumptions - Freight'!S$127*S135)," "),0)</f>
        <v>5487.8048780487807</v>
      </c>
      <c r="T168" s="12">
        <f>IF(T135&lt;&gt;0,IF(OR(T$16=1,T$19=1),IF('Assumptions - Freight'!$E$111=1,'Assumptions - Freight'!T$127*T135,'Assumptions - Freight'!$E$113*'Assumptions - Freight'!T$127*T135)," "),0)</f>
        <v>5487.8048780487807</v>
      </c>
      <c r="U168" s="12">
        <f>IF(U135&lt;&gt;0,IF(OR(U$16=1,U$19=1),IF('Assumptions - Freight'!$E$111=1,'Assumptions - Freight'!U$127*U135,'Assumptions - Freight'!$E$113*'Assumptions - Freight'!U$127*U135)," "),0)</f>
        <v>5487.8048780487807</v>
      </c>
      <c r="V168" s="12">
        <f>IF(V135&lt;&gt;0,IF(OR(V$16=1,V$19=1),IF('Assumptions - Freight'!$E$111=1,'Assumptions - Freight'!V$127*V135,'Assumptions - Freight'!$E$113*'Assumptions - Freight'!V$127*V135)," "),0)</f>
        <v>5487.8048780487807</v>
      </c>
      <c r="W168" s="12">
        <f>IF(W135&lt;&gt;0,IF(OR(W$16=1,W$19=1),IF('Assumptions - Freight'!$E$111=1,'Assumptions - Freight'!W$127*W135,'Assumptions - Freight'!$E$113*'Assumptions - Freight'!W$127*W135)," "),0)</f>
        <v>5487.8048780487807</v>
      </c>
      <c r="X168" s="12">
        <f>IF(X135&lt;&gt;0,IF(OR(X$16=1,X$19=1),IF('Assumptions - Freight'!$E$111=1,'Assumptions - Freight'!X$127*X135,'Assumptions - Freight'!$E$113*'Assumptions - Freight'!X$127*X135)," "),0)</f>
        <v>5487.8048780487807</v>
      </c>
      <c r="Y168" s="12">
        <f>IF(Y135&lt;&gt;0,IF(OR(Y$16=1,Y$19=1),IF('Assumptions - Freight'!$E$111=1,'Assumptions - Freight'!Y$127*Y135,'Assumptions - Freight'!$E$113*'Assumptions - Freight'!Y$127*Y135)," "),0)</f>
        <v>5487.8048780487807</v>
      </c>
      <c r="Z168" s="12">
        <f>IF(Z135&lt;&gt;0,IF(OR(Z$16=1,Z$19=1),IF('Assumptions - Freight'!$E$111=1,'Assumptions - Freight'!Z$127*Z135,'Assumptions - Freight'!$E$113*'Assumptions - Freight'!Z$127*Z135)," "),0)</f>
        <v>5487.8048780487807</v>
      </c>
      <c r="AA168" s="12">
        <f>IF(AA135&lt;&gt;0,IF(OR(AA$16=1,AA$19=1),IF('Assumptions - Freight'!$E$111=1,'Assumptions - Freight'!AA$127*AA135,'Assumptions - Freight'!$E$113*'Assumptions - Freight'!AA$127*AA135)," "),0)</f>
        <v>5487.8048780487807</v>
      </c>
      <c r="AB168" s="12">
        <f>IF(AB135&lt;&gt;0,IF(OR(AB$16=1,AB$19=1),IF('Assumptions - Freight'!$E$111=1,'Assumptions - Freight'!AB$127*AB135,'Assumptions - Freight'!$E$113*'Assumptions - Freight'!AB$127*AB135)," "),0)</f>
        <v>5487.8048780487807</v>
      </c>
      <c r="AC168" s="12">
        <f>IF(AC135&lt;&gt;0,IF(OR(AC$16=1,AC$19=1),IF('Assumptions - Freight'!$E$111=1,'Assumptions - Freight'!AC$127*AC135,'Assumptions - Freight'!$E$113*'Assumptions - Freight'!AC$127*AC135)," "),0)</f>
        <v>5487.8048780487807</v>
      </c>
      <c r="AD168" s="12">
        <f>IF(AD135&lt;&gt;0,IF(OR(AD$16=1,AD$19=1),IF('Assumptions - Freight'!$E$111=1,'Assumptions - Freight'!AD$127*AD135,'Assumptions - Freight'!$E$113*'Assumptions - Freight'!AD$127*AD135)," "),0)</f>
        <v>5487.8048780487807</v>
      </c>
      <c r="AE168" s="12">
        <f>IF(AE135&lt;&gt;0,IF(OR(AE$16=1,AE$19=1),IF('Assumptions - Freight'!$E$111=1,'Assumptions - Freight'!AE$127*AE135,'Assumptions - Freight'!$E$113*'Assumptions - Freight'!AE$127*AE135)," "),0)</f>
        <v>5487.8048780487807</v>
      </c>
      <c r="AF168" s="12">
        <f>IF(AF135&lt;&gt;0,IF(OR(AF$16=1,AF$19=1),IF('Assumptions - Freight'!$E$111=1,'Assumptions - Freight'!AF$127*AF135,'Assumptions - Freight'!$E$113*'Assumptions - Freight'!AF$127*AF135)," "),0)</f>
        <v>5487.8048780487807</v>
      </c>
      <c r="AG168" s="12">
        <f>IF(AG135&lt;&gt;0,IF(OR(AG$16=1,AG$19=1),IF('Assumptions - Freight'!$E$111=1,'Assumptions - Freight'!AG$127*AG135,'Assumptions - Freight'!$E$113*'Assumptions - Freight'!AG$127*AG135)," "),0)</f>
        <v>5487.8048780487807</v>
      </c>
      <c r="AH168" s="12">
        <f>IF(AH135&lt;&gt;0,IF(OR(AH$16=1,AH$19=1),IF('Assumptions - Freight'!$E$111=1,'Assumptions - Freight'!AH$127*AH135,'Assumptions - Freight'!$E$113*'Assumptions - Freight'!AH$127*AH135)," "),0)</f>
        <v>5487.8048780487807</v>
      </c>
    </row>
    <row r="169" spans="2:34" x14ac:dyDescent="0.2">
      <c r="B169" s="8" t="str">
        <f>"Annual traffic volume of " &amp;'Assumptions - Freight'!E118</f>
        <v>Annual traffic volume of Commodity 3</v>
      </c>
      <c r="C169" s="8"/>
      <c r="D169" s="8" t="str">
        <f t="shared" si="41"/>
        <v>GTK (millions)</v>
      </c>
      <c r="E169" s="12">
        <f>IF(E136&lt;&gt;0,IF(OR(E$16=1,E$19=1),IF('Assumptions - Freight'!$E$111=1,'Assumptions - Freight'!E$127*E136,'Assumptions - Freight'!$E$113*'Assumptions - Freight'!E$127*E136)," "),0)</f>
        <v>6097.5609756097556</v>
      </c>
      <c r="F169" s="12">
        <f>IF(F136&lt;&gt;0,IF(OR(F$16=1,F$19=1),IF('Assumptions - Freight'!$E$111=1,'Assumptions - Freight'!F$127*F136,'Assumptions - Freight'!$E$113*'Assumptions - Freight'!F$127*F136)," "),0)</f>
        <v>4878.0487804878048</v>
      </c>
      <c r="G169" s="12">
        <f>IF(G136&lt;&gt;0,IF(OR(G$16=1,G$19=1),IF('Assumptions - Freight'!$E$111=1,'Assumptions - Freight'!G$127*G136,'Assumptions - Freight'!$E$113*'Assumptions - Freight'!G$127*G136)," "),0)</f>
        <v>4878.0487804878048</v>
      </c>
      <c r="H169" s="12">
        <f>IF(H136&lt;&gt;0,IF(OR(H$16=1,H$19=1),IF('Assumptions - Freight'!$E$111=1,'Assumptions - Freight'!H$127*H136,'Assumptions - Freight'!$E$113*'Assumptions - Freight'!H$127*H136)," "),0)</f>
        <v>4878.0487804878048</v>
      </c>
      <c r="I169" s="12">
        <f>IF(I136&lt;&gt;0,IF(OR(I$16=1,I$19=1),IF('Assumptions - Freight'!$E$111=1,'Assumptions - Freight'!I$127*I136,'Assumptions - Freight'!$E$113*'Assumptions - Freight'!I$127*I136)," "),0)</f>
        <v>4878.0487804878048</v>
      </c>
      <c r="J169" s="12">
        <f>IF(J136&lt;&gt;0,IF(OR(J$16=1,J$19=1),IF('Assumptions - Freight'!$E$111=1,'Assumptions - Freight'!J$127*J136,'Assumptions - Freight'!$E$113*'Assumptions - Freight'!J$127*J136)," "),0)</f>
        <v>4878.0487804878048</v>
      </c>
      <c r="K169" s="12">
        <f>IF(K136&lt;&gt;0,IF(OR(K$16=1,K$19=1),IF('Assumptions - Freight'!$E$111=1,'Assumptions - Freight'!K$127*K136,'Assumptions - Freight'!$E$113*'Assumptions - Freight'!K$127*K136)," "),0)</f>
        <v>5487.8048780487807</v>
      </c>
      <c r="L169" s="12">
        <f>IF(L136&lt;&gt;0,IF(OR(L$16=1,L$19=1),IF('Assumptions - Freight'!$E$111=1,'Assumptions - Freight'!L$127*L136,'Assumptions - Freight'!$E$113*'Assumptions - Freight'!L$127*L136)," "),0)</f>
        <v>5487.8048780487807</v>
      </c>
      <c r="M169" s="12">
        <f>IF(M136&lt;&gt;0,IF(OR(M$16=1,M$19=1),IF('Assumptions - Freight'!$E$111=1,'Assumptions - Freight'!M$127*M136,'Assumptions - Freight'!$E$113*'Assumptions - Freight'!M$127*M136)," "),0)</f>
        <v>5487.8048780487807</v>
      </c>
      <c r="N169" s="12">
        <f>IF(N136&lt;&gt;0,IF(OR(N$16=1,N$19=1),IF('Assumptions - Freight'!$E$111=1,'Assumptions - Freight'!N$127*N136,'Assumptions - Freight'!$E$113*'Assumptions - Freight'!N$127*N136)," "),0)</f>
        <v>5487.8048780487807</v>
      </c>
      <c r="O169" s="12">
        <f>IF(O136&lt;&gt;0,IF(OR(O$16=1,O$19=1),IF('Assumptions - Freight'!$E$111=1,'Assumptions - Freight'!O$127*O136,'Assumptions - Freight'!$E$113*'Assumptions - Freight'!O$127*O136)," "),0)</f>
        <v>5487.8048780487807</v>
      </c>
      <c r="P169" s="12">
        <f>IF(P136&lt;&gt;0,IF(OR(P$16=1,P$19=1),IF('Assumptions - Freight'!$E$111=1,'Assumptions - Freight'!P$127*P136,'Assumptions - Freight'!$E$113*'Assumptions - Freight'!P$127*P136)," "),0)</f>
        <v>5487.8048780487807</v>
      </c>
      <c r="Q169" s="12">
        <f>IF(Q136&lt;&gt;0,IF(OR(Q$16=1,Q$19=1),IF('Assumptions - Freight'!$E$111=1,'Assumptions - Freight'!Q$127*Q136,'Assumptions - Freight'!$E$113*'Assumptions - Freight'!Q$127*Q136)," "),0)</f>
        <v>5487.8048780487807</v>
      </c>
      <c r="R169" s="12">
        <f>IF(R136&lt;&gt;0,IF(OR(R$16=1,R$19=1),IF('Assumptions - Freight'!$E$111=1,'Assumptions - Freight'!R$127*R136,'Assumptions - Freight'!$E$113*'Assumptions - Freight'!R$127*R136)," "),0)</f>
        <v>5487.8048780487807</v>
      </c>
      <c r="S169" s="12">
        <f>IF(S136&lt;&gt;0,IF(OR(S$16=1,S$19=1),IF('Assumptions - Freight'!$E$111=1,'Assumptions - Freight'!S$127*S136,'Assumptions - Freight'!$E$113*'Assumptions - Freight'!S$127*S136)," "),0)</f>
        <v>5487.8048780487807</v>
      </c>
      <c r="T169" s="12">
        <f>IF(T136&lt;&gt;0,IF(OR(T$16=1,T$19=1),IF('Assumptions - Freight'!$E$111=1,'Assumptions - Freight'!T$127*T136,'Assumptions - Freight'!$E$113*'Assumptions - Freight'!T$127*T136)," "),0)</f>
        <v>5487.8048780487807</v>
      </c>
      <c r="U169" s="12">
        <f>IF(U136&lt;&gt;0,IF(OR(U$16=1,U$19=1),IF('Assumptions - Freight'!$E$111=1,'Assumptions - Freight'!U$127*U136,'Assumptions - Freight'!$E$113*'Assumptions - Freight'!U$127*U136)," "),0)</f>
        <v>5487.8048780487807</v>
      </c>
      <c r="V169" s="12">
        <f>IF(V136&lt;&gt;0,IF(OR(V$16=1,V$19=1),IF('Assumptions - Freight'!$E$111=1,'Assumptions - Freight'!V$127*V136,'Assumptions - Freight'!$E$113*'Assumptions - Freight'!V$127*V136)," "),0)</f>
        <v>5487.8048780487807</v>
      </c>
      <c r="W169" s="12">
        <f>IF(W136&lt;&gt;0,IF(OR(W$16=1,W$19=1),IF('Assumptions - Freight'!$E$111=1,'Assumptions - Freight'!W$127*W136,'Assumptions - Freight'!$E$113*'Assumptions - Freight'!W$127*W136)," "),0)</f>
        <v>5487.8048780487807</v>
      </c>
      <c r="X169" s="12">
        <f>IF(X136&lt;&gt;0,IF(OR(X$16=1,X$19=1),IF('Assumptions - Freight'!$E$111=1,'Assumptions - Freight'!X$127*X136,'Assumptions - Freight'!$E$113*'Assumptions - Freight'!X$127*X136)," "),0)</f>
        <v>5487.8048780487807</v>
      </c>
      <c r="Y169" s="12">
        <f>IF(Y136&lt;&gt;0,IF(OR(Y$16=1,Y$19=1),IF('Assumptions - Freight'!$E$111=1,'Assumptions - Freight'!Y$127*Y136,'Assumptions - Freight'!$E$113*'Assumptions - Freight'!Y$127*Y136)," "),0)</f>
        <v>5487.8048780487807</v>
      </c>
      <c r="Z169" s="12">
        <f>IF(Z136&lt;&gt;0,IF(OR(Z$16=1,Z$19=1),IF('Assumptions - Freight'!$E$111=1,'Assumptions - Freight'!Z$127*Z136,'Assumptions - Freight'!$E$113*'Assumptions - Freight'!Z$127*Z136)," "),0)</f>
        <v>5487.8048780487807</v>
      </c>
      <c r="AA169" s="12">
        <f>IF(AA136&lt;&gt;0,IF(OR(AA$16=1,AA$19=1),IF('Assumptions - Freight'!$E$111=1,'Assumptions - Freight'!AA$127*AA136,'Assumptions - Freight'!$E$113*'Assumptions - Freight'!AA$127*AA136)," "),0)</f>
        <v>5487.8048780487807</v>
      </c>
      <c r="AB169" s="12">
        <f>IF(AB136&lt;&gt;0,IF(OR(AB$16=1,AB$19=1),IF('Assumptions - Freight'!$E$111=1,'Assumptions - Freight'!AB$127*AB136,'Assumptions - Freight'!$E$113*'Assumptions - Freight'!AB$127*AB136)," "),0)</f>
        <v>5487.8048780487807</v>
      </c>
      <c r="AC169" s="12">
        <f>IF(AC136&lt;&gt;0,IF(OR(AC$16=1,AC$19=1),IF('Assumptions - Freight'!$E$111=1,'Assumptions - Freight'!AC$127*AC136,'Assumptions - Freight'!$E$113*'Assumptions - Freight'!AC$127*AC136)," "),0)</f>
        <v>5487.8048780487807</v>
      </c>
      <c r="AD169" s="12">
        <f>IF(AD136&lt;&gt;0,IF(OR(AD$16=1,AD$19=1),IF('Assumptions - Freight'!$E$111=1,'Assumptions - Freight'!AD$127*AD136,'Assumptions - Freight'!$E$113*'Assumptions - Freight'!AD$127*AD136)," "),0)</f>
        <v>5487.8048780487807</v>
      </c>
      <c r="AE169" s="12">
        <f>IF(AE136&lt;&gt;0,IF(OR(AE$16=1,AE$19=1),IF('Assumptions - Freight'!$E$111=1,'Assumptions - Freight'!AE$127*AE136,'Assumptions - Freight'!$E$113*'Assumptions - Freight'!AE$127*AE136)," "),0)</f>
        <v>5487.8048780487807</v>
      </c>
      <c r="AF169" s="12">
        <f>IF(AF136&lt;&gt;0,IF(OR(AF$16=1,AF$19=1),IF('Assumptions - Freight'!$E$111=1,'Assumptions - Freight'!AF$127*AF136,'Assumptions - Freight'!$E$113*'Assumptions - Freight'!AF$127*AF136)," "),0)</f>
        <v>5487.8048780487807</v>
      </c>
      <c r="AG169" s="12">
        <f>IF(AG136&lt;&gt;0,IF(OR(AG$16=1,AG$19=1),IF('Assumptions - Freight'!$E$111=1,'Assumptions - Freight'!AG$127*AG136,'Assumptions - Freight'!$E$113*'Assumptions - Freight'!AG$127*AG136)," "),0)</f>
        <v>5487.8048780487807</v>
      </c>
      <c r="AH169" s="12">
        <f>IF(AH136&lt;&gt;0,IF(OR(AH$16=1,AH$19=1),IF('Assumptions - Freight'!$E$111=1,'Assumptions - Freight'!AH$127*AH136,'Assumptions - Freight'!$E$113*'Assumptions - Freight'!AH$127*AH136)," "),0)</f>
        <v>5487.8048780487807</v>
      </c>
    </row>
    <row r="170" spans="2:34" x14ac:dyDescent="0.2">
      <c r="B170" s="8" t="str">
        <f>"Annual traffic volume of " &amp;'Assumptions - Freight'!E119</f>
        <v>Annual traffic volume of Commodity 4</v>
      </c>
      <c r="C170" s="8"/>
      <c r="D170" s="8" t="str">
        <f t="shared" si="41"/>
        <v>GTK (millions)</v>
      </c>
      <c r="E170" s="12">
        <f>IF(E137&lt;&gt;0,IF(OR(E$16=1,E$19=1),IF('Assumptions - Freight'!$E$111=1,'Assumptions - Freight'!E$127*E137,'Assumptions - Freight'!$E$113*'Assumptions - Freight'!E$127*E137)," "),0)</f>
        <v>4878.0487804878048</v>
      </c>
      <c r="F170" s="12">
        <f>IF(F137&lt;&gt;0,IF(OR(F$16=1,F$19=1),IF('Assumptions - Freight'!$E$111=1,'Assumptions - Freight'!F$127*F137,'Assumptions - Freight'!$E$113*'Assumptions - Freight'!F$127*F137)," "),0)</f>
        <v>4878.0487804878048</v>
      </c>
      <c r="G170" s="12">
        <f>IF(G137&lt;&gt;0,IF(OR(G$16=1,G$19=1),IF('Assumptions - Freight'!$E$111=1,'Assumptions - Freight'!G$127*G137,'Assumptions - Freight'!$E$113*'Assumptions - Freight'!G$127*G137)," "),0)</f>
        <v>4878.0487804878048</v>
      </c>
      <c r="H170" s="12">
        <f>IF(H137&lt;&gt;0,IF(OR(H$16=1,H$19=1),IF('Assumptions - Freight'!$E$111=1,'Assumptions - Freight'!H$127*H137,'Assumptions - Freight'!$E$113*'Assumptions - Freight'!H$127*H137)," "),0)</f>
        <v>4878.0487804878048</v>
      </c>
      <c r="I170" s="12">
        <f>IF(I137&lt;&gt;0,IF(OR(I$16=1,I$19=1),IF('Assumptions - Freight'!$E$111=1,'Assumptions - Freight'!I$127*I137,'Assumptions - Freight'!$E$113*'Assumptions - Freight'!I$127*I137)," "),0)</f>
        <v>4878.0487804878048</v>
      </c>
      <c r="J170" s="12">
        <f>IF(J137&lt;&gt;0,IF(OR(J$16=1,J$19=1),IF('Assumptions - Freight'!$E$111=1,'Assumptions - Freight'!J$127*J137,'Assumptions - Freight'!$E$113*'Assumptions - Freight'!J$127*J137)," "),0)</f>
        <v>4878.0487804878048</v>
      </c>
      <c r="K170" s="12">
        <f>IF(K137&lt;&gt;0,IF(OR(K$16=1,K$19=1),IF('Assumptions - Freight'!$E$111=1,'Assumptions - Freight'!K$127*K137,'Assumptions - Freight'!$E$113*'Assumptions - Freight'!K$127*K137)," "),0)</f>
        <v>5487.8048780487807</v>
      </c>
      <c r="L170" s="12">
        <f>IF(L137&lt;&gt;0,IF(OR(L$16=1,L$19=1),IF('Assumptions - Freight'!$E$111=1,'Assumptions - Freight'!L$127*L137,'Assumptions - Freight'!$E$113*'Assumptions - Freight'!L$127*L137)," "),0)</f>
        <v>5487.8048780487807</v>
      </c>
      <c r="M170" s="12">
        <f>IF(M137&lt;&gt;0,IF(OR(M$16=1,M$19=1),IF('Assumptions - Freight'!$E$111=1,'Assumptions - Freight'!M$127*M137,'Assumptions - Freight'!$E$113*'Assumptions - Freight'!M$127*M137)," "),0)</f>
        <v>5487.8048780487807</v>
      </c>
      <c r="N170" s="12">
        <f>IF(N137&lt;&gt;0,IF(OR(N$16=1,N$19=1),IF('Assumptions - Freight'!$E$111=1,'Assumptions - Freight'!N$127*N137,'Assumptions - Freight'!$E$113*'Assumptions - Freight'!N$127*N137)," "),0)</f>
        <v>5487.8048780487807</v>
      </c>
      <c r="O170" s="12">
        <f>IF(O137&lt;&gt;0,IF(OR(O$16=1,O$19=1),IF('Assumptions - Freight'!$E$111=1,'Assumptions - Freight'!O$127*O137,'Assumptions - Freight'!$E$113*'Assumptions - Freight'!O$127*O137)," "),0)</f>
        <v>5487.8048780487807</v>
      </c>
      <c r="P170" s="12">
        <f>IF(P137&lt;&gt;0,IF(OR(P$16=1,P$19=1),IF('Assumptions - Freight'!$E$111=1,'Assumptions - Freight'!P$127*P137,'Assumptions - Freight'!$E$113*'Assumptions - Freight'!P$127*P137)," "),0)</f>
        <v>5487.8048780487807</v>
      </c>
      <c r="Q170" s="12">
        <f>IF(Q137&lt;&gt;0,IF(OR(Q$16=1,Q$19=1),IF('Assumptions - Freight'!$E$111=1,'Assumptions - Freight'!Q$127*Q137,'Assumptions - Freight'!$E$113*'Assumptions - Freight'!Q$127*Q137)," "),0)</f>
        <v>5487.8048780487807</v>
      </c>
      <c r="R170" s="12">
        <f>IF(R137&lt;&gt;0,IF(OR(R$16=1,R$19=1),IF('Assumptions - Freight'!$E$111=1,'Assumptions - Freight'!R$127*R137,'Assumptions - Freight'!$E$113*'Assumptions - Freight'!R$127*R137)," "),0)</f>
        <v>5487.8048780487807</v>
      </c>
      <c r="S170" s="12">
        <f>IF(S137&lt;&gt;0,IF(OR(S$16=1,S$19=1),IF('Assumptions - Freight'!$E$111=1,'Assumptions - Freight'!S$127*S137,'Assumptions - Freight'!$E$113*'Assumptions - Freight'!S$127*S137)," "),0)</f>
        <v>5487.8048780487807</v>
      </c>
      <c r="T170" s="12">
        <f>IF(T137&lt;&gt;0,IF(OR(T$16=1,T$19=1),IF('Assumptions - Freight'!$E$111=1,'Assumptions - Freight'!T$127*T137,'Assumptions - Freight'!$E$113*'Assumptions - Freight'!T$127*T137)," "),0)</f>
        <v>5487.8048780487807</v>
      </c>
      <c r="U170" s="12">
        <f>IF(U137&lt;&gt;0,IF(OR(U$16=1,U$19=1),IF('Assumptions - Freight'!$E$111=1,'Assumptions - Freight'!U$127*U137,'Assumptions - Freight'!$E$113*'Assumptions - Freight'!U$127*U137)," "),0)</f>
        <v>5487.8048780487807</v>
      </c>
      <c r="V170" s="12">
        <f>IF(V137&lt;&gt;0,IF(OR(V$16=1,V$19=1),IF('Assumptions - Freight'!$E$111=1,'Assumptions - Freight'!V$127*V137,'Assumptions - Freight'!$E$113*'Assumptions - Freight'!V$127*V137)," "),0)</f>
        <v>5487.8048780487807</v>
      </c>
      <c r="W170" s="12">
        <f>IF(W137&lt;&gt;0,IF(OR(W$16=1,W$19=1),IF('Assumptions - Freight'!$E$111=1,'Assumptions - Freight'!W$127*W137,'Assumptions - Freight'!$E$113*'Assumptions - Freight'!W$127*W137)," "),0)</f>
        <v>5487.8048780487807</v>
      </c>
      <c r="X170" s="12">
        <f>IF(X137&lt;&gt;0,IF(OR(X$16=1,X$19=1),IF('Assumptions - Freight'!$E$111=1,'Assumptions - Freight'!X$127*X137,'Assumptions - Freight'!$E$113*'Assumptions - Freight'!X$127*X137)," "),0)</f>
        <v>5487.8048780487807</v>
      </c>
      <c r="Y170" s="12">
        <f>IF(Y137&lt;&gt;0,IF(OR(Y$16=1,Y$19=1),IF('Assumptions - Freight'!$E$111=1,'Assumptions - Freight'!Y$127*Y137,'Assumptions - Freight'!$E$113*'Assumptions - Freight'!Y$127*Y137)," "),0)</f>
        <v>5487.8048780487807</v>
      </c>
      <c r="Z170" s="12">
        <f>IF(Z137&lt;&gt;0,IF(OR(Z$16=1,Z$19=1),IF('Assumptions - Freight'!$E$111=1,'Assumptions - Freight'!Z$127*Z137,'Assumptions - Freight'!$E$113*'Assumptions - Freight'!Z$127*Z137)," "),0)</f>
        <v>5487.8048780487807</v>
      </c>
      <c r="AA170" s="12">
        <f>IF(AA137&lt;&gt;0,IF(OR(AA$16=1,AA$19=1),IF('Assumptions - Freight'!$E$111=1,'Assumptions - Freight'!AA$127*AA137,'Assumptions - Freight'!$E$113*'Assumptions - Freight'!AA$127*AA137)," "),0)</f>
        <v>5487.8048780487807</v>
      </c>
      <c r="AB170" s="12">
        <f>IF(AB137&lt;&gt;0,IF(OR(AB$16=1,AB$19=1),IF('Assumptions - Freight'!$E$111=1,'Assumptions - Freight'!AB$127*AB137,'Assumptions - Freight'!$E$113*'Assumptions - Freight'!AB$127*AB137)," "),0)</f>
        <v>5487.8048780487807</v>
      </c>
      <c r="AC170" s="12">
        <f>IF(AC137&lt;&gt;0,IF(OR(AC$16=1,AC$19=1),IF('Assumptions - Freight'!$E$111=1,'Assumptions - Freight'!AC$127*AC137,'Assumptions - Freight'!$E$113*'Assumptions - Freight'!AC$127*AC137)," "),0)</f>
        <v>5487.8048780487807</v>
      </c>
      <c r="AD170" s="12">
        <f>IF(AD137&lt;&gt;0,IF(OR(AD$16=1,AD$19=1),IF('Assumptions - Freight'!$E$111=1,'Assumptions - Freight'!AD$127*AD137,'Assumptions - Freight'!$E$113*'Assumptions - Freight'!AD$127*AD137)," "),0)</f>
        <v>5487.8048780487807</v>
      </c>
      <c r="AE170" s="12">
        <f>IF(AE137&lt;&gt;0,IF(OR(AE$16=1,AE$19=1),IF('Assumptions - Freight'!$E$111=1,'Assumptions - Freight'!AE$127*AE137,'Assumptions - Freight'!$E$113*'Assumptions - Freight'!AE$127*AE137)," "),0)</f>
        <v>5487.8048780487807</v>
      </c>
      <c r="AF170" s="12">
        <f>IF(AF137&lt;&gt;0,IF(OR(AF$16=1,AF$19=1),IF('Assumptions - Freight'!$E$111=1,'Assumptions - Freight'!AF$127*AF137,'Assumptions - Freight'!$E$113*'Assumptions - Freight'!AF$127*AF137)," "),0)</f>
        <v>5487.8048780487807</v>
      </c>
      <c r="AG170" s="12">
        <f>IF(AG137&lt;&gt;0,IF(OR(AG$16=1,AG$19=1),IF('Assumptions - Freight'!$E$111=1,'Assumptions - Freight'!AG$127*AG137,'Assumptions - Freight'!$E$113*'Assumptions - Freight'!AG$127*AG137)," "),0)</f>
        <v>5487.8048780487807</v>
      </c>
      <c r="AH170" s="12">
        <f>IF(AH137&lt;&gt;0,IF(OR(AH$16=1,AH$19=1),IF('Assumptions - Freight'!$E$111=1,'Assumptions - Freight'!AH$127*AH137,'Assumptions - Freight'!$E$113*'Assumptions - Freight'!AH$127*AH137)," "),0)</f>
        <v>5487.8048780487807</v>
      </c>
    </row>
    <row r="171" spans="2:34" x14ac:dyDescent="0.2">
      <c r="B171" s="8" t="str">
        <f>"Annual traffic volume of " &amp;'Assumptions - Freight'!E120</f>
        <v>Annual traffic volume of Commodity 5</v>
      </c>
      <c r="C171" s="8"/>
      <c r="D171" s="8" t="str">
        <f t="shared" si="41"/>
        <v>GTK (millions)</v>
      </c>
      <c r="E171" s="12">
        <f>IF(E138&lt;&gt;0,IF(OR(E$16=1,E$19=1),IF('Assumptions - Freight'!$E$111=1,'Assumptions - Freight'!E$127*E138,'Assumptions - Freight'!$E$113*'Assumptions - Freight'!E$127*E138)," "),0)</f>
        <v>4878.0487804878048</v>
      </c>
      <c r="F171" s="12">
        <f>IF(F138&lt;&gt;0,IF(OR(F$16=1,F$19=1),IF('Assumptions - Freight'!$E$111=1,'Assumptions - Freight'!F$127*F138,'Assumptions - Freight'!$E$113*'Assumptions - Freight'!F$127*F138)," "),0)</f>
        <v>4878.0487804878048</v>
      </c>
      <c r="G171" s="12">
        <f>IF(G138&lt;&gt;0,IF(OR(G$16=1,G$19=1),IF('Assumptions - Freight'!$E$111=1,'Assumptions - Freight'!G$127*G138,'Assumptions - Freight'!$E$113*'Assumptions - Freight'!G$127*G138)," "),0)</f>
        <v>4878.0487804878048</v>
      </c>
      <c r="H171" s="12">
        <f>IF(H138&lt;&gt;0,IF(OR(H$16=1,H$19=1),IF('Assumptions - Freight'!$E$111=1,'Assumptions - Freight'!H$127*H138,'Assumptions - Freight'!$E$113*'Assumptions - Freight'!H$127*H138)," "),0)</f>
        <v>4878.0487804878048</v>
      </c>
      <c r="I171" s="12">
        <f>IF(I138&lt;&gt;0,IF(OR(I$16=1,I$19=1),IF('Assumptions - Freight'!$E$111=1,'Assumptions - Freight'!I$127*I138,'Assumptions - Freight'!$E$113*'Assumptions - Freight'!I$127*I138)," "),0)</f>
        <v>4878.0487804878048</v>
      </c>
      <c r="J171" s="12">
        <f>IF(J138&lt;&gt;0,IF(OR(J$16=1,J$19=1),IF('Assumptions - Freight'!$E$111=1,'Assumptions - Freight'!J$127*J138,'Assumptions - Freight'!$E$113*'Assumptions - Freight'!J$127*J138)," "),0)</f>
        <v>4878.0487804878048</v>
      </c>
      <c r="K171" s="12">
        <f>IF(K138&lt;&gt;0,IF(OR(K$16=1,K$19=1),IF('Assumptions - Freight'!$E$111=1,'Assumptions - Freight'!K$127*K138,'Assumptions - Freight'!$E$113*'Assumptions - Freight'!K$127*K138)," "),0)</f>
        <v>5487.8048780487807</v>
      </c>
      <c r="L171" s="12">
        <f>IF(L138&lt;&gt;0,IF(OR(L$16=1,L$19=1),IF('Assumptions - Freight'!$E$111=1,'Assumptions - Freight'!L$127*L138,'Assumptions - Freight'!$E$113*'Assumptions - Freight'!L$127*L138)," "),0)</f>
        <v>5487.8048780487807</v>
      </c>
      <c r="M171" s="12">
        <f>IF(M138&lt;&gt;0,IF(OR(M$16=1,M$19=1),IF('Assumptions - Freight'!$E$111=1,'Assumptions - Freight'!M$127*M138,'Assumptions - Freight'!$E$113*'Assumptions - Freight'!M$127*M138)," "),0)</f>
        <v>5487.8048780487807</v>
      </c>
      <c r="N171" s="12">
        <f>IF(N138&lt;&gt;0,IF(OR(N$16=1,N$19=1),IF('Assumptions - Freight'!$E$111=1,'Assumptions - Freight'!N$127*N138,'Assumptions - Freight'!$E$113*'Assumptions - Freight'!N$127*N138)," "),0)</f>
        <v>5487.8048780487807</v>
      </c>
      <c r="O171" s="12">
        <f>IF(O138&lt;&gt;0,IF(OR(O$16=1,O$19=1),IF('Assumptions - Freight'!$E$111=1,'Assumptions - Freight'!O$127*O138,'Assumptions - Freight'!$E$113*'Assumptions - Freight'!O$127*O138)," "),0)</f>
        <v>5487.8048780487807</v>
      </c>
      <c r="P171" s="12">
        <f>IF(P138&lt;&gt;0,IF(OR(P$16=1,P$19=1),IF('Assumptions - Freight'!$E$111=1,'Assumptions - Freight'!P$127*P138,'Assumptions - Freight'!$E$113*'Assumptions - Freight'!P$127*P138)," "),0)</f>
        <v>5487.8048780487807</v>
      </c>
      <c r="Q171" s="12">
        <f>IF(Q138&lt;&gt;0,IF(OR(Q$16=1,Q$19=1),IF('Assumptions - Freight'!$E$111=1,'Assumptions - Freight'!Q$127*Q138,'Assumptions - Freight'!$E$113*'Assumptions - Freight'!Q$127*Q138)," "),0)</f>
        <v>5487.8048780487807</v>
      </c>
      <c r="R171" s="12">
        <f>IF(R138&lt;&gt;0,IF(OR(R$16=1,R$19=1),IF('Assumptions - Freight'!$E$111=1,'Assumptions - Freight'!R$127*R138,'Assumptions - Freight'!$E$113*'Assumptions - Freight'!R$127*R138)," "),0)</f>
        <v>5487.8048780487807</v>
      </c>
      <c r="S171" s="12">
        <f>IF(S138&lt;&gt;0,IF(OR(S$16=1,S$19=1),IF('Assumptions - Freight'!$E$111=1,'Assumptions - Freight'!S$127*S138,'Assumptions - Freight'!$E$113*'Assumptions - Freight'!S$127*S138)," "),0)</f>
        <v>5487.8048780487807</v>
      </c>
      <c r="T171" s="12">
        <f>IF(T138&lt;&gt;0,IF(OR(T$16=1,T$19=1),IF('Assumptions - Freight'!$E$111=1,'Assumptions - Freight'!T$127*T138,'Assumptions - Freight'!$E$113*'Assumptions - Freight'!T$127*T138)," "),0)</f>
        <v>5487.8048780487807</v>
      </c>
      <c r="U171" s="12">
        <f>IF(U138&lt;&gt;0,IF(OR(U$16=1,U$19=1),IF('Assumptions - Freight'!$E$111=1,'Assumptions - Freight'!U$127*U138,'Assumptions - Freight'!$E$113*'Assumptions - Freight'!U$127*U138)," "),0)</f>
        <v>5487.8048780487807</v>
      </c>
      <c r="V171" s="12">
        <f>IF(V138&lt;&gt;0,IF(OR(V$16=1,V$19=1),IF('Assumptions - Freight'!$E$111=1,'Assumptions - Freight'!V$127*V138,'Assumptions - Freight'!$E$113*'Assumptions - Freight'!V$127*V138)," "),0)</f>
        <v>5487.8048780487807</v>
      </c>
      <c r="W171" s="12">
        <f>IF(W138&lt;&gt;0,IF(OR(W$16=1,W$19=1),IF('Assumptions - Freight'!$E$111=1,'Assumptions - Freight'!W$127*W138,'Assumptions - Freight'!$E$113*'Assumptions - Freight'!W$127*W138)," "),0)</f>
        <v>5487.8048780487807</v>
      </c>
      <c r="X171" s="12">
        <f>IF(X138&lt;&gt;0,IF(OR(X$16=1,X$19=1),IF('Assumptions - Freight'!$E$111=1,'Assumptions - Freight'!X$127*X138,'Assumptions - Freight'!$E$113*'Assumptions - Freight'!X$127*X138)," "),0)</f>
        <v>5487.8048780487807</v>
      </c>
      <c r="Y171" s="12">
        <f>IF(Y138&lt;&gt;0,IF(OR(Y$16=1,Y$19=1),IF('Assumptions - Freight'!$E$111=1,'Assumptions - Freight'!Y$127*Y138,'Assumptions - Freight'!$E$113*'Assumptions - Freight'!Y$127*Y138)," "),0)</f>
        <v>5487.8048780487807</v>
      </c>
      <c r="Z171" s="12">
        <f>IF(Z138&lt;&gt;0,IF(OR(Z$16=1,Z$19=1),IF('Assumptions - Freight'!$E$111=1,'Assumptions - Freight'!Z$127*Z138,'Assumptions - Freight'!$E$113*'Assumptions - Freight'!Z$127*Z138)," "),0)</f>
        <v>5487.8048780487807</v>
      </c>
      <c r="AA171" s="12">
        <f>IF(AA138&lt;&gt;0,IF(OR(AA$16=1,AA$19=1),IF('Assumptions - Freight'!$E$111=1,'Assumptions - Freight'!AA$127*AA138,'Assumptions - Freight'!$E$113*'Assumptions - Freight'!AA$127*AA138)," "),0)</f>
        <v>5487.8048780487807</v>
      </c>
      <c r="AB171" s="12">
        <f>IF(AB138&lt;&gt;0,IF(OR(AB$16=1,AB$19=1),IF('Assumptions - Freight'!$E$111=1,'Assumptions - Freight'!AB$127*AB138,'Assumptions - Freight'!$E$113*'Assumptions - Freight'!AB$127*AB138)," "),0)</f>
        <v>5487.8048780487807</v>
      </c>
      <c r="AC171" s="12">
        <f>IF(AC138&lt;&gt;0,IF(OR(AC$16=1,AC$19=1),IF('Assumptions - Freight'!$E$111=1,'Assumptions - Freight'!AC$127*AC138,'Assumptions - Freight'!$E$113*'Assumptions - Freight'!AC$127*AC138)," "),0)</f>
        <v>5487.8048780487807</v>
      </c>
      <c r="AD171" s="12">
        <f>IF(AD138&lt;&gt;0,IF(OR(AD$16=1,AD$19=1),IF('Assumptions - Freight'!$E$111=1,'Assumptions - Freight'!AD$127*AD138,'Assumptions - Freight'!$E$113*'Assumptions - Freight'!AD$127*AD138)," "),0)</f>
        <v>5487.8048780487807</v>
      </c>
      <c r="AE171" s="12">
        <f>IF(AE138&lt;&gt;0,IF(OR(AE$16=1,AE$19=1),IF('Assumptions - Freight'!$E$111=1,'Assumptions - Freight'!AE$127*AE138,'Assumptions - Freight'!$E$113*'Assumptions - Freight'!AE$127*AE138)," "),0)</f>
        <v>5487.8048780487807</v>
      </c>
      <c r="AF171" s="12">
        <f>IF(AF138&lt;&gt;0,IF(OR(AF$16=1,AF$19=1),IF('Assumptions - Freight'!$E$111=1,'Assumptions - Freight'!AF$127*AF138,'Assumptions - Freight'!$E$113*'Assumptions - Freight'!AF$127*AF138)," "),0)</f>
        <v>5487.8048780487807</v>
      </c>
      <c r="AG171" s="12">
        <f>IF(AG138&lt;&gt;0,IF(OR(AG$16=1,AG$19=1),IF('Assumptions - Freight'!$E$111=1,'Assumptions - Freight'!AG$127*AG138,'Assumptions - Freight'!$E$113*'Assumptions - Freight'!AG$127*AG138)," "),0)</f>
        <v>5487.8048780487807</v>
      </c>
      <c r="AH171" s="12">
        <f>IF(AH138&lt;&gt;0,IF(OR(AH$16=1,AH$19=1),IF('Assumptions - Freight'!$E$111=1,'Assumptions - Freight'!AH$127*AH138,'Assumptions - Freight'!$E$113*'Assumptions - Freight'!AH$127*AH138)," "),0)</f>
        <v>5487.8048780487807</v>
      </c>
    </row>
    <row r="172" spans="2:34" x14ac:dyDescent="0.2">
      <c r="B172" s="8" t="str">
        <f>"Annual traffic volume of " &amp;'Assumptions - Freight'!E121</f>
        <v>Annual traffic volume of Commodity 6</v>
      </c>
      <c r="C172" s="8"/>
      <c r="D172" s="8" t="str">
        <f t="shared" si="41"/>
        <v>GTK (millions)</v>
      </c>
      <c r="E172" s="12">
        <f>IF(E139&lt;&gt;0,IF(OR(E$16=1,E$19=1),IF('Assumptions - Freight'!$E$111=1,'Assumptions - Freight'!E$127*E139,'Assumptions - Freight'!$E$113*'Assumptions - Freight'!E$127*E139)," "),0)</f>
        <v>4878.0487804878048</v>
      </c>
      <c r="F172" s="12">
        <f>IF(F139&lt;&gt;0,IF(OR(F$16=1,F$19=1),IF('Assumptions - Freight'!$E$111=1,'Assumptions - Freight'!F$127*F139,'Assumptions - Freight'!$E$113*'Assumptions - Freight'!F$127*F139)," "),0)</f>
        <v>4878.0487804878048</v>
      </c>
      <c r="G172" s="12">
        <f>IF(G139&lt;&gt;0,IF(OR(G$16=1,G$19=1),IF('Assumptions - Freight'!$E$111=1,'Assumptions - Freight'!G$127*G139,'Assumptions - Freight'!$E$113*'Assumptions - Freight'!G$127*G139)," "),0)</f>
        <v>4878.0487804878048</v>
      </c>
      <c r="H172" s="12">
        <f>IF(H139&lt;&gt;0,IF(OR(H$16=1,H$19=1),IF('Assumptions - Freight'!$E$111=1,'Assumptions - Freight'!H$127*H139,'Assumptions - Freight'!$E$113*'Assumptions - Freight'!H$127*H139)," "),0)</f>
        <v>4878.0487804878048</v>
      </c>
      <c r="I172" s="12">
        <f>IF(I139&lt;&gt;0,IF(OR(I$16=1,I$19=1),IF('Assumptions - Freight'!$E$111=1,'Assumptions - Freight'!I$127*I139,'Assumptions - Freight'!$E$113*'Assumptions - Freight'!I$127*I139)," "),0)</f>
        <v>4878.0487804878048</v>
      </c>
      <c r="J172" s="12">
        <f>IF(J139&lt;&gt;0,IF(OR(J$16=1,J$19=1),IF('Assumptions - Freight'!$E$111=1,'Assumptions - Freight'!J$127*J139,'Assumptions - Freight'!$E$113*'Assumptions - Freight'!J$127*J139)," "),0)</f>
        <v>4878.0487804878048</v>
      </c>
      <c r="K172" s="12">
        <f>IF(K139&lt;&gt;0,IF(OR(K$16=1,K$19=1),IF('Assumptions - Freight'!$E$111=1,'Assumptions - Freight'!K$127*K139,'Assumptions - Freight'!$E$113*'Assumptions - Freight'!K$127*K139)," "),0)</f>
        <v>5487.8048780487807</v>
      </c>
      <c r="L172" s="12">
        <f>IF(L139&lt;&gt;0,IF(OR(L$16=1,L$19=1),IF('Assumptions - Freight'!$E$111=1,'Assumptions - Freight'!L$127*L139,'Assumptions - Freight'!$E$113*'Assumptions - Freight'!L$127*L139)," "),0)</f>
        <v>5487.8048780487807</v>
      </c>
      <c r="M172" s="12">
        <f>IF(M139&lt;&gt;0,IF(OR(M$16=1,M$19=1),IF('Assumptions - Freight'!$E$111=1,'Assumptions - Freight'!M$127*M139,'Assumptions - Freight'!$E$113*'Assumptions - Freight'!M$127*M139)," "),0)</f>
        <v>5487.8048780487807</v>
      </c>
      <c r="N172" s="12">
        <f>IF(N139&lt;&gt;0,IF(OR(N$16=1,N$19=1),IF('Assumptions - Freight'!$E$111=1,'Assumptions - Freight'!N$127*N139,'Assumptions - Freight'!$E$113*'Assumptions - Freight'!N$127*N139)," "),0)</f>
        <v>5487.8048780487807</v>
      </c>
      <c r="O172" s="12">
        <f>IF(O139&lt;&gt;0,IF(OR(O$16=1,O$19=1),IF('Assumptions - Freight'!$E$111=1,'Assumptions - Freight'!O$127*O139,'Assumptions - Freight'!$E$113*'Assumptions - Freight'!O$127*O139)," "),0)</f>
        <v>5487.8048780487807</v>
      </c>
      <c r="P172" s="12">
        <f>IF(P139&lt;&gt;0,IF(OR(P$16=1,P$19=1),IF('Assumptions - Freight'!$E$111=1,'Assumptions - Freight'!P$127*P139,'Assumptions - Freight'!$E$113*'Assumptions - Freight'!P$127*P139)," "),0)</f>
        <v>5487.8048780487807</v>
      </c>
      <c r="Q172" s="12">
        <f>IF(Q139&lt;&gt;0,IF(OR(Q$16=1,Q$19=1),IF('Assumptions - Freight'!$E$111=1,'Assumptions - Freight'!Q$127*Q139,'Assumptions - Freight'!$E$113*'Assumptions - Freight'!Q$127*Q139)," "),0)</f>
        <v>5487.8048780487807</v>
      </c>
      <c r="R172" s="12">
        <f>IF(R139&lt;&gt;0,IF(OR(R$16=1,R$19=1),IF('Assumptions - Freight'!$E$111=1,'Assumptions - Freight'!R$127*R139,'Assumptions - Freight'!$E$113*'Assumptions - Freight'!R$127*R139)," "),0)</f>
        <v>5487.8048780487807</v>
      </c>
      <c r="S172" s="12">
        <f>IF(S139&lt;&gt;0,IF(OR(S$16=1,S$19=1),IF('Assumptions - Freight'!$E$111=1,'Assumptions - Freight'!S$127*S139,'Assumptions - Freight'!$E$113*'Assumptions - Freight'!S$127*S139)," "),0)</f>
        <v>5487.8048780487807</v>
      </c>
      <c r="T172" s="12">
        <f>IF(T139&lt;&gt;0,IF(OR(T$16=1,T$19=1),IF('Assumptions - Freight'!$E$111=1,'Assumptions - Freight'!T$127*T139,'Assumptions - Freight'!$E$113*'Assumptions - Freight'!T$127*T139)," "),0)</f>
        <v>5487.8048780487807</v>
      </c>
      <c r="U172" s="12">
        <f>IF(U139&lt;&gt;0,IF(OR(U$16=1,U$19=1),IF('Assumptions - Freight'!$E$111=1,'Assumptions - Freight'!U$127*U139,'Assumptions - Freight'!$E$113*'Assumptions - Freight'!U$127*U139)," "),0)</f>
        <v>5487.8048780487807</v>
      </c>
      <c r="V172" s="12">
        <f>IF(V139&lt;&gt;0,IF(OR(V$16=1,V$19=1),IF('Assumptions - Freight'!$E$111=1,'Assumptions - Freight'!V$127*V139,'Assumptions - Freight'!$E$113*'Assumptions - Freight'!V$127*V139)," "),0)</f>
        <v>5487.8048780487807</v>
      </c>
      <c r="W172" s="12">
        <f>IF(W139&lt;&gt;0,IF(OR(W$16=1,W$19=1),IF('Assumptions - Freight'!$E$111=1,'Assumptions - Freight'!W$127*W139,'Assumptions - Freight'!$E$113*'Assumptions - Freight'!W$127*W139)," "),0)</f>
        <v>5487.8048780487807</v>
      </c>
      <c r="X172" s="12">
        <f>IF(X139&lt;&gt;0,IF(OR(X$16=1,X$19=1),IF('Assumptions - Freight'!$E$111=1,'Assumptions - Freight'!X$127*X139,'Assumptions - Freight'!$E$113*'Assumptions - Freight'!X$127*X139)," "),0)</f>
        <v>5487.8048780487807</v>
      </c>
      <c r="Y172" s="12">
        <f>IF(Y139&lt;&gt;0,IF(OR(Y$16=1,Y$19=1),IF('Assumptions - Freight'!$E$111=1,'Assumptions - Freight'!Y$127*Y139,'Assumptions - Freight'!$E$113*'Assumptions - Freight'!Y$127*Y139)," "),0)</f>
        <v>5487.8048780487807</v>
      </c>
      <c r="Z172" s="12">
        <f>IF(Z139&lt;&gt;0,IF(OR(Z$16=1,Z$19=1),IF('Assumptions - Freight'!$E$111=1,'Assumptions - Freight'!Z$127*Z139,'Assumptions - Freight'!$E$113*'Assumptions - Freight'!Z$127*Z139)," "),0)</f>
        <v>5487.8048780487807</v>
      </c>
      <c r="AA172" s="12">
        <f>IF(AA139&lt;&gt;0,IF(OR(AA$16=1,AA$19=1),IF('Assumptions - Freight'!$E$111=1,'Assumptions - Freight'!AA$127*AA139,'Assumptions - Freight'!$E$113*'Assumptions - Freight'!AA$127*AA139)," "),0)</f>
        <v>5487.8048780487807</v>
      </c>
      <c r="AB172" s="12">
        <f>IF(AB139&lt;&gt;0,IF(OR(AB$16=1,AB$19=1),IF('Assumptions - Freight'!$E$111=1,'Assumptions - Freight'!AB$127*AB139,'Assumptions - Freight'!$E$113*'Assumptions - Freight'!AB$127*AB139)," "),0)</f>
        <v>5487.8048780487807</v>
      </c>
      <c r="AC172" s="12">
        <f>IF(AC139&lt;&gt;0,IF(OR(AC$16=1,AC$19=1),IF('Assumptions - Freight'!$E$111=1,'Assumptions - Freight'!AC$127*AC139,'Assumptions - Freight'!$E$113*'Assumptions - Freight'!AC$127*AC139)," "),0)</f>
        <v>5487.8048780487807</v>
      </c>
      <c r="AD172" s="12">
        <f>IF(AD139&lt;&gt;0,IF(OR(AD$16=1,AD$19=1),IF('Assumptions - Freight'!$E$111=1,'Assumptions - Freight'!AD$127*AD139,'Assumptions - Freight'!$E$113*'Assumptions - Freight'!AD$127*AD139)," "),0)</f>
        <v>5487.8048780487807</v>
      </c>
      <c r="AE172" s="12">
        <f>IF(AE139&lt;&gt;0,IF(OR(AE$16=1,AE$19=1),IF('Assumptions - Freight'!$E$111=1,'Assumptions - Freight'!AE$127*AE139,'Assumptions - Freight'!$E$113*'Assumptions - Freight'!AE$127*AE139)," "),0)</f>
        <v>5487.8048780487807</v>
      </c>
      <c r="AF172" s="12">
        <f>IF(AF139&lt;&gt;0,IF(OR(AF$16=1,AF$19=1),IF('Assumptions - Freight'!$E$111=1,'Assumptions - Freight'!AF$127*AF139,'Assumptions - Freight'!$E$113*'Assumptions - Freight'!AF$127*AF139)," "),0)</f>
        <v>5487.8048780487807</v>
      </c>
      <c r="AG172" s="12">
        <f>IF(AG139&lt;&gt;0,IF(OR(AG$16=1,AG$19=1),IF('Assumptions - Freight'!$E$111=1,'Assumptions - Freight'!AG$127*AG139,'Assumptions - Freight'!$E$113*'Assumptions - Freight'!AG$127*AG139)," "),0)</f>
        <v>5487.8048780487807</v>
      </c>
      <c r="AH172" s="12">
        <f>IF(AH139&lt;&gt;0,IF(OR(AH$16=1,AH$19=1),IF('Assumptions - Freight'!$E$111=1,'Assumptions - Freight'!AH$127*AH139,'Assumptions - Freight'!$E$113*'Assumptions - Freight'!AH$127*AH139)," "),0)</f>
        <v>5487.8048780487807</v>
      </c>
    </row>
    <row r="173" spans="2:34" x14ac:dyDescent="0.2">
      <c r="B173" s="8" t="str">
        <f>"Annual traffic volume of " &amp;'Assumptions - Freight'!E122</f>
        <v>Annual traffic volume of Commodity 7</v>
      </c>
      <c r="C173" s="8"/>
      <c r="D173" s="8" t="str">
        <f t="shared" si="41"/>
        <v>GTK (millions)</v>
      </c>
      <c r="E173" s="12">
        <f>IF(E140&lt;&gt;0,IF(OR(E$16=1,E$19=1),IF('Assumptions - Freight'!$E$111=1,'Assumptions - Freight'!E$127*E140,'Assumptions - Freight'!$E$113*'Assumptions - Freight'!E$127*E140)," "),0)</f>
        <v>4878.0487804878048</v>
      </c>
      <c r="F173" s="12">
        <f>IF(F140&lt;&gt;0,IF(OR(F$16=1,F$19=1),IF('Assumptions - Freight'!$E$111=1,'Assumptions - Freight'!F$127*F140,'Assumptions - Freight'!$E$113*'Assumptions - Freight'!F$127*F140)," "),0)</f>
        <v>4878.0487804878048</v>
      </c>
      <c r="G173" s="12">
        <f>IF(G140&lt;&gt;0,IF(OR(G$16=1,G$19=1),IF('Assumptions - Freight'!$E$111=1,'Assumptions - Freight'!G$127*G140,'Assumptions - Freight'!$E$113*'Assumptions - Freight'!G$127*G140)," "),0)</f>
        <v>4878.0487804878048</v>
      </c>
      <c r="H173" s="12">
        <f>IF(H140&lt;&gt;0,IF(OR(H$16=1,H$19=1),IF('Assumptions - Freight'!$E$111=1,'Assumptions - Freight'!H$127*H140,'Assumptions - Freight'!$E$113*'Assumptions - Freight'!H$127*H140)," "),0)</f>
        <v>4878.0487804878048</v>
      </c>
      <c r="I173" s="12">
        <f>IF(I140&lt;&gt;0,IF(OR(I$16=1,I$19=1),IF('Assumptions - Freight'!$E$111=1,'Assumptions - Freight'!I$127*I140,'Assumptions - Freight'!$E$113*'Assumptions - Freight'!I$127*I140)," "),0)</f>
        <v>4878.0487804878048</v>
      </c>
      <c r="J173" s="12">
        <f>IF(J140&lt;&gt;0,IF(OR(J$16=1,J$19=1),IF('Assumptions - Freight'!$E$111=1,'Assumptions - Freight'!J$127*J140,'Assumptions - Freight'!$E$113*'Assumptions - Freight'!J$127*J140)," "),0)</f>
        <v>4878.0487804878048</v>
      </c>
      <c r="K173" s="12">
        <f>IF(K140&lt;&gt;0,IF(OR(K$16=1,K$19=1),IF('Assumptions - Freight'!$E$111=1,'Assumptions - Freight'!K$127*K140,'Assumptions - Freight'!$E$113*'Assumptions - Freight'!K$127*K140)," "),0)</f>
        <v>5487.8048780487807</v>
      </c>
      <c r="L173" s="12">
        <f>IF(L140&lt;&gt;0,IF(OR(L$16=1,L$19=1),IF('Assumptions - Freight'!$E$111=1,'Assumptions - Freight'!L$127*L140,'Assumptions - Freight'!$E$113*'Assumptions - Freight'!L$127*L140)," "),0)</f>
        <v>5487.8048780487807</v>
      </c>
      <c r="M173" s="12">
        <f>IF(M140&lt;&gt;0,IF(OR(M$16=1,M$19=1),IF('Assumptions - Freight'!$E$111=1,'Assumptions - Freight'!M$127*M140,'Assumptions - Freight'!$E$113*'Assumptions - Freight'!M$127*M140)," "),0)</f>
        <v>5487.8048780487807</v>
      </c>
      <c r="N173" s="12">
        <f>IF(N140&lt;&gt;0,IF(OR(N$16=1,N$19=1),IF('Assumptions - Freight'!$E$111=1,'Assumptions - Freight'!N$127*N140,'Assumptions - Freight'!$E$113*'Assumptions - Freight'!N$127*N140)," "),0)</f>
        <v>5487.8048780487807</v>
      </c>
      <c r="O173" s="12">
        <f>IF(O140&lt;&gt;0,IF(OR(O$16=1,O$19=1),IF('Assumptions - Freight'!$E$111=1,'Assumptions - Freight'!O$127*O140,'Assumptions - Freight'!$E$113*'Assumptions - Freight'!O$127*O140)," "),0)</f>
        <v>5487.8048780487807</v>
      </c>
      <c r="P173" s="12">
        <f>IF(P140&lt;&gt;0,IF(OR(P$16=1,P$19=1),IF('Assumptions - Freight'!$E$111=1,'Assumptions - Freight'!P$127*P140,'Assumptions - Freight'!$E$113*'Assumptions - Freight'!P$127*P140)," "),0)</f>
        <v>5487.8048780487807</v>
      </c>
      <c r="Q173" s="12">
        <f>IF(Q140&lt;&gt;0,IF(OR(Q$16=1,Q$19=1),IF('Assumptions - Freight'!$E$111=1,'Assumptions - Freight'!Q$127*Q140,'Assumptions - Freight'!$E$113*'Assumptions - Freight'!Q$127*Q140)," "),0)</f>
        <v>5487.8048780487807</v>
      </c>
      <c r="R173" s="12">
        <f>IF(R140&lt;&gt;0,IF(OR(R$16=1,R$19=1),IF('Assumptions - Freight'!$E$111=1,'Assumptions - Freight'!R$127*R140,'Assumptions - Freight'!$E$113*'Assumptions - Freight'!R$127*R140)," "),0)</f>
        <v>5487.8048780487807</v>
      </c>
      <c r="S173" s="12">
        <f>IF(S140&lt;&gt;0,IF(OR(S$16=1,S$19=1),IF('Assumptions - Freight'!$E$111=1,'Assumptions - Freight'!S$127*S140,'Assumptions - Freight'!$E$113*'Assumptions - Freight'!S$127*S140)," "),0)</f>
        <v>5487.8048780487807</v>
      </c>
      <c r="T173" s="12">
        <f>IF(T140&lt;&gt;0,IF(OR(T$16=1,T$19=1),IF('Assumptions - Freight'!$E$111=1,'Assumptions - Freight'!T$127*T140,'Assumptions - Freight'!$E$113*'Assumptions - Freight'!T$127*T140)," "),0)</f>
        <v>5487.8048780487807</v>
      </c>
      <c r="U173" s="12">
        <f>IF(U140&lt;&gt;0,IF(OR(U$16=1,U$19=1),IF('Assumptions - Freight'!$E$111=1,'Assumptions - Freight'!U$127*U140,'Assumptions - Freight'!$E$113*'Assumptions - Freight'!U$127*U140)," "),0)</f>
        <v>5487.8048780487807</v>
      </c>
      <c r="V173" s="12">
        <f>IF(V140&lt;&gt;0,IF(OR(V$16=1,V$19=1),IF('Assumptions - Freight'!$E$111=1,'Assumptions - Freight'!V$127*V140,'Assumptions - Freight'!$E$113*'Assumptions - Freight'!V$127*V140)," "),0)</f>
        <v>5487.8048780487807</v>
      </c>
      <c r="W173" s="12">
        <f>IF(W140&lt;&gt;0,IF(OR(W$16=1,W$19=1),IF('Assumptions - Freight'!$E$111=1,'Assumptions - Freight'!W$127*W140,'Assumptions - Freight'!$E$113*'Assumptions - Freight'!W$127*W140)," "),0)</f>
        <v>5487.8048780487807</v>
      </c>
      <c r="X173" s="12">
        <f>IF(X140&lt;&gt;0,IF(OR(X$16=1,X$19=1),IF('Assumptions - Freight'!$E$111=1,'Assumptions - Freight'!X$127*X140,'Assumptions - Freight'!$E$113*'Assumptions - Freight'!X$127*X140)," "),0)</f>
        <v>5487.8048780487807</v>
      </c>
      <c r="Y173" s="12">
        <f>IF(Y140&lt;&gt;0,IF(OR(Y$16=1,Y$19=1),IF('Assumptions - Freight'!$E$111=1,'Assumptions - Freight'!Y$127*Y140,'Assumptions - Freight'!$E$113*'Assumptions - Freight'!Y$127*Y140)," "),0)</f>
        <v>5487.8048780487807</v>
      </c>
      <c r="Z173" s="12">
        <f>IF(Z140&lt;&gt;0,IF(OR(Z$16=1,Z$19=1),IF('Assumptions - Freight'!$E$111=1,'Assumptions - Freight'!Z$127*Z140,'Assumptions - Freight'!$E$113*'Assumptions - Freight'!Z$127*Z140)," "),0)</f>
        <v>5487.8048780487807</v>
      </c>
      <c r="AA173" s="12">
        <f>IF(AA140&lt;&gt;0,IF(OR(AA$16=1,AA$19=1),IF('Assumptions - Freight'!$E$111=1,'Assumptions - Freight'!AA$127*AA140,'Assumptions - Freight'!$E$113*'Assumptions - Freight'!AA$127*AA140)," "),0)</f>
        <v>5487.8048780487807</v>
      </c>
      <c r="AB173" s="12">
        <f>IF(AB140&lt;&gt;0,IF(OR(AB$16=1,AB$19=1),IF('Assumptions - Freight'!$E$111=1,'Assumptions - Freight'!AB$127*AB140,'Assumptions - Freight'!$E$113*'Assumptions - Freight'!AB$127*AB140)," "),0)</f>
        <v>5487.8048780487807</v>
      </c>
      <c r="AC173" s="12">
        <f>IF(AC140&lt;&gt;0,IF(OR(AC$16=1,AC$19=1),IF('Assumptions - Freight'!$E$111=1,'Assumptions - Freight'!AC$127*AC140,'Assumptions - Freight'!$E$113*'Assumptions - Freight'!AC$127*AC140)," "),0)</f>
        <v>5487.8048780487807</v>
      </c>
      <c r="AD173" s="12">
        <f>IF(AD140&lt;&gt;0,IF(OR(AD$16=1,AD$19=1),IF('Assumptions - Freight'!$E$111=1,'Assumptions - Freight'!AD$127*AD140,'Assumptions - Freight'!$E$113*'Assumptions - Freight'!AD$127*AD140)," "),0)</f>
        <v>5487.8048780487807</v>
      </c>
      <c r="AE173" s="12">
        <f>IF(AE140&lt;&gt;0,IF(OR(AE$16=1,AE$19=1),IF('Assumptions - Freight'!$E$111=1,'Assumptions - Freight'!AE$127*AE140,'Assumptions - Freight'!$E$113*'Assumptions - Freight'!AE$127*AE140)," "),0)</f>
        <v>5487.8048780487807</v>
      </c>
      <c r="AF173" s="12">
        <f>IF(AF140&lt;&gt;0,IF(OR(AF$16=1,AF$19=1),IF('Assumptions - Freight'!$E$111=1,'Assumptions - Freight'!AF$127*AF140,'Assumptions - Freight'!$E$113*'Assumptions - Freight'!AF$127*AF140)," "),0)</f>
        <v>5487.8048780487807</v>
      </c>
      <c r="AG173" s="12">
        <f>IF(AG140&lt;&gt;0,IF(OR(AG$16=1,AG$19=1),IF('Assumptions - Freight'!$E$111=1,'Assumptions - Freight'!AG$127*AG140,'Assumptions - Freight'!$E$113*'Assumptions - Freight'!AG$127*AG140)," "),0)</f>
        <v>5487.8048780487807</v>
      </c>
      <c r="AH173" s="12">
        <f>IF(AH140&lt;&gt;0,IF(OR(AH$16=1,AH$19=1),IF('Assumptions - Freight'!$E$111=1,'Assumptions - Freight'!AH$127*AH140,'Assumptions - Freight'!$E$113*'Assumptions - Freight'!AH$127*AH140)," "),0)</f>
        <v>5487.8048780487807</v>
      </c>
    </row>
    <row r="174" spans="2:34" x14ac:dyDescent="0.2">
      <c r="B174" s="8" t="str">
        <f>"Annual traffic volume of " &amp;'Assumptions - Freight'!E123</f>
        <v>Annual traffic volume of Commodity 8</v>
      </c>
      <c r="C174" s="8"/>
      <c r="D174" s="8" t="str">
        <f t="shared" si="41"/>
        <v>GTK (millions)</v>
      </c>
      <c r="E174" s="12">
        <f>IF(E141&lt;&gt;0,IF(OR(E$16=1,E$19=1),IF('Assumptions - Freight'!$E$111=1,'Assumptions - Freight'!E$127*E141,'Assumptions - Freight'!$E$113*'Assumptions - Freight'!E$127*E141)," "),0)</f>
        <v>4878.0487804878048</v>
      </c>
      <c r="F174" s="12">
        <f>IF(F141&lt;&gt;0,IF(OR(F$16=1,F$19=1),IF('Assumptions - Freight'!$E$111=1,'Assumptions - Freight'!F$127*F141,'Assumptions - Freight'!$E$113*'Assumptions - Freight'!F$127*F141)," "),0)</f>
        <v>4878.0487804878048</v>
      </c>
      <c r="G174" s="12">
        <f>IF(G141&lt;&gt;0,IF(OR(G$16=1,G$19=1),IF('Assumptions - Freight'!$E$111=1,'Assumptions - Freight'!G$127*G141,'Assumptions - Freight'!$E$113*'Assumptions - Freight'!G$127*G141)," "),0)</f>
        <v>4878.0487804878048</v>
      </c>
      <c r="H174" s="12">
        <f>IF(H141&lt;&gt;0,IF(OR(H$16=1,H$19=1),IF('Assumptions - Freight'!$E$111=1,'Assumptions - Freight'!H$127*H141,'Assumptions - Freight'!$E$113*'Assumptions - Freight'!H$127*H141)," "),0)</f>
        <v>4878.0487804878048</v>
      </c>
      <c r="I174" s="12">
        <f>IF(I141&lt;&gt;0,IF(OR(I$16=1,I$19=1),IF('Assumptions - Freight'!$E$111=1,'Assumptions - Freight'!I$127*I141,'Assumptions - Freight'!$E$113*'Assumptions - Freight'!I$127*I141)," "),0)</f>
        <v>4878.0487804878048</v>
      </c>
      <c r="J174" s="12">
        <f>IF(J141&lt;&gt;0,IF(OR(J$16=1,J$19=1),IF('Assumptions - Freight'!$E$111=1,'Assumptions - Freight'!J$127*J141,'Assumptions - Freight'!$E$113*'Assumptions - Freight'!J$127*J141)," "),0)</f>
        <v>4878.0487804878048</v>
      </c>
      <c r="K174" s="12">
        <f>IF(K141&lt;&gt;0,IF(OR(K$16=1,K$19=1),IF('Assumptions - Freight'!$E$111=1,'Assumptions - Freight'!K$127*K141,'Assumptions - Freight'!$E$113*'Assumptions - Freight'!K$127*K141)," "),0)</f>
        <v>5487.8048780487807</v>
      </c>
      <c r="L174" s="12">
        <f>IF(L141&lt;&gt;0,IF(OR(L$16=1,L$19=1),IF('Assumptions - Freight'!$E$111=1,'Assumptions - Freight'!L$127*L141,'Assumptions - Freight'!$E$113*'Assumptions - Freight'!L$127*L141)," "),0)</f>
        <v>5487.8048780487807</v>
      </c>
      <c r="M174" s="12">
        <f>IF(M141&lt;&gt;0,IF(OR(M$16=1,M$19=1),IF('Assumptions - Freight'!$E$111=1,'Assumptions - Freight'!M$127*M141,'Assumptions - Freight'!$E$113*'Assumptions - Freight'!M$127*M141)," "),0)</f>
        <v>5487.8048780487807</v>
      </c>
      <c r="N174" s="12">
        <f>IF(N141&lt;&gt;0,IF(OR(N$16=1,N$19=1),IF('Assumptions - Freight'!$E$111=1,'Assumptions - Freight'!N$127*N141,'Assumptions - Freight'!$E$113*'Assumptions - Freight'!N$127*N141)," "),0)</f>
        <v>5487.8048780487807</v>
      </c>
      <c r="O174" s="12">
        <f>IF(O141&lt;&gt;0,IF(OR(O$16=1,O$19=1),IF('Assumptions - Freight'!$E$111=1,'Assumptions - Freight'!O$127*O141,'Assumptions - Freight'!$E$113*'Assumptions - Freight'!O$127*O141)," "),0)</f>
        <v>5487.8048780487807</v>
      </c>
      <c r="P174" s="12">
        <f>IF(P141&lt;&gt;0,IF(OR(P$16=1,P$19=1),IF('Assumptions - Freight'!$E$111=1,'Assumptions - Freight'!P$127*P141,'Assumptions - Freight'!$E$113*'Assumptions - Freight'!P$127*P141)," "),0)</f>
        <v>5487.8048780487807</v>
      </c>
      <c r="Q174" s="12">
        <f>IF(Q141&lt;&gt;0,IF(OR(Q$16=1,Q$19=1),IF('Assumptions - Freight'!$E$111=1,'Assumptions - Freight'!Q$127*Q141,'Assumptions - Freight'!$E$113*'Assumptions - Freight'!Q$127*Q141)," "),0)</f>
        <v>5487.8048780487807</v>
      </c>
      <c r="R174" s="12">
        <f>IF(R141&lt;&gt;0,IF(OR(R$16=1,R$19=1),IF('Assumptions - Freight'!$E$111=1,'Assumptions - Freight'!R$127*R141,'Assumptions - Freight'!$E$113*'Assumptions - Freight'!R$127*R141)," "),0)</f>
        <v>5487.8048780487807</v>
      </c>
      <c r="S174" s="12">
        <f>IF(S141&lt;&gt;0,IF(OR(S$16=1,S$19=1),IF('Assumptions - Freight'!$E$111=1,'Assumptions - Freight'!S$127*S141,'Assumptions - Freight'!$E$113*'Assumptions - Freight'!S$127*S141)," "),0)</f>
        <v>5487.8048780487807</v>
      </c>
      <c r="T174" s="12">
        <f>IF(T141&lt;&gt;0,IF(OR(T$16=1,T$19=1),IF('Assumptions - Freight'!$E$111=1,'Assumptions - Freight'!T$127*T141,'Assumptions - Freight'!$E$113*'Assumptions - Freight'!T$127*T141)," "),0)</f>
        <v>5487.8048780487807</v>
      </c>
      <c r="U174" s="12">
        <f>IF(U141&lt;&gt;0,IF(OR(U$16=1,U$19=1),IF('Assumptions - Freight'!$E$111=1,'Assumptions - Freight'!U$127*U141,'Assumptions - Freight'!$E$113*'Assumptions - Freight'!U$127*U141)," "),0)</f>
        <v>5487.8048780487807</v>
      </c>
      <c r="V174" s="12">
        <f>IF(V141&lt;&gt;0,IF(OR(V$16=1,V$19=1),IF('Assumptions - Freight'!$E$111=1,'Assumptions - Freight'!V$127*V141,'Assumptions - Freight'!$E$113*'Assumptions - Freight'!V$127*V141)," "),0)</f>
        <v>5487.8048780487807</v>
      </c>
      <c r="W174" s="12">
        <f>IF(W141&lt;&gt;0,IF(OR(W$16=1,W$19=1),IF('Assumptions - Freight'!$E$111=1,'Assumptions - Freight'!W$127*W141,'Assumptions - Freight'!$E$113*'Assumptions - Freight'!W$127*W141)," "),0)</f>
        <v>5487.8048780487807</v>
      </c>
      <c r="X174" s="12">
        <f>IF(X141&lt;&gt;0,IF(OR(X$16=1,X$19=1),IF('Assumptions - Freight'!$E$111=1,'Assumptions - Freight'!X$127*X141,'Assumptions - Freight'!$E$113*'Assumptions - Freight'!X$127*X141)," "),0)</f>
        <v>5487.8048780487807</v>
      </c>
      <c r="Y174" s="12">
        <f>IF(Y141&lt;&gt;0,IF(OR(Y$16=1,Y$19=1),IF('Assumptions - Freight'!$E$111=1,'Assumptions - Freight'!Y$127*Y141,'Assumptions - Freight'!$E$113*'Assumptions - Freight'!Y$127*Y141)," "),0)</f>
        <v>5487.8048780487807</v>
      </c>
      <c r="Z174" s="12">
        <f>IF(Z141&lt;&gt;0,IF(OR(Z$16=1,Z$19=1),IF('Assumptions - Freight'!$E$111=1,'Assumptions - Freight'!Z$127*Z141,'Assumptions - Freight'!$E$113*'Assumptions - Freight'!Z$127*Z141)," "),0)</f>
        <v>5487.8048780487807</v>
      </c>
      <c r="AA174" s="12">
        <f>IF(AA141&lt;&gt;0,IF(OR(AA$16=1,AA$19=1),IF('Assumptions - Freight'!$E$111=1,'Assumptions - Freight'!AA$127*AA141,'Assumptions - Freight'!$E$113*'Assumptions - Freight'!AA$127*AA141)," "),0)</f>
        <v>5487.8048780487807</v>
      </c>
      <c r="AB174" s="12">
        <f>IF(AB141&lt;&gt;0,IF(OR(AB$16=1,AB$19=1),IF('Assumptions - Freight'!$E$111=1,'Assumptions - Freight'!AB$127*AB141,'Assumptions - Freight'!$E$113*'Assumptions - Freight'!AB$127*AB141)," "),0)</f>
        <v>5487.8048780487807</v>
      </c>
      <c r="AC174" s="12">
        <f>IF(AC141&lt;&gt;0,IF(OR(AC$16=1,AC$19=1),IF('Assumptions - Freight'!$E$111=1,'Assumptions - Freight'!AC$127*AC141,'Assumptions - Freight'!$E$113*'Assumptions - Freight'!AC$127*AC141)," "),0)</f>
        <v>5487.8048780487807</v>
      </c>
      <c r="AD174" s="12">
        <f>IF(AD141&lt;&gt;0,IF(OR(AD$16=1,AD$19=1),IF('Assumptions - Freight'!$E$111=1,'Assumptions - Freight'!AD$127*AD141,'Assumptions - Freight'!$E$113*'Assumptions - Freight'!AD$127*AD141)," "),0)</f>
        <v>5487.8048780487807</v>
      </c>
      <c r="AE174" s="12">
        <f>IF(AE141&lt;&gt;0,IF(OR(AE$16=1,AE$19=1),IF('Assumptions - Freight'!$E$111=1,'Assumptions - Freight'!AE$127*AE141,'Assumptions - Freight'!$E$113*'Assumptions - Freight'!AE$127*AE141)," "),0)</f>
        <v>5487.8048780487807</v>
      </c>
      <c r="AF174" s="12">
        <f>IF(AF141&lt;&gt;0,IF(OR(AF$16=1,AF$19=1),IF('Assumptions - Freight'!$E$111=1,'Assumptions - Freight'!AF$127*AF141,'Assumptions - Freight'!$E$113*'Assumptions - Freight'!AF$127*AF141)," "),0)</f>
        <v>5487.8048780487807</v>
      </c>
      <c r="AG174" s="12">
        <f>IF(AG141&lt;&gt;0,IF(OR(AG$16=1,AG$19=1),IF('Assumptions - Freight'!$E$111=1,'Assumptions - Freight'!AG$127*AG141,'Assumptions - Freight'!$E$113*'Assumptions - Freight'!AG$127*AG141)," "),0)</f>
        <v>5487.8048780487807</v>
      </c>
      <c r="AH174" s="12">
        <f>IF(AH141&lt;&gt;0,IF(OR(AH$16=1,AH$19=1),IF('Assumptions - Freight'!$E$111=1,'Assumptions - Freight'!AH$127*AH141,'Assumptions - Freight'!$E$113*'Assumptions - Freight'!AH$127*AH141)," "),0)</f>
        <v>5487.8048780487807</v>
      </c>
    </row>
    <row r="175" spans="2:34" x14ac:dyDescent="0.2">
      <c r="B175" s="8" t="str">
        <f>"Annual traffic volume of " &amp;'Assumptions - Freight'!E124</f>
        <v>Annual traffic volume of Commodity 9</v>
      </c>
      <c r="C175" s="8"/>
      <c r="D175" s="8" t="str">
        <f t="shared" si="41"/>
        <v>GTK (millions)</v>
      </c>
      <c r="E175" s="12">
        <f>IF(E142&lt;&gt;0,IF(OR(E$16=1,E$19=1),IF('Assumptions - Freight'!$E$111=1,'Assumptions - Freight'!E$127*E142,'Assumptions - Freight'!$E$113*'Assumptions - Freight'!E$127*E142)," "),0)</f>
        <v>4878.0487804878048</v>
      </c>
      <c r="F175" s="12">
        <f>IF(F142&lt;&gt;0,IF(OR(F$16=1,F$19=1),IF('Assumptions - Freight'!$E$111=1,'Assumptions - Freight'!F$127*F142,'Assumptions - Freight'!$E$113*'Assumptions - Freight'!F$127*F142)," "),0)</f>
        <v>4878.0487804878048</v>
      </c>
      <c r="G175" s="12">
        <f>IF(G142&lt;&gt;0,IF(OR(G$16=1,G$19=1),IF('Assumptions - Freight'!$E$111=1,'Assumptions - Freight'!G$127*G142,'Assumptions - Freight'!$E$113*'Assumptions - Freight'!G$127*G142)," "),0)</f>
        <v>4878.0487804878048</v>
      </c>
      <c r="H175" s="12">
        <f>IF(H142&lt;&gt;0,IF(OR(H$16=1,H$19=1),IF('Assumptions - Freight'!$E$111=1,'Assumptions - Freight'!H$127*H142,'Assumptions - Freight'!$E$113*'Assumptions - Freight'!H$127*H142)," "),0)</f>
        <v>4878.0487804878048</v>
      </c>
      <c r="I175" s="12">
        <f>IF(I142&lt;&gt;0,IF(OR(I$16=1,I$19=1),IF('Assumptions - Freight'!$E$111=1,'Assumptions - Freight'!I$127*I142,'Assumptions - Freight'!$E$113*'Assumptions - Freight'!I$127*I142)," "),0)</f>
        <v>4878.0487804878048</v>
      </c>
      <c r="J175" s="12">
        <f>IF(J142&lt;&gt;0,IF(OR(J$16=1,J$19=1),IF('Assumptions - Freight'!$E$111=1,'Assumptions - Freight'!J$127*J142,'Assumptions - Freight'!$E$113*'Assumptions - Freight'!J$127*J142)," "),0)</f>
        <v>4878.0487804878048</v>
      </c>
      <c r="K175" s="12">
        <f>IF(K142&lt;&gt;0,IF(OR(K$16=1,K$19=1),IF('Assumptions - Freight'!$E$111=1,'Assumptions - Freight'!K$127*K142,'Assumptions - Freight'!$E$113*'Assumptions - Freight'!K$127*K142)," "),0)</f>
        <v>5487.8048780487807</v>
      </c>
      <c r="L175" s="12">
        <f>IF(L142&lt;&gt;0,IF(OR(L$16=1,L$19=1),IF('Assumptions - Freight'!$E$111=1,'Assumptions - Freight'!L$127*L142,'Assumptions - Freight'!$E$113*'Assumptions - Freight'!L$127*L142)," "),0)</f>
        <v>5487.8048780487807</v>
      </c>
      <c r="M175" s="12">
        <f>IF(M142&lt;&gt;0,IF(OR(M$16=1,M$19=1),IF('Assumptions - Freight'!$E$111=1,'Assumptions - Freight'!M$127*M142,'Assumptions - Freight'!$E$113*'Assumptions - Freight'!M$127*M142)," "),0)</f>
        <v>5487.8048780487807</v>
      </c>
      <c r="N175" s="12">
        <f>IF(N142&lt;&gt;0,IF(OR(N$16=1,N$19=1),IF('Assumptions - Freight'!$E$111=1,'Assumptions - Freight'!N$127*N142,'Assumptions - Freight'!$E$113*'Assumptions - Freight'!N$127*N142)," "),0)</f>
        <v>5487.8048780487807</v>
      </c>
      <c r="O175" s="12">
        <f>IF(O142&lt;&gt;0,IF(OR(O$16=1,O$19=1),IF('Assumptions - Freight'!$E$111=1,'Assumptions - Freight'!O$127*O142,'Assumptions - Freight'!$E$113*'Assumptions - Freight'!O$127*O142)," "),0)</f>
        <v>5487.8048780487807</v>
      </c>
      <c r="P175" s="12">
        <f>IF(P142&lt;&gt;0,IF(OR(P$16=1,P$19=1),IF('Assumptions - Freight'!$E$111=1,'Assumptions - Freight'!P$127*P142,'Assumptions - Freight'!$E$113*'Assumptions - Freight'!P$127*P142)," "),0)</f>
        <v>5487.8048780487807</v>
      </c>
      <c r="Q175" s="12">
        <f>IF(Q142&lt;&gt;0,IF(OR(Q$16=1,Q$19=1),IF('Assumptions - Freight'!$E$111=1,'Assumptions - Freight'!Q$127*Q142,'Assumptions - Freight'!$E$113*'Assumptions - Freight'!Q$127*Q142)," "),0)</f>
        <v>5487.8048780487807</v>
      </c>
      <c r="R175" s="12">
        <f>IF(R142&lt;&gt;0,IF(OR(R$16=1,R$19=1),IF('Assumptions - Freight'!$E$111=1,'Assumptions - Freight'!R$127*R142,'Assumptions - Freight'!$E$113*'Assumptions - Freight'!R$127*R142)," "),0)</f>
        <v>5487.8048780487807</v>
      </c>
      <c r="S175" s="12">
        <f>IF(S142&lt;&gt;0,IF(OR(S$16=1,S$19=1),IF('Assumptions - Freight'!$E$111=1,'Assumptions - Freight'!S$127*S142,'Assumptions - Freight'!$E$113*'Assumptions - Freight'!S$127*S142)," "),0)</f>
        <v>5487.8048780487807</v>
      </c>
      <c r="T175" s="12">
        <f>IF(T142&lt;&gt;0,IF(OR(T$16=1,T$19=1),IF('Assumptions - Freight'!$E$111=1,'Assumptions - Freight'!T$127*T142,'Assumptions - Freight'!$E$113*'Assumptions - Freight'!T$127*T142)," "),0)</f>
        <v>5487.8048780487807</v>
      </c>
      <c r="U175" s="12">
        <f>IF(U142&lt;&gt;0,IF(OR(U$16=1,U$19=1),IF('Assumptions - Freight'!$E$111=1,'Assumptions - Freight'!U$127*U142,'Assumptions - Freight'!$E$113*'Assumptions - Freight'!U$127*U142)," "),0)</f>
        <v>5487.8048780487807</v>
      </c>
      <c r="V175" s="12">
        <f>IF(V142&lt;&gt;0,IF(OR(V$16=1,V$19=1),IF('Assumptions - Freight'!$E$111=1,'Assumptions - Freight'!V$127*V142,'Assumptions - Freight'!$E$113*'Assumptions - Freight'!V$127*V142)," "),0)</f>
        <v>5487.8048780487807</v>
      </c>
      <c r="W175" s="12">
        <f>IF(W142&lt;&gt;0,IF(OR(W$16=1,W$19=1),IF('Assumptions - Freight'!$E$111=1,'Assumptions - Freight'!W$127*W142,'Assumptions - Freight'!$E$113*'Assumptions - Freight'!W$127*W142)," "),0)</f>
        <v>5487.8048780487807</v>
      </c>
      <c r="X175" s="12">
        <f>IF(X142&lt;&gt;0,IF(OR(X$16=1,X$19=1),IF('Assumptions - Freight'!$E$111=1,'Assumptions - Freight'!X$127*X142,'Assumptions - Freight'!$E$113*'Assumptions - Freight'!X$127*X142)," "),0)</f>
        <v>5487.8048780487807</v>
      </c>
      <c r="Y175" s="12">
        <f>IF(Y142&lt;&gt;0,IF(OR(Y$16=1,Y$19=1),IF('Assumptions - Freight'!$E$111=1,'Assumptions - Freight'!Y$127*Y142,'Assumptions - Freight'!$E$113*'Assumptions - Freight'!Y$127*Y142)," "),0)</f>
        <v>5487.8048780487807</v>
      </c>
      <c r="Z175" s="12">
        <f>IF(Z142&lt;&gt;0,IF(OR(Z$16=1,Z$19=1),IF('Assumptions - Freight'!$E$111=1,'Assumptions - Freight'!Z$127*Z142,'Assumptions - Freight'!$E$113*'Assumptions - Freight'!Z$127*Z142)," "),0)</f>
        <v>5487.8048780487807</v>
      </c>
      <c r="AA175" s="12">
        <f>IF(AA142&lt;&gt;0,IF(OR(AA$16=1,AA$19=1),IF('Assumptions - Freight'!$E$111=1,'Assumptions - Freight'!AA$127*AA142,'Assumptions - Freight'!$E$113*'Assumptions - Freight'!AA$127*AA142)," "),0)</f>
        <v>5487.8048780487807</v>
      </c>
      <c r="AB175" s="12">
        <f>IF(AB142&lt;&gt;0,IF(OR(AB$16=1,AB$19=1),IF('Assumptions - Freight'!$E$111=1,'Assumptions - Freight'!AB$127*AB142,'Assumptions - Freight'!$E$113*'Assumptions - Freight'!AB$127*AB142)," "),0)</f>
        <v>5487.8048780487807</v>
      </c>
      <c r="AC175" s="12">
        <f>IF(AC142&lt;&gt;0,IF(OR(AC$16=1,AC$19=1),IF('Assumptions - Freight'!$E$111=1,'Assumptions - Freight'!AC$127*AC142,'Assumptions - Freight'!$E$113*'Assumptions - Freight'!AC$127*AC142)," "),0)</f>
        <v>5487.8048780487807</v>
      </c>
      <c r="AD175" s="12">
        <f>IF(AD142&lt;&gt;0,IF(OR(AD$16=1,AD$19=1),IF('Assumptions - Freight'!$E$111=1,'Assumptions - Freight'!AD$127*AD142,'Assumptions - Freight'!$E$113*'Assumptions - Freight'!AD$127*AD142)," "),0)</f>
        <v>5487.8048780487807</v>
      </c>
      <c r="AE175" s="12">
        <f>IF(AE142&lt;&gt;0,IF(OR(AE$16=1,AE$19=1),IF('Assumptions - Freight'!$E$111=1,'Assumptions - Freight'!AE$127*AE142,'Assumptions - Freight'!$E$113*'Assumptions - Freight'!AE$127*AE142)," "),0)</f>
        <v>5487.8048780487807</v>
      </c>
      <c r="AF175" s="12">
        <f>IF(AF142&lt;&gt;0,IF(OR(AF$16=1,AF$19=1),IF('Assumptions - Freight'!$E$111=1,'Assumptions - Freight'!AF$127*AF142,'Assumptions - Freight'!$E$113*'Assumptions - Freight'!AF$127*AF142)," "),0)</f>
        <v>5487.8048780487807</v>
      </c>
      <c r="AG175" s="12">
        <f>IF(AG142&lt;&gt;0,IF(OR(AG$16=1,AG$19=1),IF('Assumptions - Freight'!$E$111=1,'Assumptions - Freight'!AG$127*AG142,'Assumptions - Freight'!$E$113*'Assumptions - Freight'!AG$127*AG142)," "),0)</f>
        <v>5487.8048780487807</v>
      </c>
      <c r="AH175" s="12">
        <f>IF(AH142&lt;&gt;0,IF(OR(AH$16=1,AH$19=1),IF('Assumptions - Freight'!$E$111=1,'Assumptions - Freight'!AH$127*AH142,'Assumptions - Freight'!$E$113*'Assumptions - Freight'!AH$127*AH142)," "),0)</f>
        <v>5487.8048780487807</v>
      </c>
    </row>
    <row r="176" spans="2:34" x14ac:dyDescent="0.2">
      <c r="B176" s="8" t="str">
        <f>"Annual traffic volume of " &amp;'Assumptions - Freight'!E125</f>
        <v>Annual traffic volume of Commodity 10</v>
      </c>
      <c r="C176" s="8"/>
      <c r="D176" s="8" t="str">
        <f t="shared" si="41"/>
        <v>GTK (millions)</v>
      </c>
      <c r="E176" s="12">
        <f>IF(E143&lt;&gt;0,IF(OR(E$16=1,E$19=1),IF('Assumptions - Freight'!$E$111=1,'Assumptions - Freight'!E$127*E143,'Assumptions - Freight'!$E$113*'Assumptions - Freight'!E$127*E143)," "),0)</f>
        <v>4878.0487804878048</v>
      </c>
      <c r="F176" s="12">
        <f>IF(F143&lt;&gt;0,IF(OR(F$16=1,F$19=1),IF('Assumptions - Freight'!$E$111=1,'Assumptions - Freight'!F$127*F143,'Assumptions - Freight'!$E$113*'Assumptions - Freight'!F$127*F143)," "),0)</f>
        <v>4878.0487804878048</v>
      </c>
      <c r="G176" s="12">
        <f>IF(G143&lt;&gt;0,IF(OR(G$16=1,G$19=1),IF('Assumptions - Freight'!$E$111=1,'Assumptions - Freight'!G$127*G143,'Assumptions - Freight'!$E$113*'Assumptions - Freight'!G$127*G143)," "),0)</f>
        <v>4878.0487804878048</v>
      </c>
      <c r="H176" s="12">
        <f>IF(H143&lt;&gt;0,IF(OR(H$16=1,H$19=1),IF('Assumptions - Freight'!$E$111=1,'Assumptions - Freight'!H$127*H143,'Assumptions - Freight'!$E$113*'Assumptions - Freight'!H$127*H143)," "),0)</f>
        <v>4878.0487804878048</v>
      </c>
      <c r="I176" s="12">
        <f>IF(I143&lt;&gt;0,IF(OR(I$16=1,I$19=1),IF('Assumptions - Freight'!$E$111=1,'Assumptions - Freight'!I$127*I143,'Assumptions - Freight'!$E$113*'Assumptions - Freight'!I$127*I143)," "),0)</f>
        <v>4878.0487804878048</v>
      </c>
      <c r="J176" s="12">
        <f>IF(J143&lt;&gt;0,IF(OR(J$16=1,J$19=1),IF('Assumptions - Freight'!$E$111=1,'Assumptions - Freight'!J$127*J143,'Assumptions - Freight'!$E$113*'Assumptions - Freight'!J$127*J143)," "),0)</f>
        <v>4878.0487804878048</v>
      </c>
      <c r="K176" s="12">
        <f>IF(K143&lt;&gt;0,IF(OR(K$16=1,K$19=1),IF('Assumptions - Freight'!$E$111=1,'Assumptions - Freight'!K$127*K143,'Assumptions - Freight'!$E$113*'Assumptions - Freight'!K$127*K143)," "),0)</f>
        <v>5487.8048780487807</v>
      </c>
      <c r="L176" s="12">
        <f>IF(L143&lt;&gt;0,IF(OR(L$16=1,L$19=1),IF('Assumptions - Freight'!$E$111=1,'Assumptions - Freight'!L$127*L143,'Assumptions - Freight'!$E$113*'Assumptions - Freight'!L$127*L143)," "),0)</f>
        <v>5487.8048780487807</v>
      </c>
      <c r="M176" s="12">
        <f>IF(M143&lt;&gt;0,IF(OR(M$16=1,M$19=1),IF('Assumptions - Freight'!$E$111=1,'Assumptions - Freight'!M$127*M143,'Assumptions - Freight'!$E$113*'Assumptions - Freight'!M$127*M143)," "),0)</f>
        <v>5487.8048780487807</v>
      </c>
      <c r="N176" s="12">
        <f>IF(N143&lt;&gt;0,IF(OR(N$16=1,N$19=1),IF('Assumptions - Freight'!$E$111=1,'Assumptions - Freight'!N$127*N143,'Assumptions - Freight'!$E$113*'Assumptions - Freight'!N$127*N143)," "),0)</f>
        <v>5487.8048780487807</v>
      </c>
      <c r="O176" s="12">
        <f>IF(O143&lt;&gt;0,IF(OR(O$16=1,O$19=1),IF('Assumptions - Freight'!$E$111=1,'Assumptions - Freight'!O$127*O143,'Assumptions - Freight'!$E$113*'Assumptions - Freight'!O$127*O143)," "),0)</f>
        <v>5487.8048780487807</v>
      </c>
      <c r="P176" s="12">
        <f>IF(P143&lt;&gt;0,IF(OR(P$16=1,P$19=1),IF('Assumptions - Freight'!$E$111=1,'Assumptions - Freight'!P$127*P143,'Assumptions - Freight'!$E$113*'Assumptions - Freight'!P$127*P143)," "),0)</f>
        <v>5487.8048780487807</v>
      </c>
      <c r="Q176" s="12">
        <f>IF(Q143&lt;&gt;0,IF(OR(Q$16=1,Q$19=1),IF('Assumptions - Freight'!$E$111=1,'Assumptions - Freight'!Q$127*Q143,'Assumptions - Freight'!$E$113*'Assumptions - Freight'!Q$127*Q143)," "),0)</f>
        <v>5487.8048780487807</v>
      </c>
      <c r="R176" s="12">
        <f>IF(R143&lt;&gt;0,IF(OR(R$16=1,R$19=1),IF('Assumptions - Freight'!$E$111=1,'Assumptions - Freight'!R$127*R143,'Assumptions - Freight'!$E$113*'Assumptions - Freight'!R$127*R143)," "),0)</f>
        <v>5487.8048780487807</v>
      </c>
      <c r="S176" s="12">
        <f>IF(S143&lt;&gt;0,IF(OR(S$16=1,S$19=1),IF('Assumptions - Freight'!$E$111=1,'Assumptions - Freight'!S$127*S143,'Assumptions - Freight'!$E$113*'Assumptions - Freight'!S$127*S143)," "),0)</f>
        <v>5487.8048780487807</v>
      </c>
      <c r="T176" s="12">
        <f>IF(T143&lt;&gt;0,IF(OR(T$16=1,T$19=1),IF('Assumptions - Freight'!$E$111=1,'Assumptions - Freight'!T$127*T143,'Assumptions - Freight'!$E$113*'Assumptions - Freight'!T$127*T143)," "),0)</f>
        <v>5487.8048780487807</v>
      </c>
      <c r="U176" s="12">
        <f>IF(U143&lt;&gt;0,IF(OR(U$16=1,U$19=1),IF('Assumptions - Freight'!$E$111=1,'Assumptions - Freight'!U$127*U143,'Assumptions - Freight'!$E$113*'Assumptions - Freight'!U$127*U143)," "),0)</f>
        <v>5487.8048780487807</v>
      </c>
      <c r="V176" s="12">
        <f>IF(V143&lt;&gt;0,IF(OR(V$16=1,V$19=1),IF('Assumptions - Freight'!$E$111=1,'Assumptions - Freight'!V$127*V143,'Assumptions - Freight'!$E$113*'Assumptions - Freight'!V$127*V143)," "),0)</f>
        <v>5487.8048780487807</v>
      </c>
      <c r="W176" s="12">
        <f>IF(W143&lt;&gt;0,IF(OR(W$16=1,W$19=1),IF('Assumptions - Freight'!$E$111=1,'Assumptions - Freight'!W$127*W143,'Assumptions - Freight'!$E$113*'Assumptions - Freight'!W$127*W143)," "),0)</f>
        <v>5487.8048780487807</v>
      </c>
      <c r="X176" s="12">
        <f>IF(X143&lt;&gt;0,IF(OR(X$16=1,X$19=1),IF('Assumptions - Freight'!$E$111=1,'Assumptions - Freight'!X$127*X143,'Assumptions - Freight'!$E$113*'Assumptions - Freight'!X$127*X143)," "),0)</f>
        <v>5487.8048780487807</v>
      </c>
      <c r="Y176" s="12">
        <f>IF(Y143&lt;&gt;0,IF(OR(Y$16=1,Y$19=1),IF('Assumptions - Freight'!$E$111=1,'Assumptions - Freight'!Y$127*Y143,'Assumptions - Freight'!$E$113*'Assumptions - Freight'!Y$127*Y143)," "),0)</f>
        <v>5487.8048780487807</v>
      </c>
      <c r="Z176" s="12">
        <f>IF(Z143&lt;&gt;0,IF(OR(Z$16=1,Z$19=1),IF('Assumptions - Freight'!$E$111=1,'Assumptions - Freight'!Z$127*Z143,'Assumptions - Freight'!$E$113*'Assumptions - Freight'!Z$127*Z143)," "),0)</f>
        <v>5487.8048780487807</v>
      </c>
      <c r="AA176" s="12">
        <f>IF(AA143&lt;&gt;0,IF(OR(AA$16=1,AA$19=1),IF('Assumptions - Freight'!$E$111=1,'Assumptions - Freight'!AA$127*AA143,'Assumptions - Freight'!$E$113*'Assumptions - Freight'!AA$127*AA143)," "),0)</f>
        <v>5487.8048780487807</v>
      </c>
      <c r="AB176" s="12">
        <f>IF(AB143&lt;&gt;0,IF(OR(AB$16=1,AB$19=1),IF('Assumptions - Freight'!$E$111=1,'Assumptions - Freight'!AB$127*AB143,'Assumptions - Freight'!$E$113*'Assumptions - Freight'!AB$127*AB143)," "),0)</f>
        <v>5487.8048780487807</v>
      </c>
      <c r="AC176" s="12">
        <f>IF(AC143&lt;&gt;0,IF(OR(AC$16=1,AC$19=1),IF('Assumptions - Freight'!$E$111=1,'Assumptions - Freight'!AC$127*AC143,'Assumptions - Freight'!$E$113*'Assumptions - Freight'!AC$127*AC143)," "),0)</f>
        <v>5487.8048780487807</v>
      </c>
      <c r="AD176" s="12">
        <f>IF(AD143&lt;&gt;0,IF(OR(AD$16=1,AD$19=1),IF('Assumptions - Freight'!$E$111=1,'Assumptions - Freight'!AD$127*AD143,'Assumptions - Freight'!$E$113*'Assumptions - Freight'!AD$127*AD143)," "),0)</f>
        <v>5487.8048780487807</v>
      </c>
      <c r="AE176" s="12">
        <f>IF(AE143&lt;&gt;0,IF(OR(AE$16=1,AE$19=1),IF('Assumptions - Freight'!$E$111=1,'Assumptions - Freight'!AE$127*AE143,'Assumptions - Freight'!$E$113*'Assumptions - Freight'!AE$127*AE143)," "),0)</f>
        <v>5487.8048780487807</v>
      </c>
      <c r="AF176" s="12">
        <f>IF(AF143&lt;&gt;0,IF(OR(AF$16=1,AF$19=1),IF('Assumptions - Freight'!$E$111=1,'Assumptions - Freight'!AF$127*AF143,'Assumptions - Freight'!$E$113*'Assumptions - Freight'!AF$127*AF143)," "),0)</f>
        <v>5487.8048780487807</v>
      </c>
      <c r="AG176" s="12">
        <f>IF(AG143&lt;&gt;0,IF(OR(AG$16=1,AG$19=1),IF('Assumptions - Freight'!$E$111=1,'Assumptions - Freight'!AG$127*AG143,'Assumptions - Freight'!$E$113*'Assumptions - Freight'!AG$127*AG143)," "),0)</f>
        <v>5487.8048780487807</v>
      </c>
      <c r="AH176" s="12">
        <f>IF(AH143&lt;&gt;0,IF(OR(AH$16=1,AH$19=1),IF('Assumptions - Freight'!$E$111=1,'Assumptions - Freight'!AH$127*AH143,'Assumptions - Freight'!$E$113*'Assumptions - Freight'!AH$127*AH143)," "),0)</f>
        <v>5487.8048780487807</v>
      </c>
    </row>
    <row r="177" spans="2:34" x14ac:dyDescent="0.2">
      <c r="B177" s="30" t="s">
        <v>460</v>
      </c>
      <c r="C177" s="8"/>
      <c r="D177" s="8" t="str">
        <f>D176</f>
        <v>GTK (millions)</v>
      </c>
      <c r="E177" s="12">
        <f t="shared" ref="E177:AH177" si="42">IF(OR(E$16=1,E$19=1),SUM(E167:E176)," ")</f>
        <v>50000.000000000007</v>
      </c>
      <c r="F177" s="12">
        <f t="shared" si="42"/>
        <v>48780.487804878059</v>
      </c>
      <c r="G177" s="12">
        <f t="shared" si="42"/>
        <v>48780.487804878059</v>
      </c>
      <c r="H177" s="12">
        <f t="shared" si="42"/>
        <v>48780.487804878059</v>
      </c>
      <c r="I177" s="12">
        <f t="shared" si="42"/>
        <v>48780.487804878059</v>
      </c>
      <c r="J177" s="12">
        <f t="shared" si="42"/>
        <v>48780.487804878059</v>
      </c>
      <c r="K177" s="12">
        <f t="shared" si="42"/>
        <v>54878.048780487807</v>
      </c>
      <c r="L177" s="12">
        <f t="shared" si="42"/>
        <v>54878.048780487807</v>
      </c>
      <c r="M177" s="12">
        <f t="shared" si="42"/>
        <v>54878.048780487807</v>
      </c>
      <c r="N177" s="12">
        <f t="shared" si="42"/>
        <v>54878.048780487807</v>
      </c>
      <c r="O177" s="12">
        <f t="shared" si="42"/>
        <v>54878.048780487807</v>
      </c>
      <c r="P177" s="12">
        <f t="shared" si="42"/>
        <v>54878.048780487807</v>
      </c>
      <c r="Q177" s="12">
        <f t="shared" si="42"/>
        <v>54878.048780487807</v>
      </c>
      <c r="R177" s="12">
        <f t="shared" si="42"/>
        <v>54878.048780487807</v>
      </c>
      <c r="S177" s="12">
        <f t="shared" si="42"/>
        <v>54878.048780487807</v>
      </c>
      <c r="T177" s="12">
        <f t="shared" si="42"/>
        <v>54878.048780487807</v>
      </c>
      <c r="U177" s="12">
        <f t="shared" si="42"/>
        <v>54878.048780487807</v>
      </c>
      <c r="V177" s="12">
        <f t="shared" si="42"/>
        <v>54878.048780487807</v>
      </c>
      <c r="W177" s="12">
        <f t="shared" si="42"/>
        <v>54878.048780487807</v>
      </c>
      <c r="X177" s="12">
        <f t="shared" si="42"/>
        <v>54878.048780487807</v>
      </c>
      <c r="Y177" s="12">
        <f t="shared" si="42"/>
        <v>54878.048780487807</v>
      </c>
      <c r="Z177" s="12">
        <f t="shared" si="42"/>
        <v>54878.048780487807</v>
      </c>
      <c r="AA177" s="12">
        <f t="shared" si="42"/>
        <v>54878.048780487807</v>
      </c>
      <c r="AB177" s="12">
        <f t="shared" si="42"/>
        <v>54878.048780487807</v>
      </c>
      <c r="AC177" s="12">
        <f t="shared" si="42"/>
        <v>54878.048780487807</v>
      </c>
      <c r="AD177" s="12">
        <f t="shared" si="42"/>
        <v>54878.048780487807</v>
      </c>
      <c r="AE177" s="12">
        <f t="shared" si="42"/>
        <v>54878.048780487807</v>
      </c>
      <c r="AF177" s="12">
        <f t="shared" si="42"/>
        <v>54878.048780487807</v>
      </c>
      <c r="AG177" s="12">
        <f t="shared" si="42"/>
        <v>54878.048780487807</v>
      </c>
      <c r="AH177" s="12">
        <f t="shared" si="42"/>
        <v>54878.048780487807</v>
      </c>
    </row>
    <row r="178" spans="2:34" x14ac:dyDescent="0.2">
      <c r="B178" s="14"/>
      <c r="C178" s="8"/>
      <c r="D178" s="8"/>
      <c r="E178" s="12"/>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row>
    <row r="179" spans="2:34" outlineLevel="1" x14ac:dyDescent="0.2">
      <c r="B179" s="8" t="str">
        <f>"Diesel traffic volume of " &amp;'Assumptions - Freight'!E116</f>
        <v>Diesel traffic volume of Commodity 1</v>
      </c>
      <c r="C179" s="8"/>
      <c r="D179" s="8" t="s">
        <v>286</v>
      </c>
      <c r="E179" s="12">
        <f>IF(E167&lt;&gt;0,IF(OR(E$16=1,E$19=1),'Assumptions - Freight'!E$18*E167," "),0)</f>
        <v>2439.0243902439024</v>
      </c>
      <c r="F179" s="12">
        <f>IF(F167&lt;&gt;0,IF(OR(F$16=1,F$19=1),'Assumptions - Freight'!F$18*F167," "),0)</f>
        <v>2390.2439024390242</v>
      </c>
      <c r="G179" s="12">
        <f>IF(G167&lt;&gt;0,IF(OR(G$16=1,G$19=1),'Assumptions - Freight'!G$18*G167," "),0)</f>
        <v>2341.4634146341464</v>
      </c>
      <c r="H179" s="12">
        <f>IF(H167&lt;&gt;0,IF(OR(H$16=1,H$19=1),'Assumptions - Freight'!H$18*H167," "),0)</f>
        <v>2292.6829268292681</v>
      </c>
      <c r="I179" s="12">
        <f>IF(I167&lt;&gt;0,IF(OR(I$16=1,I$19=1),'Assumptions - Freight'!I$18*I167," "),0)</f>
        <v>2243.9024390243899</v>
      </c>
      <c r="J179" s="12">
        <f>IF(J167&lt;&gt;0,IF(OR(J$16=1,J$19=1),'Assumptions - Freight'!J$18*J167," "),0)</f>
        <v>2195.1219512195121</v>
      </c>
      <c r="K179" s="12">
        <f>IF(K167&lt;&gt;0,IF(OR(K$16=1,K$19=1),'Assumptions - Freight'!K$18*K167," "),0)</f>
        <v>2414.6341463414633</v>
      </c>
      <c r="L179" s="12">
        <f>IF(L167&lt;&gt;0,IF(OR(L$16=1,L$19=1),'Assumptions - Freight'!L$18*L167," "),0)</f>
        <v>2359.7560975609754</v>
      </c>
      <c r="M179" s="12">
        <f>IF(M167&lt;&gt;0,IF(OR(M$16=1,M$19=1),'Assumptions - Freight'!M$18*M167," "),0)</f>
        <v>2304.8780487804875</v>
      </c>
      <c r="N179" s="12">
        <f>IF(N167&lt;&gt;0,IF(OR(N$16=1,N$19=1),'Assumptions - Freight'!N$18*N167," "),0)</f>
        <v>2249.9999999999995</v>
      </c>
      <c r="O179" s="12">
        <f>IF(O167&lt;&gt;0,IF(OR(O$16=1,O$19=1),'Assumptions - Freight'!O$18*O167," "),0)</f>
        <v>2195.1219512195116</v>
      </c>
      <c r="P179" s="12">
        <f>IF(P167&lt;&gt;0,IF(OR(P$16=1,P$19=1),'Assumptions - Freight'!P$18*P167," "),0)</f>
        <v>2140.2439024390237</v>
      </c>
      <c r="Q179" s="12">
        <f>IF(Q167&lt;&gt;0,IF(OR(Q$16=1,Q$19=1),'Assumptions - Freight'!Q$18*Q167," "),0)</f>
        <v>2085.3658536585363</v>
      </c>
      <c r="R179" s="12">
        <f>IF(R167&lt;&gt;0,IF(OR(R$16=1,R$19=1),'Assumptions - Freight'!R$18*R167," "),0)</f>
        <v>2030.4878048780481</v>
      </c>
      <c r="S179" s="12">
        <f>IF(S167&lt;&gt;0,IF(OR(S$16=1,S$19=1),'Assumptions - Freight'!S$18*S167," "),0)</f>
        <v>1975.6097560975604</v>
      </c>
      <c r="T179" s="12">
        <f>IF(T167&lt;&gt;0,IF(OR(T$16=1,T$19=1),'Assumptions - Freight'!T$18*T167," "),0)</f>
        <v>1920.7317073170725</v>
      </c>
      <c r="U179" s="12">
        <f>IF(U167&lt;&gt;0,IF(OR(U$16=1,U$19=1),'Assumptions - Freight'!U$18*U167," "),0)</f>
        <v>1865.8536585365846</v>
      </c>
      <c r="V179" s="12">
        <f>IF(V167&lt;&gt;0,IF(OR(V$16=1,V$19=1),'Assumptions - Freight'!V$18*V167," "),0)</f>
        <v>1810.9756097560969</v>
      </c>
      <c r="W179" s="12">
        <f>IF(W167&lt;&gt;0,IF(OR(W$16=1,W$19=1),'Assumptions - Freight'!W$18*W167," "),0)</f>
        <v>1756.097560975609</v>
      </c>
      <c r="X179" s="12">
        <f>IF(X167&lt;&gt;0,IF(OR(X$16=1,X$19=1),'Assumptions - Freight'!X$18*X167," "),0)</f>
        <v>1701.2195121951211</v>
      </c>
      <c r="Y179" s="12">
        <f>IF(Y167&lt;&gt;0,IF(OR(Y$16=1,Y$19=1),'Assumptions - Freight'!Y$18*Y167," "),0)</f>
        <v>1646.3414634146332</v>
      </c>
      <c r="Z179" s="12">
        <f>IF(Z167&lt;&gt;0,IF(OR(Z$16=1,Z$19=1),'Assumptions - Freight'!Z$18*Z167," "),0)</f>
        <v>1591.4634146341455</v>
      </c>
      <c r="AA179" s="12">
        <f>IF(AA167&lt;&gt;0,IF(OR(AA$16=1,AA$19=1),'Assumptions - Freight'!AA$18*AA167," "),0)</f>
        <v>1536.5853658536575</v>
      </c>
      <c r="AB179" s="12">
        <f>IF(AB167&lt;&gt;0,IF(OR(AB$16=1,AB$19=1),'Assumptions - Freight'!AB$18*AB167," "),0)</f>
        <v>1481.7073170731696</v>
      </c>
      <c r="AC179" s="12">
        <f>IF(AC167&lt;&gt;0,IF(OR(AC$16=1,AC$19=1),'Assumptions - Freight'!AC$18*AC167," "),0)</f>
        <v>1426.8292682926817</v>
      </c>
      <c r="AD179" s="12">
        <f>IF(AD167&lt;&gt;0,IF(OR(AD$16=1,AD$19=1),'Assumptions - Freight'!AD$18*AD167," "),0)</f>
        <v>1371.951219512194</v>
      </c>
      <c r="AE179" s="12">
        <f>IF(AE167&lt;&gt;0,IF(OR(AE$16=1,AE$19=1),'Assumptions - Freight'!AE$18*AE167," "),0)</f>
        <v>1317.0731707317061</v>
      </c>
      <c r="AF179" s="12">
        <f>IF(AF167&lt;&gt;0,IF(OR(AF$16=1,AF$19=1),'Assumptions - Freight'!AF$18*AF167," "),0)</f>
        <v>1262.1951219512182</v>
      </c>
      <c r="AG179" s="12">
        <f>IF(AG167&lt;&gt;0,IF(OR(AG$16=1,AG$19=1),'Assumptions - Freight'!AG$18*AG167," "),0)</f>
        <v>1207.3170731707303</v>
      </c>
      <c r="AH179" s="12">
        <f>IF(AH167&lt;&gt;0,IF(OR(AH$16=1,AH$19=1),'Assumptions - Freight'!AH$18*AH167," "),0)</f>
        <v>1152.4390243902426</v>
      </c>
    </row>
    <row r="180" spans="2:34" outlineLevel="1" x14ac:dyDescent="0.2">
      <c r="B180" s="8" t="str">
        <f>"Diesel traffic volume of " &amp;'Assumptions - Freight'!E117</f>
        <v>Diesel traffic volume of Commodity 2</v>
      </c>
      <c r="C180" s="8"/>
      <c r="D180" s="8" t="str">
        <f t="shared" ref="D180:D188" si="43">D179</f>
        <v>GTK (millions)</v>
      </c>
      <c r="E180" s="12">
        <f>IF(E168&lt;&gt;0,IF(OR(E$16=1,E$19=1),'Assumptions - Freight'!E$18*E168," "),0)</f>
        <v>2439.0243902439024</v>
      </c>
      <c r="F180" s="12">
        <f>IF(F168&lt;&gt;0,IF(OR(F$16=1,F$19=1),'Assumptions - Freight'!F$18*F168," "),0)</f>
        <v>2390.2439024390242</v>
      </c>
      <c r="G180" s="12">
        <f>IF(G168&lt;&gt;0,IF(OR(G$16=1,G$19=1),'Assumptions - Freight'!G$18*G168," "),0)</f>
        <v>2341.4634146341464</v>
      </c>
      <c r="H180" s="12">
        <f>IF(H168&lt;&gt;0,IF(OR(H$16=1,H$19=1),'Assumptions - Freight'!H$18*H168," "),0)</f>
        <v>2292.6829268292681</v>
      </c>
      <c r="I180" s="12">
        <f>IF(I168&lt;&gt;0,IF(OR(I$16=1,I$19=1),'Assumptions - Freight'!I$18*I168," "),0)</f>
        <v>2243.9024390243899</v>
      </c>
      <c r="J180" s="12">
        <f>IF(J168&lt;&gt;0,IF(OR(J$16=1,J$19=1),'Assumptions - Freight'!J$18*J168," "),0)</f>
        <v>2195.1219512195121</v>
      </c>
      <c r="K180" s="12">
        <f>IF(K168&lt;&gt;0,IF(OR(K$16=1,K$19=1),'Assumptions - Freight'!K$18*K168," "),0)</f>
        <v>2414.6341463414633</v>
      </c>
      <c r="L180" s="12">
        <f>IF(L168&lt;&gt;0,IF(OR(L$16=1,L$19=1),'Assumptions - Freight'!L$18*L168," "),0)</f>
        <v>2359.7560975609754</v>
      </c>
      <c r="M180" s="12">
        <f>IF(M168&lt;&gt;0,IF(OR(M$16=1,M$19=1),'Assumptions - Freight'!M$18*M168," "),0)</f>
        <v>2304.8780487804875</v>
      </c>
      <c r="N180" s="12">
        <f>IF(N168&lt;&gt;0,IF(OR(N$16=1,N$19=1),'Assumptions - Freight'!N$18*N168," "),0)</f>
        <v>2249.9999999999995</v>
      </c>
      <c r="O180" s="12">
        <f>IF(O168&lt;&gt;0,IF(OR(O$16=1,O$19=1),'Assumptions - Freight'!O$18*O168," "),0)</f>
        <v>2195.1219512195116</v>
      </c>
      <c r="P180" s="12">
        <f>IF(P168&lt;&gt;0,IF(OR(P$16=1,P$19=1),'Assumptions - Freight'!P$18*P168," "),0)</f>
        <v>2140.2439024390237</v>
      </c>
      <c r="Q180" s="12">
        <f>IF(Q168&lt;&gt;0,IF(OR(Q$16=1,Q$19=1),'Assumptions - Freight'!Q$18*Q168," "),0)</f>
        <v>2085.3658536585363</v>
      </c>
      <c r="R180" s="12">
        <f>IF(R168&lt;&gt;0,IF(OR(R$16=1,R$19=1),'Assumptions - Freight'!R$18*R168," "),0)</f>
        <v>2030.4878048780481</v>
      </c>
      <c r="S180" s="12">
        <f>IF(S168&lt;&gt;0,IF(OR(S$16=1,S$19=1),'Assumptions - Freight'!S$18*S168," "),0)</f>
        <v>1975.6097560975604</v>
      </c>
      <c r="T180" s="12">
        <f>IF(T168&lt;&gt;0,IF(OR(T$16=1,T$19=1),'Assumptions - Freight'!T$18*T168," "),0)</f>
        <v>1920.7317073170725</v>
      </c>
      <c r="U180" s="12">
        <f>IF(U168&lt;&gt;0,IF(OR(U$16=1,U$19=1),'Assumptions - Freight'!U$18*U168," "),0)</f>
        <v>1865.8536585365846</v>
      </c>
      <c r="V180" s="12">
        <f>IF(V168&lt;&gt;0,IF(OR(V$16=1,V$19=1),'Assumptions - Freight'!V$18*V168," "),0)</f>
        <v>1810.9756097560969</v>
      </c>
      <c r="W180" s="12">
        <f>IF(W168&lt;&gt;0,IF(OR(W$16=1,W$19=1),'Assumptions - Freight'!W$18*W168," "),0)</f>
        <v>1756.097560975609</v>
      </c>
      <c r="X180" s="12">
        <f>IF(X168&lt;&gt;0,IF(OR(X$16=1,X$19=1),'Assumptions - Freight'!X$18*X168," "),0)</f>
        <v>1701.2195121951211</v>
      </c>
      <c r="Y180" s="12">
        <f>IF(Y168&lt;&gt;0,IF(OR(Y$16=1,Y$19=1),'Assumptions - Freight'!Y$18*Y168," "),0)</f>
        <v>1646.3414634146332</v>
      </c>
      <c r="Z180" s="12">
        <f>IF(Z168&lt;&gt;0,IF(OR(Z$16=1,Z$19=1),'Assumptions - Freight'!Z$18*Z168," "),0)</f>
        <v>1591.4634146341455</v>
      </c>
      <c r="AA180" s="12">
        <f>IF(AA168&lt;&gt;0,IF(OR(AA$16=1,AA$19=1),'Assumptions - Freight'!AA$18*AA168," "),0)</f>
        <v>1536.5853658536575</v>
      </c>
      <c r="AB180" s="12">
        <f>IF(AB168&lt;&gt;0,IF(OR(AB$16=1,AB$19=1),'Assumptions - Freight'!AB$18*AB168," "),0)</f>
        <v>1481.7073170731696</v>
      </c>
      <c r="AC180" s="12">
        <f>IF(AC168&lt;&gt;0,IF(OR(AC$16=1,AC$19=1),'Assumptions - Freight'!AC$18*AC168," "),0)</f>
        <v>1426.8292682926817</v>
      </c>
      <c r="AD180" s="12">
        <f>IF(AD168&lt;&gt;0,IF(OR(AD$16=1,AD$19=1),'Assumptions - Freight'!AD$18*AD168," "),0)</f>
        <v>1371.951219512194</v>
      </c>
      <c r="AE180" s="12">
        <f>IF(AE168&lt;&gt;0,IF(OR(AE$16=1,AE$19=1),'Assumptions - Freight'!AE$18*AE168," "),0)</f>
        <v>1317.0731707317061</v>
      </c>
      <c r="AF180" s="12">
        <f>IF(AF168&lt;&gt;0,IF(OR(AF$16=1,AF$19=1),'Assumptions - Freight'!AF$18*AF168," "),0)</f>
        <v>1262.1951219512182</v>
      </c>
      <c r="AG180" s="12">
        <f>IF(AG168&lt;&gt;0,IF(OR(AG$16=1,AG$19=1),'Assumptions - Freight'!AG$18*AG168," "),0)</f>
        <v>1207.3170731707303</v>
      </c>
      <c r="AH180" s="12">
        <f>IF(AH168&lt;&gt;0,IF(OR(AH$16=1,AH$19=1),'Assumptions - Freight'!AH$18*AH168," "),0)</f>
        <v>1152.4390243902426</v>
      </c>
    </row>
    <row r="181" spans="2:34" outlineLevel="1" x14ac:dyDescent="0.2">
      <c r="B181" s="8" t="str">
        <f>"Diesel traffic volume of " &amp;'Assumptions - Freight'!E118</f>
        <v>Diesel traffic volume of Commodity 3</v>
      </c>
      <c r="C181" s="8"/>
      <c r="D181" s="8" t="str">
        <f t="shared" si="43"/>
        <v>GTK (millions)</v>
      </c>
      <c r="E181" s="12">
        <f>IF(E169&lt;&gt;0,IF(OR(E$16=1,E$19=1),'Assumptions - Freight'!E$18*E169," "),0)</f>
        <v>3048.7804878048778</v>
      </c>
      <c r="F181" s="12">
        <f>IF(F169&lt;&gt;0,IF(OR(F$16=1,F$19=1),'Assumptions - Freight'!F$18*F169," "),0)</f>
        <v>2390.2439024390242</v>
      </c>
      <c r="G181" s="12">
        <f>IF(G169&lt;&gt;0,IF(OR(G$16=1,G$19=1),'Assumptions - Freight'!G$18*G169," "),0)</f>
        <v>2341.4634146341464</v>
      </c>
      <c r="H181" s="12">
        <f>IF(H169&lt;&gt;0,IF(OR(H$16=1,H$19=1),'Assumptions - Freight'!H$18*H169," "),0)</f>
        <v>2292.6829268292681</v>
      </c>
      <c r="I181" s="12">
        <f>IF(I169&lt;&gt;0,IF(OR(I$16=1,I$19=1),'Assumptions - Freight'!I$18*I169," "),0)</f>
        <v>2243.9024390243899</v>
      </c>
      <c r="J181" s="12">
        <f>IF(J169&lt;&gt;0,IF(OR(J$16=1,J$19=1),'Assumptions - Freight'!J$18*J169," "),0)</f>
        <v>2195.1219512195121</v>
      </c>
      <c r="K181" s="12">
        <f>IF(K169&lt;&gt;0,IF(OR(K$16=1,K$19=1),'Assumptions - Freight'!K$18*K169," "),0)</f>
        <v>2414.6341463414633</v>
      </c>
      <c r="L181" s="12">
        <f>IF(L169&lt;&gt;0,IF(OR(L$16=1,L$19=1),'Assumptions - Freight'!L$18*L169," "),0)</f>
        <v>2359.7560975609754</v>
      </c>
      <c r="M181" s="12">
        <f>IF(M169&lt;&gt;0,IF(OR(M$16=1,M$19=1),'Assumptions - Freight'!M$18*M169," "),0)</f>
        <v>2304.8780487804875</v>
      </c>
      <c r="N181" s="12">
        <f>IF(N169&lt;&gt;0,IF(OR(N$16=1,N$19=1),'Assumptions - Freight'!N$18*N169," "),0)</f>
        <v>2249.9999999999995</v>
      </c>
      <c r="O181" s="12">
        <f>IF(O169&lt;&gt;0,IF(OR(O$16=1,O$19=1),'Assumptions - Freight'!O$18*O169," "),0)</f>
        <v>2195.1219512195116</v>
      </c>
      <c r="P181" s="12">
        <f>IF(P169&lt;&gt;0,IF(OR(P$16=1,P$19=1),'Assumptions - Freight'!P$18*P169," "),0)</f>
        <v>2140.2439024390237</v>
      </c>
      <c r="Q181" s="12">
        <f>IF(Q169&lt;&gt;0,IF(OR(Q$16=1,Q$19=1),'Assumptions - Freight'!Q$18*Q169," "),0)</f>
        <v>2085.3658536585363</v>
      </c>
      <c r="R181" s="12">
        <f>IF(R169&lt;&gt;0,IF(OR(R$16=1,R$19=1),'Assumptions - Freight'!R$18*R169," "),0)</f>
        <v>2030.4878048780481</v>
      </c>
      <c r="S181" s="12">
        <f>IF(S169&lt;&gt;0,IF(OR(S$16=1,S$19=1),'Assumptions - Freight'!S$18*S169," "),0)</f>
        <v>1975.6097560975604</v>
      </c>
      <c r="T181" s="12">
        <f>IF(T169&lt;&gt;0,IF(OR(T$16=1,T$19=1),'Assumptions - Freight'!T$18*T169," "),0)</f>
        <v>1920.7317073170725</v>
      </c>
      <c r="U181" s="12">
        <f>IF(U169&lt;&gt;0,IF(OR(U$16=1,U$19=1),'Assumptions - Freight'!U$18*U169," "),0)</f>
        <v>1865.8536585365846</v>
      </c>
      <c r="V181" s="12">
        <f>IF(V169&lt;&gt;0,IF(OR(V$16=1,V$19=1),'Assumptions - Freight'!V$18*V169," "),0)</f>
        <v>1810.9756097560969</v>
      </c>
      <c r="W181" s="12">
        <f>IF(W169&lt;&gt;0,IF(OR(W$16=1,W$19=1),'Assumptions - Freight'!W$18*W169," "),0)</f>
        <v>1756.097560975609</v>
      </c>
      <c r="X181" s="12">
        <f>IF(X169&lt;&gt;0,IF(OR(X$16=1,X$19=1),'Assumptions - Freight'!X$18*X169," "),0)</f>
        <v>1701.2195121951211</v>
      </c>
      <c r="Y181" s="12">
        <f>IF(Y169&lt;&gt;0,IF(OR(Y$16=1,Y$19=1),'Assumptions - Freight'!Y$18*Y169," "),0)</f>
        <v>1646.3414634146332</v>
      </c>
      <c r="Z181" s="12">
        <f>IF(Z169&lt;&gt;0,IF(OR(Z$16=1,Z$19=1),'Assumptions - Freight'!Z$18*Z169," "),0)</f>
        <v>1591.4634146341455</v>
      </c>
      <c r="AA181" s="12">
        <f>IF(AA169&lt;&gt;0,IF(OR(AA$16=1,AA$19=1),'Assumptions - Freight'!AA$18*AA169," "),0)</f>
        <v>1536.5853658536575</v>
      </c>
      <c r="AB181" s="12">
        <f>IF(AB169&lt;&gt;0,IF(OR(AB$16=1,AB$19=1),'Assumptions - Freight'!AB$18*AB169," "),0)</f>
        <v>1481.7073170731696</v>
      </c>
      <c r="AC181" s="12">
        <f>IF(AC169&lt;&gt;0,IF(OR(AC$16=1,AC$19=1),'Assumptions - Freight'!AC$18*AC169," "),0)</f>
        <v>1426.8292682926817</v>
      </c>
      <c r="AD181" s="12">
        <f>IF(AD169&lt;&gt;0,IF(OR(AD$16=1,AD$19=1),'Assumptions - Freight'!AD$18*AD169," "),0)</f>
        <v>1371.951219512194</v>
      </c>
      <c r="AE181" s="12">
        <f>IF(AE169&lt;&gt;0,IF(OR(AE$16=1,AE$19=1),'Assumptions - Freight'!AE$18*AE169," "),0)</f>
        <v>1317.0731707317061</v>
      </c>
      <c r="AF181" s="12">
        <f>IF(AF169&lt;&gt;0,IF(OR(AF$16=1,AF$19=1),'Assumptions - Freight'!AF$18*AF169," "),0)</f>
        <v>1262.1951219512182</v>
      </c>
      <c r="AG181" s="12">
        <f>IF(AG169&lt;&gt;0,IF(OR(AG$16=1,AG$19=1),'Assumptions - Freight'!AG$18*AG169," "),0)</f>
        <v>1207.3170731707303</v>
      </c>
      <c r="AH181" s="12">
        <f>IF(AH169&lt;&gt;0,IF(OR(AH$16=1,AH$19=1),'Assumptions - Freight'!AH$18*AH169," "),0)</f>
        <v>1152.4390243902426</v>
      </c>
    </row>
    <row r="182" spans="2:34" outlineLevel="1" x14ac:dyDescent="0.2">
      <c r="B182" s="8" t="str">
        <f>"Diesel traffic volume of " &amp;'Assumptions - Freight'!E119</f>
        <v>Diesel traffic volume of Commodity 4</v>
      </c>
      <c r="C182" s="8"/>
      <c r="D182" s="8" t="str">
        <f t="shared" si="43"/>
        <v>GTK (millions)</v>
      </c>
      <c r="E182" s="12">
        <f>IF(E170&lt;&gt;0,IF(OR(E$16=1,E$19=1),'Assumptions - Freight'!E$18*E170," "),0)</f>
        <v>2439.0243902439024</v>
      </c>
      <c r="F182" s="12">
        <f>IF(F170&lt;&gt;0,IF(OR(F$16=1,F$19=1),'Assumptions - Freight'!F$18*F170," "),0)</f>
        <v>2390.2439024390242</v>
      </c>
      <c r="G182" s="12">
        <f>IF(G170&lt;&gt;0,IF(OR(G$16=1,G$19=1),'Assumptions - Freight'!G$18*G170," "),0)</f>
        <v>2341.4634146341464</v>
      </c>
      <c r="H182" s="12">
        <f>IF(H170&lt;&gt;0,IF(OR(H$16=1,H$19=1),'Assumptions - Freight'!H$18*H170," "),0)</f>
        <v>2292.6829268292681</v>
      </c>
      <c r="I182" s="12">
        <f>IF(I170&lt;&gt;0,IF(OR(I$16=1,I$19=1),'Assumptions - Freight'!I$18*I170," "),0)</f>
        <v>2243.9024390243899</v>
      </c>
      <c r="J182" s="12">
        <f>IF(J170&lt;&gt;0,IF(OR(J$16=1,J$19=1),'Assumptions - Freight'!J$18*J170," "),0)</f>
        <v>2195.1219512195121</v>
      </c>
      <c r="K182" s="12">
        <f>IF(K170&lt;&gt;0,IF(OR(K$16=1,K$19=1),'Assumptions - Freight'!K$18*K170," "),0)</f>
        <v>2414.6341463414633</v>
      </c>
      <c r="L182" s="12">
        <f>IF(L170&lt;&gt;0,IF(OR(L$16=1,L$19=1),'Assumptions - Freight'!L$18*L170," "),0)</f>
        <v>2359.7560975609754</v>
      </c>
      <c r="M182" s="12">
        <f>IF(M170&lt;&gt;0,IF(OR(M$16=1,M$19=1),'Assumptions - Freight'!M$18*M170," "),0)</f>
        <v>2304.8780487804875</v>
      </c>
      <c r="N182" s="12">
        <f>IF(N170&lt;&gt;0,IF(OR(N$16=1,N$19=1),'Assumptions - Freight'!N$18*N170," "),0)</f>
        <v>2249.9999999999995</v>
      </c>
      <c r="O182" s="12">
        <f>IF(O170&lt;&gt;0,IF(OR(O$16=1,O$19=1),'Assumptions - Freight'!O$18*O170," "),0)</f>
        <v>2195.1219512195116</v>
      </c>
      <c r="P182" s="12">
        <f>IF(P170&lt;&gt;0,IF(OR(P$16=1,P$19=1),'Assumptions - Freight'!P$18*P170," "),0)</f>
        <v>2140.2439024390237</v>
      </c>
      <c r="Q182" s="12">
        <f>IF(Q170&lt;&gt;0,IF(OR(Q$16=1,Q$19=1),'Assumptions - Freight'!Q$18*Q170," "),0)</f>
        <v>2085.3658536585363</v>
      </c>
      <c r="R182" s="12">
        <f>IF(R170&lt;&gt;0,IF(OR(R$16=1,R$19=1),'Assumptions - Freight'!R$18*R170," "),0)</f>
        <v>2030.4878048780481</v>
      </c>
      <c r="S182" s="12">
        <f>IF(S170&lt;&gt;0,IF(OR(S$16=1,S$19=1),'Assumptions - Freight'!S$18*S170," "),0)</f>
        <v>1975.6097560975604</v>
      </c>
      <c r="T182" s="12">
        <f>IF(T170&lt;&gt;0,IF(OR(T$16=1,T$19=1),'Assumptions - Freight'!T$18*T170," "),0)</f>
        <v>1920.7317073170725</v>
      </c>
      <c r="U182" s="12">
        <f>IF(U170&lt;&gt;0,IF(OR(U$16=1,U$19=1),'Assumptions - Freight'!U$18*U170," "),0)</f>
        <v>1865.8536585365846</v>
      </c>
      <c r="V182" s="12">
        <f>IF(V170&lt;&gt;0,IF(OR(V$16=1,V$19=1),'Assumptions - Freight'!V$18*V170," "),0)</f>
        <v>1810.9756097560969</v>
      </c>
      <c r="W182" s="12">
        <f>IF(W170&lt;&gt;0,IF(OR(W$16=1,W$19=1),'Assumptions - Freight'!W$18*W170," "),0)</f>
        <v>1756.097560975609</v>
      </c>
      <c r="X182" s="12">
        <f>IF(X170&lt;&gt;0,IF(OR(X$16=1,X$19=1),'Assumptions - Freight'!X$18*X170," "),0)</f>
        <v>1701.2195121951211</v>
      </c>
      <c r="Y182" s="12">
        <f>IF(Y170&lt;&gt;0,IF(OR(Y$16=1,Y$19=1),'Assumptions - Freight'!Y$18*Y170," "),0)</f>
        <v>1646.3414634146332</v>
      </c>
      <c r="Z182" s="12">
        <f>IF(Z170&lt;&gt;0,IF(OR(Z$16=1,Z$19=1),'Assumptions - Freight'!Z$18*Z170," "),0)</f>
        <v>1591.4634146341455</v>
      </c>
      <c r="AA182" s="12">
        <f>IF(AA170&lt;&gt;0,IF(OR(AA$16=1,AA$19=1),'Assumptions - Freight'!AA$18*AA170," "),0)</f>
        <v>1536.5853658536575</v>
      </c>
      <c r="AB182" s="12">
        <f>IF(AB170&lt;&gt;0,IF(OR(AB$16=1,AB$19=1),'Assumptions - Freight'!AB$18*AB170," "),0)</f>
        <v>1481.7073170731696</v>
      </c>
      <c r="AC182" s="12">
        <f>IF(AC170&lt;&gt;0,IF(OR(AC$16=1,AC$19=1),'Assumptions - Freight'!AC$18*AC170," "),0)</f>
        <v>1426.8292682926817</v>
      </c>
      <c r="AD182" s="12">
        <f>IF(AD170&lt;&gt;0,IF(OR(AD$16=1,AD$19=1),'Assumptions - Freight'!AD$18*AD170," "),0)</f>
        <v>1371.951219512194</v>
      </c>
      <c r="AE182" s="12">
        <f>IF(AE170&lt;&gt;0,IF(OR(AE$16=1,AE$19=1),'Assumptions - Freight'!AE$18*AE170," "),0)</f>
        <v>1317.0731707317061</v>
      </c>
      <c r="AF182" s="12">
        <f>IF(AF170&lt;&gt;0,IF(OR(AF$16=1,AF$19=1),'Assumptions - Freight'!AF$18*AF170," "),0)</f>
        <v>1262.1951219512182</v>
      </c>
      <c r="AG182" s="12">
        <f>IF(AG170&lt;&gt;0,IF(OR(AG$16=1,AG$19=1),'Assumptions - Freight'!AG$18*AG170," "),0)</f>
        <v>1207.3170731707303</v>
      </c>
      <c r="AH182" s="12">
        <f>IF(AH170&lt;&gt;0,IF(OR(AH$16=1,AH$19=1),'Assumptions - Freight'!AH$18*AH170," "),0)</f>
        <v>1152.4390243902426</v>
      </c>
    </row>
    <row r="183" spans="2:34" outlineLevel="1" x14ac:dyDescent="0.2">
      <c r="B183" s="8" t="str">
        <f>"Diesel traffic volume of " &amp;'Assumptions - Freight'!E120</f>
        <v>Diesel traffic volume of Commodity 5</v>
      </c>
      <c r="C183" s="8"/>
      <c r="D183" s="8" t="str">
        <f t="shared" si="43"/>
        <v>GTK (millions)</v>
      </c>
      <c r="E183" s="12">
        <f>IF(E171&lt;&gt;0,IF(OR(E$16=1,E$19=1),'Assumptions - Freight'!E$18*E171," "),0)</f>
        <v>2439.0243902439024</v>
      </c>
      <c r="F183" s="12">
        <f>IF(F171&lt;&gt;0,IF(OR(F$16=1,F$19=1),'Assumptions - Freight'!F$18*F171," "),0)</f>
        <v>2390.2439024390242</v>
      </c>
      <c r="G183" s="12">
        <f>IF(G171&lt;&gt;0,IF(OR(G$16=1,G$19=1),'Assumptions - Freight'!G$18*G171," "),0)</f>
        <v>2341.4634146341464</v>
      </c>
      <c r="H183" s="12">
        <f>IF(H171&lt;&gt;0,IF(OR(H$16=1,H$19=1),'Assumptions - Freight'!H$18*H171," "),0)</f>
        <v>2292.6829268292681</v>
      </c>
      <c r="I183" s="12">
        <f>IF(I171&lt;&gt;0,IF(OR(I$16=1,I$19=1),'Assumptions - Freight'!I$18*I171," "),0)</f>
        <v>2243.9024390243899</v>
      </c>
      <c r="J183" s="12">
        <f>IF(J171&lt;&gt;0,IF(OR(J$16=1,J$19=1),'Assumptions - Freight'!J$18*J171," "),0)</f>
        <v>2195.1219512195121</v>
      </c>
      <c r="K183" s="12">
        <f>IF(K171&lt;&gt;0,IF(OR(K$16=1,K$19=1),'Assumptions - Freight'!K$18*K171," "),0)</f>
        <v>2414.6341463414633</v>
      </c>
      <c r="L183" s="12">
        <f>IF(L171&lt;&gt;0,IF(OR(L$16=1,L$19=1),'Assumptions - Freight'!L$18*L171," "),0)</f>
        <v>2359.7560975609754</v>
      </c>
      <c r="M183" s="12">
        <f>IF(M171&lt;&gt;0,IF(OR(M$16=1,M$19=1),'Assumptions - Freight'!M$18*M171," "),0)</f>
        <v>2304.8780487804875</v>
      </c>
      <c r="N183" s="12">
        <f>IF(N171&lt;&gt;0,IF(OR(N$16=1,N$19=1),'Assumptions - Freight'!N$18*N171," "),0)</f>
        <v>2249.9999999999995</v>
      </c>
      <c r="O183" s="12">
        <f>IF(O171&lt;&gt;0,IF(OR(O$16=1,O$19=1),'Assumptions - Freight'!O$18*O171," "),0)</f>
        <v>2195.1219512195116</v>
      </c>
      <c r="P183" s="12">
        <f>IF(P171&lt;&gt;0,IF(OR(P$16=1,P$19=1),'Assumptions - Freight'!P$18*P171," "),0)</f>
        <v>2140.2439024390237</v>
      </c>
      <c r="Q183" s="12">
        <f>IF(Q171&lt;&gt;0,IF(OR(Q$16=1,Q$19=1),'Assumptions - Freight'!Q$18*Q171," "),0)</f>
        <v>2085.3658536585363</v>
      </c>
      <c r="R183" s="12">
        <f>IF(R171&lt;&gt;0,IF(OR(R$16=1,R$19=1),'Assumptions - Freight'!R$18*R171," "),0)</f>
        <v>2030.4878048780481</v>
      </c>
      <c r="S183" s="12">
        <f>IF(S171&lt;&gt;0,IF(OR(S$16=1,S$19=1),'Assumptions - Freight'!S$18*S171," "),0)</f>
        <v>1975.6097560975604</v>
      </c>
      <c r="T183" s="12">
        <f>IF(T171&lt;&gt;0,IF(OR(T$16=1,T$19=1),'Assumptions - Freight'!T$18*T171," "),0)</f>
        <v>1920.7317073170725</v>
      </c>
      <c r="U183" s="12">
        <f>IF(U171&lt;&gt;0,IF(OR(U$16=1,U$19=1),'Assumptions - Freight'!U$18*U171," "),0)</f>
        <v>1865.8536585365846</v>
      </c>
      <c r="V183" s="12">
        <f>IF(V171&lt;&gt;0,IF(OR(V$16=1,V$19=1),'Assumptions - Freight'!V$18*V171," "),0)</f>
        <v>1810.9756097560969</v>
      </c>
      <c r="W183" s="12">
        <f>IF(W171&lt;&gt;0,IF(OR(W$16=1,W$19=1),'Assumptions - Freight'!W$18*W171," "),0)</f>
        <v>1756.097560975609</v>
      </c>
      <c r="X183" s="12">
        <f>IF(X171&lt;&gt;0,IF(OR(X$16=1,X$19=1),'Assumptions - Freight'!X$18*X171," "),0)</f>
        <v>1701.2195121951211</v>
      </c>
      <c r="Y183" s="12">
        <f>IF(Y171&lt;&gt;0,IF(OR(Y$16=1,Y$19=1),'Assumptions - Freight'!Y$18*Y171," "),0)</f>
        <v>1646.3414634146332</v>
      </c>
      <c r="Z183" s="12">
        <f>IF(Z171&lt;&gt;0,IF(OR(Z$16=1,Z$19=1),'Assumptions - Freight'!Z$18*Z171," "),0)</f>
        <v>1591.4634146341455</v>
      </c>
      <c r="AA183" s="12">
        <f>IF(AA171&lt;&gt;0,IF(OR(AA$16=1,AA$19=1),'Assumptions - Freight'!AA$18*AA171," "),0)</f>
        <v>1536.5853658536575</v>
      </c>
      <c r="AB183" s="12">
        <f>IF(AB171&lt;&gt;0,IF(OR(AB$16=1,AB$19=1),'Assumptions - Freight'!AB$18*AB171," "),0)</f>
        <v>1481.7073170731696</v>
      </c>
      <c r="AC183" s="12">
        <f>IF(AC171&lt;&gt;0,IF(OR(AC$16=1,AC$19=1),'Assumptions - Freight'!AC$18*AC171," "),0)</f>
        <v>1426.8292682926817</v>
      </c>
      <c r="AD183" s="12">
        <f>IF(AD171&lt;&gt;0,IF(OR(AD$16=1,AD$19=1),'Assumptions - Freight'!AD$18*AD171," "),0)</f>
        <v>1371.951219512194</v>
      </c>
      <c r="AE183" s="12">
        <f>IF(AE171&lt;&gt;0,IF(OR(AE$16=1,AE$19=1),'Assumptions - Freight'!AE$18*AE171," "),0)</f>
        <v>1317.0731707317061</v>
      </c>
      <c r="AF183" s="12">
        <f>IF(AF171&lt;&gt;0,IF(OR(AF$16=1,AF$19=1),'Assumptions - Freight'!AF$18*AF171," "),0)</f>
        <v>1262.1951219512182</v>
      </c>
      <c r="AG183" s="12">
        <f>IF(AG171&lt;&gt;0,IF(OR(AG$16=1,AG$19=1),'Assumptions - Freight'!AG$18*AG171," "),0)</f>
        <v>1207.3170731707303</v>
      </c>
      <c r="AH183" s="12">
        <f>IF(AH171&lt;&gt;0,IF(OR(AH$16=1,AH$19=1),'Assumptions - Freight'!AH$18*AH171," "),0)</f>
        <v>1152.4390243902426</v>
      </c>
    </row>
    <row r="184" spans="2:34" outlineLevel="1" x14ac:dyDescent="0.2">
      <c r="B184" s="8" t="str">
        <f>"Diesel traffic volume of " &amp;'Assumptions - Freight'!E121</f>
        <v>Diesel traffic volume of Commodity 6</v>
      </c>
      <c r="C184" s="8"/>
      <c r="D184" s="8" t="str">
        <f t="shared" si="43"/>
        <v>GTK (millions)</v>
      </c>
      <c r="E184" s="12">
        <f>IF(E172&lt;&gt;0,IF(OR(E$16=1,E$19=1),'Assumptions - Freight'!E$18*E172," "),0)</f>
        <v>2439.0243902439024</v>
      </c>
      <c r="F184" s="12">
        <f>IF(F172&lt;&gt;0,IF(OR(F$16=1,F$19=1),'Assumptions - Freight'!F$18*F172," "),0)</f>
        <v>2390.2439024390242</v>
      </c>
      <c r="G184" s="12">
        <f>IF(G172&lt;&gt;0,IF(OR(G$16=1,G$19=1),'Assumptions - Freight'!G$18*G172," "),0)</f>
        <v>2341.4634146341464</v>
      </c>
      <c r="H184" s="12">
        <f>IF(H172&lt;&gt;0,IF(OR(H$16=1,H$19=1),'Assumptions - Freight'!H$18*H172," "),0)</f>
        <v>2292.6829268292681</v>
      </c>
      <c r="I184" s="12">
        <f>IF(I172&lt;&gt;0,IF(OR(I$16=1,I$19=1),'Assumptions - Freight'!I$18*I172," "),0)</f>
        <v>2243.9024390243899</v>
      </c>
      <c r="J184" s="12">
        <f>IF(J172&lt;&gt;0,IF(OR(J$16=1,J$19=1),'Assumptions - Freight'!J$18*J172," "),0)</f>
        <v>2195.1219512195121</v>
      </c>
      <c r="K184" s="12">
        <f>IF(K172&lt;&gt;0,IF(OR(K$16=1,K$19=1),'Assumptions - Freight'!K$18*K172," "),0)</f>
        <v>2414.6341463414633</v>
      </c>
      <c r="L184" s="12">
        <f>IF(L172&lt;&gt;0,IF(OR(L$16=1,L$19=1),'Assumptions - Freight'!L$18*L172," "),0)</f>
        <v>2359.7560975609754</v>
      </c>
      <c r="M184" s="12">
        <f>IF(M172&lt;&gt;0,IF(OR(M$16=1,M$19=1),'Assumptions - Freight'!M$18*M172," "),0)</f>
        <v>2304.8780487804875</v>
      </c>
      <c r="N184" s="12">
        <f>IF(N172&lt;&gt;0,IF(OR(N$16=1,N$19=1),'Assumptions - Freight'!N$18*N172," "),0)</f>
        <v>2249.9999999999995</v>
      </c>
      <c r="O184" s="12">
        <f>IF(O172&lt;&gt;0,IF(OR(O$16=1,O$19=1),'Assumptions - Freight'!O$18*O172," "),0)</f>
        <v>2195.1219512195116</v>
      </c>
      <c r="P184" s="12">
        <f>IF(P172&lt;&gt;0,IF(OR(P$16=1,P$19=1),'Assumptions - Freight'!P$18*P172," "),0)</f>
        <v>2140.2439024390237</v>
      </c>
      <c r="Q184" s="12">
        <f>IF(Q172&lt;&gt;0,IF(OR(Q$16=1,Q$19=1),'Assumptions - Freight'!Q$18*Q172," "),0)</f>
        <v>2085.3658536585363</v>
      </c>
      <c r="R184" s="12">
        <f>IF(R172&lt;&gt;0,IF(OR(R$16=1,R$19=1),'Assumptions - Freight'!R$18*R172," "),0)</f>
        <v>2030.4878048780481</v>
      </c>
      <c r="S184" s="12">
        <f>IF(S172&lt;&gt;0,IF(OR(S$16=1,S$19=1),'Assumptions - Freight'!S$18*S172," "),0)</f>
        <v>1975.6097560975604</v>
      </c>
      <c r="T184" s="12">
        <f>IF(T172&lt;&gt;0,IF(OR(T$16=1,T$19=1),'Assumptions - Freight'!T$18*T172," "),0)</f>
        <v>1920.7317073170725</v>
      </c>
      <c r="U184" s="12">
        <f>IF(U172&lt;&gt;0,IF(OR(U$16=1,U$19=1),'Assumptions - Freight'!U$18*U172," "),0)</f>
        <v>1865.8536585365846</v>
      </c>
      <c r="V184" s="12">
        <f>IF(V172&lt;&gt;0,IF(OR(V$16=1,V$19=1),'Assumptions - Freight'!V$18*V172," "),0)</f>
        <v>1810.9756097560969</v>
      </c>
      <c r="W184" s="12">
        <f>IF(W172&lt;&gt;0,IF(OR(W$16=1,W$19=1),'Assumptions - Freight'!W$18*W172," "),0)</f>
        <v>1756.097560975609</v>
      </c>
      <c r="X184" s="12">
        <f>IF(X172&lt;&gt;0,IF(OR(X$16=1,X$19=1),'Assumptions - Freight'!X$18*X172," "),0)</f>
        <v>1701.2195121951211</v>
      </c>
      <c r="Y184" s="12">
        <f>IF(Y172&lt;&gt;0,IF(OR(Y$16=1,Y$19=1),'Assumptions - Freight'!Y$18*Y172," "),0)</f>
        <v>1646.3414634146332</v>
      </c>
      <c r="Z184" s="12">
        <f>IF(Z172&lt;&gt;0,IF(OR(Z$16=1,Z$19=1),'Assumptions - Freight'!Z$18*Z172," "),0)</f>
        <v>1591.4634146341455</v>
      </c>
      <c r="AA184" s="12">
        <f>IF(AA172&lt;&gt;0,IF(OR(AA$16=1,AA$19=1),'Assumptions - Freight'!AA$18*AA172," "),0)</f>
        <v>1536.5853658536575</v>
      </c>
      <c r="AB184" s="12">
        <f>IF(AB172&lt;&gt;0,IF(OR(AB$16=1,AB$19=1),'Assumptions - Freight'!AB$18*AB172," "),0)</f>
        <v>1481.7073170731696</v>
      </c>
      <c r="AC184" s="12">
        <f>IF(AC172&lt;&gt;0,IF(OR(AC$16=1,AC$19=1),'Assumptions - Freight'!AC$18*AC172," "),0)</f>
        <v>1426.8292682926817</v>
      </c>
      <c r="AD184" s="12">
        <f>IF(AD172&lt;&gt;0,IF(OR(AD$16=1,AD$19=1),'Assumptions - Freight'!AD$18*AD172," "),0)</f>
        <v>1371.951219512194</v>
      </c>
      <c r="AE184" s="12">
        <f>IF(AE172&lt;&gt;0,IF(OR(AE$16=1,AE$19=1),'Assumptions - Freight'!AE$18*AE172," "),0)</f>
        <v>1317.0731707317061</v>
      </c>
      <c r="AF184" s="12">
        <f>IF(AF172&lt;&gt;0,IF(OR(AF$16=1,AF$19=1),'Assumptions - Freight'!AF$18*AF172," "),0)</f>
        <v>1262.1951219512182</v>
      </c>
      <c r="AG184" s="12">
        <f>IF(AG172&lt;&gt;0,IF(OR(AG$16=1,AG$19=1),'Assumptions - Freight'!AG$18*AG172," "),0)</f>
        <v>1207.3170731707303</v>
      </c>
      <c r="AH184" s="12">
        <f>IF(AH172&lt;&gt;0,IF(OR(AH$16=1,AH$19=1),'Assumptions - Freight'!AH$18*AH172," "),0)</f>
        <v>1152.4390243902426</v>
      </c>
    </row>
    <row r="185" spans="2:34" outlineLevel="1" x14ac:dyDescent="0.2">
      <c r="B185" s="8" t="str">
        <f>"Diesel traffic volume of " &amp;'Assumptions - Freight'!E122</f>
        <v>Diesel traffic volume of Commodity 7</v>
      </c>
      <c r="C185" s="8"/>
      <c r="D185" s="8" t="str">
        <f t="shared" si="43"/>
        <v>GTK (millions)</v>
      </c>
      <c r="E185" s="12">
        <f>IF(E173&lt;&gt;0,IF(OR(E$16=1,E$19=1),'Assumptions - Freight'!E$18*E173," "),0)</f>
        <v>2439.0243902439024</v>
      </c>
      <c r="F185" s="12">
        <f>IF(F173&lt;&gt;0,IF(OR(F$16=1,F$19=1),'Assumptions - Freight'!F$18*F173," "),0)</f>
        <v>2390.2439024390242</v>
      </c>
      <c r="G185" s="12">
        <f>IF(G173&lt;&gt;0,IF(OR(G$16=1,G$19=1),'Assumptions - Freight'!G$18*G173," "),0)</f>
        <v>2341.4634146341464</v>
      </c>
      <c r="H185" s="12">
        <f>IF(H173&lt;&gt;0,IF(OR(H$16=1,H$19=1),'Assumptions - Freight'!H$18*H173," "),0)</f>
        <v>2292.6829268292681</v>
      </c>
      <c r="I185" s="12">
        <f>IF(I173&lt;&gt;0,IF(OR(I$16=1,I$19=1),'Assumptions - Freight'!I$18*I173," "),0)</f>
        <v>2243.9024390243899</v>
      </c>
      <c r="J185" s="12">
        <f>IF(J173&lt;&gt;0,IF(OR(J$16=1,J$19=1),'Assumptions - Freight'!J$18*J173," "),0)</f>
        <v>2195.1219512195121</v>
      </c>
      <c r="K185" s="12">
        <f>IF(K173&lt;&gt;0,IF(OR(K$16=1,K$19=1),'Assumptions - Freight'!K$18*K173," "),0)</f>
        <v>2414.6341463414633</v>
      </c>
      <c r="L185" s="12">
        <f>IF(L173&lt;&gt;0,IF(OR(L$16=1,L$19=1),'Assumptions - Freight'!L$18*L173," "),0)</f>
        <v>2359.7560975609754</v>
      </c>
      <c r="M185" s="12">
        <f>IF(M173&lt;&gt;0,IF(OR(M$16=1,M$19=1),'Assumptions - Freight'!M$18*M173," "),0)</f>
        <v>2304.8780487804875</v>
      </c>
      <c r="N185" s="12">
        <f>IF(N173&lt;&gt;0,IF(OR(N$16=1,N$19=1),'Assumptions - Freight'!N$18*N173," "),0)</f>
        <v>2249.9999999999995</v>
      </c>
      <c r="O185" s="12">
        <f>IF(O173&lt;&gt;0,IF(OR(O$16=1,O$19=1),'Assumptions - Freight'!O$18*O173," "),0)</f>
        <v>2195.1219512195116</v>
      </c>
      <c r="P185" s="12">
        <f>IF(P173&lt;&gt;0,IF(OR(P$16=1,P$19=1),'Assumptions - Freight'!P$18*P173," "),0)</f>
        <v>2140.2439024390237</v>
      </c>
      <c r="Q185" s="12">
        <f>IF(Q173&lt;&gt;0,IF(OR(Q$16=1,Q$19=1),'Assumptions - Freight'!Q$18*Q173," "),0)</f>
        <v>2085.3658536585363</v>
      </c>
      <c r="R185" s="12">
        <f>IF(R173&lt;&gt;0,IF(OR(R$16=1,R$19=1),'Assumptions - Freight'!R$18*R173," "),0)</f>
        <v>2030.4878048780481</v>
      </c>
      <c r="S185" s="12">
        <f>IF(S173&lt;&gt;0,IF(OR(S$16=1,S$19=1),'Assumptions - Freight'!S$18*S173," "),0)</f>
        <v>1975.6097560975604</v>
      </c>
      <c r="T185" s="12">
        <f>IF(T173&lt;&gt;0,IF(OR(T$16=1,T$19=1),'Assumptions - Freight'!T$18*T173," "),0)</f>
        <v>1920.7317073170725</v>
      </c>
      <c r="U185" s="12">
        <f>IF(U173&lt;&gt;0,IF(OR(U$16=1,U$19=1),'Assumptions - Freight'!U$18*U173," "),0)</f>
        <v>1865.8536585365846</v>
      </c>
      <c r="V185" s="12">
        <f>IF(V173&lt;&gt;0,IF(OR(V$16=1,V$19=1),'Assumptions - Freight'!V$18*V173," "),0)</f>
        <v>1810.9756097560969</v>
      </c>
      <c r="W185" s="12">
        <f>IF(W173&lt;&gt;0,IF(OR(W$16=1,W$19=1),'Assumptions - Freight'!W$18*W173," "),0)</f>
        <v>1756.097560975609</v>
      </c>
      <c r="X185" s="12">
        <f>IF(X173&lt;&gt;0,IF(OR(X$16=1,X$19=1),'Assumptions - Freight'!X$18*X173," "),0)</f>
        <v>1701.2195121951211</v>
      </c>
      <c r="Y185" s="12">
        <f>IF(Y173&lt;&gt;0,IF(OR(Y$16=1,Y$19=1),'Assumptions - Freight'!Y$18*Y173," "),0)</f>
        <v>1646.3414634146332</v>
      </c>
      <c r="Z185" s="12">
        <f>IF(Z173&lt;&gt;0,IF(OR(Z$16=1,Z$19=1),'Assumptions - Freight'!Z$18*Z173," "),0)</f>
        <v>1591.4634146341455</v>
      </c>
      <c r="AA185" s="12">
        <f>IF(AA173&lt;&gt;0,IF(OR(AA$16=1,AA$19=1),'Assumptions - Freight'!AA$18*AA173," "),0)</f>
        <v>1536.5853658536575</v>
      </c>
      <c r="AB185" s="12">
        <f>IF(AB173&lt;&gt;0,IF(OR(AB$16=1,AB$19=1),'Assumptions - Freight'!AB$18*AB173," "),0)</f>
        <v>1481.7073170731696</v>
      </c>
      <c r="AC185" s="12">
        <f>IF(AC173&lt;&gt;0,IF(OR(AC$16=1,AC$19=1),'Assumptions - Freight'!AC$18*AC173," "),0)</f>
        <v>1426.8292682926817</v>
      </c>
      <c r="AD185" s="12">
        <f>IF(AD173&lt;&gt;0,IF(OR(AD$16=1,AD$19=1),'Assumptions - Freight'!AD$18*AD173," "),0)</f>
        <v>1371.951219512194</v>
      </c>
      <c r="AE185" s="12">
        <f>IF(AE173&lt;&gt;0,IF(OR(AE$16=1,AE$19=1),'Assumptions - Freight'!AE$18*AE173," "),0)</f>
        <v>1317.0731707317061</v>
      </c>
      <c r="AF185" s="12">
        <f>IF(AF173&lt;&gt;0,IF(OR(AF$16=1,AF$19=1),'Assumptions - Freight'!AF$18*AF173," "),0)</f>
        <v>1262.1951219512182</v>
      </c>
      <c r="AG185" s="12">
        <f>IF(AG173&lt;&gt;0,IF(OR(AG$16=1,AG$19=1),'Assumptions - Freight'!AG$18*AG173," "),0)</f>
        <v>1207.3170731707303</v>
      </c>
      <c r="AH185" s="12">
        <f>IF(AH173&lt;&gt;0,IF(OR(AH$16=1,AH$19=1),'Assumptions - Freight'!AH$18*AH173," "),0)</f>
        <v>1152.4390243902426</v>
      </c>
    </row>
    <row r="186" spans="2:34" outlineLevel="1" x14ac:dyDescent="0.2">
      <c r="B186" s="8" t="str">
        <f>"Diesel traffic volume of " &amp;'Assumptions - Freight'!E123</f>
        <v>Diesel traffic volume of Commodity 8</v>
      </c>
      <c r="C186" s="8"/>
      <c r="D186" s="8" t="str">
        <f t="shared" si="43"/>
        <v>GTK (millions)</v>
      </c>
      <c r="E186" s="12">
        <f>IF(E174&lt;&gt;0,IF(OR(E$16=1,E$19=1),'Assumptions - Freight'!E$18*E174," "),0)</f>
        <v>2439.0243902439024</v>
      </c>
      <c r="F186" s="12">
        <f>IF(F174&lt;&gt;0,IF(OR(F$16=1,F$19=1),'Assumptions - Freight'!F$18*F174," "),0)</f>
        <v>2390.2439024390242</v>
      </c>
      <c r="G186" s="12">
        <f>IF(G174&lt;&gt;0,IF(OR(G$16=1,G$19=1),'Assumptions - Freight'!G$18*G174," "),0)</f>
        <v>2341.4634146341464</v>
      </c>
      <c r="H186" s="12">
        <f>IF(H174&lt;&gt;0,IF(OR(H$16=1,H$19=1),'Assumptions - Freight'!H$18*H174," "),0)</f>
        <v>2292.6829268292681</v>
      </c>
      <c r="I186" s="12">
        <f>IF(I174&lt;&gt;0,IF(OR(I$16=1,I$19=1),'Assumptions - Freight'!I$18*I174," "),0)</f>
        <v>2243.9024390243899</v>
      </c>
      <c r="J186" s="12">
        <f>IF(J174&lt;&gt;0,IF(OR(J$16=1,J$19=1),'Assumptions - Freight'!J$18*J174," "),0)</f>
        <v>2195.1219512195121</v>
      </c>
      <c r="K186" s="12">
        <f>IF(K174&lt;&gt;0,IF(OR(K$16=1,K$19=1),'Assumptions - Freight'!K$18*K174," "),0)</f>
        <v>2414.6341463414633</v>
      </c>
      <c r="L186" s="12">
        <f>IF(L174&lt;&gt;0,IF(OR(L$16=1,L$19=1),'Assumptions - Freight'!L$18*L174," "),0)</f>
        <v>2359.7560975609754</v>
      </c>
      <c r="M186" s="12">
        <f>IF(M174&lt;&gt;0,IF(OR(M$16=1,M$19=1),'Assumptions - Freight'!M$18*M174," "),0)</f>
        <v>2304.8780487804875</v>
      </c>
      <c r="N186" s="12">
        <f>IF(N174&lt;&gt;0,IF(OR(N$16=1,N$19=1),'Assumptions - Freight'!N$18*N174," "),0)</f>
        <v>2249.9999999999995</v>
      </c>
      <c r="O186" s="12">
        <f>IF(O174&lt;&gt;0,IF(OR(O$16=1,O$19=1),'Assumptions - Freight'!O$18*O174," "),0)</f>
        <v>2195.1219512195116</v>
      </c>
      <c r="P186" s="12">
        <f>IF(P174&lt;&gt;0,IF(OR(P$16=1,P$19=1),'Assumptions - Freight'!P$18*P174," "),0)</f>
        <v>2140.2439024390237</v>
      </c>
      <c r="Q186" s="12">
        <f>IF(Q174&lt;&gt;0,IF(OR(Q$16=1,Q$19=1),'Assumptions - Freight'!Q$18*Q174," "),0)</f>
        <v>2085.3658536585363</v>
      </c>
      <c r="R186" s="12">
        <f>IF(R174&lt;&gt;0,IF(OR(R$16=1,R$19=1),'Assumptions - Freight'!R$18*R174," "),0)</f>
        <v>2030.4878048780481</v>
      </c>
      <c r="S186" s="12">
        <f>IF(S174&lt;&gt;0,IF(OR(S$16=1,S$19=1),'Assumptions - Freight'!S$18*S174," "),0)</f>
        <v>1975.6097560975604</v>
      </c>
      <c r="T186" s="12">
        <f>IF(T174&lt;&gt;0,IF(OR(T$16=1,T$19=1),'Assumptions - Freight'!T$18*T174," "),0)</f>
        <v>1920.7317073170725</v>
      </c>
      <c r="U186" s="12">
        <f>IF(U174&lt;&gt;0,IF(OR(U$16=1,U$19=1),'Assumptions - Freight'!U$18*U174," "),0)</f>
        <v>1865.8536585365846</v>
      </c>
      <c r="V186" s="12">
        <f>IF(V174&lt;&gt;0,IF(OR(V$16=1,V$19=1),'Assumptions - Freight'!V$18*V174," "),0)</f>
        <v>1810.9756097560969</v>
      </c>
      <c r="W186" s="12">
        <f>IF(W174&lt;&gt;0,IF(OR(W$16=1,W$19=1),'Assumptions - Freight'!W$18*W174," "),0)</f>
        <v>1756.097560975609</v>
      </c>
      <c r="X186" s="12">
        <f>IF(X174&lt;&gt;0,IF(OR(X$16=1,X$19=1),'Assumptions - Freight'!X$18*X174," "),0)</f>
        <v>1701.2195121951211</v>
      </c>
      <c r="Y186" s="12">
        <f>IF(Y174&lt;&gt;0,IF(OR(Y$16=1,Y$19=1),'Assumptions - Freight'!Y$18*Y174," "),0)</f>
        <v>1646.3414634146332</v>
      </c>
      <c r="Z186" s="12">
        <f>IF(Z174&lt;&gt;0,IF(OR(Z$16=1,Z$19=1),'Assumptions - Freight'!Z$18*Z174," "),0)</f>
        <v>1591.4634146341455</v>
      </c>
      <c r="AA186" s="12">
        <f>IF(AA174&lt;&gt;0,IF(OR(AA$16=1,AA$19=1),'Assumptions - Freight'!AA$18*AA174," "),0)</f>
        <v>1536.5853658536575</v>
      </c>
      <c r="AB186" s="12">
        <f>IF(AB174&lt;&gt;0,IF(OR(AB$16=1,AB$19=1),'Assumptions - Freight'!AB$18*AB174," "),0)</f>
        <v>1481.7073170731696</v>
      </c>
      <c r="AC186" s="12">
        <f>IF(AC174&lt;&gt;0,IF(OR(AC$16=1,AC$19=1),'Assumptions - Freight'!AC$18*AC174," "),0)</f>
        <v>1426.8292682926817</v>
      </c>
      <c r="AD186" s="12">
        <f>IF(AD174&lt;&gt;0,IF(OR(AD$16=1,AD$19=1),'Assumptions - Freight'!AD$18*AD174," "),0)</f>
        <v>1371.951219512194</v>
      </c>
      <c r="AE186" s="12">
        <f>IF(AE174&lt;&gt;0,IF(OR(AE$16=1,AE$19=1),'Assumptions - Freight'!AE$18*AE174," "),0)</f>
        <v>1317.0731707317061</v>
      </c>
      <c r="AF186" s="12">
        <f>IF(AF174&lt;&gt;0,IF(OR(AF$16=1,AF$19=1),'Assumptions - Freight'!AF$18*AF174," "),0)</f>
        <v>1262.1951219512182</v>
      </c>
      <c r="AG186" s="12">
        <f>IF(AG174&lt;&gt;0,IF(OR(AG$16=1,AG$19=1),'Assumptions - Freight'!AG$18*AG174," "),0)</f>
        <v>1207.3170731707303</v>
      </c>
      <c r="AH186" s="12">
        <f>IF(AH174&lt;&gt;0,IF(OR(AH$16=1,AH$19=1),'Assumptions - Freight'!AH$18*AH174," "),0)</f>
        <v>1152.4390243902426</v>
      </c>
    </row>
    <row r="187" spans="2:34" outlineLevel="1" x14ac:dyDescent="0.2">
      <c r="B187" s="8" t="str">
        <f>"Diesel traffic volume of " &amp;'Assumptions - Freight'!E124</f>
        <v>Diesel traffic volume of Commodity 9</v>
      </c>
      <c r="C187" s="8"/>
      <c r="D187" s="8" t="str">
        <f t="shared" si="43"/>
        <v>GTK (millions)</v>
      </c>
      <c r="E187" s="12">
        <f>IF(E175&lt;&gt;0,IF(OR(E$16=1,E$19=1),'Assumptions - Freight'!E$18*E175," "),0)</f>
        <v>2439.0243902439024</v>
      </c>
      <c r="F187" s="12">
        <f>IF(F175&lt;&gt;0,IF(OR(F$16=1,F$19=1),'Assumptions - Freight'!F$18*F175," "),0)</f>
        <v>2390.2439024390242</v>
      </c>
      <c r="G187" s="12">
        <f>IF(G175&lt;&gt;0,IF(OR(G$16=1,G$19=1),'Assumptions - Freight'!G$18*G175," "),0)</f>
        <v>2341.4634146341464</v>
      </c>
      <c r="H187" s="12">
        <f>IF(H175&lt;&gt;0,IF(OR(H$16=1,H$19=1),'Assumptions - Freight'!H$18*H175," "),0)</f>
        <v>2292.6829268292681</v>
      </c>
      <c r="I187" s="12">
        <f>IF(I175&lt;&gt;0,IF(OR(I$16=1,I$19=1),'Assumptions - Freight'!I$18*I175," "),0)</f>
        <v>2243.9024390243899</v>
      </c>
      <c r="J187" s="12">
        <f>IF(J175&lt;&gt;0,IF(OR(J$16=1,J$19=1),'Assumptions - Freight'!J$18*J175," "),0)</f>
        <v>2195.1219512195121</v>
      </c>
      <c r="K187" s="12">
        <f>IF(K175&lt;&gt;0,IF(OR(K$16=1,K$19=1),'Assumptions - Freight'!K$18*K175," "),0)</f>
        <v>2414.6341463414633</v>
      </c>
      <c r="L187" s="12">
        <f>IF(L175&lt;&gt;0,IF(OR(L$16=1,L$19=1),'Assumptions - Freight'!L$18*L175," "),0)</f>
        <v>2359.7560975609754</v>
      </c>
      <c r="M187" s="12">
        <f>IF(M175&lt;&gt;0,IF(OR(M$16=1,M$19=1),'Assumptions - Freight'!M$18*M175," "),0)</f>
        <v>2304.8780487804875</v>
      </c>
      <c r="N187" s="12">
        <f>IF(N175&lt;&gt;0,IF(OR(N$16=1,N$19=1),'Assumptions - Freight'!N$18*N175," "),0)</f>
        <v>2249.9999999999995</v>
      </c>
      <c r="O187" s="12">
        <f>IF(O175&lt;&gt;0,IF(OR(O$16=1,O$19=1),'Assumptions - Freight'!O$18*O175," "),0)</f>
        <v>2195.1219512195116</v>
      </c>
      <c r="P187" s="12">
        <f>IF(P175&lt;&gt;0,IF(OR(P$16=1,P$19=1),'Assumptions - Freight'!P$18*P175," "),0)</f>
        <v>2140.2439024390237</v>
      </c>
      <c r="Q187" s="12">
        <f>IF(Q175&lt;&gt;0,IF(OR(Q$16=1,Q$19=1),'Assumptions - Freight'!Q$18*Q175," "),0)</f>
        <v>2085.3658536585363</v>
      </c>
      <c r="R187" s="12">
        <f>IF(R175&lt;&gt;0,IF(OR(R$16=1,R$19=1),'Assumptions - Freight'!R$18*R175," "),0)</f>
        <v>2030.4878048780481</v>
      </c>
      <c r="S187" s="12">
        <f>IF(S175&lt;&gt;0,IF(OR(S$16=1,S$19=1),'Assumptions - Freight'!S$18*S175," "),0)</f>
        <v>1975.6097560975604</v>
      </c>
      <c r="T187" s="12">
        <f>IF(T175&lt;&gt;0,IF(OR(T$16=1,T$19=1),'Assumptions - Freight'!T$18*T175," "),0)</f>
        <v>1920.7317073170725</v>
      </c>
      <c r="U187" s="12">
        <f>IF(U175&lt;&gt;0,IF(OR(U$16=1,U$19=1),'Assumptions - Freight'!U$18*U175," "),0)</f>
        <v>1865.8536585365846</v>
      </c>
      <c r="V187" s="12">
        <f>IF(V175&lt;&gt;0,IF(OR(V$16=1,V$19=1),'Assumptions - Freight'!V$18*V175," "),0)</f>
        <v>1810.9756097560969</v>
      </c>
      <c r="W187" s="12">
        <f>IF(W175&lt;&gt;0,IF(OR(W$16=1,W$19=1),'Assumptions - Freight'!W$18*W175," "),0)</f>
        <v>1756.097560975609</v>
      </c>
      <c r="X187" s="12">
        <f>IF(X175&lt;&gt;0,IF(OR(X$16=1,X$19=1),'Assumptions - Freight'!X$18*X175," "),0)</f>
        <v>1701.2195121951211</v>
      </c>
      <c r="Y187" s="12">
        <f>IF(Y175&lt;&gt;0,IF(OR(Y$16=1,Y$19=1),'Assumptions - Freight'!Y$18*Y175," "),0)</f>
        <v>1646.3414634146332</v>
      </c>
      <c r="Z187" s="12">
        <f>IF(Z175&lt;&gt;0,IF(OR(Z$16=1,Z$19=1),'Assumptions - Freight'!Z$18*Z175," "),0)</f>
        <v>1591.4634146341455</v>
      </c>
      <c r="AA187" s="12">
        <f>IF(AA175&lt;&gt;0,IF(OR(AA$16=1,AA$19=1),'Assumptions - Freight'!AA$18*AA175," "),0)</f>
        <v>1536.5853658536575</v>
      </c>
      <c r="AB187" s="12">
        <f>IF(AB175&lt;&gt;0,IF(OR(AB$16=1,AB$19=1),'Assumptions - Freight'!AB$18*AB175," "),0)</f>
        <v>1481.7073170731696</v>
      </c>
      <c r="AC187" s="12">
        <f>IF(AC175&lt;&gt;0,IF(OR(AC$16=1,AC$19=1),'Assumptions - Freight'!AC$18*AC175," "),0)</f>
        <v>1426.8292682926817</v>
      </c>
      <c r="AD187" s="12">
        <f>IF(AD175&lt;&gt;0,IF(OR(AD$16=1,AD$19=1),'Assumptions - Freight'!AD$18*AD175," "),0)</f>
        <v>1371.951219512194</v>
      </c>
      <c r="AE187" s="12">
        <f>IF(AE175&lt;&gt;0,IF(OR(AE$16=1,AE$19=1),'Assumptions - Freight'!AE$18*AE175," "),0)</f>
        <v>1317.0731707317061</v>
      </c>
      <c r="AF187" s="12">
        <f>IF(AF175&lt;&gt;0,IF(OR(AF$16=1,AF$19=1),'Assumptions - Freight'!AF$18*AF175," "),0)</f>
        <v>1262.1951219512182</v>
      </c>
      <c r="AG187" s="12">
        <f>IF(AG175&lt;&gt;0,IF(OR(AG$16=1,AG$19=1),'Assumptions - Freight'!AG$18*AG175," "),0)</f>
        <v>1207.3170731707303</v>
      </c>
      <c r="AH187" s="12">
        <f>IF(AH175&lt;&gt;0,IF(OR(AH$16=1,AH$19=1),'Assumptions - Freight'!AH$18*AH175," "),0)</f>
        <v>1152.4390243902426</v>
      </c>
    </row>
    <row r="188" spans="2:34" outlineLevel="1" x14ac:dyDescent="0.2">
      <c r="B188" s="8" t="str">
        <f>"Diesel traffic volume of " &amp;'Assumptions - Freight'!E125</f>
        <v>Diesel traffic volume of Commodity 10</v>
      </c>
      <c r="C188" s="8"/>
      <c r="D188" s="8" t="str">
        <f t="shared" si="43"/>
        <v>GTK (millions)</v>
      </c>
      <c r="E188" s="12">
        <f>IF(E176&lt;&gt;0,IF(OR(E$16=1,E$19=1),'Assumptions - Freight'!E$18*E176," "),0)</f>
        <v>2439.0243902439024</v>
      </c>
      <c r="F188" s="12">
        <f>IF(F176&lt;&gt;0,IF(OR(F$16=1,F$19=1),'Assumptions - Freight'!F$18*F176," "),0)</f>
        <v>2390.2439024390242</v>
      </c>
      <c r="G188" s="12">
        <f>IF(G176&lt;&gt;0,IF(OR(G$16=1,G$19=1),'Assumptions - Freight'!G$18*G176," "),0)</f>
        <v>2341.4634146341464</v>
      </c>
      <c r="H188" s="12">
        <f>IF(H176&lt;&gt;0,IF(OR(H$16=1,H$19=1),'Assumptions - Freight'!H$18*H176," "),0)</f>
        <v>2292.6829268292681</v>
      </c>
      <c r="I188" s="12">
        <f>IF(I176&lt;&gt;0,IF(OR(I$16=1,I$19=1),'Assumptions - Freight'!I$18*I176," "),0)</f>
        <v>2243.9024390243899</v>
      </c>
      <c r="J188" s="12">
        <f>IF(J176&lt;&gt;0,IF(OR(J$16=1,J$19=1),'Assumptions - Freight'!J$18*J176," "),0)</f>
        <v>2195.1219512195121</v>
      </c>
      <c r="K188" s="12">
        <f>IF(K176&lt;&gt;0,IF(OR(K$16=1,K$19=1),'Assumptions - Freight'!K$18*K176," "),0)</f>
        <v>2414.6341463414633</v>
      </c>
      <c r="L188" s="12">
        <f>IF(L176&lt;&gt;0,IF(OR(L$16=1,L$19=1),'Assumptions - Freight'!L$18*L176," "),0)</f>
        <v>2359.7560975609754</v>
      </c>
      <c r="M188" s="12">
        <f>IF(M176&lt;&gt;0,IF(OR(M$16=1,M$19=1),'Assumptions - Freight'!M$18*M176," "),0)</f>
        <v>2304.8780487804875</v>
      </c>
      <c r="N188" s="12">
        <f>IF(N176&lt;&gt;0,IF(OR(N$16=1,N$19=1),'Assumptions - Freight'!N$18*N176," "),0)</f>
        <v>2249.9999999999995</v>
      </c>
      <c r="O188" s="12">
        <f>IF(O176&lt;&gt;0,IF(OR(O$16=1,O$19=1),'Assumptions - Freight'!O$18*O176," "),0)</f>
        <v>2195.1219512195116</v>
      </c>
      <c r="P188" s="12">
        <f>IF(P176&lt;&gt;0,IF(OR(P$16=1,P$19=1),'Assumptions - Freight'!P$18*P176," "),0)</f>
        <v>2140.2439024390237</v>
      </c>
      <c r="Q188" s="12">
        <f>IF(Q176&lt;&gt;0,IF(OR(Q$16=1,Q$19=1),'Assumptions - Freight'!Q$18*Q176," "),0)</f>
        <v>2085.3658536585363</v>
      </c>
      <c r="R188" s="12">
        <f>IF(R176&lt;&gt;0,IF(OR(R$16=1,R$19=1),'Assumptions - Freight'!R$18*R176," "),0)</f>
        <v>2030.4878048780481</v>
      </c>
      <c r="S188" s="12">
        <f>IF(S176&lt;&gt;0,IF(OR(S$16=1,S$19=1),'Assumptions - Freight'!S$18*S176," "),0)</f>
        <v>1975.6097560975604</v>
      </c>
      <c r="T188" s="12">
        <f>IF(T176&lt;&gt;0,IF(OR(T$16=1,T$19=1),'Assumptions - Freight'!T$18*T176," "),0)</f>
        <v>1920.7317073170725</v>
      </c>
      <c r="U188" s="12">
        <f>IF(U176&lt;&gt;0,IF(OR(U$16=1,U$19=1),'Assumptions - Freight'!U$18*U176," "),0)</f>
        <v>1865.8536585365846</v>
      </c>
      <c r="V188" s="12">
        <f>IF(V176&lt;&gt;0,IF(OR(V$16=1,V$19=1),'Assumptions - Freight'!V$18*V176," "),0)</f>
        <v>1810.9756097560969</v>
      </c>
      <c r="W188" s="12">
        <f>IF(W176&lt;&gt;0,IF(OR(W$16=1,W$19=1),'Assumptions - Freight'!W$18*W176," "),0)</f>
        <v>1756.097560975609</v>
      </c>
      <c r="X188" s="12">
        <f>IF(X176&lt;&gt;0,IF(OR(X$16=1,X$19=1),'Assumptions - Freight'!X$18*X176," "),0)</f>
        <v>1701.2195121951211</v>
      </c>
      <c r="Y188" s="12">
        <f>IF(Y176&lt;&gt;0,IF(OR(Y$16=1,Y$19=1),'Assumptions - Freight'!Y$18*Y176," "),0)</f>
        <v>1646.3414634146332</v>
      </c>
      <c r="Z188" s="12">
        <f>IF(Z176&lt;&gt;0,IF(OR(Z$16=1,Z$19=1),'Assumptions - Freight'!Z$18*Z176," "),0)</f>
        <v>1591.4634146341455</v>
      </c>
      <c r="AA188" s="12">
        <f>IF(AA176&lt;&gt;0,IF(OR(AA$16=1,AA$19=1),'Assumptions - Freight'!AA$18*AA176," "),0)</f>
        <v>1536.5853658536575</v>
      </c>
      <c r="AB188" s="12">
        <f>IF(AB176&lt;&gt;0,IF(OR(AB$16=1,AB$19=1),'Assumptions - Freight'!AB$18*AB176," "),0)</f>
        <v>1481.7073170731696</v>
      </c>
      <c r="AC188" s="12">
        <f>IF(AC176&lt;&gt;0,IF(OR(AC$16=1,AC$19=1),'Assumptions - Freight'!AC$18*AC176," "),0)</f>
        <v>1426.8292682926817</v>
      </c>
      <c r="AD188" s="12">
        <f>IF(AD176&lt;&gt;0,IF(OR(AD$16=1,AD$19=1),'Assumptions - Freight'!AD$18*AD176," "),0)</f>
        <v>1371.951219512194</v>
      </c>
      <c r="AE188" s="12">
        <f>IF(AE176&lt;&gt;0,IF(OR(AE$16=1,AE$19=1),'Assumptions - Freight'!AE$18*AE176," "),0)</f>
        <v>1317.0731707317061</v>
      </c>
      <c r="AF188" s="12">
        <f>IF(AF176&lt;&gt;0,IF(OR(AF$16=1,AF$19=1),'Assumptions - Freight'!AF$18*AF176," "),0)</f>
        <v>1262.1951219512182</v>
      </c>
      <c r="AG188" s="12">
        <f>IF(AG176&lt;&gt;0,IF(OR(AG$16=1,AG$19=1),'Assumptions - Freight'!AG$18*AG176," "),0)</f>
        <v>1207.3170731707303</v>
      </c>
      <c r="AH188" s="12">
        <f>IF(AH176&lt;&gt;0,IF(OR(AH$16=1,AH$19=1),'Assumptions - Freight'!AH$18*AH176," "),0)</f>
        <v>1152.4390243902426</v>
      </c>
    </row>
    <row r="189" spans="2:34" outlineLevel="1" x14ac:dyDescent="0.2">
      <c r="B189" s="30" t="s">
        <v>460</v>
      </c>
      <c r="C189" s="8"/>
      <c r="D189" s="8" t="str">
        <f>D188</f>
        <v>GTK (millions)</v>
      </c>
      <c r="E189" s="12">
        <f t="shared" ref="E189:AH189" si="44">IF(OR(E$16=1,E$19=1),SUM(E179:E188)," ")</f>
        <v>25000.000000000004</v>
      </c>
      <c r="F189" s="12">
        <f t="shared" si="44"/>
        <v>23902.439024390245</v>
      </c>
      <c r="G189" s="12">
        <f t="shared" si="44"/>
        <v>23414.634146341461</v>
      </c>
      <c r="H189" s="12">
        <f t="shared" si="44"/>
        <v>22926.82926829268</v>
      </c>
      <c r="I189" s="12">
        <f t="shared" si="44"/>
        <v>22439.0243902439</v>
      </c>
      <c r="J189" s="12">
        <f t="shared" si="44"/>
        <v>21951.219512195126</v>
      </c>
      <c r="K189" s="12">
        <f t="shared" si="44"/>
        <v>24146.341463414636</v>
      </c>
      <c r="L189" s="12">
        <f t="shared" si="44"/>
        <v>23597.560975609751</v>
      </c>
      <c r="M189" s="12">
        <f t="shared" si="44"/>
        <v>23048.780487804874</v>
      </c>
      <c r="N189" s="12">
        <f t="shared" si="44"/>
        <v>22499.999999999996</v>
      </c>
      <c r="O189" s="12">
        <f t="shared" si="44"/>
        <v>21951.219512195119</v>
      </c>
      <c r="P189" s="12">
        <f t="shared" si="44"/>
        <v>21402.439024390234</v>
      </c>
      <c r="Q189" s="12">
        <f t="shared" si="44"/>
        <v>20853.658536585357</v>
      </c>
      <c r="R189" s="12">
        <f t="shared" si="44"/>
        <v>20304.87804878048</v>
      </c>
      <c r="S189" s="12">
        <f t="shared" si="44"/>
        <v>19756.09756097561</v>
      </c>
      <c r="T189" s="12">
        <f t="shared" si="44"/>
        <v>19207.317073170721</v>
      </c>
      <c r="U189" s="12">
        <f t="shared" si="44"/>
        <v>18658.53658536584</v>
      </c>
      <c r="V189" s="12">
        <f t="shared" si="44"/>
        <v>18109.75609756097</v>
      </c>
      <c r="W189" s="12">
        <f t="shared" si="44"/>
        <v>17560.975609756093</v>
      </c>
      <c r="X189" s="12">
        <f t="shared" si="44"/>
        <v>17012.195121951212</v>
      </c>
      <c r="Y189" s="12">
        <f t="shared" si="44"/>
        <v>16463.414634146335</v>
      </c>
      <c r="Z189" s="12">
        <f t="shared" si="44"/>
        <v>15914.634146341452</v>
      </c>
      <c r="AA189" s="12">
        <f t="shared" si="44"/>
        <v>15365.853658536578</v>
      </c>
      <c r="AB189" s="12">
        <f t="shared" si="44"/>
        <v>14817.073170731694</v>
      </c>
      <c r="AC189" s="12">
        <f t="shared" si="44"/>
        <v>14268.29268292682</v>
      </c>
      <c r="AD189" s="12">
        <f t="shared" si="44"/>
        <v>13719.512195121937</v>
      </c>
      <c r="AE189" s="12">
        <f t="shared" si="44"/>
        <v>13170.731707317062</v>
      </c>
      <c r="AF189" s="12">
        <f t="shared" si="44"/>
        <v>12621.951219512181</v>
      </c>
      <c r="AG189" s="12">
        <f t="shared" si="44"/>
        <v>12073.170731707303</v>
      </c>
      <c r="AH189" s="12">
        <f t="shared" si="44"/>
        <v>11524.390243902424</v>
      </c>
    </row>
    <row r="190" spans="2:34" outlineLevel="1" x14ac:dyDescent="0.2">
      <c r="B190" s="14"/>
      <c r="C190" s="8"/>
      <c r="D190" s="8"/>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row>
    <row r="191" spans="2:34" outlineLevel="1" x14ac:dyDescent="0.2">
      <c r="B191" s="8" t="str">
        <f>"Electric traffic volume of " &amp;'Assumptions - Freight'!E116</f>
        <v>Electric traffic volume of Commodity 1</v>
      </c>
      <c r="C191" s="8"/>
      <c r="D191" s="8" t="s">
        <v>286</v>
      </c>
      <c r="E191" s="12">
        <f t="shared" ref="E191:AH191" si="45">IF(E167&lt;&gt;0,IF(OR(E$16=1,E$19=1),E167-E179," "),0)</f>
        <v>2439.0243902439024</v>
      </c>
      <c r="F191" s="12">
        <f t="shared" si="45"/>
        <v>2487.8048780487807</v>
      </c>
      <c r="G191" s="12">
        <f t="shared" si="45"/>
        <v>2536.5853658536585</v>
      </c>
      <c r="H191" s="12">
        <f t="shared" si="45"/>
        <v>2585.3658536585367</v>
      </c>
      <c r="I191" s="12">
        <f t="shared" si="45"/>
        <v>2634.146341463415</v>
      </c>
      <c r="J191" s="12">
        <f t="shared" si="45"/>
        <v>2682.9268292682927</v>
      </c>
      <c r="K191" s="12">
        <f t="shared" si="45"/>
        <v>3073.1707317073174</v>
      </c>
      <c r="L191" s="12">
        <f t="shared" si="45"/>
        <v>3128.0487804878053</v>
      </c>
      <c r="M191" s="12">
        <f t="shared" si="45"/>
        <v>3182.9268292682932</v>
      </c>
      <c r="N191" s="12">
        <f t="shared" si="45"/>
        <v>3237.8048780487811</v>
      </c>
      <c r="O191" s="12">
        <f t="shared" si="45"/>
        <v>3292.682926829269</v>
      </c>
      <c r="P191" s="12">
        <f t="shared" si="45"/>
        <v>3347.560975609757</v>
      </c>
      <c r="Q191" s="12">
        <f t="shared" si="45"/>
        <v>3402.4390243902444</v>
      </c>
      <c r="R191" s="12">
        <f t="shared" si="45"/>
        <v>3457.3170731707323</v>
      </c>
      <c r="S191" s="12">
        <f t="shared" si="45"/>
        <v>3512.1951219512202</v>
      </c>
      <c r="T191" s="12">
        <f t="shared" si="45"/>
        <v>3567.0731707317082</v>
      </c>
      <c r="U191" s="12">
        <f t="shared" si="45"/>
        <v>3621.9512195121961</v>
      </c>
      <c r="V191" s="12">
        <f t="shared" si="45"/>
        <v>3676.829268292684</v>
      </c>
      <c r="W191" s="12">
        <f t="shared" si="45"/>
        <v>3731.7073170731719</v>
      </c>
      <c r="X191" s="12">
        <f t="shared" si="45"/>
        <v>3786.5853658536598</v>
      </c>
      <c r="Y191" s="12">
        <f t="shared" si="45"/>
        <v>3841.4634146341477</v>
      </c>
      <c r="Z191" s="12">
        <f t="shared" si="45"/>
        <v>3896.3414634146352</v>
      </c>
      <c r="AA191" s="12">
        <f t="shared" si="45"/>
        <v>3951.2195121951231</v>
      </c>
      <c r="AB191" s="12">
        <f t="shared" si="45"/>
        <v>4006.097560975611</v>
      </c>
      <c r="AC191" s="12">
        <f t="shared" si="45"/>
        <v>4060.9756097560989</v>
      </c>
      <c r="AD191" s="12">
        <f t="shared" si="45"/>
        <v>4115.8536585365864</v>
      </c>
      <c r="AE191" s="12">
        <f t="shared" si="45"/>
        <v>4170.7317073170743</v>
      </c>
      <c r="AF191" s="12">
        <f t="shared" si="45"/>
        <v>4225.6097560975622</v>
      </c>
      <c r="AG191" s="12">
        <f t="shared" si="45"/>
        <v>4280.4878048780502</v>
      </c>
      <c r="AH191" s="12">
        <f t="shared" si="45"/>
        <v>4335.3658536585381</v>
      </c>
    </row>
    <row r="192" spans="2:34" outlineLevel="1" x14ac:dyDescent="0.2">
      <c r="B192" s="8" t="str">
        <f>"Electric traffic volume of " &amp;'Assumptions - Freight'!E117</f>
        <v>Electric traffic volume of Commodity 2</v>
      </c>
      <c r="C192" s="8"/>
      <c r="D192" s="8" t="str">
        <f t="shared" ref="D192:D200" si="46">D191</f>
        <v>GTK (millions)</v>
      </c>
      <c r="E192" s="12">
        <f t="shared" ref="E192:AH192" si="47">IF(E168&lt;&gt;0,IF(OR(E$16=1,E$19=1),E168-E180," "),0)</f>
        <v>2439.0243902439024</v>
      </c>
      <c r="F192" s="12">
        <f t="shared" si="47"/>
        <v>2487.8048780487807</v>
      </c>
      <c r="G192" s="12">
        <f t="shared" si="47"/>
        <v>2536.5853658536585</v>
      </c>
      <c r="H192" s="12">
        <f t="shared" si="47"/>
        <v>2585.3658536585367</v>
      </c>
      <c r="I192" s="12">
        <f t="shared" si="47"/>
        <v>2634.146341463415</v>
      </c>
      <c r="J192" s="12">
        <f t="shared" si="47"/>
        <v>2682.9268292682927</v>
      </c>
      <c r="K192" s="12">
        <f t="shared" si="47"/>
        <v>3073.1707317073174</v>
      </c>
      <c r="L192" s="12">
        <f t="shared" si="47"/>
        <v>3128.0487804878053</v>
      </c>
      <c r="M192" s="12">
        <f t="shared" si="47"/>
        <v>3182.9268292682932</v>
      </c>
      <c r="N192" s="12">
        <f t="shared" si="47"/>
        <v>3237.8048780487811</v>
      </c>
      <c r="O192" s="12">
        <f t="shared" si="47"/>
        <v>3292.682926829269</v>
      </c>
      <c r="P192" s="12">
        <f t="shared" si="47"/>
        <v>3347.560975609757</v>
      </c>
      <c r="Q192" s="12">
        <f t="shared" si="47"/>
        <v>3402.4390243902444</v>
      </c>
      <c r="R192" s="12">
        <f t="shared" si="47"/>
        <v>3457.3170731707323</v>
      </c>
      <c r="S192" s="12">
        <f t="shared" si="47"/>
        <v>3512.1951219512202</v>
      </c>
      <c r="T192" s="12">
        <f t="shared" si="47"/>
        <v>3567.0731707317082</v>
      </c>
      <c r="U192" s="12">
        <f t="shared" si="47"/>
        <v>3621.9512195121961</v>
      </c>
      <c r="V192" s="12">
        <f t="shared" si="47"/>
        <v>3676.829268292684</v>
      </c>
      <c r="W192" s="12">
        <f t="shared" si="47"/>
        <v>3731.7073170731719</v>
      </c>
      <c r="X192" s="12">
        <f t="shared" si="47"/>
        <v>3786.5853658536598</v>
      </c>
      <c r="Y192" s="12">
        <f t="shared" si="47"/>
        <v>3841.4634146341477</v>
      </c>
      <c r="Z192" s="12">
        <f t="shared" si="47"/>
        <v>3896.3414634146352</v>
      </c>
      <c r="AA192" s="12">
        <f t="shared" si="47"/>
        <v>3951.2195121951231</v>
      </c>
      <c r="AB192" s="12">
        <f t="shared" si="47"/>
        <v>4006.097560975611</v>
      </c>
      <c r="AC192" s="12">
        <f t="shared" si="47"/>
        <v>4060.9756097560989</v>
      </c>
      <c r="AD192" s="12">
        <f t="shared" si="47"/>
        <v>4115.8536585365864</v>
      </c>
      <c r="AE192" s="12">
        <f t="shared" si="47"/>
        <v>4170.7317073170743</v>
      </c>
      <c r="AF192" s="12">
        <f t="shared" si="47"/>
        <v>4225.6097560975622</v>
      </c>
      <c r="AG192" s="12">
        <f t="shared" si="47"/>
        <v>4280.4878048780502</v>
      </c>
      <c r="AH192" s="12">
        <f t="shared" si="47"/>
        <v>4335.3658536585381</v>
      </c>
    </row>
    <row r="193" spans="1:34" outlineLevel="1" x14ac:dyDescent="0.2">
      <c r="B193" s="8" t="str">
        <f>"Electric traffic volume of " &amp;'Assumptions - Freight'!E118</f>
        <v>Electric traffic volume of Commodity 3</v>
      </c>
      <c r="C193" s="8"/>
      <c r="D193" s="8" t="str">
        <f t="shared" si="46"/>
        <v>GTK (millions)</v>
      </c>
      <c r="E193" s="12">
        <f t="shared" ref="E193:AH193" si="48">IF(E169&lt;&gt;0,IF(OR(E$16=1,E$19=1),E169-E181," "),0)</f>
        <v>3048.7804878048778</v>
      </c>
      <c r="F193" s="12">
        <f t="shared" si="48"/>
        <v>2487.8048780487807</v>
      </c>
      <c r="G193" s="12">
        <f t="shared" si="48"/>
        <v>2536.5853658536585</v>
      </c>
      <c r="H193" s="12">
        <f t="shared" si="48"/>
        <v>2585.3658536585367</v>
      </c>
      <c r="I193" s="12">
        <f t="shared" si="48"/>
        <v>2634.146341463415</v>
      </c>
      <c r="J193" s="12">
        <f t="shared" si="48"/>
        <v>2682.9268292682927</v>
      </c>
      <c r="K193" s="12">
        <f t="shared" si="48"/>
        <v>3073.1707317073174</v>
      </c>
      <c r="L193" s="12">
        <f t="shared" si="48"/>
        <v>3128.0487804878053</v>
      </c>
      <c r="M193" s="12">
        <f t="shared" si="48"/>
        <v>3182.9268292682932</v>
      </c>
      <c r="N193" s="12">
        <f t="shared" si="48"/>
        <v>3237.8048780487811</v>
      </c>
      <c r="O193" s="12">
        <f t="shared" si="48"/>
        <v>3292.682926829269</v>
      </c>
      <c r="P193" s="12">
        <f t="shared" si="48"/>
        <v>3347.560975609757</v>
      </c>
      <c r="Q193" s="12">
        <f t="shared" si="48"/>
        <v>3402.4390243902444</v>
      </c>
      <c r="R193" s="12">
        <f t="shared" si="48"/>
        <v>3457.3170731707323</v>
      </c>
      <c r="S193" s="12">
        <f t="shared" si="48"/>
        <v>3512.1951219512202</v>
      </c>
      <c r="T193" s="12">
        <f t="shared" si="48"/>
        <v>3567.0731707317082</v>
      </c>
      <c r="U193" s="12">
        <f t="shared" si="48"/>
        <v>3621.9512195121961</v>
      </c>
      <c r="V193" s="12">
        <f t="shared" si="48"/>
        <v>3676.829268292684</v>
      </c>
      <c r="W193" s="12">
        <f t="shared" si="48"/>
        <v>3731.7073170731719</v>
      </c>
      <c r="X193" s="12">
        <f t="shared" si="48"/>
        <v>3786.5853658536598</v>
      </c>
      <c r="Y193" s="12">
        <f t="shared" si="48"/>
        <v>3841.4634146341477</v>
      </c>
      <c r="Z193" s="12">
        <f t="shared" si="48"/>
        <v>3896.3414634146352</v>
      </c>
      <c r="AA193" s="12">
        <f t="shared" si="48"/>
        <v>3951.2195121951231</v>
      </c>
      <c r="AB193" s="12">
        <f t="shared" si="48"/>
        <v>4006.097560975611</v>
      </c>
      <c r="AC193" s="12">
        <f t="shared" si="48"/>
        <v>4060.9756097560989</v>
      </c>
      <c r="AD193" s="12">
        <f t="shared" si="48"/>
        <v>4115.8536585365864</v>
      </c>
      <c r="AE193" s="12">
        <f t="shared" si="48"/>
        <v>4170.7317073170743</v>
      </c>
      <c r="AF193" s="12">
        <f t="shared" si="48"/>
        <v>4225.6097560975622</v>
      </c>
      <c r="AG193" s="12">
        <f t="shared" si="48"/>
        <v>4280.4878048780502</v>
      </c>
      <c r="AH193" s="12">
        <f t="shared" si="48"/>
        <v>4335.3658536585381</v>
      </c>
    </row>
    <row r="194" spans="1:34" outlineLevel="1" x14ac:dyDescent="0.2">
      <c r="B194" s="8" t="str">
        <f>"Electric traffic volume of " &amp;'Assumptions - Freight'!E119</f>
        <v>Electric traffic volume of Commodity 4</v>
      </c>
      <c r="C194" s="8"/>
      <c r="D194" s="8" t="str">
        <f t="shared" si="46"/>
        <v>GTK (millions)</v>
      </c>
      <c r="E194" s="12">
        <f t="shared" ref="E194:AH194" si="49">IF(E170&lt;&gt;0,IF(OR(E$16=1,E$19=1),E170-E182," "),0)</f>
        <v>2439.0243902439024</v>
      </c>
      <c r="F194" s="12">
        <f t="shared" si="49"/>
        <v>2487.8048780487807</v>
      </c>
      <c r="G194" s="12">
        <f t="shared" si="49"/>
        <v>2536.5853658536585</v>
      </c>
      <c r="H194" s="12">
        <f t="shared" si="49"/>
        <v>2585.3658536585367</v>
      </c>
      <c r="I194" s="12">
        <f t="shared" si="49"/>
        <v>2634.146341463415</v>
      </c>
      <c r="J194" s="12">
        <f t="shared" si="49"/>
        <v>2682.9268292682927</v>
      </c>
      <c r="K194" s="12">
        <f t="shared" si="49"/>
        <v>3073.1707317073174</v>
      </c>
      <c r="L194" s="12">
        <f t="shared" si="49"/>
        <v>3128.0487804878053</v>
      </c>
      <c r="M194" s="12">
        <f t="shared" si="49"/>
        <v>3182.9268292682932</v>
      </c>
      <c r="N194" s="12">
        <f t="shared" si="49"/>
        <v>3237.8048780487811</v>
      </c>
      <c r="O194" s="12">
        <f t="shared" si="49"/>
        <v>3292.682926829269</v>
      </c>
      <c r="P194" s="12">
        <f t="shared" si="49"/>
        <v>3347.560975609757</v>
      </c>
      <c r="Q194" s="12">
        <f t="shared" si="49"/>
        <v>3402.4390243902444</v>
      </c>
      <c r="R194" s="12">
        <f t="shared" si="49"/>
        <v>3457.3170731707323</v>
      </c>
      <c r="S194" s="12">
        <f t="shared" si="49"/>
        <v>3512.1951219512202</v>
      </c>
      <c r="T194" s="12">
        <f t="shared" si="49"/>
        <v>3567.0731707317082</v>
      </c>
      <c r="U194" s="12">
        <f t="shared" si="49"/>
        <v>3621.9512195121961</v>
      </c>
      <c r="V194" s="12">
        <f t="shared" si="49"/>
        <v>3676.829268292684</v>
      </c>
      <c r="W194" s="12">
        <f t="shared" si="49"/>
        <v>3731.7073170731719</v>
      </c>
      <c r="X194" s="12">
        <f t="shared" si="49"/>
        <v>3786.5853658536598</v>
      </c>
      <c r="Y194" s="12">
        <f t="shared" si="49"/>
        <v>3841.4634146341477</v>
      </c>
      <c r="Z194" s="12">
        <f t="shared" si="49"/>
        <v>3896.3414634146352</v>
      </c>
      <c r="AA194" s="12">
        <f t="shared" si="49"/>
        <v>3951.2195121951231</v>
      </c>
      <c r="AB194" s="12">
        <f t="shared" si="49"/>
        <v>4006.097560975611</v>
      </c>
      <c r="AC194" s="12">
        <f t="shared" si="49"/>
        <v>4060.9756097560989</v>
      </c>
      <c r="AD194" s="12">
        <f t="shared" si="49"/>
        <v>4115.8536585365864</v>
      </c>
      <c r="AE194" s="12">
        <f t="shared" si="49"/>
        <v>4170.7317073170743</v>
      </c>
      <c r="AF194" s="12">
        <f t="shared" si="49"/>
        <v>4225.6097560975622</v>
      </c>
      <c r="AG194" s="12">
        <f t="shared" si="49"/>
        <v>4280.4878048780502</v>
      </c>
      <c r="AH194" s="12">
        <f t="shared" si="49"/>
        <v>4335.3658536585381</v>
      </c>
    </row>
    <row r="195" spans="1:34" outlineLevel="1" x14ac:dyDescent="0.2">
      <c r="B195" s="8" t="str">
        <f>"Electric traffic volume of " &amp;'Assumptions - Freight'!E120</f>
        <v>Electric traffic volume of Commodity 5</v>
      </c>
      <c r="C195" s="8"/>
      <c r="D195" s="8" t="str">
        <f t="shared" si="46"/>
        <v>GTK (millions)</v>
      </c>
      <c r="E195" s="12">
        <f t="shared" ref="E195:AH195" si="50">IF(E171&lt;&gt;0,IF(OR(E$16=1,E$19=1),E171-E183," "),0)</f>
        <v>2439.0243902439024</v>
      </c>
      <c r="F195" s="12">
        <f t="shared" si="50"/>
        <v>2487.8048780487807</v>
      </c>
      <c r="G195" s="12">
        <f t="shared" si="50"/>
        <v>2536.5853658536585</v>
      </c>
      <c r="H195" s="12">
        <f t="shared" si="50"/>
        <v>2585.3658536585367</v>
      </c>
      <c r="I195" s="12">
        <f t="shared" si="50"/>
        <v>2634.146341463415</v>
      </c>
      <c r="J195" s="12">
        <f t="shared" si="50"/>
        <v>2682.9268292682927</v>
      </c>
      <c r="K195" s="12">
        <f t="shared" si="50"/>
        <v>3073.1707317073174</v>
      </c>
      <c r="L195" s="12">
        <f t="shared" si="50"/>
        <v>3128.0487804878053</v>
      </c>
      <c r="M195" s="12">
        <f t="shared" si="50"/>
        <v>3182.9268292682932</v>
      </c>
      <c r="N195" s="12">
        <f t="shared" si="50"/>
        <v>3237.8048780487811</v>
      </c>
      <c r="O195" s="12">
        <f t="shared" si="50"/>
        <v>3292.682926829269</v>
      </c>
      <c r="P195" s="12">
        <f t="shared" si="50"/>
        <v>3347.560975609757</v>
      </c>
      <c r="Q195" s="12">
        <f t="shared" si="50"/>
        <v>3402.4390243902444</v>
      </c>
      <c r="R195" s="12">
        <f t="shared" si="50"/>
        <v>3457.3170731707323</v>
      </c>
      <c r="S195" s="12">
        <f t="shared" si="50"/>
        <v>3512.1951219512202</v>
      </c>
      <c r="T195" s="12">
        <f t="shared" si="50"/>
        <v>3567.0731707317082</v>
      </c>
      <c r="U195" s="12">
        <f t="shared" si="50"/>
        <v>3621.9512195121961</v>
      </c>
      <c r="V195" s="12">
        <f t="shared" si="50"/>
        <v>3676.829268292684</v>
      </c>
      <c r="W195" s="12">
        <f t="shared" si="50"/>
        <v>3731.7073170731719</v>
      </c>
      <c r="X195" s="12">
        <f t="shared" si="50"/>
        <v>3786.5853658536598</v>
      </c>
      <c r="Y195" s="12">
        <f t="shared" si="50"/>
        <v>3841.4634146341477</v>
      </c>
      <c r="Z195" s="12">
        <f t="shared" si="50"/>
        <v>3896.3414634146352</v>
      </c>
      <c r="AA195" s="12">
        <f t="shared" si="50"/>
        <v>3951.2195121951231</v>
      </c>
      <c r="AB195" s="12">
        <f t="shared" si="50"/>
        <v>4006.097560975611</v>
      </c>
      <c r="AC195" s="12">
        <f t="shared" si="50"/>
        <v>4060.9756097560989</v>
      </c>
      <c r="AD195" s="12">
        <f t="shared" si="50"/>
        <v>4115.8536585365864</v>
      </c>
      <c r="AE195" s="12">
        <f t="shared" si="50"/>
        <v>4170.7317073170743</v>
      </c>
      <c r="AF195" s="12">
        <f t="shared" si="50"/>
        <v>4225.6097560975622</v>
      </c>
      <c r="AG195" s="12">
        <f t="shared" si="50"/>
        <v>4280.4878048780502</v>
      </c>
      <c r="AH195" s="12">
        <f t="shared" si="50"/>
        <v>4335.3658536585381</v>
      </c>
    </row>
    <row r="196" spans="1:34" outlineLevel="1" x14ac:dyDescent="0.2">
      <c r="B196" s="8" t="str">
        <f>"Electric traffic volume of " &amp;'Assumptions - Freight'!E121</f>
        <v>Electric traffic volume of Commodity 6</v>
      </c>
      <c r="C196" s="8"/>
      <c r="D196" s="8" t="str">
        <f t="shared" si="46"/>
        <v>GTK (millions)</v>
      </c>
      <c r="E196" s="12">
        <f t="shared" ref="E196:AH196" si="51">IF(E172&lt;&gt;0,IF(OR(E$16=1,E$19=1),E172-E184," "),0)</f>
        <v>2439.0243902439024</v>
      </c>
      <c r="F196" s="12">
        <f t="shared" si="51"/>
        <v>2487.8048780487807</v>
      </c>
      <c r="G196" s="12">
        <f t="shared" si="51"/>
        <v>2536.5853658536585</v>
      </c>
      <c r="H196" s="12">
        <f t="shared" si="51"/>
        <v>2585.3658536585367</v>
      </c>
      <c r="I196" s="12">
        <f t="shared" si="51"/>
        <v>2634.146341463415</v>
      </c>
      <c r="J196" s="12">
        <f t="shared" si="51"/>
        <v>2682.9268292682927</v>
      </c>
      <c r="K196" s="12">
        <f t="shared" si="51"/>
        <v>3073.1707317073174</v>
      </c>
      <c r="L196" s="12">
        <f t="shared" si="51"/>
        <v>3128.0487804878053</v>
      </c>
      <c r="M196" s="12">
        <f t="shared" si="51"/>
        <v>3182.9268292682932</v>
      </c>
      <c r="N196" s="12">
        <f t="shared" si="51"/>
        <v>3237.8048780487811</v>
      </c>
      <c r="O196" s="12">
        <f t="shared" si="51"/>
        <v>3292.682926829269</v>
      </c>
      <c r="P196" s="12">
        <f t="shared" si="51"/>
        <v>3347.560975609757</v>
      </c>
      <c r="Q196" s="12">
        <f t="shared" si="51"/>
        <v>3402.4390243902444</v>
      </c>
      <c r="R196" s="12">
        <f t="shared" si="51"/>
        <v>3457.3170731707323</v>
      </c>
      <c r="S196" s="12">
        <f t="shared" si="51"/>
        <v>3512.1951219512202</v>
      </c>
      <c r="T196" s="12">
        <f t="shared" si="51"/>
        <v>3567.0731707317082</v>
      </c>
      <c r="U196" s="12">
        <f t="shared" si="51"/>
        <v>3621.9512195121961</v>
      </c>
      <c r="V196" s="12">
        <f t="shared" si="51"/>
        <v>3676.829268292684</v>
      </c>
      <c r="W196" s="12">
        <f t="shared" si="51"/>
        <v>3731.7073170731719</v>
      </c>
      <c r="X196" s="12">
        <f t="shared" si="51"/>
        <v>3786.5853658536598</v>
      </c>
      <c r="Y196" s="12">
        <f t="shared" si="51"/>
        <v>3841.4634146341477</v>
      </c>
      <c r="Z196" s="12">
        <f t="shared" si="51"/>
        <v>3896.3414634146352</v>
      </c>
      <c r="AA196" s="12">
        <f t="shared" si="51"/>
        <v>3951.2195121951231</v>
      </c>
      <c r="AB196" s="12">
        <f t="shared" si="51"/>
        <v>4006.097560975611</v>
      </c>
      <c r="AC196" s="12">
        <f t="shared" si="51"/>
        <v>4060.9756097560989</v>
      </c>
      <c r="AD196" s="12">
        <f t="shared" si="51"/>
        <v>4115.8536585365864</v>
      </c>
      <c r="AE196" s="12">
        <f t="shared" si="51"/>
        <v>4170.7317073170743</v>
      </c>
      <c r="AF196" s="12">
        <f t="shared" si="51"/>
        <v>4225.6097560975622</v>
      </c>
      <c r="AG196" s="12">
        <f t="shared" si="51"/>
        <v>4280.4878048780502</v>
      </c>
      <c r="AH196" s="12">
        <f t="shared" si="51"/>
        <v>4335.3658536585381</v>
      </c>
    </row>
    <row r="197" spans="1:34" outlineLevel="1" x14ac:dyDescent="0.2">
      <c r="B197" s="8" t="str">
        <f>"Electric traffic volume of " &amp;'Assumptions - Freight'!E122</f>
        <v>Electric traffic volume of Commodity 7</v>
      </c>
      <c r="C197" s="8"/>
      <c r="D197" s="8" t="str">
        <f t="shared" si="46"/>
        <v>GTK (millions)</v>
      </c>
      <c r="E197" s="12">
        <f t="shared" ref="E197:AH197" si="52">IF(E173&lt;&gt;0,IF(OR(E$16=1,E$19=1),E173-E185," "),0)</f>
        <v>2439.0243902439024</v>
      </c>
      <c r="F197" s="12">
        <f t="shared" si="52"/>
        <v>2487.8048780487807</v>
      </c>
      <c r="G197" s="12">
        <f t="shared" si="52"/>
        <v>2536.5853658536585</v>
      </c>
      <c r="H197" s="12">
        <f t="shared" si="52"/>
        <v>2585.3658536585367</v>
      </c>
      <c r="I197" s="12">
        <f t="shared" si="52"/>
        <v>2634.146341463415</v>
      </c>
      <c r="J197" s="12">
        <f t="shared" si="52"/>
        <v>2682.9268292682927</v>
      </c>
      <c r="K197" s="12">
        <f t="shared" si="52"/>
        <v>3073.1707317073174</v>
      </c>
      <c r="L197" s="12">
        <f t="shared" si="52"/>
        <v>3128.0487804878053</v>
      </c>
      <c r="M197" s="12">
        <f t="shared" si="52"/>
        <v>3182.9268292682932</v>
      </c>
      <c r="N197" s="12">
        <f t="shared" si="52"/>
        <v>3237.8048780487811</v>
      </c>
      <c r="O197" s="12">
        <f t="shared" si="52"/>
        <v>3292.682926829269</v>
      </c>
      <c r="P197" s="12">
        <f t="shared" si="52"/>
        <v>3347.560975609757</v>
      </c>
      <c r="Q197" s="12">
        <f t="shared" si="52"/>
        <v>3402.4390243902444</v>
      </c>
      <c r="R197" s="12">
        <f t="shared" si="52"/>
        <v>3457.3170731707323</v>
      </c>
      <c r="S197" s="12">
        <f t="shared" si="52"/>
        <v>3512.1951219512202</v>
      </c>
      <c r="T197" s="12">
        <f t="shared" si="52"/>
        <v>3567.0731707317082</v>
      </c>
      <c r="U197" s="12">
        <f t="shared" si="52"/>
        <v>3621.9512195121961</v>
      </c>
      <c r="V197" s="12">
        <f t="shared" si="52"/>
        <v>3676.829268292684</v>
      </c>
      <c r="W197" s="12">
        <f t="shared" si="52"/>
        <v>3731.7073170731719</v>
      </c>
      <c r="X197" s="12">
        <f t="shared" si="52"/>
        <v>3786.5853658536598</v>
      </c>
      <c r="Y197" s="12">
        <f t="shared" si="52"/>
        <v>3841.4634146341477</v>
      </c>
      <c r="Z197" s="12">
        <f t="shared" si="52"/>
        <v>3896.3414634146352</v>
      </c>
      <c r="AA197" s="12">
        <f t="shared" si="52"/>
        <v>3951.2195121951231</v>
      </c>
      <c r="AB197" s="12">
        <f t="shared" si="52"/>
        <v>4006.097560975611</v>
      </c>
      <c r="AC197" s="12">
        <f t="shared" si="52"/>
        <v>4060.9756097560989</v>
      </c>
      <c r="AD197" s="12">
        <f t="shared" si="52"/>
        <v>4115.8536585365864</v>
      </c>
      <c r="AE197" s="12">
        <f t="shared" si="52"/>
        <v>4170.7317073170743</v>
      </c>
      <c r="AF197" s="12">
        <f t="shared" si="52"/>
        <v>4225.6097560975622</v>
      </c>
      <c r="AG197" s="12">
        <f t="shared" si="52"/>
        <v>4280.4878048780502</v>
      </c>
      <c r="AH197" s="12">
        <f t="shared" si="52"/>
        <v>4335.3658536585381</v>
      </c>
    </row>
    <row r="198" spans="1:34" outlineLevel="1" x14ac:dyDescent="0.2">
      <c r="B198" s="8" t="str">
        <f>"Electric traffic volume of " &amp;'Assumptions - Freight'!E123</f>
        <v>Electric traffic volume of Commodity 8</v>
      </c>
      <c r="C198" s="8"/>
      <c r="D198" s="8" t="str">
        <f t="shared" si="46"/>
        <v>GTK (millions)</v>
      </c>
      <c r="E198" s="12">
        <f t="shared" ref="E198:AH198" si="53">IF(E174&lt;&gt;0,IF(OR(E$16=1,E$19=1),E174-E186," "),0)</f>
        <v>2439.0243902439024</v>
      </c>
      <c r="F198" s="12">
        <f t="shared" si="53"/>
        <v>2487.8048780487807</v>
      </c>
      <c r="G198" s="12">
        <f t="shared" si="53"/>
        <v>2536.5853658536585</v>
      </c>
      <c r="H198" s="12">
        <f t="shared" si="53"/>
        <v>2585.3658536585367</v>
      </c>
      <c r="I198" s="12">
        <f t="shared" si="53"/>
        <v>2634.146341463415</v>
      </c>
      <c r="J198" s="12">
        <f t="shared" si="53"/>
        <v>2682.9268292682927</v>
      </c>
      <c r="K198" s="12">
        <f t="shared" si="53"/>
        <v>3073.1707317073174</v>
      </c>
      <c r="L198" s="12">
        <f t="shared" si="53"/>
        <v>3128.0487804878053</v>
      </c>
      <c r="M198" s="12">
        <f t="shared" si="53"/>
        <v>3182.9268292682932</v>
      </c>
      <c r="N198" s="12">
        <f t="shared" si="53"/>
        <v>3237.8048780487811</v>
      </c>
      <c r="O198" s="12">
        <f t="shared" si="53"/>
        <v>3292.682926829269</v>
      </c>
      <c r="P198" s="12">
        <f t="shared" si="53"/>
        <v>3347.560975609757</v>
      </c>
      <c r="Q198" s="12">
        <f t="shared" si="53"/>
        <v>3402.4390243902444</v>
      </c>
      <c r="R198" s="12">
        <f t="shared" si="53"/>
        <v>3457.3170731707323</v>
      </c>
      <c r="S198" s="12">
        <f t="shared" si="53"/>
        <v>3512.1951219512202</v>
      </c>
      <c r="T198" s="12">
        <f t="shared" si="53"/>
        <v>3567.0731707317082</v>
      </c>
      <c r="U198" s="12">
        <f t="shared" si="53"/>
        <v>3621.9512195121961</v>
      </c>
      <c r="V198" s="12">
        <f t="shared" si="53"/>
        <v>3676.829268292684</v>
      </c>
      <c r="W198" s="12">
        <f t="shared" si="53"/>
        <v>3731.7073170731719</v>
      </c>
      <c r="X198" s="12">
        <f t="shared" si="53"/>
        <v>3786.5853658536598</v>
      </c>
      <c r="Y198" s="12">
        <f t="shared" si="53"/>
        <v>3841.4634146341477</v>
      </c>
      <c r="Z198" s="12">
        <f t="shared" si="53"/>
        <v>3896.3414634146352</v>
      </c>
      <c r="AA198" s="12">
        <f t="shared" si="53"/>
        <v>3951.2195121951231</v>
      </c>
      <c r="AB198" s="12">
        <f t="shared" si="53"/>
        <v>4006.097560975611</v>
      </c>
      <c r="AC198" s="12">
        <f t="shared" si="53"/>
        <v>4060.9756097560989</v>
      </c>
      <c r="AD198" s="12">
        <f t="shared" si="53"/>
        <v>4115.8536585365864</v>
      </c>
      <c r="AE198" s="12">
        <f t="shared" si="53"/>
        <v>4170.7317073170743</v>
      </c>
      <c r="AF198" s="12">
        <f t="shared" si="53"/>
        <v>4225.6097560975622</v>
      </c>
      <c r="AG198" s="12">
        <f t="shared" si="53"/>
        <v>4280.4878048780502</v>
      </c>
      <c r="AH198" s="12">
        <f t="shared" si="53"/>
        <v>4335.3658536585381</v>
      </c>
    </row>
    <row r="199" spans="1:34" outlineLevel="1" x14ac:dyDescent="0.2">
      <c r="B199" s="8" t="str">
        <f>"Electric traffic volume of " &amp;'Assumptions - Freight'!E124</f>
        <v>Electric traffic volume of Commodity 9</v>
      </c>
      <c r="C199" s="8"/>
      <c r="D199" s="8" t="str">
        <f t="shared" si="46"/>
        <v>GTK (millions)</v>
      </c>
      <c r="E199" s="12">
        <f t="shared" ref="E199:AH199" si="54">IF(E175&lt;&gt;0,IF(OR(E$16=1,E$19=1),E175-E187," "),0)</f>
        <v>2439.0243902439024</v>
      </c>
      <c r="F199" s="12">
        <f t="shared" si="54"/>
        <v>2487.8048780487807</v>
      </c>
      <c r="G199" s="12">
        <f t="shared" si="54"/>
        <v>2536.5853658536585</v>
      </c>
      <c r="H199" s="12">
        <f t="shared" si="54"/>
        <v>2585.3658536585367</v>
      </c>
      <c r="I199" s="12">
        <f t="shared" si="54"/>
        <v>2634.146341463415</v>
      </c>
      <c r="J199" s="12">
        <f t="shared" si="54"/>
        <v>2682.9268292682927</v>
      </c>
      <c r="K199" s="12">
        <f t="shared" si="54"/>
        <v>3073.1707317073174</v>
      </c>
      <c r="L199" s="12">
        <f t="shared" si="54"/>
        <v>3128.0487804878053</v>
      </c>
      <c r="M199" s="12">
        <f t="shared" si="54"/>
        <v>3182.9268292682932</v>
      </c>
      <c r="N199" s="12">
        <f t="shared" si="54"/>
        <v>3237.8048780487811</v>
      </c>
      <c r="O199" s="12">
        <f t="shared" si="54"/>
        <v>3292.682926829269</v>
      </c>
      <c r="P199" s="12">
        <f t="shared" si="54"/>
        <v>3347.560975609757</v>
      </c>
      <c r="Q199" s="12">
        <f t="shared" si="54"/>
        <v>3402.4390243902444</v>
      </c>
      <c r="R199" s="12">
        <f t="shared" si="54"/>
        <v>3457.3170731707323</v>
      </c>
      <c r="S199" s="12">
        <f t="shared" si="54"/>
        <v>3512.1951219512202</v>
      </c>
      <c r="T199" s="12">
        <f t="shared" si="54"/>
        <v>3567.0731707317082</v>
      </c>
      <c r="U199" s="12">
        <f t="shared" si="54"/>
        <v>3621.9512195121961</v>
      </c>
      <c r="V199" s="12">
        <f t="shared" si="54"/>
        <v>3676.829268292684</v>
      </c>
      <c r="W199" s="12">
        <f t="shared" si="54"/>
        <v>3731.7073170731719</v>
      </c>
      <c r="X199" s="12">
        <f t="shared" si="54"/>
        <v>3786.5853658536598</v>
      </c>
      <c r="Y199" s="12">
        <f t="shared" si="54"/>
        <v>3841.4634146341477</v>
      </c>
      <c r="Z199" s="12">
        <f t="shared" si="54"/>
        <v>3896.3414634146352</v>
      </c>
      <c r="AA199" s="12">
        <f t="shared" si="54"/>
        <v>3951.2195121951231</v>
      </c>
      <c r="AB199" s="12">
        <f t="shared" si="54"/>
        <v>4006.097560975611</v>
      </c>
      <c r="AC199" s="12">
        <f t="shared" si="54"/>
        <v>4060.9756097560989</v>
      </c>
      <c r="AD199" s="12">
        <f t="shared" si="54"/>
        <v>4115.8536585365864</v>
      </c>
      <c r="AE199" s="12">
        <f t="shared" si="54"/>
        <v>4170.7317073170743</v>
      </c>
      <c r="AF199" s="12">
        <f t="shared" si="54"/>
        <v>4225.6097560975622</v>
      </c>
      <c r="AG199" s="12">
        <f t="shared" si="54"/>
        <v>4280.4878048780502</v>
      </c>
      <c r="AH199" s="12">
        <f t="shared" si="54"/>
        <v>4335.3658536585381</v>
      </c>
    </row>
    <row r="200" spans="1:34" outlineLevel="1" x14ac:dyDescent="0.2">
      <c r="B200" s="8" t="str">
        <f>"Electric traffic volume of " &amp;'Assumptions - Freight'!E125</f>
        <v>Electric traffic volume of Commodity 10</v>
      </c>
      <c r="C200" s="8"/>
      <c r="D200" s="8" t="str">
        <f t="shared" si="46"/>
        <v>GTK (millions)</v>
      </c>
      <c r="E200" s="12">
        <f t="shared" ref="E200:AH200" si="55">IF(E176&lt;&gt;0,IF(OR(E$16=1,E$19=1),E176-E188," "),0)</f>
        <v>2439.0243902439024</v>
      </c>
      <c r="F200" s="12">
        <f t="shared" si="55"/>
        <v>2487.8048780487807</v>
      </c>
      <c r="G200" s="12">
        <f t="shared" si="55"/>
        <v>2536.5853658536585</v>
      </c>
      <c r="H200" s="12">
        <f t="shared" si="55"/>
        <v>2585.3658536585367</v>
      </c>
      <c r="I200" s="12">
        <f t="shared" si="55"/>
        <v>2634.146341463415</v>
      </c>
      <c r="J200" s="12">
        <f t="shared" si="55"/>
        <v>2682.9268292682927</v>
      </c>
      <c r="K200" s="12">
        <f t="shared" si="55"/>
        <v>3073.1707317073174</v>
      </c>
      <c r="L200" s="12">
        <f t="shared" si="55"/>
        <v>3128.0487804878053</v>
      </c>
      <c r="M200" s="12">
        <f t="shared" si="55"/>
        <v>3182.9268292682932</v>
      </c>
      <c r="N200" s="12">
        <f t="shared" si="55"/>
        <v>3237.8048780487811</v>
      </c>
      <c r="O200" s="12">
        <f t="shared" si="55"/>
        <v>3292.682926829269</v>
      </c>
      <c r="P200" s="12">
        <f t="shared" si="55"/>
        <v>3347.560975609757</v>
      </c>
      <c r="Q200" s="12">
        <f t="shared" si="55"/>
        <v>3402.4390243902444</v>
      </c>
      <c r="R200" s="12">
        <f t="shared" si="55"/>
        <v>3457.3170731707323</v>
      </c>
      <c r="S200" s="12">
        <f t="shared" si="55"/>
        <v>3512.1951219512202</v>
      </c>
      <c r="T200" s="12">
        <f t="shared" si="55"/>
        <v>3567.0731707317082</v>
      </c>
      <c r="U200" s="12">
        <f t="shared" si="55"/>
        <v>3621.9512195121961</v>
      </c>
      <c r="V200" s="12">
        <f t="shared" si="55"/>
        <v>3676.829268292684</v>
      </c>
      <c r="W200" s="12">
        <f t="shared" si="55"/>
        <v>3731.7073170731719</v>
      </c>
      <c r="X200" s="12">
        <f t="shared" si="55"/>
        <v>3786.5853658536598</v>
      </c>
      <c r="Y200" s="12">
        <f t="shared" si="55"/>
        <v>3841.4634146341477</v>
      </c>
      <c r="Z200" s="12">
        <f t="shared" si="55"/>
        <v>3896.3414634146352</v>
      </c>
      <c r="AA200" s="12">
        <f t="shared" si="55"/>
        <v>3951.2195121951231</v>
      </c>
      <c r="AB200" s="12">
        <f t="shared" si="55"/>
        <v>4006.097560975611</v>
      </c>
      <c r="AC200" s="12">
        <f t="shared" si="55"/>
        <v>4060.9756097560989</v>
      </c>
      <c r="AD200" s="12">
        <f t="shared" si="55"/>
        <v>4115.8536585365864</v>
      </c>
      <c r="AE200" s="12">
        <f t="shared" si="55"/>
        <v>4170.7317073170743</v>
      </c>
      <c r="AF200" s="12">
        <f t="shared" si="55"/>
        <v>4225.6097560975622</v>
      </c>
      <c r="AG200" s="12">
        <f t="shared" si="55"/>
        <v>4280.4878048780502</v>
      </c>
      <c r="AH200" s="12">
        <f t="shared" si="55"/>
        <v>4335.3658536585381</v>
      </c>
    </row>
    <row r="201" spans="1:34" outlineLevel="1" x14ac:dyDescent="0.2">
      <c r="B201" s="30" t="s">
        <v>460</v>
      </c>
      <c r="C201" s="8"/>
      <c r="D201" s="8" t="str">
        <f>D200</f>
        <v>GTK (millions)</v>
      </c>
      <c r="E201" s="12">
        <f t="shared" ref="E201:AH201" si="56">IF(OR(E$16=1,E$19=1),SUM(E191:E200)," ")</f>
        <v>25000.000000000004</v>
      </c>
      <c r="F201" s="12">
        <f t="shared" si="56"/>
        <v>24878.048780487807</v>
      </c>
      <c r="G201" s="12">
        <f t="shared" si="56"/>
        <v>25365.853658536584</v>
      </c>
      <c r="H201" s="12">
        <f t="shared" si="56"/>
        <v>25853.658536585364</v>
      </c>
      <c r="I201" s="12">
        <f t="shared" si="56"/>
        <v>26341.463414634152</v>
      </c>
      <c r="J201" s="12">
        <f t="shared" si="56"/>
        <v>26829.268292682933</v>
      </c>
      <c r="K201" s="12">
        <f t="shared" si="56"/>
        <v>30731.707317073167</v>
      </c>
      <c r="L201" s="12">
        <f t="shared" si="56"/>
        <v>31280.487804878059</v>
      </c>
      <c r="M201" s="12">
        <f t="shared" si="56"/>
        <v>31829.268292682933</v>
      </c>
      <c r="N201" s="12">
        <f t="shared" si="56"/>
        <v>32378.04878048781</v>
      </c>
      <c r="O201" s="12">
        <f t="shared" si="56"/>
        <v>32926.829268292684</v>
      </c>
      <c r="P201" s="12">
        <f t="shared" si="56"/>
        <v>33475.609756097576</v>
      </c>
      <c r="Q201" s="12">
        <f t="shared" si="56"/>
        <v>34024.390243902446</v>
      </c>
      <c r="R201" s="12">
        <f t="shared" si="56"/>
        <v>34573.170731707323</v>
      </c>
      <c r="S201" s="12">
        <f t="shared" si="56"/>
        <v>35121.951219512201</v>
      </c>
      <c r="T201" s="12">
        <f t="shared" si="56"/>
        <v>35670.731707317093</v>
      </c>
      <c r="U201" s="12">
        <f t="shared" si="56"/>
        <v>36219.512195121963</v>
      </c>
      <c r="V201" s="12">
        <f t="shared" si="56"/>
        <v>36768.29268292684</v>
      </c>
      <c r="W201" s="12">
        <f t="shared" si="56"/>
        <v>37317.073170731717</v>
      </c>
      <c r="X201" s="12">
        <f t="shared" si="56"/>
        <v>37865.853658536587</v>
      </c>
      <c r="Y201" s="12">
        <f t="shared" si="56"/>
        <v>38414.634146341479</v>
      </c>
      <c r="Z201" s="12">
        <f t="shared" si="56"/>
        <v>38963.414634146349</v>
      </c>
      <c r="AA201" s="12">
        <f t="shared" si="56"/>
        <v>39512.195121951234</v>
      </c>
      <c r="AB201" s="12">
        <f t="shared" si="56"/>
        <v>40060.975609756111</v>
      </c>
      <c r="AC201" s="12">
        <f t="shared" si="56"/>
        <v>40609.756097560989</v>
      </c>
      <c r="AD201" s="12">
        <f t="shared" si="56"/>
        <v>41158.536585365866</v>
      </c>
      <c r="AE201" s="12">
        <f t="shared" si="56"/>
        <v>41707.317073170736</v>
      </c>
      <c r="AF201" s="12">
        <f t="shared" si="56"/>
        <v>42256.097560975621</v>
      </c>
      <c r="AG201" s="12">
        <f t="shared" si="56"/>
        <v>42804.878048780512</v>
      </c>
      <c r="AH201" s="12">
        <f t="shared" si="56"/>
        <v>43353.658536585375</v>
      </c>
    </row>
    <row r="202" spans="1:34" x14ac:dyDescent="0.2">
      <c r="B202" s="14"/>
      <c r="C202" s="8"/>
      <c r="D202" s="8"/>
      <c r="E202" s="12"/>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row>
    <row r="203" spans="1:34" x14ac:dyDescent="0.2">
      <c r="A203" s="320"/>
      <c r="B203" s="319" t="str">
        <f>"Tariffs and revenue for " &amp;'Assumptions - General'!$E$24</f>
        <v>Tariffs and revenue for Ruritania Freight Rail Company</v>
      </c>
      <c r="C203" s="320"/>
      <c r="D203" s="320"/>
      <c r="E203" s="320"/>
      <c r="F203" s="320"/>
      <c r="G203" s="320"/>
      <c r="H203" s="320"/>
      <c r="I203" s="320"/>
      <c r="J203" s="320"/>
      <c r="K203" s="320"/>
      <c r="L203" s="320"/>
      <c r="M203" s="320"/>
      <c r="N203" s="320"/>
      <c r="O203" s="320"/>
      <c r="P203" s="320"/>
      <c r="Q203" s="320"/>
      <c r="R203" s="320"/>
      <c r="S203" s="320"/>
      <c r="T203" s="320"/>
      <c r="U203" s="320"/>
      <c r="V203" s="320"/>
      <c r="W203" s="320"/>
      <c r="X203" s="320"/>
      <c r="Y203" s="320"/>
      <c r="Z203" s="320"/>
      <c r="AA203" s="320"/>
      <c r="AB203" s="320"/>
      <c r="AC203" s="320"/>
      <c r="AD203" s="320"/>
      <c r="AE203" s="320"/>
      <c r="AF203" s="320"/>
      <c r="AG203" s="320"/>
      <c r="AH203" s="320"/>
    </row>
    <row r="204" spans="1:34" x14ac:dyDescent="0.2">
      <c r="A204" s="18"/>
      <c r="B204" s="7"/>
      <c r="C204" s="8"/>
      <c r="D204" s="8"/>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row>
    <row r="205" spans="1:34" outlineLevel="1" x14ac:dyDescent="0.2">
      <c r="B205" s="8" t="s">
        <v>474</v>
      </c>
      <c r="C205" s="8"/>
      <c r="D205" s="287">
        <f>IF('Scenarios - Consolidated'!F3=1,1,'Scenarios - Freight'!F3)</f>
        <v>2</v>
      </c>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row>
    <row r="206" spans="1:34" outlineLevel="1" x14ac:dyDescent="0.2">
      <c r="B206" s="8" t="s">
        <v>480</v>
      </c>
      <c r="C206" s="8"/>
      <c r="D206" s="224">
        <f>IF(AND('Scenarios - Consolidated'!F3=1,'Scenarios - Consolidated'!D20=1),'Scenarios - Consolidated'!D25,'Scenarios - Freight'!D25)</f>
        <v>1</v>
      </c>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row>
    <row r="207" spans="1:34" outlineLevel="1" x14ac:dyDescent="0.2">
      <c r="B207" s="8" t="s">
        <v>481</v>
      </c>
      <c r="C207" s="8"/>
      <c r="D207" s="288">
        <f>IF(AND('Scenarios - Consolidated'!F3=1,'Scenarios - Consolidated'!E20=1),'Scenarios - Consolidated'!E25,'Scenarios - Freight'!E25)</f>
        <v>2.793849210418764E-2</v>
      </c>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row>
    <row r="208" spans="1:34" outlineLevel="1" x14ac:dyDescent="0.2">
      <c r="B208" s="30" t="s">
        <v>472</v>
      </c>
      <c r="C208" s="8"/>
      <c r="D208" s="287">
        <f>IF(AND('Scenarios - Consolidated'!F3=1,'Scenarios - Consolidated'!E20=1),1,IF(AND('Scenarios - Freight'!F3=1,'Scenarios - Freight'!E20=1),1,2))</f>
        <v>2</v>
      </c>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row>
    <row r="209" spans="1:34" x14ac:dyDescent="0.2">
      <c r="B209" s="7" t="s">
        <v>473</v>
      </c>
      <c r="C209" s="8"/>
      <c r="D209" s="8"/>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row>
    <row r="210" spans="1:34" x14ac:dyDescent="0.2">
      <c r="B210" s="7"/>
      <c r="C210" s="8"/>
      <c r="D210" s="8"/>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row>
    <row r="211" spans="1:34" x14ac:dyDescent="0.2">
      <c r="A211" s="18"/>
      <c r="B211" s="8" t="str">
        <f>'Assumptions - Freight'!E116 &amp;" per-unit tariff "</f>
        <v xml:space="preserve">Commodity 1 per-unit tariff </v>
      </c>
      <c r="C211" s="8"/>
      <c r="D211" s="8" t="str">
        <f>'Assumptions - Freight'!D146</f>
        <v>R$/Ton-km</v>
      </c>
      <c r="E211" s="464">
        <f>IF(E$16=1,IF($D$205=1,'Assumptions - Freight'!E146*$D$206,'Assumptions - Freight'!E146),0)</f>
        <v>1</v>
      </c>
      <c r="F211" s="115">
        <f>IF(F$16=1,IF(AND($D$205=1,$D$208=1),E211*(1+$D$207),IF('Assumptions - Freight'!$E$143=1,E211*('Assumptions - Freight'!$E$147*'Assumptions - General'!F$37+1)*(1+'Assumptions - Freight'!F$148),E211*(1+'Assumptions - Freight'!F$148)))," ")</f>
        <v>1.0105</v>
      </c>
      <c r="G211" s="115">
        <f>IF(G$16=1,IF(AND($D$205=1,$D$208=1),F211*(1+$D$207),IF('Assumptions - Freight'!$E$143=1,F211*('Assumptions - Freight'!$E$147*'Assumptions - General'!G$37+1)*(1+'Assumptions - Freight'!G$148),F211*(1+'Assumptions - Freight'!G$148)))," ")</f>
        <v>1.02111025</v>
      </c>
      <c r="H211" s="115">
        <f>IF(H$16=1,IF(AND($D$205=1,$D$208=1),G211*(1+$D$207),IF('Assumptions - Freight'!$E$143=1,G211*('Assumptions - Freight'!$E$147*'Assumptions - General'!H$37+1)*(1+'Assumptions - Freight'!H$148),G211*(1+'Assumptions - Freight'!H$148)))," ")</f>
        <v>1.031831907625</v>
      </c>
      <c r="I211" s="115">
        <f>IF(I$16=1,IF(AND($D$205=1,$D$208=1),H211*(1+$D$207),IF('Assumptions - Freight'!$E$143=1,H211*('Assumptions - Freight'!$E$147*'Assumptions - General'!I$37+1)*(1+'Assumptions - Freight'!I$148),H211*(1+'Assumptions - Freight'!I$148)))," ")</f>
        <v>1.0426661426550625</v>
      </c>
      <c r="J211" s="115">
        <f>IF(J$16=1,IF(AND($D$205=1,$D$208=1),I211*(1+$D$207),IF('Assumptions - Freight'!$E$143=1,I211*('Assumptions - Freight'!$E$147*'Assumptions - General'!J$37+1)*(1+'Assumptions - Freight'!J$148),I211*(1+'Assumptions - Freight'!J$148)))," ")</f>
        <v>1.0536141371529406</v>
      </c>
      <c r="K211" s="115">
        <f>IF(K$16=1,IF(AND($D$205=1,$D$208=1),J211*(1+$D$207),IF('Assumptions - Freight'!$E$143=1,J211*('Assumptions - Freight'!$E$147*'Assumptions - General'!K$37+1)*(1+'Assumptions - Freight'!K$148),J211*(1+'Assumptions - Freight'!K$148)))," ")</f>
        <v>1.0646770855930465</v>
      </c>
      <c r="L211" s="115">
        <f>IF(L$16=1,IF(AND($D$205=1,$D$208=1),K211*(1+$D$207),IF('Assumptions - Freight'!$E$143=1,K211*('Assumptions - Freight'!$E$147*'Assumptions - General'!L$37+1)*(1+'Assumptions - Freight'!L$148),K211*(1+'Assumptions - Freight'!L$148)))," ")</f>
        <v>1.0758561949917735</v>
      </c>
      <c r="M211" s="115">
        <f>IF(M$16=1,IF(AND($D$205=1,$D$208=1),L211*(1+$D$207),IF('Assumptions - Freight'!$E$143=1,L211*('Assumptions - Freight'!$E$147*'Assumptions - General'!M$37+1)*(1+'Assumptions - Freight'!M$148),L211*(1+'Assumptions - Freight'!M$148)))," ")</f>
        <v>1.0871526850391871</v>
      </c>
      <c r="N211" s="115">
        <f>IF(N$16=1,IF(AND($D$205=1,$D$208=1),M211*(1+$D$207),IF('Assumptions - Freight'!$E$143=1,M211*('Assumptions - Freight'!$E$147*'Assumptions - General'!N$37+1)*(1+'Assumptions - Freight'!N$148),M211*(1+'Assumptions - Freight'!N$148)))," ")</f>
        <v>1.0985677882320986</v>
      </c>
      <c r="O211" s="115">
        <f>IF(O$16=1,IF(AND($D$205=1,$D$208=1),N211*(1+$D$207),IF('Assumptions - Freight'!$E$143=1,N211*('Assumptions - Freight'!$E$147*'Assumptions - General'!O$37+1)*(1+'Assumptions - Freight'!O$148),N211*(1+'Assumptions - Freight'!O$148)))," ")</f>
        <v>1.1101027500085356</v>
      </c>
      <c r="P211" s="115">
        <f>IF(P$16=1,IF(AND($D$205=1,$D$208=1),O211*(1+$D$207),IF('Assumptions - Freight'!$E$143=1,O211*('Assumptions - Freight'!$E$147*'Assumptions - General'!P$37+1)*(1+'Assumptions - Freight'!P$148),O211*(1+'Assumptions - Freight'!P$148)))," ")</f>
        <v>1.1217588288836253</v>
      </c>
      <c r="Q211" s="115">
        <f>IF(Q$16=1,IF(AND($D$205=1,$D$208=1),P211*(1+$D$207),IF('Assumptions - Freight'!$E$143=1,P211*('Assumptions - Freight'!$E$147*'Assumptions - General'!Q$37+1)*(1+'Assumptions - Freight'!Q$148),P211*(1+'Assumptions - Freight'!Q$148)))," ")</f>
        <v>1.1335372965869033</v>
      </c>
      <c r="R211" s="115">
        <f>IF(R$16=1,IF(AND($D$205=1,$D$208=1),Q211*(1+$D$207),IF('Assumptions - Freight'!$E$143=1,Q211*('Assumptions - Freight'!$E$147*'Assumptions - General'!R$37+1)*(1+'Assumptions - Freight'!R$148),Q211*(1+'Assumptions - Freight'!R$148)))," ")</f>
        <v>1.1454394382010658</v>
      </c>
      <c r="S211" s="115">
        <f>IF(S$16=1,IF(AND($D$205=1,$D$208=1),R211*(1+$D$207),IF('Assumptions - Freight'!$E$143=1,R211*('Assumptions - Freight'!$E$147*'Assumptions - General'!S$37+1)*(1+'Assumptions - Freight'!S$148),R211*(1+'Assumptions - Freight'!S$148)))," ")</f>
        <v>1.157466552302177</v>
      </c>
      <c r="T211" s="115">
        <f>IF(T$16=1,IF(AND($D$205=1,$D$208=1),S211*(1+$D$207),IF('Assumptions - Freight'!$E$143=1,S211*('Assumptions - Freight'!$E$147*'Assumptions - General'!T$37+1)*(1+'Assumptions - Freight'!T$148),S211*(1+'Assumptions - Freight'!T$148)))," ")</f>
        <v>1.1696199511013499</v>
      </c>
      <c r="U211" s="115">
        <f>IF(U$16=1,IF(AND($D$205=1,$D$208=1),T211*(1+$D$207),IF('Assumptions - Freight'!$E$143=1,T211*('Assumptions - Freight'!$E$147*'Assumptions - General'!U$37+1)*(1+'Assumptions - Freight'!U$148),T211*(1+'Assumptions - Freight'!U$148)))," ")</f>
        <v>1.1819009605879141</v>
      </c>
      <c r="V211" s="115">
        <f>IF(V$16=1,IF(AND($D$205=1,$D$208=1),U211*(1+$D$207),IF('Assumptions - Freight'!$E$143=1,U211*('Assumptions - Freight'!$E$147*'Assumptions - General'!V$37+1)*(1+'Assumptions - Freight'!V$148),U211*(1+'Assumptions - Freight'!V$148)))," ")</f>
        <v>1.1943109206740872</v>
      </c>
      <c r="W211" s="115">
        <f>IF(W$16=1,IF(AND($D$205=1,$D$208=1),V211*(1+$D$207),IF('Assumptions - Freight'!$E$143=1,V211*('Assumptions - Freight'!$E$147*'Assumptions - General'!W$37+1)*(1+'Assumptions - Freight'!W$148),V211*(1+'Assumptions - Freight'!W$148)))," ")</f>
        <v>1.206851185341165</v>
      </c>
      <c r="X211" s="115">
        <f>IF(X$16=1,IF(AND($D$205=1,$D$208=1),W211*(1+$D$207),IF('Assumptions - Freight'!$E$143=1,W211*('Assumptions - Freight'!$E$147*'Assumptions - General'!X$37+1)*(1+'Assumptions - Freight'!X$148),W211*(1+'Assumptions - Freight'!X$148)))," ")</f>
        <v>1.2195231227872472</v>
      </c>
      <c r="Y211" s="115">
        <f>IF(Y$16=1,IF(AND($D$205=1,$D$208=1),X211*(1+$D$207),IF('Assumptions - Freight'!$E$143=1,X211*('Assumptions - Freight'!$E$147*'Assumptions - General'!Y$37+1)*(1+'Assumptions - Freight'!Y$148),X211*(1+'Assumptions - Freight'!Y$148)))," ")</f>
        <v>1.2323281155765131</v>
      </c>
      <c r="Z211" s="115">
        <f>IF(Z$16=1,IF(AND($D$205=1,$D$208=1),Y211*(1+$D$207),IF('Assumptions - Freight'!$E$143=1,Y211*('Assumptions - Freight'!$E$147*'Assumptions - General'!Z$37+1)*(1+'Assumptions - Freight'!Z$148),Y211*(1+'Assumptions - Freight'!Z$148)))," ")</f>
        <v>1.2452675607900665</v>
      </c>
      <c r="AA211" s="115">
        <f>IF(AA$16=1,IF(AND($D$205=1,$D$208=1),Z211*(1+$D$207),IF('Assumptions - Freight'!$E$143=1,Z211*('Assumptions - Freight'!$E$147*'Assumptions - General'!AA$37+1)*(1+'Assumptions - Freight'!AA$148),Z211*(1+'Assumptions - Freight'!AA$148)))," ")</f>
        <v>1.2583428701783621</v>
      </c>
      <c r="AB211" s="115">
        <f>IF(AB$16=1,IF(AND($D$205=1,$D$208=1),AA211*(1+$D$207),IF('Assumptions - Freight'!$E$143=1,AA211*('Assumptions - Freight'!$E$147*'Assumptions - General'!AB$37+1)*(1+'Assumptions - Freight'!AB$148),AA211*(1+'Assumptions - Freight'!AB$148)))," ")</f>
        <v>1.2715554703152347</v>
      </c>
      <c r="AC211" s="115">
        <f>IF(AC$16=1,IF(AND($D$205=1,$D$208=1),AB211*(1+$D$207),IF('Assumptions - Freight'!$E$143=1,AB211*('Assumptions - Freight'!$E$147*'Assumptions - General'!AC$37+1)*(1+'Assumptions - Freight'!AC$148),AB211*(1+'Assumptions - Freight'!AC$148)))," ")</f>
        <v>1.2849068027535446</v>
      </c>
      <c r="AD211" s="115">
        <f>IF(AD$16=1,IF(AND($D$205=1,$D$208=1),AC211*(1+$D$207),IF('Assumptions - Freight'!$E$143=1,AC211*('Assumptions - Freight'!$E$147*'Assumptions - General'!AD$37+1)*(1+'Assumptions - Freight'!AD$148),AC211*(1+'Assumptions - Freight'!AD$148)))," ")</f>
        <v>1.2983983241824568</v>
      </c>
      <c r="AE211" s="115">
        <f>IF(AE$16=1,IF(AND($D$205=1,$D$208=1),AD211*(1+$D$207),IF('Assumptions - Freight'!$E$143=1,AD211*('Assumptions - Freight'!$E$147*'Assumptions - General'!AE$37+1)*(1+'Assumptions - Freight'!AE$148),AD211*(1+'Assumptions - Freight'!AE$148)))," ")</f>
        <v>1.3120315065863726</v>
      </c>
      <c r="AF211" s="115">
        <f>IF(AF$16=1,IF(AND($D$205=1,$D$208=1),AE211*(1+$D$207),IF('Assumptions - Freight'!$E$143=1,AE211*('Assumptions - Freight'!$E$147*'Assumptions - General'!AF$37+1)*(1+'Assumptions - Freight'!AF$148),AE211*(1+'Assumptions - Freight'!AF$148)))," ")</f>
        <v>1.3258078374055293</v>
      </c>
      <c r="AG211" s="115">
        <f>IF(AG$16=1,IF(AND($D$205=1,$D$208=1),AF211*(1+$D$207),IF('Assumptions - Freight'!$E$143=1,AF211*('Assumptions - Freight'!$E$147*'Assumptions - General'!AG$37+1)*(1+'Assumptions - Freight'!AG$148),AF211*(1+'Assumptions - Freight'!AG$148)))," ")</f>
        <v>1.3397288196982873</v>
      </c>
      <c r="AH211" s="115">
        <f>IF(AH$16=1,IF(AND($D$205=1,$D$208=1),AG211*(1+$D$207),IF('Assumptions - Freight'!$E$143=1,AG211*('Assumptions - Freight'!$E$147*'Assumptions - General'!AH$37+1)*(1+'Assumptions - Freight'!AH$148),AG211*(1+'Assumptions - Freight'!AH$148)))," ")</f>
        <v>1.3537959723051192</v>
      </c>
    </row>
    <row r="212" spans="1:34" x14ac:dyDescent="0.2">
      <c r="A212" s="18"/>
      <c r="B212" s="14" t="s">
        <v>35</v>
      </c>
      <c r="C212" s="8"/>
      <c r="D212" s="8" t="s">
        <v>15</v>
      </c>
      <c r="E212" s="464"/>
      <c r="F212" s="11">
        <f t="shared" ref="F212:AH212" si="57">IF(AND(F$16=1,$E$211&gt;0),F211/E211-1," ")</f>
        <v>1.0499999999999954E-2</v>
      </c>
      <c r="G212" s="11">
        <f t="shared" si="57"/>
        <v>1.0499999999999954E-2</v>
      </c>
      <c r="H212" s="11">
        <f t="shared" si="57"/>
        <v>1.0499999999999954E-2</v>
      </c>
      <c r="I212" s="11">
        <f t="shared" si="57"/>
        <v>1.0499999999999954E-2</v>
      </c>
      <c r="J212" s="11">
        <f t="shared" si="57"/>
        <v>1.0499999999999954E-2</v>
      </c>
      <c r="K212" s="11">
        <f t="shared" si="57"/>
        <v>1.0499999999999954E-2</v>
      </c>
      <c r="L212" s="11">
        <f t="shared" si="57"/>
        <v>1.0499999999999954E-2</v>
      </c>
      <c r="M212" s="11">
        <f t="shared" si="57"/>
        <v>1.0499999999999954E-2</v>
      </c>
      <c r="N212" s="11">
        <f t="shared" si="57"/>
        <v>1.0499999999999954E-2</v>
      </c>
      <c r="O212" s="11">
        <f t="shared" si="57"/>
        <v>1.0499999999999954E-2</v>
      </c>
      <c r="P212" s="11">
        <f t="shared" si="57"/>
        <v>1.0499999999999954E-2</v>
      </c>
      <c r="Q212" s="11">
        <f t="shared" si="57"/>
        <v>1.0499999999999954E-2</v>
      </c>
      <c r="R212" s="11">
        <f t="shared" si="57"/>
        <v>1.0499999999999954E-2</v>
      </c>
      <c r="S212" s="11">
        <f t="shared" si="57"/>
        <v>1.0499999999999954E-2</v>
      </c>
      <c r="T212" s="11">
        <f t="shared" si="57"/>
        <v>1.0499999999999954E-2</v>
      </c>
      <c r="U212" s="11">
        <f t="shared" si="57"/>
        <v>1.0499999999999954E-2</v>
      </c>
      <c r="V212" s="11">
        <f t="shared" si="57"/>
        <v>1.0499999999999954E-2</v>
      </c>
      <c r="W212" s="11">
        <f t="shared" si="57"/>
        <v>1.0499999999999954E-2</v>
      </c>
      <c r="X212" s="11">
        <f t="shared" si="57"/>
        <v>1.0499999999999954E-2</v>
      </c>
      <c r="Y212" s="11">
        <f t="shared" si="57"/>
        <v>1.0499999999999954E-2</v>
      </c>
      <c r="Z212" s="11">
        <f t="shared" si="57"/>
        <v>1.0499999999999954E-2</v>
      </c>
      <c r="AA212" s="11">
        <f t="shared" si="57"/>
        <v>1.0499999999999954E-2</v>
      </c>
      <c r="AB212" s="11">
        <f t="shared" si="57"/>
        <v>1.0499999999999954E-2</v>
      </c>
      <c r="AC212" s="11">
        <f t="shared" si="57"/>
        <v>1.0499999999999954E-2</v>
      </c>
      <c r="AD212" s="11">
        <f t="shared" si="57"/>
        <v>1.0499999999999954E-2</v>
      </c>
      <c r="AE212" s="11">
        <f t="shared" si="57"/>
        <v>1.0499999999999954E-2</v>
      </c>
      <c r="AF212" s="11">
        <f t="shared" si="57"/>
        <v>1.0499999999999954E-2</v>
      </c>
      <c r="AG212" s="11">
        <f t="shared" si="57"/>
        <v>1.0499999999999954E-2</v>
      </c>
      <c r="AH212" s="11">
        <f t="shared" si="57"/>
        <v>1.0499999999999954E-2</v>
      </c>
    </row>
    <row r="213" spans="1:34" x14ac:dyDescent="0.2">
      <c r="A213" s="18"/>
      <c r="B213" s="8" t="str">
        <f>'Assumptions - Freight'!E117 &amp;" per-unit tariff "</f>
        <v xml:space="preserve">Commodity 2 per-unit tariff </v>
      </c>
      <c r="C213" s="8"/>
      <c r="D213" s="8" t="str">
        <f>D211</f>
        <v>R$/Ton-km</v>
      </c>
      <c r="E213" s="464">
        <f>IF(E$16=1,IF($D$205=1,'Assumptions - Freight'!E151*$D$206,'Assumptions - Freight'!E151),0)</f>
        <v>1</v>
      </c>
      <c r="F213" s="115">
        <f>IF(F$16=1,IF(AND($D$205=1,$D$208=1),E213*(1+$D$207),IF('Assumptions - Freight'!$E$143=1,E213*('Assumptions - Freight'!$E$152*'Assumptions - General'!F$37+1)*(1+'Assumptions - Freight'!F$153),E213*(1+'Assumptions - Freight'!F$153)))," ")</f>
        <v>1.0266999999999999</v>
      </c>
      <c r="G213" s="115">
        <f>IF(G$16=1,IF(AND($D$205=1,$D$208=1),F213*(1+$D$207),IF('Assumptions - Freight'!$E$143=1,F213*('Assumptions - Freight'!$E$152*'Assumptions - General'!G$37+1)*(1+'Assumptions - Freight'!G$153),F213*(1+'Assumptions - Freight'!G$153)))," ")</f>
        <v>1.0541128899999999</v>
      </c>
      <c r="H213" s="115">
        <f>IF(H$16=1,IF(AND($D$205=1,$D$208=1),G213*(1+$D$207),IF('Assumptions - Freight'!$E$143=1,G213*('Assumptions - Freight'!$E$152*'Assumptions - General'!H$37+1)*(1+'Assumptions - Freight'!H$153),G213*(1+'Assumptions - Freight'!H$153)))," ")</f>
        <v>1.0822577041629997</v>
      </c>
      <c r="I213" s="115">
        <f>IF(I$16=1,IF(AND($D$205=1,$D$208=1),H213*(1+$D$207),IF('Assumptions - Freight'!$E$143=1,H213*('Assumptions - Freight'!$E$152*'Assumptions - General'!I$37+1)*(1+'Assumptions - Freight'!I$153),H213*(1+'Assumptions - Freight'!I$153)))," ")</f>
        <v>1.1111539848641518</v>
      </c>
      <c r="J213" s="115">
        <f>IF(J$16=1,IF(AND($D$205=1,$D$208=1),I213*(1+$D$207),IF('Assumptions - Freight'!$E$143=1,I213*('Assumptions - Freight'!$E$152*'Assumptions - General'!J$37+1)*(1+'Assumptions - Freight'!J$153),I213*(1+'Assumptions - Freight'!J$153)))," ")</f>
        <v>1.1408217962600247</v>
      </c>
      <c r="K213" s="115">
        <f>IF(K$16=1,IF(AND($D$205=1,$D$208=1),J213*(1+$D$207),IF('Assumptions - Freight'!$E$143=1,J213*('Assumptions - Freight'!$E$152*'Assumptions - General'!K$37+1)*(1+'Assumptions - Freight'!K$153),J213*(1+'Assumptions - Freight'!K$153)))," ")</f>
        <v>1.1712817382201672</v>
      </c>
      <c r="L213" s="115">
        <f>IF(L$16=1,IF(AND($D$205=1,$D$208=1),K213*(1+$D$207),IF('Assumptions - Freight'!$E$143=1,K213*('Assumptions - Freight'!$E$152*'Assumptions - General'!L$37+1)*(1+'Assumptions - Freight'!L$153),K213*(1+'Assumptions - Freight'!L$153)))," ")</f>
        <v>1.2025549606306456</v>
      </c>
      <c r="M213" s="115">
        <f>IF(M$16=1,IF(AND($D$205=1,$D$208=1),L213*(1+$D$207),IF('Assumptions - Freight'!$E$143=1,L213*('Assumptions - Freight'!$E$152*'Assumptions - General'!M$37+1)*(1+'Assumptions - Freight'!M$153),L213*(1+'Assumptions - Freight'!M$153)))," ")</f>
        <v>1.2346631780794837</v>
      </c>
      <c r="N213" s="115">
        <f>IF(N$16=1,IF(AND($D$205=1,$D$208=1),M213*(1+$D$207),IF('Assumptions - Freight'!$E$143=1,M213*('Assumptions - Freight'!$E$152*'Assumptions - General'!N$37+1)*(1+'Assumptions - Freight'!N$153),M213*(1+'Assumptions - Freight'!N$153)))," ")</f>
        <v>1.2676286849342058</v>
      </c>
      <c r="O213" s="115">
        <f>IF(O$16=1,IF(AND($D$205=1,$D$208=1),N213*(1+$D$207),IF('Assumptions - Freight'!$E$143=1,N213*('Assumptions - Freight'!$E$152*'Assumptions - General'!O$37+1)*(1+'Assumptions - Freight'!O$153),N213*(1+'Assumptions - Freight'!O$153)))," ")</f>
        <v>1.3014743708219489</v>
      </c>
      <c r="P213" s="115">
        <f>IF(P$16=1,IF(AND($D$205=1,$D$208=1),O213*(1+$D$207),IF('Assumptions - Freight'!$E$143=1,O213*('Assumptions - Freight'!$E$152*'Assumptions - General'!P$37+1)*(1+'Assumptions - Freight'!P$153),O213*(1+'Assumptions - Freight'!P$153)))," ")</f>
        <v>1.3362237365228948</v>
      </c>
      <c r="Q213" s="115">
        <f>IF(Q$16=1,IF(AND($D$205=1,$D$208=1),P213*(1+$D$207),IF('Assumptions - Freight'!$E$143=1,P213*('Assumptions - Freight'!$E$152*'Assumptions - General'!Q$37+1)*(1+'Assumptions - Freight'!Q$153),P213*(1+'Assumptions - Freight'!Q$153)))," ")</f>
        <v>1.3719009102880562</v>
      </c>
      <c r="R213" s="115">
        <f>IF(R$16=1,IF(AND($D$205=1,$D$208=1),Q213*(1+$D$207),IF('Assumptions - Freight'!$E$143=1,Q213*('Assumptions - Freight'!$E$152*'Assumptions - General'!R$37+1)*(1+'Assumptions - Freight'!R$153),Q213*(1+'Assumptions - Freight'!R$153)))," ")</f>
        <v>1.4085306645927471</v>
      </c>
      <c r="S213" s="115">
        <f>IF(S$16=1,IF(AND($D$205=1,$D$208=1),R213*(1+$D$207),IF('Assumptions - Freight'!$E$143=1,R213*('Assumptions - Freight'!$E$152*'Assumptions - General'!S$37+1)*(1+'Assumptions - Freight'!S$153),R213*(1+'Assumptions - Freight'!S$153)))," ")</f>
        <v>1.4461384333373735</v>
      </c>
      <c r="T213" s="115">
        <f>IF(T$16=1,IF(AND($D$205=1,$D$208=1),S213*(1+$D$207),IF('Assumptions - Freight'!$E$143=1,S213*('Assumptions - Freight'!$E$152*'Assumptions - General'!T$37+1)*(1+'Assumptions - Freight'!T$153),S213*(1+'Assumptions - Freight'!T$153)))," ")</f>
        <v>1.4847503295074813</v>
      </c>
      <c r="U213" s="115">
        <f>IF(U$16=1,IF(AND($D$205=1,$D$208=1),T213*(1+$D$207),IF('Assumptions - Freight'!$E$143=1,T213*('Assumptions - Freight'!$E$152*'Assumptions - General'!U$37+1)*(1+'Assumptions - Freight'!U$153),T213*(1+'Assumptions - Freight'!U$153)))," ")</f>
        <v>1.5243931633053309</v>
      </c>
      <c r="V213" s="115">
        <f>IF(V$16=1,IF(AND($D$205=1,$D$208=1),U213*(1+$D$207),IF('Assumptions - Freight'!$E$143=1,U213*('Assumptions - Freight'!$E$152*'Assumptions - General'!V$37+1)*(1+'Assumptions - Freight'!V$153),U213*(1+'Assumptions - Freight'!V$153)))," ")</f>
        <v>1.5650944607655832</v>
      </c>
      <c r="W213" s="115">
        <f>IF(W$16=1,IF(AND($D$205=1,$D$208=1),V213*(1+$D$207),IF('Assumptions - Freight'!$E$143=1,V213*('Assumptions - Freight'!$E$152*'Assumptions - General'!W$37+1)*(1+'Assumptions - Freight'!W$153),V213*(1+'Assumptions - Freight'!W$153)))," ")</f>
        <v>1.6068824828680242</v>
      </c>
      <c r="X213" s="115">
        <f>IF(X$16=1,IF(AND($D$205=1,$D$208=1),W213*(1+$D$207),IF('Assumptions - Freight'!$E$143=1,W213*('Assumptions - Freight'!$E$152*'Assumptions - General'!X$37+1)*(1+'Assumptions - Freight'!X$153),W213*(1+'Assumptions - Freight'!X$153)))," ")</f>
        <v>1.6497862451606002</v>
      </c>
      <c r="Y213" s="115">
        <f>IF(Y$16=1,IF(AND($D$205=1,$D$208=1),X213*(1+$D$207),IF('Assumptions - Freight'!$E$143=1,X213*('Assumptions - Freight'!$E$152*'Assumptions - General'!Y$37+1)*(1+'Assumptions - Freight'!Y$153),X213*(1+'Assumptions - Freight'!Y$153)))," ")</f>
        <v>1.6938355379063881</v>
      </c>
      <c r="Z213" s="115">
        <f>IF(Z$16=1,IF(AND($D$205=1,$D$208=1),Y213*(1+$D$207),IF('Assumptions - Freight'!$E$143=1,Y213*('Assumptions - Freight'!$E$152*'Assumptions - General'!Z$37+1)*(1+'Assumptions - Freight'!Z$153),Y213*(1+'Assumptions - Freight'!Z$153)))," ")</f>
        <v>1.7390609467684885</v>
      </c>
      <c r="AA213" s="115">
        <f>IF(AA$16=1,IF(AND($D$205=1,$D$208=1),Z213*(1+$D$207),IF('Assumptions - Freight'!$E$143=1,Z213*('Assumptions - Freight'!$E$152*'Assumptions - General'!AA$37+1)*(1+'Assumptions - Freight'!AA$153),Z213*(1+'Assumptions - Freight'!AA$153)))," ")</f>
        <v>1.7854938740472071</v>
      </c>
      <c r="AB213" s="115">
        <f>IF(AB$16=1,IF(AND($D$205=1,$D$208=1),AA213*(1+$D$207),IF('Assumptions - Freight'!$E$143=1,AA213*('Assumptions - Freight'!$E$152*'Assumptions - General'!AB$37+1)*(1+'Assumptions - Freight'!AB$153),AA213*(1+'Assumptions - Freight'!AB$153)))," ")</f>
        <v>1.8331665604842673</v>
      </c>
      <c r="AC213" s="115">
        <f>IF(AC$16=1,IF(AND($D$205=1,$D$208=1),AB213*(1+$D$207),IF('Assumptions - Freight'!$E$143=1,AB213*('Assumptions - Freight'!$E$152*'Assumptions - General'!AC$37+1)*(1+'Assumptions - Freight'!AC$153),AB213*(1+'Assumptions - Freight'!AC$153)))," ")</f>
        <v>1.8821121076491971</v>
      </c>
      <c r="AD213" s="115">
        <f>IF(AD$16=1,IF(AND($D$205=1,$D$208=1),AC213*(1+$D$207),IF('Assumptions - Freight'!$E$143=1,AC213*('Assumptions - Freight'!$E$152*'Assumptions - General'!AD$37+1)*(1+'Assumptions - Freight'!AD$153),AC213*(1+'Assumptions - Freight'!AD$153)))," ")</f>
        <v>1.9323645009234305</v>
      </c>
      <c r="AE213" s="115">
        <f>IF(AE$16=1,IF(AND($D$205=1,$D$208=1),AD213*(1+$D$207),IF('Assumptions - Freight'!$E$143=1,AD213*('Assumptions - Freight'!$E$152*'Assumptions - General'!AE$37+1)*(1+'Assumptions - Freight'!AE$153),AD213*(1+'Assumptions - Freight'!AE$153)))," ")</f>
        <v>1.9839586330980861</v>
      </c>
      <c r="AF213" s="115">
        <f>IF(AF$16=1,IF(AND($D$205=1,$D$208=1),AE213*(1+$D$207),IF('Assumptions - Freight'!$E$143=1,AE213*('Assumptions - Freight'!$E$152*'Assumptions - General'!AF$37+1)*(1+'Assumptions - Freight'!AF$153),AE213*(1+'Assumptions - Freight'!AF$153)))," ")</f>
        <v>2.0369303286018048</v>
      </c>
      <c r="AG213" s="115">
        <f>IF(AG$16=1,IF(AND($D$205=1,$D$208=1),AF213*(1+$D$207),IF('Assumptions - Freight'!$E$143=1,AF213*('Assumptions - Freight'!$E$152*'Assumptions - General'!AG$37+1)*(1+'Assumptions - Freight'!AG$153),AF213*(1+'Assumptions - Freight'!AG$153)))," ")</f>
        <v>2.0913163683754727</v>
      </c>
      <c r="AH213" s="115">
        <f>IF(AH$16=1,IF(AND($D$205=1,$D$208=1),AG213*(1+$D$207),IF('Assumptions - Freight'!$E$143=1,AG213*('Assumptions - Freight'!$E$152*'Assumptions - General'!AH$37+1)*(1+'Assumptions - Freight'!AH$153),AG213*(1+'Assumptions - Freight'!AH$153)))," ")</f>
        <v>2.1471545154110978</v>
      </c>
    </row>
    <row r="214" spans="1:34" x14ac:dyDescent="0.2">
      <c r="A214" s="18"/>
      <c r="B214" s="14" t="s">
        <v>35</v>
      </c>
      <c r="C214" s="8"/>
      <c r="D214" s="8" t="s">
        <v>15</v>
      </c>
      <c r="E214" s="464"/>
      <c r="F214" s="11">
        <f t="shared" ref="F214:AH214" si="58">IF(AND(F$16=1,$E$213&gt;0),F213/E213-1," ")</f>
        <v>2.6699999999999946E-2</v>
      </c>
      <c r="G214" s="11">
        <f t="shared" si="58"/>
        <v>2.6699999999999946E-2</v>
      </c>
      <c r="H214" s="11">
        <f t="shared" si="58"/>
        <v>2.6699999999999946E-2</v>
      </c>
      <c r="I214" s="11">
        <f t="shared" si="58"/>
        <v>2.6699999999999946E-2</v>
      </c>
      <c r="J214" s="11">
        <f t="shared" si="58"/>
        <v>2.6699999999999946E-2</v>
      </c>
      <c r="K214" s="11">
        <f t="shared" si="58"/>
        <v>2.6699999999999946E-2</v>
      </c>
      <c r="L214" s="11">
        <f t="shared" si="58"/>
        <v>2.6699999999999946E-2</v>
      </c>
      <c r="M214" s="11">
        <f t="shared" si="58"/>
        <v>2.6699999999999946E-2</v>
      </c>
      <c r="N214" s="11">
        <f t="shared" si="58"/>
        <v>2.6699999999999946E-2</v>
      </c>
      <c r="O214" s="11">
        <f t="shared" si="58"/>
        <v>2.6699999999999946E-2</v>
      </c>
      <c r="P214" s="11">
        <f t="shared" si="58"/>
        <v>2.6699999999999946E-2</v>
      </c>
      <c r="Q214" s="11">
        <f t="shared" si="58"/>
        <v>2.6699999999999946E-2</v>
      </c>
      <c r="R214" s="11">
        <f t="shared" si="58"/>
        <v>2.6699999999999946E-2</v>
      </c>
      <c r="S214" s="11">
        <f t="shared" si="58"/>
        <v>2.6699999999999946E-2</v>
      </c>
      <c r="T214" s="11">
        <f t="shared" si="58"/>
        <v>2.6699999999999946E-2</v>
      </c>
      <c r="U214" s="11">
        <f t="shared" si="58"/>
        <v>2.6699999999999946E-2</v>
      </c>
      <c r="V214" s="11">
        <f t="shared" si="58"/>
        <v>2.6699999999999946E-2</v>
      </c>
      <c r="W214" s="11">
        <f t="shared" si="58"/>
        <v>2.6699999999999946E-2</v>
      </c>
      <c r="X214" s="11">
        <f t="shared" si="58"/>
        <v>2.6699999999999946E-2</v>
      </c>
      <c r="Y214" s="11">
        <f t="shared" si="58"/>
        <v>2.6699999999999946E-2</v>
      </c>
      <c r="Z214" s="11">
        <f t="shared" si="58"/>
        <v>2.6699999999999946E-2</v>
      </c>
      <c r="AA214" s="11">
        <f t="shared" si="58"/>
        <v>2.6699999999999946E-2</v>
      </c>
      <c r="AB214" s="11">
        <f t="shared" si="58"/>
        <v>2.6699999999999946E-2</v>
      </c>
      <c r="AC214" s="11">
        <f t="shared" si="58"/>
        <v>2.6699999999999946E-2</v>
      </c>
      <c r="AD214" s="11">
        <f t="shared" si="58"/>
        <v>2.6699999999999946E-2</v>
      </c>
      <c r="AE214" s="11">
        <f t="shared" si="58"/>
        <v>2.6699999999999946E-2</v>
      </c>
      <c r="AF214" s="11">
        <f t="shared" si="58"/>
        <v>2.6699999999999946E-2</v>
      </c>
      <c r="AG214" s="11">
        <f t="shared" si="58"/>
        <v>2.6699999999999946E-2</v>
      </c>
      <c r="AH214" s="11">
        <f t="shared" si="58"/>
        <v>2.6699999999999946E-2</v>
      </c>
    </row>
    <row r="215" spans="1:34" x14ac:dyDescent="0.2">
      <c r="A215" s="18"/>
      <c r="B215" s="8" t="str">
        <f>'Assumptions - Freight'!E118 &amp;" per-unit tariff "</f>
        <v xml:space="preserve">Commodity 3 per-unit tariff </v>
      </c>
      <c r="C215" s="8"/>
      <c r="D215" s="8" t="str">
        <f>D213</f>
        <v>R$/Ton-km</v>
      </c>
      <c r="E215" s="464">
        <f>IF(E$16=1,IF($D$205=1,'Assumptions - Freight'!E156*$D$206,'Assumptions - Freight'!E156),0)</f>
        <v>1</v>
      </c>
      <c r="F215" s="115">
        <f>IF(F$16=1,IF(AND($D$205=1,$D$208=1),E215*(1+$D$207),IF('Assumptions - Freight'!$E$143=1,E215*('Assumptions - Freight'!$E$157*'Assumptions - General'!F$37+1)*(1+'Assumptions - Freight'!F$158),E215*(1+'Assumptions - Freight'!F$158)))," ")</f>
        <v>1.03</v>
      </c>
      <c r="G215" s="115">
        <f>IF(G$16=1,IF(AND($D$205=1,$D$208=1),F215*(1+$D$207),IF('Assumptions - Freight'!$E$143=1,F215*('Assumptions - Freight'!$E$157*'Assumptions - General'!G$37+1)*(1+'Assumptions - Freight'!G$158),F215*(1+'Assumptions - Freight'!G$158)))," ")</f>
        <v>1.0609</v>
      </c>
      <c r="H215" s="115">
        <f>IF(H$16=1,IF(AND($D$205=1,$D$208=1),G215*(1+$D$207),IF('Assumptions - Freight'!$E$143=1,G215*('Assumptions - Freight'!$E$157*'Assumptions - General'!H$37+1)*(1+'Assumptions - Freight'!H$158),G215*(1+'Assumptions - Freight'!H$158)))," ")</f>
        <v>1.092727</v>
      </c>
      <c r="I215" s="115">
        <f>IF(I$16=1,IF(AND($D$205=1,$D$208=1),H215*(1+$D$207),IF('Assumptions - Freight'!$E$143=1,H215*('Assumptions - Freight'!$E$157*'Assumptions - General'!I$37+1)*(1+'Assumptions - Freight'!I$158),H215*(1+'Assumptions - Freight'!I$158)))," ")</f>
        <v>1.1255088100000001</v>
      </c>
      <c r="J215" s="115">
        <f>IF(J$16=1,IF(AND($D$205=1,$D$208=1),I215*(1+$D$207),IF('Assumptions - Freight'!$E$143=1,I215*('Assumptions - Freight'!$E$157*'Assumptions - General'!J$37+1)*(1+'Assumptions - Freight'!J$158),I215*(1+'Assumptions - Freight'!J$158)))," ")</f>
        <v>1.1592740743000001</v>
      </c>
      <c r="K215" s="115">
        <f>IF(K$16=1,IF(AND($D$205=1,$D$208=1),J215*(1+$D$207),IF('Assumptions - Freight'!$E$143=1,J215*('Assumptions - Freight'!$E$157*'Assumptions - General'!K$37+1)*(1+'Assumptions - Freight'!K$158),J215*(1+'Assumptions - Freight'!K$158)))," ")</f>
        <v>1.1940522965290001</v>
      </c>
      <c r="L215" s="115">
        <f>IF(L$16=1,IF(AND($D$205=1,$D$208=1),K215*(1+$D$207),IF('Assumptions - Freight'!$E$143=1,K215*('Assumptions - Freight'!$E$157*'Assumptions - General'!L$37+1)*(1+'Assumptions - Freight'!L$158),K215*(1+'Assumptions - Freight'!L$158)))," ")</f>
        <v>1.2298738654248702</v>
      </c>
      <c r="M215" s="115">
        <f>IF(M$16=1,IF(AND($D$205=1,$D$208=1),L215*(1+$D$207),IF('Assumptions - Freight'!$E$143=1,L215*('Assumptions - Freight'!$E$157*'Assumptions - General'!M$37+1)*(1+'Assumptions - Freight'!M$158),L215*(1+'Assumptions - Freight'!M$158)))," ")</f>
        <v>1.2667700813876164</v>
      </c>
      <c r="N215" s="115">
        <f>IF(N$16=1,IF(AND($D$205=1,$D$208=1),M215*(1+$D$207),IF('Assumptions - Freight'!$E$143=1,M215*('Assumptions - Freight'!$E$157*'Assumptions - General'!N$37+1)*(1+'Assumptions - Freight'!N$158),M215*(1+'Assumptions - Freight'!N$158)))," ")</f>
        <v>1.3047731838292449</v>
      </c>
      <c r="O215" s="115">
        <f>IF(O$16=1,IF(AND($D$205=1,$D$208=1),N215*(1+$D$207),IF('Assumptions - Freight'!$E$143=1,N215*('Assumptions - Freight'!$E$157*'Assumptions - General'!O$37+1)*(1+'Assumptions - Freight'!O$158),N215*(1+'Assumptions - Freight'!O$158)))," ")</f>
        <v>1.3439163793441222</v>
      </c>
      <c r="P215" s="115">
        <f>IF(P$16=1,IF(AND($D$205=1,$D$208=1),O215*(1+$D$207),IF('Assumptions - Freight'!$E$143=1,O215*('Assumptions - Freight'!$E$157*'Assumptions - General'!P$37+1)*(1+'Assumptions - Freight'!P$158),O215*(1+'Assumptions - Freight'!P$158)))," ")</f>
        <v>1.3842338707244459</v>
      </c>
      <c r="Q215" s="115">
        <f>IF(Q$16=1,IF(AND($D$205=1,$D$208=1),P215*(1+$D$207),IF('Assumptions - Freight'!$E$143=1,P215*('Assumptions - Freight'!$E$157*'Assumptions - General'!Q$37+1)*(1+'Assumptions - Freight'!Q$158),P215*(1+'Assumptions - Freight'!Q$158)))," ")</f>
        <v>1.4257608868461793</v>
      </c>
      <c r="R215" s="115">
        <f>IF(R$16=1,IF(AND($D$205=1,$D$208=1),Q215*(1+$D$207),IF('Assumptions - Freight'!$E$143=1,Q215*('Assumptions - Freight'!$E$157*'Assumptions - General'!R$37+1)*(1+'Assumptions - Freight'!R$158),Q215*(1+'Assumptions - Freight'!R$158)))," ")</f>
        <v>1.4685337134515648</v>
      </c>
      <c r="S215" s="115">
        <f>IF(S$16=1,IF(AND($D$205=1,$D$208=1),R215*(1+$D$207),IF('Assumptions - Freight'!$E$143=1,R215*('Assumptions - Freight'!$E$157*'Assumptions - General'!S$37+1)*(1+'Assumptions - Freight'!S$158),R215*(1+'Assumptions - Freight'!S$158)))," ")</f>
        <v>1.5125897248551119</v>
      </c>
      <c r="T215" s="115">
        <f>IF(T$16=1,IF(AND($D$205=1,$D$208=1),S215*(1+$D$207),IF('Assumptions - Freight'!$E$143=1,S215*('Assumptions - Freight'!$E$157*'Assumptions - General'!T$37+1)*(1+'Assumptions - Freight'!T$158),S215*(1+'Assumptions - Freight'!T$158)))," ")</f>
        <v>1.5579674166007653</v>
      </c>
      <c r="U215" s="115">
        <f>IF(U$16=1,IF(AND($D$205=1,$D$208=1),T215*(1+$D$207),IF('Assumptions - Freight'!$E$143=1,T215*('Assumptions - Freight'!$E$157*'Assumptions - General'!U$37+1)*(1+'Assumptions - Freight'!U$158),T215*(1+'Assumptions - Freight'!U$158)))," ")</f>
        <v>1.6047064390987884</v>
      </c>
      <c r="V215" s="115">
        <f>IF(V$16=1,IF(AND($D$205=1,$D$208=1),U215*(1+$D$207),IF('Assumptions - Freight'!$E$143=1,U215*('Assumptions - Freight'!$E$157*'Assumptions - General'!V$37+1)*(1+'Assumptions - Freight'!V$158),U215*(1+'Assumptions - Freight'!V$158)))," ")</f>
        <v>1.652847632271752</v>
      </c>
      <c r="W215" s="115">
        <f>IF(W$16=1,IF(AND($D$205=1,$D$208=1),V215*(1+$D$207),IF('Assumptions - Freight'!$E$143=1,V215*('Assumptions - Freight'!$E$157*'Assumptions - General'!W$37+1)*(1+'Assumptions - Freight'!W$158),V215*(1+'Assumptions - Freight'!W$158)))," ")</f>
        <v>1.7024330612399046</v>
      </c>
      <c r="X215" s="115">
        <f>IF(X$16=1,IF(AND($D$205=1,$D$208=1),W215*(1+$D$207),IF('Assumptions - Freight'!$E$143=1,W215*('Assumptions - Freight'!$E$157*'Assumptions - General'!X$37+1)*(1+'Assumptions - Freight'!X$158),W215*(1+'Assumptions - Freight'!X$158)))," ")</f>
        <v>1.7535060530771018</v>
      </c>
      <c r="Y215" s="115">
        <f>IF(Y$16=1,IF(AND($D$205=1,$D$208=1),X215*(1+$D$207),IF('Assumptions - Freight'!$E$143=1,X215*('Assumptions - Freight'!$E$157*'Assumptions - General'!Y$37+1)*(1+'Assumptions - Freight'!Y$158),X215*(1+'Assumptions - Freight'!Y$158)))," ")</f>
        <v>1.806111234669415</v>
      </c>
      <c r="Z215" s="115">
        <f>IF(Z$16=1,IF(AND($D$205=1,$D$208=1),Y215*(1+$D$207),IF('Assumptions - Freight'!$E$143=1,Y215*('Assumptions - Freight'!$E$157*'Assumptions - General'!Z$37+1)*(1+'Assumptions - Freight'!Z$158),Y215*(1+'Assumptions - Freight'!Z$158)))," ")</f>
        <v>1.8602945717094976</v>
      </c>
      <c r="AA215" s="115">
        <f>IF(AA$16=1,IF(AND($D$205=1,$D$208=1),Z215*(1+$D$207),IF('Assumptions - Freight'!$E$143=1,Z215*('Assumptions - Freight'!$E$157*'Assumptions - General'!AA$37+1)*(1+'Assumptions - Freight'!AA$158),Z215*(1+'Assumptions - Freight'!AA$158)))," ")</f>
        <v>1.9161034088607827</v>
      </c>
      <c r="AB215" s="115">
        <f>IF(AB$16=1,IF(AND($D$205=1,$D$208=1),AA215*(1+$D$207),IF('Assumptions - Freight'!$E$143=1,AA215*('Assumptions - Freight'!$E$157*'Assumptions - General'!AB$37+1)*(1+'Assumptions - Freight'!AB$158),AA215*(1+'Assumptions - Freight'!AB$158)))," ")</f>
        <v>1.9735865111266062</v>
      </c>
      <c r="AC215" s="115">
        <f>IF(AC$16=1,IF(AND($D$205=1,$D$208=1),AB215*(1+$D$207),IF('Assumptions - Freight'!$E$143=1,AB215*('Assumptions - Freight'!$E$157*'Assumptions - General'!AC$37+1)*(1+'Assumptions - Freight'!AC$158),AB215*(1+'Assumptions - Freight'!AC$158)))," ")</f>
        <v>2.0327941064604045</v>
      </c>
      <c r="AD215" s="115">
        <f>IF(AD$16=1,IF(AND($D$205=1,$D$208=1),AC215*(1+$D$207),IF('Assumptions - Freight'!$E$143=1,AC215*('Assumptions - Freight'!$E$157*'Assumptions - General'!AD$37+1)*(1+'Assumptions - Freight'!AD$158),AC215*(1+'Assumptions - Freight'!AD$158)))," ")</f>
        <v>2.0937779296542165</v>
      </c>
      <c r="AE215" s="115">
        <f>IF(AE$16=1,IF(AND($D$205=1,$D$208=1),AD215*(1+$D$207),IF('Assumptions - Freight'!$E$143=1,AD215*('Assumptions - Freight'!$E$157*'Assumptions - General'!AE$37+1)*(1+'Assumptions - Freight'!AE$158),AD215*(1+'Assumptions - Freight'!AE$158)))," ")</f>
        <v>2.1565912675438432</v>
      </c>
      <c r="AF215" s="115">
        <f>IF(AF$16=1,IF(AND($D$205=1,$D$208=1),AE215*(1+$D$207),IF('Assumptions - Freight'!$E$143=1,AE215*('Assumptions - Freight'!$E$157*'Assumptions - General'!AF$37+1)*(1+'Assumptions - Freight'!AF$158),AE215*(1+'Assumptions - Freight'!AF$158)))," ")</f>
        <v>2.2212890055701586</v>
      </c>
      <c r="AG215" s="115">
        <f>IF(AG$16=1,IF(AND($D$205=1,$D$208=1),AF215*(1+$D$207),IF('Assumptions - Freight'!$E$143=1,AF215*('Assumptions - Freight'!$E$157*'Assumptions - General'!AG$37+1)*(1+'Assumptions - Freight'!AG$158),AF215*(1+'Assumptions - Freight'!AG$158)))," ")</f>
        <v>2.2879276757372633</v>
      </c>
      <c r="AH215" s="115">
        <f>IF(AH$16=1,IF(AND($D$205=1,$D$208=1),AG215*(1+$D$207),IF('Assumptions - Freight'!$E$143=1,AG215*('Assumptions - Freight'!$E$157*'Assumptions - General'!AH$37+1)*(1+'Assumptions - Freight'!AH$158),AG215*(1+'Assumptions - Freight'!AH$158)))," ")</f>
        <v>2.3565655060093813</v>
      </c>
    </row>
    <row r="216" spans="1:34" x14ac:dyDescent="0.2">
      <c r="A216" s="18"/>
      <c r="B216" s="14" t="s">
        <v>35</v>
      </c>
      <c r="C216" s="8"/>
      <c r="D216" s="8" t="s">
        <v>15</v>
      </c>
      <c r="E216" s="464"/>
      <c r="F216" s="11">
        <f t="shared" ref="F216:AH216" si="59">IF(AND(F$16=1,$E$215&gt;0),F215/E215-1," ")</f>
        <v>3.0000000000000027E-2</v>
      </c>
      <c r="G216" s="11">
        <f t="shared" si="59"/>
        <v>3.0000000000000027E-2</v>
      </c>
      <c r="H216" s="11">
        <f t="shared" si="59"/>
        <v>3.0000000000000027E-2</v>
      </c>
      <c r="I216" s="11">
        <f t="shared" si="59"/>
        <v>3.0000000000000027E-2</v>
      </c>
      <c r="J216" s="11">
        <f t="shared" si="59"/>
        <v>3.0000000000000027E-2</v>
      </c>
      <c r="K216" s="11">
        <f t="shared" si="59"/>
        <v>3.0000000000000027E-2</v>
      </c>
      <c r="L216" s="11">
        <f t="shared" si="59"/>
        <v>3.0000000000000027E-2</v>
      </c>
      <c r="M216" s="11">
        <f t="shared" si="59"/>
        <v>3.0000000000000027E-2</v>
      </c>
      <c r="N216" s="11">
        <f t="shared" si="59"/>
        <v>3.0000000000000027E-2</v>
      </c>
      <c r="O216" s="11">
        <f t="shared" si="59"/>
        <v>3.0000000000000027E-2</v>
      </c>
      <c r="P216" s="11">
        <f t="shared" si="59"/>
        <v>3.0000000000000027E-2</v>
      </c>
      <c r="Q216" s="11">
        <f t="shared" si="59"/>
        <v>3.0000000000000027E-2</v>
      </c>
      <c r="R216" s="11">
        <f t="shared" si="59"/>
        <v>3.0000000000000027E-2</v>
      </c>
      <c r="S216" s="11">
        <f t="shared" si="59"/>
        <v>3.0000000000000027E-2</v>
      </c>
      <c r="T216" s="11">
        <f t="shared" si="59"/>
        <v>3.0000000000000027E-2</v>
      </c>
      <c r="U216" s="11">
        <f t="shared" si="59"/>
        <v>3.0000000000000027E-2</v>
      </c>
      <c r="V216" s="11">
        <f t="shared" si="59"/>
        <v>3.0000000000000027E-2</v>
      </c>
      <c r="W216" s="11">
        <f t="shared" si="59"/>
        <v>3.0000000000000027E-2</v>
      </c>
      <c r="X216" s="11">
        <f t="shared" si="59"/>
        <v>3.0000000000000027E-2</v>
      </c>
      <c r="Y216" s="11">
        <f t="shared" si="59"/>
        <v>3.0000000000000027E-2</v>
      </c>
      <c r="Z216" s="11">
        <f t="shared" si="59"/>
        <v>3.0000000000000027E-2</v>
      </c>
      <c r="AA216" s="11">
        <f t="shared" si="59"/>
        <v>3.0000000000000027E-2</v>
      </c>
      <c r="AB216" s="11">
        <f t="shared" si="59"/>
        <v>3.0000000000000027E-2</v>
      </c>
      <c r="AC216" s="11">
        <f t="shared" si="59"/>
        <v>3.0000000000000027E-2</v>
      </c>
      <c r="AD216" s="11">
        <f t="shared" si="59"/>
        <v>3.0000000000000027E-2</v>
      </c>
      <c r="AE216" s="11">
        <f t="shared" si="59"/>
        <v>3.0000000000000027E-2</v>
      </c>
      <c r="AF216" s="11">
        <f t="shared" si="59"/>
        <v>3.0000000000000027E-2</v>
      </c>
      <c r="AG216" s="11">
        <f t="shared" si="59"/>
        <v>3.0000000000000027E-2</v>
      </c>
      <c r="AH216" s="11">
        <f t="shared" si="59"/>
        <v>3.0000000000000027E-2</v>
      </c>
    </row>
    <row r="217" spans="1:34" x14ac:dyDescent="0.2">
      <c r="A217" s="18"/>
      <c r="B217" s="8" t="str">
        <f>'Assumptions - Freight'!E119 &amp;" per-unit tariff "</f>
        <v xml:space="preserve">Commodity 4 per-unit tariff </v>
      </c>
      <c r="C217" s="8"/>
      <c r="D217" s="8" t="str">
        <f>D215</f>
        <v>R$/Ton-km</v>
      </c>
      <c r="E217" s="464">
        <f>IF(E$16=1,IF($D$205=1,'Assumptions - Freight'!E161*$D$206,'Assumptions - Freight'!E161),0)</f>
        <v>1</v>
      </c>
      <c r="F217" s="115">
        <f>IF(F$16=1,IF(AND($D$205=1,$D$208=1),E217*(1+$D$207),IF('Assumptions - Freight'!$E$143=1,E217*('Assumptions - Freight'!$E$162*'Assumptions - General'!F$37+1)*(1+'Assumptions - Freight'!F$163),E217*(1+'Assumptions - Freight'!F$163)))," ")</f>
        <v>1.03</v>
      </c>
      <c r="G217" s="115">
        <f>IF(G$16=1,IF(AND($D$205=1,$D$208=1),F217*(1+$D$207),IF('Assumptions - Freight'!$E$143=1,F217*('Assumptions - Freight'!$E$162*'Assumptions - General'!G$37+1)*(1+'Assumptions - Freight'!G$163),F217*(1+'Assumptions - Freight'!G$163)))," ")</f>
        <v>1.0609</v>
      </c>
      <c r="H217" s="115">
        <f>IF(H$16=1,IF(AND($D$205=1,$D$208=1),G217*(1+$D$207),IF('Assumptions - Freight'!$E$143=1,G217*('Assumptions - Freight'!$E$162*'Assumptions - General'!H$37+1)*(1+'Assumptions - Freight'!H$163),G217*(1+'Assumptions - Freight'!H$163)))," ")</f>
        <v>1.092727</v>
      </c>
      <c r="I217" s="115">
        <f>IF(I$16=1,IF(AND($D$205=1,$D$208=1),H217*(1+$D$207),IF('Assumptions - Freight'!$E$143=1,H217*('Assumptions - Freight'!$E$162*'Assumptions - General'!I$37+1)*(1+'Assumptions - Freight'!I$163),H217*(1+'Assumptions - Freight'!I$163)))," ")</f>
        <v>1.1255088100000001</v>
      </c>
      <c r="J217" s="115">
        <f>IF(J$16=1,IF(AND($D$205=1,$D$208=1),I217*(1+$D$207),IF('Assumptions - Freight'!$E$143=1,I217*('Assumptions - Freight'!$E$162*'Assumptions - General'!J$37+1)*(1+'Assumptions - Freight'!J$163),I217*(1+'Assumptions - Freight'!J$163)))," ")</f>
        <v>1.1592740743000001</v>
      </c>
      <c r="K217" s="115">
        <f>IF(K$16=1,IF(AND($D$205=1,$D$208=1),J217*(1+$D$207),IF('Assumptions - Freight'!$E$143=1,J217*('Assumptions - Freight'!$E$162*'Assumptions - General'!K$37+1)*(1+'Assumptions - Freight'!K$163),J217*(1+'Assumptions - Freight'!K$163)))," ")</f>
        <v>1.1940522965290001</v>
      </c>
      <c r="L217" s="115">
        <f>IF(L$16=1,IF(AND($D$205=1,$D$208=1),K217*(1+$D$207),IF('Assumptions - Freight'!$E$143=1,K217*('Assumptions - Freight'!$E$162*'Assumptions - General'!L$37+1)*(1+'Assumptions - Freight'!L$163),K217*(1+'Assumptions - Freight'!L$163)))," ")</f>
        <v>1.2298738654248702</v>
      </c>
      <c r="M217" s="115">
        <f>IF(M$16=1,IF(AND($D$205=1,$D$208=1),L217*(1+$D$207),IF('Assumptions - Freight'!$E$143=1,L217*('Assumptions - Freight'!$E$162*'Assumptions - General'!M$37+1)*(1+'Assumptions - Freight'!M$163),L217*(1+'Assumptions - Freight'!M$163)))," ")</f>
        <v>1.2667700813876164</v>
      </c>
      <c r="N217" s="115">
        <f>IF(N$16=1,IF(AND($D$205=1,$D$208=1),M217*(1+$D$207),IF('Assumptions - Freight'!$E$143=1,M217*('Assumptions - Freight'!$E$162*'Assumptions - General'!N$37+1)*(1+'Assumptions - Freight'!N$163),M217*(1+'Assumptions - Freight'!N$163)))," ")</f>
        <v>1.3047731838292449</v>
      </c>
      <c r="O217" s="115">
        <f>IF(O$16=1,IF(AND($D$205=1,$D$208=1),N217*(1+$D$207),IF('Assumptions - Freight'!$E$143=1,N217*('Assumptions - Freight'!$E$162*'Assumptions - General'!O$37+1)*(1+'Assumptions - Freight'!O$163),N217*(1+'Assumptions - Freight'!O$163)))," ")</f>
        <v>1.3439163793441222</v>
      </c>
      <c r="P217" s="115">
        <f>IF(P$16=1,IF(AND($D$205=1,$D$208=1),O217*(1+$D$207),IF('Assumptions - Freight'!$E$143=1,O217*('Assumptions - Freight'!$E$162*'Assumptions - General'!P$37+1)*(1+'Assumptions - Freight'!P$163),O217*(1+'Assumptions - Freight'!P$163)))," ")</f>
        <v>1.3842338707244459</v>
      </c>
      <c r="Q217" s="115">
        <f>IF(Q$16=1,IF(AND($D$205=1,$D$208=1),P217*(1+$D$207),IF('Assumptions - Freight'!$E$143=1,P217*('Assumptions - Freight'!$E$162*'Assumptions - General'!Q$37+1)*(1+'Assumptions - Freight'!Q$163),P217*(1+'Assumptions - Freight'!Q$163)))," ")</f>
        <v>1.4257608868461793</v>
      </c>
      <c r="R217" s="115">
        <f>IF(R$16=1,IF(AND($D$205=1,$D$208=1),Q217*(1+$D$207),IF('Assumptions - Freight'!$E$143=1,Q217*('Assumptions - Freight'!$E$162*'Assumptions - General'!R$37+1)*(1+'Assumptions - Freight'!R$163),Q217*(1+'Assumptions - Freight'!R$163)))," ")</f>
        <v>1.4685337134515648</v>
      </c>
      <c r="S217" s="115">
        <f>IF(S$16=1,IF(AND($D$205=1,$D$208=1),R217*(1+$D$207),IF('Assumptions - Freight'!$E$143=1,R217*('Assumptions - Freight'!$E$162*'Assumptions - General'!S$37+1)*(1+'Assumptions - Freight'!S$163),R217*(1+'Assumptions - Freight'!S$163)))," ")</f>
        <v>1.5125897248551119</v>
      </c>
      <c r="T217" s="115">
        <f>IF(T$16=1,IF(AND($D$205=1,$D$208=1),S217*(1+$D$207),IF('Assumptions - Freight'!$E$143=1,S217*('Assumptions - Freight'!$E$162*'Assumptions - General'!T$37+1)*(1+'Assumptions - Freight'!T$163),S217*(1+'Assumptions - Freight'!T$163)))," ")</f>
        <v>1.5579674166007653</v>
      </c>
      <c r="U217" s="115">
        <f>IF(U$16=1,IF(AND($D$205=1,$D$208=1),T217*(1+$D$207),IF('Assumptions - Freight'!$E$143=1,T217*('Assumptions - Freight'!$E$162*'Assumptions - General'!U$37+1)*(1+'Assumptions - Freight'!U$163),T217*(1+'Assumptions - Freight'!U$163)))," ")</f>
        <v>1.6047064390987884</v>
      </c>
      <c r="V217" s="115">
        <f>IF(V$16=1,IF(AND($D$205=1,$D$208=1),U217*(1+$D$207),IF('Assumptions - Freight'!$E$143=1,U217*('Assumptions - Freight'!$E$162*'Assumptions - General'!V$37+1)*(1+'Assumptions - Freight'!V$163),U217*(1+'Assumptions - Freight'!V$163)))," ")</f>
        <v>1.652847632271752</v>
      </c>
      <c r="W217" s="115">
        <f>IF(W$16=1,IF(AND($D$205=1,$D$208=1),V217*(1+$D$207),IF('Assumptions - Freight'!$E$143=1,V217*('Assumptions - Freight'!$E$162*'Assumptions - General'!W$37+1)*(1+'Assumptions - Freight'!W$163),V217*(1+'Assumptions - Freight'!W$163)))," ")</f>
        <v>1.7024330612399046</v>
      </c>
      <c r="X217" s="115">
        <f>IF(X$16=1,IF(AND($D$205=1,$D$208=1),W217*(1+$D$207),IF('Assumptions - Freight'!$E$143=1,W217*('Assumptions - Freight'!$E$162*'Assumptions - General'!X$37+1)*(1+'Assumptions - Freight'!X$163),W217*(1+'Assumptions - Freight'!X$163)))," ")</f>
        <v>1.7535060530771018</v>
      </c>
      <c r="Y217" s="115">
        <f>IF(Y$16=1,IF(AND($D$205=1,$D$208=1),X217*(1+$D$207),IF('Assumptions - Freight'!$E$143=1,X217*('Assumptions - Freight'!$E$162*'Assumptions - General'!Y$37+1)*(1+'Assumptions - Freight'!Y$163),X217*(1+'Assumptions - Freight'!Y$163)))," ")</f>
        <v>1.806111234669415</v>
      </c>
      <c r="Z217" s="115">
        <f>IF(Z$16=1,IF(AND($D$205=1,$D$208=1),Y217*(1+$D$207),IF('Assumptions - Freight'!$E$143=1,Y217*('Assumptions - Freight'!$E$162*'Assumptions - General'!Z$37+1)*(1+'Assumptions - Freight'!Z$163),Y217*(1+'Assumptions - Freight'!Z$163)))," ")</f>
        <v>1.8602945717094976</v>
      </c>
      <c r="AA217" s="115">
        <f>IF(AA$16=1,IF(AND($D$205=1,$D$208=1),Z217*(1+$D$207),IF('Assumptions - Freight'!$E$143=1,Z217*('Assumptions - Freight'!$E$162*'Assumptions - General'!AA$37+1)*(1+'Assumptions - Freight'!AA$163),Z217*(1+'Assumptions - Freight'!AA$163)))," ")</f>
        <v>1.9161034088607827</v>
      </c>
      <c r="AB217" s="115">
        <f>IF(AB$16=1,IF(AND($D$205=1,$D$208=1),AA217*(1+$D$207),IF('Assumptions - Freight'!$E$143=1,AA217*('Assumptions - Freight'!$E$162*'Assumptions - General'!AB$37+1)*(1+'Assumptions - Freight'!AB$163),AA217*(1+'Assumptions - Freight'!AB$163)))," ")</f>
        <v>1.9735865111266062</v>
      </c>
      <c r="AC217" s="115">
        <f>IF(AC$16=1,IF(AND($D$205=1,$D$208=1),AB217*(1+$D$207),IF('Assumptions - Freight'!$E$143=1,AB217*('Assumptions - Freight'!$E$162*'Assumptions - General'!AC$37+1)*(1+'Assumptions - Freight'!AC$163),AB217*(1+'Assumptions - Freight'!AC$163)))," ")</f>
        <v>2.0327941064604045</v>
      </c>
      <c r="AD217" s="115">
        <f>IF(AD$16=1,IF(AND($D$205=1,$D$208=1),AC217*(1+$D$207),IF('Assumptions - Freight'!$E$143=1,AC217*('Assumptions - Freight'!$E$162*'Assumptions - General'!AD$37+1)*(1+'Assumptions - Freight'!AD$163),AC217*(1+'Assumptions - Freight'!AD$163)))," ")</f>
        <v>2.0937779296542165</v>
      </c>
      <c r="AE217" s="115">
        <f>IF(AE$16=1,IF(AND($D$205=1,$D$208=1),AD217*(1+$D$207),IF('Assumptions - Freight'!$E$143=1,AD217*('Assumptions - Freight'!$E$162*'Assumptions - General'!AE$37+1)*(1+'Assumptions - Freight'!AE$163),AD217*(1+'Assumptions - Freight'!AE$163)))," ")</f>
        <v>2.1565912675438432</v>
      </c>
      <c r="AF217" s="115">
        <f>IF(AF$16=1,IF(AND($D$205=1,$D$208=1),AE217*(1+$D$207),IF('Assumptions - Freight'!$E$143=1,AE217*('Assumptions - Freight'!$E$162*'Assumptions - General'!AF$37+1)*(1+'Assumptions - Freight'!AF$163),AE217*(1+'Assumptions - Freight'!AF$163)))," ")</f>
        <v>2.2212890055701586</v>
      </c>
      <c r="AG217" s="115">
        <f>IF(AG$16=1,IF(AND($D$205=1,$D$208=1),AF217*(1+$D$207),IF('Assumptions - Freight'!$E$143=1,AF217*('Assumptions - Freight'!$E$162*'Assumptions - General'!AG$37+1)*(1+'Assumptions - Freight'!AG$163),AF217*(1+'Assumptions - Freight'!AG$163)))," ")</f>
        <v>2.2879276757372633</v>
      </c>
      <c r="AH217" s="115">
        <f>IF(AH$16=1,IF(AND($D$205=1,$D$208=1),AG217*(1+$D$207),IF('Assumptions - Freight'!$E$143=1,AG217*('Assumptions - Freight'!$E$162*'Assumptions - General'!AH$37+1)*(1+'Assumptions - Freight'!AH$163),AG217*(1+'Assumptions - Freight'!AH$163)))," ")</f>
        <v>2.3565655060093813</v>
      </c>
    </row>
    <row r="218" spans="1:34" x14ac:dyDescent="0.2">
      <c r="A218" s="18"/>
      <c r="B218" s="14" t="s">
        <v>35</v>
      </c>
      <c r="C218" s="8"/>
      <c r="D218" s="8" t="s">
        <v>15</v>
      </c>
      <c r="E218" s="464"/>
      <c r="F218" s="11">
        <f t="shared" ref="F218:AH218" si="60">IF(AND(F$16=1,$E$217&gt;0),F217/E217-1," ")</f>
        <v>3.0000000000000027E-2</v>
      </c>
      <c r="G218" s="11">
        <f t="shared" si="60"/>
        <v>3.0000000000000027E-2</v>
      </c>
      <c r="H218" s="11">
        <f t="shared" si="60"/>
        <v>3.0000000000000027E-2</v>
      </c>
      <c r="I218" s="11">
        <f t="shared" si="60"/>
        <v>3.0000000000000027E-2</v>
      </c>
      <c r="J218" s="11">
        <f t="shared" si="60"/>
        <v>3.0000000000000027E-2</v>
      </c>
      <c r="K218" s="11">
        <f t="shared" si="60"/>
        <v>3.0000000000000027E-2</v>
      </c>
      <c r="L218" s="11">
        <f t="shared" si="60"/>
        <v>3.0000000000000027E-2</v>
      </c>
      <c r="M218" s="11">
        <f t="shared" si="60"/>
        <v>3.0000000000000027E-2</v>
      </c>
      <c r="N218" s="11">
        <f t="shared" si="60"/>
        <v>3.0000000000000027E-2</v>
      </c>
      <c r="O218" s="11">
        <f t="shared" si="60"/>
        <v>3.0000000000000027E-2</v>
      </c>
      <c r="P218" s="11">
        <f t="shared" si="60"/>
        <v>3.0000000000000027E-2</v>
      </c>
      <c r="Q218" s="11">
        <f t="shared" si="60"/>
        <v>3.0000000000000027E-2</v>
      </c>
      <c r="R218" s="11">
        <f t="shared" si="60"/>
        <v>3.0000000000000027E-2</v>
      </c>
      <c r="S218" s="11">
        <f t="shared" si="60"/>
        <v>3.0000000000000027E-2</v>
      </c>
      <c r="T218" s="11">
        <f t="shared" si="60"/>
        <v>3.0000000000000027E-2</v>
      </c>
      <c r="U218" s="11">
        <f t="shared" si="60"/>
        <v>3.0000000000000027E-2</v>
      </c>
      <c r="V218" s="11">
        <f t="shared" si="60"/>
        <v>3.0000000000000027E-2</v>
      </c>
      <c r="W218" s="11">
        <f t="shared" si="60"/>
        <v>3.0000000000000027E-2</v>
      </c>
      <c r="X218" s="11">
        <f t="shared" si="60"/>
        <v>3.0000000000000027E-2</v>
      </c>
      <c r="Y218" s="11">
        <f t="shared" si="60"/>
        <v>3.0000000000000027E-2</v>
      </c>
      <c r="Z218" s="11">
        <f t="shared" si="60"/>
        <v>3.0000000000000027E-2</v>
      </c>
      <c r="AA218" s="11">
        <f t="shared" si="60"/>
        <v>3.0000000000000027E-2</v>
      </c>
      <c r="AB218" s="11">
        <f t="shared" si="60"/>
        <v>3.0000000000000027E-2</v>
      </c>
      <c r="AC218" s="11">
        <f t="shared" si="60"/>
        <v>3.0000000000000027E-2</v>
      </c>
      <c r="AD218" s="11">
        <f t="shared" si="60"/>
        <v>3.0000000000000027E-2</v>
      </c>
      <c r="AE218" s="11">
        <f t="shared" si="60"/>
        <v>3.0000000000000027E-2</v>
      </c>
      <c r="AF218" s="11">
        <f t="shared" si="60"/>
        <v>3.0000000000000027E-2</v>
      </c>
      <c r="AG218" s="11">
        <f t="shared" si="60"/>
        <v>3.0000000000000027E-2</v>
      </c>
      <c r="AH218" s="11">
        <f t="shared" si="60"/>
        <v>3.0000000000000027E-2</v>
      </c>
    </row>
    <row r="219" spans="1:34" x14ac:dyDescent="0.2">
      <c r="A219" s="18"/>
      <c r="B219" s="8" t="str">
        <f>'Assumptions - Freight'!E120 &amp;" per-unit tariff "</f>
        <v xml:space="preserve">Commodity 5 per-unit tariff </v>
      </c>
      <c r="C219" s="8"/>
      <c r="D219" s="8" t="str">
        <f>D217</f>
        <v>R$/Ton-km</v>
      </c>
      <c r="E219" s="464">
        <f>IF(E$16=1,IF($D$205=1,'Assumptions - Freight'!E166*$D$206,'Assumptions - Freight'!E166),0)</f>
        <v>1</v>
      </c>
      <c r="F219" s="115">
        <f>IF(F$16=1,IF(AND($D$205=1,$D$208=1),E219*(1+$D$207),IF('Assumptions - Freight'!$E$143=1,E219*('Assumptions - Freight'!$E$167*'Assumptions - General'!F$37+1)*(1+'Assumptions - Freight'!F$168),E219*(1+'Assumptions - Freight'!F$168)))," ")</f>
        <v>1.0297000000000001</v>
      </c>
      <c r="G219" s="115">
        <f>IF(G$16=1,IF(AND($D$205=1,$D$208=1),F219*(1+$D$207),IF('Assumptions - Freight'!$E$143=1,F219*('Assumptions - Freight'!$E$167*'Assumptions - General'!G$37+1)*(1+'Assumptions - Freight'!G$168),F219*(1+'Assumptions - Freight'!G$168)))," ")</f>
        <v>1.0602820900000001</v>
      </c>
      <c r="H219" s="115">
        <f>IF(H$16=1,IF(AND($D$205=1,$D$208=1),G219*(1+$D$207),IF('Assumptions - Freight'!$E$143=1,G219*('Assumptions - Freight'!$E$167*'Assumptions - General'!H$37+1)*(1+'Assumptions - Freight'!H$168),G219*(1+'Assumptions - Freight'!H$168)))," ")</f>
        <v>1.0917724680730001</v>
      </c>
      <c r="I219" s="115">
        <f>IF(I$16=1,IF(AND($D$205=1,$D$208=1),H219*(1+$D$207),IF('Assumptions - Freight'!$E$143=1,H219*('Assumptions - Freight'!$E$167*'Assumptions - General'!I$37+1)*(1+'Assumptions - Freight'!I$168),H219*(1+'Assumptions - Freight'!I$168)))," ")</f>
        <v>1.1241981103747682</v>
      </c>
      <c r="J219" s="115">
        <f>IF(J$16=1,IF(AND($D$205=1,$D$208=1),I219*(1+$D$207),IF('Assumptions - Freight'!$E$143=1,I219*('Assumptions - Freight'!$E$167*'Assumptions - General'!J$37+1)*(1+'Assumptions - Freight'!J$168),I219*(1+'Assumptions - Freight'!J$168)))," ")</f>
        <v>1.157586794252899</v>
      </c>
      <c r="K219" s="115">
        <f>IF(K$16=1,IF(AND($D$205=1,$D$208=1),J219*(1+$D$207),IF('Assumptions - Freight'!$E$143=1,J219*('Assumptions - Freight'!$E$167*'Assumptions - General'!K$37+1)*(1+'Assumptions - Freight'!K$168),J219*(1+'Assumptions - Freight'!K$168)))," ")</f>
        <v>1.1919671220422101</v>
      </c>
      <c r="L219" s="115">
        <f>IF(L$16=1,IF(AND($D$205=1,$D$208=1),K219*(1+$D$207),IF('Assumptions - Freight'!$E$143=1,K219*('Assumptions - Freight'!$E$167*'Assumptions - General'!L$37+1)*(1+'Assumptions - Freight'!L$168),K219*(1+'Assumptions - Freight'!L$168)))," ")</f>
        <v>1.2273685455668639</v>
      </c>
      <c r="M219" s="115">
        <f>IF(M$16=1,IF(AND($D$205=1,$D$208=1),L219*(1+$D$207),IF('Assumptions - Freight'!$E$143=1,L219*('Assumptions - Freight'!$E$167*'Assumptions - General'!M$37+1)*(1+'Assumptions - Freight'!M$168),L219*(1+'Assumptions - Freight'!M$168)))," ")</f>
        <v>1.2638213913701999</v>
      </c>
      <c r="N219" s="115">
        <f>IF(N$16=1,IF(AND($D$205=1,$D$208=1),M219*(1+$D$207),IF('Assumptions - Freight'!$E$143=1,M219*('Assumptions - Freight'!$E$167*'Assumptions - General'!N$37+1)*(1+'Assumptions - Freight'!N$168),M219*(1+'Assumptions - Freight'!N$168)))," ")</f>
        <v>1.3013568866938949</v>
      </c>
      <c r="O219" s="115">
        <f>IF(O$16=1,IF(AND($D$205=1,$D$208=1),N219*(1+$D$207),IF('Assumptions - Freight'!$E$143=1,N219*('Assumptions - Freight'!$E$167*'Assumptions - General'!O$37+1)*(1+'Assumptions - Freight'!O$168),N219*(1+'Assumptions - Freight'!O$168)))," ")</f>
        <v>1.3400071862287037</v>
      </c>
      <c r="P219" s="115">
        <f>IF(P$16=1,IF(AND($D$205=1,$D$208=1),O219*(1+$D$207),IF('Assumptions - Freight'!$E$143=1,O219*('Assumptions - Freight'!$E$167*'Assumptions - General'!P$37+1)*(1+'Assumptions - Freight'!P$168),O219*(1+'Assumptions - Freight'!P$168)))," ")</f>
        <v>1.3798053996596964</v>
      </c>
      <c r="Q219" s="115">
        <f>IF(Q$16=1,IF(AND($D$205=1,$D$208=1),P219*(1+$D$207),IF('Assumptions - Freight'!$E$143=1,P219*('Assumptions - Freight'!$E$167*'Assumptions - General'!Q$37+1)*(1+'Assumptions - Freight'!Q$168),P219*(1+'Assumptions - Freight'!Q$168)))," ")</f>
        <v>1.4207856200295894</v>
      </c>
      <c r="R219" s="115">
        <f>IF(R$16=1,IF(AND($D$205=1,$D$208=1),Q219*(1+$D$207),IF('Assumptions - Freight'!$E$143=1,Q219*('Assumptions - Freight'!$E$167*'Assumptions - General'!R$37+1)*(1+'Assumptions - Freight'!R$168),Q219*(1+'Assumptions - Freight'!R$168)))," ")</f>
        <v>1.4629829529444682</v>
      </c>
      <c r="S219" s="115">
        <f>IF(S$16=1,IF(AND($D$205=1,$D$208=1),R219*(1+$D$207),IF('Assumptions - Freight'!$E$143=1,R219*('Assumptions - Freight'!$E$167*'Assumptions - General'!S$37+1)*(1+'Assumptions - Freight'!S$168),R219*(1+'Assumptions - Freight'!S$168)))," ")</f>
        <v>1.506433546646919</v>
      </c>
      <c r="T219" s="115">
        <f>IF(T$16=1,IF(AND($D$205=1,$D$208=1),S219*(1+$D$207),IF('Assumptions - Freight'!$E$143=1,S219*('Assumptions - Freight'!$E$167*'Assumptions - General'!T$37+1)*(1+'Assumptions - Freight'!T$168),S219*(1+'Assumptions - Freight'!T$168)))," ")</f>
        <v>1.5511746229823327</v>
      </c>
      <c r="U219" s="115">
        <f>IF(U$16=1,IF(AND($D$205=1,$D$208=1),T219*(1+$D$207),IF('Assumptions - Freight'!$E$143=1,T219*('Assumptions - Freight'!$E$167*'Assumptions - General'!U$37+1)*(1+'Assumptions - Freight'!U$168),T219*(1+'Assumptions - Freight'!U$168)))," ")</f>
        <v>1.5972445092849081</v>
      </c>
      <c r="V219" s="115">
        <f>IF(V$16=1,IF(AND($D$205=1,$D$208=1),U219*(1+$D$207),IF('Assumptions - Freight'!$E$143=1,U219*('Assumptions - Freight'!$E$167*'Assumptions - General'!V$37+1)*(1+'Assumptions - Freight'!V$168),U219*(1+'Assumptions - Freight'!V$168)))," ")</f>
        <v>1.6446826712106699</v>
      </c>
      <c r="W219" s="115">
        <f>IF(W$16=1,IF(AND($D$205=1,$D$208=1),V219*(1+$D$207),IF('Assumptions - Freight'!$E$143=1,V219*('Assumptions - Freight'!$E$167*'Assumptions - General'!W$37+1)*(1+'Assumptions - Freight'!W$168),V219*(1+'Assumptions - Freight'!W$168)))," ")</f>
        <v>1.6935297465456269</v>
      </c>
      <c r="X219" s="115">
        <f>IF(X$16=1,IF(AND($D$205=1,$D$208=1),W219*(1+$D$207),IF('Assumptions - Freight'!$E$143=1,W219*('Assumptions - Freight'!$E$167*'Assumptions - General'!X$37+1)*(1+'Assumptions - Freight'!X$168),W219*(1+'Assumptions - Freight'!X$168)))," ")</f>
        <v>1.7438275800180321</v>
      </c>
      <c r="Y219" s="115">
        <f>IF(Y$16=1,IF(AND($D$205=1,$D$208=1),X219*(1+$D$207),IF('Assumptions - Freight'!$E$143=1,X219*('Assumptions - Freight'!$E$167*'Assumptions - General'!Y$37+1)*(1+'Assumptions - Freight'!Y$168),X219*(1+'Assumptions - Freight'!Y$168)))," ")</f>
        <v>1.7956192591445677</v>
      </c>
      <c r="Z219" s="115">
        <f>IF(Z$16=1,IF(AND($D$205=1,$D$208=1),Y219*(1+$D$207),IF('Assumptions - Freight'!$E$143=1,Y219*('Assumptions - Freight'!$E$167*'Assumptions - General'!Z$37+1)*(1+'Assumptions - Freight'!Z$168),Y219*(1+'Assumptions - Freight'!Z$168)))," ")</f>
        <v>1.8489491511411613</v>
      </c>
      <c r="AA219" s="115">
        <f>IF(AA$16=1,IF(AND($D$205=1,$D$208=1),Z219*(1+$D$207),IF('Assumptions - Freight'!$E$143=1,Z219*('Assumptions - Freight'!$E$167*'Assumptions - General'!AA$37+1)*(1+'Assumptions - Freight'!AA$168),Z219*(1+'Assumptions - Freight'!AA$168)))," ")</f>
        <v>1.9038629409300538</v>
      </c>
      <c r="AB219" s="115">
        <f>IF(AB$16=1,IF(AND($D$205=1,$D$208=1),AA219*(1+$D$207),IF('Assumptions - Freight'!$E$143=1,AA219*('Assumptions - Freight'!$E$167*'Assumptions - General'!AB$37+1)*(1+'Assumptions - Freight'!AB$168),AA219*(1+'Assumptions - Freight'!AB$168)))," ")</f>
        <v>1.9604076702756765</v>
      </c>
      <c r="AC219" s="115">
        <f>IF(AC$16=1,IF(AND($D$205=1,$D$208=1),AB219*(1+$D$207),IF('Assumptions - Freight'!$E$143=1,AB219*('Assumptions - Freight'!$E$167*'Assumptions - General'!AC$37+1)*(1+'Assumptions - Freight'!AC$168),AB219*(1+'Assumptions - Freight'!AC$168)))," ")</f>
        <v>2.0186317780828644</v>
      </c>
      <c r="AD219" s="115">
        <f>IF(AD$16=1,IF(AND($D$205=1,$D$208=1),AC219*(1+$D$207),IF('Assumptions - Freight'!$E$143=1,AC219*('Assumptions - Freight'!$E$167*'Assumptions - General'!AD$37+1)*(1+'Assumptions - Freight'!AD$168),AC219*(1+'Assumptions - Freight'!AD$168)))," ")</f>
        <v>2.0785851418919257</v>
      </c>
      <c r="AE219" s="115">
        <f>IF(AE$16=1,IF(AND($D$205=1,$D$208=1),AD219*(1+$D$207),IF('Assumptions - Freight'!$E$143=1,AD219*('Assumptions - Freight'!$E$167*'Assumptions - General'!AE$37+1)*(1+'Assumptions - Freight'!AE$168),AD219*(1+'Assumptions - Freight'!AE$168)))," ")</f>
        <v>2.1403191206061161</v>
      </c>
      <c r="AF219" s="115">
        <f>IF(AF$16=1,IF(AND($D$205=1,$D$208=1),AE219*(1+$D$207),IF('Assumptions - Freight'!$E$143=1,AE219*('Assumptions - Freight'!$E$167*'Assumptions - General'!AF$37+1)*(1+'Assumptions - Freight'!AF$168),AE219*(1+'Assumptions - Freight'!AF$168)))," ")</f>
        <v>2.203886598488118</v>
      </c>
      <c r="AG219" s="115">
        <f>IF(AG$16=1,IF(AND($D$205=1,$D$208=1),AF219*(1+$D$207),IF('Assumptions - Freight'!$E$143=1,AF219*('Assumptions - Freight'!$E$167*'Assumptions - General'!AG$37+1)*(1+'Assumptions - Freight'!AG$168),AF219*(1+'Assumptions - Freight'!AG$168)))," ")</f>
        <v>2.269342030463215</v>
      </c>
      <c r="AH219" s="115">
        <f>IF(AH$16=1,IF(AND($D$205=1,$D$208=1),AG219*(1+$D$207),IF('Assumptions - Freight'!$E$143=1,AG219*('Assumptions - Freight'!$E$167*'Assumptions - General'!AH$37+1)*(1+'Assumptions - Freight'!AH$168),AG219*(1+'Assumptions - Freight'!AH$168)))," ")</f>
        <v>2.3367414887679727</v>
      </c>
    </row>
    <row r="220" spans="1:34" x14ac:dyDescent="0.2">
      <c r="A220" s="18"/>
      <c r="B220" s="14" t="s">
        <v>35</v>
      </c>
      <c r="C220" s="8"/>
      <c r="D220" s="8" t="s">
        <v>15</v>
      </c>
      <c r="E220" s="464"/>
      <c r="F220" s="11">
        <f t="shared" ref="F220:AH220" si="61">IF(AND(F$16=1,$E$219&gt;0),F219/E219-1," ")</f>
        <v>2.970000000000006E-2</v>
      </c>
      <c r="G220" s="11">
        <f t="shared" si="61"/>
        <v>2.970000000000006E-2</v>
      </c>
      <c r="H220" s="11">
        <f t="shared" si="61"/>
        <v>2.970000000000006E-2</v>
      </c>
      <c r="I220" s="11">
        <f t="shared" si="61"/>
        <v>2.970000000000006E-2</v>
      </c>
      <c r="J220" s="11">
        <f t="shared" si="61"/>
        <v>2.970000000000006E-2</v>
      </c>
      <c r="K220" s="11">
        <f t="shared" si="61"/>
        <v>2.970000000000006E-2</v>
      </c>
      <c r="L220" s="11">
        <f t="shared" si="61"/>
        <v>2.970000000000006E-2</v>
      </c>
      <c r="M220" s="11">
        <f t="shared" si="61"/>
        <v>2.970000000000006E-2</v>
      </c>
      <c r="N220" s="11">
        <f t="shared" si="61"/>
        <v>2.970000000000006E-2</v>
      </c>
      <c r="O220" s="11">
        <f t="shared" si="61"/>
        <v>2.970000000000006E-2</v>
      </c>
      <c r="P220" s="11">
        <f t="shared" si="61"/>
        <v>2.970000000000006E-2</v>
      </c>
      <c r="Q220" s="11">
        <f t="shared" si="61"/>
        <v>2.970000000000006E-2</v>
      </c>
      <c r="R220" s="11">
        <f t="shared" si="61"/>
        <v>2.970000000000006E-2</v>
      </c>
      <c r="S220" s="11">
        <f t="shared" si="61"/>
        <v>2.970000000000006E-2</v>
      </c>
      <c r="T220" s="11">
        <f t="shared" si="61"/>
        <v>2.970000000000006E-2</v>
      </c>
      <c r="U220" s="11">
        <f t="shared" si="61"/>
        <v>2.970000000000006E-2</v>
      </c>
      <c r="V220" s="11">
        <f t="shared" si="61"/>
        <v>2.970000000000006E-2</v>
      </c>
      <c r="W220" s="11">
        <f t="shared" si="61"/>
        <v>2.970000000000006E-2</v>
      </c>
      <c r="X220" s="11">
        <f t="shared" si="61"/>
        <v>2.970000000000006E-2</v>
      </c>
      <c r="Y220" s="11">
        <f t="shared" si="61"/>
        <v>2.970000000000006E-2</v>
      </c>
      <c r="Z220" s="11">
        <f t="shared" si="61"/>
        <v>2.970000000000006E-2</v>
      </c>
      <c r="AA220" s="11">
        <f t="shared" si="61"/>
        <v>2.970000000000006E-2</v>
      </c>
      <c r="AB220" s="11">
        <f t="shared" si="61"/>
        <v>2.970000000000006E-2</v>
      </c>
      <c r="AC220" s="11">
        <f t="shared" si="61"/>
        <v>2.970000000000006E-2</v>
      </c>
      <c r="AD220" s="11">
        <f t="shared" si="61"/>
        <v>2.970000000000006E-2</v>
      </c>
      <c r="AE220" s="11">
        <f t="shared" si="61"/>
        <v>2.970000000000006E-2</v>
      </c>
      <c r="AF220" s="11">
        <f t="shared" si="61"/>
        <v>2.970000000000006E-2</v>
      </c>
      <c r="AG220" s="11">
        <f t="shared" si="61"/>
        <v>2.970000000000006E-2</v>
      </c>
      <c r="AH220" s="11">
        <f t="shared" si="61"/>
        <v>2.970000000000006E-2</v>
      </c>
    </row>
    <row r="221" spans="1:34" x14ac:dyDescent="0.2">
      <c r="A221" s="18"/>
      <c r="B221" s="8" t="str">
        <f>'Assumptions - Freight'!E121 &amp;" per-unit tariff "</f>
        <v xml:space="preserve">Commodity 6 per-unit tariff </v>
      </c>
      <c r="C221" s="8"/>
      <c r="D221" s="8" t="str">
        <f>D219</f>
        <v>R$/Ton-km</v>
      </c>
      <c r="E221" s="464">
        <f>IF(E$16=1,IF($D$205=1,'Assumptions - Freight'!E171*$D$206,'Assumptions - Freight'!E171),0)</f>
        <v>1</v>
      </c>
      <c r="F221" s="115">
        <f>IF(F$16=1,IF(AND($D$205=1,$D$208=1),E221*(1+$D$207),IF('Assumptions - Freight'!$E$143=1,E221*('Assumptions - Freight'!$E$172*'Assumptions - General'!F$37+1)*(1+'Assumptions - Freight'!F$173),E221*(1+'Assumptions - Freight'!F$173)))," ")</f>
        <v>1.03</v>
      </c>
      <c r="G221" s="115">
        <f>IF(G$16=1,IF(AND($D$205=1,$D$208=1),F221*(1+$D$207),IF('Assumptions - Freight'!$E$143=1,F221*('Assumptions - Freight'!$E$172*'Assumptions - General'!G$37+1)*(1+'Assumptions - Freight'!G$173),F221*(1+'Assumptions - Freight'!G$173)))," ")</f>
        <v>1.0609</v>
      </c>
      <c r="H221" s="115">
        <f>IF(H$16=1,IF(AND($D$205=1,$D$208=1),G221*(1+$D$207),IF('Assumptions - Freight'!$E$143=1,G221*('Assumptions - Freight'!$E$172*'Assumptions - General'!H$37+1)*(1+'Assumptions - Freight'!H$173),G221*(1+'Assumptions - Freight'!H$173)))," ")</f>
        <v>1.092727</v>
      </c>
      <c r="I221" s="115">
        <f>IF(I$16=1,IF(AND($D$205=1,$D$208=1),H221*(1+$D$207),IF('Assumptions - Freight'!$E$143=1,H221*('Assumptions - Freight'!$E$172*'Assumptions - General'!I$37+1)*(1+'Assumptions - Freight'!I$173),H221*(1+'Assumptions - Freight'!I$173)))," ")</f>
        <v>1.1255088100000001</v>
      </c>
      <c r="J221" s="115">
        <f>IF(J$16=1,IF(AND($D$205=1,$D$208=1),I221*(1+$D$207),IF('Assumptions - Freight'!$E$143=1,I221*('Assumptions - Freight'!$E$172*'Assumptions - General'!J$37+1)*(1+'Assumptions - Freight'!J$173),I221*(1+'Assumptions - Freight'!J$173)))," ")</f>
        <v>1.1592740743000001</v>
      </c>
      <c r="K221" s="115">
        <f>IF(K$16=1,IF(AND($D$205=1,$D$208=1),J221*(1+$D$207),IF('Assumptions - Freight'!$E$143=1,J221*('Assumptions - Freight'!$E$172*'Assumptions - General'!K$37+1)*(1+'Assumptions - Freight'!K$173),J221*(1+'Assumptions - Freight'!K$173)))," ")</f>
        <v>1.1940522965290001</v>
      </c>
      <c r="L221" s="115">
        <f>IF(L$16=1,IF(AND($D$205=1,$D$208=1),K221*(1+$D$207),IF('Assumptions - Freight'!$E$143=1,K221*('Assumptions - Freight'!$E$172*'Assumptions - General'!L$37+1)*(1+'Assumptions - Freight'!L$173),K221*(1+'Assumptions - Freight'!L$173)))," ")</f>
        <v>1.2298738654248702</v>
      </c>
      <c r="M221" s="115">
        <f>IF(M$16=1,IF(AND($D$205=1,$D$208=1),L221*(1+$D$207),IF('Assumptions - Freight'!$E$143=1,L221*('Assumptions - Freight'!$E$172*'Assumptions - General'!M$37+1)*(1+'Assumptions - Freight'!M$173),L221*(1+'Assumptions - Freight'!M$173)))," ")</f>
        <v>1.2667700813876164</v>
      </c>
      <c r="N221" s="115">
        <f>IF(N$16=1,IF(AND($D$205=1,$D$208=1),M221*(1+$D$207),IF('Assumptions - Freight'!$E$143=1,M221*('Assumptions - Freight'!$E$172*'Assumptions - General'!N$37+1)*(1+'Assumptions - Freight'!N$173),M221*(1+'Assumptions - Freight'!N$173)))," ")</f>
        <v>1.3047731838292449</v>
      </c>
      <c r="O221" s="115">
        <f>IF(O$16=1,IF(AND($D$205=1,$D$208=1),N221*(1+$D$207),IF('Assumptions - Freight'!$E$143=1,N221*('Assumptions - Freight'!$E$172*'Assumptions - General'!O$37+1)*(1+'Assumptions - Freight'!O$173),N221*(1+'Assumptions - Freight'!O$173)))," ")</f>
        <v>1.3439163793441222</v>
      </c>
      <c r="P221" s="115">
        <f>IF(P$16=1,IF(AND($D$205=1,$D$208=1),O221*(1+$D$207),IF('Assumptions - Freight'!$E$143=1,O221*('Assumptions - Freight'!$E$172*'Assumptions - General'!P$37+1)*(1+'Assumptions - Freight'!P$173),O221*(1+'Assumptions - Freight'!P$173)))," ")</f>
        <v>1.3842338707244459</v>
      </c>
      <c r="Q221" s="115">
        <f>IF(Q$16=1,IF(AND($D$205=1,$D$208=1),P221*(1+$D$207),IF('Assumptions - Freight'!$E$143=1,P221*('Assumptions - Freight'!$E$172*'Assumptions - General'!Q$37+1)*(1+'Assumptions - Freight'!Q$173),P221*(1+'Assumptions - Freight'!Q$173)))," ")</f>
        <v>1.4257608868461793</v>
      </c>
      <c r="R221" s="115">
        <f>IF(R$16=1,IF(AND($D$205=1,$D$208=1),Q221*(1+$D$207),IF('Assumptions - Freight'!$E$143=1,Q221*('Assumptions - Freight'!$E$172*'Assumptions - General'!R$37+1)*(1+'Assumptions - Freight'!R$173),Q221*(1+'Assumptions - Freight'!R$173)))," ")</f>
        <v>1.4685337134515648</v>
      </c>
      <c r="S221" s="115">
        <f>IF(S$16=1,IF(AND($D$205=1,$D$208=1),R221*(1+$D$207),IF('Assumptions - Freight'!$E$143=1,R221*('Assumptions - Freight'!$E$172*'Assumptions - General'!S$37+1)*(1+'Assumptions - Freight'!S$173),R221*(1+'Assumptions - Freight'!S$173)))," ")</f>
        <v>1.5125897248551119</v>
      </c>
      <c r="T221" s="115">
        <f>IF(T$16=1,IF(AND($D$205=1,$D$208=1),S221*(1+$D$207),IF('Assumptions - Freight'!$E$143=1,S221*('Assumptions - Freight'!$E$172*'Assumptions - General'!T$37+1)*(1+'Assumptions - Freight'!T$173),S221*(1+'Assumptions - Freight'!T$173)))," ")</f>
        <v>1.5579674166007653</v>
      </c>
      <c r="U221" s="115">
        <f>IF(U$16=1,IF(AND($D$205=1,$D$208=1),T221*(1+$D$207),IF('Assumptions - Freight'!$E$143=1,T221*('Assumptions - Freight'!$E$172*'Assumptions - General'!U$37+1)*(1+'Assumptions - Freight'!U$173),T221*(1+'Assumptions - Freight'!U$173)))," ")</f>
        <v>1.6047064390987884</v>
      </c>
      <c r="V221" s="115">
        <f>IF(V$16=1,IF(AND($D$205=1,$D$208=1),U221*(1+$D$207),IF('Assumptions - Freight'!$E$143=1,U221*('Assumptions - Freight'!$E$172*'Assumptions - General'!V$37+1)*(1+'Assumptions - Freight'!V$173),U221*(1+'Assumptions - Freight'!V$173)))," ")</f>
        <v>1.652847632271752</v>
      </c>
      <c r="W221" s="115">
        <f>IF(W$16=1,IF(AND($D$205=1,$D$208=1),V221*(1+$D$207),IF('Assumptions - Freight'!$E$143=1,V221*('Assumptions - Freight'!$E$172*'Assumptions - General'!W$37+1)*(1+'Assumptions - Freight'!W$173),V221*(1+'Assumptions - Freight'!W$173)))," ")</f>
        <v>1.7024330612399046</v>
      </c>
      <c r="X221" s="115">
        <f>IF(X$16=1,IF(AND($D$205=1,$D$208=1),W221*(1+$D$207),IF('Assumptions - Freight'!$E$143=1,W221*('Assumptions - Freight'!$E$172*'Assumptions - General'!X$37+1)*(1+'Assumptions - Freight'!X$173),W221*(1+'Assumptions - Freight'!X$173)))," ")</f>
        <v>1.7535060530771018</v>
      </c>
      <c r="Y221" s="115">
        <f>IF(Y$16=1,IF(AND($D$205=1,$D$208=1),X221*(1+$D$207),IF('Assumptions - Freight'!$E$143=1,X221*('Assumptions - Freight'!$E$172*'Assumptions - General'!Y$37+1)*(1+'Assumptions - Freight'!Y$173),X221*(1+'Assumptions - Freight'!Y$173)))," ")</f>
        <v>1.806111234669415</v>
      </c>
      <c r="Z221" s="115">
        <f>IF(Z$16=1,IF(AND($D$205=1,$D$208=1),Y221*(1+$D$207),IF('Assumptions - Freight'!$E$143=1,Y221*('Assumptions - Freight'!$E$172*'Assumptions - General'!Z$37+1)*(1+'Assumptions - Freight'!Z$173),Y221*(1+'Assumptions - Freight'!Z$173)))," ")</f>
        <v>1.8602945717094976</v>
      </c>
      <c r="AA221" s="115">
        <f>IF(AA$16=1,IF(AND($D$205=1,$D$208=1),Z221*(1+$D$207),IF('Assumptions - Freight'!$E$143=1,Z221*('Assumptions - Freight'!$E$172*'Assumptions - General'!AA$37+1)*(1+'Assumptions - Freight'!AA$173),Z221*(1+'Assumptions - Freight'!AA$173)))," ")</f>
        <v>1.9161034088607827</v>
      </c>
      <c r="AB221" s="115">
        <f>IF(AB$16=1,IF(AND($D$205=1,$D$208=1),AA221*(1+$D$207),IF('Assumptions - Freight'!$E$143=1,AA221*('Assumptions - Freight'!$E$172*'Assumptions - General'!AB$37+1)*(1+'Assumptions - Freight'!AB$173),AA221*(1+'Assumptions - Freight'!AB$173)))," ")</f>
        <v>1.9735865111266062</v>
      </c>
      <c r="AC221" s="115">
        <f>IF(AC$16=1,IF(AND($D$205=1,$D$208=1),AB221*(1+$D$207),IF('Assumptions - Freight'!$E$143=1,AB221*('Assumptions - Freight'!$E$172*'Assumptions - General'!AC$37+1)*(1+'Assumptions - Freight'!AC$173),AB221*(1+'Assumptions - Freight'!AC$173)))," ")</f>
        <v>2.0327941064604045</v>
      </c>
      <c r="AD221" s="115">
        <f>IF(AD$16=1,IF(AND($D$205=1,$D$208=1),AC221*(1+$D$207),IF('Assumptions - Freight'!$E$143=1,AC221*('Assumptions - Freight'!$E$172*'Assumptions - General'!AD$37+1)*(1+'Assumptions - Freight'!AD$173),AC221*(1+'Assumptions - Freight'!AD$173)))," ")</f>
        <v>2.0937779296542165</v>
      </c>
      <c r="AE221" s="115">
        <f>IF(AE$16=1,IF(AND($D$205=1,$D$208=1),AD221*(1+$D$207),IF('Assumptions - Freight'!$E$143=1,AD221*('Assumptions - Freight'!$E$172*'Assumptions - General'!AE$37+1)*(1+'Assumptions - Freight'!AE$173),AD221*(1+'Assumptions - Freight'!AE$173)))," ")</f>
        <v>2.1565912675438432</v>
      </c>
      <c r="AF221" s="115">
        <f>IF(AF$16=1,IF(AND($D$205=1,$D$208=1),AE221*(1+$D$207),IF('Assumptions - Freight'!$E$143=1,AE221*('Assumptions - Freight'!$E$172*'Assumptions - General'!AF$37+1)*(1+'Assumptions - Freight'!AF$173),AE221*(1+'Assumptions - Freight'!AF$173)))," ")</f>
        <v>2.2212890055701586</v>
      </c>
      <c r="AG221" s="115">
        <f>IF(AG$16=1,IF(AND($D$205=1,$D$208=1),AF221*(1+$D$207),IF('Assumptions - Freight'!$E$143=1,AF221*('Assumptions - Freight'!$E$172*'Assumptions - General'!AG$37+1)*(1+'Assumptions - Freight'!AG$173),AF221*(1+'Assumptions - Freight'!AG$173)))," ")</f>
        <v>2.2879276757372633</v>
      </c>
      <c r="AH221" s="115">
        <f>IF(AH$16=1,IF(AND($D$205=1,$D$208=1),AG221*(1+$D$207),IF('Assumptions - Freight'!$E$143=1,AG221*('Assumptions - Freight'!$E$172*'Assumptions - General'!AH$37+1)*(1+'Assumptions - Freight'!AH$173),AG221*(1+'Assumptions - Freight'!AH$173)))," ")</f>
        <v>2.3565655060093813</v>
      </c>
    </row>
    <row r="222" spans="1:34" x14ac:dyDescent="0.2">
      <c r="A222" s="18"/>
      <c r="B222" s="14" t="s">
        <v>35</v>
      </c>
      <c r="C222" s="8"/>
      <c r="D222" s="8" t="s">
        <v>15</v>
      </c>
      <c r="E222" s="464"/>
      <c r="F222" s="11">
        <f t="shared" ref="F222:AH222" si="62">IF(AND(F$16=1,$E$221&gt;0),F221/E221-1," ")</f>
        <v>3.0000000000000027E-2</v>
      </c>
      <c r="G222" s="11">
        <f t="shared" si="62"/>
        <v>3.0000000000000027E-2</v>
      </c>
      <c r="H222" s="11">
        <f t="shared" si="62"/>
        <v>3.0000000000000027E-2</v>
      </c>
      <c r="I222" s="11">
        <f t="shared" si="62"/>
        <v>3.0000000000000027E-2</v>
      </c>
      <c r="J222" s="11">
        <f t="shared" si="62"/>
        <v>3.0000000000000027E-2</v>
      </c>
      <c r="K222" s="11">
        <f t="shared" si="62"/>
        <v>3.0000000000000027E-2</v>
      </c>
      <c r="L222" s="11">
        <f t="shared" si="62"/>
        <v>3.0000000000000027E-2</v>
      </c>
      <c r="M222" s="11">
        <f t="shared" si="62"/>
        <v>3.0000000000000027E-2</v>
      </c>
      <c r="N222" s="11">
        <f t="shared" si="62"/>
        <v>3.0000000000000027E-2</v>
      </c>
      <c r="O222" s="11">
        <f t="shared" si="62"/>
        <v>3.0000000000000027E-2</v>
      </c>
      <c r="P222" s="11">
        <f t="shared" si="62"/>
        <v>3.0000000000000027E-2</v>
      </c>
      <c r="Q222" s="11">
        <f t="shared" si="62"/>
        <v>3.0000000000000027E-2</v>
      </c>
      <c r="R222" s="11">
        <f t="shared" si="62"/>
        <v>3.0000000000000027E-2</v>
      </c>
      <c r="S222" s="11">
        <f t="shared" si="62"/>
        <v>3.0000000000000027E-2</v>
      </c>
      <c r="T222" s="11">
        <f t="shared" si="62"/>
        <v>3.0000000000000027E-2</v>
      </c>
      <c r="U222" s="11">
        <f t="shared" si="62"/>
        <v>3.0000000000000027E-2</v>
      </c>
      <c r="V222" s="11">
        <f t="shared" si="62"/>
        <v>3.0000000000000027E-2</v>
      </c>
      <c r="W222" s="11">
        <f t="shared" si="62"/>
        <v>3.0000000000000027E-2</v>
      </c>
      <c r="X222" s="11">
        <f t="shared" si="62"/>
        <v>3.0000000000000027E-2</v>
      </c>
      <c r="Y222" s="11">
        <f t="shared" si="62"/>
        <v>3.0000000000000027E-2</v>
      </c>
      <c r="Z222" s="11">
        <f t="shared" si="62"/>
        <v>3.0000000000000027E-2</v>
      </c>
      <c r="AA222" s="11">
        <f t="shared" si="62"/>
        <v>3.0000000000000027E-2</v>
      </c>
      <c r="AB222" s="11">
        <f t="shared" si="62"/>
        <v>3.0000000000000027E-2</v>
      </c>
      <c r="AC222" s="11">
        <f t="shared" si="62"/>
        <v>3.0000000000000027E-2</v>
      </c>
      <c r="AD222" s="11">
        <f t="shared" si="62"/>
        <v>3.0000000000000027E-2</v>
      </c>
      <c r="AE222" s="11">
        <f t="shared" si="62"/>
        <v>3.0000000000000027E-2</v>
      </c>
      <c r="AF222" s="11">
        <f t="shared" si="62"/>
        <v>3.0000000000000027E-2</v>
      </c>
      <c r="AG222" s="11">
        <f t="shared" si="62"/>
        <v>3.0000000000000027E-2</v>
      </c>
      <c r="AH222" s="11">
        <f t="shared" si="62"/>
        <v>3.0000000000000027E-2</v>
      </c>
    </row>
    <row r="223" spans="1:34" x14ac:dyDescent="0.2">
      <c r="A223" s="18"/>
      <c r="B223" s="8" t="str">
        <f>'Assumptions - Freight'!E122 &amp;" per-unit tariff "</f>
        <v xml:space="preserve">Commodity 7 per-unit tariff </v>
      </c>
      <c r="C223" s="8"/>
      <c r="D223" s="8" t="str">
        <f>D221</f>
        <v>R$/Ton-km</v>
      </c>
      <c r="E223" s="464">
        <f>IF(E$16=1,IF($D$205=1,'Assumptions - Freight'!E176*$D$206,'Assumptions - Freight'!E176),0)</f>
        <v>1</v>
      </c>
      <c r="F223" s="115">
        <f>IF(F$16=1,IF(AND($D$205=1,$D$208=1),E223*(1+$D$207),IF('Assumptions - Freight'!$E$143=1,E223*('Assumptions - Freight'!$E$177*'Assumptions - General'!F$37+1)*(1+'Assumptions - Freight'!F$178),E223*(1+'Assumptions - Freight'!F$178)))," ")</f>
        <v>1.03</v>
      </c>
      <c r="G223" s="115">
        <f>IF(G$16=1,IF(AND($D$205=1,$D$208=1),F223*(1+$D$207),IF('Assumptions - Freight'!$E$143=1,F223*('Assumptions - Freight'!$E$177*'Assumptions - General'!G$37+1)*(1+'Assumptions - Freight'!G$178),F223*(1+'Assumptions - Freight'!G$178)))," ")</f>
        <v>1.0609</v>
      </c>
      <c r="H223" s="115">
        <f>IF(H$16=1,IF(AND($D$205=1,$D$208=1),G223*(1+$D$207),IF('Assumptions - Freight'!$E$143=1,G223*('Assumptions - Freight'!$E$177*'Assumptions - General'!H$37+1)*(1+'Assumptions - Freight'!H$178),G223*(1+'Assumptions - Freight'!H$178)))," ")</f>
        <v>1.092727</v>
      </c>
      <c r="I223" s="115">
        <f>IF(I$16=1,IF(AND($D$205=1,$D$208=1),H223*(1+$D$207),IF('Assumptions - Freight'!$E$143=1,H223*('Assumptions - Freight'!$E$177*'Assumptions - General'!I$37+1)*(1+'Assumptions - Freight'!I$178),H223*(1+'Assumptions - Freight'!I$178)))," ")</f>
        <v>1.1255088100000001</v>
      </c>
      <c r="J223" s="115">
        <f>IF(J$16=1,IF(AND($D$205=1,$D$208=1),I223*(1+$D$207),IF('Assumptions - Freight'!$E$143=1,I223*('Assumptions - Freight'!$E$177*'Assumptions - General'!J$37+1)*(1+'Assumptions - Freight'!J$178),I223*(1+'Assumptions - Freight'!J$178)))," ")</f>
        <v>1.1592740743000001</v>
      </c>
      <c r="K223" s="115">
        <f>IF(K$16=1,IF(AND($D$205=1,$D$208=1),J223*(1+$D$207),IF('Assumptions - Freight'!$E$143=1,J223*('Assumptions - Freight'!$E$177*'Assumptions - General'!K$37+1)*(1+'Assumptions - Freight'!K$178),J223*(1+'Assumptions - Freight'!K$178)))," ")</f>
        <v>1.1940522965290001</v>
      </c>
      <c r="L223" s="115">
        <f>IF(L$16=1,IF(AND($D$205=1,$D$208=1),K223*(1+$D$207),IF('Assumptions - Freight'!$E$143=1,K223*('Assumptions - Freight'!$E$177*'Assumptions - General'!L$37+1)*(1+'Assumptions - Freight'!L$178),K223*(1+'Assumptions - Freight'!L$178)))," ")</f>
        <v>1.2298738654248702</v>
      </c>
      <c r="M223" s="115">
        <f>IF(M$16=1,IF(AND($D$205=1,$D$208=1),L223*(1+$D$207),IF('Assumptions - Freight'!$E$143=1,L223*('Assumptions - Freight'!$E$177*'Assumptions - General'!M$37+1)*(1+'Assumptions - Freight'!M$178),L223*(1+'Assumptions - Freight'!M$178)))," ")</f>
        <v>1.2667700813876164</v>
      </c>
      <c r="N223" s="115">
        <f>IF(N$16=1,IF(AND($D$205=1,$D$208=1),M223*(1+$D$207),IF('Assumptions - Freight'!$E$143=1,M223*('Assumptions - Freight'!$E$177*'Assumptions - General'!N$37+1)*(1+'Assumptions - Freight'!N$178),M223*(1+'Assumptions - Freight'!N$178)))," ")</f>
        <v>1.3047731838292449</v>
      </c>
      <c r="O223" s="115">
        <f>IF(O$16=1,IF(AND($D$205=1,$D$208=1),N223*(1+$D$207),IF('Assumptions - Freight'!$E$143=1,N223*('Assumptions - Freight'!$E$177*'Assumptions - General'!O$37+1)*(1+'Assumptions - Freight'!O$178),N223*(1+'Assumptions - Freight'!O$178)))," ")</f>
        <v>1.3439163793441222</v>
      </c>
      <c r="P223" s="115">
        <f>IF(P$16=1,IF(AND($D$205=1,$D$208=1),O223*(1+$D$207),IF('Assumptions - Freight'!$E$143=1,O223*('Assumptions - Freight'!$E$177*'Assumptions - General'!P$37+1)*(1+'Assumptions - Freight'!P$178),O223*(1+'Assumptions - Freight'!P$178)))," ")</f>
        <v>1.3842338707244459</v>
      </c>
      <c r="Q223" s="115">
        <f>IF(Q$16=1,IF(AND($D$205=1,$D$208=1),P223*(1+$D$207),IF('Assumptions - Freight'!$E$143=1,P223*('Assumptions - Freight'!$E$177*'Assumptions - General'!Q$37+1)*(1+'Assumptions - Freight'!Q$178),P223*(1+'Assumptions - Freight'!Q$178)))," ")</f>
        <v>1.4257608868461793</v>
      </c>
      <c r="R223" s="115">
        <f>IF(R$16=1,IF(AND($D$205=1,$D$208=1),Q223*(1+$D$207),IF('Assumptions - Freight'!$E$143=1,Q223*('Assumptions - Freight'!$E$177*'Assumptions - General'!R$37+1)*(1+'Assumptions - Freight'!R$178),Q223*(1+'Assumptions - Freight'!R$178)))," ")</f>
        <v>1.4685337134515648</v>
      </c>
      <c r="S223" s="115">
        <f>IF(S$16=1,IF(AND($D$205=1,$D$208=1),R223*(1+$D$207),IF('Assumptions - Freight'!$E$143=1,R223*('Assumptions - Freight'!$E$177*'Assumptions - General'!S$37+1)*(1+'Assumptions - Freight'!S$178),R223*(1+'Assumptions - Freight'!S$178)))," ")</f>
        <v>1.5125897248551119</v>
      </c>
      <c r="T223" s="115">
        <f>IF(T$16=1,IF(AND($D$205=1,$D$208=1),S223*(1+$D$207),IF('Assumptions - Freight'!$E$143=1,S223*('Assumptions - Freight'!$E$177*'Assumptions - General'!T$37+1)*(1+'Assumptions - Freight'!T$178),S223*(1+'Assumptions - Freight'!T$178)))," ")</f>
        <v>1.5579674166007653</v>
      </c>
      <c r="U223" s="115">
        <f>IF(U$16=1,IF(AND($D$205=1,$D$208=1),T223*(1+$D$207),IF('Assumptions - Freight'!$E$143=1,T223*('Assumptions - Freight'!$E$177*'Assumptions - General'!U$37+1)*(1+'Assumptions - Freight'!U$178),T223*(1+'Assumptions - Freight'!U$178)))," ")</f>
        <v>1.6047064390987884</v>
      </c>
      <c r="V223" s="115">
        <f>IF(V$16=1,IF(AND($D$205=1,$D$208=1),U223*(1+$D$207),IF('Assumptions - Freight'!$E$143=1,U223*('Assumptions - Freight'!$E$177*'Assumptions - General'!V$37+1)*(1+'Assumptions - Freight'!V$178),U223*(1+'Assumptions - Freight'!V$178)))," ")</f>
        <v>1.652847632271752</v>
      </c>
      <c r="W223" s="115">
        <f>IF(W$16=1,IF(AND($D$205=1,$D$208=1),V223*(1+$D$207),IF('Assumptions - Freight'!$E$143=1,V223*('Assumptions - Freight'!$E$177*'Assumptions - General'!W$37+1)*(1+'Assumptions - Freight'!W$178),V223*(1+'Assumptions - Freight'!W$178)))," ")</f>
        <v>1.7024330612399046</v>
      </c>
      <c r="X223" s="115">
        <f>IF(X$16=1,IF(AND($D$205=1,$D$208=1),W223*(1+$D$207),IF('Assumptions - Freight'!$E$143=1,W223*('Assumptions - Freight'!$E$177*'Assumptions - General'!X$37+1)*(1+'Assumptions - Freight'!X$178),W223*(1+'Assumptions - Freight'!X$178)))," ")</f>
        <v>1.7535060530771018</v>
      </c>
      <c r="Y223" s="115">
        <f>IF(Y$16=1,IF(AND($D$205=1,$D$208=1),X223*(1+$D$207),IF('Assumptions - Freight'!$E$143=1,X223*('Assumptions - Freight'!$E$177*'Assumptions - General'!Y$37+1)*(1+'Assumptions - Freight'!Y$178),X223*(1+'Assumptions - Freight'!Y$178)))," ")</f>
        <v>1.806111234669415</v>
      </c>
      <c r="Z223" s="115">
        <f>IF(Z$16=1,IF(AND($D$205=1,$D$208=1),Y223*(1+$D$207),IF('Assumptions - Freight'!$E$143=1,Y223*('Assumptions - Freight'!$E$177*'Assumptions - General'!Z$37+1)*(1+'Assumptions - Freight'!Z$178),Y223*(1+'Assumptions - Freight'!Z$178)))," ")</f>
        <v>1.8602945717094976</v>
      </c>
      <c r="AA223" s="115">
        <f>IF(AA$16=1,IF(AND($D$205=1,$D$208=1),Z223*(1+$D$207),IF('Assumptions - Freight'!$E$143=1,Z223*('Assumptions - Freight'!$E$177*'Assumptions - General'!AA$37+1)*(1+'Assumptions - Freight'!AA$178),Z223*(1+'Assumptions - Freight'!AA$178)))," ")</f>
        <v>1.9161034088607827</v>
      </c>
      <c r="AB223" s="115">
        <f>IF(AB$16=1,IF(AND($D$205=1,$D$208=1),AA223*(1+$D$207),IF('Assumptions - Freight'!$E$143=1,AA223*('Assumptions - Freight'!$E$177*'Assumptions - General'!AB$37+1)*(1+'Assumptions - Freight'!AB$178),AA223*(1+'Assumptions - Freight'!AB$178)))," ")</f>
        <v>1.9735865111266062</v>
      </c>
      <c r="AC223" s="115">
        <f>IF(AC$16=1,IF(AND($D$205=1,$D$208=1),AB223*(1+$D$207),IF('Assumptions - Freight'!$E$143=1,AB223*('Assumptions - Freight'!$E$177*'Assumptions - General'!AC$37+1)*(1+'Assumptions - Freight'!AC$178),AB223*(1+'Assumptions - Freight'!AC$178)))," ")</f>
        <v>2.0327941064604045</v>
      </c>
      <c r="AD223" s="115">
        <f>IF(AD$16=1,IF(AND($D$205=1,$D$208=1),AC223*(1+$D$207),IF('Assumptions - Freight'!$E$143=1,AC223*('Assumptions - Freight'!$E$177*'Assumptions - General'!AD$37+1)*(1+'Assumptions - Freight'!AD$178),AC223*(1+'Assumptions - Freight'!AD$178)))," ")</f>
        <v>2.0937779296542165</v>
      </c>
      <c r="AE223" s="115">
        <f>IF(AE$16=1,IF(AND($D$205=1,$D$208=1),AD223*(1+$D$207),IF('Assumptions - Freight'!$E$143=1,AD223*('Assumptions - Freight'!$E$177*'Assumptions - General'!AE$37+1)*(1+'Assumptions - Freight'!AE$178),AD223*(1+'Assumptions - Freight'!AE$178)))," ")</f>
        <v>2.1565912675438432</v>
      </c>
      <c r="AF223" s="115">
        <f>IF(AF$16=1,IF(AND($D$205=1,$D$208=1),AE223*(1+$D$207),IF('Assumptions - Freight'!$E$143=1,AE223*('Assumptions - Freight'!$E$177*'Assumptions - General'!AF$37+1)*(1+'Assumptions - Freight'!AF$178),AE223*(1+'Assumptions - Freight'!AF$178)))," ")</f>
        <v>2.2212890055701586</v>
      </c>
      <c r="AG223" s="115">
        <f>IF(AG$16=1,IF(AND($D$205=1,$D$208=1),AF223*(1+$D$207),IF('Assumptions - Freight'!$E$143=1,AF223*('Assumptions - Freight'!$E$177*'Assumptions - General'!AG$37+1)*(1+'Assumptions - Freight'!AG$178),AF223*(1+'Assumptions - Freight'!AG$178)))," ")</f>
        <v>2.2879276757372633</v>
      </c>
      <c r="AH223" s="115">
        <f>IF(AH$16=1,IF(AND($D$205=1,$D$208=1),AG223*(1+$D$207),IF('Assumptions - Freight'!$E$143=1,AG223*('Assumptions - Freight'!$E$177*'Assumptions - General'!AH$37+1)*(1+'Assumptions - Freight'!AH$178),AG223*(1+'Assumptions - Freight'!AH$178)))," ")</f>
        <v>2.3565655060093813</v>
      </c>
    </row>
    <row r="224" spans="1:34" x14ac:dyDescent="0.2">
      <c r="A224" s="18"/>
      <c r="B224" s="14" t="s">
        <v>35</v>
      </c>
      <c r="C224" s="8"/>
      <c r="D224" s="8" t="s">
        <v>15</v>
      </c>
      <c r="E224" s="464"/>
      <c r="F224" s="11">
        <f t="shared" ref="F224:AH224" si="63">IF(AND(F$16=1,$E$223&gt;0),F223/E223-1," ")</f>
        <v>3.0000000000000027E-2</v>
      </c>
      <c r="G224" s="11">
        <f t="shared" si="63"/>
        <v>3.0000000000000027E-2</v>
      </c>
      <c r="H224" s="11">
        <f t="shared" si="63"/>
        <v>3.0000000000000027E-2</v>
      </c>
      <c r="I224" s="11">
        <f t="shared" si="63"/>
        <v>3.0000000000000027E-2</v>
      </c>
      <c r="J224" s="11">
        <f t="shared" si="63"/>
        <v>3.0000000000000027E-2</v>
      </c>
      <c r="K224" s="11">
        <f t="shared" si="63"/>
        <v>3.0000000000000027E-2</v>
      </c>
      <c r="L224" s="11">
        <f t="shared" si="63"/>
        <v>3.0000000000000027E-2</v>
      </c>
      <c r="M224" s="11">
        <f t="shared" si="63"/>
        <v>3.0000000000000027E-2</v>
      </c>
      <c r="N224" s="11">
        <f t="shared" si="63"/>
        <v>3.0000000000000027E-2</v>
      </c>
      <c r="O224" s="11">
        <f t="shared" si="63"/>
        <v>3.0000000000000027E-2</v>
      </c>
      <c r="P224" s="11">
        <f t="shared" si="63"/>
        <v>3.0000000000000027E-2</v>
      </c>
      <c r="Q224" s="11">
        <f t="shared" si="63"/>
        <v>3.0000000000000027E-2</v>
      </c>
      <c r="R224" s="11">
        <f t="shared" si="63"/>
        <v>3.0000000000000027E-2</v>
      </c>
      <c r="S224" s="11">
        <f t="shared" si="63"/>
        <v>3.0000000000000027E-2</v>
      </c>
      <c r="T224" s="11">
        <f t="shared" si="63"/>
        <v>3.0000000000000027E-2</v>
      </c>
      <c r="U224" s="11">
        <f t="shared" si="63"/>
        <v>3.0000000000000027E-2</v>
      </c>
      <c r="V224" s="11">
        <f t="shared" si="63"/>
        <v>3.0000000000000027E-2</v>
      </c>
      <c r="W224" s="11">
        <f t="shared" si="63"/>
        <v>3.0000000000000027E-2</v>
      </c>
      <c r="X224" s="11">
        <f t="shared" si="63"/>
        <v>3.0000000000000027E-2</v>
      </c>
      <c r="Y224" s="11">
        <f t="shared" si="63"/>
        <v>3.0000000000000027E-2</v>
      </c>
      <c r="Z224" s="11">
        <f t="shared" si="63"/>
        <v>3.0000000000000027E-2</v>
      </c>
      <c r="AA224" s="11">
        <f t="shared" si="63"/>
        <v>3.0000000000000027E-2</v>
      </c>
      <c r="AB224" s="11">
        <f t="shared" si="63"/>
        <v>3.0000000000000027E-2</v>
      </c>
      <c r="AC224" s="11">
        <f t="shared" si="63"/>
        <v>3.0000000000000027E-2</v>
      </c>
      <c r="AD224" s="11">
        <f t="shared" si="63"/>
        <v>3.0000000000000027E-2</v>
      </c>
      <c r="AE224" s="11">
        <f t="shared" si="63"/>
        <v>3.0000000000000027E-2</v>
      </c>
      <c r="AF224" s="11">
        <f t="shared" si="63"/>
        <v>3.0000000000000027E-2</v>
      </c>
      <c r="AG224" s="11">
        <f t="shared" si="63"/>
        <v>3.0000000000000027E-2</v>
      </c>
      <c r="AH224" s="11">
        <f t="shared" si="63"/>
        <v>3.0000000000000027E-2</v>
      </c>
    </row>
    <row r="225" spans="1:34" x14ac:dyDescent="0.2">
      <c r="A225" s="18"/>
      <c r="B225" s="8" t="str">
        <f>'Assumptions - Freight'!E123 &amp;" per-unit tariff "</f>
        <v xml:space="preserve">Commodity 8 per-unit tariff </v>
      </c>
      <c r="C225" s="8"/>
      <c r="D225" s="8" t="str">
        <f>D223</f>
        <v>R$/Ton-km</v>
      </c>
      <c r="E225" s="464">
        <f>IF(E$16=1,IF($D$205=1,'Assumptions - Freight'!E181*$D$206,'Assumptions - Freight'!E181),0)</f>
        <v>1</v>
      </c>
      <c r="F225" s="115">
        <f>IF(F$16=1,IF(AND($D$205=1,$D$208=1),E225*(1+$D$207),IF('Assumptions - Freight'!$E$143=1,E225*('Assumptions - Freight'!$E$182*'Assumptions - General'!F$37+1)*(1+'Assumptions - Freight'!F$183),E225*(1+'Assumptions - Freight'!F$183)))," ")</f>
        <v>1.03</v>
      </c>
      <c r="G225" s="115">
        <f>IF(G$16=1,IF(AND($D$205=1,$D$208=1),F225*(1+$D$207),IF('Assumptions - Freight'!$E$143=1,F225*('Assumptions - Freight'!$E$182*'Assumptions - General'!G$37+1)*(1+'Assumptions - Freight'!G$183),F225*(1+'Assumptions - Freight'!G$183)))," ")</f>
        <v>1.0609</v>
      </c>
      <c r="H225" s="115">
        <f>IF(H$16=1,IF(AND($D$205=1,$D$208=1),G225*(1+$D$207),IF('Assumptions - Freight'!$E$143=1,G225*('Assumptions - Freight'!$E$182*'Assumptions - General'!H$37+1)*(1+'Assumptions - Freight'!H$183),G225*(1+'Assumptions - Freight'!H$183)))," ")</f>
        <v>1.092727</v>
      </c>
      <c r="I225" s="115">
        <f>IF(I$16=1,IF(AND($D$205=1,$D$208=1),H225*(1+$D$207),IF('Assumptions - Freight'!$E$143=1,H225*('Assumptions - Freight'!$E$182*'Assumptions - General'!I$37+1)*(1+'Assumptions - Freight'!I$183),H225*(1+'Assumptions - Freight'!I$183)))," ")</f>
        <v>1.1255088100000001</v>
      </c>
      <c r="J225" s="115">
        <f>IF(J$16=1,IF(AND($D$205=1,$D$208=1),I225*(1+$D$207),IF('Assumptions - Freight'!$E$143=1,I225*('Assumptions - Freight'!$E$182*'Assumptions - General'!J$37+1)*(1+'Assumptions - Freight'!J$183),I225*(1+'Assumptions - Freight'!J$183)))," ")</f>
        <v>1.1592740743000001</v>
      </c>
      <c r="K225" s="115">
        <f>IF(K$16=1,IF(AND($D$205=1,$D$208=1),J225*(1+$D$207),IF('Assumptions - Freight'!$E$143=1,J225*('Assumptions - Freight'!$E$182*'Assumptions - General'!K$37+1)*(1+'Assumptions - Freight'!K$183),J225*(1+'Assumptions - Freight'!K$183)))," ")</f>
        <v>1.1940522965290001</v>
      </c>
      <c r="L225" s="115">
        <f>IF(L$16=1,IF(AND($D$205=1,$D$208=1),K225*(1+$D$207),IF('Assumptions - Freight'!$E$143=1,K225*('Assumptions - Freight'!$E$182*'Assumptions - General'!L$37+1)*(1+'Assumptions - Freight'!L$183),K225*(1+'Assumptions - Freight'!L$183)))," ")</f>
        <v>1.2298738654248702</v>
      </c>
      <c r="M225" s="115">
        <f>IF(M$16=1,IF(AND($D$205=1,$D$208=1),L225*(1+$D$207),IF('Assumptions - Freight'!$E$143=1,L225*('Assumptions - Freight'!$E$182*'Assumptions - General'!M$37+1)*(1+'Assumptions - Freight'!M$183),L225*(1+'Assumptions - Freight'!M$183)))," ")</f>
        <v>1.2667700813876164</v>
      </c>
      <c r="N225" s="115">
        <f>IF(N$16=1,IF(AND($D$205=1,$D$208=1),M225*(1+$D$207),IF('Assumptions - Freight'!$E$143=1,M225*('Assumptions - Freight'!$E$182*'Assumptions - General'!N$37+1)*(1+'Assumptions - Freight'!N$183),M225*(1+'Assumptions - Freight'!N$183)))," ")</f>
        <v>1.3047731838292449</v>
      </c>
      <c r="O225" s="115">
        <f>IF(O$16=1,IF(AND($D$205=1,$D$208=1),N225*(1+$D$207),IF('Assumptions - Freight'!$E$143=1,N225*('Assumptions - Freight'!$E$182*'Assumptions - General'!O$37+1)*(1+'Assumptions - Freight'!O$183),N225*(1+'Assumptions - Freight'!O$183)))," ")</f>
        <v>1.3439163793441222</v>
      </c>
      <c r="P225" s="115">
        <f>IF(P$16=1,IF(AND($D$205=1,$D$208=1),O225*(1+$D$207),IF('Assumptions - Freight'!$E$143=1,O225*('Assumptions - Freight'!$E$182*'Assumptions - General'!P$37+1)*(1+'Assumptions - Freight'!P$183),O225*(1+'Assumptions - Freight'!P$183)))," ")</f>
        <v>1.3842338707244459</v>
      </c>
      <c r="Q225" s="115">
        <f>IF(Q$16=1,IF(AND($D$205=1,$D$208=1),P225*(1+$D$207),IF('Assumptions - Freight'!$E$143=1,P225*('Assumptions - Freight'!$E$182*'Assumptions - General'!Q$37+1)*(1+'Assumptions - Freight'!Q$183),P225*(1+'Assumptions - Freight'!Q$183)))," ")</f>
        <v>1.4257608868461793</v>
      </c>
      <c r="R225" s="115">
        <f>IF(R$16=1,IF(AND($D$205=1,$D$208=1),Q225*(1+$D$207),IF('Assumptions - Freight'!$E$143=1,Q225*('Assumptions - Freight'!$E$182*'Assumptions - General'!R$37+1)*(1+'Assumptions - Freight'!R$183),Q225*(1+'Assumptions - Freight'!R$183)))," ")</f>
        <v>1.4685337134515648</v>
      </c>
      <c r="S225" s="115">
        <f>IF(S$16=1,IF(AND($D$205=1,$D$208=1),R225*(1+$D$207),IF('Assumptions - Freight'!$E$143=1,R225*('Assumptions - Freight'!$E$182*'Assumptions - General'!S$37+1)*(1+'Assumptions - Freight'!S$183),R225*(1+'Assumptions - Freight'!S$183)))," ")</f>
        <v>1.5125897248551119</v>
      </c>
      <c r="T225" s="115">
        <f>IF(T$16=1,IF(AND($D$205=1,$D$208=1),S225*(1+$D$207),IF('Assumptions - Freight'!$E$143=1,S225*('Assumptions - Freight'!$E$182*'Assumptions - General'!T$37+1)*(1+'Assumptions - Freight'!T$183),S225*(1+'Assumptions - Freight'!T$183)))," ")</f>
        <v>1.5579674166007653</v>
      </c>
      <c r="U225" s="115">
        <f>IF(U$16=1,IF(AND($D$205=1,$D$208=1),T225*(1+$D$207),IF('Assumptions - Freight'!$E$143=1,T225*('Assumptions - Freight'!$E$182*'Assumptions - General'!U$37+1)*(1+'Assumptions - Freight'!U$183),T225*(1+'Assumptions - Freight'!U$183)))," ")</f>
        <v>1.6047064390987884</v>
      </c>
      <c r="V225" s="115">
        <f>IF(V$16=1,IF(AND($D$205=1,$D$208=1),U225*(1+$D$207),IF('Assumptions - Freight'!$E$143=1,U225*('Assumptions - Freight'!$E$182*'Assumptions - General'!V$37+1)*(1+'Assumptions - Freight'!V$183),U225*(1+'Assumptions - Freight'!V$183)))," ")</f>
        <v>1.652847632271752</v>
      </c>
      <c r="W225" s="115">
        <f>IF(W$16=1,IF(AND($D$205=1,$D$208=1),V225*(1+$D$207),IF('Assumptions - Freight'!$E$143=1,V225*('Assumptions - Freight'!$E$182*'Assumptions - General'!W$37+1)*(1+'Assumptions - Freight'!W$183),V225*(1+'Assumptions - Freight'!W$183)))," ")</f>
        <v>1.7024330612399046</v>
      </c>
      <c r="X225" s="115">
        <f>IF(X$16=1,IF(AND($D$205=1,$D$208=1),W225*(1+$D$207),IF('Assumptions - Freight'!$E$143=1,W225*('Assumptions - Freight'!$E$182*'Assumptions - General'!X$37+1)*(1+'Assumptions - Freight'!X$183),W225*(1+'Assumptions - Freight'!X$183)))," ")</f>
        <v>1.7535060530771018</v>
      </c>
      <c r="Y225" s="115">
        <f>IF(Y$16=1,IF(AND($D$205=1,$D$208=1),X225*(1+$D$207),IF('Assumptions - Freight'!$E$143=1,X225*('Assumptions - Freight'!$E$182*'Assumptions - General'!Y$37+1)*(1+'Assumptions - Freight'!Y$183),X225*(1+'Assumptions - Freight'!Y$183)))," ")</f>
        <v>1.806111234669415</v>
      </c>
      <c r="Z225" s="115">
        <f>IF(Z$16=1,IF(AND($D$205=1,$D$208=1),Y225*(1+$D$207),IF('Assumptions - Freight'!$E$143=1,Y225*('Assumptions - Freight'!$E$182*'Assumptions - General'!Z$37+1)*(1+'Assumptions - Freight'!Z$183),Y225*(1+'Assumptions - Freight'!Z$183)))," ")</f>
        <v>1.8602945717094976</v>
      </c>
      <c r="AA225" s="115">
        <f>IF(AA$16=1,IF(AND($D$205=1,$D$208=1),Z225*(1+$D$207),IF('Assumptions - Freight'!$E$143=1,Z225*('Assumptions - Freight'!$E$182*'Assumptions - General'!AA$37+1)*(1+'Assumptions - Freight'!AA$183),Z225*(1+'Assumptions - Freight'!AA$183)))," ")</f>
        <v>1.9161034088607827</v>
      </c>
      <c r="AB225" s="115">
        <f>IF(AB$16=1,IF(AND($D$205=1,$D$208=1),AA225*(1+$D$207),IF('Assumptions - Freight'!$E$143=1,AA225*('Assumptions - Freight'!$E$182*'Assumptions - General'!AB$37+1)*(1+'Assumptions - Freight'!AB$183),AA225*(1+'Assumptions - Freight'!AB$183)))," ")</f>
        <v>1.9735865111266062</v>
      </c>
      <c r="AC225" s="115">
        <f>IF(AC$16=1,IF(AND($D$205=1,$D$208=1),AB225*(1+$D$207),IF('Assumptions - Freight'!$E$143=1,AB225*('Assumptions - Freight'!$E$182*'Assumptions - General'!AC$37+1)*(1+'Assumptions - Freight'!AC$183),AB225*(1+'Assumptions - Freight'!AC$183)))," ")</f>
        <v>2.0327941064604045</v>
      </c>
      <c r="AD225" s="115">
        <f>IF(AD$16=1,IF(AND($D$205=1,$D$208=1),AC225*(1+$D$207),IF('Assumptions - Freight'!$E$143=1,AC225*('Assumptions - Freight'!$E$182*'Assumptions - General'!AD$37+1)*(1+'Assumptions - Freight'!AD$183),AC225*(1+'Assumptions - Freight'!AD$183)))," ")</f>
        <v>2.0937779296542165</v>
      </c>
      <c r="AE225" s="115">
        <f>IF(AE$16=1,IF(AND($D$205=1,$D$208=1),AD225*(1+$D$207),IF('Assumptions - Freight'!$E$143=1,AD225*('Assumptions - Freight'!$E$182*'Assumptions - General'!AE$37+1)*(1+'Assumptions - Freight'!AE$183),AD225*(1+'Assumptions - Freight'!AE$183)))," ")</f>
        <v>2.1565912675438432</v>
      </c>
      <c r="AF225" s="115">
        <f>IF(AF$16=1,IF(AND($D$205=1,$D$208=1),AE225*(1+$D$207),IF('Assumptions - Freight'!$E$143=1,AE225*('Assumptions - Freight'!$E$182*'Assumptions - General'!AF$37+1)*(1+'Assumptions - Freight'!AF$183),AE225*(1+'Assumptions - Freight'!AF$183)))," ")</f>
        <v>2.2212890055701586</v>
      </c>
      <c r="AG225" s="115">
        <f>IF(AG$16=1,IF(AND($D$205=1,$D$208=1),AF225*(1+$D$207),IF('Assumptions - Freight'!$E$143=1,AF225*('Assumptions - Freight'!$E$182*'Assumptions - General'!AG$37+1)*(1+'Assumptions - Freight'!AG$183),AF225*(1+'Assumptions - Freight'!AG$183)))," ")</f>
        <v>2.2879276757372633</v>
      </c>
      <c r="AH225" s="115">
        <f>IF(AH$16=1,IF(AND($D$205=1,$D$208=1),AG225*(1+$D$207),IF('Assumptions - Freight'!$E$143=1,AG225*('Assumptions - Freight'!$E$182*'Assumptions - General'!AH$37+1)*(1+'Assumptions - Freight'!AH$183),AG225*(1+'Assumptions - Freight'!AH$183)))," ")</f>
        <v>2.3565655060093813</v>
      </c>
    </row>
    <row r="226" spans="1:34" x14ac:dyDescent="0.2">
      <c r="A226" s="18"/>
      <c r="B226" s="14" t="s">
        <v>35</v>
      </c>
      <c r="C226" s="8"/>
      <c r="D226" s="8" t="s">
        <v>15</v>
      </c>
      <c r="E226" s="464"/>
      <c r="F226" s="11">
        <f t="shared" ref="F226:AH226" si="64">IF(AND(F$16=1,$E$225&gt;0),F225/E225-1," ")</f>
        <v>3.0000000000000027E-2</v>
      </c>
      <c r="G226" s="11">
        <f t="shared" si="64"/>
        <v>3.0000000000000027E-2</v>
      </c>
      <c r="H226" s="11">
        <f t="shared" si="64"/>
        <v>3.0000000000000027E-2</v>
      </c>
      <c r="I226" s="11">
        <f t="shared" si="64"/>
        <v>3.0000000000000027E-2</v>
      </c>
      <c r="J226" s="11">
        <f t="shared" si="64"/>
        <v>3.0000000000000027E-2</v>
      </c>
      <c r="K226" s="11">
        <f t="shared" si="64"/>
        <v>3.0000000000000027E-2</v>
      </c>
      <c r="L226" s="11">
        <f t="shared" si="64"/>
        <v>3.0000000000000027E-2</v>
      </c>
      <c r="M226" s="11">
        <f t="shared" si="64"/>
        <v>3.0000000000000027E-2</v>
      </c>
      <c r="N226" s="11">
        <f t="shared" si="64"/>
        <v>3.0000000000000027E-2</v>
      </c>
      <c r="O226" s="11">
        <f t="shared" si="64"/>
        <v>3.0000000000000027E-2</v>
      </c>
      <c r="P226" s="11">
        <f t="shared" si="64"/>
        <v>3.0000000000000027E-2</v>
      </c>
      <c r="Q226" s="11">
        <f t="shared" si="64"/>
        <v>3.0000000000000027E-2</v>
      </c>
      <c r="R226" s="11">
        <f t="shared" si="64"/>
        <v>3.0000000000000027E-2</v>
      </c>
      <c r="S226" s="11">
        <f t="shared" si="64"/>
        <v>3.0000000000000027E-2</v>
      </c>
      <c r="T226" s="11">
        <f t="shared" si="64"/>
        <v>3.0000000000000027E-2</v>
      </c>
      <c r="U226" s="11">
        <f t="shared" si="64"/>
        <v>3.0000000000000027E-2</v>
      </c>
      <c r="V226" s="11">
        <f t="shared" si="64"/>
        <v>3.0000000000000027E-2</v>
      </c>
      <c r="W226" s="11">
        <f t="shared" si="64"/>
        <v>3.0000000000000027E-2</v>
      </c>
      <c r="X226" s="11">
        <f t="shared" si="64"/>
        <v>3.0000000000000027E-2</v>
      </c>
      <c r="Y226" s="11">
        <f t="shared" si="64"/>
        <v>3.0000000000000027E-2</v>
      </c>
      <c r="Z226" s="11">
        <f t="shared" si="64"/>
        <v>3.0000000000000027E-2</v>
      </c>
      <c r="AA226" s="11">
        <f t="shared" si="64"/>
        <v>3.0000000000000027E-2</v>
      </c>
      <c r="AB226" s="11">
        <f t="shared" si="64"/>
        <v>3.0000000000000027E-2</v>
      </c>
      <c r="AC226" s="11">
        <f t="shared" si="64"/>
        <v>3.0000000000000027E-2</v>
      </c>
      <c r="AD226" s="11">
        <f t="shared" si="64"/>
        <v>3.0000000000000027E-2</v>
      </c>
      <c r="AE226" s="11">
        <f t="shared" si="64"/>
        <v>3.0000000000000027E-2</v>
      </c>
      <c r="AF226" s="11">
        <f t="shared" si="64"/>
        <v>3.0000000000000027E-2</v>
      </c>
      <c r="AG226" s="11">
        <f t="shared" si="64"/>
        <v>3.0000000000000027E-2</v>
      </c>
      <c r="AH226" s="11">
        <f t="shared" si="64"/>
        <v>3.0000000000000027E-2</v>
      </c>
    </row>
    <row r="227" spans="1:34" x14ac:dyDescent="0.2">
      <c r="A227" s="18"/>
      <c r="B227" s="8" t="str">
        <f>'Assumptions - Freight'!E124 &amp;" per-unit tariff "</f>
        <v xml:space="preserve">Commodity 9 per-unit tariff </v>
      </c>
      <c r="C227" s="8"/>
      <c r="D227" s="8" t="str">
        <f>D225</f>
        <v>R$/Ton-km</v>
      </c>
      <c r="E227" s="464">
        <f>IF(E$16=1,IF($D$205=1,'Assumptions - Freight'!E186*$D$206,'Assumptions - Freight'!E186),0)</f>
        <v>1</v>
      </c>
      <c r="F227" s="115">
        <f>IF(F$16=1,IF(AND($D$205=1,$D$208=1),E227*(1+$D$207),IF('Assumptions - Freight'!$E$143=1,E227*('Assumptions - Freight'!$E$187*'Assumptions - General'!F$37+1)*(1+'Assumptions - Freight'!F$188),E227*(1+'Assumptions - Freight'!F$188)))," ")</f>
        <v>1.0287999999999999</v>
      </c>
      <c r="G227" s="115">
        <f>IF(G$16=1,IF(AND($D$205=1,$D$208=1),F227*(1+$D$207),IF('Assumptions - Freight'!$E$143=1,F227*('Assumptions - Freight'!$E$187*'Assumptions - General'!G$37+1)*(1+'Assumptions - Freight'!G$188),F227*(1+'Assumptions - Freight'!G$188)))," ")</f>
        <v>1.0584294399999998</v>
      </c>
      <c r="H227" s="115">
        <f>IF(H$16=1,IF(AND($D$205=1,$D$208=1),G227*(1+$D$207),IF('Assumptions - Freight'!$E$143=1,G227*('Assumptions - Freight'!$E$187*'Assumptions - General'!H$37+1)*(1+'Assumptions - Freight'!H$188),G227*(1+'Assumptions - Freight'!H$188)))," ")</f>
        <v>1.0889122078719997</v>
      </c>
      <c r="I227" s="115">
        <f>IF(I$16=1,IF(AND($D$205=1,$D$208=1),H227*(1+$D$207),IF('Assumptions - Freight'!$E$143=1,H227*('Assumptions - Freight'!$E$187*'Assumptions - General'!I$37+1)*(1+'Assumptions - Freight'!I$188),H227*(1+'Assumptions - Freight'!I$188)))," ")</f>
        <v>1.1202728794587133</v>
      </c>
      <c r="J227" s="115">
        <f>IF(J$16=1,IF(AND($D$205=1,$D$208=1),I227*(1+$D$207),IF('Assumptions - Freight'!$E$143=1,I227*('Assumptions - Freight'!$E$187*'Assumptions - General'!J$37+1)*(1+'Assumptions - Freight'!J$188),I227*(1+'Assumptions - Freight'!J$188)))," ")</f>
        <v>1.1525367383871241</v>
      </c>
      <c r="K227" s="115">
        <f>IF(K$16=1,IF(AND($D$205=1,$D$208=1),J227*(1+$D$207),IF('Assumptions - Freight'!$E$143=1,J227*('Assumptions - Freight'!$E$187*'Assumptions - General'!K$37+1)*(1+'Assumptions - Freight'!K$188),J227*(1+'Assumptions - Freight'!K$188)))," ")</f>
        <v>1.1857297964526732</v>
      </c>
      <c r="L227" s="115">
        <f>IF(L$16=1,IF(AND($D$205=1,$D$208=1),K227*(1+$D$207),IF('Assumptions - Freight'!$E$143=1,K227*('Assumptions - Freight'!$E$187*'Assumptions - General'!L$37+1)*(1+'Assumptions - Freight'!L$188),K227*(1+'Assumptions - Freight'!L$188)))," ")</f>
        <v>1.2198788145905102</v>
      </c>
      <c r="M227" s="115">
        <f>IF(M$16=1,IF(AND($D$205=1,$D$208=1),L227*(1+$D$207),IF('Assumptions - Freight'!$E$143=1,L227*('Assumptions - Freight'!$E$187*'Assumptions - General'!M$37+1)*(1+'Assumptions - Freight'!M$188),L227*(1+'Assumptions - Freight'!M$188)))," ")</f>
        <v>1.2550113244507168</v>
      </c>
      <c r="N227" s="115">
        <f>IF(N$16=1,IF(AND($D$205=1,$D$208=1),M227*(1+$D$207),IF('Assumptions - Freight'!$E$143=1,M227*('Assumptions - Freight'!$E$187*'Assumptions - General'!N$37+1)*(1+'Assumptions - Freight'!N$188),M227*(1+'Assumptions - Freight'!N$188)))," ")</f>
        <v>1.2911556505948973</v>
      </c>
      <c r="O227" s="115">
        <f>IF(O$16=1,IF(AND($D$205=1,$D$208=1),N227*(1+$D$207),IF('Assumptions - Freight'!$E$143=1,N227*('Assumptions - Freight'!$E$187*'Assumptions - General'!O$37+1)*(1+'Assumptions - Freight'!O$188),N227*(1+'Assumptions - Freight'!O$188)))," ")</f>
        <v>1.3283409333320304</v>
      </c>
      <c r="P227" s="115">
        <f>IF(P$16=1,IF(AND($D$205=1,$D$208=1),O227*(1+$D$207),IF('Assumptions - Freight'!$E$143=1,O227*('Assumptions - Freight'!$E$187*'Assumptions - General'!P$37+1)*(1+'Assumptions - Freight'!P$188),O227*(1+'Assumptions - Freight'!P$188)))," ")</f>
        <v>1.3665971522119928</v>
      </c>
      <c r="Q227" s="115">
        <f>IF(Q$16=1,IF(AND($D$205=1,$D$208=1),P227*(1+$D$207),IF('Assumptions - Freight'!$E$143=1,P227*('Assumptions - Freight'!$E$187*'Assumptions - General'!Q$37+1)*(1+'Assumptions - Freight'!Q$188),P227*(1+'Assumptions - Freight'!Q$188)))," ")</f>
        <v>1.4059551501956982</v>
      </c>
      <c r="R227" s="115">
        <f>IF(R$16=1,IF(AND($D$205=1,$D$208=1),Q227*(1+$D$207),IF('Assumptions - Freight'!$E$143=1,Q227*('Assumptions - Freight'!$E$187*'Assumptions - General'!R$37+1)*(1+'Assumptions - Freight'!R$188),Q227*(1+'Assumptions - Freight'!R$188)))," ")</f>
        <v>1.4464466585213342</v>
      </c>
      <c r="S227" s="115">
        <f>IF(S$16=1,IF(AND($D$205=1,$D$208=1),R227*(1+$D$207),IF('Assumptions - Freight'!$E$143=1,R227*('Assumptions - Freight'!$E$187*'Assumptions - General'!S$37+1)*(1+'Assumptions - Freight'!S$188),R227*(1+'Assumptions - Freight'!S$188)))," ")</f>
        <v>1.4881043222867485</v>
      </c>
      <c r="T227" s="115">
        <f>IF(T$16=1,IF(AND($D$205=1,$D$208=1),S227*(1+$D$207),IF('Assumptions - Freight'!$E$143=1,S227*('Assumptions - Freight'!$E$187*'Assumptions - General'!T$37+1)*(1+'Assumptions - Freight'!T$188),S227*(1+'Assumptions - Freight'!T$188)))," ")</f>
        <v>1.5309617267686066</v>
      </c>
      <c r="U227" s="115">
        <f>IF(U$16=1,IF(AND($D$205=1,$D$208=1),T227*(1+$D$207),IF('Assumptions - Freight'!$E$143=1,T227*('Assumptions - Freight'!$E$187*'Assumptions - General'!U$37+1)*(1+'Assumptions - Freight'!U$188),T227*(1+'Assumptions - Freight'!U$188)))," ")</f>
        <v>1.5750534244995424</v>
      </c>
      <c r="V227" s="115">
        <f>IF(V$16=1,IF(AND($D$205=1,$D$208=1),U227*(1+$D$207),IF('Assumptions - Freight'!$E$143=1,U227*('Assumptions - Freight'!$E$187*'Assumptions - General'!V$37+1)*(1+'Assumptions - Freight'!V$188),U227*(1+'Assumptions - Freight'!V$188)))," ")</f>
        <v>1.6204149631251292</v>
      </c>
      <c r="W227" s="115">
        <f>IF(W$16=1,IF(AND($D$205=1,$D$208=1),V227*(1+$D$207),IF('Assumptions - Freight'!$E$143=1,V227*('Assumptions - Freight'!$E$187*'Assumptions - General'!W$37+1)*(1+'Assumptions - Freight'!W$188),V227*(1+'Assumptions - Freight'!W$188)))," ")</f>
        <v>1.6670829140631329</v>
      </c>
      <c r="X227" s="115">
        <f>IF(X$16=1,IF(AND($D$205=1,$D$208=1),W227*(1+$D$207),IF('Assumptions - Freight'!$E$143=1,W227*('Assumptions - Freight'!$E$187*'Assumptions - General'!X$37+1)*(1+'Assumptions - Freight'!X$188),W227*(1+'Assumptions - Freight'!X$188)))," ")</f>
        <v>1.715094901988151</v>
      </c>
      <c r="Y227" s="115">
        <f>IF(Y$16=1,IF(AND($D$205=1,$D$208=1),X227*(1+$D$207),IF('Assumptions - Freight'!$E$143=1,X227*('Assumptions - Freight'!$E$187*'Assumptions - General'!Y$37+1)*(1+'Assumptions - Freight'!Y$188),X227*(1+'Assumptions - Freight'!Y$188)))," ")</f>
        <v>1.7644896351654096</v>
      </c>
      <c r="Z227" s="115">
        <f>IF(Z$16=1,IF(AND($D$205=1,$D$208=1),Y227*(1+$D$207),IF('Assumptions - Freight'!$E$143=1,Y227*('Assumptions - Freight'!$E$187*'Assumptions - General'!Z$37+1)*(1+'Assumptions - Freight'!Z$188),Y227*(1+'Assumptions - Freight'!Z$188)))," ")</f>
        <v>1.8153069366581733</v>
      </c>
      <c r="AA227" s="115">
        <f>IF(AA$16=1,IF(AND($D$205=1,$D$208=1),Z227*(1+$D$207),IF('Assumptions - Freight'!$E$143=1,Z227*('Assumptions - Freight'!$E$187*'Assumptions - General'!AA$37+1)*(1+'Assumptions - Freight'!AA$188),Z227*(1+'Assumptions - Freight'!AA$188)))," ")</f>
        <v>1.8675877764339286</v>
      </c>
      <c r="AB227" s="115">
        <f>IF(AB$16=1,IF(AND($D$205=1,$D$208=1),AA227*(1+$D$207),IF('Assumptions - Freight'!$E$143=1,AA227*('Assumptions - Freight'!$E$187*'Assumptions - General'!AB$37+1)*(1+'Assumptions - Freight'!AB$188),AA227*(1+'Assumptions - Freight'!AB$188)))," ")</f>
        <v>1.9213743043952256</v>
      </c>
      <c r="AC227" s="115">
        <f>IF(AC$16=1,IF(AND($D$205=1,$D$208=1),AB227*(1+$D$207),IF('Assumptions - Freight'!$E$143=1,AB227*('Assumptions - Freight'!$E$187*'Assumptions - General'!AC$37+1)*(1+'Assumptions - Freight'!AC$188),AB227*(1+'Assumptions - Freight'!AC$188)))," ")</f>
        <v>1.9767098843618081</v>
      </c>
      <c r="AD227" s="115">
        <f>IF(AD$16=1,IF(AND($D$205=1,$D$208=1),AC227*(1+$D$207),IF('Assumptions - Freight'!$E$143=1,AC227*('Assumptions - Freight'!$E$187*'Assumptions - General'!AD$37+1)*(1+'Assumptions - Freight'!AD$188),AC227*(1+'Assumptions - Freight'!AD$188)))," ")</f>
        <v>2.0336391290314282</v>
      </c>
      <c r="AE227" s="115">
        <f>IF(AE$16=1,IF(AND($D$205=1,$D$208=1),AD227*(1+$D$207),IF('Assumptions - Freight'!$E$143=1,AD227*('Assumptions - Freight'!$E$187*'Assumptions - General'!AE$37+1)*(1+'Assumptions - Freight'!AE$188),AD227*(1+'Assumptions - Freight'!AE$188)))," ")</f>
        <v>2.0922079359475334</v>
      </c>
      <c r="AF227" s="115">
        <f>IF(AF$16=1,IF(AND($D$205=1,$D$208=1),AE227*(1+$D$207),IF('Assumptions - Freight'!$E$143=1,AE227*('Assumptions - Freight'!$E$187*'Assumptions - General'!AF$37+1)*(1+'Assumptions - Freight'!AF$188),AE227*(1+'Assumptions - Freight'!AF$188)))," ")</f>
        <v>2.1524635245028221</v>
      </c>
      <c r="AG227" s="115">
        <f>IF(AG$16=1,IF(AND($D$205=1,$D$208=1),AF227*(1+$D$207),IF('Assumptions - Freight'!$E$143=1,AF227*('Assumptions - Freight'!$E$187*'Assumptions - General'!AG$37+1)*(1+'Assumptions - Freight'!AG$188),AF227*(1+'Assumptions - Freight'!AG$188)))," ")</f>
        <v>2.214454474008503</v>
      </c>
      <c r="AH227" s="115">
        <f>IF(AH$16=1,IF(AND($D$205=1,$D$208=1),AG227*(1+$D$207),IF('Assumptions - Freight'!$E$143=1,AG227*('Assumptions - Freight'!$E$187*'Assumptions - General'!AH$37+1)*(1+'Assumptions - Freight'!AH$188),AG227*(1+'Assumptions - Freight'!AH$188)))," ")</f>
        <v>2.2782307628599479</v>
      </c>
    </row>
    <row r="228" spans="1:34" x14ac:dyDescent="0.2">
      <c r="A228" s="18"/>
      <c r="B228" s="14" t="s">
        <v>35</v>
      </c>
      <c r="C228" s="8"/>
      <c r="D228" s="8" t="s">
        <v>15</v>
      </c>
      <c r="E228" s="464"/>
      <c r="F228" s="11">
        <f t="shared" ref="F228:AH228" si="65">IF(AND(F$16=1,$E$227&gt;0),F227/E227-1," ")</f>
        <v>2.8799999999999937E-2</v>
      </c>
      <c r="G228" s="11">
        <f t="shared" si="65"/>
        <v>2.8799999999999937E-2</v>
      </c>
      <c r="H228" s="11">
        <f t="shared" si="65"/>
        <v>2.8799999999999937E-2</v>
      </c>
      <c r="I228" s="11">
        <f t="shared" si="65"/>
        <v>2.8799999999999937E-2</v>
      </c>
      <c r="J228" s="11">
        <f t="shared" si="65"/>
        <v>2.8799999999999937E-2</v>
      </c>
      <c r="K228" s="11">
        <f t="shared" si="65"/>
        <v>2.8799999999999937E-2</v>
      </c>
      <c r="L228" s="11">
        <f t="shared" si="65"/>
        <v>2.8799999999999937E-2</v>
      </c>
      <c r="M228" s="11">
        <f t="shared" si="65"/>
        <v>2.8799999999999937E-2</v>
      </c>
      <c r="N228" s="11">
        <f t="shared" si="65"/>
        <v>2.8799999999999937E-2</v>
      </c>
      <c r="O228" s="11">
        <f t="shared" si="65"/>
        <v>2.8799999999999937E-2</v>
      </c>
      <c r="P228" s="11">
        <f t="shared" si="65"/>
        <v>2.8799999999999937E-2</v>
      </c>
      <c r="Q228" s="11">
        <f t="shared" si="65"/>
        <v>2.8799999999999937E-2</v>
      </c>
      <c r="R228" s="11">
        <f t="shared" si="65"/>
        <v>2.8799999999999937E-2</v>
      </c>
      <c r="S228" s="11">
        <f t="shared" si="65"/>
        <v>2.8799999999999937E-2</v>
      </c>
      <c r="T228" s="11">
        <f t="shared" si="65"/>
        <v>2.8799999999999937E-2</v>
      </c>
      <c r="U228" s="11">
        <f t="shared" si="65"/>
        <v>2.8799999999999937E-2</v>
      </c>
      <c r="V228" s="11">
        <f t="shared" si="65"/>
        <v>2.8799999999999937E-2</v>
      </c>
      <c r="W228" s="11">
        <f t="shared" si="65"/>
        <v>2.8799999999999937E-2</v>
      </c>
      <c r="X228" s="11">
        <f t="shared" si="65"/>
        <v>2.8799999999999937E-2</v>
      </c>
      <c r="Y228" s="11">
        <f t="shared" si="65"/>
        <v>2.8799999999999937E-2</v>
      </c>
      <c r="Z228" s="11">
        <f t="shared" si="65"/>
        <v>2.8799999999999937E-2</v>
      </c>
      <c r="AA228" s="11">
        <f t="shared" si="65"/>
        <v>2.8799999999999937E-2</v>
      </c>
      <c r="AB228" s="11">
        <f t="shared" si="65"/>
        <v>2.8799999999999937E-2</v>
      </c>
      <c r="AC228" s="11">
        <f t="shared" si="65"/>
        <v>2.8799999999999937E-2</v>
      </c>
      <c r="AD228" s="11">
        <f t="shared" si="65"/>
        <v>2.8799999999999937E-2</v>
      </c>
      <c r="AE228" s="11">
        <f t="shared" si="65"/>
        <v>2.8799999999999937E-2</v>
      </c>
      <c r="AF228" s="11">
        <f t="shared" si="65"/>
        <v>2.8799999999999937E-2</v>
      </c>
      <c r="AG228" s="11">
        <f t="shared" si="65"/>
        <v>2.8799999999999937E-2</v>
      </c>
      <c r="AH228" s="11">
        <f t="shared" si="65"/>
        <v>2.8799999999999937E-2</v>
      </c>
    </row>
    <row r="229" spans="1:34" x14ac:dyDescent="0.2">
      <c r="A229" s="18"/>
      <c r="B229" s="8" t="str">
        <f>'Assumptions - Freight'!E125 &amp;" per-unit tariff "</f>
        <v xml:space="preserve">Commodity 10 per-unit tariff </v>
      </c>
      <c r="C229" s="8"/>
      <c r="D229" s="8" t="str">
        <f>D227</f>
        <v>R$/Ton-km</v>
      </c>
      <c r="E229" s="464">
        <f>IF(E$16=1,IF($D$205=1,'Assumptions - Freight'!E191*$D$206,'Assumptions - Freight'!E191),0)</f>
        <v>1</v>
      </c>
      <c r="F229" s="115">
        <f>IF(F$16=1,IF(AND($D$205=1,$D$208=1),E229*(1+$D$207),IF('Assumptions - Freight'!$E$143=1,E229*('Assumptions - Freight'!$E$192*'Assumptions - General'!F$37+1)*(1+'Assumptions - Freight'!F$193),E229*(1+'Assumptions - Freight'!F$193)))," ")</f>
        <v>1.0297000000000001</v>
      </c>
      <c r="G229" s="115">
        <f>IF(G$16=1,IF(AND($D$205=1,$D$208=1),F229*(1+$D$207),IF('Assumptions - Freight'!$E$143=1,F229*('Assumptions - Freight'!$E$192*'Assumptions - General'!G$37+1)*(1+'Assumptions - Freight'!G$193),F229*(1+'Assumptions - Freight'!G$193)))," ")</f>
        <v>1.0602820900000001</v>
      </c>
      <c r="H229" s="115">
        <f>IF(H$16=1,IF(AND($D$205=1,$D$208=1),G229*(1+$D$207),IF('Assumptions - Freight'!$E$143=1,G229*('Assumptions - Freight'!$E$192*'Assumptions - General'!H$37+1)*(1+'Assumptions - Freight'!H$193),G229*(1+'Assumptions - Freight'!H$193)))," ")</f>
        <v>1.0917724680730001</v>
      </c>
      <c r="I229" s="115">
        <f>IF(I$16=1,IF(AND($D$205=1,$D$208=1),H229*(1+$D$207),IF('Assumptions - Freight'!$E$143=1,H229*('Assumptions - Freight'!$E$192*'Assumptions - General'!I$37+1)*(1+'Assumptions - Freight'!I$193),H229*(1+'Assumptions - Freight'!I$193)))," ")</f>
        <v>1.1241981103747682</v>
      </c>
      <c r="J229" s="115">
        <f>IF(J$16=1,IF(AND($D$205=1,$D$208=1),I229*(1+$D$207),IF('Assumptions - Freight'!$E$143=1,I229*('Assumptions - Freight'!$E$192*'Assumptions - General'!J$37+1)*(1+'Assumptions - Freight'!J$193),I229*(1+'Assumptions - Freight'!J$193)))," ")</f>
        <v>1.157586794252899</v>
      </c>
      <c r="K229" s="115">
        <f>IF(K$16=1,IF(AND($D$205=1,$D$208=1),J229*(1+$D$207),IF('Assumptions - Freight'!$E$143=1,J229*('Assumptions - Freight'!$E$192*'Assumptions - General'!K$37+1)*(1+'Assumptions - Freight'!K$193),J229*(1+'Assumptions - Freight'!K$193)))," ")</f>
        <v>1.1919671220422101</v>
      </c>
      <c r="L229" s="115">
        <f>IF(L$16=1,IF(AND($D$205=1,$D$208=1),K229*(1+$D$207),IF('Assumptions - Freight'!$E$143=1,K229*('Assumptions - Freight'!$E$192*'Assumptions - General'!L$37+1)*(1+'Assumptions - Freight'!L$193),K229*(1+'Assumptions - Freight'!L$193)))," ")</f>
        <v>1.2273685455668639</v>
      </c>
      <c r="M229" s="115">
        <f>IF(M$16=1,IF(AND($D$205=1,$D$208=1),L229*(1+$D$207),IF('Assumptions - Freight'!$E$143=1,L229*('Assumptions - Freight'!$E$192*'Assumptions - General'!M$37+1)*(1+'Assumptions - Freight'!M$193),L229*(1+'Assumptions - Freight'!M$193)))," ")</f>
        <v>1.2638213913701999</v>
      </c>
      <c r="N229" s="115">
        <f>IF(N$16=1,IF(AND($D$205=1,$D$208=1),M229*(1+$D$207),IF('Assumptions - Freight'!$E$143=1,M229*('Assumptions - Freight'!$E$192*'Assumptions - General'!N$37+1)*(1+'Assumptions - Freight'!N$193),M229*(1+'Assumptions - Freight'!N$193)))," ")</f>
        <v>1.3013568866938949</v>
      </c>
      <c r="O229" s="115">
        <f>IF(O$16=1,IF(AND($D$205=1,$D$208=1),N229*(1+$D$207),IF('Assumptions - Freight'!$E$143=1,N229*('Assumptions - Freight'!$E$192*'Assumptions - General'!O$37+1)*(1+'Assumptions - Freight'!O$193),N229*(1+'Assumptions - Freight'!O$193)))," ")</f>
        <v>1.3400071862287037</v>
      </c>
      <c r="P229" s="115">
        <f>IF(P$16=1,IF(AND($D$205=1,$D$208=1),O229*(1+$D$207),IF('Assumptions - Freight'!$E$143=1,O229*('Assumptions - Freight'!$E$192*'Assumptions - General'!P$37+1)*(1+'Assumptions - Freight'!P$193),O229*(1+'Assumptions - Freight'!P$193)))," ")</f>
        <v>1.3798053996596964</v>
      </c>
      <c r="Q229" s="115">
        <f>IF(Q$16=1,IF(AND($D$205=1,$D$208=1),P229*(1+$D$207),IF('Assumptions - Freight'!$E$143=1,P229*('Assumptions - Freight'!$E$192*'Assumptions - General'!Q$37+1)*(1+'Assumptions - Freight'!Q$193),P229*(1+'Assumptions - Freight'!Q$193)))," ")</f>
        <v>1.4207856200295894</v>
      </c>
      <c r="R229" s="115">
        <f>IF(R$16=1,IF(AND($D$205=1,$D$208=1),Q229*(1+$D$207),IF('Assumptions - Freight'!$E$143=1,Q229*('Assumptions - Freight'!$E$192*'Assumptions - General'!R$37+1)*(1+'Assumptions - Freight'!R$193),Q229*(1+'Assumptions - Freight'!R$193)))," ")</f>
        <v>1.4629829529444682</v>
      </c>
      <c r="S229" s="115">
        <f>IF(S$16=1,IF(AND($D$205=1,$D$208=1),R229*(1+$D$207),IF('Assumptions - Freight'!$E$143=1,R229*('Assumptions - Freight'!$E$192*'Assumptions - General'!S$37+1)*(1+'Assumptions - Freight'!S$193),R229*(1+'Assumptions - Freight'!S$193)))," ")</f>
        <v>1.506433546646919</v>
      </c>
      <c r="T229" s="115">
        <f>IF(T$16=1,IF(AND($D$205=1,$D$208=1),S229*(1+$D$207),IF('Assumptions - Freight'!$E$143=1,S229*('Assumptions - Freight'!$E$192*'Assumptions - General'!T$37+1)*(1+'Assumptions - Freight'!T$193),S229*(1+'Assumptions - Freight'!T$193)))," ")</f>
        <v>1.5511746229823327</v>
      </c>
      <c r="U229" s="115">
        <f>IF(U$16=1,IF(AND($D$205=1,$D$208=1),T229*(1+$D$207),IF('Assumptions - Freight'!$E$143=1,T229*('Assumptions - Freight'!$E$192*'Assumptions - General'!U$37+1)*(1+'Assumptions - Freight'!U$193),T229*(1+'Assumptions - Freight'!U$193)))," ")</f>
        <v>1.5972445092849081</v>
      </c>
      <c r="V229" s="115">
        <f>IF(V$16=1,IF(AND($D$205=1,$D$208=1),U229*(1+$D$207),IF('Assumptions - Freight'!$E$143=1,U229*('Assumptions - Freight'!$E$192*'Assumptions - General'!V$37+1)*(1+'Assumptions - Freight'!V$193),U229*(1+'Assumptions - Freight'!V$193)))," ")</f>
        <v>1.6446826712106699</v>
      </c>
      <c r="W229" s="115">
        <f>IF(W$16=1,IF(AND($D$205=1,$D$208=1),V229*(1+$D$207),IF('Assumptions - Freight'!$E$143=1,V229*('Assumptions - Freight'!$E$192*'Assumptions - General'!W$37+1)*(1+'Assumptions - Freight'!W$193),V229*(1+'Assumptions - Freight'!W$193)))," ")</f>
        <v>1.6935297465456269</v>
      </c>
      <c r="X229" s="115">
        <f>IF(X$16=1,IF(AND($D$205=1,$D$208=1),W229*(1+$D$207),IF('Assumptions - Freight'!$E$143=1,W229*('Assumptions - Freight'!$E$192*'Assumptions - General'!X$37+1)*(1+'Assumptions - Freight'!X$193),W229*(1+'Assumptions - Freight'!X$193)))," ")</f>
        <v>1.7438275800180321</v>
      </c>
      <c r="Y229" s="115">
        <f>IF(Y$16=1,IF(AND($D$205=1,$D$208=1),X229*(1+$D$207),IF('Assumptions - Freight'!$E$143=1,X229*('Assumptions - Freight'!$E$192*'Assumptions - General'!Y$37+1)*(1+'Assumptions - Freight'!Y$193),X229*(1+'Assumptions - Freight'!Y$193)))," ")</f>
        <v>1.7956192591445677</v>
      </c>
      <c r="Z229" s="115">
        <f>IF(Z$16=1,IF(AND($D$205=1,$D$208=1),Y229*(1+$D$207),IF('Assumptions - Freight'!$E$143=1,Y229*('Assumptions - Freight'!$E$192*'Assumptions - General'!Z$37+1)*(1+'Assumptions - Freight'!Z$193),Y229*(1+'Assumptions - Freight'!Z$193)))," ")</f>
        <v>1.8489491511411613</v>
      </c>
      <c r="AA229" s="115">
        <f>IF(AA$16=1,IF(AND($D$205=1,$D$208=1),Z229*(1+$D$207),IF('Assumptions - Freight'!$E$143=1,Z229*('Assumptions - Freight'!$E$192*'Assumptions - General'!AA$37+1)*(1+'Assumptions - Freight'!AA$193),Z229*(1+'Assumptions - Freight'!AA$193)))," ")</f>
        <v>1.9038629409300538</v>
      </c>
      <c r="AB229" s="115">
        <f>IF(AB$16=1,IF(AND($D$205=1,$D$208=1),AA229*(1+$D$207),IF('Assumptions - Freight'!$E$143=1,AA229*('Assumptions - Freight'!$E$192*'Assumptions - General'!AB$37+1)*(1+'Assumptions - Freight'!AB$193),AA229*(1+'Assumptions - Freight'!AB$193)))," ")</f>
        <v>1.9604076702756765</v>
      </c>
      <c r="AC229" s="115">
        <f>IF(AC$16=1,IF(AND($D$205=1,$D$208=1),AB229*(1+$D$207),IF('Assumptions - Freight'!$E$143=1,AB229*('Assumptions - Freight'!$E$192*'Assumptions - General'!AC$37+1)*(1+'Assumptions - Freight'!AC$193),AB229*(1+'Assumptions - Freight'!AC$193)))," ")</f>
        <v>2.0186317780828644</v>
      </c>
      <c r="AD229" s="115">
        <f>IF(AD$16=1,IF(AND($D$205=1,$D$208=1),AC229*(1+$D$207),IF('Assumptions - Freight'!$E$143=1,AC229*('Assumptions - Freight'!$E$192*'Assumptions - General'!AD$37+1)*(1+'Assumptions - Freight'!AD$193),AC229*(1+'Assumptions - Freight'!AD$193)))," ")</f>
        <v>2.0785851418919257</v>
      </c>
      <c r="AE229" s="115">
        <f>IF(AE$16=1,IF(AND($D$205=1,$D$208=1),AD229*(1+$D$207),IF('Assumptions - Freight'!$E$143=1,AD229*('Assumptions - Freight'!$E$192*'Assumptions - General'!AE$37+1)*(1+'Assumptions - Freight'!AE$193),AD229*(1+'Assumptions - Freight'!AE$193)))," ")</f>
        <v>2.1403191206061161</v>
      </c>
      <c r="AF229" s="115">
        <f>IF(AF$16=1,IF(AND($D$205=1,$D$208=1),AE229*(1+$D$207),IF('Assumptions - Freight'!$E$143=1,AE229*('Assumptions - Freight'!$E$192*'Assumptions - General'!AF$37+1)*(1+'Assumptions - Freight'!AF$193),AE229*(1+'Assumptions - Freight'!AF$193)))," ")</f>
        <v>2.203886598488118</v>
      </c>
      <c r="AG229" s="115">
        <f>IF(AG$16=1,IF(AND($D$205=1,$D$208=1),AF229*(1+$D$207),IF('Assumptions - Freight'!$E$143=1,AF229*('Assumptions - Freight'!$E$192*'Assumptions - General'!AG$37+1)*(1+'Assumptions - Freight'!AG$193),AF229*(1+'Assumptions - Freight'!AG$193)))," ")</f>
        <v>2.269342030463215</v>
      </c>
      <c r="AH229" s="115">
        <f>IF(AH$16=1,IF(AND($D$205=1,$D$208=1),AG229*(1+$D$207),IF('Assumptions - Freight'!$E$143=1,AG229*('Assumptions - Freight'!$E$192*'Assumptions - General'!AH$37+1)*(1+'Assumptions - Freight'!AH$193),AG229*(1+'Assumptions - Freight'!AH$193)))," ")</f>
        <v>2.3367414887679727</v>
      </c>
    </row>
    <row r="230" spans="1:34" x14ac:dyDescent="0.2">
      <c r="A230" s="18"/>
      <c r="B230" s="14" t="s">
        <v>35</v>
      </c>
      <c r="C230" s="8"/>
      <c r="D230" s="8" t="s">
        <v>15</v>
      </c>
      <c r="E230" s="464"/>
      <c r="F230" s="11">
        <f t="shared" ref="F230:AH230" si="66">IF(AND(F$16=1,$E$229&gt;0),F229/E229-1," ")</f>
        <v>2.970000000000006E-2</v>
      </c>
      <c r="G230" s="11">
        <f t="shared" si="66"/>
        <v>2.970000000000006E-2</v>
      </c>
      <c r="H230" s="11">
        <f t="shared" si="66"/>
        <v>2.970000000000006E-2</v>
      </c>
      <c r="I230" s="11">
        <f t="shared" si="66"/>
        <v>2.970000000000006E-2</v>
      </c>
      <c r="J230" s="11">
        <f t="shared" si="66"/>
        <v>2.970000000000006E-2</v>
      </c>
      <c r="K230" s="11">
        <f t="shared" si="66"/>
        <v>2.970000000000006E-2</v>
      </c>
      <c r="L230" s="11">
        <f t="shared" si="66"/>
        <v>2.970000000000006E-2</v>
      </c>
      <c r="M230" s="11">
        <f t="shared" si="66"/>
        <v>2.970000000000006E-2</v>
      </c>
      <c r="N230" s="11">
        <f t="shared" si="66"/>
        <v>2.970000000000006E-2</v>
      </c>
      <c r="O230" s="11">
        <f t="shared" si="66"/>
        <v>2.970000000000006E-2</v>
      </c>
      <c r="P230" s="11">
        <f t="shared" si="66"/>
        <v>2.970000000000006E-2</v>
      </c>
      <c r="Q230" s="11">
        <f t="shared" si="66"/>
        <v>2.970000000000006E-2</v>
      </c>
      <c r="R230" s="11">
        <f t="shared" si="66"/>
        <v>2.970000000000006E-2</v>
      </c>
      <c r="S230" s="11">
        <f t="shared" si="66"/>
        <v>2.970000000000006E-2</v>
      </c>
      <c r="T230" s="11">
        <f t="shared" si="66"/>
        <v>2.970000000000006E-2</v>
      </c>
      <c r="U230" s="11">
        <f t="shared" si="66"/>
        <v>2.970000000000006E-2</v>
      </c>
      <c r="V230" s="11">
        <f t="shared" si="66"/>
        <v>2.970000000000006E-2</v>
      </c>
      <c r="W230" s="11">
        <f t="shared" si="66"/>
        <v>2.970000000000006E-2</v>
      </c>
      <c r="X230" s="11">
        <f t="shared" si="66"/>
        <v>2.970000000000006E-2</v>
      </c>
      <c r="Y230" s="11">
        <f t="shared" si="66"/>
        <v>2.970000000000006E-2</v>
      </c>
      <c r="Z230" s="11">
        <f t="shared" si="66"/>
        <v>2.970000000000006E-2</v>
      </c>
      <c r="AA230" s="11">
        <f t="shared" si="66"/>
        <v>2.970000000000006E-2</v>
      </c>
      <c r="AB230" s="11">
        <f t="shared" si="66"/>
        <v>2.970000000000006E-2</v>
      </c>
      <c r="AC230" s="11">
        <f t="shared" si="66"/>
        <v>2.970000000000006E-2</v>
      </c>
      <c r="AD230" s="11">
        <f t="shared" si="66"/>
        <v>2.970000000000006E-2</v>
      </c>
      <c r="AE230" s="11">
        <f t="shared" si="66"/>
        <v>2.970000000000006E-2</v>
      </c>
      <c r="AF230" s="11">
        <f t="shared" si="66"/>
        <v>2.970000000000006E-2</v>
      </c>
      <c r="AG230" s="11">
        <f t="shared" si="66"/>
        <v>2.970000000000006E-2</v>
      </c>
      <c r="AH230" s="11">
        <f t="shared" si="66"/>
        <v>2.970000000000006E-2</v>
      </c>
    </row>
    <row r="231" spans="1:34" x14ac:dyDescent="0.2">
      <c r="A231" s="18"/>
      <c r="B231" s="17"/>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row>
    <row r="232" spans="1:34" s="20" customFormat="1" ht="14" x14ac:dyDescent="0.2">
      <c r="A232" s="8"/>
      <c r="B232" s="8" t="str">
        <f>'Assumptions - Freight'!E116 &amp;" revenue"</f>
        <v>Commodity 1 revenue</v>
      </c>
      <c r="C232" s="8"/>
      <c r="D232" s="8" t="str">
        <f>'Assumptions - General'!$E$27 &amp;" millions"</f>
        <v>R$ millions</v>
      </c>
      <c r="E232" s="12">
        <f t="shared" ref="E232:AH232" si="67">IF(E$16=1,E134*E211," ")</f>
        <v>4000</v>
      </c>
      <c r="F232" s="12">
        <f t="shared" si="67"/>
        <v>4042</v>
      </c>
      <c r="G232" s="12">
        <f t="shared" si="67"/>
        <v>4084.4409999999998</v>
      </c>
      <c r="H232" s="12">
        <f t="shared" si="67"/>
        <v>4127.3276304999999</v>
      </c>
      <c r="I232" s="12">
        <f t="shared" si="67"/>
        <v>4170.6645706202498</v>
      </c>
      <c r="J232" s="12">
        <f t="shared" si="67"/>
        <v>4214.4565486117626</v>
      </c>
      <c r="K232" s="12">
        <f t="shared" si="67"/>
        <v>4791.0468851687092</v>
      </c>
      <c r="L232" s="12">
        <f t="shared" si="67"/>
        <v>4841.3528774629813</v>
      </c>
      <c r="M232" s="12">
        <f t="shared" si="67"/>
        <v>4892.1870826763416</v>
      </c>
      <c r="N232" s="12">
        <f t="shared" si="67"/>
        <v>4943.5550470444432</v>
      </c>
      <c r="O232" s="12">
        <f t="shared" si="67"/>
        <v>4995.4623750384108</v>
      </c>
      <c r="P232" s="12">
        <f t="shared" si="67"/>
        <v>5047.9147299763135</v>
      </c>
      <c r="Q232" s="12">
        <f t="shared" si="67"/>
        <v>5100.9178346410645</v>
      </c>
      <c r="R232" s="12">
        <f t="shared" si="67"/>
        <v>5154.4774719047955</v>
      </c>
      <c r="S232" s="12">
        <f t="shared" si="67"/>
        <v>5208.5994853597967</v>
      </c>
      <c r="T232" s="12">
        <f t="shared" si="67"/>
        <v>5263.2897799560742</v>
      </c>
      <c r="U232" s="12">
        <f t="shared" si="67"/>
        <v>5318.554322645613</v>
      </c>
      <c r="V232" s="12">
        <f t="shared" si="67"/>
        <v>5374.3991430333926</v>
      </c>
      <c r="W232" s="12">
        <f t="shared" si="67"/>
        <v>5430.8303340352422</v>
      </c>
      <c r="X232" s="12">
        <f t="shared" si="67"/>
        <v>5487.8540525426124</v>
      </c>
      <c r="Y232" s="12">
        <f t="shared" si="67"/>
        <v>5545.4765200943093</v>
      </c>
      <c r="Z232" s="12">
        <f t="shared" si="67"/>
        <v>5603.7040235552995</v>
      </c>
      <c r="AA232" s="12">
        <f t="shared" si="67"/>
        <v>5662.5429158026291</v>
      </c>
      <c r="AB232" s="12">
        <f t="shared" si="67"/>
        <v>5721.9996164185568</v>
      </c>
      <c r="AC232" s="12">
        <f t="shared" si="67"/>
        <v>5782.0806123909506</v>
      </c>
      <c r="AD232" s="12">
        <f t="shared" si="67"/>
        <v>5842.7924588210553</v>
      </c>
      <c r="AE232" s="12">
        <f t="shared" si="67"/>
        <v>5904.1417796386768</v>
      </c>
      <c r="AF232" s="12">
        <f t="shared" si="67"/>
        <v>5966.1352683248815</v>
      </c>
      <c r="AG232" s="12">
        <f t="shared" si="67"/>
        <v>6028.779688642293</v>
      </c>
      <c r="AH232" s="12">
        <f t="shared" si="67"/>
        <v>6092.0818753730364</v>
      </c>
    </row>
    <row r="233" spans="1:34" s="20" customFormat="1" ht="14" x14ac:dyDescent="0.2">
      <c r="A233" s="8"/>
      <c r="B233" s="8" t="str">
        <f>'Assumptions - Freight'!E117 &amp;" revenue"</f>
        <v>Commodity 2 revenue</v>
      </c>
      <c r="C233" s="8"/>
      <c r="D233" s="8" t="str">
        <f>'Assumptions - General'!$E$27 &amp;" millions"</f>
        <v>R$ millions</v>
      </c>
      <c r="E233" s="12">
        <f t="shared" ref="E233:AH233" si="68">IF(E$16=1,E135*E213," ")</f>
        <v>4000</v>
      </c>
      <c r="F233" s="12">
        <f t="shared" si="68"/>
        <v>4106.8</v>
      </c>
      <c r="G233" s="12">
        <f t="shared" si="68"/>
        <v>4216.4515599999995</v>
      </c>
      <c r="H233" s="12">
        <f t="shared" si="68"/>
        <v>4329.030816651999</v>
      </c>
      <c r="I233" s="12">
        <f t="shared" si="68"/>
        <v>4444.6159394566075</v>
      </c>
      <c r="J233" s="12">
        <f t="shared" si="68"/>
        <v>4563.2871850400988</v>
      </c>
      <c r="K233" s="12">
        <f t="shared" si="68"/>
        <v>5270.767821990753</v>
      </c>
      <c r="L233" s="12">
        <f t="shared" si="68"/>
        <v>5411.4973228379049</v>
      </c>
      <c r="M233" s="12">
        <f t="shared" si="68"/>
        <v>5555.9843013576765</v>
      </c>
      <c r="N233" s="12">
        <f t="shared" si="68"/>
        <v>5704.3290822039262</v>
      </c>
      <c r="O233" s="12">
        <f t="shared" si="68"/>
        <v>5856.6346686987699</v>
      </c>
      <c r="P233" s="12">
        <f t="shared" si="68"/>
        <v>6013.006814353027</v>
      </c>
      <c r="Q233" s="12">
        <f t="shared" si="68"/>
        <v>6173.5540962962523</v>
      </c>
      <c r="R233" s="12">
        <f t="shared" si="68"/>
        <v>6338.3879906673619</v>
      </c>
      <c r="S233" s="12">
        <f t="shared" si="68"/>
        <v>6507.6229500181807</v>
      </c>
      <c r="T233" s="12">
        <f t="shared" si="68"/>
        <v>6681.3764827836658</v>
      </c>
      <c r="U233" s="12">
        <f t="shared" si="68"/>
        <v>6859.7692348739893</v>
      </c>
      <c r="V233" s="12">
        <f t="shared" si="68"/>
        <v>7042.9250734451243</v>
      </c>
      <c r="W233" s="12">
        <f t="shared" si="68"/>
        <v>7230.9711729061091</v>
      </c>
      <c r="X233" s="12">
        <f t="shared" si="68"/>
        <v>7424.0381032227015</v>
      </c>
      <c r="Y233" s="12">
        <f t="shared" si="68"/>
        <v>7622.2599205787465</v>
      </c>
      <c r="Z233" s="12">
        <f t="shared" si="68"/>
        <v>7825.7742604581981</v>
      </c>
      <c r="AA233" s="12">
        <f t="shared" si="68"/>
        <v>8034.7224332124315</v>
      </c>
      <c r="AB233" s="12">
        <f t="shared" si="68"/>
        <v>8249.2495221792033</v>
      </c>
      <c r="AC233" s="12">
        <f t="shared" si="68"/>
        <v>8469.5044844213862</v>
      </c>
      <c r="AD233" s="12">
        <f t="shared" si="68"/>
        <v>8695.640254155438</v>
      </c>
      <c r="AE233" s="12">
        <f t="shared" si="68"/>
        <v>8927.8138489413868</v>
      </c>
      <c r="AF233" s="12">
        <f t="shared" si="68"/>
        <v>9166.1864787081213</v>
      </c>
      <c r="AG233" s="12">
        <f t="shared" si="68"/>
        <v>9410.9236576896274</v>
      </c>
      <c r="AH233" s="12">
        <f t="shared" si="68"/>
        <v>9662.1953193499394</v>
      </c>
    </row>
    <row r="234" spans="1:34" s="20" customFormat="1" ht="14" x14ac:dyDescent="0.2">
      <c r="A234" s="8"/>
      <c r="B234" s="15" t="str">
        <f>'Assumptions - Freight'!E118 &amp;" revenue"</f>
        <v>Commodity 3 revenue</v>
      </c>
      <c r="C234" s="8"/>
      <c r="D234" s="8" t="str">
        <f>'Assumptions - General'!$E$27 &amp;" millions"</f>
        <v>R$ millions</v>
      </c>
      <c r="E234" s="12">
        <f t="shared" ref="E234:AH234" si="69">IF(E$16=1,E136*E215," ")</f>
        <v>5000</v>
      </c>
      <c r="F234" s="12">
        <f t="shared" si="69"/>
        <v>4120</v>
      </c>
      <c r="G234" s="12">
        <f t="shared" si="69"/>
        <v>4243.5999999999995</v>
      </c>
      <c r="H234" s="12">
        <f t="shared" si="69"/>
        <v>4370.9080000000004</v>
      </c>
      <c r="I234" s="12">
        <f t="shared" si="69"/>
        <v>4502.0352400000002</v>
      </c>
      <c r="J234" s="12">
        <f t="shared" si="69"/>
        <v>4637.0962972000007</v>
      </c>
      <c r="K234" s="12">
        <f t="shared" si="69"/>
        <v>5373.2353343805007</v>
      </c>
      <c r="L234" s="12">
        <f t="shared" si="69"/>
        <v>5534.432394411916</v>
      </c>
      <c r="M234" s="12">
        <f t="shared" si="69"/>
        <v>5700.4653662442734</v>
      </c>
      <c r="N234" s="12">
        <f t="shared" si="69"/>
        <v>5871.4793272316019</v>
      </c>
      <c r="O234" s="12">
        <f t="shared" si="69"/>
        <v>6047.6237070485504</v>
      </c>
      <c r="P234" s="12">
        <f t="shared" si="69"/>
        <v>6229.0524182600066</v>
      </c>
      <c r="Q234" s="12">
        <f t="shared" si="69"/>
        <v>6415.9239908078071</v>
      </c>
      <c r="R234" s="12">
        <f t="shared" si="69"/>
        <v>6608.4017105320418</v>
      </c>
      <c r="S234" s="12">
        <f t="shared" si="69"/>
        <v>6806.6537618480033</v>
      </c>
      <c r="T234" s="12">
        <f t="shared" si="69"/>
        <v>7010.8533747034444</v>
      </c>
      <c r="U234" s="12">
        <f t="shared" si="69"/>
        <v>7221.1789759445483</v>
      </c>
      <c r="V234" s="12">
        <f t="shared" si="69"/>
        <v>7437.8143452228842</v>
      </c>
      <c r="W234" s="12">
        <f t="shared" si="69"/>
        <v>7660.9487755795708</v>
      </c>
      <c r="X234" s="12">
        <f t="shared" si="69"/>
        <v>7890.7772388469584</v>
      </c>
      <c r="Y234" s="12">
        <f t="shared" si="69"/>
        <v>8127.5005560123673</v>
      </c>
      <c r="Z234" s="12">
        <f t="shared" si="69"/>
        <v>8371.32557269274</v>
      </c>
      <c r="AA234" s="12">
        <f t="shared" si="69"/>
        <v>8622.4653398735227</v>
      </c>
      <c r="AB234" s="12">
        <f t="shared" si="69"/>
        <v>8881.1393000697281</v>
      </c>
      <c r="AC234" s="12">
        <f t="shared" si="69"/>
        <v>9147.5734790718197</v>
      </c>
      <c r="AD234" s="12">
        <f t="shared" si="69"/>
        <v>9422.0006834439737</v>
      </c>
      <c r="AE234" s="12">
        <f t="shared" si="69"/>
        <v>9704.6607039472947</v>
      </c>
      <c r="AF234" s="12">
        <f t="shared" si="69"/>
        <v>9995.8005250657134</v>
      </c>
      <c r="AG234" s="12">
        <f t="shared" si="69"/>
        <v>10295.674540817685</v>
      </c>
      <c r="AH234" s="12">
        <f t="shared" si="69"/>
        <v>10604.544777042216</v>
      </c>
    </row>
    <row r="235" spans="1:34" s="20" customFormat="1" ht="14" x14ac:dyDescent="0.2">
      <c r="A235" s="8"/>
      <c r="B235" s="8" t="str">
        <f>'Assumptions - Freight'!E119 &amp;" revenue"</f>
        <v>Commodity 4 revenue</v>
      </c>
      <c r="C235" s="8"/>
      <c r="D235" s="8" t="str">
        <f>'Assumptions - General'!$E$27 &amp;" millions"</f>
        <v>R$ millions</v>
      </c>
      <c r="E235" s="12">
        <f t="shared" ref="E235:AH235" si="70">IF(E$16=1,E137*E217," ")</f>
        <v>4000</v>
      </c>
      <c r="F235" s="12">
        <f t="shared" si="70"/>
        <v>4120</v>
      </c>
      <c r="G235" s="12">
        <f t="shared" si="70"/>
        <v>4243.5999999999995</v>
      </c>
      <c r="H235" s="12">
        <f t="shared" si="70"/>
        <v>4370.9080000000004</v>
      </c>
      <c r="I235" s="12">
        <f t="shared" si="70"/>
        <v>4502.0352400000002</v>
      </c>
      <c r="J235" s="12">
        <f t="shared" si="70"/>
        <v>4637.0962972000007</v>
      </c>
      <c r="K235" s="12">
        <f t="shared" si="70"/>
        <v>5373.2353343805007</v>
      </c>
      <c r="L235" s="12">
        <f t="shared" si="70"/>
        <v>5534.432394411916</v>
      </c>
      <c r="M235" s="12">
        <f t="shared" si="70"/>
        <v>5700.4653662442734</v>
      </c>
      <c r="N235" s="12">
        <f t="shared" si="70"/>
        <v>5871.4793272316019</v>
      </c>
      <c r="O235" s="12">
        <f t="shared" si="70"/>
        <v>6047.6237070485504</v>
      </c>
      <c r="P235" s="12">
        <f t="shared" si="70"/>
        <v>6229.0524182600066</v>
      </c>
      <c r="Q235" s="12">
        <f t="shared" si="70"/>
        <v>6415.9239908078071</v>
      </c>
      <c r="R235" s="12">
        <f t="shared" si="70"/>
        <v>6608.4017105320418</v>
      </c>
      <c r="S235" s="12">
        <f t="shared" si="70"/>
        <v>6806.6537618480033</v>
      </c>
      <c r="T235" s="12">
        <f t="shared" si="70"/>
        <v>7010.8533747034444</v>
      </c>
      <c r="U235" s="12">
        <f t="shared" si="70"/>
        <v>7221.1789759445483</v>
      </c>
      <c r="V235" s="12">
        <f t="shared" si="70"/>
        <v>7437.8143452228842</v>
      </c>
      <c r="W235" s="12">
        <f t="shared" si="70"/>
        <v>7660.9487755795708</v>
      </c>
      <c r="X235" s="12">
        <f t="shared" si="70"/>
        <v>7890.7772388469584</v>
      </c>
      <c r="Y235" s="12">
        <f t="shared" si="70"/>
        <v>8127.5005560123673</v>
      </c>
      <c r="Z235" s="12">
        <f t="shared" si="70"/>
        <v>8371.32557269274</v>
      </c>
      <c r="AA235" s="12">
        <f t="shared" si="70"/>
        <v>8622.4653398735227</v>
      </c>
      <c r="AB235" s="12">
        <f t="shared" si="70"/>
        <v>8881.1393000697281</v>
      </c>
      <c r="AC235" s="12">
        <f t="shared" si="70"/>
        <v>9147.5734790718197</v>
      </c>
      <c r="AD235" s="12">
        <f t="shared" si="70"/>
        <v>9422.0006834439737</v>
      </c>
      <c r="AE235" s="12">
        <f t="shared" si="70"/>
        <v>9704.6607039472947</v>
      </c>
      <c r="AF235" s="12">
        <f t="shared" si="70"/>
        <v>9995.8005250657134</v>
      </c>
      <c r="AG235" s="12">
        <f t="shared" si="70"/>
        <v>10295.674540817685</v>
      </c>
      <c r="AH235" s="12">
        <f t="shared" si="70"/>
        <v>10604.544777042216</v>
      </c>
    </row>
    <row r="236" spans="1:34" s="20" customFormat="1" ht="14" x14ac:dyDescent="0.2">
      <c r="A236" s="8"/>
      <c r="B236" s="8" t="str">
        <f>'Assumptions - Freight'!E120 &amp;" revenue"</f>
        <v>Commodity 5 revenue</v>
      </c>
      <c r="C236" s="8"/>
      <c r="D236" s="8" t="str">
        <f>'Assumptions - General'!$E$27 &amp;" millions"</f>
        <v>R$ millions</v>
      </c>
      <c r="E236" s="12">
        <f>IF(E$16=1,E138*E219," ")</f>
        <v>4000</v>
      </c>
      <c r="F236" s="12">
        <f t="shared" ref="F236:AH236" si="71">IF(F$16=1,F138*F219," ")</f>
        <v>4118.8</v>
      </c>
      <c r="G236" s="12">
        <f t="shared" si="71"/>
        <v>4241.1283600000006</v>
      </c>
      <c r="H236" s="12">
        <f t="shared" si="71"/>
        <v>4367.0898722920001</v>
      </c>
      <c r="I236" s="12">
        <f t="shared" si="71"/>
        <v>4496.792441499073</v>
      </c>
      <c r="J236" s="12">
        <f t="shared" si="71"/>
        <v>4630.3471770115957</v>
      </c>
      <c r="K236" s="12">
        <f t="shared" si="71"/>
        <v>5363.8520491899453</v>
      </c>
      <c r="L236" s="12">
        <f t="shared" si="71"/>
        <v>5523.1584550508878</v>
      </c>
      <c r="M236" s="12">
        <f t="shared" si="71"/>
        <v>5687.1962611658992</v>
      </c>
      <c r="N236" s="12">
        <f t="shared" si="71"/>
        <v>5856.1059901225271</v>
      </c>
      <c r="O236" s="12">
        <f t="shared" si="71"/>
        <v>6030.0323380291666</v>
      </c>
      <c r="P236" s="12">
        <f t="shared" si="71"/>
        <v>6209.1242984686342</v>
      </c>
      <c r="Q236" s="12">
        <f t="shared" si="71"/>
        <v>6393.5352901331526</v>
      </c>
      <c r="R236" s="12">
        <f t="shared" si="71"/>
        <v>6583.4232882501074</v>
      </c>
      <c r="S236" s="12">
        <f t="shared" si="71"/>
        <v>6778.9509599111352</v>
      </c>
      <c r="T236" s="12">
        <f t="shared" si="71"/>
        <v>6980.2858034204974</v>
      </c>
      <c r="U236" s="12">
        <f t="shared" si="71"/>
        <v>7187.600291782087</v>
      </c>
      <c r="V236" s="12">
        <f t="shared" si="71"/>
        <v>7401.0720204480149</v>
      </c>
      <c r="W236" s="12">
        <f t="shared" si="71"/>
        <v>7620.8838594553208</v>
      </c>
      <c r="X236" s="12">
        <f t="shared" si="71"/>
        <v>7847.2241100811443</v>
      </c>
      <c r="Y236" s="12">
        <f t="shared" si="71"/>
        <v>8080.2866661505541</v>
      </c>
      <c r="Z236" s="12">
        <f t="shared" si="71"/>
        <v>8320.2711801352252</v>
      </c>
      <c r="AA236" s="12">
        <f t="shared" si="71"/>
        <v>8567.3832341852431</v>
      </c>
      <c r="AB236" s="12">
        <f t="shared" si="71"/>
        <v>8821.834516240544</v>
      </c>
      <c r="AC236" s="12">
        <f t="shared" si="71"/>
        <v>9083.8430013728903</v>
      </c>
      <c r="AD236" s="12">
        <f t="shared" si="71"/>
        <v>9353.6331385136655</v>
      </c>
      <c r="AE236" s="12">
        <f t="shared" si="71"/>
        <v>9631.4360427275224</v>
      </c>
      <c r="AF236" s="12">
        <f t="shared" si="71"/>
        <v>9917.4896931965304</v>
      </c>
      <c r="AG236" s="12">
        <f t="shared" si="71"/>
        <v>10212.039137084468</v>
      </c>
      <c r="AH236" s="12">
        <f t="shared" si="71"/>
        <v>10515.336699455876</v>
      </c>
    </row>
    <row r="237" spans="1:34" s="20" customFormat="1" ht="14" x14ac:dyDescent="0.2">
      <c r="A237" s="8"/>
      <c r="B237" s="15" t="str">
        <f>'Assumptions - Freight'!E121 &amp;" revenue"</f>
        <v>Commodity 6 revenue</v>
      </c>
      <c r="C237" s="8"/>
      <c r="D237" s="8" t="str">
        <f>'Assumptions - General'!$E$27 &amp;" millions"</f>
        <v>R$ millions</v>
      </c>
      <c r="E237" s="12">
        <f t="shared" ref="E237:AH237" si="72">IF(E$16=1,E139*E221," ")</f>
        <v>4000</v>
      </c>
      <c r="F237" s="12">
        <f t="shared" si="72"/>
        <v>4120</v>
      </c>
      <c r="G237" s="12">
        <f t="shared" si="72"/>
        <v>4243.5999999999995</v>
      </c>
      <c r="H237" s="12">
        <f t="shared" si="72"/>
        <v>4370.9080000000004</v>
      </c>
      <c r="I237" s="12">
        <f t="shared" si="72"/>
        <v>4502.0352400000002</v>
      </c>
      <c r="J237" s="12">
        <f t="shared" si="72"/>
        <v>4637.0962972000007</v>
      </c>
      <c r="K237" s="12">
        <f t="shared" si="72"/>
        <v>5373.2353343805007</v>
      </c>
      <c r="L237" s="12">
        <f t="shared" si="72"/>
        <v>5534.432394411916</v>
      </c>
      <c r="M237" s="12">
        <f t="shared" si="72"/>
        <v>5700.4653662442734</v>
      </c>
      <c r="N237" s="12">
        <f t="shared" si="72"/>
        <v>5871.4793272316019</v>
      </c>
      <c r="O237" s="12">
        <f t="shared" si="72"/>
        <v>6047.6237070485504</v>
      </c>
      <c r="P237" s="12">
        <f t="shared" si="72"/>
        <v>6229.0524182600066</v>
      </c>
      <c r="Q237" s="12">
        <f t="shared" si="72"/>
        <v>6415.9239908078071</v>
      </c>
      <c r="R237" s="12">
        <f t="shared" si="72"/>
        <v>6608.4017105320418</v>
      </c>
      <c r="S237" s="12">
        <f t="shared" si="72"/>
        <v>6806.6537618480033</v>
      </c>
      <c r="T237" s="12">
        <f t="shared" si="72"/>
        <v>7010.8533747034444</v>
      </c>
      <c r="U237" s="12">
        <f t="shared" si="72"/>
        <v>7221.1789759445483</v>
      </c>
      <c r="V237" s="12">
        <f t="shared" si="72"/>
        <v>7437.8143452228842</v>
      </c>
      <c r="W237" s="12">
        <f t="shared" si="72"/>
        <v>7660.9487755795708</v>
      </c>
      <c r="X237" s="12">
        <f t="shared" si="72"/>
        <v>7890.7772388469584</v>
      </c>
      <c r="Y237" s="12">
        <f t="shared" si="72"/>
        <v>8127.5005560123673</v>
      </c>
      <c r="Z237" s="12">
        <f t="shared" si="72"/>
        <v>8371.32557269274</v>
      </c>
      <c r="AA237" s="12">
        <f t="shared" si="72"/>
        <v>8622.4653398735227</v>
      </c>
      <c r="AB237" s="12">
        <f t="shared" si="72"/>
        <v>8881.1393000697281</v>
      </c>
      <c r="AC237" s="12">
        <f t="shared" si="72"/>
        <v>9147.5734790718197</v>
      </c>
      <c r="AD237" s="12">
        <f t="shared" si="72"/>
        <v>9422.0006834439737</v>
      </c>
      <c r="AE237" s="12">
        <f t="shared" si="72"/>
        <v>9704.6607039472947</v>
      </c>
      <c r="AF237" s="12">
        <f t="shared" si="72"/>
        <v>9995.8005250657134</v>
      </c>
      <c r="AG237" s="12">
        <f t="shared" si="72"/>
        <v>10295.674540817685</v>
      </c>
      <c r="AH237" s="12">
        <f t="shared" si="72"/>
        <v>10604.544777042216</v>
      </c>
    </row>
    <row r="238" spans="1:34" s="20" customFormat="1" ht="14" x14ac:dyDescent="0.2">
      <c r="A238" s="8"/>
      <c r="B238" s="8" t="str">
        <f>'Assumptions - Freight'!E122 &amp;" revenue"</f>
        <v>Commodity 7 revenue</v>
      </c>
      <c r="C238" s="8"/>
      <c r="D238" s="8" t="str">
        <f>'Assumptions - General'!$E$27 &amp;" millions"</f>
        <v>R$ millions</v>
      </c>
      <c r="E238" s="12">
        <f t="shared" ref="E238:AH238" si="73">IF(E$16=1,E140*E223," ")</f>
        <v>4000</v>
      </c>
      <c r="F238" s="12">
        <f t="shared" si="73"/>
        <v>4120</v>
      </c>
      <c r="G238" s="12">
        <f t="shared" si="73"/>
        <v>4243.5999999999995</v>
      </c>
      <c r="H238" s="12">
        <f t="shared" si="73"/>
        <v>4370.9080000000004</v>
      </c>
      <c r="I238" s="12">
        <f t="shared" si="73"/>
        <v>4502.0352400000002</v>
      </c>
      <c r="J238" s="12">
        <f t="shared" si="73"/>
        <v>4637.0962972000007</v>
      </c>
      <c r="K238" s="12">
        <f t="shared" si="73"/>
        <v>5373.2353343805007</v>
      </c>
      <c r="L238" s="12">
        <f t="shared" si="73"/>
        <v>5534.432394411916</v>
      </c>
      <c r="M238" s="12">
        <f t="shared" si="73"/>
        <v>5700.4653662442734</v>
      </c>
      <c r="N238" s="12">
        <f t="shared" si="73"/>
        <v>5871.4793272316019</v>
      </c>
      <c r="O238" s="12">
        <f t="shared" si="73"/>
        <v>6047.6237070485504</v>
      </c>
      <c r="P238" s="12">
        <f t="shared" si="73"/>
        <v>6229.0524182600066</v>
      </c>
      <c r="Q238" s="12">
        <f t="shared" si="73"/>
        <v>6415.9239908078071</v>
      </c>
      <c r="R238" s="12">
        <f t="shared" si="73"/>
        <v>6608.4017105320418</v>
      </c>
      <c r="S238" s="12">
        <f t="shared" si="73"/>
        <v>6806.6537618480033</v>
      </c>
      <c r="T238" s="12">
        <f t="shared" si="73"/>
        <v>7010.8533747034444</v>
      </c>
      <c r="U238" s="12">
        <f t="shared" si="73"/>
        <v>7221.1789759445483</v>
      </c>
      <c r="V238" s="12">
        <f t="shared" si="73"/>
        <v>7437.8143452228842</v>
      </c>
      <c r="W238" s="12">
        <f t="shared" si="73"/>
        <v>7660.9487755795708</v>
      </c>
      <c r="X238" s="12">
        <f t="shared" si="73"/>
        <v>7890.7772388469584</v>
      </c>
      <c r="Y238" s="12">
        <f t="shared" si="73"/>
        <v>8127.5005560123673</v>
      </c>
      <c r="Z238" s="12">
        <f t="shared" si="73"/>
        <v>8371.32557269274</v>
      </c>
      <c r="AA238" s="12">
        <f t="shared" si="73"/>
        <v>8622.4653398735227</v>
      </c>
      <c r="AB238" s="12">
        <f t="shared" si="73"/>
        <v>8881.1393000697281</v>
      </c>
      <c r="AC238" s="12">
        <f t="shared" si="73"/>
        <v>9147.5734790718197</v>
      </c>
      <c r="AD238" s="12">
        <f t="shared" si="73"/>
        <v>9422.0006834439737</v>
      </c>
      <c r="AE238" s="12">
        <f t="shared" si="73"/>
        <v>9704.6607039472947</v>
      </c>
      <c r="AF238" s="12">
        <f t="shared" si="73"/>
        <v>9995.8005250657134</v>
      </c>
      <c r="AG238" s="12">
        <f t="shared" si="73"/>
        <v>10295.674540817685</v>
      </c>
      <c r="AH238" s="12">
        <f t="shared" si="73"/>
        <v>10604.544777042216</v>
      </c>
    </row>
    <row r="239" spans="1:34" s="20" customFormat="1" ht="14" x14ac:dyDescent="0.2">
      <c r="A239" s="8"/>
      <c r="B239" s="15" t="str">
        <f>'Assumptions - Freight'!E123 &amp;" revenue"</f>
        <v>Commodity 8 revenue</v>
      </c>
      <c r="C239" s="8"/>
      <c r="D239" s="8" t="str">
        <f>'Assumptions - General'!$E$27 &amp;" millions"</f>
        <v>R$ millions</v>
      </c>
      <c r="E239" s="12">
        <f t="shared" ref="E239:AH239" si="74">IF(E$16=1,E141*E225," ")</f>
        <v>4000</v>
      </c>
      <c r="F239" s="12">
        <f t="shared" si="74"/>
        <v>4120</v>
      </c>
      <c r="G239" s="12">
        <f t="shared" si="74"/>
        <v>4243.5999999999995</v>
      </c>
      <c r="H239" s="12">
        <f t="shared" si="74"/>
        <v>4370.9080000000004</v>
      </c>
      <c r="I239" s="12">
        <f t="shared" si="74"/>
        <v>4502.0352400000002</v>
      </c>
      <c r="J239" s="12">
        <f t="shared" si="74"/>
        <v>4637.0962972000007</v>
      </c>
      <c r="K239" s="12">
        <f t="shared" si="74"/>
        <v>5373.2353343805007</v>
      </c>
      <c r="L239" s="12">
        <f t="shared" si="74"/>
        <v>5534.432394411916</v>
      </c>
      <c r="M239" s="12">
        <f t="shared" si="74"/>
        <v>5700.4653662442734</v>
      </c>
      <c r="N239" s="12">
        <f t="shared" si="74"/>
        <v>5871.4793272316019</v>
      </c>
      <c r="O239" s="12">
        <f t="shared" si="74"/>
        <v>6047.6237070485504</v>
      </c>
      <c r="P239" s="12">
        <f t="shared" si="74"/>
        <v>6229.0524182600066</v>
      </c>
      <c r="Q239" s="12">
        <f t="shared" si="74"/>
        <v>6415.9239908078071</v>
      </c>
      <c r="R239" s="12">
        <f t="shared" si="74"/>
        <v>6608.4017105320418</v>
      </c>
      <c r="S239" s="12">
        <f t="shared" si="74"/>
        <v>6806.6537618480033</v>
      </c>
      <c r="T239" s="12">
        <f t="shared" si="74"/>
        <v>7010.8533747034444</v>
      </c>
      <c r="U239" s="12">
        <f t="shared" si="74"/>
        <v>7221.1789759445483</v>
      </c>
      <c r="V239" s="12">
        <f t="shared" si="74"/>
        <v>7437.8143452228842</v>
      </c>
      <c r="W239" s="12">
        <f t="shared" si="74"/>
        <v>7660.9487755795708</v>
      </c>
      <c r="X239" s="12">
        <f t="shared" si="74"/>
        <v>7890.7772388469584</v>
      </c>
      <c r="Y239" s="12">
        <f t="shared" si="74"/>
        <v>8127.5005560123673</v>
      </c>
      <c r="Z239" s="12">
        <f t="shared" si="74"/>
        <v>8371.32557269274</v>
      </c>
      <c r="AA239" s="12">
        <f t="shared" si="74"/>
        <v>8622.4653398735227</v>
      </c>
      <c r="AB239" s="12">
        <f t="shared" si="74"/>
        <v>8881.1393000697281</v>
      </c>
      <c r="AC239" s="12">
        <f t="shared" si="74"/>
        <v>9147.5734790718197</v>
      </c>
      <c r="AD239" s="12">
        <f t="shared" si="74"/>
        <v>9422.0006834439737</v>
      </c>
      <c r="AE239" s="12">
        <f t="shared" si="74"/>
        <v>9704.6607039472947</v>
      </c>
      <c r="AF239" s="12">
        <f t="shared" si="74"/>
        <v>9995.8005250657134</v>
      </c>
      <c r="AG239" s="12">
        <f t="shared" si="74"/>
        <v>10295.674540817685</v>
      </c>
      <c r="AH239" s="12">
        <f t="shared" si="74"/>
        <v>10604.544777042216</v>
      </c>
    </row>
    <row r="240" spans="1:34" s="20" customFormat="1" ht="14" x14ac:dyDescent="0.2">
      <c r="A240" s="8"/>
      <c r="B240" s="8" t="str">
        <f>'Assumptions - Freight'!E124 &amp;" revenue"</f>
        <v>Commodity 9 revenue</v>
      </c>
      <c r="C240" s="8"/>
      <c r="D240" s="8" t="str">
        <f>'Assumptions - General'!$E$27 &amp;" millions"</f>
        <v>R$ millions</v>
      </c>
      <c r="E240" s="12">
        <f t="shared" ref="E240:AH240" si="75">IF(E$16=1,E142*E227," ")</f>
        <v>4000</v>
      </c>
      <c r="F240" s="12">
        <f t="shared" si="75"/>
        <v>4115.2</v>
      </c>
      <c r="G240" s="12">
        <f t="shared" si="75"/>
        <v>4233.7177599999995</v>
      </c>
      <c r="H240" s="12">
        <f t="shared" si="75"/>
        <v>4355.6488314879989</v>
      </c>
      <c r="I240" s="12">
        <f t="shared" si="75"/>
        <v>4481.0915178348532</v>
      </c>
      <c r="J240" s="12">
        <f t="shared" si="75"/>
        <v>4610.1469535484966</v>
      </c>
      <c r="K240" s="12">
        <f t="shared" si="75"/>
        <v>5335.7840840370291</v>
      </c>
      <c r="L240" s="12">
        <f t="shared" si="75"/>
        <v>5489.4546656572957</v>
      </c>
      <c r="M240" s="12">
        <f t="shared" si="75"/>
        <v>5647.5509600282257</v>
      </c>
      <c r="N240" s="12">
        <f t="shared" si="75"/>
        <v>5810.2004276770376</v>
      </c>
      <c r="O240" s="12">
        <f t="shared" si="75"/>
        <v>5977.5341999941365</v>
      </c>
      <c r="P240" s="12">
        <f t="shared" si="75"/>
        <v>6149.6871849539675</v>
      </c>
      <c r="Q240" s="12">
        <f t="shared" si="75"/>
        <v>6326.7981758806418</v>
      </c>
      <c r="R240" s="12">
        <f t="shared" si="75"/>
        <v>6509.009963346004</v>
      </c>
      <c r="S240" s="12">
        <f t="shared" si="75"/>
        <v>6696.4694502903685</v>
      </c>
      <c r="T240" s="12">
        <f t="shared" si="75"/>
        <v>6889.3277704587299</v>
      </c>
      <c r="U240" s="12">
        <f t="shared" si="75"/>
        <v>7087.7404102479413</v>
      </c>
      <c r="V240" s="12">
        <f t="shared" si="75"/>
        <v>7291.8673340630812</v>
      </c>
      <c r="W240" s="12">
        <f t="shared" si="75"/>
        <v>7501.8731132840985</v>
      </c>
      <c r="X240" s="12">
        <f t="shared" si="75"/>
        <v>7717.9270589466796</v>
      </c>
      <c r="Y240" s="12">
        <f t="shared" si="75"/>
        <v>7940.2033582443428</v>
      </c>
      <c r="Z240" s="12">
        <f t="shared" si="75"/>
        <v>8168.8812149617797</v>
      </c>
      <c r="AA240" s="12">
        <f t="shared" si="75"/>
        <v>8404.1449939526792</v>
      </c>
      <c r="AB240" s="12">
        <f t="shared" si="75"/>
        <v>8646.1843697785152</v>
      </c>
      <c r="AC240" s="12">
        <f t="shared" si="75"/>
        <v>8895.1944796281368</v>
      </c>
      <c r="AD240" s="12">
        <f t="shared" si="75"/>
        <v>9151.3760806414266</v>
      </c>
      <c r="AE240" s="12">
        <f t="shared" si="75"/>
        <v>9414.9357117639011</v>
      </c>
      <c r="AF240" s="12">
        <f t="shared" si="75"/>
        <v>9686.0858602626995</v>
      </c>
      <c r="AG240" s="12">
        <f t="shared" si="75"/>
        <v>9965.0451330382639</v>
      </c>
      <c r="AH240" s="12">
        <f t="shared" si="75"/>
        <v>10252.038432869766</v>
      </c>
    </row>
    <row r="241" spans="1:34" s="20" customFormat="1" ht="14" x14ac:dyDescent="0.2">
      <c r="A241" s="8"/>
      <c r="B241" s="15" t="str">
        <f>'Assumptions - Freight'!E125 &amp;" revenue"</f>
        <v>Commodity 10 revenue</v>
      </c>
      <c r="C241" s="8"/>
      <c r="D241" s="8" t="str">
        <f>'Assumptions - General'!$E$27 &amp;" millions"</f>
        <v>R$ millions</v>
      </c>
      <c r="E241" s="12">
        <f t="shared" ref="E241:AH241" si="76">IF(E$16=1,E143*E229," ")</f>
        <v>4000</v>
      </c>
      <c r="F241" s="12">
        <f t="shared" si="76"/>
        <v>4118.8</v>
      </c>
      <c r="G241" s="12">
        <f t="shared" si="76"/>
        <v>4241.1283600000006</v>
      </c>
      <c r="H241" s="12">
        <f t="shared" si="76"/>
        <v>4367.0898722920001</v>
      </c>
      <c r="I241" s="12">
        <f t="shared" si="76"/>
        <v>4496.792441499073</v>
      </c>
      <c r="J241" s="12">
        <f t="shared" si="76"/>
        <v>4630.3471770115957</v>
      </c>
      <c r="K241" s="12">
        <f t="shared" si="76"/>
        <v>5363.8520491899453</v>
      </c>
      <c r="L241" s="12">
        <f t="shared" si="76"/>
        <v>5523.1584550508878</v>
      </c>
      <c r="M241" s="12">
        <f t="shared" si="76"/>
        <v>5687.1962611658992</v>
      </c>
      <c r="N241" s="12">
        <f t="shared" si="76"/>
        <v>5856.1059901225271</v>
      </c>
      <c r="O241" s="12">
        <f t="shared" si="76"/>
        <v>6030.0323380291666</v>
      </c>
      <c r="P241" s="12">
        <f t="shared" si="76"/>
        <v>6209.1242984686342</v>
      </c>
      <c r="Q241" s="12">
        <f t="shared" si="76"/>
        <v>6393.5352901331526</v>
      </c>
      <c r="R241" s="12">
        <f t="shared" si="76"/>
        <v>6583.4232882501074</v>
      </c>
      <c r="S241" s="12">
        <f t="shared" si="76"/>
        <v>6778.9509599111352</v>
      </c>
      <c r="T241" s="12">
        <f t="shared" si="76"/>
        <v>6980.2858034204974</v>
      </c>
      <c r="U241" s="12">
        <f t="shared" si="76"/>
        <v>7187.600291782087</v>
      </c>
      <c r="V241" s="12">
        <f t="shared" si="76"/>
        <v>7401.0720204480149</v>
      </c>
      <c r="W241" s="12">
        <f t="shared" si="76"/>
        <v>7620.8838594553208</v>
      </c>
      <c r="X241" s="12">
        <f t="shared" si="76"/>
        <v>7847.2241100811443</v>
      </c>
      <c r="Y241" s="12">
        <f t="shared" si="76"/>
        <v>8080.2866661505541</v>
      </c>
      <c r="Z241" s="12">
        <f t="shared" si="76"/>
        <v>8320.2711801352252</v>
      </c>
      <c r="AA241" s="12">
        <f t="shared" si="76"/>
        <v>8567.3832341852431</v>
      </c>
      <c r="AB241" s="12">
        <f t="shared" si="76"/>
        <v>8821.834516240544</v>
      </c>
      <c r="AC241" s="12">
        <f t="shared" si="76"/>
        <v>9083.8430013728903</v>
      </c>
      <c r="AD241" s="12">
        <f t="shared" si="76"/>
        <v>9353.6331385136655</v>
      </c>
      <c r="AE241" s="12">
        <f t="shared" si="76"/>
        <v>9631.4360427275224</v>
      </c>
      <c r="AF241" s="12">
        <f t="shared" si="76"/>
        <v>9917.4896931965304</v>
      </c>
      <c r="AG241" s="12">
        <f t="shared" si="76"/>
        <v>10212.039137084468</v>
      </c>
      <c r="AH241" s="12">
        <f t="shared" si="76"/>
        <v>10515.336699455876</v>
      </c>
    </row>
    <row r="242" spans="1:34" s="20" customFormat="1" ht="14" x14ac:dyDescent="0.2">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row>
    <row r="243" spans="1:34" s="20" customFormat="1" ht="14" x14ac:dyDescent="0.2">
      <c r="A243" s="8"/>
      <c r="B243" s="15"/>
      <c r="C243" s="8"/>
      <c r="D243" s="8"/>
      <c r="E243" s="8"/>
      <c r="F243" s="8"/>
      <c r="G243" s="8"/>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8"/>
      <c r="AG243" s="8"/>
      <c r="AH243" s="8"/>
    </row>
    <row r="244" spans="1:34" x14ac:dyDescent="0.2">
      <c r="A244" s="320"/>
      <c r="B244" s="319" t="str">
        <f>"Non-operating revenue of "&amp;'Assumptions - General'!$E$24</f>
        <v>Non-operating revenue of Ruritania Freight Rail Company</v>
      </c>
      <c r="C244" s="320"/>
      <c r="D244" s="320"/>
      <c r="E244" s="320"/>
      <c r="F244" s="320"/>
      <c r="G244" s="320"/>
      <c r="H244" s="320"/>
      <c r="I244" s="320"/>
      <c r="J244" s="320"/>
      <c r="K244" s="320"/>
      <c r="L244" s="320"/>
      <c r="M244" s="320"/>
      <c r="N244" s="320"/>
      <c r="O244" s="320"/>
      <c r="P244" s="320"/>
      <c r="Q244" s="320"/>
      <c r="R244" s="320"/>
      <c r="S244" s="320"/>
      <c r="T244" s="320"/>
      <c r="U244" s="320"/>
      <c r="V244" s="320"/>
      <c r="W244" s="320"/>
      <c r="X244" s="320"/>
      <c r="Y244" s="320"/>
      <c r="Z244" s="320"/>
      <c r="AA244" s="320"/>
      <c r="AB244" s="320"/>
      <c r="AC244" s="320"/>
      <c r="AD244" s="320"/>
      <c r="AE244" s="320"/>
      <c r="AF244" s="320"/>
      <c r="AG244" s="320"/>
      <c r="AH244" s="320"/>
    </row>
    <row r="245" spans="1:34" s="20" customFormat="1" ht="14" x14ac:dyDescent="0.2">
      <c r="B245" s="55"/>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row>
    <row r="246" spans="1:34" s="20" customFormat="1" ht="14" x14ac:dyDescent="0.2">
      <c r="B246" s="57" t="str">
        <f>'Assumptions - Freight'!E216</f>
        <v>Tax credit</v>
      </c>
      <c r="D246" s="20" t="str">
        <f>'Assumptions - General'!$E$27 &amp;" millions"</f>
        <v>R$ millions</v>
      </c>
      <c r="E246" s="463">
        <f>IF(E$16=1,'Assumptions - Freight'!E217,0)</f>
        <v>100</v>
      </c>
      <c r="F246" s="38">
        <f>IF(F$16=1,'Assumptions - Freight'!F218*'Assumptions - Freight'!F222/1000000,0)</f>
        <v>103</v>
      </c>
      <c r="G246" s="38">
        <f>IF(G$16=1,'Assumptions - Freight'!G218*'Assumptions - Freight'!G222/1000000,0)</f>
        <v>106.09</v>
      </c>
      <c r="H246" s="38">
        <f>IF(H$16=1,'Assumptions - Freight'!H218*'Assumptions - Freight'!H222/1000000,0)</f>
        <v>109.2727</v>
      </c>
      <c r="I246" s="38">
        <f>IF(I$16=1,'Assumptions - Freight'!I218*'Assumptions - Freight'!I222/1000000,0)</f>
        <v>112.550881</v>
      </c>
      <c r="J246" s="38">
        <f>IF(J$16=1,'Assumptions - Freight'!J218*'Assumptions - Freight'!J222/1000000,0)</f>
        <v>115.92740742999999</v>
      </c>
      <c r="K246" s="38">
        <f>IF(K$16=1,'Assumptions - Freight'!K218*'Assumptions - Freight'!K222/1000000,0)</f>
        <v>119.40522965289999</v>
      </c>
      <c r="L246" s="38">
        <f>IF(L$16=1,'Assumptions - Freight'!L218*'Assumptions - Freight'!L222/1000000,0)</f>
        <v>122.98738654248702</v>
      </c>
      <c r="M246" s="38">
        <f>IF(M$16=1,'Assumptions - Freight'!M218*'Assumptions - Freight'!M222/1000000,0)</f>
        <v>126.67700813876162</v>
      </c>
      <c r="N246" s="38">
        <f>IF(N$16=1,'Assumptions - Freight'!N218*'Assumptions - Freight'!N222/1000000,0)</f>
        <v>130.47731838292447</v>
      </c>
      <c r="O246" s="38">
        <f>IF(O$16=1,'Assumptions - Freight'!O218*'Assumptions - Freight'!O222/1000000,0)</f>
        <v>134.39163793441222</v>
      </c>
      <c r="P246" s="38">
        <f>IF(P$16=1,'Assumptions - Freight'!P218*'Assumptions - Freight'!P222/1000000,0)</f>
        <v>138.42338707244457</v>
      </c>
      <c r="Q246" s="38">
        <f>IF(Q$16=1,'Assumptions - Freight'!Q218*'Assumptions - Freight'!Q222/1000000,0)</f>
        <v>142.5760886846179</v>
      </c>
      <c r="R246" s="38">
        <f>IF(R$16=1,'Assumptions - Freight'!R218*'Assumptions - Freight'!R222/1000000,0)</f>
        <v>146.85337134515646</v>
      </c>
      <c r="S246" s="38">
        <f>IF(S$16=1,'Assumptions - Freight'!S218*'Assumptions - Freight'!S222/1000000,0)</f>
        <v>151.25897248551115</v>
      </c>
      <c r="T246" s="38">
        <f>IF(T$16=1,'Assumptions - Freight'!T218*'Assumptions - Freight'!T222/1000000,0)</f>
        <v>155.79674166007646</v>
      </c>
      <c r="U246" s="38">
        <f>IF(U$16=1,'Assumptions - Freight'!U218*'Assumptions - Freight'!U222/1000000,0)</f>
        <v>160.47064390987876</v>
      </c>
      <c r="V246" s="38">
        <f>IF(V$16=1,'Assumptions - Freight'!V218*'Assumptions - Freight'!V222/1000000,0)</f>
        <v>165.28476322717512</v>
      </c>
      <c r="W246" s="38">
        <f>IF(W$16=1,'Assumptions - Freight'!W218*'Assumptions - Freight'!W222/1000000,0)</f>
        <v>170.24330612399038</v>
      </c>
      <c r="X246" s="38">
        <f>IF(X$16=1,'Assumptions - Freight'!X218*'Assumptions - Freight'!X222/1000000,0)</f>
        <v>175.35060530771011</v>
      </c>
      <c r="Y246" s="38">
        <f>IF(Y$16=1,'Assumptions - Freight'!Y218*'Assumptions - Freight'!Y222/1000000,0)</f>
        <v>180.61112346694142</v>
      </c>
      <c r="Z246" s="38">
        <f>IF(Z$16=1,'Assumptions - Freight'!Z218*'Assumptions - Freight'!Z222/1000000,0)</f>
        <v>186.02945717094966</v>
      </c>
      <c r="AA246" s="38">
        <f>IF(AA$16=1,'Assumptions - Freight'!AA218*'Assumptions - Freight'!AA222/1000000,0)</f>
        <v>191.61034088607818</v>
      </c>
      <c r="AB246" s="38">
        <f>IF(AB$16=1,'Assumptions - Freight'!AB218*'Assumptions - Freight'!AB222/1000000,0)</f>
        <v>197.35865111266051</v>
      </c>
      <c r="AC246" s="38">
        <f>IF(AC$16=1,'Assumptions - Freight'!AC218*'Assumptions - Freight'!AC222/1000000,0)</f>
        <v>203.27941064604033</v>
      </c>
      <c r="AD246" s="38">
        <f>IF(AD$16=1,'Assumptions - Freight'!AD218*'Assumptions - Freight'!AD222/1000000,0)</f>
        <v>209.37779296542152</v>
      </c>
      <c r="AE246" s="38">
        <f>IF(AE$16=1,'Assumptions - Freight'!AE218*'Assumptions - Freight'!AE222/1000000,0)</f>
        <v>215.65912675438415</v>
      </c>
      <c r="AF246" s="38">
        <f>IF(AF$16=1,'Assumptions - Freight'!AF218*'Assumptions - Freight'!AF222/1000000,0)</f>
        <v>222.1289005570157</v>
      </c>
      <c r="AG246" s="38">
        <f>IF(AG$16=1,'Assumptions - Freight'!AG218*'Assumptions - Freight'!AG222/1000000,0)</f>
        <v>228.79276757372617</v>
      </c>
      <c r="AH246" s="38">
        <f>IF(AH$16=1,'Assumptions - Freight'!AH218*'Assumptions - Freight'!AH222/1000000,0)</f>
        <v>235.656550600938</v>
      </c>
    </row>
    <row r="247" spans="1:34" s="20" customFormat="1" ht="14" x14ac:dyDescent="0.2">
      <c r="B247" s="57" t="str">
        <f>'Assumptions - Freight'!E225</f>
        <v>Investment income</v>
      </c>
      <c r="D247" s="20" t="str">
        <f>'Assumptions - General'!$E$27 &amp;" millions"</f>
        <v>R$ millions</v>
      </c>
      <c r="E247" s="466">
        <f>IF(E$16=1,'Assumptions - Freight'!E226,0)</f>
        <v>70</v>
      </c>
      <c r="F247" s="38">
        <f>IF(F$16=1,'Assumptions - Freight'!F227*'Assumptions - Freight'!F231/1000000+F248,0)</f>
        <v>72.099999999999994</v>
      </c>
      <c r="G247" s="38">
        <f>IF(G$16=1,'Assumptions - Freight'!G227*'Assumptions - Freight'!G231/1000000+G248,0)</f>
        <v>74.263000000000005</v>
      </c>
      <c r="H247" s="38">
        <f>IF(H$16=1,'Assumptions - Freight'!H227*'Assumptions - Freight'!H231/1000000+H248,0)</f>
        <v>76.490889999999993</v>
      </c>
      <c r="I247" s="38">
        <f>IF(I$16=1,'Assumptions - Freight'!I227*'Assumptions - Freight'!I231/1000000+I248,0)</f>
        <v>78.785616700000006</v>
      </c>
      <c r="J247" s="38">
        <f>IF(J$16=1,'Assumptions - Freight'!J227*'Assumptions - Freight'!J231/1000000+J248,0)</f>
        <v>81.149185201000009</v>
      </c>
      <c r="K247" s="38">
        <f>IF(K$16=1,'Assumptions - Freight'!K227*'Assumptions - Freight'!K231/1000000+K248,0)</f>
        <v>83.583660757030003</v>
      </c>
      <c r="L247" s="38">
        <f>IF(L$16=1,'Assumptions - Freight'!L227*'Assumptions - Freight'!L231/1000000+L248,0)</f>
        <v>86.091170579740918</v>
      </c>
      <c r="M247" s="38">
        <f>IF(M$16=1,'Assumptions - Freight'!M227*'Assumptions - Freight'!M231/1000000+M248,0)</f>
        <v>88.673905697133151</v>
      </c>
      <c r="N247" s="38">
        <f>IF(N$16=1,'Assumptions - Freight'!N227*'Assumptions - Freight'!N231/1000000+N248,0)</f>
        <v>91.334122868047146</v>
      </c>
      <c r="O247" s="38">
        <f>IF(O$16=1,'Assumptions - Freight'!O227*'Assumptions - Freight'!O231/1000000+O248,0)</f>
        <v>94.074146554088557</v>
      </c>
      <c r="P247" s="38">
        <f>IF(P$16=1,'Assumptions - Freight'!P227*'Assumptions - Freight'!P231/1000000+P248,0)</f>
        <v>96.896370950711216</v>
      </c>
      <c r="Q247" s="38">
        <f>IF(Q$16=1,'Assumptions - Freight'!Q227*'Assumptions - Freight'!Q231/1000000+Q248,0)</f>
        <v>99.803262079232553</v>
      </c>
      <c r="R247" s="38">
        <f>IF(R$16=1,'Assumptions - Freight'!R227*'Assumptions - Freight'!R231/1000000+R248,0)</f>
        <v>102.79735994160954</v>
      </c>
      <c r="S247" s="38">
        <f>IF(S$16=1,'Assumptions - Freight'!S227*'Assumptions - Freight'!S231/1000000+S248,0)</f>
        <v>105.88128073985784</v>
      </c>
      <c r="T247" s="38">
        <f>IF(T$16=1,'Assumptions - Freight'!T227*'Assumptions - Freight'!T231/1000000+T248,0)</f>
        <v>109.05771916205357</v>
      </c>
      <c r="U247" s="38">
        <f>IF(U$16=1,'Assumptions - Freight'!U227*'Assumptions - Freight'!U231/1000000+U248,0)</f>
        <v>112.32945073691519</v>
      </c>
      <c r="V247" s="38">
        <f>IF(V$16=1,'Assumptions - Freight'!V227*'Assumptions - Freight'!V231/1000000+V248,0)</f>
        <v>115.69933425902263</v>
      </c>
      <c r="W247" s="38">
        <f>IF(W$16=1,'Assumptions - Freight'!W227*'Assumptions - Freight'!W231/1000000+W248,0)</f>
        <v>119.17031428679333</v>
      </c>
      <c r="X247" s="38">
        <f>IF(X$16=1,'Assumptions - Freight'!X227*'Assumptions - Freight'!X231/1000000+X248,0)</f>
        <v>122.74542371539714</v>
      </c>
      <c r="Y247" s="38">
        <f>IF(Y$16=1,'Assumptions - Freight'!Y227*'Assumptions - Freight'!Y231/1000000+Y248,0)</f>
        <v>126.42778642685906</v>
      </c>
      <c r="Z247" s="38">
        <f>IF(Z$16=1,'Assumptions - Freight'!Z227*'Assumptions - Freight'!Z231/1000000+Z248,0)</f>
        <v>130.22062001966484</v>
      </c>
      <c r="AA247" s="38">
        <f>IF(AA$16=1,'Assumptions - Freight'!AA227*'Assumptions - Freight'!AA231/1000000+AA248,0)</f>
        <v>134.12723862025476</v>
      </c>
      <c r="AB247" s="38">
        <f>IF(AB$16=1,'Assumptions - Freight'!AB227*'Assumptions - Freight'!AB231/1000000+AB248,0)</f>
        <v>138.15105577886243</v>
      </c>
      <c r="AC247" s="38">
        <f>IF(AC$16=1,'Assumptions - Freight'!AC227*'Assumptions - Freight'!AC231/1000000+AC248,0)</f>
        <v>142.29558745222832</v>
      </c>
      <c r="AD247" s="38">
        <f>IF(AD$16=1,'Assumptions - Freight'!AD227*'Assumptions - Freight'!AD231/1000000+AD248,0)</f>
        <v>146.56445507579514</v>
      </c>
      <c r="AE247" s="38">
        <f>IF(AE$16=1,'Assumptions - Freight'!AE227*'Assumptions - Freight'!AE231/1000000+AE248,0)</f>
        <v>150.96138872806904</v>
      </c>
      <c r="AF247" s="38">
        <f>IF(AF$16=1,'Assumptions - Freight'!AF227*'Assumptions - Freight'!AF231/1000000+AF248,0)</f>
        <v>155.49023038991109</v>
      </c>
      <c r="AG247" s="38">
        <f>IF(AG$16=1,'Assumptions - Freight'!AG227*'Assumptions - Freight'!AG231/1000000+AG248,0)</f>
        <v>160.15493730160844</v>
      </c>
      <c r="AH247" s="38">
        <f>IF(AH$16=1,'Assumptions - Freight'!AH227*'Assumptions - Freight'!AH231/1000000+AH248,0)</f>
        <v>164.95958542065668</v>
      </c>
    </row>
    <row r="248" spans="1:34" s="20" customFormat="1" ht="14" x14ac:dyDescent="0.2">
      <c r="B248" s="271" t="s">
        <v>692</v>
      </c>
      <c r="D248" s="20" t="str">
        <f>'Assumptions - General'!$E$27 &amp;" millions"</f>
        <v>R$ millions</v>
      </c>
      <c r="E248" s="466">
        <v>0</v>
      </c>
      <c r="F248" s="38">
        <f>IF(F$16=1,IF(F335/E335&lt;1,F337/(F335/E335)-F337,0)+IF(F351/E351&lt;1,F353/(F351/E351)-F353,0)+IF(F367/E367&lt;1,F369/(F367/E367)-F369,0)+IF(F393/E393&lt;1,F395/(F393/E393)-F395,0)+IF(F423/E423&lt;1,F425/(F423/E423)-F425,0)+IF(F453/E453&lt;1,F455/(F453/E453)-F455,0)+IF(F483/E483&lt;1,F485/(F483/E483)-F485,0)+IF(F393/E393&gt;1,F396-F396/(F393/E393),0)+IF(F423/E423&gt;1,F426-F426/(F423/E423),0)+IF(F453/E453&gt;1,F456-F456/(F453/E453),0)+IF(F483/E483&gt;1,F486-F486/(F483/E483),0),0)</f>
        <v>0</v>
      </c>
      <c r="G248" s="38">
        <f t="shared" ref="G248:AH248" si="77">IF(G$16=1,IF(G335/F335&lt;1,G337/(G335/F335)-G337,0)+IF(G351/F351&lt;1,G353/(G351/F351)-G353,0)+IF(G367/F367&lt;1,G369/(G367/F367)-G369,0)+IF(G393/F393&lt;1,G395/(G393/F393)-G395,0)+IF(G423/F423&lt;1,G425/(G423/F423)-G425,0)+IF(G453/F453&lt;1,G455/(G453/F453)-G455,0)+IF(G483/F483&lt;1,G485/(G483/F483)-G485,0)+IF(G393/F393&gt;1,G396-G396/(G393/F393),0)+IF(G423/F423&gt;1,G426-G426/(G423/F423),0)+IF(G453/F453&gt;1,G456-G456/(G453/F453),0)+IF(G483/F483&gt;1,G486-G486/(G483/F483),0),0)</f>
        <v>0</v>
      </c>
      <c r="H248" s="38">
        <f t="shared" si="77"/>
        <v>0</v>
      </c>
      <c r="I248" s="38">
        <f t="shared" si="77"/>
        <v>0</v>
      </c>
      <c r="J248" s="38">
        <f t="shared" si="77"/>
        <v>0</v>
      </c>
      <c r="K248" s="38">
        <f t="shared" si="77"/>
        <v>0</v>
      </c>
      <c r="L248" s="38">
        <f t="shared" si="77"/>
        <v>0</v>
      </c>
      <c r="M248" s="38">
        <f t="shared" si="77"/>
        <v>0</v>
      </c>
      <c r="N248" s="38">
        <f t="shared" si="77"/>
        <v>0</v>
      </c>
      <c r="O248" s="38">
        <f t="shared" si="77"/>
        <v>0</v>
      </c>
      <c r="P248" s="38">
        <f t="shared" si="77"/>
        <v>0</v>
      </c>
      <c r="Q248" s="38">
        <f t="shared" si="77"/>
        <v>0</v>
      </c>
      <c r="R248" s="38">
        <f t="shared" si="77"/>
        <v>0</v>
      </c>
      <c r="S248" s="38">
        <f t="shared" si="77"/>
        <v>0</v>
      </c>
      <c r="T248" s="38">
        <f t="shared" si="77"/>
        <v>0</v>
      </c>
      <c r="U248" s="38">
        <f t="shared" si="77"/>
        <v>0</v>
      </c>
      <c r="V248" s="38">
        <f t="shared" si="77"/>
        <v>0</v>
      </c>
      <c r="W248" s="38">
        <f t="shared" si="77"/>
        <v>0</v>
      </c>
      <c r="X248" s="38">
        <f t="shared" si="77"/>
        <v>0</v>
      </c>
      <c r="Y248" s="38">
        <f t="shared" si="77"/>
        <v>0</v>
      </c>
      <c r="Z248" s="38">
        <f t="shared" si="77"/>
        <v>0</v>
      </c>
      <c r="AA248" s="38">
        <f t="shared" si="77"/>
        <v>0</v>
      </c>
      <c r="AB248" s="38">
        <f t="shared" si="77"/>
        <v>0</v>
      </c>
      <c r="AC248" s="38">
        <f t="shared" si="77"/>
        <v>0</v>
      </c>
      <c r="AD248" s="38">
        <f t="shared" si="77"/>
        <v>0</v>
      </c>
      <c r="AE248" s="38">
        <f t="shared" si="77"/>
        <v>0</v>
      </c>
      <c r="AF248" s="38">
        <f t="shared" si="77"/>
        <v>0</v>
      </c>
      <c r="AG248" s="38">
        <f t="shared" si="77"/>
        <v>0</v>
      </c>
      <c r="AH248" s="38">
        <f t="shared" si="77"/>
        <v>0</v>
      </c>
    </row>
    <row r="249" spans="1:34" s="20" customFormat="1" ht="14" x14ac:dyDescent="0.2">
      <c r="B249" s="57" t="str">
        <f>'Assumptions - Freight'!E234</f>
        <v>Other</v>
      </c>
      <c r="D249" s="20" t="str">
        <f>'Assumptions - General'!$E$27 &amp;" millions"</f>
        <v>R$ millions</v>
      </c>
      <c r="E249" s="463">
        <f>IF(E$16=1,'Assumptions - Freight'!E235,0)</f>
        <v>50</v>
      </c>
      <c r="F249" s="38">
        <f>IF(F$16=1,'Assumptions - Freight'!F236*'Assumptions - Freight'!F240/1000000,0)</f>
        <v>51.5</v>
      </c>
      <c r="G249" s="38">
        <f>IF(G$16=1,'Assumptions - Freight'!G236*'Assumptions - Freight'!G240/1000000,0)</f>
        <v>53.045000000000002</v>
      </c>
      <c r="H249" s="38">
        <f>IF(H$16=1,'Assumptions - Freight'!H236*'Assumptions - Freight'!H240/1000000,0)</f>
        <v>54.63635</v>
      </c>
      <c r="I249" s="38">
        <f>IF(I$16=1,'Assumptions - Freight'!I236*'Assumptions - Freight'!I240/1000000,0)</f>
        <v>56.275440500000002</v>
      </c>
      <c r="J249" s="38">
        <f>IF(J$16=1,'Assumptions - Freight'!J236*'Assumptions - Freight'!J240/1000000,0)</f>
        <v>57.963703714999994</v>
      </c>
      <c r="K249" s="38">
        <f>IF(K$16=1,'Assumptions - Freight'!K236*'Assumptions - Freight'!K240/1000000,0)</f>
        <v>59.702614826449995</v>
      </c>
      <c r="L249" s="38">
        <f>IF(L$16=1,'Assumptions - Freight'!L236*'Assumptions - Freight'!L240/1000000,0)</f>
        <v>61.493693271243508</v>
      </c>
      <c r="M249" s="38">
        <f>IF(M$16=1,'Assumptions - Freight'!M236*'Assumptions - Freight'!M240/1000000,0)</f>
        <v>63.338504069380811</v>
      </c>
      <c r="N249" s="38">
        <f>IF(N$16=1,'Assumptions - Freight'!N236*'Assumptions - Freight'!N240/1000000,0)</f>
        <v>65.238659191462233</v>
      </c>
      <c r="O249" s="38">
        <f>IF(O$16=1,'Assumptions - Freight'!O236*'Assumptions - Freight'!O240/1000000,0)</f>
        <v>67.195818967206108</v>
      </c>
      <c r="P249" s="38">
        <f>IF(P$16=1,'Assumptions - Freight'!P236*'Assumptions - Freight'!P240/1000000,0)</f>
        <v>69.211693536222285</v>
      </c>
      <c r="Q249" s="38">
        <f>IF(Q$16=1,'Assumptions - Freight'!Q236*'Assumptions - Freight'!Q240/1000000,0)</f>
        <v>71.28804434230895</v>
      </c>
      <c r="R249" s="38">
        <f>IF(R$16=1,'Assumptions - Freight'!R236*'Assumptions - Freight'!R240/1000000,0)</f>
        <v>73.42668567257823</v>
      </c>
      <c r="S249" s="38">
        <f>IF(S$16=1,'Assumptions - Freight'!S236*'Assumptions - Freight'!S240/1000000,0)</f>
        <v>75.629486242755576</v>
      </c>
      <c r="T249" s="38">
        <f>IF(T$16=1,'Assumptions - Freight'!T236*'Assumptions - Freight'!T240/1000000,0)</f>
        <v>77.898370830038232</v>
      </c>
      <c r="U249" s="38">
        <f>IF(U$16=1,'Assumptions - Freight'!U236*'Assumptions - Freight'!U240/1000000,0)</f>
        <v>80.23532195493938</v>
      </c>
      <c r="V249" s="38">
        <f>IF(V$16=1,'Assumptions - Freight'!V236*'Assumptions - Freight'!V240/1000000,0)</f>
        <v>82.64238161358756</v>
      </c>
      <c r="W249" s="38">
        <f>IF(W$16=1,'Assumptions - Freight'!W236*'Assumptions - Freight'!W240/1000000,0)</f>
        <v>85.12165306199519</v>
      </c>
      <c r="X249" s="38">
        <f>IF(X$16=1,'Assumptions - Freight'!X236*'Assumptions - Freight'!X240/1000000,0)</f>
        <v>87.675302653855056</v>
      </c>
      <c r="Y249" s="38">
        <f>IF(Y$16=1,'Assumptions - Freight'!Y236*'Assumptions - Freight'!Y240/1000000,0)</f>
        <v>90.305561733470711</v>
      </c>
      <c r="Z249" s="38">
        <f>IF(Z$16=1,'Assumptions - Freight'!Z236*'Assumptions - Freight'!Z240/1000000,0)</f>
        <v>93.014728585474828</v>
      </c>
      <c r="AA249" s="38">
        <f>IF(AA$16=1,'Assumptions - Freight'!AA236*'Assumptions - Freight'!AA240/1000000,0)</f>
        <v>95.805170443039088</v>
      </c>
      <c r="AB249" s="38">
        <f>IF(AB$16=1,'Assumptions - Freight'!AB236*'Assumptions - Freight'!AB240/1000000,0)</f>
        <v>98.679325556330255</v>
      </c>
      <c r="AC249" s="38">
        <f>IF(AC$16=1,'Assumptions - Freight'!AC236*'Assumptions - Freight'!AC240/1000000,0)</f>
        <v>101.63970532302017</v>
      </c>
      <c r="AD249" s="38">
        <f>IF(AD$16=1,'Assumptions - Freight'!AD236*'Assumptions - Freight'!AD240/1000000,0)</f>
        <v>104.68889648271076</v>
      </c>
      <c r="AE249" s="38">
        <f>IF(AE$16=1,'Assumptions - Freight'!AE236*'Assumptions - Freight'!AE240/1000000,0)</f>
        <v>107.82956337719207</v>
      </c>
      <c r="AF249" s="38">
        <f>IF(AF$16=1,'Assumptions - Freight'!AF236*'Assumptions - Freight'!AF240/1000000,0)</f>
        <v>111.06445027850785</v>
      </c>
      <c r="AG249" s="38">
        <f>IF(AG$16=1,'Assumptions - Freight'!AG236*'Assumptions - Freight'!AG240/1000000,0)</f>
        <v>114.39638378686308</v>
      </c>
      <c r="AH249" s="38">
        <f>IF(AH$16=1,'Assumptions - Freight'!AH236*'Assumptions - Freight'!AH240/1000000,0)</f>
        <v>117.828275300469</v>
      </c>
    </row>
    <row r="250" spans="1:34" s="20" customFormat="1" ht="14" x14ac:dyDescent="0.2">
      <c r="B250" s="57" t="s">
        <v>322</v>
      </c>
      <c r="D250" s="20" t="s">
        <v>15</v>
      </c>
      <c r="E250" s="128" t="str">
        <f t="shared" ref="E250:AH250" si="78">IF(E16=1,IF(AND(SUM($E$246:$AH$249)&gt;0,($E$4+SUM($F$16:$AH$16))=E$4),(SUM(E246:E249)/SUM($E246:$E249))^(1/SUM($F$16:$AH$16))-1," ")," ")</f>
        <v xml:space="preserve"> </v>
      </c>
      <c r="F250" s="128" t="str">
        <f t="shared" si="78"/>
        <v xml:space="preserve"> </v>
      </c>
      <c r="G250" s="128" t="str">
        <f t="shared" si="78"/>
        <v xml:space="preserve"> </v>
      </c>
      <c r="H250" s="128" t="str">
        <f t="shared" si="78"/>
        <v xml:space="preserve"> </v>
      </c>
      <c r="I250" s="128" t="str">
        <f t="shared" si="78"/>
        <v xml:space="preserve"> </v>
      </c>
      <c r="J250" s="128" t="str">
        <f t="shared" si="78"/>
        <v xml:space="preserve"> </v>
      </c>
      <c r="K250" s="128" t="str">
        <f t="shared" si="78"/>
        <v xml:space="preserve"> </v>
      </c>
      <c r="L250" s="128" t="str">
        <f t="shared" si="78"/>
        <v xml:space="preserve"> </v>
      </c>
      <c r="M250" s="128" t="str">
        <f t="shared" si="78"/>
        <v xml:space="preserve"> </v>
      </c>
      <c r="N250" s="128" t="str">
        <f t="shared" si="78"/>
        <v xml:space="preserve"> </v>
      </c>
      <c r="O250" s="128" t="str">
        <f t="shared" si="78"/>
        <v xml:space="preserve"> </v>
      </c>
      <c r="P250" s="128" t="str">
        <f t="shared" si="78"/>
        <v xml:space="preserve"> </v>
      </c>
      <c r="Q250" s="128" t="str">
        <f t="shared" si="78"/>
        <v xml:space="preserve"> </v>
      </c>
      <c r="R250" s="128" t="str">
        <f t="shared" si="78"/>
        <v xml:space="preserve"> </v>
      </c>
      <c r="S250" s="128" t="str">
        <f t="shared" si="78"/>
        <v xml:space="preserve"> </v>
      </c>
      <c r="T250" s="128" t="str">
        <f t="shared" si="78"/>
        <v xml:space="preserve"> </v>
      </c>
      <c r="U250" s="128" t="str">
        <f t="shared" si="78"/>
        <v xml:space="preserve"> </v>
      </c>
      <c r="V250" s="128" t="str">
        <f t="shared" si="78"/>
        <v xml:space="preserve"> </v>
      </c>
      <c r="W250" s="128" t="str">
        <f t="shared" si="78"/>
        <v xml:space="preserve"> </v>
      </c>
      <c r="X250" s="128" t="str">
        <f t="shared" si="78"/>
        <v xml:space="preserve"> </v>
      </c>
      <c r="Y250" s="128" t="str">
        <f t="shared" si="78"/>
        <v xml:space="preserve"> </v>
      </c>
      <c r="Z250" s="128" t="str">
        <f t="shared" si="78"/>
        <v xml:space="preserve"> </v>
      </c>
      <c r="AA250" s="128" t="str">
        <f t="shared" si="78"/>
        <v xml:space="preserve"> </v>
      </c>
      <c r="AB250" s="128" t="str">
        <f t="shared" si="78"/>
        <v xml:space="preserve"> </v>
      </c>
      <c r="AC250" s="128" t="str">
        <f t="shared" si="78"/>
        <v xml:space="preserve"> </v>
      </c>
      <c r="AD250" s="128" t="str">
        <f t="shared" si="78"/>
        <v xml:space="preserve"> </v>
      </c>
      <c r="AE250" s="128" t="str">
        <f t="shared" si="78"/>
        <v xml:space="preserve"> </v>
      </c>
      <c r="AF250" s="128" t="str">
        <f t="shared" si="78"/>
        <v xml:space="preserve"> </v>
      </c>
      <c r="AG250" s="128" t="str">
        <f t="shared" si="78"/>
        <v xml:space="preserve"> </v>
      </c>
      <c r="AH250" s="128">
        <f t="shared" si="78"/>
        <v>3.0000000000000027E-2</v>
      </c>
    </row>
    <row r="251" spans="1:34" s="20" customFormat="1" ht="14" x14ac:dyDescent="0.2">
      <c r="B251" s="55"/>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row>
    <row r="252" spans="1:34" x14ac:dyDescent="0.2">
      <c r="A252" s="320"/>
      <c r="B252" s="319" t="str">
        <f>"Public subsidy assumptions for " &amp;'Assumptions - General'!$E$24</f>
        <v>Public subsidy assumptions for Ruritania Freight Rail Company</v>
      </c>
      <c r="C252" s="320"/>
      <c r="D252" s="320"/>
      <c r="E252" s="320"/>
      <c r="F252" s="320"/>
      <c r="G252" s="320"/>
      <c r="H252" s="320"/>
      <c r="I252" s="320"/>
      <c r="J252" s="320"/>
      <c r="K252" s="320"/>
      <c r="L252" s="320"/>
      <c r="M252" s="320"/>
      <c r="N252" s="320"/>
      <c r="O252" s="320"/>
      <c r="P252" s="320"/>
      <c r="Q252" s="320"/>
      <c r="R252" s="320"/>
      <c r="S252" s="320"/>
      <c r="T252" s="320"/>
      <c r="U252" s="320"/>
      <c r="V252" s="320"/>
      <c r="W252" s="320"/>
      <c r="X252" s="320"/>
      <c r="Y252" s="320"/>
      <c r="Z252" s="320"/>
      <c r="AA252" s="320"/>
      <c r="AB252" s="320"/>
      <c r="AC252" s="320"/>
      <c r="AD252" s="320"/>
      <c r="AE252" s="320"/>
      <c r="AF252" s="320"/>
      <c r="AG252" s="320"/>
      <c r="AH252" s="320"/>
    </row>
    <row r="253" spans="1:34" s="20" customFormat="1" ht="14" x14ac:dyDescent="0.2">
      <c r="A253" s="8"/>
      <c r="B253" s="7"/>
      <c r="C253" s="8"/>
      <c r="D253" s="8"/>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9"/>
      <c r="AH253" s="9"/>
    </row>
    <row r="254" spans="1:34" s="20" customFormat="1" ht="14" x14ac:dyDescent="0.2">
      <c r="A254" s="8"/>
      <c r="B254" s="8" t="s">
        <v>610</v>
      </c>
      <c r="C254" s="8"/>
      <c r="D254" s="8" t="str">
        <f>'Assumptions - General'!$E$27 &amp;" millions"</f>
        <v>R$ millions</v>
      </c>
      <c r="E254" s="465">
        <f>IF(AND('Assumptions - Freight'!$E$251=1,E$16=1),'Assumptions - Freight'!E253,0)</f>
        <v>10</v>
      </c>
      <c r="F254" s="88">
        <f>IF(AND(F$16=1,'Assumptions - Freight'!$E$251=1),IF('Assumptions - Freight'!$E$254=2,'Assumptions - Freight'!F260,E254*IF('Assumptions - Freight'!$E$256=1,('Assumptions - Freight'!$E$258*'Assumptions - General'!F$37+1)*(1+'Assumptions - Freight'!F$259),(1+'Assumptions - Freight'!F$259))),0)</f>
        <v>10.3</v>
      </c>
      <c r="G254" s="88">
        <f>IF(AND(G$16=1,'Assumptions - Freight'!$E$251=1),IF('Assumptions - Freight'!$E$254=2,'Assumptions - Freight'!G260,F254*IF('Assumptions - Freight'!$E$256=1,('Assumptions - Freight'!$E$258*'Assumptions - General'!G$37+1)*(1+'Assumptions - Freight'!G$259),(1+'Assumptions - Freight'!G$259))),0)</f>
        <v>10.609000000000002</v>
      </c>
      <c r="H254" s="88">
        <f>IF(AND(H$16=1,'Assumptions - Freight'!$E$251=1),IF('Assumptions - Freight'!$E$254=2,'Assumptions - Freight'!H260,G254*IF('Assumptions - Freight'!$E$256=1,('Assumptions - Freight'!$E$258*'Assumptions - General'!H$37+1)*(1+'Assumptions - Freight'!H$259),(1+'Assumptions - Freight'!H$259))),0)</f>
        <v>10.927270000000002</v>
      </c>
      <c r="I254" s="88">
        <f>IF(AND(I$16=1,'Assumptions - Freight'!$E$251=1),IF('Assumptions - Freight'!$E$254=2,'Assumptions - Freight'!I260,H254*IF('Assumptions - Freight'!$E$256=1,('Assumptions - Freight'!$E$258*'Assumptions - General'!I$37+1)*(1+'Assumptions - Freight'!I$259),(1+'Assumptions - Freight'!I$259))),0)</f>
        <v>11.255088100000002</v>
      </c>
      <c r="J254" s="88">
        <f>IF(AND(J$16=1,'Assumptions - Freight'!$E$251=1),IF('Assumptions - Freight'!$E$254=2,'Assumptions - Freight'!J260,I254*IF('Assumptions - Freight'!$E$256=1,('Assumptions - Freight'!$E$258*'Assumptions - General'!J$37+1)*(1+'Assumptions - Freight'!J$259),(1+'Assumptions - Freight'!J$259))),0)</f>
        <v>11.592740743000002</v>
      </c>
      <c r="K254" s="88">
        <f>IF(AND(K$16=1,'Assumptions - Freight'!$E$251=1),IF('Assumptions - Freight'!$E$254=2,'Assumptions - Freight'!K260,J254*IF('Assumptions - Freight'!$E$256=1,('Assumptions - Freight'!$E$258*'Assumptions - General'!K$37+1)*(1+'Assumptions - Freight'!K$259),(1+'Assumptions - Freight'!K$259))),0)</f>
        <v>11.940522965290002</v>
      </c>
      <c r="L254" s="88">
        <f>IF(AND(L$16=1,'Assumptions - Freight'!$E$251=1),IF('Assumptions - Freight'!$E$254=2,'Assumptions - Freight'!L260,K254*IF('Assumptions - Freight'!$E$256=1,('Assumptions - Freight'!$E$258*'Assumptions - General'!L$37+1)*(1+'Assumptions - Freight'!L$259),(1+'Assumptions - Freight'!L$259))),0)</f>
        <v>12.298738654248703</v>
      </c>
      <c r="M254" s="88">
        <f>IF(AND(M$16=1,'Assumptions - Freight'!$E$251=1),IF('Assumptions - Freight'!$E$254=2,'Assumptions - Freight'!M260,L254*IF('Assumptions - Freight'!$E$256=1,('Assumptions - Freight'!$E$258*'Assumptions - General'!M$37+1)*(1+'Assumptions - Freight'!M$259),(1+'Assumptions - Freight'!M$259))),0)</f>
        <v>12.667700813876165</v>
      </c>
      <c r="N254" s="88">
        <f>IF(AND(N$16=1,'Assumptions - Freight'!$E$251=1),IF('Assumptions - Freight'!$E$254=2,'Assumptions - Freight'!N260,M254*IF('Assumptions - Freight'!$E$256=1,('Assumptions - Freight'!$E$258*'Assumptions - General'!N$37+1)*(1+'Assumptions - Freight'!N$259),(1+'Assumptions - Freight'!N$259))),0)</f>
        <v>13.047731838292449</v>
      </c>
      <c r="O254" s="88">
        <f>IF(AND(O$16=1,'Assumptions - Freight'!$E$251=1),IF('Assumptions - Freight'!$E$254=2,'Assumptions - Freight'!O260,N254*IF('Assumptions - Freight'!$E$256=1,('Assumptions - Freight'!$E$258*'Assumptions - General'!O$37+1)*(1+'Assumptions - Freight'!O$259),(1+'Assumptions - Freight'!O$259))),0)</f>
        <v>13.439163793441223</v>
      </c>
      <c r="P254" s="88">
        <f>IF(AND(P$16=1,'Assumptions - Freight'!$E$251=1),IF('Assumptions - Freight'!$E$254=2,'Assumptions - Freight'!P260,O254*IF('Assumptions - Freight'!$E$256=1,('Assumptions - Freight'!$E$258*'Assumptions - General'!P$37+1)*(1+'Assumptions - Freight'!P$259),(1+'Assumptions - Freight'!P$259))),0)</f>
        <v>13.84233870724446</v>
      </c>
      <c r="Q254" s="88">
        <f>IF(AND(Q$16=1,'Assumptions - Freight'!$E$251=1),IF('Assumptions - Freight'!$E$254=2,'Assumptions - Freight'!Q260,P254*IF('Assumptions - Freight'!$E$256=1,('Assumptions - Freight'!$E$258*'Assumptions - General'!Q$37+1)*(1+'Assumptions - Freight'!Q$259),(1+'Assumptions - Freight'!Q$259))),0)</f>
        <v>14.257608868461794</v>
      </c>
      <c r="R254" s="88">
        <f>IF(AND(R$16=1,'Assumptions - Freight'!$E$251=1),IF('Assumptions - Freight'!$E$254=2,'Assumptions - Freight'!R260,Q254*IF('Assumptions - Freight'!$E$256=1,('Assumptions - Freight'!$E$258*'Assumptions - General'!R$37+1)*(1+'Assumptions - Freight'!R$259),(1+'Assumptions - Freight'!R$259))),0)</f>
        <v>14.685337134515649</v>
      </c>
      <c r="S254" s="88">
        <f>IF(AND(S$16=1,'Assumptions - Freight'!$E$251=1),IF('Assumptions - Freight'!$E$254=2,'Assumptions - Freight'!S260,R254*IF('Assumptions - Freight'!$E$256=1,('Assumptions - Freight'!$E$258*'Assumptions - General'!S$37+1)*(1+'Assumptions - Freight'!S$259),(1+'Assumptions - Freight'!S$259))),0)</f>
        <v>15.125897248551119</v>
      </c>
      <c r="T254" s="88">
        <f>IF(AND(T$16=1,'Assumptions - Freight'!$E$251=1),IF('Assumptions - Freight'!$E$254=2,'Assumptions - Freight'!T260,S254*IF('Assumptions - Freight'!$E$256=1,('Assumptions - Freight'!$E$258*'Assumptions - General'!T$37+1)*(1+'Assumptions - Freight'!T$259),(1+'Assumptions - Freight'!T$259))),0)</f>
        <v>15.579674166007653</v>
      </c>
      <c r="U254" s="88">
        <f>IF(AND(U$16=1,'Assumptions - Freight'!$E$251=1),IF('Assumptions - Freight'!$E$254=2,'Assumptions - Freight'!U260,T254*IF('Assumptions - Freight'!$E$256=1,('Assumptions - Freight'!$E$258*'Assumptions - General'!U$37+1)*(1+'Assumptions - Freight'!U$259),(1+'Assumptions - Freight'!U$259))),0)</f>
        <v>16.047064390987885</v>
      </c>
      <c r="V254" s="88">
        <f>IF(AND(V$16=1,'Assumptions - Freight'!$E$251=1),IF('Assumptions - Freight'!$E$254=2,'Assumptions - Freight'!V260,U254*IF('Assumptions - Freight'!$E$256=1,('Assumptions - Freight'!$E$258*'Assumptions - General'!V$37+1)*(1+'Assumptions - Freight'!V$259),(1+'Assumptions - Freight'!V$259))),0)</f>
        <v>16.52847632271752</v>
      </c>
      <c r="W254" s="88">
        <f>IF(AND(W$16=1,'Assumptions - Freight'!$E$251=1),IF('Assumptions - Freight'!$E$254=2,'Assumptions - Freight'!W260,V254*IF('Assumptions - Freight'!$E$256=1,('Assumptions - Freight'!$E$258*'Assumptions - General'!W$37+1)*(1+'Assumptions - Freight'!W$259),(1+'Assumptions - Freight'!W$259))),0)</f>
        <v>17.024330612399044</v>
      </c>
      <c r="X254" s="88">
        <f>IF(AND(X$16=1,'Assumptions - Freight'!$E$251=1),IF('Assumptions - Freight'!$E$254=2,'Assumptions - Freight'!X260,W254*IF('Assumptions - Freight'!$E$256=1,('Assumptions - Freight'!$E$258*'Assumptions - General'!X$37+1)*(1+'Assumptions - Freight'!X$259),(1+'Assumptions - Freight'!X$259))),0)</f>
        <v>17.535060530771016</v>
      </c>
      <c r="Y254" s="88">
        <f>IF(AND(Y$16=1,'Assumptions - Freight'!$E$251=1),IF('Assumptions - Freight'!$E$254=2,'Assumptions - Freight'!Y260,X254*IF('Assumptions - Freight'!$E$256=1,('Assumptions - Freight'!$E$258*'Assumptions - General'!Y$37+1)*(1+'Assumptions - Freight'!Y$259),(1+'Assumptions - Freight'!Y$259))),0)</f>
        <v>18.061112346694149</v>
      </c>
      <c r="Z254" s="88">
        <f>IF(AND(Z$16=1,'Assumptions - Freight'!$E$251=1),IF('Assumptions - Freight'!$E$254=2,'Assumptions - Freight'!Z260,Y254*IF('Assumptions - Freight'!$E$256=1,('Assumptions - Freight'!$E$258*'Assumptions - General'!Z$37+1)*(1+'Assumptions - Freight'!Z$259),(1+'Assumptions - Freight'!Z$259))),0)</f>
        <v>18.602945717094972</v>
      </c>
      <c r="AA254" s="88">
        <f>IF(AND(AA$16=1,'Assumptions - Freight'!$E$251=1),IF('Assumptions - Freight'!$E$254=2,'Assumptions - Freight'!AA260,Z254*IF('Assumptions - Freight'!$E$256=1,('Assumptions - Freight'!$E$258*'Assumptions - General'!AA$37+1)*(1+'Assumptions - Freight'!AA$259),(1+'Assumptions - Freight'!AA$259))),0)</f>
        <v>19.161034088607821</v>
      </c>
      <c r="AB254" s="88">
        <f>IF(AND(AB$16=1,'Assumptions - Freight'!$E$251=1),IF('Assumptions - Freight'!$E$254=2,'Assumptions - Freight'!AB260,AA254*IF('Assumptions - Freight'!$E$256=1,('Assumptions - Freight'!$E$258*'Assumptions - General'!AB$37+1)*(1+'Assumptions - Freight'!AB$259),(1+'Assumptions - Freight'!AB$259))),0)</f>
        <v>19.735865111266055</v>
      </c>
      <c r="AC254" s="88">
        <f>IF(AND(AC$16=1,'Assumptions - Freight'!$E$251=1),IF('Assumptions - Freight'!$E$254=2,'Assumptions - Freight'!AC260,AB254*IF('Assumptions - Freight'!$E$256=1,('Assumptions - Freight'!$E$258*'Assumptions - General'!AC$37+1)*(1+'Assumptions - Freight'!AC$259),(1+'Assumptions - Freight'!AC$259))),0)</f>
        <v>20.327941064604037</v>
      </c>
      <c r="AD254" s="88">
        <f>IF(AND(AD$16=1,'Assumptions - Freight'!$E$251=1),IF('Assumptions - Freight'!$E$254=2,'Assumptions - Freight'!AD260,AC254*IF('Assumptions - Freight'!$E$256=1,('Assumptions - Freight'!$E$258*'Assumptions - General'!AD$37+1)*(1+'Assumptions - Freight'!AD$259),(1+'Assumptions - Freight'!AD$259))),0)</f>
        <v>20.937779296542157</v>
      </c>
      <c r="AE254" s="88">
        <f>IF(AND(AE$16=1,'Assumptions - Freight'!$E$251=1),IF('Assumptions - Freight'!$E$254=2,'Assumptions - Freight'!AE260,AD254*IF('Assumptions - Freight'!$E$256=1,('Assumptions - Freight'!$E$258*'Assumptions - General'!AE$37+1)*(1+'Assumptions - Freight'!AE$259),(1+'Assumptions - Freight'!AE$259))),0)</f>
        <v>21.565912675438422</v>
      </c>
      <c r="AF254" s="88">
        <f>IF(AND(AF$16=1,'Assumptions - Freight'!$E$251=1),IF('Assumptions - Freight'!$E$254=2,'Assumptions - Freight'!AF260,AE254*IF('Assumptions - Freight'!$E$256=1,('Assumptions - Freight'!$E$258*'Assumptions - General'!AF$37+1)*(1+'Assumptions - Freight'!AF$259),(1+'Assumptions - Freight'!AF$259))),0)</f>
        <v>22.212890055701575</v>
      </c>
      <c r="AG254" s="88">
        <f>IF(AND(AG$16=1,'Assumptions - Freight'!$E$251=1),IF('Assumptions - Freight'!$E$254=2,'Assumptions - Freight'!AG260,AF254*IF('Assumptions - Freight'!$E$256=1,('Assumptions - Freight'!$E$258*'Assumptions - General'!AG$37+1)*(1+'Assumptions - Freight'!AG$259),(1+'Assumptions - Freight'!AG$259))),0)</f>
        <v>22.879276757372622</v>
      </c>
      <c r="AH254" s="88">
        <f>IF(AND(AH$16=1,'Assumptions - Freight'!$E$251=1),IF('Assumptions - Freight'!$E$254=2,'Assumptions - Freight'!AH260,AG254*IF('Assumptions - Freight'!$E$256=1,('Assumptions - Freight'!$E$258*'Assumptions - General'!AH$37+1)*(1+'Assumptions - Freight'!AH$259),(1+'Assumptions - Freight'!AH$259))),0)</f>
        <v>23.565655060093803</v>
      </c>
    </row>
    <row r="255" spans="1:34" s="20" customFormat="1" ht="14" x14ac:dyDescent="0.2">
      <c r="A255" s="8"/>
      <c r="B255" s="8" t="s">
        <v>609</v>
      </c>
      <c r="C255" s="8"/>
      <c r="D255" s="8" t="str">
        <f>'Assumptions - General'!$E$27 &amp;" millions"</f>
        <v>R$ millions</v>
      </c>
      <c r="E255" s="465">
        <f>IF(AND('Assumptions - Freight'!$E$262=1,E$16=1),'Assumptions - Freight'!E264,0)</f>
        <v>10</v>
      </c>
      <c r="F255" s="88">
        <f>IF(AND(F$16=1,'Assumptions - Freight'!$E$262=1),IF('Assumptions - Freight'!$E$266=2,'Assumptions - Freight'!F272,E255*IF('Assumptions - Freight'!$E$268=1,('Assumptions - Freight'!$E$270*'Assumptions - General'!F$37+1)*(1+'Assumptions - Freight'!F$271),(1+'Assumptions - Freight'!F$271))),0)</f>
        <v>10.3</v>
      </c>
      <c r="G255" s="88">
        <f>IF(AND(G$16=1,'Assumptions - Freight'!$E$262=1),IF('Assumptions - Freight'!$E$266=2,'Assumptions - Freight'!G272,F255*IF('Assumptions - Freight'!$E$268=1,('Assumptions - Freight'!$E$270*'Assumptions - General'!G$37+1)*(1+'Assumptions - Freight'!G$271),(1+'Assumptions - Freight'!G$271))),0)</f>
        <v>10.609000000000002</v>
      </c>
      <c r="H255" s="88">
        <f>IF(AND(H$16=1,'Assumptions - Freight'!$E$262=1),IF('Assumptions - Freight'!$E$266=2,'Assumptions - Freight'!H272,G255*IF('Assumptions - Freight'!$E$268=1,('Assumptions - Freight'!$E$270*'Assumptions - General'!H$37+1)*(1+'Assumptions - Freight'!H$271),(1+'Assumptions - Freight'!H$271))),0)</f>
        <v>10.927270000000002</v>
      </c>
      <c r="I255" s="88">
        <f>IF(AND(I$16=1,'Assumptions - Freight'!$E$262=1),IF('Assumptions - Freight'!$E$266=2,'Assumptions - Freight'!I272,H255*IF('Assumptions - Freight'!$E$268=1,('Assumptions - Freight'!$E$270*'Assumptions - General'!I$37+1)*(1+'Assumptions - Freight'!I$271),(1+'Assumptions - Freight'!I$271))),0)</f>
        <v>11.255088100000002</v>
      </c>
      <c r="J255" s="88">
        <f>IF(AND(J$16=1,'Assumptions - Freight'!$E$262=1),IF('Assumptions - Freight'!$E$266=2,'Assumptions - Freight'!J272,I255*IF('Assumptions - Freight'!$E$268=1,('Assumptions - Freight'!$E$270*'Assumptions - General'!J$37+1)*(1+'Assumptions - Freight'!J$271),(1+'Assumptions - Freight'!J$271))),0)</f>
        <v>11.592740743000002</v>
      </c>
      <c r="K255" s="88">
        <f>IF(AND(K$16=1,'Assumptions - Freight'!$E$262=1),IF('Assumptions - Freight'!$E$266=2,'Assumptions - Freight'!K272,J255*IF('Assumptions - Freight'!$E$268=1,('Assumptions - Freight'!$E$270*'Assumptions - General'!K$37+1)*(1+'Assumptions - Freight'!K$271),(1+'Assumptions - Freight'!K$271))),0)</f>
        <v>11.940522965290002</v>
      </c>
      <c r="L255" s="88">
        <f>IF(AND(L$16=1,'Assumptions - Freight'!$E$262=1),IF('Assumptions - Freight'!$E$266=2,'Assumptions - Freight'!L272,K255*IF('Assumptions - Freight'!$E$268=1,('Assumptions - Freight'!$E$270*'Assumptions - General'!L$37+1)*(1+'Assumptions - Freight'!L$271),(1+'Assumptions - Freight'!L$271))),0)</f>
        <v>12.298738654248703</v>
      </c>
      <c r="M255" s="88">
        <f>IF(AND(M$16=1,'Assumptions - Freight'!$E$262=1),IF('Assumptions - Freight'!$E$266=2,'Assumptions - Freight'!M272,L255*IF('Assumptions - Freight'!$E$268=1,('Assumptions - Freight'!$E$270*'Assumptions - General'!M$37+1)*(1+'Assumptions - Freight'!M$271),(1+'Assumptions - Freight'!M$271))),0)</f>
        <v>12.667700813876165</v>
      </c>
      <c r="N255" s="88">
        <f>IF(AND(N$16=1,'Assumptions - Freight'!$E$262=1),IF('Assumptions - Freight'!$E$266=2,'Assumptions - Freight'!N272,M255*IF('Assumptions - Freight'!$E$268=1,('Assumptions - Freight'!$E$270*'Assumptions - General'!N$37+1)*(1+'Assumptions - Freight'!N$271),(1+'Assumptions - Freight'!N$271))),0)</f>
        <v>13.047731838292449</v>
      </c>
      <c r="O255" s="88">
        <f>IF(AND(O$16=1,'Assumptions - Freight'!$E$262=1),IF('Assumptions - Freight'!$E$266=2,'Assumptions - Freight'!O272,N255*IF('Assumptions - Freight'!$E$268=1,('Assumptions - Freight'!$E$270*'Assumptions - General'!O$37+1)*(1+'Assumptions - Freight'!O$271),(1+'Assumptions - Freight'!O$271))),0)</f>
        <v>13.439163793441223</v>
      </c>
      <c r="P255" s="88">
        <f>IF(AND(P$16=1,'Assumptions - Freight'!$E$262=1),IF('Assumptions - Freight'!$E$266=2,'Assumptions - Freight'!P272,O255*IF('Assumptions - Freight'!$E$268=1,('Assumptions - Freight'!$E$270*'Assumptions - General'!P$37+1)*(1+'Assumptions - Freight'!P$271),(1+'Assumptions - Freight'!P$271))),0)</f>
        <v>13.84233870724446</v>
      </c>
      <c r="Q255" s="88">
        <f>IF(AND(Q$16=1,'Assumptions - Freight'!$E$262=1),IF('Assumptions - Freight'!$E$266=2,'Assumptions - Freight'!Q272,P255*IF('Assumptions - Freight'!$E$268=1,('Assumptions - Freight'!$E$270*'Assumptions - General'!Q$37+1)*(1+'Assumptions - Freight'!Q$271),(1+'Assumptions - Freight'!Q$271))),0)</f>
        <v>14.257608868461794</v>
      </c>
      <c r="R255" s="88">
        <f>IF(AND(R$16=1,'Assumptions - Freight'!$E$262=1),IF('Assumptions - Freight'!$E$266=2,'Assumptions - Freight'!R272,Q255*IF('Assumptions - Freight'!$E$268=1,('Assumptions - Freight'!$E$270*'Assumptions - General'!R$37+1)*(1+'Assumptions - Freight'!R$271),(1+'Assumptions - Freight'!R$271))),0)</f>
        <v>14.685337134515649</v>
      </c>
      <c r="S255" s="88">
        <f>IF(AND(S$16=1,'Assumptions - Freight'!$E$262=1),IF('Assumptions - Freight'!$E$266=2,'Assumptions - Freight'!S272,R255*IF('Assumptions - Freight'!$E$268=1,('Assumptions - Freight'!$E$270*'Assumptions - General'!S$37+1)*(1+'Assumptions - Freight'!S$271),(1+'Assumptions - Freight'!S$271))),0)</f>
        <v>15.125897248551119</v>
      </c>
      <c r="T255" s="88">
        <f>IF(AND(T$16=1,'Assumptions - Freight'!$E$262=1),IF('Assumptions - Freight'!$E$266=2,'Assumptions - Freight'!T272,S255*IF('Assumptions - Freight'!$E$268=1,('Assumptions - Freight'!$E$270*'Assumptions - General'!T$37+1)*(1+'Assumptions - Freight'!T$271),(1+'Assumptions - Freight'!T$271))),0)</f>
        <v>15.579674166007653</v>
      </c>
      <c r="U255" s="88">
        <f>IF(AND(U$16=1,'Assumptions - Freight'!$E$262=1),IF('Assumptions - Freight'!$E$266=2,'Assumptions - Freight'!U272,T255*IF('Assumptions - Freight'!$E$268=1,('Assumptions - Freight'!$E$270*'Assumptions - General'!U$37+1)*(1+'Assumptions - Freight'!U$271),(1+'Assumptions - Freight'!U$271))),0)</f>
        <v>16.047064390987885</v>
      </c>
      <c r="V255" s="88">
        <f>IF(AND(V$16=1,'Assumptions - Freight'!$E$262=1),IF('Assumptions - Freight'!$E$266=2,'Assumptions - Freight'!V272,U255*IF('Assumptions - Freight'!$E$268=1,('Assumptions - Freight'!$E$270*'Assumptions - General'!V$37+1)*(1+'Assumptions - Freight'!V$271),(1+'Assumptions - Freight'!V$271))),0)</f>
        <v>16.52847632271752</v>
      </c>
      <c r="W255" s="88">
        <f>IF(AND(W$16=1,'Assumptions - Freight'!$E$262=1),IF('Assumptions - Freight'!$E$266=2,'Assumptions - Freight'!W272,V255*IF('Assumptions - Freight'!$E$268=1,('Assumptions - Freight'!$E$270*'Assumptions - General'!W$37+1)*(1+'Assumptions - Freight'!W$271),(1+'Assumptions - Freight'!W$271))),0)</f>
        <v>17.024330612399044</v>
      </c>
      <c r="X255" s="88">
        <f>IF(AND(X$16=1,'Assumptions - Freight'!$E$262=1),IF('Assumptions - Freight'!$E$266=2,'Assumptions - Freight'!X272,W255*IF('Assumptions - Freight'!$E$268=1,('Assumptions - Freight'!$E$270*'Assumptions - General'!X$37+1)*(1+'Assumptions - Freight'!X$271),(1+'Assumptions - Freight'!X$271))),0)</f>
        <v>17.535060530771016</v>
      </c>
      <c r="Y255" s="88">
        <f>IF(AND(Y$16=1,'Assumptions - Freight'!$E$262=1),IF('Assumptions - Freight'!$E$266=2,'Assumptions - Freight'!Y272,X255*IF('Assumptions - Freight'!$E$268=1,('Assumptions - Freight'!$E$270*'Assumptions - General'!Y$37+1)*(1+'Assumptions - Freight'!Y$271),(1+'Assumptions - Freight'!Y$271))),0)</f>
        <v>18.061112346694149</v>
      </c>
      <c r="Z255" s="88">
        <f>IF(AND(Z$16=1,'Assumptions - Freight'!$E$262=1),IF('Assumptions - Freight'!$E$266=2,'Assumptions - Freight'!Z272,Y255*IF('Assumptions - Freight'!$E$268=1,('Assumptions - Freight'!$E$270*'Assumptions - General'!Z$37+1)*(1+'Assumptions - Freight'!Z$271),(1+'Assumptions - Freight'!Z$271))),0)</f>
        <v>18.602945717094972</v>
      </c>
      <c r="AA255" s="88">
        <f>IF(AND(AA$16=1,'Assumptions - Freight'!$E$262=1),IF('Assumptions - Freight'!$E$266=2,'Assumptions - Freight'!AA272,Z255*IF('Assumptions - Freight'!$E$268=1,('Assumptions - Freight'!$E$270*'Assumptions - General'!AA$37+1)*(1+'Assumptions - Freight'!AA$271),(1+'Assumptions - Freight'!AA$271))),0)</f>
        <v>19.161034088607821</v>
      </c>
      <c r="AB255" s="88">
        <f>IF(AND(AB$16=1,'Assumptions - Freight'!$E$262=1),IF('Assumptions - Freight'!$E$266=2,'Assumptions - Freight'!AB272,AA255*IF('Assumptions - Freight'!$E$268=1,('Assumptions - Freight'!$E$270*'Assumptions - General'!AB$37+1)*(1+'Assumptions - Freight'!AB$271),(1+'Assumptions - Freight'!AB$271))),0)</f>
        <v>19.735865111266055</v>
      </c>
      <c r="AC255" s="88">
        <f>IF(AND(AC$16=1,'Assumptions - Freight'!$E$262=1),IF('Assumptions - Freight'!$E$266=2,'Assumptions - Freight'!AC272,AB255*IF('Assumptions - Freight'!$E$268=1,('Assumptions - Freight'!$E$270*'Assumptions - General'!AC$37+1)*(1+'Assumptions - Freight'!AC$271),(1+'Assumptions - Freight'!AC$271))),0)</f>
        <v>20.327941064604037</v>
      </c>
      <c r="AD255" s="88">
        <f>IF(AND(AD$16=1,'Assumptions - Freight'!$E$262=1),IF('Assumptions - Freight'!$E$266=2,'Assumptions - Freight'!AD272,AC255*IF('Assumptions - Freight'!$E$268=1,('Assumptions - Freight'!$E$270*'Assumptions - General'!AD$37+1)*(1+'Assumptions - Freight'!AD$271),(1+'Assumptions - Freight'!AD$271))),0)</f>
        <v>20.937779296542157</v>
      </c>
      <c r="AE255" s="88">
        <f>IF(AND(AE$16=1,'Assumptions - Freight'!$E$262=1),IF('Assumptions - Freight'!$E$266=2,'Assumptions - Freight'!AE272,AD255*IF('Assumptions - Freight'!$E$268=1,('Assumptions - Freight'!$E$270*'Assumptions - General'!AE$37+1)*(1+'Assumptions - Freight'!AE$271),(1+'Assumptions - Freight'!AE$271))),0)</f>
        <v>21.565912675438422</v>
      </c>
      <c r="AF255" s="88">
        <f>IF(AND(AF$16=1,'Assumptions - Freight'!$E$262=1),IF('Assumptions - Freight'!$E$266=2,'Assumptions - Freight'!AF272,AE255*IF('Assumptions - Freight'!$E$268=1,('Assumptions - Freight'!$E$270*'Assumptions - General'!AF$37+1)*(1+'Assumptions - Freight'!AF$271),(1+'Assumptions - Freight'!AF$271))),0)</f>
        <v>22.212890055701575</v>
      </c>
      <c r="AG255" s="88">
        <f>IF(AND(AG$16=1,'Assumptions - Freight'!$E$262=1),IF('Assumptions - Freight'!$E$266=2,'Assumptions - Freight'!AG272,AF255*IF('Assumptions - Freight'!$E$268=1,('Assumptions - Freight'!$E$270*'Assumptions - General'!AG$37+1)*(1+'Assumptions - Freight'!AG$271),(1+'Assumptions - Freight'!AG$271))),0)</f>
        <v>22.879276757372622</v>
      </c>
      <c r="AH255" s="88">
        <f>IF(AND(AH$16=1,'Assumptions - Freight'!$E$262=1),IF('Assumptions - Freight'!$E$266=2,'Assumptions - Freight'!AH272,AG255*IF('Assumptions - Freight'!$E$268=1,('Assumptions - Freight'!$E$270*'Assumptions - General'!AH$37+1)*(1+'Assumptions - Freight'!AH$271),(1+'Assumptions - Freight'!AH$271))),0)</f>
        <v>23.565655060093803</v>
      </c>
    </row>
    <row r="256" spans="1:34" s="20" customFormat="1" ht="14" x14ac:dyDescent="0.2">
      <c r="A256" s="8"/>
      <c r="B256" s="8" t="s">
        <v>611</v>
      </c>
      <c r="C256" s="8"/>
      <c r="D256" s="8" t="str">
        <f>'Assumptions - General'!$E$27 &amp;" millions"</f>
        <v>R$ millions</v>
      </c>
      <c r="E256" s="465">
        <f>IF(E$16=1,'Assumptions - Freight'!E265,0)</f>
        <v>2</v>
      </c>
      <c r="F256" s="88">
        <f>IF($E$256&lt;&gt;0,IF(F$16=1,($E$256/('Assumptions - Freight'!$E$56))*(F$32+F$48+F$64+F$80+F$96+F$112)+(SUM($E255:F255)/SUM('Assumptions - Freight'!$E46:F46))*(F$39+F$55+F$71+F$87+F$103+F$119),0),0)</f>
        <v>2.48</v>
      </c>
      <c r="G256" s="88">
        <f>IF($E$256&lt;&gt;0,IF(G$16=1,($E$256/('Assumptions - Freight'!$E$56))*(G$32+G$48+G$64+G$80+G$96+G$112)+(SUM($E255:G255)/SUM('Assumptions - Freight'!$E46:G46))*(G$39+G$55+G$71+G$87+G$103+G$119),0),0)</f>
        <v>3.5145725834897883</v>
      </c>
      <c r="H256" s="88">
        <f>IF($E$256&lt;&gt;0,IF(H$16=1,($E$256/('Assumptions - Freight'!$E$56))*(H$32+H$48+H$64+H$80+H$96+H$112)+(SUM($E255:H255)/SUM('Assumptions - Freight'!$E46:H46))*(H$39+H$55+H$71+H$87+H$103+H$119),0),0)</f>
        <v>3.8305909231502353</v>
      </c>
      <c r="I256" s="88">
        <f>IF($E$256&lt;&gt;0,IF(I$16=1,($E$256/('Assumptions - Freight'!$E$56))*(I$32+I$48+I$64+I$80+I$96+I$112)+(SUM($E255:I255)/SUM('Assumptions - Freight'!$E46:I46))*(I$39+I$55+I$71+I$87+I$103+I$119),0),0)</f>
        <v>4.1606137600309614</v>
      </c>
      <c r="J256" s="88">
        <f>IF($E$256&lt;&gt;0,IF(J$16=1,($E$256/('Assumptions - Freight'!$E$56))*(J$32+J$48+J$64+J$80+J$96+J$112)+(SUM($E255:J255)/SUM('Assumptions - Freight'!$E46:J46))*(J$39+J$55+J$71+J$87+J$103+J$119),0),0)</f>
        <v>4.5031966187950427</v>
      </c>
      <c r="K256" s="88">
        <f>IF($E$256&lt;&gt;0,IF(K$16=1,($E$256/('Assumptions - Freight'!$E$56))*(K$32+K$48+K$64+K$80+K$96+K$112)+(SUM($E255:K255)/SUM('Assumptions - Freight'!$E46:K46))*(K$39+K$55+K$71+K$87+K$103+K$119),0),0)</f>
        <v>4.8582163490764172</v>
      </c>
      <c r="L256" s="88">
        <f>IF($E$256&lt;&gt;0,IF(L$16=1,($E$256/('Assumptions - Freight'!$E$56))*(L$32+L$48+L$64+L$80+L$96+L$112)+(SUM($E255:L255)/SUM('Assumptions - Freight'!$E46:L46))*(L$39+L$55+L$71+L$87+L$103+L$119),0),0)</f>
        <v>4.6258545097833208</v>
      </c>
      <c r="M256" s="88">
        <f>IF($E$256&lt;&gt;0,IF(M$16=1,($E$256/('Assumptions - Freight'!$E$56))*(M$32+M$48+M$64+M$80+M$96+M$112)+(SUM($E255:M255)/SUM('Assumptions - Freight'!$E46:M46))*(M$39+M$55+M$71+M$87+M$103+M$119),0),0)</f>
        <v>4.9656475422793864</v>
      </c>
      <c r="N256" s="88">
        <f>IF($E$256&lt;&gt;0,IF(N$16=1,($E$256/('Assumptions - Freight'!$E$56))*(N$32+N$48+N$64+N$80+N$96+N$112)+(SUM($E255:N255)/SUM('Assumptions - Freight'!$E46:N46))*(N$39+N$55+N$71+N$87+N$103+N$119),0),0)</f>
        <v>5.3759564060824481</v>
      </c>
      <c r="O256" s="88">
        <f>IF($E$256&lt;&gt;0,IF(O$16=1,($E$256/('Assumptions - Freight'!$E$56))*(O$32+O$48+O$64+O$80+O$96+O$112)+(SUM($E255:O255)/SUM('Assumptions - Freight'!$E46:O46))*(O$39+O$55+O$71+O$87+O$103+O$119),0),0)</f>
        <v>5.79985701465327</v>
      </c>
      <c r="P256" s="88">
        <f>IF($E$256&lt;&gt;0,IF(P$16=1,($E$256/('Assumptions - Freight'!$E$56))*(P$32+P$48+P$64+P$80+P$96+P$112)+(SUM($E255:P255)/SUM('Assumptions - Freight'!$E46:P46))*(P$39+P$55+P$71+P$87+P$103+P$119),0),0)</f>
        <v>6.2376434526647886</v>
      </c>
      <c r="Q256" s="88">
        <f>IF($E$256&lt;&gt;0,IF(Q$16=1,($E$256/('Assumptions - Freight'!$E$56))*(Q$32+Q$48+Q$64+Q$80+Q$96+Q$112)+(SUM($E255:Q255)/SUM('Assumptions - Freight'!$E46:Q46))*(Q$39+Q$55+Q$71+Q$87+Q$103+Q$119),0),0)</f>
        <v>6.6896576145081612</v>
      </c>
      <c r="R256" s="88">
        <f>IF($E$256&lt;&gt;0,IF(R$16=1,($E$256/('Assumptions - Freight'!$E$56))*(R$32+R$48+R$64+R$80+R$96+R$112)+(SUM($E255:R255)/SUM('Assumptions - Freight'!$E46:R46))*(R$39+R$55+R$71+R$87+R$103+R$119),0),0)</f>
        <v>7.1562751363319146</v>
      </c>
      <c r="S256" s="88">
        <f>IF($E$256&lt;&gt;0,IF(S$16=1,($E$256/('Assumptions - Freight'!$E$56))*(S$32+S$48+S$64+S$80+S$96+S$112)+(SUM($E255:S255)/SUM('Assumptions - Freight'!$E46:S46))*(S$39+S$55+S$71+S$87+S$103+S$119),0),0)</f>
        <v>7.6378977754211697</v>
      </c>
      <c r="T256" s="88">
        <f>IF($E$256&lt;&gt;0,IF(T$16=1,($E$256/('Assumptions - Freight'!$E$56))*(T$32+T$48+T$64+T$80+T$96+T$112)+(SUM($E255:T255)/SUM('Assumptions - Freight'!$E46:T46))*(T$39+T$55+T$71+T$87+T$103+T$119),0),0)</f>
        <v>8.1349491183758147</v>
      </c>
      <c r="U256" s="88">
        <f>IF($E$256&lt;&gt;0,IF(U$16=1,($E$256/('Assumptions - Freight'!$E$56))*(U$32+U$48+U$64+U$80+U$96+U$112)+(SUM($E255:U255)/SUM('Assumptions - Freight'!$E46:U46))*(U$39+U$55+U$71+U$87+U$103+U$119),0),0)</f>
        <v>8.6478721148744118</v>
      </c>
      <c r="V256" s="88">
        <f>IF($E$256&lt;&gt;0,IF(V$16=1,($E$256/('Assumptions - Freight'!$E$56))*(V$32+V$48+V$64+V$80+V$96+V$112)+(SUM($E255:V255)/SUM('Assumptions - Freight'!$E46:V46))*(V$39+V$55+V$71+V$87+V$103+V$119),0),0)</f>
        <v>8.8098791301024324</v>
      </c>
      <c r="W256" s="88">
        <f>IF($E$256&lt;&gt;0,IF(W$16=1,($E$256/('Assumptions - Freight'!$E$56))*(W$32+W$48+W$64+W$80+W$96+W$112)+(SUM($E255:W255)/SUM('Assumptions - Freight'!$E46:W46))*(W$39+W$55+W$71+W$87+W$103+W$119),0),0)</f>
        <v>8.6399453563639064</v>
      </c>
      <c r="X256" s="88">
        <f>IF($E$256&lt;&gt;0,IF(X$16=1,($E$256/('Assumptions - Freight'!$E$56))*(X$32+X$48+X$64+X$80+X$96+X$112)+(SUM($E255:X255)/SUM('Assumptions - Freight'!$E46:X46))*(X$39+X$55+X$71+X$87+X$103+X$119),0),0)</f>
        <v>9.206709999965808</v>
      </c>
      <c r="Y256" s="88">
        <f>IF($E$256&lt;&gt;0,IF(Y$16=1,($E$256/('Assumptions - Freight'!$E$56))*(Y$32+Y$48+Y$64+Y$80+Y$96+Y$112)+(SUM($E255:Y255)/SUM('Assumptions - Freight'!$E46:Y46))*(Y$39+Y$55+Y$71+Y$87+Y$103+Y$119),0),0)</f>
        <v>9.7906344545065043</v>
      </c>
      <c r="Z256" s="88">
        <f>IF($E$256&lt;&gt;0,IF(Z$16=1,($E$256/('Assumptions - Freight'!$E$56))*(Z$32+Z$48+Z$64+Z$80+Z$96+Z$112)+(SUM($E255:Z255)/SUM('Assumptions - Freight'!$E46:Z46))*(Z$39+Z$55+Z$71+Z$87+Z$103+Z$119),0),0)</f>
        <v>10.292201200173249</v>
      </c>
      <c r="AA256" s="88">
        <f>IF($E$256&lt;&gt;0,IF(AA$16=1,($E$256/('Assumptions - Freight'!$E$56))*(AA$32+AA$48+AA$64+AA$80+AA$96+AA$112)+(SUM($E255:AA255)/SUM('Assumptions - Freight'!$E46:AA46))*(AA$39+AA$55+AA$71+AA$87+AA$103+AA$119),0),0)</f>
        <v>10.911912778364274</v>
      </c>
      <c r="AB256" s="88">
        <f>IF($E$256&lt;&gt;0,IF(AB$16=1,($E$256/('Assumptions - Freight'!$E$56))*(AB$32+AB$48+AB$64+AB$80+AB$96+AB$112)+(SUM($E255:AB255)/SUM('Assumptions - Freight'!$E46:AB46))*(AB$39+AB$55+AB$71+AB$87+AB$103+AB$119),0),0)</f>
        <v>11.550291172155207</v>
      </c>
      <c r="AC256" s="88">
        <f>IF($E$256&lt;&gt;0,IF(AC$16=1,($E$256/('Assumptions - Freight'!$E$56))*(AC$32+AC$48+AC$64+AC$80+AC$96+AC$112)+(SUM($E255:AC255)/SUM('Assumptions - Freight'!$E46:AC46))*(AC$39+AC$55+AC$71+AC$87+AC$103+AC$119),0),0)</f>
        <v>12.207877475809065</v>
      </c>
      <c r="AD256" s="88">
        <f>IF($E$256&lt;&gt;0,IF(AD$16=1,($E$256/('Assumptions - Freight'!$E$56))*(AD$32+AD$48+AD$64+AD$80+AD$96+AD$112)+(SUM($E255:AD255)/SUM('Assumptions - Freight'!$E46:AD46))*(AD$39+AD$55+AD$71+AD$87+AD$103+AD$119),0),0)</f>
        <v>12.885231774894047</v>
      </c>
      <c r="AE256" s="88">
        <f>IF($E$256&lt;&gt;0,IF(AE$16=1,($E$256/('Assumptions - Freight'!$E$56))*(AE$32+AE$48+AE$64+AE$80+AE$96+AE$112)+(SUM($E255:AE255)/SUM('Assumptions - Freight'!$E46:AE46))*(AE$39+AE$55+AE$71+AE$87+AE$103+AE$119),0),0)</f>
        <v>13.582933183373807</v>
      </c>
      <c r="AF256" s="88">
        <f>IF($E$256&lt;&gt;0,IF(AF$16=1,($E$256/('Assumptions - Freight'!$E$56))*(AF$32+AF$48+AF$64+AF$80+AF$96+AF$112)+(SUM($E255:AF255)/SUM('Assumptions - Freight'!$E46:AF46))*(AF$39+AF$55+AF$71+AF$87+AF$103+AF$119),0),0)</f>
        <v>14.301580000399996</v>
      </c>
      <c r="AG256" s="88">
        <f>IF($E$256&lt;&gt;0,IF(AG$16=1,($E$256/('Assumptions - Freight'!$E$56))*(AG$32+AG$48+AG$64+AG$80+AG$96+AG$112)+(SUM($E255:AG255)/SUM('Assumptions - Freight'!$E46:AG46))*(AG$39+AG$55+AG$71+AG$87+AG$103+AG$119),0),0)</f>
        <v>15.041789960540127</v>
      </c>
      <c r="AH256" s="88">
        <f>IF($E$256&lt;&gt;0,IF(AH$16=1,($E$256/('Assumptions - Freight'!$E$56))*(AH$32+AH$48+AH$64+AH$80+AH$96+AH$112)+(SUM($E255:AH255)/SUM('Assumptions - Freight'!$E46:AH46))*(AH$39+AH$55+AH$71+AH$87+AH$103+AH$119),0),0)</f>
        <v>15.804200558700584</v>
      </c>
    </row>
    <row r="257" spans="1:34" s="20" customFormat="1" ht="14" x14ac:dyDescent="0.2">
      <c r="A257" s="8"/>
      <c r="B257" s="8"/>
      <c r="C257" s="8"/>
      <c r="D257" s="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row>
    <row r="258" spans="1:34" x14ac:dyDescent="0.2">
      <c r="A258" s="320"/>
      <c r="B258" s="319" t="str">
        <f>"Operating costs of " &amp;'Assumptions - General'!E24</f>
        <v>Operating costs of Ruritania Freight Rail Company</v>
      </c>
      <c r="C258" s="320"/>
      <c r="D258" s="320"/>
      <c r="E258" s="320"/>
      <c r="F258" s="320"/>
      <c r="G258" s="320"/>
      <c r="H258" s="320"/>
      <c r="I258" s="320"/>
      <c r="J258" s="320"/>
      <c r="K258" s="320"/>
      <c r="L258" s="320"/>
      <c r="M258" s="320"/>
      <c r="N258" s="320"/>
      <c r="O258" s="320"/>
      <c r="P258" s="320"/>
      <c r="Q258" s="320"/>
      <c r="R258" s="320"/>
      <c r="S258" s="320"/>
      <c r="T258" s="320"/>
      <c r="U258" s="320"/>
      <c r="V258" s="320"/>
      <c r="W258" s="320"/>
      <c r="X258" s="320"/>
      <c r="Y258" s="320"/>
      <c r="Z258" s="320"/>
      <c r="AA258" s="320"/>
      <c r="AB258" s="320"/>
      <c r="AC258" s="320"/>
      <c r="AD258" s="320"/>
      <c r="AE258" s="320"/>
      <c r="AF258" s="320"/>
      <c r="AG258" s="320"/>
      <c r="AH258" s="320"/>
    </row>
    <row r="259" spans="1:34" s="20" customFormat="1" ht="14" x14ac:dyDescent="0.2">
      <c r="A259" s="8"/>
      <c r="B259" s="7"/>
      <c r="C259" s="8"/>
      <c r="D259" s="8"/>
      <c r="E259" s="9"/>
      <c r="F259" s="28"/>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9"/>
      <c r="AH259" s="9"/>
    </row>
    <row r="260" spans="1:34" s="20" customFormat="1" ht="14" x14ac:dyDescent="0.2">
      <c r="B260" s="20" t="s">
        <v>44</v>
      </c>
      <c r="D260" s="20" t="str">
        <f>'Assumptions - General'!$E$27 &amp;" millions"</f>
        <v>R$ millions</v>
      </c>
      <c r="E260" s="463">
        <f>IF(E$16=1,IF('Assumptions - Freight'!$D$297=1,'Assumptions - Freight'!$D$298*'Assumptions - Freight'!E302,'Assumptions - Freight'!E302),0)</f>
        <v>1000</v>
      </c>
      <c r="F260" s="38">
        <f>IF(AND(F$16=1,'Assumptions - Freight'!$E$302&gt;0),'Assumptions - Freight'!F305*'Assumptions - Freight'!F308/1000000,0)</f>
        <v>1030.0000000000002</v>
      </c>
      <c r="G260" s="38">
        <f>IF(AND(G$16=1,'Assumptions - Freight'!$E$302&gt;0),'Assumptions - Freight'!G305*'Assumptions - Freight'!G308/1000000,0)</f>
        <v>1060.9000000000001</v>
      </c>
      <c r="H260" s="38">
        <f>IF(AND(H$16=1,'Assumptions - Freight'!$E$302&gt;0),'Assumptions - Freight'!H305*'Assumptions - Freight'!H308/1000000,0)</f>
        <v>1311.2724000000003</v>
      </c>
      <c r="I260" s="38">
        <f>IF(AND(I$16=1,'Assumptions - Freight'!$E$302&gt;0),'Assumptions - Freight'!I305*'Assumptions - Freight'!I308/1000000,0)</f>
        <v>1500.6784133333335</v>
      </c>
      <c r="J260" s="38">
        <f>IF(AND(J$16=1,'Assumptions - Freight'!$E$302&gt;0),'Assumptions - Freight'!J305*'Assumptions - Freight'!J308/1000000,0)</f>
        <v>1545.6987657333334</v>
      </c>
      <c r="K260" s="38">
        <f>IF(AND(K$16=1,'Assumptions - Freight'!$E$302&gt;0),'Assumptions - Freight'!K305*'Assumptions - Freight'!K308/1000000,0)</f>
        <v>1592.0697287053335</v>
      </c>
      <c r="L260" s="38">
        <f>IF(AND(L$16=1,'Assumptions - Freight'!$E$302&gt;0),'Assumptions - Freight'!L305*'Assumptions - Freight'!L308/1000000,0)</f>
        <v>1639.8318205664934</v>
      </c>
      <c r="M260" s="38">
        <f>IF(AND(M$16=1,'Assumptions - Freight'!$E$302&gt;0),'Assumptions - Freight'!M305*'Assumptions - Freight'!M308/1000000,0)</f>
        <v>1689.0267751834886</v>
      </c>
      <c r="N260" s="38">
        <f>IF(AND(N$16=1,'Assumptions - Freight'!$E$302&gt;0),'Assumptions - Freight'!N305*'Assumptions - Freight'!N308/1000000,0)</f>
        <v>1739.6975784389929</v>
      </c>
      <c r="O260" s="38">
        <f>IF(AND(O$16=1,'Assumptions - Freight'!$E$302&gt;0),'Assumptions - Freight'!O305*'Assumptions - Freight'!O308/1000000,0)</f>
        <v>1791.888505792163</v>
      </c>
      <c r="P260" s="38">
        <f>IF(AND(P$16=1,'Assumptions - Freight'!$E$302&gt;0),'Assumptions - Freight'!P305*'Assumptions - Freight'!P308/1000000,0)</f>
        <v>1845.6451609659277</v>
      </c>
      <c r="Q260" s="38">
        <f>IF(AND(Q$16=1,'Assumptions - Freight'!$E$302&gt;0),'Assumptions - Freight'!Q305*'Assumptions - Freight'!Q308/1000000,0)</f>
        <v>1901.0145157949059</v>
      </c>
      <c r="R260" s="38">
        <f>IF(AND(R$16=1,'Assumptions - Freight'!$E$302&gt;0),'Assumptions - Freight'!R305*'Assumptions - Freight'!R308/1000000,0)</f>
        <v>1958.0449512687533</v>
      </c>
      <c r="S260" s="38">
        <f>IF(AND(S$16=1,'Assumptions - Freight'!$E$302&gt;0),'Assumptions - Freight'!S305*'Assumptions - Freight'!S308/1000000,0)</f>
        <v>2016.7862998068158</v>
      </c>
      <c r="T260" s="38">
        <f>IF(AND(T$16=1,'Assumptions - Freight'!$E$302&gt;0),'Assumptions - Freight'!T305*'Assumptions - Freight'!T308/1000000,0)</f>
        <v>2077.2898888010204</v>
      </c>
      <c r="U260" s="38">
        <f>IF(AND(U$16=1,'Assumptions - Freight'!$E$302&gt;0),'Assumptions - Freight'!U305*'Assumptions - Freight'!U308/1000000,0)</f>
        <v>2139.608585465051</v>
      </c>
      <c r="V260" s="38">
        <f>IF(AND(V$16=1,'Assumptions - Freight'!$E$302&gt;0),'Assumptions - Freight'!V305*'Assumptions - Freight'!V308/1000000,0)</f>
        <v>2203.7968430290025</v>
      </c>
      <c r="W260" s="38">
        <f>IF(AND(W$16=1,'Assumptions - Freight'!$E$302&gt;0),'Assumptions - Freight'!W305*'Assumptions - Freight'!W308/1000000,0)</f>
        <v>2269.9107483198727</v>
      </c>
      <c r="X260" s="38">
        <f>IF(AND(X$16=1,'Assumptions - Freight'!$E$302&gt;0),'Assumptions - Freight'!X305*'Assumptions - Freight'!X308/1000000,0)</f>
        <v>2338.0080707694688</v>
      </c>
      <c r="Y260" s="38">
        <f>IF(AND(Y$16=1,'Assumptions - Freight'!$E$302&gt;0),'Assumptions - Freight'!Y305*'Assumptions - Freight'!Y308/1000000,0)</f>
        <v>2408.1483128925529</v>
      </c>
      <c r="Z260" s="38">
        <f>IF(AND(Z$16=1,'Assumptions - Freight'!$E$302&gt;0),'Assumptions - Freight'!Z305*'Assumptions - Freight'!Z308/1000000,0)</f>
        <v>2480.3927622793294</v>
      </c>
      <c r="AA260" s="38">
        <f>IF(AND(AA$16=1,'Assumptions - Freight'!$E$302&gt;0),'Assumptions - Freight'!AA305*'Assumptions - Freight'!AA308/1000000,0)</f>
        <v>2554.8045451477092</v>
      </c>
      <c r="AB260" s="38">
        <f>IF(AND(AB$16=1,'Assumptions - Freight'!$E$302&gt;0),'Assumptions - Freight'!AB305*'Assumptions - Freight'!AB308/1000000,0)</f>
        <v>2631.448681502141</v>
      </c>
      <c r="AC260" s="38">
        <f>IF(AND(AC$16=1,'Assumptions - Freight'!$E$302&gt;0),'Assumptions - Freight'!AC305*'Assumptions - Freight'!AC308/1000000,0)</f>
        <v>2710.3921419472049</v>
      </c>
      <c r="AD260" s="38">
        <f>IF(AND(AD$16=1,'Assumptions - Freight'!$E$302&gt;0),'Assumptions - Freight'!AD305*'Assumptions - Freight'!AD308/1000000,0)</f>
        <v>2791.703906205621</v>
      </c>
      <c r="AE260" s="38">
        <f>IF(AND(AE$16=1,'Assumptions - Freight'!$E$302&gt;0),'Assumptions - Freight'!AE305*'Assumptions - Freight'!AE308/1000000,0)</f>
        <v>2875.4550233917898</v>
      </c>
      <c r="AF260" s="38">
        <f>IF(AND(AF$16=1,'Assumptions - Freight'!$E$302&gt;0),'Assumptions - Freight'!AF305*'Assumptions - Freight'!AF308/1000000,0)</f>
        <v>2961.7186740935435</v>
      </c>
      <c r="AG260" s="38">
        <f>IF(AND(AG$16=1,'Assumptions - Freight'!$E$302&gt;0),'Assumptions - Freight'!AG305*'Assumptions - Freight'!AG308/1000000,0)</f>
        <v>3050.5702343163498</v>
      </c>
      <c r="AH260" s="38">
        <f>IF(AND(AH$16=1,'Assumptions - Freight'!$E$302&gt;0),'Assumptions - Freight'!AH305*'Assumptions - Freight'!AH308/1000000,0)</f>
        <v>3142.0873413458403</v>
      </c>
    </row>
    <row r="261" spans="1:34" s="20" customFormat="1" ht="14" x14ac:dyDescent="0.2">
      <c r="A261" s="8"/>
      <c r="B261" s="30" t="s">
        <v>297</v>
      </c>
      <c r="C261" s="8"/>
      <c r="D261" s="8" t="s">
        <v>15</v>
      </c>
      <c r="E261" s="128" t="str">
        <f t="shared" ref="E261:AH261" si="79">IF(AND(($E$4+SUM($F$16:$AH$16))=E$4,$E$260&gt;0),(E260/$E260)^(1/SUM($F$16:$AH$16))-1," ")</f>
        <v xml:space="preserve"> </v>
      </c>
      <c r="F261" s="128" t="str">
        <f t="shared" si="79"/>
        <v xml:space="preserve"> </v>
      </c>
      <c r="G261" s="128" t="str">
        <f t="shared" si="79"/>
        <v xml:space="preserve"> </v>
      </c>
      <c r="H261" s="128" t="str">
        <f t="shared" si="79"/>
        <v xml:space="preserve"> </v>
      </c>
      <c r="I261" s="128" t="str">
        <f t="shared" si="79"/>
        <v xml:space="preserve"> </v>
      </c>
      <c r="J261" s="128" t="str">
        <f t="shared" si="79"/>
        <v xml:space="preserve"> </v>
      </c>
      <c r="K261" s="128" t="str">
        <f t="shared" si="79"/>
        <v xml:space="preserve"> </v>
      </c>
      <c r="L261" s="128" t="str">
        <f t="shared" si="79"/>
        <v xml:space="preserve"> </v>
      </c>
      <c r="M261" s="128" t="str">
        <f t="shared" si="79"/>
        <v xml:space="preserve"> </v>
      </c>
      <c r="N261" s="128" t="str">
        <f t="shared" si="79"/>
        <v xml:space="preserve"> </v>
      </c>
      <c r="O261" s="128" t="str">
        <f t="shared" si="79"/>
        <v xml:space="preserve"> </v>
      </c>
      <c r="P261" s="128" t="str">
        <f t="shared" si="79"/>
        <v xml:space="preserve"> </v>
      </c>
      <c r="Q261" s="128" t="str">
        <f t="shared" si="79"/>
        <v xml:space="preserve"> </v>
      </c>
      <c r="R261" s="128" t="str">
        <f t="shared" si="79"/>
        <v xml:space="preserve"> </v>
      </c>
      <c r="S261" s="128" t="str">
        <f t="shared" si="79"/>
        <v xml:space="preserve"> </v>
      </c>
      <c r="T261" s="128" t="str">
        <f t="shared" si="79"/>
        <v xml:space="preserve"> </v>
      </c>
      <c r="U261" s="128" t="str">
        <f t="shared" si="79"/>
        <v xml:space="preserve"> </v>
      </c>
      <c r="V261" s="128" t="str">
        <f t="shared" si="79"/>
        <v xml:space="preserve"> </v>
      </c>
      <c r="W261" s="128" t="str">
        <f t="shared" si="79"/>
        <v xml:space="preserve"> </v>
      </c>
      <c r="X261" s="128" t="str">
        <f t="shared" si="79"/>
        <v xml:space="preserve"> </v>
      </c>
      <c r="Y261" s="128" t="str">
        <f t="shared" si="79"/>
        <v xml:space="preserve"> </v>
      </c>
      <c r="Z261" s="128" t="str">
        <f t="shared" si="79"/>
        <v xml:space="preserve"> </v>
      </c>
      <c r="AA261" s="128" t="str">
        <f t="shared" si="79"/>
        <v xml:space="preserve"> </v>
      </c>
      <c r="AB261" s="128" t="str">
        <f t="shared" si="79"/>
        <v xml:space="preserve"> </v>
      </c>
      <c r="AC261" s="128" t="str">
        <f t="shared" si="79"/>
        <v xml:space="preserve"> </v>
      </c>
      <c r="AD261" s="128" t="str">
        <f t="shared" si="79"/>
        <v xml:space="preserve"> </v>
      </c>
      <c r="AE261" s="128" t="str">
        <f t="shared" si="79"/>
        <v xml:space="preserve"> </v>
      </c>
      <c r="AF261" s="128" t="str">
        <f t="shared" si="79"/>
        <v xml:space="preserve"> </v>
      </c>
      <c r="AG261" s="128" t="str">
        <f t="shared" si="79"/>
        <v xml:space="preserve"> </v>
      </c>
      <c r="AH261" s="128">
        <f t="shared" si="79"/>
        <v>4.0268521633557652E-2</v>
      </c>
    </row>
    <row r="262" spans="1:34" s="20" customFormat="1" ht="14" x14ac:dyDescent="0.2">
      <c r="B262" s="20" t="s">
        <v>45</v>
      </c>
      <c r="D262" s="20" t="str">
        <f>'Assumptions - General'!$E$27 &amp;" millions"</f>
        <v>R$ millions</v>
      </c>
      <c r="E262" s="463">
        <f>IF(E$16=1,IF($D$128=1,$D$129*'Assumptions - Freight'!$E$312,'Assumptions - Freight'!$E$312),0)</f>
        <v>500</v>
      </c>
      <c r="F262" s="38">
        <f>IF(AND(F$16=1,'Assumptions - Freight'!$E$312&gt;0),((E262*(1+((SUM(F$167:F$176))/(SUM(E$167:E$176))-1)*'Assumptions - Freight'!$E$314))*('Assumptions - Freight'!F317/'Assumptions - Freight'!E317)),0)</f>
        <v>502.43902439024396</v>
      </c>
      <c r="G262" s="38">
        <f>IF(AND(G$16=1,'Assumptions - Freight'!$E$312&gt;0),((F262*(1+((SUM(G$167:G$176))/(SUM(F$167:F$176))-1)*'Assumptions - Freight'!$E$314))*('Assumptions - Freight'!G317/'Assumptions - Freight'!F317)),0)</f>
        <v>517.51219512195132</v>
      </c>
      <c r="H262" s="38">
        <f>IF(AND(H$16=1,'Assumptions - Freight'!$E$312&gt;0),((G262*(1+((SUM(H$167:H$176))/(SUM(G$167:G$176))-1)*'Assumptions - Freight'!$E$314))*('Assumptions - Freight'!H317/'Assumptions - Freight'!G317)),0)</f>
        <v>533.03756097560984</v>
      </c>
      <c r="I262" s="38">
        <f>IF(AND(I$16=1,'Assumptions - Freight'!$E$312&gt;0),((H262*(1+((SUM(I$167:I$176))/(SUM(H$167:H$176))-1)*'Assumptions - Freight'!$E$314))*('Assumptions - Freight'!I317/'Assumptions - Freight'!H317)),0)</f>
        <v>549.02868780487813</v>
      </c>
      <c r="J262" s="38">
        <f>IF(AND(J$16=1,'Assumptions - Freight'!$E$312&gt;0),((I262*(1+((SUM(J$167:J$176))/(SUM(I$167:I$176))-1)*'Assumptions - Freight'!$E$314))*('Assumptions - Freight'!J317/'Assumptions - Freight'!I317)),0)</f>
        <v>565.49954843902447</v>
      </c>
      <c r="K262" s="38">
        <f>IF(AND(K$16=1,'Assumptions - Freight'!$E$312&gt;0),((J262*(1+((SUM(K$167:K$176))/(SUM(J$167:J$176))-1)*'Assumptions - Freight'!$E$314))*('Assumptions - Freight'!K317/'Assumptions - Freight'!J317)),0)</f>
        <v>655.27260175371953</v>
      </c>
      <c r="L262" s="38">
        <f>IF(AND(L$16=1,'Assumptions - Freight'!$E$312&gt;0),((K262*(1+((SUM(L$167:L$176))/(SUM(K$167:K$176))-1)*'Assumptions - Freight'!$E$314))*('Assumptions - Freight'!L317/'Assumptions - Freight'!K317)),0)</f>
        <v>674.93077980633109</v>
      </c>
      <c r="M262" s="38">
        <f>IF(AND(M$16=1,'Assumptions - Freight'!$E$312&gt;0),((L262*(1+((SUM(M$167:M$176))/(SUM(L$167:L$176))-1)*'Assumptions - Freight'!$E$314))*('Assumptions - Freight'!M317/'Assumptions - Freight'!L317)),0)</f>
        <v>695.178703200521</v>
      </c>
      <c r="N262" s="38">
        <f>IF(AND(N$16=1,'Assumptions - Freight'!$E$312&gt;0),((M262*(1+((SUM(N$167:N$176))/(SUM(M$167:M$176))-1)*'Assumptions - Freight'!$E$314))*('Assumptions - Freight'!N317/'Assumptions - Freight'!M317)),0)</f>
        <v>716.0340642965366</v>
      </c>
      <c r="O262" s="38">
        <f>IF(AND(O$16=1,'Assumptions - Freight'!$E$312&gt;0),((N262*(1+((SUM(O$167:O$176))/(SUM(N$167:N$176))-1)*'Assumptions - Freight'!$E$314))*('Assumptions - Freight'!O317/'Assumptions - Freight'!N317)),0)</f>
        <v>737.5150862254327</v>
      </c>
      <c r="P262" s="38">
        <f>IF(AND(P$16=1,'Assumptions - Freight'!$E$312&gt;0),((O262*(1+((SUM(P$167:P$176))/(SUM(O$167:O$176))-1)*'Assumptions - Freight'!$E$314))*('Assumptions - Freight'!P317/'Assumptions - Freight'!O317)),0)</f>
        <v>759.6405388121957</v>
      </c>
      <c r="Q262" s="38">
        <f>IF(AND(Q$16=1,'Assumptions - Freight'!$E$312&gt;0),((P262*(1+((SUM(Q$167:Q$176))/(SUM(P$167:P$176))-1)*'Assumptions - Freight'!$E$314))*('Assumptions - Freight'!Q317/'Assumptions - Freight'!P317)),0)</f>
        <v>782.42975497656164</v>
      </c>
      <c r="R262" s="38">
        <f>IF(AND(R$16=1,'Assumptions - Freight'!$E$312&gt;0),((Q262*(1+((SUM(R$167:R$176))/(SUM(Q$167:Q$176))-1)*'Assumptions - Freight'!$E$314))*('Assumptions - Freight'!R317/'Assumptions - Freight'!Q317)),0)</f>
        <v>805.90264762585855</v>
      </c>
      <c r="S262" s="38">
        <f>IF(AND(S$16=1,'Assumptions - Freight'!$E$312&gt;0),((R262*(1+((SUM(S$167:S$176))/(SUM(R$167:R$176))-1)*'Assumptions - Freight'!$E$314))*('Assumptions - Freight'!S317/'Assumptions - Freight'!R317)),0)</f>
        <v>830.0797270546343</v>
      </c>
      <c r="T262" s="38">
        <f>IF(AND(T$16=1,'Assumptions - Freight'!$E$312&gt;0),((S262*(1+((SUM(T$167:T$176))/(SUM(S$167:S$176))-1)*'Assumptions - Freight'!$E$314))*('Assumptions - Freight'!T317/'Assumptions - Freight'!S317)),0)</f>
        <v>854.98211886627337</v>
      </c>
      <c r="U262" s="38">
        <f>IF(AND(U$16=1,'Assumptions - Freight'!$E$312&gt;0),((T262*(1+((SUM(U$167:U$176))/(SUM(T$167:T$176))-1)*'Assumptions - Freight'!$E$314))*('Assumptions - Freight'!U317/'Assumptions - Freight'!T317)),0)</f>
        <v>880.63158243226155</v>
      </c>
      <c r="V262" s="38">
        <f>IF(AND(V$16=1,'Assumptions - Freight'!$E$312&gt;0),((U262*(1+((SUM(V$167:V$176))/(SUM(U$167:U$176))-1)*'Assumptions - Freight'!$E$314))*('Assumptions - Freight'!V317/'Assumptions - Freight'!U317)),0)</f>
        <v>907.05052990522938</v>
      </c>
      <c r="W262" s="38">
        <f>IF(AND(W$16=1,'Assumptions - Freight'!$E$312&gt;0),((V262*(1+((SUM(W$167:W$176))/(SUM(V$167:V$176))-1)*'Assumptions - Freight'!$E$314))*('Assumptions - Freight'!W317/'Assumptions - Freight'!V317)),0)</f>
        <v>934.2620458023863</v>
      </c>
      <c r="X262" s="38">
        <f>IF(AND(X$16=1,'Assumptions - Freight'!$E$312&gt;0),((W262*(1+((SUM(X$167:X$176))/(SUM(W$167:W$176))-1)*'Assumptions - Freight'!$E$314))*('Assumptions - Freight'!X317/'Assumptions - Freight'!W317)),0)</f>
        <v>962.28990717645786</v>
      </c>
      <c r="Y262" s="38">
        <f>IF(AND(Y$16=1,'Assumptions - Freight'!$E$312&gt;0),((X262*(1+((SUM(Y$167:Y$176))/(SUM(X$167:X$176))-1)*'Assumptions - Freight'!$E$314))*('Assumptions - Freight'!Y317/'Assumptions - Freight'!X317)),0)</f>
        <v>991.15860439175162</v>
      </c>
      <c r="Z262" s="38">
        <f>IF(AND(Z$16=1,'Assumptions - Freight'!$E$312&gt;0),((Y262*(1+((SUM(Z$167:Z$176))/(SUM(Y$167:Y$176))-1)*'Assumptions - Freight'!$E$314))*('Assumptions - Freight'!Z317/'Assumptions - Freight'!Y317)),0)</f>
        <v>1020.8933625235042</v>
      </c>
      <c r="AA262" s="38">
        <f>IF(AND(AA$16=1,'Assumptions - Freight'!$E$312&gt;0),((Z262*(1+((SUM(AA$167:AA$176))/(SUM(Z$167:Z$176))-1)*'Assumptions - Freight'!$E$314))*('Assumptions - Freight'!AA317/'Assumptions - Freight'!Z317)),0)</f>
        <v>1051.5201633992092</v>
      </c>
      <c r="AB262" s="38">
        <f>IF(AND(AB$16=1,'Assumptions - Freight'!$E$312&gt;0),((AA262*(1+((SUM(AB$167:AB$176))/(SUM(AA$167:AA$176))-1)*'Assumptions - Freight'!$E$314))*('Assumptions - Freight'!AB317/'Assumptions - Freight'!AA317)),0)</f>
        <v>1083.0657683011855</v>
      </c>
      <c r="AC262" s="38">
        <f>IF(AND(AC$16=1,'Assumptions - Freight'!$E$312&gt;0),((AB262*(1+((SUM(AC$167:AC$176))/(SUM(AB$167:AB$176))-1)*'Assumptions - Freight'!$E$314))*('Assumptions - Freight'!AC317/'Assumptions - Freight'!AB317)),0)</f>
        <v>1115.557741350221</v>
      </c>
      <c r="AD262" s="38">
        <f>IF(AND(AD$16=1,'Assumptions - Freight'!$E$312&gt;0),((AC262*(1+((SUM(AD$167:AD$176))/(SUM(AC$167:AC$176))-1)*'Assumptions - Freight'!$E$314))*('Assumptions - Freight'!AD317/'Assumptions - Freight'!AC317)),0)</f>
        <v>1149.0244735907277</v>
      </c>
      <c r="AE262" s="38">
        <f>IF(AND(AE$16=1,'Assumptions - Freight'!$E$312&gt;0),((AD262*(1+((SUM(AE$167:AE$176))/(SUM(AD$167:AD$176))-1)*'Assumptions - Freight'!$E$314))*('Assumptions - Freight'!AE317/'Assumptions - Freight'!AD317)),0)</f>
        <v>1183.4952077984494</v>
      </c>
      <c r="AF262" s="38">
        <f>IF(AND(AF$16=1,'Assumptions - Freight'!$E$312&gt;0),((AE262*(1+((SUM(AF$167:AF$176))/(SUM(AE$167:AE$176))-1)*'Assumptions - Freight'!$E$314))*('Assumptions - Freight'!AF317/'Assumptions - Freight'!AE317)),0)</f>
        <v>1219.0000640324029</v>
      </c>
      <c r="AG262" s="38">
        <f>IF(AND(AG$16=1,'Assumptions - Freight'!$E$312&gt;0),((AF262*(1+((SUM(AG$167:AG$176))/(SUM(AF$167:AF$176))-1)*'Assumptions - Freight'!$E$314))*('Assumptions - Freight'!AG317/'Assumptions - Freight'!AF317)),0)</f>
        <v>1255.570065953375</v>
      </c>
      <c r="AH262" s="38">
        <f>IF(AND(AH$16=1,'Assumptions - Freight'!$E$312&gt;0),((AG262*(1+((SUM(AH$167:AH$176))/(SUM(AG$167:AG$176))-1)*'Assumptions - Freight'!$E$314))*('Assumptions - Freight'!AH317/'Assumptions - Freight'!AG317)),0)</f>
        <v>1293.2371679319763</v>
      </c>
    </row>
    <row r="263" spans="1:34" s="20" customFormat="1" ht="14" x14ac:dyDescent="0.2">
      <c r="A263" s="8"/>
      <c r="B263" s="30" t="s">
        <v>297</v>
      </c>
      <c r="C263" s="8"/>
      <c r="D263" s="8" t="s">
        <v>15</v>
      </c>
      <c r="E263" s="128" t="str">
        <f t="shared" ref="E263:AH263" si="80">IF(AND(($E$4+SUM($F$16:$AH$16))=E$4,$E$262&gt;0),(E262/$E262)^(1/SUM($F$16:$AH$16))-1," ")</f>
        <v xml:space="preserve"> </v>
      </c>
      <c r="F263" s="128" t="str">
        <f t="shared" si="80"/>
        <v xml:space="preserve"> </v>
      </c>
      <c r="G263" s="128" t="str">
        <f t="shared" si="80"/>
        <v xml:space="preserve"> </v>
      </c>
      <c r="H263" s="128" t="str">
        <f t="shared" si="80"/>
        <v xml:space="preserve"> </v>
      </c>
      <c r="I263" s="128" t="str">
        <f t="shared" si="80"/>
        <v xml:space="preserve"> </v>
      </c>
      <c r="J263" s="128" t="str">
        <f t="shared" si="80"/>
        <v xml:space="preserve"> </v>
      </c>
      <c r="K263" s="128" t="str">
        <f t="shared" si="80"/>
        <v xml:space="preserve"> </v>
      </c>
      <c r="L263" s="128" t="str">
        <f t="shared" si="80"/>
        <v xml:space="preserve"> </v>
      </c>
      <c r="M263" s="128" t="str">
        <f t="shared" si="80"/>
        <v xml:space="preserve"> </v>
      </c>
      <c r="N263" s="128" t="str">
        <f t="shared" si="80"/>
        <v xml:space="preserve"> </v>
      </c>
      <c r="O263" s="128" t="str">
        <f t="shared" si="80"/>
        <v xml:space="preserve"> </v>
      </c>
      <c r="P263" s="128" t="str">
        <f t="shared" si="80"/>
        <v xml:space="preserve"> </v>
      </c>
      <c r="Q263" s="128" t="str">
        <f t="shared" si="80"/>
        <v xml:space="preserve"> </v>
      </c>
      <c r="R263" s="128" t="str">
        <f t="shared" si="80"/>
        <v xml:space="preserve"> </v>
      </c>
      <c r="S263" s="128" t="str">
        <f t="shared" si="80"/>
        <v xml:space="preserve"> </v>
      </c>
      <c r="T263" s="128" t="str">
        <f t="shared" si="80"/>
        <v xml:space="preserve"> </v>
      </c>
      <c r="U263" s="128" t="str">
        <f t="shared" si="80"/>
        <v xml:space="preserve"> </v>
      </c>
      <c r="V263" s="128" t="str">
        <f t="shared" si="80"/>
        <v xml:space="preserve"> </v>
      </c>
      <c r="W263" s="128" t="str">
        <f t="shared" si="80"/>
        <v xml:space="preserve"> </v>
      </c>
      <c r="X263" s="128" t="str">
        <f t="shared" si="80"/>
        <v xml:space="preserve"> </v>
      </c>
      <c r="Y263" s="128" t="str">
        <f t="shared" si="80"/>
        <v xml:space="preserve"> </v>
      </c>
      <c r="Z263" s="128" t="str">
        <f t="shared" si="80"/>
        <v xml:space="preserve"> </v>
      </c>
      <c r="AA263" s="128" t="str">
        <f t="shared" si="80"/>
        <v xml:space="preserve"> </v>
      </c>
      <c r="AB263" s="128" t="str">
        <f t="shared" si="80"/>
        <v xml:space="preserve"> </v>
      </c>
      <c r="AC263" s="128" t="str">
        <f t="shared" si="80"/>
        <v xml:space="preserve"> </v>
      </c>
      <c r="AD263" s="128" t="str">
        <f t="shared" si="80"/>
        <v xml:space="preserve"> </v>
      </c>
      <c r="AE263" s="128" t="str">
        <f t="shared" si="80"/>
        <v xml:space="preserve"> </v>
      </c>
      <c r="AF263" s="128" t="str">
        <f t="shared" si="80"/>
        <v xml:space="preserve"> </v>
      </c>
      <c r="AG263" s="128" t="str">
        <f t="shared" si="80"/>
        <v xml:space="preserve"> </v>
      </c>
      <c r="AH263" s="128">
        <f t="shared" si="80"/>
        <v>3.3311627368582952E-2</v>
      </c>
    </row>
    <row r="264" spans="1:34" s="20" customFormat="1" ht="14" x14ac:dyDescent="0.2">
      <c r="A264" s="8"/>
      <c r="B264" s="8" t="s">
        <v>46</v>
      </c>
      <c r="C264" s="8"/>
      <c r="D264" s="8" t="str">
        <f>'Assumptions - General'!$E$27 &amp;" millions"</f>
        <v>R$ millions</v>
      </c>
      <c r="E264" s="463">
        <f>IF(E$16=1,IF($D$128=1,$D$129*'Assumptions - Freight'!E321,'Assumptions - Freight'!E321),0)</f>
        <v>500</v>
      </c>
      <c r="F264" s="12">
        <f>IF(AND(F$16=1,'Assumptions - Freight'!$E$321&gt;0),IF('Assumptions - Freight'!F18&gt;0,((E264*(1+((SUM(F$179:F$188))/(SUM(E$179:E$188))-1)*'Assumptions - Freight'!$E$323))*('Assumptions - Freight'!F326/'Assumptions - Freight'!E326)),0),0)</f>
        <v>492.39024390243901</v>
      </c>
      <c r="G264" s="12">
        <f>IF(AND(G$16=1,'Assumptions - Freight'!$E$321&gt;0),IF('Assumptions - Freight'!G18&gt;0,((F264*(1+((SUM(G$179:G$188))/(SUM(F$179:F$188))-1)*'Assumptions - Freight'!$E$323))*('Assumptions - Freight'!G326/'Assumptions - Freight'!F326)),0),0)</f>
        <v>496.81170731707311</v>
      </c>
      <c r="H264" s="12">
        <f>IF(AND(H$16=1,'Assumptions - Freight'!$E$321&gt;0),IF('Assumptions - Freight'!H18&gt;0,((G264*(1+((SUM(H$179:H$188))/(SUM(G$179:G$188))-1)*'Assumptions - Freight'!$E$323))*('Assumptions - Freight'!H326/'Assumptions - Freight'!G326)),0),0)</f>
        <v>501.05530731707313</v>
      </c>
      <c r="I264" s="12">
        <f>IF(AND(I$16=1,'Assumptions - Freight'!$E$321&gt;0),IF('Assumptions - Freight'!I18&gt;0,((H264*(1+((SUM(I$179:I$188))/(SUM(H$179:H$188))-1)*'Assumptions - Freight'!$E$323))*('Assumptions - Freight'!I326/'Assumptions - Freight'!H326)),0),0)</f>
        <v>505.10639278048774</v>
      </c>
      <c r="J264" s="12">
        <f>IF(AND(J$16=1,'Assumptions - Freight'!$E$321&gt;0),IF('Assumptions - Freight'!J18&gt;0,((I264*(1+((SUM(J$179:J$188))/(SUM(I$179:I$188))-1)*'Assumptions - Freight'!$E$323))*('Assumptions - Freight'!J326/'Assumptions - Freight'!I326)),0),0)</f>
        <v>508.94959359512205</v>
      </c>
      <c r="K264" s="12">
        <f>IF(AND(K$16=1,'Assumptions - Freight'!$E$321&gt;0),IF('Assumptions - Freight'!K18&gt;0,((J264*(1+((SUM(K$179:K$188))/(SUM(J$179:J$188))-1)*'Assumptions - Freight'!$E$323))*('Assumptions - Freight'!K326/'Assumptions - Freight'!J326)),0),0)</f>
        <v>576.63988954327328</v>
      </c>
      <c r="L264" s="12">
        <f>IF(AND(L$16=1,'Assumptions - Freight'!$E$321&gt;0),IF('Assumptions - Freight'!L18&gt;0,((K264*(1+((SUM(L$179:L$188))/(SUM(K$179:K$188))-1)*'Assumptions - Freight'!$E$323))*('Assumptions - Freight'!L326/'Assumptions - Freight'!K326)),0),0)</f>
        <v>580.44047063344465</v>
      </c>
      <c r="M264" s="12">
        <f>IF(AND(M$16=1,'Assumptions - Freight'!$E$321&gt;0),IF('Assumptions - Freight'!M18&gt;0,((L264*(1+((SUM(M$179:M$188))/(SUM(L$179:L$188))-1)*'Assumptions - Freight'!$E$323))*('Assumptions - Freight'!M326/'Assumptions - Freight'!L326)),0),0)</f>
        <v>583.95011068843769</v>
      </c>
      <c r="N264" s="12">
        <f>IF(AND(N$16=1,'Assumptions - Freight'!$E$321&gt;0),IF('Assumptions - Freight'!N18&gt;0,((M264*(1+((SUM(N$179:N$188))/(SUM(M$179:M$188))-1)*'Assumptions - Freight'!$E$323))*('Assumptions - Freight'!N326/'Assumptions - Freight'!M326)),0),0)</f>
        <v>587.14793272316012</v>
      </c>
      <c r="O264" s="12">
        <f>IF(AND(O$16=1,'Assumptions - Freight'!$E$321&gt;0),IF('Assumptions - Freight'!O18&gt;0,((N264*(1+((SUM(O$179:O$188))/(SUM(N$179:N$188))-1)*'Assumptions - Freight'!$E$323))*('Assumptions - Freight'!O326/'Assumptions - Freight'!N326)),0),0)</f>
        <v>590.01206898034627</v>
      </c>
      <c r="P264" s="12">
        <f>IF(AND(P$16=1,'Assumptions - Freight'!$E$321&gt;0),IF('Assumptions - Freight'!P18&gt;0,((O264*(1+((SUM(P$179:P$188))/(SUM(O$179:O$188))-1)*'Assumptions - Freight'!$E$323))*('Assumptions - Freight'!P326/'Assumptions - Freight'!O326)),0),0)</f>
        <v>592.5196202735126</v>
      </c>
      <c r="Q264" s="12">
        <f>IF(AND(Q$16=1,'Assumptions - Freight'!$E$321&gt;0),IF('Assumptions - Freight'!Q18&gt;0,((P264*(1+((SUM(Q$179:Q$188))/(SUM(P$179:P$188))-1)*'Assumptions - Freight'!$E$323))*('Assumptions - Freight'!Q326/'Assumptions - Freight'!P326)),0),0)</f>
        <v>594.64661378218671</v>
      </c>
      <c r="R264" s="12">
        <f>IF(AND(R$16=1,'Assumptions - Freight'!$E$321&gt;0),IF('Assumptions - Freight'!R18&gt;0,((Q264*(1+((SUM(R$179:R$188))/(SUM(Q$179:Q$188))-1)*'Assumptions - Freight'!$E$323))*('Assumptions - Freight'!R326/'Assumptions - Freight'!Q326)),0),0)</f>
        <v>596.36795924313515</v>
      </c>
      <c r="S264" s="12">
        <f>IF(AND(S$16=1,'Assumptions - Freight'!$E$321&gt;0),IF('Assumptions - Freight'!S18&gt;0,((R264*(1+((SUM(S$179:S$188))/(SUM(R$179:R$188))-1)*'Assumptions - Freight'!$E$323))*('Assumptions - Freight'!S326/'Assumptions - Freight'!R326)),0),0)</f>
        <v>597.65740347933684</v>
      </c>
      <c r="T264" s="12">
        <f>IF(AND(T$16=1,'Assumptions - Freight'!$E$321&gt;0),IF('Assumptions - Freight'!T18&gt;0,((S264*(1+((SUM(T$179:T$188))/(SUM(S$179:S$188))-1)*'Assumptions - Freight'!$E$323))*('Assumptions - Freight'!T326/'Assumptions - Freight'!S326)),0),0)</f>
        <v>598.48748320639106</v>
      </c>
      <c r="U264" s="12">
        <f>IF(AND(U$16=1,'Assumptions - Freight'!$E$321&gt;0),IF('Assumptions - Freight'!U18&gt;0,((T264*(1+((SUM(U$179:U$188))/(SUM(T$179:T$188))-1)*'Assumptions - Freight'!$E$323))*('Assumptions - Freight'!U326/'Assumptions - Freight'!T326)),0),0)</f>
        <v>598.82947605393758</v>
      </c>
      <c r="V264" s="12">
        <f>IF(AND(V$16=1,'Assumptions - Freight'!$E$321&gt;0),IF('Assumptions - Freight'!V18&gt;0,((U264*(1+((SUM(V$179:V$188))/(SUM(U$179:U$188))-1)*'Assumptions - Freight'!$E$323))*('Assumptions - Freight'!V326/'Assumptions - Freight'!U326)),0),0)</f>
        <v>598.65334973745144</v>
      </c>
      <c r="W264" s="12">
        <f>IF(AND(W$16=1,'Assumptions - Freight'!$E$321&gt;0),IF('Assumptions - Freight'!W18&gt;0,((V264*(1+((SUM(W$179:W$188))/(SUM(V$179:V$188))-1)*'Assumptions - Freight'!$E$323))*('Assumptions - Freight'!W326/'Assumptions - Freight'!V326)),0),0)</f>
        <v>597.92770931352732</v>
      </c>
      <c r="X264" s="12">
        <f>IF(AND(X$16=1,'Assumptions - Freight'!$E$321&gt;0),IF('Assumptions - Freight'!X18&gt;0,((W264*(1+((SUM(X$179:X$188))/(SUM(W$179:W$188))-1)*'Assumptions - Freight'!$E$323))*('Assumptions - Freight'!X326/'Assumptions - Freight'!W326)),0),0)</f>
        <v>596.61974244940382</v>
      </c>
      <c r="Y264" s="12">
        <f>IF(AND(Y$16=1,'Assumptions - Freight'!$E$321&gt;0),IF('Assumptions - Freight'!Y18&gt;0,((X264*(1+((SUM(Y$179:Y$188))/(SUM(X$179:X$188))-1)*'Assumptions - Freight'!$E$323))*('Assumptions - Freight'!Y326/'Assumptions - Freight'!X326)),0),0)</f>
        <v>594.69516263505102</v>
      </c>
      <c r="Z264" s="12">
        <f>IF(AND(Z$16=1,'Assumptions - Freight'!$E$321&gt;0),IF('Assumptions - Freight'!Z18&gt;0,((Y264*(1+((SUM(Z$179:Z$188))/(SUM(Y$179:Y$188))-1)*'Assumptions - Freight'!$E$323))*('Assumptions - Freight'!Z326/'Assumptions - Freight'!Y326)),0),0)</f>
        <v>592.11815026363229</v>
      </c>
      <c r="AA264" s="12">
        <f>IF(AND(AA$16=1,'Assumptions - Freight'!$E$321&gt;0),IF('Assumptions - Freight'!AA18&gt;0,((Z264*(1+((SUM(AA$179:AA$188))/(SUM(Z$179:Z$188))-1)*'Assumptions - Freight'!$E$323))*('Assumptions - Freight'!AA326/'Assumptions - Freight'!Z326)),0),0)</f>
        <v>588.85129150355726</v>
      </c>
      <c r="AB264" s="12">
        <f>IF(AND(AB$16=1,'Assumptions - Freight'!$E$321&gt;0),IF('Assumptions - Freight'!AB18&gt;0,((AA264*(1+((SUM(AB$179:AB$188))/(SUM(AA$179:AA$188))-1)*'Assumptions - Freight'!$E$323))*('Assumptions - Freight'!AB326/'Assumptions - Freight'!AA326)),0),0)</f>
        <v>584.85551488264002</v>
      </c>
      <c r="AC264" s="12">
        <f>IF(AND(AC$16=1,'Assumptions - Freight'!$E$321&gt;0),IF('Assumptions - Freight'!AC18&gt;0,((AB264*(1+((SUM(AC$179:AC$188))/(SUM(AB$179:AB$188))-1)*'Assumptions - Freight'!$E$323))*('Assumptions - Freight'!AC326/'Assumptions - Freight'!AB326)),0),0)</f>
        <v>580.09002550211494</v>
      </c>
      <c r="AD264" s="12">
        <f>IF(AND(AD$16=1,'Assumptions - Freight'!$E$321&gt;0),IF('Assumptions - Freight'!AD18&gt;0,((AC264*(1+((SUM(AD$179:AD$188))/(SUM(AC$179:AC$188))-1)*'Assumptions - Freight'!$E$323))*('Assumptions - Freight'!AD326/'Assumptions - Freight'!AC326)),0),0)</f>
        <v>574.51223679536372</v>
      </c>
      <c r="AE264" s="12">
        <f>IF(AND(AE$16=1,'Assumptions - Freight'!$E$321&gt;0),IF('Assumptions - Freight'!AE18&gt;0,((AD264*(1+((SUM(AE$179:AE$188))/(SUM(AD$179:AD$188))-1)*'Assumptions - Freight'!$E$323))*('Assumptions - Freight'!AE326/'Assumptions - Freight'!AD326)),0),0)</f>
        <v>568.07769974325583</v>
      </c>
      <c r="AF264" s="12">
        <f>IF(AND(AF$16=1,'Assumptions - Freight'!$E$321&gt;0),IF('Assumptions - Freight'!AF18&gt;0,((AE264*(1+((SUM(AF$179:AF$188))/(SUM(AE$179:AE$188))-1)*'Assumptions - Freight'!$E$323))*('Assumptions - Freight'!AF326/'Assumptions - Freight'!AE326)),0),0)</f>
        <v>560.74002945490531</v>
      </c>
      <c r="AG264" s="12">
        <f>IF(AND(AG$16=1,'Assumptions - Freight'!$E$321&gt;0),IF('Assumptions - Freight'!AG18&gt;0,((AF264*(1+((SUM(AG$179:AG$188))/(SUM(AF$179:AF$188))-1)*'Assumptions - Freight'!$E$323))*('Assumptions - Freight'!AG326/'Assumptions - Freight'!AF326)),0),0)</f>
        <v>552.45082901948501</v>
      </c>
      <c r="AH264" s="12">
        <f>IF(AND(AH$16=1,'Assumptions - Freight'!$E$321&gt;0),IF('Assumptions - Freight'!AH18&gt;0,((AG264*(1+((SUM(AH$179:AH$188))/(SUM(AG$179:AG$188))-1)*'Assumptions - Freight'!$E$323))*('Assumptions - Freight'!AH326/'Assumptions - Freight'!AG326)),0),0)</f>
        <v>543.15961053142996</v>
      </c>
    </row>
    <row r="265" spans="1:34" s="20" customFormat="1" ht="14" x14ac:dyDescent="0.2">
      <c r="A265" s="8"/>
      <c r="B265" s="30" t="s">
        <v>297</v>
      </c>
      <c r="C265" s="8"/>
      <c r="D265" s="8" t="s">
        <v>15</v>
      </c>
      <c r="E265" s="128" t="str">
        <f t="shared" ref="E265:AH265" si="81">IF(AND(($E$4+SUM($F$16:$AH$16))=E$4,$E$264&gt;0),(E264/$E264)^(1/SUM($F$16:$AH$16))-1," ")</f>
        <v xml:space="preserve"> </v>
      </c>
      <c r="F265" s="128" t="str">
        <f t="shared" si="81"/>
        <v xml:space="preserve"> </v>
      </c>
      <c r="G265" s="128" t="str">
        <f t="shared" si="81"/>
        <v xml:space="preserve"> </v>
      </c>
      <c r="H265" s="128" t="str">
        <f t="shared" si="81"/>
        <v xml:space="preserve"> </v>
      </c>
      <c r="I265" s="128" t="str">
        <f t="shared" si="81"/>
        <v xml:space="preserve"> </v>
      </c>
      <c r="J265" s="128" t="str">
        <f t="shared" si="81"/>
        <v xml:space="preserve"> </v>
      </c>
      <c r="K265" s="128" t="str">
        <f t="shared" si="81"/>
        <v xml:space="preserve"> </v>
      </c>
      <c r="L265" s="128" t="str">
        <f t="shared" si="81"/>
        <v xml:space="preserve"> </v>
      </c>
      <c r="M265" s="128" t="str">
        <f t="shared" si="81"/>
        <v xml:space="preserve"> </v>
      </c>
      <c r="N265" s="128" t="str">
        <f t="shared" si="81"/>
        <v xml:space="preserve"> </v>
      </c>
      <c r="O265" s="128" t="str">
        <f t="shared" si="81"/>
        <v xml:space="preserve"> </v>
      </c>
      <c r="P265" s="128" t="str">
        <f t="shared" si="81"/>
        <v xml:space="preserve"> </v>
      </c>
      <c r="Q265" s="128" t="str">
        <f t="shared" si="81"/>
        <v xml:space="preserve"> </v>
      </c>
      <c r="R265" s="128" t="str">
        <f t="shared" si="81"/>
        <v xml:space="preserve"> </v>
      </c>
      <c r="S265" s="128" t="str">
        <f t="shared" si="81"/>
        <v xml:space="preserve"> </v>
      </c>
      <c r="T265" s="128" t="str">
        <f t="shared" si="81"/>
        <v xml:space="preserve"> </v>
      </c>
      <c r="U265" s="128" t="str">
        <f t="shared" si="81"/>
        <v xml:space="preserve"> </v>
      </c>
      <c r="V265" s="128" t="str">
        <f t="shared" si="81"/>
        <v xml:space="preserve"> </v>
      </c>
      <c r="W265" s="128" t="str">
        <f t="shared" si="81"/>
        <v xml:space="preserve"> </v>
      </c>
      <c r="X265" s="128" t="str">
        <f t="shared" si="81"/>
        <v xml:space="preserve"> </v>
      </c>
      <c r="Y265" s="128" t="str">
        <f t="shared" si="81"/>
        <v xml:space="preserve"> </v>
      </c>
      <c r="Z265" s="128" t="str">
        <f t="shared" si="81"/>
        <v xml:space="preserve"> </v>
      </c>
      <c r="AA265" s="128" t="str">
        <f t="shared" si="81"/>
        <v xml:space="preserve"> </v>
      </c>
      <c r="AB265" s="128" t="str">
        <f t="shared" si="81"/>
        <v xml:space="preserve"> </v>
      </c>
      <c r="AC265" s="128" t="str">
        <f t="shared" si="81"/>
        <v xml:space="preserve"> </v>
      </c>
      <c r="AD265" s="128" t="str">
        <f t="shared" si="81"/>
        <v xml:space="preserve"> </v>
      </c>
      <c r="AE265" s="128" t="str">
        <f t="shared" si="81"/>
        <v xml:space="preserve"> </v>
      </c>
      <c r="AF265" s="128" t="str">
        <f t="shared" si="81"/>
        <v xml:space="preserve"> </v>
      </c>
      <c r="AG265" s="128" t="str">
        <f t="shared" si="81"/>
        <v xml:space="preserve"> </v>
      </c>
      <c r="AH265" s="128">
        <f t="shared" si="81"/>
        <v>2.8590835562203321E-3</v>
      </c>
    </row>
    <row r="266" spans="1:34" s="20" customFormat="1" ht="14" x14ac:dyDescent="0.2">
      <c r="A266" s="8"/>
      <c r="B266" s="8" t="s">
        <v>218</v>
      </c>
      <c r="C266" s="8"/>
      <c r="D266" s="8" t="str">
        <f>'Assumptions - General'!$E$27 &amp;" millions"</f>
        <v>R$ millions</v>
      </c>
      <c r="E266" s="463">
        <f>IF(E$16=1,IF($D$128=1,$D$129*'Assumptions - Freight'!E330,'Assumptions - Freight'!E330),0)</f>
        <v>500</v>
      </c>
      <c r="F266" s="12">
        <f>IF(AND(F$16=1,'Assumptions - Freight'!$E$330&gt;0),IF('Assumptions - Freight'!F16&gt;0,((E266*(1+((SUM(F$191:F$200))/(SUM(E$191:E$200))-1)*'Assumptions - Freight'!$E$332))*('Assumptions - Freight'!F335/'Assumptions - Freight'!E335)),0),0)</f>
        <v>512.48780487804879</v>
      </c>
      <c r="G266" s="12">
        <f>IF(AND(G$16=1,'Assumptions - Freight'!$E$330&gt;0),IF('Assumptions - Freight'!G16&gt;0,((F266*(1+((SUM(G$191:G$200))/(SUM(F$191:F$200))-1)*'Assumptions - Freight'!$E$332))*('Assumptions - Freight'!G335/'Assumptions - Freight'!F335)),0),0)</f>
        <v>538.2126829268293</v>
      </c>
      <c r="H266" s="12">
        <f>IF(AND(H$16=1,'Assumptions - Freight'!$E$330&gt;0),IF('Assumptions - Freight'!H16&gt;0,((G266*(1+((SUM(H$191:H$200))/(SUM(G$191:G$200))-1)*'Assumptions - Freight'!$E$332))*('Assumptions - Freight'!H335/'Assumptions - Freight'!G335)),0),0)</f>
        <v>565.01981463414631</v>
      </c>
      <c r="I266" s="12">
        <f>IF(AND(I$16=1,'Assumptions - Freight'!$E$330&gt;0),IF('Assumptions - Freight'!I16&gt;0,((H266*(1+((SUM(I$191:I$200))/(SUM(H$191:H$200))-1)*'Assumptions - Freight'!$E$332))*('Assumptions - Freight'!I335/'Assumptions - Freight'!H335)),0),0)</f>
        <v>592.95098282926847</v>
      </c>
      <c r="J266" s="12">
        <f>IF(AND(J$16=1,'Assumptions - Freight'!$E$330&gt;0),IF('Assumptions - Freight'!J16&gt;0,((I266*(1+((SUM(J$191:J$200))/(SUM(I$191:I$200))-1)*'Assumptions - Freight'!$E$332))*('Assumptions - Freight'!J335/'Assumptions - Freight'!I335)),0),0)</f>
        <v>622.04950328292716</v>
      </c>
      <c r="K266" s="12">
        <f>IF(AND(K$16=1,'Assumptions - Freight'!$E$330&gt;0),IF('Assumptions - Freight'!K16&gt;0,((J266*(1+((SUM(K$191:K$200))/(SUM(J$191:J$200))-1)*'Assumptions - Freight'!$E$332))*('Assumptions - Freight'!K335/'Assumptions - Freight'!J335)),0),0)</f>
        <v>733.905313964166</v>
      </c>
      <c r="L266" s="12">
        <f>IF(AND(L$16=1,'Assumptions - Freight'!$E$330&gt;0),IF('Assumptions - Freight'!L16&gt;0,((K266*(1+((SUM(L$191:L$200))/(SUM(K$191:K$200))-1)*'Assumptions - Freight'!$E$332))*('Assumptions - Freight'!L335/'Assumptions - Freight'!K335)),0),0)</f>
        <v>769.42108897921787</v>
      </c>
      <c r="M266" s="12">
        <f>IF(AND(M$16=1,'Assumptions - Freight'!$E$330&gt;0),IF('Assumptions - Freight'!M16&gt;0,((L266*(1+((SUM(M$191:M$200))/(SUM(L$191:L$200))-1)*'Assumptions - Freight'!$E$332))*('Assumptions - Freight'!M335/'Assumptions - Freight'!L335)),0),0)</f>
        <v>806.40729571260465</v>
      </c>
      <c r="N266" s="12">
        <f>IF(AND(N$16=1,'Assumptions - Freight'!$E$330&gt;0),IF('Assumptions - Freight'!N16&gt;0,((M266*(1+((SUM(N$191:N$200))/(SUM(M$191:M$200))-1)*'Assumptions - Freight'!$E$332))*('Assumptions - Freight'!N335/'Assumptions - Freight'!M335)),0),0)</f>
        <v>844.92019586991353</v>
      </c>
      <c r="O266" s="12">
        <f>IF(AND(O$16=1,'Assumptions - Freight'!$E$330&gt;0),IF('Assumptions - Freight'!O16&gt;0,((N266*(1+((SUM(O$191:O$200))/(SUM(N$191:N$200))-1)*'Assumptions - Freight'!$E$332))*('Assumptions - Freight'!O335/'Assumptions - Freight'!N335)),0),0)</f>
        <v>885.01810347051958</v>
      </c>
      <c r="P266" s="12">
        <f>IF(AND(P$16=1,'Assumptions - Freight'!$E$330&gt;0),IF('Assumptions - Freight'!P16&gt;0,((O266*(1+((SUM(P$191:P$200))/(SUM(O$191:O$200))-1)*'Assumptions - Freight'!$E$332))*('Assumptions - Freight'!P335/'Assumptions - Freight'!O335)),0),0)</f>
        <v>926.76145735087948</v>
      </c>
      <c r="Q266" s="12">
        <f>IF(AND(Q$16=1,'Assumptions - Freight'!$E$330&gt;0),IF('Assumptions - Freight'!Q16&gt;0,((P266*(1+((SUM(Q$191:Q$200))/(SUM(P$191:P$200))-1)*'Assumptions - Freight'!$E$332))*('Assumptions - Freight'!Q335/'Assumptions - Freight'!P335)),0),0)</f>
        <v>970.21289617093692</v>
      </c>
      <c r="R266" s="12">
        <f>IF(AND(R$16=1,'Assumptions - Freight'!$E$330&gt;0),IF('Assumptions - Freight'!R16&gt;0,((Q266*(1+((SUM(R$191:R$200))/(SUM(Q$191:Q$200))-1)*'Assumptions - Freight'!$E$332))*('Assumptions - Freight'!R335/'Assumptions - Freight'!Q335)),0),0)</f>
        <v>1015.4373360085822</v>
      </c>
      <c r="S266" s="12">
        <f>IF(AND(S$16=1,'Assumptions - Freight'!$E$330&gt;0),IF('Assumptions - Freight'!S16&gt;0,((R266*(1+((SUM(S$191:S$200))/(SUM(R$191:R$200))-1)*'Assumptions - Freight'!$E$332))*('Assumptions - Freight'!S335/'Assumptions - Freight'!R335)),0),0)</f>
        <v>1062.5020506299322</v>
      </c>
      <c r="T266" s="12">
        <f>IF(AND(T$16=1,'Assumptions - Freight'!$E$330&gt;0),IF('Assumptions - Freight'!T16&gt;0,((S266*(1+((SUM(T$191:T$200))/(SUM(S$191:S$200))-1)*'Assumptions - Freight'!$E$332))*('Assumptions - Freight'!T335/'Assumptions - Freight'!S335)),0),0)</f>
        <v>1111.4767545261561</v>
      </c>
      <c r="U266" s="12">
        <f>IF(AND(U$16=1,'Assumptions - Freight'!$E$330&gt;0),IF('Assumptions - Freight'!U16&gt;0,((T266*(1+((SUM(U$191:U$200))/(SUM(T$191:T$200))-1)*'Assumptions - Freight'!$E$332))*('Assumptions - Freight'!U335/'Assumptions - Freight'!T335)),0),0)</f>
        <v>1162.4336888105859</v>
      </c>
      <c r="V266" s="12">
        <f>IF(AND(V$16=1,'Assumptions - Freight'!$E$330&gt;0),IF('Assumptions - Freight'!V16&gt;0,((U266*(1+((SUM(V$191:V$200))/(SUM(U$191:U$200))-1)*'Assumptions - Freight'!$E$332))*('Assumptions - Freight'!V335/'Assumptions - Freight'!U335)),0),0)</f>
        <v>1215.447710073008</v>
      </c>
      <c r="W266" s="12">
        <f>IF(AND(W$16=1,'Assumptions - Freight'!$E$330&gt;0),IF('Assumptions - Freight'!W16&gt;0,((V266*(1+((SUM(W$191:W$200))/(SUM(V$191:V$200))-1)*'Assumptions - Freight'!$E$332))*('Assumptions - Freight'!W335/'Assumptions - Freight'!V335)),0),0)</f>
        <v>1270.5963822912461</v>
      </c>
      <c r="X266" s="12">
        <f>IF(AND(X$16=1,'Assumptions - Freight'!$E$330&gt;0),IF('Assumptions - Freight'!X16&gt;0,((W266*(1+((SUM(X$191:X$200))/(SUM(W$191:W$200))-1)*'Assumptions - Freight'!$E$332))*('Assumptions - Freight'!X335/'Assumptions - Freight'!W335)),0),0)</f>
        <v>1327.9600719035122</v>
      </c>
      <c r="Y266" s="12">
        <f>IF(AND(Y$16=1,'Assumptions - Freight'!$E$330&gt;0),IF('Assumptions - Freight'!Y16&gt;0,((X266*(1+((SUM(Y$191:Y$200))/(SUM(X$191:X$200))-1)*'Assumptions - Freight'!$E$332))*('Assumptions - Freight'!Y335/'Assumptions - Freight'!X335)),0),0)</f>
        <v>1387.6220461484531</v>
      </c>
      <c r="Z266" s="12">
        <f>IF(AND(Z$16=1,'Assumptions - Freight'!$E$330&gt;0),IF('Assumptions - Freight'!Z16&gt;0,((Y266*(1+((SUM(Z$191:Z$200))/(SUM(Y$191:Y$200))-1)*'Assumptions - Freight'!$E$332))*('Assumptions - Freight'!Z335/'Assumptions - Freight'!Y335)),0),0)</f>
        <v>1449.6685747833765</v>
      </c>
      <c r="AA266" s="12">
        <f>IF(AND(AA$16=1,'Assumptions - Freight'!$E$330&gt;0),IF('Assumptions - Freight'!AA16&gt;0,((Z266*(1+((SUM(AA$191:AA$200))/(SUM(Z$191:Z$200))-1)*'Assumptions - Freight'!$E$332))*('Assumptions - Freight'!AA335/'Assumptions - Freight'!Z335)),0),0)</f>
        <v>1514.1890352948624</v>
      </c>
      <c r="AB266" s="12">
        <f>IF(AND(AB$16=1,'Assumptions - Freight'!$E$330&gt;0),IF('Assumptions - Freight'!AB16&gt;0,((AA266*(1+((SUM(AB$191:AB$200))/(SUM(AA$191:AA$200))-1)*'Assumptions - Freight'!$E$332))*('Assumptions - Freight'!AB335/'Assumptions - Freight'!AA335)),0),0)</f>
        <v>1581.2760217197319</v>
      </c>
      <c r="AC266" s="12">
        <f>IF(AND(AC$16=1,'Assumptions - Freight'!$E$330&gt;0),IF('Assumptions - Freight'!AC16&gt;0,((AB266*(1+((SUM(AC$191:AC$200))/(SUM(AB$191:AB$200))-1)*'Assumptions - Freight'!$E$332))*('Assumptions - Freight'!AC335/'Assumptions - Freight'!AB335)),0),0)</f>
        <v>1651.0254571983285</v>
      </c>
      <c r="AD266" s="12">
        <f>IF(AND(AD$16=1,'Assumptions - Freight'!$E$330&gt;0),IF('Assumptions - Freight'!AD16&gt;0,((AC266*(1+((SUM(AD$191:AD$200))/(SUM(AC$191:AC$200))-1)*'Assumptions - Freight'!$E$332))*('Assumptions - Freight'!AD335/'Assumptions - Freight'!AC335)),0),0)</f>
        <v>1723.5367103860931</v>
      </c>
      <c r="AE266" s="12">
        <f>IF(AND(AE$16=1,'Assumptions - Freight'!$E$330&gt;0),IF('Assumptions - Freight'!AE16&gt;0,((AD266*(1+((SUM(AE$191:AE$200))/(SUM(AD$191:AD$200))-1)*'Assumptions - Freight'!$E$332))*('Assumptions - Freight'!AE335/'Assumptions - Freight'!AD335)),0),0)</f>
        <v>1798.9127158536446</v>
      </c>
      <c r="AF266" s="12">
        <f>IF(AND(AF$16=1,'Assumptions - Freight'!$E$330&gt;0),IF('Assumptions - Freight'!AF16&gt;0,((AE266*(1+((SUM(AF$191:AF$200))/(SUM(AE$191:AE$200))-1)*'Assumptions - Freight'!$E$332))*('Assumptions - Freight'!AF335/'Assumptions - Freight'!AE335)),0),0)</f>
        <v>1877.2600986099023</v>
      </c>
      <c r="AG266" s="12">
        <f>IF(AND(AG$16=1,'Assumptions - Freight'!$E$330&gt;0),IF('Assumptions - Freight'!AG16&gt;0,((AF266*(1+((SUM(AG$191:AG$200))/(SUM(AF$191:AF$200))-1)*'Assumptions - Freight'!$E$332))*('Assumptions - Freight'!AG335/'Assumptions - Freight'!AF335)),0),0)</f>
        <v>1958.6893028872676</v>
      </c>
      <c r="AH266" s="12">
        <f>IF(AND(AH$16=1,'Assumptions - Freight'!$E$330&gt;0),IF('Assumptions - Freight'!AH16&gt;0,((AG266*(1+((SUM(AH$191:AH$200))/(SUM(AG$191:AG$200))-1)*'Assumptions - Freight'!$E$332))*('Assumptions - Freight'!AH335/'Assumptions - Freight'!AG335)),0),0)</f>
        <v>2043.3147253325246</v>
      </c>
    </row>
    <row r="267" spans="1:34" s="20" customFormat="1" ht="14" x14ac:dyDescent="0.2">
      <c r="A267" s="8"/>
      <c r="B267" s="30" t="s">
        <v>297</v>
      </c>
      <c r="C267" s="8"/>
      <c r="D267" s="8" t="s">
        <v>15</v>
      </c>
      <c r="E267" s="128" t="str">
        <f t="shared" ref="E267:AH267" si="82">IF(AND(($E$4+SUM($F$16:$AH$16))=E$4,$E$266&gt;0),(E266/$E266)^(1/SUM($F$16:$AH$16))-1," ")</f>
        <v xml:space="preserve"> </v>
      </c>
      <c r="F267" s="128" t="str">
        <f t="shared" si="82"/>
        <v xml:space="preserve"> </v>
      </c>
      <c r="G267" s="128" t="str">
        <f t="shared" si="82"/>
        <v xml:space="preserve"> </v>
      </c>
      <c r="H267" s="128" t="str">
        <f t="shared" si="82"/>
        <v xml:space="preserve"> </v>
      </c>
      <c r="I267" s="128" t="str">
        <f t="shared" si="82"/>
        <v xml:space="preserve"> </v>
      </c>
      <c r="J267" s="128" t="str">
        <f t="shared" si="82"/>
        <v xml:space="preserve"> </v>
      </c>
      <c r="K267" s="128" t="str">
        <f t="shared" si="82"/>
        <v xml:space="preserve"> </v>
      </c>
      <c r="L267" s="128" t="str">
        <f t="shared" si="82"/>
        <v xml:space="preserve"> </v>
      </c>
      <c r="M267" s="128" t="str">
        <f t="shared" si="82"/>
        <v xml:space="preserve"> </v>
      </c>
      <c r="N267" s="128" t="str">
        <f t="shared" si="82"/>
        <v xml:space="preserve"> </v>
      </c>
      <c r="O267" s="128" t="str">
        <f t="shared" si="82"/>
        <v xml:space="preserve"> </v>
      </c>
      <c r="P267" s="128" t="str">
        <f t="shared" si="82"/>
        <v xml:space="preserve"> </v>
      </c>
      <c r="Q267" s="128" t="str">
        <f t="shared" si="82"/>
        <v xml:space="preserve"> </v>
      </c>
      <c r="R267" s="128" t="str">
        <f t="shared" si="82"/>
        <v xml:space="preserve"> </v>
      </c>
      <c r="S267" s="128" t="str">
        <f t="shared" si="82"/>
        <v xml:space="preserve"> </v>
      </c>
      <c r="T267" s="128" t="str">
        <f t="shared" si="82"/>
        <v xml:space="preserve"> </v>
      </c>
      <c r="U267" s="128" t="str">
        <f t="shared" si="82"/>
        <v xml:space="preserve"> </v>
      </c>
      <c r="V267" s="128" t="str">
        <f t="shared" si="82"/>
        <v xml:space="preserve"> </v>
      </c>
      <c r="W267" s="128" t="str">
        <f t="shared" si="82"/>
        <v xml:space="preserve"> </v>
      </c>
      <c r="X267" s="128" t="str">
        <f t="shared" si="82"/>
        <v xml:space="preserve"> </v>
      </c>
      <c r="Y267" s="128" t="str">
        <f t="shared" si="82"/>
        <v xml:space="preserve"> </v>
      </c>
      <c r="Z267" s="128" t="str">
        <f t="shared" si="82"/>
        <v xml:space="preserve"> </v>
      </c>
      <c r="AA267" s="128" t="str">
        <f t="shared" si="82"/>
        <v xml:space="preserve"> </v>
      </c>
      <c r="AB267" s="128" t="str">
        <f t="shared" si="82"/>
        <v xml:space="preserve"> </v>
      </c>
      <c r="AC267" s="128" t="str">
        <f t="shared" si="82"/>
        <v xml:space="preserve"> </v>
      </c>
      <c r="AD267" s="128" t="str">
        <f t="shared" si="82"/>
        <v xml:space="preserve"> </v>
      </c>
      <c r="AE267" s="128" t="str">
        <f t="shared" si="82"/>
        <v xml:space="preserve"> </v>
      </c>
      <c r="AF267" s="128" t="str">
        <f t="shared" si="82"/>
        <v xml:space="preserve"> </v>
      </c>
      <c r="AG267" s="128" t="str">
        <f t="shared" si="82"/>
        <v xml:space="preserve"> </v>
      </c>
      <c r="AH267" s="128">
        <f t="shared" si="82"/>
        <v>4.9739551717467911E-2</v>
      </c>
    </row>
    <row r="268" spans="1:34" s="20" customFormat="1" ht="14" x14ac:dyDescent="0.2">
      <c r="A268" s="8"/>
      <c r="B268" s="8" t="s">
        <v>42</v>
      </c>
      <c r="C268" s="8"/>
      <c r="D268" s="8" t="str">
        <f>'Assumptions - General'!$E$27 &amp;" millions"</f>
        <v>R$ millions</v>
      </c>
      <c r="E268" s="463">
        <f>IF(E$16=1,'Assumptions - Freight'!E339,0)</f>
        <v>500</v>
      </c>
      <c r="F268" s="12">
        <f>IF(F$16=1,'Assumptions - Freight'!F340*'Assumptions - Freight'!F345/1000000,0)</f>
        <v>515</v>
      </c>
      <c r="G268" s="12">
        <f>IF(G$16=1,'Assumptions - Freight'!G340*'Assumptions - Freight'!G345/1000000,0)</f>
        <v>530.45000000000005</v>
      </c>
      <c r="H268" s="12">
        <f>IF(H$16=1,'Assumptions - Freight'!H340*'Assumptions - Freight'!H345/1000000,0)</f>
        <v>546.36350000000004</v>
      </c>
      <c r="I268" s="12">
        <f>IF(I$16=1,'Assumptions - Freight'!I340*'Assumptions - Freight'!I345/1000000,0)</f>
        <v>562.75440500000002</v>
      </c>
      <c r="J268" s="12">
        <f>IF(J$16=1,'Assumptions - Freight'!J340*'Assumptions - Freight'!J345/1000000,0)</f>
        <v>579.63703715000008</v>
      </c>
      <c r="K268" s="12">
        <f>IF(K$16=1,'Assumptions - Freight'!K340*'Assumptions - Freight'!K345/1000000,0)</f>
        <v>597.02614826449997</v>
      </c>
      <c r="L268" s="12">
        <f>IF(L$16=1,'Assumptions - Freight'!L340*'Assumptions - Freight'!L345/1000000,0)</f>
        <v>614.93693271243512</v>
      </c>
      <c r="M268" s="12">
        <f>IF(M$16=1,'Assumptions - Freight'!M340*'Assumptions - Freight'!M345/1000000,0)</f>
        <v>633.38504069380815</v>
      </c>
      <c r="N268" s="12">
        <f>IF(N$16=1,'Assumptions - Freight'!N340*'Assumptions - Freight'!N345/1000000,0)</f>
        <v>652.38659191462239</v>
      </c>
      <c r="O268" s="12">
        <f>IF(O$16=1,'Assumptions - Freight'!O340*'Assumptions - Freight'!O345/1000000,0)</f>
        <v>671.95818967206105</v>
      </c>
      <c r="P268" s="12">
        <f>IF(P$16=1,'Assumptions - Freight'!P340*'Assumptions - Freight'!P345/1000000,0)</f>
        <v>692.11693536222288</v>
      </c>
      <c r="Q268" s="12">
        <f>IF(Q$16=1,'Assumptions - Freight'!Q340*'Assumptions - Freight'!Q345/1000000,0)</f>
        <v>712.88044342308967</v>
      </c>
      <c r="R268" s="12">
        <f>IF(R$16=1,'Assumptions - Freight'!R340*'Assumptions - Freight'!R345/1000000,0)</f>
        <v>734.2668567257823</v>
      </c>
      <c r="S268" s="12">
        <f>IF(S$16=1,'Assumptions - Freight'!S340*'Assumptions - Freight'!S345/1000000,0)</f>
        <v>756.29486242755581</v>
      </c>
      <c r="T268" s="12">
        <f>IF(T$16=1,'Assumptions - Freight'!T340*'Assumptions - Freight'!T345/1000000,0)</f>
        <v>778.98370830038255</v>
      </c>
      <c r="U268" s="12">
        <f>IF(U$16=1,'Assumptions - Freight'!U340*'Assumptions - Freight'!U345/1000000,0)</f>
        <v>802.35321954939388</v>
      </c>
      <c r="V268" s="12">
        <f>IF(V$16=1,'Assumptions - Freight'!V340*'Assumptions - Freight'!V345/1000000,0)</f>
        <v>826.42381613587577</v>
      </c>
      <c r="W268" s="12">
        <f>IF(W$16=1,'Assumptions - Freight'!W340*'Assumptions - Freight'!W345/1000000,0)</f>
        <v>851.2165306199521</v>
      </c>
      <c r="X268" s="12">
        <f>IF(X$16=1,'Assumptions - Freight'!X340*'Assumptions - Freight'!X345/1000000,0)</f>
        <v>876.75302653855067</v>
      </c>
      <c r="Y268" s="12">
        <f>IF(Y$16=1,'Assumptions - Freight'!Y340*'Assumptions - Freight'!Y345/1000000,0)</f>
        <v>903.05561733470722</v>
      </c>
      <c r="Z268" s="12">
        <f>IF(Z$16=1,'Assumptions - Freight'!Z340*'Assumptions - Freight'!Z345/1000000,0)</f>
        <v>930.14728585474847</v>
      </c>
      <c r="AA268" s="12">
        <f>IF(AA$16=1,'Assumptions - Freight'!AA340*'Assumptions - Freight'!AA345/1000000,0)</f>
        <v>958.05170443039083</v>
      </c>
      <c r="AB268" s="12">
        <f>IF(AB$16=1,'Assumptions - Freight'!AB340*'Assumptions - Freight'!AB345/1000000,0)</f>
        <v>986.79325556330275</v>
      </c>
      <c r="AC268" s="12">
        <f>IF(AC$16=1,'Assumptions - Freight'!AC340*'Assumptions - Freight'!AC345/1000000,0)</f>
        <v>1016.3970532302019</v>
      </c>
      <c r="AD268" s="12">
        <f>IF(AD$16=1,'Assumptions - Freight'!AD340*'Assumptions - Freight'!AD345/1000000,0)</f>
        <v>1046.8889648271079</v>
      </c>
      <c r="AE268" s="12">
        <f>IF(AE$16=1,'Assumptions - Freight'!AE340*'Assumptions - Freight'!AE345/1000000,0)</f>
        <v>1078.2956337719211</v>
      </c>
      <c r="AF268" s="12">
        <f>IF(AF$16=1,'Assumptions - Freight'!AF340*'Assumptions - Freight'!AF345/1000000,0)</f>
        <v>1110.6445027850787</v>
      </c>
      <c r="AG268" s="12">
        <f>IF(AG$16=1,'Assumptions - Freight'!AG340*'Assumptions - Freight'!AG345/1000000,0)</f>
        <v>1143.9638378686313</v>
      </c>
      <c r="AH268" s="12">
        <f>IF(AH$16=1,'Assumptions - Freight'!AH340*'Assumptions - Freight'!AH345/1000000,0)</f>
        <v>1178.2827530046902</v>
      </c>
    </row>
    <row r="269" spans="1:34" s="20" customFormat="1" ht="14" x14ac:dyDescent="0.2">
      <c r="A269" s="8"/>
      <c r="B269" s="30" t="s">
        <v>297</v>
      </c>
      <c r="C269" s="8"/>
      <c r="D269" s="8" t="s">
        <v>15</v>
      </c>
      <c r="E269" s="128" t="str">
        <f t="shared" ref="E269:AH269" si="83">IF(AND(($E$4+SUM($F$16:$AH$16))=E$4,$E$268&gt;0),(E268/$E268)^(1/SUM($F$16:$AH$16))-1," ")</f>
        <v xml:space="preserve"> </v>
      </c>
      <c r="F269" s="128" t="str">
        <f t="shared" si="83"/>
        <v xml:space="preserve"> </v>
      </c>
      <c r="G269" s="128" t="str">
        <f t="shared" si="83"/>
        <v xml:space="preserve"> </v>
      </c>
      <c r="H269" s="128" t="str">
        <f t="shared" si="83"/>
        <v xml:space="preserve"> </v>
      </c>
      <c r="I269" s="128" t="str">
        <f t="shared" si="83"/>
        <v xml:space="preserve"> </v>
      </c>
      <c r="J269" s="128" t="str">
        <f t="shared" si="83"/>
        <v xml:space="preserve"> </v>
      </c>
      <c r="K269" s="128" t="str">
        <f t="shared" si="83"/>
        <v xml:space="preserve"> </v>
      </c>
      <c r="L269" s="128" t="str">
        <f t="shared" si="83"/>
        <v xml:space="preserve"> </v>
      </c>
      <c r="M269" s="128" t="str">
        <f t="shared" si="83"/>
        <v xml:space="preserve"> </v>
      </c>
      <c r="N269" s="128" t="str">
        <f t="shared" si="83"/>
        <v xml:space="preserve"> </v>
      </c>
      <c r="O269" s="128" t="str">
        <f t="shared" si="83"/>
        <v xml:space="preserve"> </v>
      </c>
      <c r="P269" s="128" t="str">
        <f t="shared" si="83"/>
        <v xml:space="preserve"> </v>
      </c>
      <c r="Q269" s="128" t="str">
        <f t="shared" si="83"/>
        <v xml:space="preserve"> </v>
      </c>
      <c r="R269" s="128" t="str">
        <f t="shared" si="83"/>
        <v xml:space="preserve"> </v>
      </c>
      <c r="S269" s="128" t="str">
        <f t="shared" si="83"/>
        <v xml:space="preserve"> </v>
      </c>
      <c r="T269" s="128" t="str">
        <f t="shared" si="83"/>
        <v xml:space="preserve"> </v>
      </c>
      <c r="U269" s="128" t="str">
        <f t="shared" si="83"/>
        <v xml:space="preserve"> </v>
      </c>
      <c r="V269" s="128" t="str">
        <f t="shared" si="83"/>
        <v xml:space="preserve"> </v>
      </c>
      <c r="W269" s="128" t="str">
        <f t="shared" si="83"/>
        <v xml:space="preserve"> </v>
      </c>
      <c r="X269" s="128" t="str">
        <f t="shared" si="83"/>
        <v xml:space="preserve"> </v>
      </c>
      <c r="Y269" s="128" t="str">
        <f t="shared" si="83"/>
        <v xml:space="preserve"> </v>
      </c>
      <c r="Z269" s="128" t="str">
        <f t="shared" si="83"/>
        <v xml:space="preserve"> </v>
      </c>
      <c r="AA269" s="128" t="str">
        <f t="shared" si="83"/>
        <v xml:space="preserve"> </v>
      </c>
      <c r="AB269" s="128" t="str">
        <f t="shared" si="83"/>
        <v xml:space="preserve"> </v>
      </c>
      <c r="AC269" s="128" t="str">
        <f t="shared" si="83"/>
        <v xml:space="preserve"> </v>
      </c>
      <c r="AD269" s="128" t="str">
        <f t="shared" si="83"/>
        <v xml:space="preserve"> </v>
      </c>
      <c r="AE269" s="128" t="str">
        <f t="shared" si="83"/>
        <v xml:space="preserve"> </v>
      </c>
      <c r="AF269" s="128" t="str">
        <f t="shared" si="83"/>
        <v xml:space="preserve"> </v>
      </c>
      <c r="AG269" s="128" t="str">
        <f t="shared" si="83"/>
        <v xml:space="preserve"> </v>
      </c>
      <c r="AH269" s="128">
        <f t="shared" si="83"/>
        <v>3.0000000000000027E-2</v>
      </c>
    </row>
    <row r="270" spans="1:34" s="20" customFormat="1" ht="14" x14ac:dyDescent="0.2">
      <c r="A270" s="8"/>
      <c r="B270" s="8" t="s">
        <v>43</v>
      </c>
      <c r="C270" s="8"/>
      <c r="D270" s="8" t="str">
        <f>'Assumptions - General'!$E$27 &amp;" millions"</f>
        <v>R$ millions</v>
      </c>
      <c r="E270" s="463">
        <f>IF(E$16=1,'Assumptions - Freight'!E349,0)</f>
        <v>500</v>
      </c>
      <c r="F270" s="12">
        <f>IF(F$16=1,'Assumptions - Freight'!F350*'Assumptions - Freight'!F355/1000000,0)</f>
        <v>515</v>
      </c>
      <c r="G270" s="12">
        <f>IF(G$16=1,'Assumptions - Freight'!G350*'Assumptions - Freight'!G355/1000000,0)</f>
        <v>530.45000000000005</v>
      </c>
      <c r="H270" s="12">
        <f>IF(H$16=1,'Assumptions - Freight'!H350*'Assumptions - Freight'!H355/1000000,0)</f>
        <v>546.36350000000004</v>
      </c>
      <c r="I270" s="12">
        <f>IF(I$16=1,'Assumptions - Freight'!I350*'Assumptions - Freight'!I355/1000000,0)</f>
        <v>562.75440500000002</v>
      </c>
      <c r="J270" s="12">
        <f>IF(J$16=1,'Assumptions - Freight'!J350*'Assumptions - Freight'!J355/1000000,0)</f>
        <v>579.63703715000008</v>
      </c>
      <c r="K270" s="12">
        <f>IF(K$16=1,'Assumptions - Freight'!K350*'Assumptions - Freight'!K355/1000000,0)</f>
        <v>597.02614826449997</v>
      </c>
      <c r="L270" s="12">
        <f>IF(L$16=1,'Assumptions - Freight'!L350*'Assumptions - Freight'!L355/1000000,0)</f>
        <v>614.93693271243512</v>
      </c>
      <c r="M270" s="12">
        <f>IF(M$16=1,'Assumptions - Freight'!M350*'Assumptions - Freight'!M355/1000000,0)</f>
        <v>633.38504069380815</v>
      </c>
      <c r="N270" s="12">
        <f>IF(N$16=1,'Assumptions - Freight'!N350*'Assumptions - Freight'!N355/1000000,0)</f>
        <v>652.38659191462239</v>
      </c>
      <c r="O270" s="12">
        <f>IF(O$16=1,'Assumptions - Freight'!O350*'Assumptions - Freight'!O355/1000000,0)</f>
        <v>671.95818967206105</v>
      </c>
      <c r="P270" s="12">
        <f>IF(P$16=1,'Assumptions - Freight'!P350*'Assumptions - Freight'!P355/1000000,0)</f>
        <v>692.11693536222288</v>
      </c>
      <c r="Q270" s="12">
        <f>IF(Q$16=1,'Assumptions - Freight'!Q350*'Assumptions - Freight'!Q355/1000000,0)</f>
        <v>712.88044342308967</v>
      </c>
      <c r="R270" s="12">
        <f>IF(R$16=1,'Assumptions - Freight'!R350*'Assumptions - Freight'!R355/1000000,0)</f>
        <v>734.2668567257823</v>
      </c>
      <c r="S270" s="12">
        <f>IF(S$16=1,'Assumptions - Freight'!S350*'Assumptions - Freight'!S355/1000000,0)</f>
        <v>756.29486242755581</v>
      </c>
      <c r="T270" s="12">
        <f>IF(T$16=1,'Assumptions - Freight'!T350*'Assumptions - Freight'!T355/1000000,0)</f>
        <v>778.98370830038255</v>
      </c>
      <c r="U270" s="12">
        <f>IF(U$16=1,'Assumptions - Freight'!U350*'Assumptions - Freight'!U355/1000000,0)</f>
        <v>802.35321954939388</v>
      </c>
      <c r="V270" s="12">
        <f>IF(V$16=1,'Assumptions - Freight'!V350*'Assumptions - Freight'!V355/1000000,0)</f>
        <v>826.42381613587577</v>
      </c>
      <c r="W270" s="12">
        <f>IF(W$16=1,'Assumptions - Freight'!W350*'Assumptions - Freight'!W355/1000000,0)</f>
        <v>851.2165306199521</v>
      </c>
      <c r="X270" s="12">
        <f>IF(X$16=1,'Assumptions - Freight'!X350*'Assumptions - Freight'!X355/1000000,0)</f>
        <v>876.75302653855067</v>
      </c>
      <c r="Y270" s="12">
        <f>IF(Y$16=1,'Assumptions - Freight'!Y350*'Assumptions - Freight'!Y355/1000000,0)</f>
        <v>903.05561733470722</v>
      </c>
      <c r="Z270" s="12">
        <f>IF(Z$16=1,'Assumptions - Freight'!Z350*'Assumptions - Freight'!Z355/1000000,0)</f>
        <v>930.14728585474847</v>
      </c>
      <c r="AA270" s="12">
        <f>IF(AA$16=1,'Assumptions - Freight'!AA350*'Assumptions - Freight'!AA355/1000000,0)</f>
        <v>958.05170443039083</v>
      </c>
      <c r="AB270" s="12">
        <f>IF(AB$16=1,'Assumptions - Freight'!AB350*'Assumptions - Freight'!AB355/1000000,0)</f>
        <v>986.79325556330275</v>
      </c>
      <c r="AC270" s="12">
        <f>IF(AC$16=1,'Assumptions - Freight'!AC350*'Assumptions - Freight'!AC355/1000000,0)</f>
        <v>1016.3970532302019</v>
      </c>
      <c r="AD270" s="12">
        <f>IF(AD$16=1,'Assumptions - Freight'!AD350*'Assumptions - Freight'!AD355/1000000,0)</f>
        <v>1046.8889648271079</v>
      </c>
      <c r="AE270" s="12">
        <f>IF(AE$16=1,'Assumptions - Freight'!AE350*'Assumptions - Freight'!AE355/1000000,0)</f>
        <v>1078.2956337719211</v>
      </c>
      <c r="AF270" s="12">
        <f>IF(AF$16=1,'Assumptions - Freight'!AF350*'Assumptions - Freight'!AF355/1000000,0)</f>
        <v>1110.6445027850787</v>
      </c>
      <c r="AG270" s="12">
        <f>IF(AG$16=1,'Assumptions - Freight'!AG350*'Assumptions - Freight'!AG355/1000000,0)</f>
        <v>1143.9638378686313</v>
      </c>
      <c r="AH270" s="12">
        <f>IF(AH$16=1,'Assumptions - Freight'!AH350*'Assumptions - Freight'!AH355/1000000,0)</f>
        <v>1178.2827530046902</v>
      </c>
    </row>
    <row r="271" spans="1:34" s="20" customFormat="1" ht="14" x14ac:dyDescent="0.2">
      <c r="A271" s="8"/>
      <c r="B271" s="30" t="s">
        <v>297</v>
      </c>
      <c r="C271" s="8"/>
      <c r="D271" s="8" t="s">
        <v>15</v>
      </c>
      <c r="E271" s="128" t="str">
        <f t="shared" ref="E271:AH271" si="84">IF(AND(($E$4+SUM($F$16:$AH$16))=E$4,$E$270&gt;0),(E270/$E270)^(1/SUM($F$16:$AH$16))-1," ")</f>
        <v xml:space="preserve"> </v>
      </c>
      <c r="F271" s="128" t="str">
        <f t="shared" si="84"/>
        <v xml:space="preserve"> </v>
      </c>
      <c r="G271" s="128" t="str">
        <f t="shared" si="84"/>
        <v xml:space="preserve"> </v>
      </c>
      <c r="H271" s="128" t="str">
        <f t="shared" si="84"/>
        <v xml:space="preserve"> </v>
      </c>
      <c r="I271" s="128" t="str">
        <f t="shared" si="84"/>
        <v xml:space="preserve"> </v>
      </c>
      <c r="J271" s="128" t="str">
        <f t="shared" si="84"/>
        <v xml:space="preserve"> </v>
      </c>
      <c r="K271" s="128" t="str">
        <f t="shared" si="84"/>
        <v xml:space="preserve"> </v>
      </c>
      <c r="L271" s="128" t="str">
        <f t="shared" si="84"/>
        <v xml:space="preserve"> </v>
      </c>
      <c r="M271" s="128" t="str">
        <f t="shared" si="84"/>
        <v xml:space="preserve"> </v>
      </c>
      <c r="N271" s="128" t="str">
        <f t="shared" si="84"/>
        <v xml:space="preserve"> </v>
      </c>
      <c r="O271" s="128" t="str">
        <f t="shared" si="84"/>
        <v xml:space="preserve"> </v>
      </c>
      <c r="P271" s="128" t="str">
        <f t="shared" si="84"/>
        <v xml:space="preserve"> </v>
      </c>
      <c r="Q271" s="128" t="str">
        <f t="shared" si="84"/>
        <v xml:space="preserve"> </v>
      </c>
      <c r="R271" s="128" t="str">
        <f t="shared" si="84"/>
        <v xml:space="preserve"> </v>
      </c>
      <c r="S271" s="128" t="str">
        <f t="shared" si="84"/>
        <v xml:space="preserve"> </v>
      </c>
      <c r="T271" s="128" t="str">
        <f t="shared" si="84"/>
        <v xml:space="preserve"> </v>
      </c>
      <c r="U271" s="128" t="str">
        <f t="shared" si="84"/>
        <v xml:space="preserve"> </v>
      </c>
      <c r="V271" s="128" t="str">
        <f t="shared" si="84"/>
        <v xml:space="preserve"> </v>
      </c>
      <c r="W271" s="128" t="str">
        <f t="shared" si="84"/>
        <v xml:space="preserve"> </v>
      </c>
      <c r="X271" s="128" t="str">
        <f t="shared" si="84"/>
        <v xml:space="preserve"> </v>
      </c>
      <c r="Y271" s="128" t="str">
        <f t="shared" si="84"/>
        <v xml:space="preserve"> </v>
      </c>
      <c r="Z271" s="128" t="str">
        <f t="shared" si="84"/>
        <v xml:space="preserve"> </v>
      </c>
      <c r="AA271" s="128" t="str">
        <f t="shared" si="84"/>
        <v xml:space="preserve"> </v>
      </c>
      <c r="AB271" s="128" t="str">
        <f t="shared" si="84"/>
        <v xml:space="preserve"> </v>
      </c>
      <c r="AC271" s="128" t="str">
        <f t="shared" si="84"/>
        <v xml:space="preserve"> </v>
      </c>
      <c r="AD271" s="128" t="str">
        <f t="shared" si="84"/>
        <v xml:space="preserve"> </v>
      </c>
      <c r="AE271" s="128" t="str">
        <f t="shared" si="84"/>
        <v xml:space="preserve"> </v>
      </c>
      <c r="AF271" s="128" t="str">
        <f t="shared" si="84"/>
        <v xml:space="preserve"> </v>
      </c>
      <c r="AG271" s="128" t="str">
        <f t="shared" si="84"/>
        <v xml:space="preserve"> </v>
      </c>
      <c r="AH271" s="128">
        <f t="shared" si="84"/>
        <v>3.0000000000000027E-2</v>
      </c>
    </row>
    <row r="272" spans="1:34" s="20" customFormat="1" ht="14" x14ac:dyDescent="0.2">
      <c r="A272" s="8"/>
      <c r="B272" s="7"/>
      <c r="C272" s="8"/>
      <c r="D272" s="8"/>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row>
    <row r="273" spans="1:34" x14ac:dyDescent="0.2">
      <c r="A273" s="320"/>
      <c r="B273" s="319" t="str">
        <f>"Non-operating costs of "&amp;'Assumptions - General'!$E$24</f>
        <v>Non-operating costs of Ruritania Freight Rail Company</v>
      </c>
      <c r="C273" s="320"/>
      <c r="D273" s="320"/>
      <c r="E273" s="320"/>
      <c r="F273" s="320"/>
      <c r="G273" s="320"/>
      <c r="H273" s="320"/>
      <c r="I273" s="320"/>
      <c r="J273" s="320"/>
      <c r="K273" s="320"/>
      <c r="L273" s="320"/>
      <c r="M273" s="320"/>
      <c r="N273" s="320"/>
      <c r="O273" s="320"/>
      <c r="P273" s="320"/>
      <c r="Q273" s="320"/>
      <c r="R273" s="320"/>
      <c r="S273" s="320"/>
      <c r="T273" s="320"/>
      <c r="U273" s="320"/>
      <c r="V273" s="320"/>
      <c r="W273" s="320"/>
      <c r="X273" s="320"/>
      <c r="Y273" s="320"/>
      <c r="Z273" s="320"/>
      <c r="AA273" s="320"/>
      <c r="AB273" s="320"/>
      <c r="AC273" s="320"/>
      <c r="AD273" s="320"/>
      <c r="AE273" s="320"/>
      <c r="AF273" s="320"/>
      <c r="AG273" s="320"/>
      <c r="AH273" s="320"/>
    </row>
    <row r="274" spans="1:34" s="20" customFormat="1" ht="14" x14ac:dyDescent="0.2">
      <c r="B274" s="55"/>
      <c r="E274" s="56"/>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row>
    <row r="275" spans="1:34" s="20" customFormat="1" ht="14" x14ac:dyDescent="0.2">
      <c r="B275" s="57" t="str">
        <f>'Assumptions - Freight'!E370</f>
        <v>Provisions and legal claims</v>
      </c>
      <c r="D275" s="20" t="str">
        <f>'Assumptions - General'!$E$27 &amp;" millions"</f>
        <v>R$ millions</v>
      </c>
      <c r="E275" s="463">
        <f>IF(E$16=1,'Assumptions - Freight'!E371,0)</f>
        <v>200</v>
      </c>
      <c r="F275" s="38">
        <f>IF(F$16=1,'Assumptions - Freight'!F372*'Assumptions - Freight'!F376/1000000,0)</f>
        <v>206</v>
      </c>
      <c r="G275" s="38">
        <f>IF(G$16=1,'Assumptions - Freight'!G372*'Assumptions - Freight'!G376/1000000,0)</f>
        <v>212.18</v>
      </c>
      <c r="H275" s="38">
        <f>IF(H$16=1,'Assumptions - Freight'!H372*'Assumptions - Freight'!H376/1000000,0)</f>
        <v>218.5454</v>
      </c>
      <c r="I275" s="38">
        <f>IF(I$16=1,'Assumptions - Freight'!I372*'Assumptions - Freight'!I376/1000000,0)</f>
        <v>225.10176200000001</v>
      </c>
      <c r="J275" s="38">
        <f>IF(J$16=1,'Assumptions - Freight'!J372*'Assumptions - Freight'!J376/1000000,0)</f>
        <v>231.85481485999998</v>
      </c>
      <c r="K275" s="38">
        <f>IF(K$16=1,'Assumptions - Freight'!K372*'Assumptions - Freight'!K376/1000000,0)</f>
        <v>238.81045930579998</v>
      </c>
      <c r="L275" s="38">
        <f>IF(L$16=1,'Assumptions - Freight'!L372*'Assumptions - Freight'!L376/1000000,0)</f>
        <v>245.97477308497403</v>
      </c>
      <c r="M275" s="38">
        <f>IF(M$16=1,'Assumptions - Freight'!M372*'Assumptions - Freight'!M376/1000000,0)</f>
        <v>253.35401627752324</v>
      </c>
      <c r="N275" s="38">
        <f>IF(N$16=1,'Assumptions - Freight'!N372*'Assumptions - Freight'!N376/1000000,0)</f>
        <v>260.95463676584893</v>
      </c>
      <c r="O275" s="38">
        <f>IF(O$16=1,'Assumptions - Freight'!O372*'Assumptions - Freight'!O376/1000000,0)</f>
        <v>268.78327586882443</v>
      </c>
      <c r="P275" s="38">
        <f>IF(P$16=1,'Assumptions - Freight'!P372*'Assumptions - Freight'!P376/1000000,0)</f>
        <v>276.84677414488914</v>
      </c>
      <c r="Q275" s="38">
        <f>IF(Q$16=1,'Assumptions - Freight'!Q372*'Assumptions - Freight'!Q376/1000000,0)</f>
        <v>285.1521773692358</v>
      </c>
      <c r="R275" s="38">
        <f>IF(R$16=1,'Assumptions - Freight'!R372*'Assumptions - Freight'!R376/1000000,0)</f>
        <v>293.70674269031292</v>
      </c>
      <c r="S275" s="38">
        <f>IF(S$16=1,'Assumptions - Freight'!S372*'Assumptions - Freight'!S376/1000000,0)</f>
        <v>302.5179449710223</v>
      </c>
      <c r="T275" s="38">
        <f>IF(T$16=1,'Assumptions - Freight'!T372*'Assumptions - Freight'!T376/1000000,0)</f>
        <v>311.59348332015293</v>
      </c>
      <c r="U275" s="38">
        <f>IF(U$16=1,'Assumptions - Freight'!U372*'Assumptions - Freight'!U376/1000000,0)</f>
        <v>320.94128781975752</v>
      </c>
      <c r="V275" s="38">
        <f>IF(V$16=1,'Assumptions - Freight'!V372*'Assumptions - Freight'!V376/1000000,0)</f>
        <v>330.56952645435024</v>
      </c>
      <c r="W275" s="38">
        <f>IF(W$16=1,'Assumptions - Freight'!W372*'Assumptions - Freight'!W376/1000000,0)</f>
        <v>340.48661224798076</v>
      </c>
      <c r="X275" s="38">
        <f>IF(X$16=1,'Assumptions - Freight'!X372*'Assumptions - Freight'!X376/1000000,0)</f>
        <v>350.70121061542022</v>
      </c>
      <c r="Y275" s="38">
        <f>IF(Y$16=1,'Assumptions - Freight'!Y372*'Assumptions - Freight'!Y376/1000000,0)</f>
        <v>361.22224693388284</v>
      </c>
      <c r="Z275" s="38">
        <f>IF(Z$16=1,'Assumptions - Freight'!Z372*'Assumptions - Freight'!Z376/1000000,0)</f>
        <v>372.05891434189931</v>
      </c>
      <c r="AA275" s="38">
        <f>IF(AA$16=1,'Assumptions - Freight'!AA372*'Assumptions - Freight'!AA376/1000000,0)</f>
        <v>383.22068177215635</v>
      </c>
      <c r="AB275" s="38">
        <f>IF(AB$16=1,'Assumptions - Freight'!AB372*'Assumptions - Freight'!AB376/1000000,0)</f>
        <v>394.71730222532102</v>
      </c>
      <c r="AC275" s="38">
        <f>IF(AC$16=1,'Assumptions - Freight'!AC372*'Assumptions - Freight'!AC376/1000000,0)</f>
        <v>406.55882129208067</v>
      </c>
      <c r="AD275" s="38">
        <f>IF(AD$16=1,'Assumptions - Freight'!AD372*'Assumptions - Freight'!AD376/1000000,0)</f>
        <v>418.75558593084304</v>
      </c>
      <c r="AE275" s="38">
        <f>IF(AE$16=1,'Assumptions - Freight'!AE372*'Assumptions - Freight'!AE376/1000000,0)</f>
        <v>431.31825350876829</v>
      </c>
      <c r="AF275" s="38">
        <f>IF(AF$16=1,'Assumptions - Freight'!AF372*'Assumptions - Freight'!AF376/1000000,0)</f>
        <v>444.25780111403139</v>
      </c>
      <c r="AG275" s="38">
        <f>IF(AG$16=1,'Assumptions - Freight'!AG372*'Assumptions - Freight'!AG376/1000000,0)</f>
        <v>457.58553514745233</v>
      </c>
      <c r="AH275" s="38">
        <f>IF(AH$16=1,'Assumptions - Freight'!AH372*'Assumptions - Freight'!AH376/1000000,0)</f>
        <v>471.31310120187601</v>
      </c>
    </row>
    <row r="276" spans="1:34" s="20" customFormat="1" ht="14" x14ac:dyDescent="0.2">
      <c r="B276" s="57" t="str">
        <f>'Assumptions - Freight'!E379</f>
        <v>Investment losses</v>
      </c>
      <c r="D276" s="20" t="str">
        <f>'Assumptions - General'!$E$27 &amp;" millions"</f>
        <v>R$ millions</v>
      </c>
      <c r="E276" s="466">
        <f>IF(E$16=1,'Assumptions - Freight'!E380,0)</f>
        <v>50</v>
      </c>
      <c r="F276" s="38">
        <f>IF(F$16=1,'Assumptions - Freight'!F381*'Assumptions - Freight'!F385/1000000+F277,0)</f>
        <v>51.5</v>
      </c>
      <c r="G276" s="38">
        <f>IF(G$16=1,'Assumptions - Freight'!G381*'Assumptions - Freight'!G385/1000000+G277,0)</f>
        <v>53.045000000000002</v>
      </c>
      <c r="H276" s="38">
        <f>IF(H$16=1,'Assumptions - Freight'!H381*'Assumptions - Freight'!H385/1000000+H277,0)</f>
        <v>54.63635</v>
      </c>
      <c r="I276" s="38">
        <f>IF(I$16=1,'Assumptions - Freight'!I381*'Assumptions - Freight'!I385/1000000+I277,0)</f>
        <v>56.275440500000002</v>
      </c>
      <c r="J276" s="38">
        <f>IF(J$16=1,'Assumptions - Freight'!J381*'Assumptions - Freight'!J385/1000000+J277,0)</f>
        <v>57.963703714999994</v>
      </c>
      <c r="K276" s="38">
        <f>IF(K$16=1,'Assumptions - Freight'!K381*'Assumptions - Freight'!K385/1000000+K277,0)</f>
        <v>59.702614826449995</v>
      </c>
      <c r="L276" s="38">
        <f>IF(L$16=1,'Assumptions - Freight'!L381*'Assumptions - Freight'!L385/1000000+L277,0)</f>
        <v>61.493693271243508</v>
      </c>
      <c r="M276" s="38">
        <f>IF(M$16=1,'Assumptions - Freight'!M381*'Assumptions - Freight'!M385/1000000+M277,0)</f>
        <v>63.338504069380811</v>
      </c>
      <c r="N276" s="38">
        <f>IF(N$16=1,'Assumptions - Freight'!N381*'Assumptions - Freight'!N385/1000000+N277,0)</f>
        <v>65.238659191462233</v>
      </c>
      <c r="O276" s="38">
        <f>IF(O$16=1,'Assumptions - Freight'!O381*'Assumptions - Freight'!O385/1000000+O277,0)</f>
        <v>67.195818967206108</v>
      </c>
      <c r="P276" s="38">
        <f>IF(P$16=1,'Assumptions - Freight'!P381*'Assumptions - Freight'!P385/1000000+P277,0)</f>
        <v>69.211693536222285</v>
      </c>
      <c r="Q276" s="38">
        <f>IF(Q$16=1,'Assumptions - Freight'!Q381*'Assumptions - Freight'!Q385/1000000+Q277,0)</f>
        <v>71.28804434230895</v>
      </c>
      <c r="R276" s="38">
        <f>IF(R$16=1,'Assumptions - Freight'!R381*'Assumptions - Freight'!R385/1000000+R277,0)</f>
        <v>73.42668567257823</v>
      </c>
      <c r="S276" s="38">
        <f>IF(S$16=1,'Assumptions - Freight'!S381*'Assumptions - Freight'!S385/1000000+S277,0)</f>
        <v>75.629486242755576</v>
      </c>
      <c r="T276" s="38">
        <f>IF(T$16=1,'Assumptions - Freight'!T381*'Assumptions - Freight'!T385/1000000+T277,0)</f>
        <v>77.898370830038232</v>
      </c>
      <c r="U276" s="38">
        <f>IF(U$16=1,'Assumptions - Freight'!U381*'Assumptions - Freight'!U385/1000000+U277,0)</f>
        <v>80.23532195493938</v>
      </c>
      <c r="V276" s="38">
        <f>IF(V$16=1,'Assumptions - Freight'!V381*'Assumptions - Freight'!V385/1000000+V277,0)</f>
        <v>82.64238161358756</v>
      </c>
      <c r="W276" s="38">
        <f>IF(W$16=1,'Assumptions - Freight'!W381*'Assumptions - Freight'!W385/1000000+W277,0)</f>
        <v>85.12165306199519</v>
      </c>
      <c r="X276" s="38">
        <f>IF(X$16=1,'Assumptions - Freight'!X381*'Assumptions - Freight'!X385/1000000+X277,0)</f>
        <v>87.675302653855056</v>
      </c>
      <c r="Y276" s="38">
        <f>IF(Y$16=1,'Assumptions - Freight'!Y381*'Assumptions - Freight'!Y385/1000000+Y277,0)</f>
        <v>90.305561733470711</v>
      </c>
      <c r="Z276" s="38">
        <f>IF(Z$16=1,'Assumptions - Freight'!Z381*'Assumptions - Freight'!Z385/1000000+Z277,0)</f>
        <v>93.014728585474828</v>
      </c>
      <c r="AA276" s="38">
        <f>IF(AA$16=1,'Assumptions - Freight'!AA381*'Assumptions - Freight'!AA385/1000000+AA277,0)</f>
        <v>95.805170443039088</v>
      </c>
      <c r="AB276" s="38">
        <f>IF(AB$16=1,'Assumptions - Freight'!AB381*'Assumptions - Freight'!AB385/1000000+AB277,0)</f>
        <v>98.679325556330255</v>
      </c>
      <c r="AC276" s="38">
        <f>IF(AC$16=1,'Assumptions - Freight'!AC381*'Assumptions - Freight'!AC385/1000000+AC277,0)</f>
        <v>101.63970532302017</v>
      </c>
      <c r="AD276" s="38">
        <f>IF(AD$16=1,'Assumptions - Freight'!AD381*'Assumptions - Freight'!AD385/1000000+AD277,0)</f>
        <v>104.68889648271076</v>
      </c>
      <c r="AE276" s="38">
        <f>IF(AE$16=1,'Assumptions - Freight'!AE381*'Assumptions - Freight'!AE385/1000000+AE277,0)</f>
        <v>107.82956337719207</v>
      </c>
      <c r="AF276" s="38">
        <f>IF(AF$16=1,'Assumptions - Freight'!AF381*'Assumptions - Freight'!AF385/1000000+AF277,0)</f>
        <v>111.06445027850785</v>
      </c>
      <c r="AG276" s="38">
        <f>IF(AG$16=1,'Assumptions - Freight'!AG381*'Assumptions - Freight'!AG385/1000000+AG277,0)</f>
        <v>114.39638378686308</v>
      </c>
      <c r="AH276" s="38">
        <f>IF(AH$16=1,'Assumptions - Freight'!AH381*'Assumptions - Freight'!AH385/1000000+AH277,0)</f>
        <v>117.828275300469</v>
      </c>
    </row>
    <row r="277" spans="1:34" s="20" customFormat="1" ht="14" x14ac:dyDescent="0.2">
      <c r="B277" s="271" t="s">
        <v>693</v>
      </c>
      <c r="D277" s="20" t="str">
        <f>'Assumptions - General'!$E$27 &amp;" millions"</f>
        <v>R$ millions</v>
      </c>
      <c r="E277" s="466">
        <v>0</v>
      </c>
      <c r="F277" s="38">
        <f>IF(F$16=1,IF(F335/E335&gt;1,F337-F337/(F335/E335),0)+IF(F351/E351&gt;1,F353-F353/(F351/E351),0)+IF(F367/E367&gt;1,F369-F369/(F367/E367),0)+IF(F393/E393&gt;1,F395-F395/(F393/E393),0)+IF(F423/E423&gt;1,F425-F425/(F423/E423),0)+IF(F453/E453&gt;1,F455-F455/(F453/E453),0)+IF(F483/E483&gt;1,F485-F485/(F483/E483),0)+IF(F393/E393&lt;1,F396/(F393/E393)-F396,0)+IF(F423/E423&lt;1,F426/(F423/E423)-F426,0)+IF(F453/E453&lt;1,F456/(F453/E453)-F456,0)+IF(F483/E483&lt;1,F486/(F483/E483)-F486,0),0)</f>
        <v>0</v>
      </c>
      <c r="G277" s="38">
        <f t="shared" ref="G277:AH277" si="85">IF(G$16=1,IF(G335/F335&gt;1,G337-G337/(G335/F335),0)+IF(G351/F351&gt;1,G353-G353/(G351/F351),0)+IF(G367/F367&gt;1,G369-G369/(G367/F367),0)+IF(G393/F393&gt;1,G395-G395/(G393/F393),0)+IF(G423/F423&gt;1,G425-G425/(G423/F423),0)+IF(G453/F453&gt;1,G455-G455/(G453/F453),0)+IF(G483/F483&gt;1,G485-G485/(G483/F483),0)+IF(G393/F393&lt;1,G396/(G393/F393)-G396,0)+IF(G423/F423&lt;1,G426/(G423/F423)-G426,0)+IF(G453/F453&lt;1,G456/(G453/F453)-G456,0)+IF(G483/F483&lt;1,G486/(G483/F483)-G486,0),0)</f>
        <v>0</v>
      </c>
      <c r="H277" s="38">
        <f t="shared" si="85"/>
        <v>0</v>
      </c>
      <c r="I277" s="38">
        <f t="shared" si="85"/>
        <v>0</v>
      </c>
      <c r="J277" s="38">
        <f t="shared" si="85"/>
        <v>0</v>
      </c>
      <c r="K277" s="38">
        <f t="shared" si="85"/>
        <v>0</v>
      </c>
      <c r="L277" s="38">
        <f t="shared" si="85"/>
        <v>0</v>
      </c>
      <c r="M277" s="38">
        <f t="shared" si="85"/>
        <v>0</v>
      </c>
      <c r="N277" s="38">
        <f t="shared" si="85"/>
        <v>0</v>
      </c>
      <c r="O277" s="38">
        <f t="shared" si="85"/>
        <v>0</v>
      </c>
      <c r="P277" s="38">
        <f t="shared" si="85"/>
        <v>0</v>
      </c>
      <c r="Q277" s="38">
        <f t="shared" si="85"/>
        <v>0</v>
      </c>
      <c r="R277" s="38">
        <f t="shared" si="85"/>
        <v>0</v>
      </c>
      <c r="S277" s="38">
        <f t="shared" si="85"/>
        <v>0</v>
      </c>
      <c r="T277" s="38">
        <f t="shared" si="85"/>
        <v>0</v>
      </c>
      <c r="U277" s="38">
        <f t="shared" si="85"/>
        <v>0</v>
      </c>
      <c r="V277" s="38">
        <f t="shared" si="85"/>
        <v>0</v>
      </c>
      <c r="W277" s="38">
        <f t="shared" si="85"/>
        <v>0</v>
      </c>
      <c r="X277" s="38">
        <f t="shared" si="85"/>
        <v>0</v>
      </c>
      <c r="Y277" s="38">
        <f t="shared" si="85"/>
        <v>0</v>
      </c>
      <c r="Z277" s="38">
        <f t="shared" si="85"/>
        <v>0</v>
      </c>
      <c r="AA277" s="38">
        <f t="shared" si="85"/>
        <v>0</v>
      </c>
      <c r="AB277" s="38">
        <f t="shared" si="85"/>
        <v>0</v>
      </c>
      <c r="AC277" s="38">
        <f t="shared" si="85"/>
        <v>0</v>
      </c>
      <c r="AD277" s="38">
        <f t="shared" si="85"/>
        <v>0</v>
      </c>
      <c r="AE277" s="38">
        <f t="shared" si="85"/>
        <v>0</v>
      </c>
      <c r="AF277" s="38">
        <f t="shared" si="85"/>
        <v>0</v>
      </c>
      <c r="AG277" s="38">
        <f t="shared" si="85"/>
        <v>0</v>
      </c>
      <c r="AH277" s="38">
        <f t="shared" si="85"/>
        <v>0</v>
      </c>
    </row>
    <row r="278" spans="1:34" s="20" customFormat="1" ht="14" x14ac:dyDescent="0.2">
      <c r="B278" s="57" t="str">
        <f>'Assumptions - Freight'!E388</f>
        <v>Other</v>
      </c>
      <c r="D278" s="20" t="str">
        <f>'Assumptions - General'!$E$27 &amp;" millions"</f>
        <v>R$ millions</v>
      </c>
      <c r="E278" s="463">
        <f>IF(E$16=1,'Assumptions - Freight'!E389,0)</f>
        <v>50</v>
      </c>
      <c r="F278" s="38">
        <f>IF(F$16=1,'Assumptions - Freight'!F390*'Assumptions - Freight'!F394/1000000,0)</f>
        <v>51.5</v>
      </c>
      <c r="G278" s="38">
        <f>IF(G$16=1,'Assumptions - Freight'!G390*'Assumptions - Freight'!G394/1000000,0)</f>
        <v>53.045000000000002</v>
      </c>
      <c r="H278" s="38">
        <f>IF(H$16=1,'Assumptions - Freight'!H390*'Assumptions - Freight'!H394/1000000,0)</f>
        <v>54.63635</v>
      </c>
      <c r="I278" s="38">
        <f>IF(I$16=1,'Assumptions - Freight'!I390*'Assumptions - Freight'!I394/1000000,0)</f>
        <v>56.275440500000002</v>
      </c>
      <c r="J278" s="38">
        <f>IF(J$16=1,'Assumptions - Freight'!J390*'Assumptions - Freight'!J394/1000000,0)</f>
        <v>57.963703714999994</v>
      </c>
      <c r="K278" s="38">
        <f>IF(K$16=1,'Assumptions - Freight'!K390*'Assumptions - Freight'!K394/1000000,0)</f>
        <v>59.702614826449995</v>
      </c>
      <c r="L278" s="38">
        <f>IF(L$16=1,'Assumptions - Freight'!L390*'Assumptions - Freight'!L394/1000000,0)</f>
        <v>61.493693271243508</v>
      </c>
      <c r="M278" s="38">
        <f>IF(M$16=1,'Assumptions - Freight'!M390*'Assumptions - Freight'!M394/1000000,0)</f>
        <v>63.338504069380811</v>
      </c>
      <c r="N278" s="38">
        <f>IF(N$16=1,'Assumptions - Freight'!N390*'Assumptions - Freight'!N394/1000000,0)</f>
        <v>65.238659191462233</v>
      </c>
      <c r="O278" s="38">
        <f>IF(O$16=1,'Assumptions - Freight'!O390*'Assumptions - Freight'!O394/1000000,0)</f>
        <v>67.195818967206108</v>
      </c>
      <c r="P278" s="38">
        <f>IF(P$16=1,'Assumptions - Freight'!P390*'Assumptions - Freight'!P394/1000000,0)</f>
        <v>69.211693536222285</v>
      </c>
      <c r="Q278" s="38">
        <f>IF(Q$16=1,'Assumptions - Freight'!Q390*'Assumptions - Freight'!Q394/1000000,0)</f>
        <v>71.28804434230895</v>
      </c>
      <c r="R278" s="38">
        <f>IF(R$16=1,'Assumptions - Freight'!R390*'Assumptions - Freight'!R394/1000000,0)</f>
        <v>73.42668567257823</v>
      </c>
      <c r="S278" s="38">
        <f>IF(S$16=1,'Assumptions - Freight'!S390*'Assumptions - Freight'!S394/1000000,0)</f>
        <v>75.629486242755576</v>
      </c>
      <c r="T278" s="38">
        <f>IF(T$16=1,'Assumptions - Freight'!T390*'Assumptions - Freight'!T394/1000000,0)</f>
        <v>77.898370830038232</v>
      </c>
      <c r="U278" s="38">
        <f>IF(U$16=1,'Assumptions - Freight'!U390*'Assumptions - Freight'!U394/1000000,0)</f>
        <v>80.23532195493938</v>
      </c>
      <c r="V278" s="38">
        <f>IF(V$16=1,'Assumptions - Freight'!V390*'Assumptions - Freight'!V394/1000000,0)</f>
        <v>82.64238161358756</v>
      </c>
      <c r="W278" s="38">
        <f>IF(W$16=1,'Assumptions - Freight'!W390*'Assumptions - Freight'!W394/1000000,0)</f>
        <v>85.12165306199519</v>
      </c>
      <c r="X278" s="38">
        <f>IF(X$16=1,'Assumptions - Freight'!X390*'Assumptions - Freight'!X394/1000000,0)</f>
        <v>87.675302653855056</v>
      </c>
      <c r="Y278" s="38">
        <f>IF(Y$16=1,'Assumptions - Freight'!Y390*'Assumptions - Freight'!Y394/1000000,0)</f>
        <v>90.305561733470711</v>
      </c>
      <c r="Z278" s="38">
        <f>IF(Z$16=1,'Assumptions - Freight'!Z390*'Assumptions - Freight'!Z394/1000000,0)</f>
        <v>93.014728585474828</v>
      </c>
      <c r="AA278" s="38">
        <f>IF(AA$16=1,'Assumptions - Freight'!AA390*'Assumptions - Freight'!AA394/1000000,0)</f>
        <v>95.805170443039088</v>
      </c>
      <c r="AB278" s="38">
        <f>IF(AB$16=1,'Assumptions - Freight'!AB390*'Assumptions - Freight'!AB394/1000000,0)</f>
        <v>98.679325556330255</v>
      </c>
      <c r="AC278" s="38">
        <f>IF(AC$16=1,'Assumptions - Freight'!AC390*'Assumptions - Freight'!AC394/1000000,0)</f>
        <v>101.63970532302017</v>
      </c>
      <c r="AD278" s="38">
        <f>IF(AD$16=1,'Assumptions - Freight'!AD390*'Assumptions - Freight'!AD394/1000000,0)</f>
        <v>104.68889648271076</v>
      </c>
      <c r="AE278" s="38">
        <f>IF(AE$16=1,'Assumptions - Freight'!AE390*'Assumptions - Freight'!AE394/1000000,0)</f>
        <v>107.82956337719207</v>
      </c>
      <c r="AF278" s="38">
        <f>IF(AF$16=1,'Assumptions - Freight'!AF390*'Assumptions - Freight'!AF394/1000000,0)</f>
        <v>111.06445027850785</v>
      </c>
      <c r="AG278" s="38">
        <f>IF(AG$16=1,'Assumptions - Freight'!AG390*'Assumptions - Freight'!AG394/1000000,0)</f>
        <v>114.39638378686308</v>
      </c>
      <c r="AH278" s="38">
        <f>IF(AH$16=1,'Assumptions - Freight'!AH390*'Assumptions - Freight'!AH394/1000000,0)</f>
        <v>117.828275300469</v>
      </c>
    </row>
    <row r="279" spans="1:34" s="20" customFormat="1" ht="14" x14ac:dyDescent="0.2">
      <c r="B279" s="57" t="s">
        <v>322</v>
      </c>
      <c r="D279" s="20" t="s">
        <v>15</v>
      </c>
      <c r="E279" s="466" t="str">
        <f t="shared" ref="E279:AH279" si="86">IF(E16=1,IF(AND(SUM($E$275:$AH$278)&gt;0,($E$4+SUM($F$16:$AH$16))=E$4),(SUM(E275:E278)/SUM($E275:$E278))^(1/SUM($F$16:$AH$16))-1," ")," ")</f>
        <v xml:space="preserve"> </v>
      </c>
      <c r="F279" s="128" t="str">
        <f t="shared" si="86"/>
        <v xml:space="preserve"> </v>
      </c>
      <c r="G279" s="128" t="str">
        <f t="shared" si="86"/>
        <v xml:space="preserve"> </v>
      </c>
      <c r="H279" s="128" t="str">
        <f t="shared" si="86"/>
        <v xml:space="preserve"> </v>
      </c>
      <c r="I279" s="128" t="str">
        <f t="shared" si="86"/>
        <v xml:space="preserve"> </v>
      </c>
      <c r="J279" s="128" t="str">
        <f t="shared" si="86"/>
        <v xml:space="preserve"> </v>
      </c>
      <c r="K279" s="128" t="str">
        <f t="shared" si="86"/>
        <v xml:space="preserve"> </v>
      </c>
      <c r="L279" s="128" t="str">
        <f t="shared" si="86"/>
        <v xml:space="preserve"> </v>
      </c>
      <c r="M279" s="128" t="str">
        <f t="shared" si="86"/>
        <v xml:space="preserve"> </v>
      </c>
      <c r="N279" s="128" t="str">
        <f t="shared" si="86"/>
        <v xml:space="preserve"> </v>
      </c>
      <c r="O279" s="128" t="str">
        <f t="shared" si="86"/>
        <v xml:space="preserve"> </v>
      </c>
      <c r="P279" s="128" t="str">
        <f t="shared" si="86"/>
        <v xml:space="preserve"> </v>
      </c>
      <c r="Q279" s="128" t="str">
        <f t="shared" si="86"/>
        <v xml:space="preserve"> </v>
      </c>
      <c r="R279" s="128" t="str">
        <f t="shared" si="86"/>
        <v xml:space="preserve"> </v>
      </c>
      <c r="S279" s="128" t="str">
        <f t="shared" si="86"/>
        <v xml:space="preserve"> </v>
      </c>
      <c r="T279" s="128" t="str">
        <f t="shared" si="86"/>
        <v xml:space="preserve"> </v>
      </c>
      <c r="U279" s="128" t="str">
        <f t="shared" si="86"/>
        <v xml:space="preserve"> </v>
      </c>
      <c r="V279" s="128" t="str">
        <f t="shared" si="86"/>
        <v xml:space="preserve"> </v>
      </c>
      <c r="W279" s="128" t="str">
        <f t="shared" si="86"/>
        <v xml:space="preserve"> </v>
      </c>
      <c r="X279" s="128" t="str">
        <f t="shared" si="86"/>
        <v xml:space="preserve"> </v>
      </c>
      <c r="Y279" s="128" t="str">
        <f t="shared" si="86"/>
        <v xml:space="preserve"> </v>
      </c>
      <c r="Z279" s="128" t="str">
        <f t="shared" si="86"/>
        <v xml:space="preserve"> </v>
      </c>
      <c r="AA279" s="128" t="str">
        <f t="shared" si="86"/>
        <v xml:space="preserve"> </v>
      </c>
      <c r="AB279" s="128" t="str">
        <f t="shared" si="86"/>
        <v xml:space="preserve"> </v>
      </c>
      <c r="AC279" s="128" t="str">
        <f t="shared" si="86"/>
        <v xml:space="preserve"> </v>
      </c>
      <c r="AD279" s="128" t="str">
        <f t="shared" si="86"/>
        <v xml:space="preserve"> </v>
      </c>
      <c r="AE279" s="128" t="str">
        <f t="shared" si="86"/>
        <v xml:space="preserve"> </v>
      </c>
      <c r="AF279" s="128" t="str">
        <f t="shared" si="86"/>
        <v xml:space="preserve"> </v>
      </c>
      <c r="AG279" s="128" t="str">
        <f t="shared" si="86"/>
        <v xml:space="preserve"> </v>
      </c>
      <c r="AH279" s="128">
        <f t="shared" si="86"/>
        <v>3.0000000000000027E-2</v>
      </c>
    </row>
    <row r="280" spans="1:34" s="20" customFormat="1" ht="14" x14ac:dyDescent="0.2">
      <c r="B280" s="55"/>
      <c r="E280" s="56"/>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row>
    <row r="281" spans="1:34" x14ac:dyDescent="0.2">
      <c r="A281" s="320"/>
      <c r="B281" s="319" t="str">
        <f>"Dividends for " &amp; 'Assumptions - General'!E24</f>
        <v>Dividends for Ruritania Freight Rail Company</v>
      </c>
      <c r="C281" s="320"/>
      <c r="D281" s="320"/>
      <c r="E281" s="320"/>
      <c r="F281" s="320"/>
      <c r="G281" s="320"/>
      <c r="H281" s="320"/>
      <c r="I281" s="320"/>
      <c r="J281" s="320"/>
      <c r="K281" s="320"/>
      <c r="L281" s="320"/>
      <c r="M281" s="320"/>
      <c r="N281" s="320"/>
      <c r="O281" s="320"/>
      <c r="P281" s="320"/>
      <c r="Q281" s="320"/>
      <c r="R281" s="320"/>
      <c r="S281" s="320"/>
      <c r="T281" s="320"/>
      <c r="U281" s="320"/>
      <c r="V281" s="320"/>
      <c r="W281" s="320"/>
      <c r="X281" s="320"/>
      <c r="Y281" s="320"/>
      <c r="Z281" s="320"/>
      <c r="AA281" s="320"/>
      <c r="AB281" s="320"/>
      <c r="AC281" s="320"/>
      <c r="AD281" s="320"/>
      <c r="AE281" s="320"/>
      <c r="AF281" s="320"/>
      <c r="AG281" s="320"/>
      <c r="AH281" s="320"/>
    </row>
    <row r="282" spans="1:34" s="20" customFormat="1" ht="14" x14ac:dyDescent="0.2">
      <c r="A282" s="8"/>
      <c r="B282" s="8"/>
      <c r="C282" s="8"/>
      <c r="D282" s="8"/>
      <c r="E282" s="15"/>
      <c r="F282" s="8"/>
      <c r="G282" s="8"/>
      <c r="H282" s="8"/>
      <c r="I282" s="8"/>
      <c r="J282" s="8"/>
      <c r="K282" s="8"/>
      <c r="L282" s="8"/>
      <c r="M282" s="8"/>
      <c r="N282" s="8"/>
      <c r="O282" s="8"/>
      <c r="P282" s="8"/>
      <c r="Q282" s="8"/>
      <c r="R282" s="8"/>
      <c r="S282" s="8"/>
      <c r="T282" s="8"/>
      <c r="U282" s="8"/>
      <c r="V282" s="8"/>
      <c r="W282" s="8"/>
      <c r="X282" s="8"/>
      <c r="Y282" s="8"/>
      <c r="Z282" s="8"/>
      <c r="AA282" s="8"/>
      <c r="AB282" s="8"/>
      <c r="AC282" s="8"/>
      <c r="AD282" s="8"/>
      <c r="AE282" s="8"/>
      <c r="AF282" s="8"/>
      <c r="AG282" s="8"/>
      <c r="AH282" s="8"/>
    </row>
    <row r="283" spans="1:34" s="20" customFormat="1" ht="14" x14ac:dyDescent="0.2">
      <c r="A283" s="8"/>
      <c r="B283" s="8" t="s">
        <v>151</v>
      </c>
      <c r="C283" s="8"/>
      <c r="D283" s="8" t="str">
        <f>'Assumptions - General'!$E$27 &amp;" millions"</f>
        <v>R$ millions</v>
      </c>
      <c r="E283" s="41">
        <f>'Cash flow statement'!E70</f>
        <v>0</v>
      </c>
      <c r="F283" s="41">
        <f>'Cash flow statement'!F70</f>
        <v>16477.046970629839</v>
      </c>
      <c r="G283" s="41">
        <f>'Cash flow statement'!G70</f>
        <v>16944.906106330964</v>
      </c>
      <c r="H283" s="41">
        <f>'Cash flow statement'!H70</f>
        <v>17454.71630941844</v>
      </c>
      <c r="I283" s="41">
        <f>'Cash flow statement'!I70</f>
        <v>18023.968362515534</v>
      </c>
      <c r="J283" s="41">
        <f>'Cash flow statement'!J70</f>
        <v>18710.88325055912</v>
      </c>
      <c r="K283" s="41">
        <f>'Cash flow statement'!K70</f>
        <v>21458.625322478765</v>
      </c>
      <c r="L283" s="41">
        <f>'Cash flow statement'!L70</f>
        <v>22761.486554495768</v>
      </c>
      <c r="M283" s="41">
        <f>'Cash flow statement'!M70</f>
        <v>23652.992656286791</v>
      </c>
      <c r="N283" s="41">
        <f>'Cash flow statement'!N70</f>
        <v>24571.946970394922</v>
      </c>
      <c r="O283" s="41">
        <f>'Cash flow statement'!O70</f>
        <v>25187.393534388364</v>
      </c>
      <c r="P283" s="41">
        <f>'Cash flow statement'!P70</f>
        <v>26058.742542487147</v>
      </c>
      <c r="Q283" s="41">
        <f>'Cash flow statement'!Q70</f>
        <v>26978.603549357798</v>
      </c>
      <c r="R283" s="41">
        <f>'Cash flow statement'!R70</f>
        <v>27926.463651523321</v>
      </c>
      <c r="S283" s="41">
        <f>'Cash flow statement'!S70</f>
        <v>28903.145321344196</v>
      </c>
      <c r="T283" s="41">
        <f>'Cash flow statement'!T70</f>
        <v>29909.495003098731</v>
      </c>
      <c r="U283" s="41">
        <f>'Cash flow statement'!U70</f>
        <v>30942.140062597857</v>
      </c>
      <c r="V283" s="41">
        <f>'Cash flow statement'!V70</f>
        <v>31998.270886166159</v>
      </c>
      <c r="W283" s="41">
        <f>'Cash flow statement'!W70</f>
        <v>33093.080826531412</v>
      </c>
      <c r="X283" s="41">
        <f>'Cash flow statement'!X70</f>
        <v>34227.178073291288</v>
      </c>
      <c r="Y283" s="41">
        <f>'Cash flow statement'!Y70</f>
        <v>35395.561813758432</v>
      </c>
      <c r="Z283" s="41">
        <f>'Cash flow statement'!Z70</f>
        <v>36598.397775231439</v>
      </c>
      <c r="AA283" s="41">
        <f>'Cash flow statement'!AA70</f>
        <v>37838.391171029165</v>
      </c>
      <c r="AB283" s="41">
        <f>'Cash flow statement'!AB70</f>
        <v>39115.776924376565</v>
      </c>
      <c r="AC283" s="41">
        <f>'Cash flow statement'!AC70</f>
        <v>40431.651292758943</v>
      </c>
      <c r="AD283" s="41">
        <f>'Cash flow statement'!AD70</f>
        <v>41787.142487594814</v>
      </c>
      <c r="AE283" s="41">
        <f>'Cash flow statement'!AE70</f>
        <v>43183.411605941845</v>
      </c>
      <c r="AF283" s="41">
        <f>'Cash flow statement'!AF70</f>
        <v>44621.653589363239</v>
      </c>
      <c r="AG283" s="41">
        <f>'Cash flow statement'!AG70</f>
        <v>46103.098210758559</v>
      </c>
      <c r="AH283" s="41">
        <f>'Cash flow statement'!AH70</f>
        <v>47629.011089983949</v>
      </c>
    </row>
    <row r="284" spans="1:34" s="20" customFormat="1" ht="14" x14ac:dyDescent="0.2">
      <c r="A284" s="8"/>
      <c r="B284" s="8" t="s">
        <v>175</v>
      </c>
      <c r="C284" s="8"/>
      <c r="D284" s="8" t="str">
        <f>'Assumptions - General'!$E$27 &amp;" millions"</f>
        <v>R$ millions</v>
      </c>
      <c r="E284" s="29">
        <f t="shared" ref="E284:AH284" si="87">IF(E16=1,E340+E356+E372+E402+E432+E462+E492,0)</f>
        <v>15</v>
      </c>
      <c r="F284" s="29">
        <f t="shared" si="87"/>
        <v>30.35</v>
      </c>
      <c r="G284" s="29">
        <f t="shared" si="87"/>
        <v>58.936750000000004</v>
      </c>
      <c r="H284" s="29">
        <f t="shared" si="87"/>
        <v>49.229249999999993</v>
      </c>
      <c r="I284" s="29">
        <f t="shared" si="87"/>
        <v>53.421875</v>
      </c>
      <c r="J284" s="29">
        <f t="shared" si="87"/>
        <v>57.439000000000007</v>
      </c>
      <c r="K284" s="29">
        <f t="shared" si="87"/>
        <v>61.326750000000004</v>
      </c>
      <c r="L284" s="29">
        <f t="shared" si="87"/>
        <v>62.479375000000005</v>
      </c>
      <c r="M284" s="29">
        <f t="shared" si="87"/>
        <v>61.020625000000003</v>
      </c>
      <c r="N284" s="29">
        <f t="shared" si="87"/>
        <v>59.410625000000003</v>
      </c>
      <c r="O284" s="29">
        <f t="shared" si="87"/>
        <v>56.21875</v>
      </c>
      <c r="P284" s="29">
        <f t="shared" si="87"/>
        <v>25.25</v>
      </c>
      <c r="Q284" s="29">
        <f t="shared" si="87"/>
        <v>25.25</v>
      </c>
      <c r="R284" s="29">
        <f t="shared" si="87"/>
        <v>25.25</v>
      </c>
      <c r="S284" s="29">
        <f t="shared" si="87"/>
        <v>25.25</v>
      </c>
      <c r="T284" s="29">
        <f t="shared" si="87"/>
        <v>25.25</v>
      </c>
      <c r="U284" s="29">
        <f t="shared" si="87"/>
        <v>438.125</v>
      </c>
      <c r="V284" s="29">
        <f t="shared" si="87"/>
        <v>1</v>
      </c>
      <c r="W284" s="29">
        <f t="shared" si="87"/>
        <v>1</v>
      </c>
      <c r="X284" s="29">
        <f t="shared" si="87"/>
        <v>1</v>
      </c>
      <c r="Y284" s="29">
        <f t="shared" si="87"/>
        <v>1</v>
      </c>
      <c r="Z284" s="29">
        <f t="shared" si="87"/>
        <v>1</v>
      </c>
      <c r="AA284" s="29">
        <f t="shared" si="87"/>
        <v>1</v>
      </c>
      <c r="AB284" s="29">
        <f t="shared" si="87"/>
        <v>1</v>
      </c>
      <c r="AC284" s="29">
        <f t="shared" si="87"/>
        <v>1</v>
      </c>
      <c r="AD284" s="29">
        <f t="shared" si="87"/>
        <v>1</v>
      </c>
      <c r="AE284" s="29">
        <f t="shared" si="87"/>
        <v>1</v>
      </c>
      <c r="AF284" s="29">
        <f t="shared" si="87"/>
        <v>1</v>
      </c>
      <c r="AG284" s="29">
        <f t="shared" si="87"/>
        <v>1</v>
      </c>
      <c r="AH284" s="29">
        <f t="shared" si="87"/>
        <v>1</v>
      </c>
    </row>
    <row r="285" spans="1:34" s="20" customFormat="1" ht="14" x14ac:dyDescent="0.2">
      <c r="A285" s="8"/>
      <c r="B285" s="8" t="s">
        <v>152</v>
      </c>
      <c r="C285" s="8"/>
      <c r="D285" s="8" t="s">
        <v>118</v>
      </c>
      <c r="E285" s="50" t="str">
        <f>IF(E16=1,IF(OR(ROUND(E284,0)=0,ROUND(E283,0)=0),"N/A",E283/E284),0)</f>
        <v>N/A</v>
      </c>
      <c r="F285" s="50">
        <f t="shared" ref="F285:AH285" si="88">IF(F16=1,IF(OR(ROUND(F284,0)=0,ROUND(F283,0)=0),"N/A",F283/F284),0)</f>
        <v>542.90105339801778</v>
      </c>
      <c r="G285" s="50">
        <f t="shared" si="88"/>
        <v>287.51001889875101</v>
      </c>
      <c r="H285" s="50">
        <f t="shared" si="88"/>
        <v>354.55986653094334</v>
      </c>
      <c r="I285" s="50">
        <f t="shared" si="88"/>
        <v>337.38928786223869</v>
      </c>
      <c r="J285" s="50">
        <f t="shared" si="88"/>
        <v>325.75224587056039</v>
      </c>
      <c r="K285" s="50">
        <f t="shared" si="88"/>
        <v>349.90644902067635</v>
      </c>
      <c r="L285" s="50">
        <f t="shared" si="88"/>
        <v>364.30400519364616</v>
      </c>
      <c r="M285" s="50">
        <f t="shared" si="88"/>
        <v>387.62291694466899</v>
      </c>
      <c r="N285" s="50">
        <f t="shared" si="88"/>
        <v>413.59516029994501</v>
      </c>
      <c r="O285" s="50">
        <f t="shared" si="88"/>
        <v>448.02478771563517</v>
      </c>
      <c r="P285" s="50">
        <f t="shared" si="88"/>
        <v>1032.0294076232533</v>
      </c>
      <c r="Q285" s="50">
        <f t="shared" si="88"/>
        <v>1068.4595465092198</v>
      </c>
      <c r="R285" s="50">
        <f t="shared" si="88"/>
        <v>1105.9985604563692</v>
      </c>
      <c r="S285" s="50">
        <f t="shared" si="88"/>
        <v>1144.6790226274929</v>
      </c>
      <c r="T285" s="50">
        <f t="shared" si="88"/>
        <v>1184.5344555682666</v>
      </c>
      <c r="U285" s="50">
        <f t="shared" si="88"/>
        <v>70.62400014287671</v>
      </c>
      <c r="V285" s="50">
        <f t="shared" si="88"/>
        <v>31998.270886166159</v>
      </c>
      <c r="W285" s="50">
        <f t="shared" si="88"/>
        <v>33093.080826531412</v>
      </c>
      <c r="X285" s="50">
        <f t="shared" si="88"/>
        <v>34227.178073291288</v>
      </c>
      <c r="Y285" s="50">
        <f t="shared" si="88"/>
        <v>35395.561813758432</v>
      </c>
      <c r="Z285" s="50">
        <f t="shared" si="88"/>
        <v>36598.397775231439</v>
      </c>
      <c r="AA285" s="50">
        <f t="shared" si="88"/>
        <v>37838.391171029165</v>
      </c>
      <c r="AB285" s="50">
        <f t="shared" si="88"/>
        <v>39115.776924376565</v>
      </c>
      <c r="AC285" s="50">
        <f t="shared" si="88"/>
        <v>40431.651292758943</v>
      </c>
      <c r="AD285" s="50">
        <f t="shared" si="88"/>
        <v>41787.142487594814</v>
      </c>
      <c r="AE285" s="50">
        <f t="shared" si="88"/>
        <v>43183.411605941845</v>
      </c>
      <c r="AF285" s="50">
        <f t="shared" si="88"/>
        <v>44621.653589363239</v>
      </c>
      <c r="AG285" s="50">
        <f t="shared" si="88"/>
        <v>46103.098210758559</v>
      </c>
      <c r="AH285" s="50">
        <f t="shared" si="88"/>
        <v>47629.011089983949</v>
      </c>
    </row>
    <row r="286" spans="1:34" s="20" customFormat="1" ht="14" x14ac:dyDescent="0.2">
      <c r="A286" s="8"/>
      <c r="B286" s="8" t="s">
        <v>153</v>
      </c>
      <c r="C286" s="8"/>
      <c r="D286" s="8" t="s">
        <v>118</v>
      </c>
      <c r="E286" s="42">
        <f>IF(E16=1,'Assumptions - Freight'!$E$406,0)</f>
        <v>1.2</v>
      </c>
      <c r="F286" s="42">
        <f>IF(F16=1,'Assumptions - Freight'!$E$406,0)</f>
        <v>1.2</v>
      </c>
      <c r="G286" s="42">
        <f>IF(G16=1,'Assumptions - Freight'!$E$406,0)</f>
        <v>1.2</v>
      </c>
      <c r="H286" s="42">
        <f>IF(H16=1,'Assumptions - Freight'!$E$406,0)</f>
        <v>1.2</v>
      </c>
      <c r="I286" s="42">
        <f>IF(I16=1,'Assumptions - Freight'!$E$406,0)</f>
        <v>1.2</v>
      </c>
      <c r="J286" s="42">
        <f>IF(J16=1,'Assumptions - Freight'!$E$406,0)</f>
        <v>1.2</v>
      </c>
      <c r="K286" s="42">
        <f>IF(K16=1,'Assumptions - Freight'!$E$406,0)</f>
        <v>1.2</v>
      </c>
      <c r="L286" s="42">
        <f>IF(L16=1,'Assumptions - Freight'!$E$406,0)</f>
        <v>1.2</v>
      </c>
      <c r="M286" s="42">
        <f>IF(M16=1,'Assumptions - Freight'!$E$406,0)</f>
        <v>1.2</v>
      </c>
      <c r="N286" s="42">
        <f>IF(N16=1,'Assumptions - Freight'!$E$406,0)</f>
        <v>1.2</v>
      </c>
      <c r="O286" s="42">
        <f>IF(O16=1,'Assumptions - Freight'!$E$406,0)</f>
        <v>1.2</v>
      </c>
      <c r="P286" s="42">
        <f>IF(P16=1,'Assumptions - Freight'!$E$406,0)</f>
        <v>1.2</v>
      </c>
      <c r="Q286" s="42">
        <f>IF(Q16=1,'Assumptions - Freight'!$E$406,0)</f>
        <v>1.2</v>
      </c>
      <c r="R286" s="42">
        <f>IF(R16=1,'Assumptions - Freight'!$E$406,0)</f>
        <v>1.2</v>
      </c>
      <c r="S286" s="42">
        <f>IF(S16=1,'Assumptions - Freight'!$E$406,0)</f>
        <v>1.2</v>
      </c>
      <c r="T286" s="42">
        <f>IF(T16=1,'Assumptions - Freight'!$E$406,0)</f>
        <v>1.2</v>
      </c>
      <c r="U286" s="42">
        <f>IF(U16=1,'Assumptions - Freight'!$E$406,0)</f>
        <v>1.2</v>
      </c>
      <c r="V286" s="42">
        <f>IF(V16=1,'Assumptions - Freight'!$E$406,0)</f>
        <v>1.2</v>
      </c>
      <c r="W286" s="42">
        <f>IF(W16=1,'Assumptions - Freight'!$E$406,0)</f>
        <v>1.2</v>
      </c>
      <c r="X286" s="42">
        <f>IF(X16=1,'Assumptions - Freight'!$E$406,0)</f>
        <v>1.2</v>
      </c>
      <c r="Y286" s="42">
        <f>IF(Y16=1,'Assumptions - Freight'!$E$406,0)</f>
        <v>1.2</v>
      </c>
      <c r="Z286" s="42">
        <f>IF(Z16=1,'Assumptions - Freight'!$E$406,0)</f>
        <v>1.2</v>
      </c>
      <c r="AA286" s="42">
        <f>IF(AA16=1,'Assumptions - Freight'!$E$406,0)</f>
        <v>1.2</v>
      </c>
      <c r="AB286" s="42">
        <f>IF(AB16=1,'Assumptions - Freight'!$E$406,0)</f>
        <v>1.2</v>
      </c>
      <c r="AC286" s="42">
        <f>IF(AC16=1,'Assumptions - Freight'!$E$406,0)</f>
        <v>1.2</v>
      </c>
      <c r="AD286" s="42">
        <f>IF(AD16=1,'Assumptions - Freight'!$E$406,0)</f>
        <v>1.2</v>
      </c>
      <c r="AE286" s="42">
        <f>IF(AE16=1,'Assumptions - Freight'!$E$406,0)</f>
        <v>1.2</v>
      </c>
      <c r="AF286" s="42">
        <f>IF(AF16=1,'Assumptions - Freight'!$E$406,0)</f>
        <v>1.2</v>
      </c>
      <c r="AG286" s="42">
        <f>IF(AG16=1,'Assumptions - Freight'!$E$406,0)</f>
        <v>1.2</v>
      </c>
      <c r="AH286" s="42">
        <f>IF(AH16=1,'Assumptions - Freight'!$E$406,0)</f>
        <v>1.2</v>
      </c>
    </row>
    <row r="287" spans="1:34" s="20" customFormat="1" ht="14" x14ac:dyDescent="0.2">
      <c r="A287" s="8"/>
      <c r="B287" s="8" t="s">
        <v>647</v>
      </c>
      <c r="C287" s="8"/>
      <c r="D287" s="8" t="str">
        <f>'Assumptions - General'!$E$27 &amp;" millions"</f>
        <v>R$ millions</v>
      </c>
      <c r="E287" s="29">
        <f>IF(E16=1,'Cash flow statement'!E77+'Cash flow statement'!E82+'Cash flow statement'!E81,0)</f>
        <v>0</v>
      </c>
      <c r="F287" s="29">
        <f>IF(F16=1,'Cash flow statement'!F77+'Cash flow statement'!F82+'Cash flow statement'!F81,0)</f>
        <v>-94.7</v>
      </c>
      <c r="G287" s="29">
        <f>IF(G16=1,'Cash flow statement'!G77+'Cash flow statement'!G82+'Cash flow statement'!G81,0)</f>
        <v>-154.39099999999999</v>
      </c>
      <c r="H287" s="29">
        <f>IF(H16=1,'Cash flow statement'!H77+'Cash flow statement'!H82+'Cash flow statement'!H81,0)</f>
        <v>-154.07273000000001</v>
      </c>
      <c r="I287" s="29">
        <f>IF(I16=1,'Cash flow statement'!I77+'Cash flow statement'!I82+'Cash flow statement'!I81,0)</f>
        <v>-153.74491190000001</v>
      </c>
      <c r="J287" s="29">
        <f>IF(J16=1,'Cash flow statement'!J77+'Cash flow statement'!J82+'Cash flow statement'!J81,0)</f>
        <v>-153.40725925699999</v>
      </c>
      <c r="K287" s="29">
        <f>IF(K16=1,'Cash flow statement'!K77+'Cash flow statement'!K82+'Cash flow statement'!K81,0)</f>
        <v>-153.05947703471</v>
      </c>
      <c r="L287" s="29">
        <f>IF(L16=1,'Cash flow statement'!L77+'Cash flow statement'!L82+'Cash flow statement'!L81,0)</f>
        <v>-247.70126134575131</v>
      </c>
      <c r="M287" s="29">
        <f>IF(M16=1,'Cash flow statement'!M77+'Cash flow statement'!M82+'Cash flow statement'!M81,0)</f>
        <v>-247.33229918612383</v>
      </c>
      <c r="N287" s="29">
        <f>IF(N16=1,'Cash flow statement'!N77+'Cash flow statement'!N82+'Cash flow statement'!N81,0)</f>
        <v>-246.95226816170754</v>
      </c>
      <c r="O287" s="29">
        <f>IF(O16=1,'Cash flow statement'!O77+'Cash flow statement'!O82+'Cash flow statement'!O81,0)</f>
        <v>-246.56083620655878</v>
      </c>
      <c r="P287" s="29">
        <f>IF(P16=1,'Cash flow statement'!P77+'Cash flow statement'!P82+'Cash flow statement'!P81,0)</f>
        <v>-246.15766129275553</v>
      </c>
      <c r="Q287" s="29">
        <f>IF(Q16=1,'Cash flow statement'!Q77+'Cash flow statement'!Q82+'Cash flow statement'!Q81,0)</f>
        <v>-245.7423911315382</v>
      </c>
      <c r="R287" s="29">
        <f>IF(R16=1,'Cash flow statement'!R77+'Cash flow statement'!R82+'Cash flow statement'!R81,0)</f>
        <v>-245.31466286548437</v>
      </c>
      <c r="S287" s="29">
        <f>IF(S16=1,'Cash flow statement'!S77+'Cash flow statement'!S82+'Cash flow statement'!S81,0)</f>
        <v>-244.87410275144887</v>
      </c>
      <c r="T287" s="29">
        <f>IF(T16=1,'Cash flow statement'!T77+'Cash flow statement'!T82+'Cash flow statement'!T81,0)</f>
        <v>-244.42032583399234</v>
      </c>
      <c r="U287" s="29">
        <f>IF(U16=1,'Cash flow statement'!U77+'Cash flow statement'!U82+'Cash flow statement'!U81,0)</f>
        <v>-243.95293560901212</v>
      </c>
      <c r="V287" s="29">
        <f>IF(V16=1,'Cash flow statement'!V77+'Cash flow statement'!V82+'Cash flow statement'!V81,0)</f>
        <v>-243.47152367728248</v>
      </c>
      <c r="W287" s="29">
        <f>IF(W16=1,'Cash flow statement'!W77+'Cash flow statement'!W82+'Cash flow statement'!W81,0)</f>
        <v>-242.97566938760096</v>
      </c>
      <c r="X287" s="29">
        <f>IF(X16=1,'Cash flow statement'!X77+'Cash flow statement'!X82+'Cash flow statement'!X81,0)</f>
        <v>-242.46493946922899</v>
      </c>
      <c r="Y287" s="29">
        <f>IF(Y16=1,'Cash flow statement'!Y77+'Cash flow statement'!Y82+'Cash flow statement'!Y81,0)</f>
        <v>-241.93888765330584</v>
      </c>
      <c r="Z287" s="29">
        <f>IF(Z16=1,'Cash flow statement'!Z77+'Cash flow statement'!Z82+'Cash flow statement'!Z81,0)</f>
        <v>-241.39705428290503</v>
      </c>
      <c r="AA287" s="29">
        <f>IF(AA16=1,'Cash flow statement'!AA77+'Cash flow statement'!AA82+'Cash flow statement'!AA81,0)</f>
        <v>-240.83896591139217</v>
      </c>
      <c r="AB287" s="29">
        <f>IF(AB16=1,'Cash flow statement'!AB77+'Cash flow statement'!AB82+'Cash flow statement'!AB81,0)</f>
        <v>-240.26413488873393</v>
      </c>
      <c r="AC287" s="29">
        <f>IF(AC16=1,'Cash flow statement'!AC77+'Cash flow statement'!AC82+'Cash flow statement'!AC81,0)</f>
        <v>-239.67205893539597</v>
      </c>
      <c r="AD287" s="29">
        <f>IF(AD16=1,'Cash flow statement'!AD77+'Cash flow statement'!AD82+'Cash flow statement'!AD81,0)</f>
        <v>-239.06222070345785</v>
      </c>
      <c r="AE287" s="29">
        <f>IF(AE16=1,'Cash flow statement'!AE77+'Cash flow statement'!AE82+'Cash flow statement'!AE81,0)</f>
        <v>-238.43408732456157</v>
      </c>
      <c r="AF287" s="29">
        <f>IF(AF16=1,'Cash flow statement'!AF77+'Cash flow statement'!AF82+'Cash flow statement'!AF81,0)</f>
        <v>-237.78710994429844</v>
      </c>
      <c r="AG287" s="29">
        <f>IF(AG16=1,'Cash flow statement'!AG77+'Cash flow statement'!AG82+'Cash flow statement'!AG81,0)</f>
        <v>-237.12072324262738</v>
      </c>
      <c r="AH287" s="29">
        <f>IF(AH16=1,'Cash flow statement'!AH77+'Cash flow statement'!AH82+'Cash flow statement'!AH81,0)</f>
        <v>-236.4343449399062</v>
      </c>
    </row>
    <row r="288" spans="1:34" s="20" customFormat="1" ht="14" x14ac:dyDescent="0.2">
      <c r="A288" s="8"/>
      <c r="B288" s="8" t="s">
        <v>156</v>
      </c>
      <c r="C288" s="8"/>
      <c r="D288" s="8" t="str">
        <f>'Assumptions - General'!$E$27 &amp;" millions"</f>
        <v>R$ millions</v>
      </c>
      <c r="E288" s="50">
        <f t="shared" ref="E288:AH288" si="89">IF(E16=1,E283-E284+E287,0)</f>
        <v>-15</v>
      </c>
      <c r="F288" s="50">
        <f t="shared" si="89"/>
        <v>16351.99697062984</v>
      </c>
      <c r="G288" s="50">
        <f t="shared" si="89"/>
        <v>16731.578356330963</v>
      </c>
      <c r="H288" s="50">
        <f t="shared" si="89"/>
        <v>17251.41432941844</v>
      </c>
      <c r="I288" s="50">
        <f t="shared" si="89"/>
        <v>17816.801575615533</v>
      </c>
      <c r="J288" s="50">
        <f t="shared" si="89"/>
        <v>18500.03699130212</v>
      </c>
      <c r="K288" s="50">
        <f t="shared" si="89"/>
        <v>21244.239095444056</v>
      </c>
      <c r="L288" s="50">
        <f t="shared" si="89"/>
        <v>22451.305918150018</v>
      </c>
      <c r="M288" s="50">
        <f t="shared" si="89"/>
        <v>23344.639732100666</v>
      </c>
      <c r="N288" s="50">
        <f t="shared" si="89"/>
        <v>24265.584077233212</v>
      </c>
      <c r="O288" s="50">
        <f t="shared" si="89"/>
        <v>24884.613948181806</v>
      </c>
      <c r="P288" s="50">
        <f t="shared" si="89"/>
        <v>25787.334881194391</v>
      </c>
      <c r="Q288" s="50">
        <f t="shared" si="89"/>
        <v>26707.61115822626</v>
      </c>
      <c r="R288" s="50">
        <f t="shared" si="89"/>
        <v>27655.898988657838</v>
      </c>
      <c r="S288" s="50">
        <f t="shared" si="89"/>
        <v>28633.021218592748</v>
      </c>
      <c r="T288" s="50">
        <f t="shared" si="89"/>
        <v>29639.82467726474</v>
      </c>
      <c r="U288" s="50">
        <f t="shared" si="89"/>
        <v>30260.062126988843</v>
      </c>
      <c r="V288" s="50">
        <f t="shared" si="89"/>
        <v>31753.799362488877</v>
      </c>
      <c r="W288" s="50">
        <f t="shared" si="89"/>
        <v>32849.105157143807</v>
      </c>
      <c r="X288" s="50">
        <f t="shared" si="89"/>
        <v>33983.713133822057</v>
      </c>
      <c r="Y288" s="50">
        <f t="shared" si="89"/>
        <v>35152.622926105127</v>
      </c>
      <c r="Z288" s="50">
        <f t="shared" si="89"/>
        <v>36356.000720948534</v>
      </c>
      <c r="AA288" s="50">
        <f t="shared" si="89"/>
        <v>37596.552205117776</v>
      </c>
      <c r="AB288" s="50">
        <f t="shared" si="89"/>
        <v>38874.512789487831</v>
      </c>
      <c r="AC288" s="50">
        <f t="shared" si="89"/>
        <v>40190.979233823549</v>
      </c>
      <c r="AD288" s="50">
        <f t="shared" si="89"/>
        <v>41547.080266891353</v>
      </c>
      <c r="AE288" s="50">
        <f t="shared" si="89"/>
        <v>42943.977518617285</v>
      </c>
      <c r="AF288" s="50">
        <f t="shared" si="89"/>
        <v>44382.866479418939</v>
      </c>
      <c r="AG288" s="50">
        <f t="shared" si="89"/>
        <v>45864.977487515935</v>
      </c>
      <c r="AH288" s="50">
        <f t="shared" si="89"/>
        <v>47391.57674504404</v>
      </c>
    </row>
    <row r="289" spans="1:34" s="20" customFormat="1" ht="14" x14ac:dyDescent="0.2">
      <c r="A289" s="8"/>
      <c r="B289" s="8" t="s">
        <v>154</v>
      </c>
      <c r="C289" s="8"/>
      <c r="D289" s="8" t="str">
        <f>'Assumptions - General'!$E$27 &amp;" millions"</f>
        <v>R$ millions</v>
      </c>
      <c r="E289" s="41">
        <f>IF(E16=1,IF(AND(E285&gt;=E286,E285&gt;0,E288&gt;0),'Assumptions - Freight'!$E$408*Calculations!E288,0),0)</f>
        <v>0</v>
      </c>
      <c r="F289" s="41">
        <f>IF(F16=1,IF(AND(F285&gt;=F286,F285&gt;0,F288&gt;0),'Assumptions - Freight'!$E$408*Calculations!F288,0),0)</f>
        <v>11446.397879440887</v>
      </c>
      <c r="G289" s="41">
        <f>IF(G16=1,IF(AND(G285&gt;=G286,G285&gt;0,G288&gt;0),'Assumptions - Freight'!$E$408*Calculations!G288,0),0)</f>
        <v>11712.104849431673</v>
      </c>
      <c r="H289" s="41">
        <f>IF(H16=1,IF(AND(H285&gt;=H286,H285&gt;0,H288&gt;0),'Assumptions - Freight'!$E$408*Calculations!H288,0),0)</f>
        <v>12075.990030592908</v>
      </c>
      <c r="I289" s="41">
        <f>IF(I16=1,IF(AND(I285&gt;=I286,I285&gt;0,I288&gt;0),'Assumptions - Freight'!$E$408*Calculations!I288,0),0)</f>
        <v>12471.761102930872</v>
      </c>
      <c r="J289" s="41">
        <f>IF(J16=1,IF(AND(J285&gt;=J286,J285&gt;0,J288&gt;0),'Assumptions - Freight'!$E$408*Calculations!J288,0),0)</f>
        <v>12950.025893911483</v>
      </c>
      <c r="K289" s="41">
        <f>IF(K16=1,IF(AND(K285&gt;=K286,K285&gt;0,K288&gt;0),'Assumptions - Freight'!$E$408*Calculations!K288,0),0)</f>
        <v>14870.967366810839</v>
      </c>
      <c r="L289" s="41">
        <f>IF(L16=1,IF(AND(L285&gt;=L286,L285&gt;0,L288&gt;0),'Assumptions - Freight'!$E$408*Calculations!L288,0),0)</f>
        <v>15715.914142705011</v>
      </c>
      <c r="M289" s="41">
        <f>IF(M16=1,IF(AND(M285&gt;=M286,M285&gt;0,M288&gt;0),'Assumptions - Freight'!$E$408*Calculations!M288,0),0)</f>
        <v>16341.247812470465</v>
      </c>
      <c r="N289" s="41">
        <f>IF(N16=1,IF(AND(N285&gt;=N286,N285&gt;0,N288&gt;0),'Assumptions - Freight'!$E$408*Calculations!N288,0),0)</f>
        <v>16985.908854063247</v>
      </c>
      <c r="O289" s="41">
        <f>IF(O16=1,IF(AND(O285&gt;=O286,O285&gt;0,O288&gt;0),'Assumptions - Freight'!$E$408*Calculations!O288,0),0)</f>
        <v>17419.229763727264</v>
      </c>
      <c r="P289" s="41">
        <f>IF(P16=1,IF(AND(P285&gt;=P286,P285&gt;0,P288&gt;0),'Assumptions - Freight'!$E$408*Calculations!P288,0),0)</f>
        <v>18051.134416836074</v>
      </c>
      <c r="Q289" s="41">
        <f>IF(Q16=1,IF(AND(Q285&gt;=Q286,Q285&gt;0,Q288&gt;0),'Assumptions - Freight'!$E$408*Calculations!Q288,0),0)</f>
        <v>18695.327810758379</v>
      </c>
      <c r="R289" s="41">
        <f>IF(R16=1,IF(AND(R285&gt;=R286,R285&gt;0,R288&gt;0),'Assumptions - Freight'!$E$408*Calculations!R288,0),0)</f>
        <v>19359.129292060486</v>
      </c>
      <c r="S289" s="41">
        <f>IF(S16=1,IF(AND(S285&gt;=S286,S285&gt;0,S288&gt;0),'Assumptions - Freight'!$E$408*Calculations!S288,0),0)</f>
        <v>20043.114853014922</v>
      </c>
      <c r="T289" s="41">
        <f>IF(T16=1,IF(AND(T285&gt;=T286,T285&gt;0,T288&gt;0),'Assumptions - Freight'!$E$408*Calculations!T288,0),0)</f>
        <v>20747.877274085316</v>
      </c>
      <c r="U289" s="41">
        <f>IF(U16=1,IF(AND(U285&gt;=U286,U285&gt;0,U288&gt;0),'Assumptions - Freight'!$E$408*Calculations!U288,0),0)</f>
        <v>21182.043488892188</v>
      </c>
      <c r="V289" s="41">
        <f>IF(V16=1,IF(AND(V285&gt;=V286,V285&gt;0,V288&gt;0),'Assumptions - Freight'!$E$408*Calculations!V288,0),0)</f>
        <v>22227.659553742211</v>
      </c>
      <c r="W289" s="41">
        <f>IF(W16=1,IF(AND(W285&gt;=W286,W285&gt;0,W288&gt;0),'Assumptions - Freight'!$E$408*Calculations!W288,0),0)</f>
        <v>22994.373610000664</v>
      </c>
      <c r="X289" s="41">
        <f>IF(X16=1,IF(AND(X285&gt;=X286,X285&gt;0,X288&gt;0),'Assumptions - Freight'!$E$408*Calculations!X288,0),0)</f>
        <v>23788.59919367544</v>
      </c>
      <c r="Y289" s="41">
        <f>IF(Y16=1,IF(AND(Y285&gt;=Y286,Y285&gt;0,Y288&gt;0),'Assumptions - Freight'!$E$408*Calculations!Y288,0),0)</f>
        <v>24606.836048273588</v>
      </c>
      <c r="Z289" s="41">
        <f>IF(Z16=1,IF(AND(Z285&gt;=Z286,Z285&gt;0,Z288&gt;0),'Assumptions - Freight'!$E$408*Calculations!Z288,0),0)</f>
        <v>25449.200504663972</v>
      </c>
      <c r="AA289" s="41">
        <f>IF(AA16=1,IF(AND(AA285&gt;=AA286,AA285&gt;0,AA288&gt;0),'Assumptions - Freight'!$E$408*Calculations!AA288,0),0)</f>
        <v>26317.586543582442</v>
      </c>
      <c r="AB289" s="41">
        <f>IF(AB16=1,IF(AND(AB285&gt;=AB286,AB285&gt;0,AB288&gt;0),'Assumptions - Freight'!$E$408*Calculations!AB288,0),0)</f>
        <v>27212.158952641479</v>
      </c>
      <c r="AC289" s="41">
        <f>IF(AC16=1,IF(AND(AC285&gt;=AC286,AC285&gt;0,AC288&gt;0),'Assumptions - Freight'!$E$408*Calculations!AC288,0),0)</f>
        <v>28133.685463676484</v>
      </c>
      <c r="AD289" s="41">
        <f>IF(AD16=1,IF(AND(AD285&gt;=AD286,AD285&gt;0,AD288&gt;0),'Assumptions - Freight'!$E$408*Calculations!AD288,0),0)</f>
        <v>29082.956186823943</v>
      </c>
      <c r="AE289" s="41">
        <f>IF(AE16=1,IF(AND(AE285&gt;=AE286,AE285&gt;0,AE288&gt;0),'Assumptions - Freight'!$E$408*Calculations!AE288,0),0)</f>
        <v>30060.784263032096</v>
      </c>
      <c r="AF289" s="41">
        <f>IF(AF16=1,IF(AND(AF285&gt;=AF286,AF285&gt;0,AF288&gt;0),'Assumptions - Freight'!$E$408*Calculations!AF288,0),0)</f>
        <v>31068.006535593257</v>
      </c>
      <c r="AG289" s="41">
        <f>IF(AG16=1,IF(AND(AG285&gt;=AG286,AG285&gt;0,AG288&gt;0),'Assumptions - Freight'!$E$408*Calculations!AG288,0),0)</f>
        <v>32105.484241261151</v>
      </c>
      <c r="AH289" s="41">
        <f>IF(AH16=1,IF(AND(AH285&gt;=AH286,AH285&gt;0,AH288&gt;0),'Assumptions - Freight'!$E$408*Calculations!AH288,0),0)</f>
        <v>33174.103721530824</v>
      </c>
    </row>
    <row r="291" spans="1:34" x14ac:dyDescent="0.2">
      <c r="A291" s="320"/>
      <c r="B291" s="319" t="str">
        <f>"Financial results for " &amp;'Assumptions - General'!E24</f>
        <v>Financial results for Ruritania Freight Rail Company</v>
      </c>
      <c r="C291" s="320"/>
      <c r="D291" s="320"/>
      <c r="E291" s="320"/>
      <c r="F291" s="320"/>
      <c r="G291" s="320"/>
      <c r="H291" s="320"/>
      <c r="I291" s="320"/>
      <c r="J291" s="320"/>
      <c r="K291" s="320"/>
      <c r="L291" s="320"/>
      <c r="M291" s="320"/>
      <c r="N291" s="320"/>
      <c r="O291" s="320"/>
      <c r="P291" s="320"/>
      <c r="Q291" s="320"/>
      <c r="R291" s="320"/>
      <c r="S291" s="320"/>
      <c r="T291" s="320"/>
      <c r="U291" s="320"/>
      <c r="V291" s="320"/>
      <c r="W291" s="320"/>
      <c r="X291" s="320"/>
      <c r="Y291" s="320"/>
      <c r="Z291" s="320"/>
      <c r="AA291" s="320"/>
      <c r="AB291" s="320"/>
      <c r="AC291" s="320"/>
      <c r="AD291" s="320"/>
      <c r="AE291" s="320"/>
      <c r="AF291" s="320"/>
      <c r="AG291" s="320"/>
      <c r="AH291" s="320"/>
    </row>
    <row r="292" spans="1:34" s="20" customFormat="1" ht="14" x14ac:dyDescent="0.2">
      <c r="A292" s="8"/>
      <c r="B292" s="8"/>
      <c r="C292" s="8"/>
      <c r="D292" s="8"/>
      <c r="E292" s="15"/>
      <c r="F292" s="8"/>
      <c r="G292" s="8"/>
      <c r="H292" s="8"/>
      <c r="I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row>
    <row r="293" spans="1:34" s="20" customFormat="1" ht="14" x14ac:dyDescent="0.2">
      <c r="A293" s="8"/>
      <c r="B293" s="8" t="s">
        <v>102</v>
      </c>
      <c r="C293" s="8"/>
      <c r="D293" s="8" t="str">
        <f>'Assumptions - General'!$E$27 &amp;" millions"</f>
        <v>R$ millions</v>
      </c>
      <c r="E293" s="41">
        <f>'Income statement'!E83</f>
        <v>16421.925000000003</v>
      </c>
      <c r="F293" s="41">
        <f>'Income statement'!F83</f>
        <v>16398.503756097562</v>
      </c>
      <c r="G293" s="41">
        <f>'Income statement'!G83</f>
        <v>16934.650108831229</v>
      </c>
      <c r="H293" s="41">
        <f>'Income statement'!H83</f>
        <v>17408.716575931285</v>
      </c>
      <c r="I293" s="41">
        <f>'Income statement'!I83</f>
        <v>17975.73370741844</v>
      </c>
      <c r="J293" s="41">
        <f>'Income statement'!J83</f>
        <v>18671.027798976676</v>
      </c>
      <c r="K293" s="41">
        <f>'Income statement'!K83</f>
        <v>21885.75129201691</v>
      </c>
      <c r="L293" s="41">
        <f>'Income statement'!L83</f>
        <v>22732.329536299705</v>
      </c>
      <c r="M293" s="41">
        <f>'Income statement'!M83</f>
        <v>23621.09488976431</v>
      </c>
      <c r="N293" s="41">
        <f>'Income statement'!N83</f>
        <v>24536.178962854865</v>
      </c>
      <c r="O293" s="41">
        <f>'Income statement'!O83</f>
        <v>25149.430265943956</v>
      </c>
      <c r="P293" s="41">
        <f>'Income statement'!P83</f>
        <v>26016.456550660572</v>
      </c>
      <c r="Q293" s="41">
        <f>'Income statement'!Q83</f>
        <v>26931.124416550127</v>
      </c>
      <c r="R293" s="41">
        <f>'Income statement'!R83</f>
        <v>27873.892480266215</v>
      </c>
      <c r="S293" s="41">
        <f>'Income statement'!S83</f>
        <v>28845.586078833745</v>
      </c>
      <c r="T293" s="41">
        <f>'Income statement'!T83</f>
        <v>29847.054613394546</v>
      </c>
      <c r="U293" s="41">
        <f>'Income statement'!U83</f>
        <v>30887.053498369169</v>
      </c>
      <c r="V293" s="41">
        <f>'Income statement'!V83</f>
        <v>31959.42149335982</v>
      </c>
      <c r="W293" s="41">
        <f>'Income statement'!W83</f>
        <v>33066.73024980435</v>
      </c>
      <c r="X293" s="41">
        <f>'Income statement'!X83</f>
        <v>34196.165384359992</v>
      </c>
      <c r="Y293" s="41">
        <f>'Income statement'!Y83</f>
        <v>35360.009462233807</v>
      </c>
      <c r="Z293" s="41">
        <f>'Income statement'!Z83</f>
        <v>36560.831693052154</v>
      </c>
      <c r="AA293" s="41">
        <f>'Income statement'!AA83</f>
        <v>37796.540878254134</v>
      </c>
      <c r="AB293" s="41">
        <f>'Income statement'!AB83</f>
        <v>39069.775636810737</v>
      </c>
      <c r="AC293" s="41">
        <f>'Income statement'!AC83</f>
        <v>40381.636031771588</v>
      </c>
      <c r="AD293" s="41">
        <f>'Income statement'!AD83</f>
        <v>41733.254192413115</v>
      </c>
      <c r="AE293" s="41">
        <f>'Income statement'!AE83</f>
        <v>43125.795248651106</v>
      </c>
      <c r="AF293" s="41">
        <f>'Income statement'!AF83</f>
        <v>44560.458292809715</v>
      </c>
      <c r="AG293" s="41">
        <f>'Income statement'!AG83</f>
        <v>46038.477369527012</v>
      </c>
      <c r="AH293" s="41">
        <f>'Income statement'!AH83</f>
        <v>47561.122494605428</v>
      </c>
    </row>
    <row r="294" spans="1:34" s="20" customFormat="1" ht="14" x14ac:dyDescent="0.2">
      <c r="A294" s="8"/>
      <c r="B294" s="8" t="s">
        <v>214</v>
      </c>
      <c r="C294" s="8"/>
      <c r="D294" s="8" t="str">
        <f>'Assumptions - General'!$E$27 &amp;" millions"</f>
        <v>R$ millions</v>
      </c>
      <c r="E294" s="41">
        <f>IF(E$16=1,'Income statement'!E59," ")</f>
        <v>41512</v>
      </c>
      <c r="F294" s="41">
        <f>IF(F$16=1,'Income statement'!F59," ")</f>
        <v>41614.380000000005</v>
      </c>
      <c r="G294" s="41">
        <f>IF(G$16=1,'Income statement'!G59," ")</f>
        <v>42748.990612583482</v>
      </c>
      <c r="H294" s="41">
        <f>IF(H$16=1,'Income statement'!H59," ")</f>
        <v>43915.484884147147</v>
      </c>
      <c r="I294" s="41">
        <f>IF(I$16=1,'Income statement'!I59," ")</f>
        <v>45115.548812769885</v>
      </c>
      <c r="J294" s="41">
        <f>IF(J$16=1,'Income statement'!J59," ")</f>
        <v>46350.162464585344</v>
      </c>
      <c r="K294" s="41">
        <f>IF(K$16=1,'Income statement'!K59," ")</f>
        <v>53508.278300793252</v>
      </c>
      <c r="L294" s="41">
        <f>IF(L$16=1,'Income statement'!L59," ")</f>
        <v>54977.708341283571</v>
      </c>
      <c r="M294" s="41">
        <f>IF(M$16=1,'Income statement'!M59," ")</f>
        <v>56490.075045971564</v>
      </c>
      <c r="N294" s="41">
        <f>IF(N$16=1,'Income statement'!N59," ")</f>
        <v>58046.116861572846</v>
      </c>
      <c r="O294" s="41">
        <f>IF(O$16=1,'Income statement'!O59," ")</f>
        <v>59647.053475840497</v>
      </c>
      <c r="P294" s="41">
        <f>IF(P$16=1,'Income statement'!P59," ")</f>
        <v>61294.199399680518</v>
      </c>
      <c r="Q294" s="41">
        <f>IF(Q$16=1,'Income statement'!Q59," ")</f>
        <v>62988.90790760627</v>
      </c>
      <c r="R294" s="41">
        <f>IF(R$16=1,'Income statement'!R59," ")</f>
        <v>64732.572167349426</v>
      </c>
      <c r="S294" s="41">
        <f>IF(S$16=1,'Income statement'!S59," ")</f>
        <v>66526.626409754623</v>
      </c>
      <c r="T294" s="41">
        <f>IF(T$16=1,'Income statement'!T59," ")</f>
        <v>68372.547136841065</v>
      </c>
      <c r="U294" s="41">
        <f>IF(U$16=1,'Income statement'!U59," ")</f>
        <v>70271.854367560314</v>
      </c>
      <c r="V294" s="41">
        <f>IF(V$16=1,'Income statement'!V59," ")</f>
        <v>72225.745673004873</v>
      </c>
      <c r="W294" s="41">
        <f>IF(W$16=1,'Income statement'!W59," ")</f>
        <v>74235.850493002712</v>
      </c>
      <c r="X294" s="41">
        <f>IF(X$16=1,'Income statement'!X59," ")</f>
        <v>76304.895399639834</v>
      </c>
      <c r="Y294" s="41">
        <f>IF(Y$16=1,'Income statement'!Y59," ")</f>
        <v>78433.867658081552</v>
      </c>
      <c r="Z294" s="41">
        <f>IF(Z$16=1,'Income statement'!Z59," ")</f>
        <v>80624.424869626702</v>
      </c>
      <c r="AA294" s="41">
        <f>IF(AA$16=1,'Income statement'!AA59," ")</f>
        <v>82878.57645757281</v>
      </c>
      <c r="AB294" s="41">
        <f>IF(AB$16=1,'Income statement'!AB59," ")</f>
        <v>85198.085197489432</v>
      </c>
      <c r="AC294" s="41">
        <f>IF(AC$16=1,'Income statement'!AC59," ")</f>
        <v>87584.86879308577</v>
      </c>
      <c r="AD294" s="41">
        <f>IF(AD$16=1,'Income statement'!AD59," ")</f>
        <v>90040.901498936539</v>
      </c>
      <c r="AE294" s="41">
        <f>IF(AE$16=1,'Income statement'!AE59," ")</f>
        <v>92568.215791394294</v>
      </c>
      <c r="AF294" s="41">
        <f>IF(AF$16=1,'Income statement'!AF59," ")</f>
        <v>95168.904089073447</v>
      </c>
      <c r="AG294" s="41">
        <f>IF(AG$16=1,'Income statement'!AG59," ")</f>
        <v>97845.120524345461</v>
      </c>
      <c r="AH294" s="41">
        <f>IF(AH$16=1,'Income statement'!AH59," ")</f>
        <v>100599.08276733437</v>
      </c>
    </row>
    <row r="295" spans="1:34" s="20" customFormat="1" ht="14" x14ac:dyDescent="0.2">
      <c r="A295" s="8"/>
      <c r="B295" s="8" t="s">
        <v>213</v>
      </c>
      <c r="C295" s="8"/>
      <c r="D295" s="8" t="s">
        <v>15</v>
      </c>
      <c r="E295" s="54">
        <f>IF(E16=1,E293/E294,"N/A")</f>
        <v>0.39559464733089234</v>
      </c>
      <c r="F295" s="54">
        <f t="shared" ref="F295:AH295" si="90">IF(F16=1,F293/F294,"N/A")</f>
        <v>0.39405858638522451</v>
      </c>
      <c r="G295" s="54">
        <f t="shared" si="90"/>
        <v>0.39614151974494549</v>
      </c>
      <c r="H295" s="54">
        <f t="shared" si="90"/>
        <v>0.39641408086138608</v>
      </c>
      <c r="I295" s="54">
        <f t="shared" si="90"/>
        <v>0.39843766019599958</v>
      </c>
      <c r="J295" s="54">
        <f t="shared" si="90"/>
        <v>0.40282550925776373</v>
      </c>
      <c r="K295" s="54">
        <f t="shared" si="90"/>
        <v>0.40901617445038324</v>
      </c>
      <c r="L295" s="54">
        <f t="shared" si="90"/>
        <v>0.41348266819680557</v>
      </c>
      <c r="M295" s="54">
        <f t="shared" si="90"/>
        <v>0.41814592865280298</v>
      </c>
      <c r="N295" s="54">
        <f t="shared" si="90"/>
        <v>0.42270147064907421</v>
      </c>
      <c r="O295" s="54">
        <f t="shared" si="90"/>
        <v>0.42163742884852656</v>
      </c>
      <c r="P295" s="54">
        <f t="shared" si="90"/>
        <v>0.4244521799039303</v>
      </c>
      <c r="Q295" s="54">
        <f t="shared" si="90"/>
        <v>0.42755344252123539</v>
      </c>
      <c r="R295" s="54">
        <f t="shared" si="90"/>
        <v>0.43060072459665949</v>
      </c>
      <c r="S295" s="54">
        <f t="shared" si="90"/>
        <v>0.43359460167371711</v>
      </c>
      <c r="T295" s="54">
        <f t="shared" si="90"/>
        <v>0.43653565448802928</v>
      </c>
      <c r="U295" s="54">
        <f t="shared" si="90"/>
        <v>0.43953662211349864</v>
      </c>
      <c r="V295" s="54">
        <f t="shared" si="90"/>
        <v>0.44249347923734883</v>
      </c>
      <c r="W295" s="54">
        <f t="shared" si="90"/>
        <v>0.4454280516786312</v>
      </c>
      <c r="X295" s="54">
        <f t="shared" si="90"/>
        <v>0.44815165796716894</v>
      </c>
      <c r="Y295" s="54">
        <f t="shared" si="90"/>
        <v>0.45082577868503765</v>
      </c>
      <c r="Z295" s="54">
        <f t="shared" si="90"/>
        <v>0.45347091470323853</v>
      </c>
      <c r="AA295" s="54">
        <f t="shared" si="90"/>
        <v>0.45604717761535074</v>
      </c>
      <c r="AB295" s="54">
        <f t="shared" si="90"/>
        <v>0.45857574787328698</v>
      </c>
      <c r="AC295" s="54">
        <f t="shared" si="90"/>
        <v>0.46105721899488011</v>
      </c>
      <c r="AD295" s="54">
        <f t="shared" si="90"/>
        <v>0.46349218519214869</v>
      </c>
      <c r="AE295" s="54">
        <f t="shared" si="90"/>
        <v>0.46588124098488182</v>
      </c>
      <c r="AF295" s="54">
        <f t="shared" si="90"/>
        <v>0.4682249808309582</v>
      </c>
      <c r="AG295" s="54">
        <f t="shared" si="90"/>
        <v>0.47052399877285539</v>
      </c>
      <c r="AH295" s="54">
        <f t="shared" si="90"/>
        <v>0.47277888809985302</v>
      </c>
    </row>
    <row r="296" spans="1:34" s="20" customFormat="1" ht="14" x14ac:dyDescent="0.2">
      <c r="A296" s="8"/>
      <c r="B296" s="8" t="s">
        <v>168</v>
      </c>
      <c r="C296" s="8"/>
      <c r="D296" s="8" t="str">
        <f>'Assumptions - General'!$E$27 &amp;" millions"</f>
        <v>R$ millions</v>
      </c>
      <c r="E296" s="463">
        <f>'Balance sheet'!E87</f>
        <v>3990</v>
      </c>
      <c r="F296" s="41">
        <f>IF(F$16=1,('Balance sheet'!F87+'Balance sheet'!E87)/2," ")</f>
        <v>6469.9629383283373</v>
      </c>
      <c r="G296" s="41">
        <f>IF(G$16=1,('Balance sheet'!G87+'Balance sheet'!F87)/2," ")</f>
        <v>11564.745720064708</v>
      </c>
      <c r="H296" s="41">
        <f>IF(H$16=1,('Balance sheet'!H87+'Balance sheet'!G87)/2," ")</f>
        <v>16849.477175680353</v>
      </c>
      <c r="I296" s="41">
        <f>IF(I$16=1,('Balance sheet'!I87+'Balance sheet'!H87)/2," ")</f>
        <v>22274.922327301734</v>
      </c>
      <c r="J296" s="41">
        <f>IF(J$16=1,('Balance sheet'!J87+'Balance sheet'!I87)/2," ")</f>
        <v>27894.501591310203</v>
      </c>
      <c r="K296" s="41">
        <f>IF(K$16=1,('Balance sheet'!K87+'Balance sheet'!J87)/2," ")</f>
        <v>34269.480431816046</v>
      </c>
      <c r="L296" s="41">
        <f>IF(L$16=1,('Balance sheet'!L87+'Balance sheet'!K87)/2," ")</f>
        <v>41292.457686596768</v>
      </c>
      <c r="M296" s="41">
        <f>IF(M$16=1,('Balance sheet'!M87+'Balance sheet'!L87)/2," ")</f>
        <v>48448.276390749066</v>
      </c>
      <c r="N296" s="41">
        <f>IF(N$16=1,('Balance sheet'!N87+'Balance sheet'!M87)/2," ")</f>
        <v>55871.021898143699</v>
      </c>
      <c r="O296" s="41">
        <f>IF(O$16=1,('Balance sheet'!O87+'Balance sheet'!N87)/2," ")</f>
        <v>63518.912744753354</v>
      </c>
      <c r="P296" s="41">
        <f>IF(P$16=1,('Balance sheet'!P87+'Balance sheet'!O87)/2," ")</f>
        <v>71374.296063790636</v>
      </c>
      <c r="Q296" s="41">
        <f>IF(Q$16=1,('Balance sheet'!Q87+'Balance sheet'!P87)/2," ")</f>
        <v>79482.441756853019</v>
      </c>
      <c r="R296" s="41">
        <f>IF(R$16=1,('Balance sheet'!R87+'Balance sheet'!Q87)/2," ")</f>
        <v>87865.270160477841</v>
      </c>
      <c r="S296" s="41">
        <f>IF(S$16=1,('Balance sheet'!S87+'Balance sheet'!R87)/2," ")</f>
        <v>96531.395898225775</v>
      </c>
      <c r="T296" s="41">
        <f>IF(T$16=1,('Balance sheet'!T87+'Balance sheet'!S87)/2," ")</f>
        <v>105489.68654305018</v>
      </c>
      <c r="U296" s="41">
        <f>IF(U$16=1,('Balance sheet'!U87+'Balance sheet'!T87)/2," ")</f>
        <v>114899.20217610514</v>
      </c>
      <c r="V296" s="41">
        <f>IF(V$16=1,('Balance sheet'!V87+'Balance sheet'!U87)/2," ")</f>
        <v>124625.14704538681</v>
      </c>
      <c r="W296" s="41">
        <f>IF(W$16=1,('Balance sheet'!W87+'Balance sheet'!V87)/2," ")</f>
        <v>134535.25782632176</v>
      </c>
      <c r="X296" s="41">
        <f>IF(X$16=1,('Balance sheet'!X87+'Balance sheet'!W87)/2," ")</f>
        <v>144783.57560945931</v>
      </c>
      <c r="Y296" s="41">
        <f>IF(Y$16=1,('Balance sheet'!Y87+'Balance sheet'!X87)/2," ")</f>
        <v>155372.2448259932</v>
      </c>
      <c r="Z296" s="41">
        <f>IF(Z$16=1,('Balance sheet'!Z87+'Balance sheet'!Y87)/2," ")</f>
        <v>166312.93773837195</v>
      </c>
      <c r="AA296" s="41">
        <f>IF(AA$16=1,('Balance sheet'!AA87+'Balance sheet'!Z87)/2," ")</f>
        <v>177616.51043281547</v>
      </c>
      <c r="AB296" s="41">
        <f>IF(AB$16=1,('Balance sheet'!AB87+'Balance sheet'!AA87)/2," ")</f>
        <v>189293.01328986062</v>
      </c>
      <c r="AC296" s="41">
        <f>IF(AC$16=1,('Balance sheet'!AC87+'Balance sheet'!AB87)/2," ")</f>
        <v>201353.94973475672</v>
      </c>
      <c r="AD296" s="41">
        <f>IF(AD$16=1,('Balance sheet'!AD87+'Balance sheet'!AC87)/2," ")</f>
        <v>213811.1603271541</v>
      </c>
      <c r="AE296" s="41">
        <f>IF(AE$16=1,('Balance sheet'!AE87+'Balance sheet'!AD87)/2," ")</f>
        <v>226676.83258626505</v>
      </c>
      <c r="AF296" s="41">
        <f>IF(AF$16=1,('Balance sheet'!AF87+'Balance sheet'!AE87)/2," ")</f>
        <v>239963.51110245648</v>
      </c>
      <c r="AG296" s="41">
        <f>IF(AG$16=1,('Balance sheet'!AG87+'Balance sheet'!AF87)/2," ")</f>
        <v>253684.10794362368</v>
      </c>
      <c r="AH296" s="41">
        <f>IF(AH$16=1,('Balance sheet'!AH87+'Balance sheet'!AG87)/2," ")</f>
        <v>267851.913364943</v>
      </c>
    </row>
    <row r="297" spans="1:34" s="20" customFormat="1" ht="14" x14ac:dyDescent="0.2">
      <c r="A297" s="8"/>
      <c r="B297" s="8" t="s">
        <v>167</v>
      </c>
      <c r="C297" s="8"/>
      <c r="D297" s="8" t="s">
        <v>15</v>
      </c>
      <c r="E297" s="54">
        <f>IF(E16=1,E293/E296,"N/A")</f>
        <v>4.1157706766917297</v>
      </c>
      <c r="F297" s="54">
        <f t="shared" ref="F297:AH297" si="91">IF(F16=1,F293/F296,"N/A")</f>
        <v>2.534559148546605</v>
      </c>
      <c r="G297" s="54">
        <f t="shared" si="91"/>
        <v>1.4643339783467781</v>
      </c>
      <c r="H297" s="54">
        <f t="shared" si="91"/>
        <v>1.0331903117479579</v>
      </c>
      <c r="I297" s="54">
        <f t="shared" si="91"/>
        <v>0.80699422621043659</v>
      </c>
      <c r="J297" s="54">
        <f t="shared" si="91"/>
        <v>0.66934437734471453</v>
      </c>
      <c r="K297" s="54">
        <f t="shared" si="91"/>
        <v>0.63863679916483396</v>
      </c>
      <c r="L297" s="54">
        <f t="shared" si="91"/>
        <v>0.55052013878259554</v>
      </c>
      <c r="M297" s="54">
        <f t="shared" si="91"/>
        <v>0.48755284293817786</v>
      </c>
      <c r="N297" s="54">
        <f t="shared" si="91"/>
        <v>0.43915751187772839</v>
      </c>
      <c r="O297" s="54">
        <f t="shared" si="91"/>
        <v>0.39593609492349652</v>
      </c>
      <c r="P297" s="54">
        <f t="shared" si="91"/>
        <v>0.36450736449167098</v>
      </c>
      <c r="Q297" s="54">
        <f t="shared" si="91"/>
        <v>0.33883111566873964</v>
      </c>
      <c r="R297" s="54">
        <f t="shared" si="91"/>
        <v>0.31723447079098616</v>
      </c>
      <c r="S297" s="54">
        <f t="shared" si="91"/>
        <v>0.29882077028333864</v>
      </c>
      <c r="T297" s="54">
        <f t="shared" si="91"/>
        <v>0.28293812970250898</v>
      </c>
      <c r="U297" s="54">
        <f t="shared" si="91"/>
        <v>0.26881869424148669</v>
      </c>
      <c r="V297" s="54">
        <f t="shared" si="91"/>
        <v>0.25644440348560332</v>
      </c>
      <c r="W297" s="54">
        <f t="shared" si="91"/>
        <v>0.24578486549965833</v>
      </c>
      <c r="X297" s="54">
        <f t="shared" si="91"/>
        <v>0.23618815352786338</v>
      </c>
      <c r="Y297" s="54">
        <f t="shared" si="91"/>
        <v>0.22758253574719678</v>
      </c>
      <c r="Z297" s="54">
        <f t="shared" si="91"/>
        <v>0.21983155484010664</v>
      </c>
      <c r="AA297" s="54">
        <f t="shared" si="91"/>
        <v>0.21279857816230946</v>
      </c>
      <c r="AB297" s="54">
        <f t="shared" si="91"/>
        <v>0.20639840297213699</v>
      </c>
      <c r="AC297" s="54">
        <f t="shared" si="91"/>
        <v>0.20055050365272825</v>
      </c>
      <c r="AD297" s="54">
        <f t="shared" si="91"/>
        <v>0.19518744544745345</v>
      </c>
      <c r="AE297" s="54">
        <f t="shared" si="91"/>
        <v>0.19025232864165323</v>
      </c>
      <c r="AF297" s="54">
        <f t="shared" si="91"/>
        <v>0.18569680901936741</v>
      </c>
      <c r="AG297" s="54">
        <f t="shared" si="91"/>
        <v>0.18147954849327086</v>
      </c>
      <c r="AH297" s="54">
        <f t="shared" si="91"/>
        <v>0.17756499065886577</v>
      </c>
    </row>
    <row r="298" spans="1:34" s="20" customFormat="1" ht="14" x14ac:dyDescent="0.2">
      <c r="A298" s="8"/>
      <c r="B298" s="8" t="s">
        <v>169</v>
      </c>
      <c r="C298" s="8"/>
      <c r="D298" s="8" t="str">
        <f>'Assumptions - General'!$E$27 &amp;" millions"</f>
        <v>R$ millions</v>
      </c>
      <c r="E298" s="463">
        <f>'Balance sheet'!E67</f>
        <v>6410</v>
      </c>
      <c r="F298" s="41">
        <f>IF(F$16=1,('Balance sheet'!E67+'Balance sheet'!F67)/2," ")</f>
        <v>8890.7112418791421</v>
      </c>
      <c r="G298" s="41">
        <f>IF(G$16=1,('Balance sheet'!F67+'Balance sheet'!G67)/2," ")</f>
        <v>14044.277276272844</v>
      </c>
      <c r="H298" s="41">
        <f>IF(H$16=1,('Balance sheet'!G67+'Balance sheet'!H67)/2," ")</f>
        <v>19465.854319546634</v>
      </c>
      <c r="I298" s="41">
        <f>IF(I$16=1,('Balance sheet'!H67+'Balance sheet'!I67)/2," ")</f>
        <v>25046.057463256609</v>
      </c>
      <c r="J298" s="41">
        <f>IF(J$16=1,('Balance sheet'!I67+'Balance sheet'!J67)/2," ")</f>
        <v>30809.515318144426</v>
      </c>
      <c r="K298" s="41">
        <f>IF(K$16=1,('Balance sheet'!J67+'Balance sheet'!K67)/2," ")</f>
        <v>37448.94955187614</v>
      </c>
      <c r="L298" s="41">
        <f>IF(L$16=1,('Balance sheet'!K67+'Balance sheet'!L67)/2," ")</f>
        <v>44694.865861679522</v>
      </c>
      <c r="M298" s="41">
        <f>IF(M$16=1,('Balance sheet'!L67+'Balance sheet'!M67)/2," ")</f>
        <v>51904.756811084306</v>
      </c>
      <c r="N298" s="41">
        <f>IF(N$16=1,('Balance sheet'!M67+'Balance sheet'!N67)/2," ")</f>
        <v>59384.096731088997</v>
      </c>
      <c r="O298" s="41">
        <f>IF(O$16=1,('Balance sheet'!N67+'Balance sheet'!O67)/2," ")</f>
        <v>67091.179822687016</v>
      </c>
      <c r="P298" s="41">
        <f>IF(P$16=1,('Balance sheet'!O67+'Balance sheet'!P67)/2," ")</f>
        <v>75023.431154062302</v>
      </c>
      <c r="Q298" s="41">
        <f>IF(Q$16=1,('Balance sheet'!P67+'Balance sheet'!Q67)/2," ")</f>
        <v>83226.200899832853</v>
      </c>
      <c r="R298" s="41">
        <f>IF(R$16=1,('Balance sheet'!Q67+'Balance sheet'!R67)/2," ")</f>
        <v>91706.49207774704</v>
      </c>
      <c r="S298" s="41">
        <f>IF(S$16=1,('Balance sheet'!R67+'Balance sheet'!S67)/2," ")</f>
        <v>100473.00447301305</v>
      </c>
      <c r="T298" s="41">
        <f>IF(T$16=1,('Balance sheet'!S67+'Balance sheet'!T67)/2," ")</f>
        <v>109534.69337508109</v>
      </c>
      <c r="U298" s="41">
        <f>IF(U$16=1,('Balance sheet'!T67+'Balance sheet'!U67)/2," ")</f>
        <v>118838.209213097</v>
      </c>
      <c r="V298" s="41">
        <f>IF(V$16=1,('Balance sheet'!U67+'Balance sheet'!V67)/2," ")</f>
        <v>128461.3492934884</v>
      </c>
      <c r="W298" s="41">
        <f>IF(W$16=1,('Balance sheet'!V67+'Balance sheet'!W67)/2," ")</f>
        <v>138484.44614186644</v>
      </c>
      <c r="X298" s="41">
        <f>IF(X$16=1,('Balance sheet'!W67+'Balance sheet'!X67)/2," ")</f>
        <v>148849.13957447029</v>
      </c>
      <c r="Y298" s="41">
        <f>IF(Y$16=1,('Balance sheet'!X67+'Balance sheet'!Y67)/2," ")</f>
        <v>159557.67570995452</v>
      </c>
      <c r="Z298" s="41">
        <f>IF(Z$16=1,('Balance sheet'!Y67+'Balance sheet'!Z67)/2," ")</f>
        <v>170621.83154885212</v>
      </c>
      <c r="AA298" s="41">
        <f>IF(AA$16=1,('Balance sheet'!Z67+'Balance sheet'!AA67)/2," ")</f>
        <v>182052.57105761004</v>
      </c>
      <c r="AB298" s="41">
        <f>IF(AB$16=1,('Balance sheet'!AA67+'Balance sheet'!AB67)/2," ")</f>
        <v>193860.055733399</v>
      </c>
      <c r="AC298" s="41">
        <f>IF(AC$16=1,('Balance sheet'!AB67+'Balance sheet'!AC67)/2," ")</f>
        <v>206055.90345160133</v>
      </c>
      <c r="AD298" s="41">
        <f>IF(AD$16=1,('Balance sheet'!AC67+'Balance sheet'!AD67)/2," ")</f>
        <v>218652.07265550399</v>
      </c>
      <c r="AE298" s="41">
        <f>IF(AE$16=1,('Balance sheet'!AD67+'Balance sheet'!AE67)/2," ")</f>
        <v>231660.87228446541</v>
      </c>
      <c r="AF298" s="41">
        <f>IF(AF$16=1,('Balance sheet'!AE67+'Balance sheet'!AF67)/2," ")</f>
        <v>245094.97199160286</v>
      </c>
      <c r="AG298" s="41">
        <f>IF(AG$16=1,('Balance sheet'!AF67+'Balance sheet'!AG67)/2," ")</f>
        <v>258967.41265944444</v>
      </c>
      <c r="AH298" s="41">
        <f>IF(AH$16=1,('Balance sheet'!AG67+'Balance sheet'!AH67)/2," ")</f>
        <v>273291.61722223839</v>
      </c>
    </row>
    <row r="299" spans="1:34" s="20" customFormat="1" ht="14" x14ac:dyDescent="0.2">
      <c r="A299" s="8"/>
      <c r="B299" s="8" t="s">
        <v>170</v>
      </c>
      <c r="C299" s="8"/>
      <c r="D299" s="8" t="s">
        <v>15</v>
      </c>
      <c r="E299" s="54">
        <f>IF(E16=1,E293/E298,"N/A")</f>
        <v>2.5619227769110768</v>
      </c>
      <c r="F299" s="54">
        <f t="shared" ref="F299:AH299" si="92">IF(F16=1,F293/F298,"N/A")</f>
        <v>1.8444535324523228</v>
      </c>
      <c r="G299" s="54">
        <f t="shared" si="92"/>
        <v>1.2058043127246951</v>
      </c>
      <c r="H299" s="54">
        <f t="shared" si="92"/>
        <v>0.89432070589628965</v>
      </c>
      <c r="I299" s="54">
        <f t="shared" si="92"/>
        <v>0.71770711752895366</v>
      </c>
      <c r="J299" s="54">
        <f t="shared" si="92"/>
        <v>0.60601497966379503</v>
      </c>
      <c r="K299" s="54">
        <f t="shared" si="92"/>
        <v>0.58441562590960483</v>
      </c>
      <c r="L299" s="54">
        <f t="shared" si="92"/>
        <v>0.5086116514288489</v>
      </c>
      <c r="M299" s="54">
        <f t="shared" si="92"/>
        <v>0.45508535904978953</v>
      </c>
      <c r="N299" s="54">
        <f t="shared" si="92"/>
        <v>0.41317760669094405</v>
      </c>
      <c r="O299" s="54">
        <f t="shared" si="92"/>
        <v>0.37485449402455773</v>
      </c>
      <c r="P299" s="54">
        <f t="shared" si="92"/>
        <v>0.34677774863742494</v>
      </c>
      <c r="Q299" s="54">
        <f t="shared" si="92"/>
        <v>0.32358949616074828</v>
      </c>
      <c r="R299" s="54">
        <f t="shared" si="92"/>
        <v>0.30394677463657921</v>
      </c>
      <c r="S299" s="54">
        <f t="shared" si="92"/>
        <v>0.28709787499767303</v>
      </c>
      <c r="T299" s="54">
        <f t="shared" si="92"/>
        <v>0.2724895071481041</v>
      </c>
      <c r="U299" s="54">
        <f t="shared" si="92"/>
        <v>0.2599084394059108</v>
      </c>
      <c r="V299" s="54">
        <f t="shared" si="92"/>
        <v>0.24878628217070906</v>
      </c>
      <c r="W299" s="54">
        <f t="shared" si="92"/>
        <v>0.23877576992242205</v>
      </c>
      <c r="X299" s="54">
        <f t="shared" si="92"/>
        <v>0.2297370712529474</v>
      </c>
      <c r="Y299" s="54">
        <f t="shared" si="92"/>
        <v>0.22161271342728489</v>
      </c>
      <c r="Z299" s="54">
        <f t="shared" si="92"/>
        <v>0.21427991577141245</v>
      </c>
      <c r="AA299" s="54">
        <f t="shared" si="92"/>
        <v>0.20761333200998036</v>
      </c>
      <c r="AB299" s="54">
        <f t="shared" si="92"/>
        <v>0.20153597650121605</v>
      </c>
      <c r="AC299" s="54">
        <f t="shared" si="92"/>
        <v>0.19597417669354217</v>
      </c>
      <c r="AD299" s="54">
        <f t="shared" si="92"/>
        <v>0.19086603518351139</v>
      </c>
      <c r="AE299" s="54">
        <f t="shared" si="92"/>
        <v>0.18615916802598956</v>
      </c>
      <c r="AF299" s="54">
        <f t="shared" si="92"/>
        <v>0.18180894504166487</v>
      </c>
      <c r="AG299" s="54">
        <f t="shared" si="92"/>
        <v>0.1777771067669815</v>
      </c>
      <c r="AH299" s="54">
        <f t="shared" si="92"/>
        <v>0.17403066723385494</v>
      </c>
    </row>
    <row r="300" spans="1:34" s="20" customFormat="1" ht="14" x14ac:dyDescent="0.2">
      <c r="A300" s="8"/>
      <c r="B300" s="8"/>
      <c r="C300" s="8"/>
      <c r="D300" s="8"/>
      <c r="E300" s="42"/>
      <c r="F300" s="42"/>
      <c r="G300" s="42"/>
      <c r="H300" s="42"/>
      <c r="I300" s="42"/>
      <c r="J300" s="42"/>
      <c r="K300" s="42"/>
      <c r="L300" s="42"/>
      <c r="M300" s="42"/>
      <c r="N300" s="42"/>
      <c r="O300" s="42"/>
      <c r="P300" s="42"/>
      <c r="Q300" s="42"/>
      <c r="R300" s="42"/>
      <c r="S300" s="42"/>
      <c r="T300" s="42"/>
      <c r="U300" s="42"/>
      <c r="V300" s="42"/>
      <c r="W300" s="42"/>
      <c r="X300" s="42"/>
      <c r="Y300" s="42"/>
      <c r="Z300" s="42"/>
      <c r="AA300" s="42"/>
      <c r="AB300" s="42"/>
      <c r="AC300" s="42"/>
      <c r="AD300" s="42"/>
      <c r="AE300" s="42"/>
      <c r="AF300" s="42"/>
      <c r="AG300" s="42"/>
      <c r="AH300" s="42"/>
    </row>
    <row r="301" spans="1:34" x14ac:dyDescent="0.2">
      <c r="A301" s="320"/>
      <c r="B301" s="319" t="str">
        <f>"Working capital for " &amp;'Assumptions - General'!E24</f>
        <v>Working capital for Ruritania Freight Rail Company</v>
      </c>
      <c r="C301" s="320"/>
      <c r="D301" s="320"/>
      <c r="E301" s="320"/>
      <c r="F301" s="320"/>
      <c r="G301" s="320"/>
      <c r="H301" s="320"/>
      <c r="I301" s="320"/>
      <c r="J301" s="320"/>
      <c r="K301" s="320"/>
      <c r="L301" s="320"/>
      <c r="M301" s="320"/>
      <c r="N301" s="320"/>
      <c r="O301" s="320"/>
      <c r="P301" s="320"/>
      <c r="Q301" s="320"/>
      <c r="R301" s="320"/>
      <c r="S301" s="320"/>
      <c r="T301" s="320"/>
      <c r="U301" s="320"/>
      <c r="V301" s="320"/>
      <c r="W301" s="320"/>
      <c r="X301" s="320"/>
      <c r="Y301" s="320"/>
      <c r="Z301" s="320"/>
      <c r="AA301" s="320"/>
      <c r="AB301" s="320"/>
      <c r="AC301" s="320"/>
      <c r="AD301" s="320"/>
      <c r="AE301" s="320"/>
      <c r="AF301" s="320"/>
      <c r="AG301" s="320"/>
      <c r="AH301" s="320"/>
    </row>
    <row r="302" spans="1:34" s="20" customFormat="1" ht="14" x14ac:dyDescent="0.2">
      <c r="A302" s="8"/>
      <c r="B302" s="7"/>
      <c r="C302" s="8"/>
      <c r="D302" s="8"/>
      <c r="E302" s="9"/>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row>
    <row r="303" spans="1:34" s="20" customFormat="1" ht="14" x14ac:dyDescent="0.2">
      <c r="A303" s="8"/>
      <c r="B303" s="8" t="s">
        <v>71</v>
      </c>
      <c r="C303" s="8"/>
      <c r="D303" s="8" t="str">
        <f>'Assumptions - General'!$E$27 &amp;" millions"</f>
        <v>R$ millions</v>
      </c>
      <c r="E303" s="463">
        <f>IF(E16=1,'Assumptions - Freight'!E412,0)</f>
        <v>5000</v>
      </c>
      <c r="F303" s="41">
        <f>IF(F16=1,IF(('Income statement'!F59-'Income statement'!F58)&gt;0,'Assumptions - Freight'!F$413/365*('Income statement'!F59-'Income statement'!F58),0),0)</f>
        <v>5012.4237990733973</v>
      </c>
      <c r="G303" s="41">
        <f>IF(G16=1,IF(('Income statement'!G59-'Income statement'!G58)&gt;0,'Assumptions - Freight'!G$413/365*('Income statement'!G59-'Income statement'!G58),0),0)</f>
        <v>5150.6310704706166</v>
      </c>
      <c r="H303" s="41">
        <f>IF(H16=1,IF(('Income statement'!H59-'Income statement'!H58)&gt;0,'Assumptions - Freight'!H$413/365*('Income statement'!H59-'Income statement'!H58),0),0)</f>
        <v>5292.8132520390145</v>
      </c>
      <c r="I303" s="41">
        <f>IF(I16=1,IF(('Income statement'!I59-'Income statement'!I58)&gt;0,'Assumptions - Freight'!I$413/365*('Income statement'!I59-'Income statement'!I58),0),0)</f>
        <v>5439.0865885161975</v>
      </c>
      <c r="J303" s="41">
        <f>IF(J16=1,IF(('Income statement'!J59-'Income statement'!J58)&gt;0,'Assumptions - Freight'!J$413/365*('Income statement'!J59-'Income statement'!J58),0),0)</f>
        <v>5589.5707471307669</v>
      </c>
      <c r="K303" s="41">
        <f>IF(K16=1,IF(('Income statement'!K59-'Income statement'!K58)&gt;0,'Assumptions - Freight'!K$413/365*('Income statement'!K59-'Income statement'!K58),0),0)</f>
        <v>6462.255557723016</v>
      </c>
      <c r="L303" s="41">
        <f>IF(L16=1,IF(('Income statement'!L59-'Income statement'!L58)&gt;0,'Assumptions - Freight'!L$413/365*('Income statement'!L59-'Income statement'!L58),0),0)</f>
        <v>6641.4389766854174</v>
      </c>
      <c r="M303" s="41">
        <f>IF(M16=1,IF(('Income statement'!M59-'Income statement'!M58)&gt;0,'Assumptions - Freight'!M$413/365*('Income statement'!M59-'Income statement'!M58),0),0)</f>
        <v>6825.7875394329776</v>
      </c>
      <c r="N303" s="41">
        <f>IF(N16=1,IF(('Income statement'!N59-'Income statement'!N58)&gt;0,'Assumptions - Freight'!N$413/365*('Income statement'!N59-'Income statement'!N58),0),0)</f>
        <v>7015.4524390595916</v>
      </c>
      <c r="O303" s="41">
        <f>IF(O16=1,IF(('Income statement'!O59-'Income statement'!O58)&gt;0,'Assumptions - Freight'!O$413/365*('Income statement'!O59-'Income statement'!O58),0),0)</f>
        <v>7210.5893219734025</v>
      </c>
      <c r="P303" s="41">
        <f>IF(P16=1,IF(('Income statement'!P59-'Income statement'!P58)&gt;0,'Assumptions - Freight'!P$413/365*('Income statement'!P59-'Income statement'!P58),0),0)</f>
        <v>7411.3584194376808</v>
      </c>
      <c r="Q303" s="41">
        <f>IF(Q16=1,IF(('Income statement'!Q59-'Income statement'!Q58)&gt;0,'Assumptions - Freight'!Q$413/365*('Income statement'!Q59-'Income statement'!Q58),0),0)</f>
        <v>7617.9246830031416</v>
      </c>
      <c r="R303" s="41">
        <f>IF(R16=1,IF(('Income statement'!R59-'Income statement'!R58)&gt;0,'Assumptions - Freight'!R$413/365*('Income statement'!R59-'Income statement'!R58),0),0)</f>
        <v>7830.4579239469767</v>
      </c>
      <c r="S303" s="41">
        <f>IF(S16=1,IF(('Income statement'!S59-'Income statement'!S58)&gt;0,'Assumptions - Freight'!S$413/365*('Income statement'!S59-'Income statement'!S58),0),0)</f>
        <v>8049.1329568372603</v>
      </c>
      <c r="T303" s="41">
        <f>IF(T16=1,IF(('Income statement'!T59-'Income statement'!T58)&gt;0,'Assumptions - Freight'!T$413/365*('Income statement'!T59-'Income statement'!T58),0),0)</f>
        <v>8274.1297473448776</v>
      </c>
      <c r="U303" s="41">
        <f>IF(U16=1,IF(('Income statement'!U59-'Income statement'!U58)&gt;0,'Assumptions - Freight'!U$413/365*('Income statement'!U59-'Income statement'!U58),0),0)</f>
        <v>8505.633564428852</v>
      </c>
      <c r="V303" s="41">
        <f>IF(V16=1,IF(('Income statement'!V59-'Income statement'!V58)&gt;0,'Assumptions - Freight'!V$413/365*('Income statement'!V59-'Income statement'!V58),0),0)</f>
        <v>8743.8351370244782</v>
      </c>
      <c r="W303" s="41">
        <f>IF(W16=1,IF(('Income statement'!W59-'Income statement'!W58)&gt;0,'Assumptions - Freight'!W$413/365*('Income statement'!W59-'Income statement'!W58),0),0)</f>
        <v>8988.9308153677575</v>
      </c>
      <c r="X303" s="41">
        <f>IF(X16=1,IF(('Income statement'!X59-'Income statement'!X58)&gt;0,'Assumptions - Freight'!X$413/365*('Income statement'!X59-'Income statement'!X58),0),0)</f>
        <v>9241.1227370933757</v>
      </c>
      <c r="Y303" s="41">
        <f>IF(Y16=1,IF(('Income statement'!Y59-'Income statement'!Y58)&gt;0,'Assumptions - Freight'!Y$413/365*('Income statement'!Y59-'Income statement'!Y58),0),0)</f>
        <v>9500.618998247628</v>
      </c>
      <c r="Z303" s="41">
        <f>IF(Z16=1,IF(('Income statement'!Z59-'Income statement'!Z58)&gt;0,'Assumptions - Freight'!Z$413/365*('Income statement'!Z59-'Income statement'!Z58),0),0)</f>
        <v>9767.6338293619265</v>
      </c>
      <c r="AA303" s="41">
        <f>IF(AA16=1,IF(('Income statement'!AA59-'Income statement'!AA58)&gt;0,'Assumptions - Freight'!AA$413/365*('Income statement'!AA59-'Income statement'!AA58),0),0)</f>
        <v>10042.387776736705</v>
      </c>
      <c r="AB303" s="41">
        <f>IF(AB16=1,IF(('Income statement'!AB59-'Income statement'!AB58)&gt;0,'Assumptions - Freight'!AB$413/365*('Income statement'!AB59-'Income statement'!AB58),0),0)</f>
        <v>10325.107889090134</v>
      </c>
      <c r="AC303" s="41">
        <f>IF(AC16=1,IF(('Income statement'!AC59-'Income statement'!AC58)&gt;0,'Assumptions - Freight'!AC$413/365*('Income statement'!AC59-'Income statement'!AC58),0),0)</f>
        <v>10616.027909730548</v>
      </c>
      <c r="AD303" s="41">
        <f>IF(AD16=1,IF(('Income statement'!AD59-'Income statement'!AD58)&gt;0,'Assumptions - Freight'!AD$413/365*('Income statement'!AD59-'Income statement'!AD58),0),0)</f>
        <v>10915.388474416197</v>
      </c>
      <c r="AE303" s="41">
        <f>IF(AE16=1,IF(('Income statement'!AE59-'Income statement'!AE58)&gt;0,'Assumptions - Freight'!AE$413/365*('Income statement'!AE59-'Income statement'!AE58),0),0)</f>
        <v>11223.437315070827</v>
      </c>
      <c r="AF303" s="41">
        <f>IF(AF16=1,IF(('Income statement'!AF59-'Income statement'!AF58)&gt;0,'Assumptions - Freight'!AF$413/365*('Income statement'!AF59-'Income statement'!AF58),0),0)</f>
        <v>11540.429469528535</v>
      </c>
      <c r="AG303" s="41">
        <f>IF(AG16=1,IF(('Income statement'!AG59-'Income statement'!AG58)&gt;0,'Assumptions - Freight'!AG$413/365*('Income statement'!AG59-'Income statement'!AG58),0),0)</f>
        <v>11866.627497486579</v>
      </c>
      <c r="AH303" s="41">
        <f>IF(AH16=1,IF(('Income statement'!AH59-'Income statement'!AH58)&gt;0,'Assumptions - Freight'!AH$413/365*('Income statement'!AH59-'Income statement'!AH58),0),0)</f>
        <v>12202.301702849996</v>
      </c>
    </row>
    <row r="304" spans="1:34" s="20" customFormat="1" ht="14" x14ac:dyDescent="0.2">
      <c r="A304" s="8"/>
      <c r="B304" s="8" t="s">
        <v>72</v>
      </c>
      <c r="C304" s="8"/>
      <c r="D304" s="8" t="str">
        <f>'Assumptions - General'!$E$27 &amp;" millions"</f>
        <v>R$ millions</v>
      </c>
      <c r="E304" s="463">
        <f>IF(E16=1,'Assumptions - Freight'!E416,0)</f>
        <v>100</v>
      </c>
      <c r="F304" s="41">
        <f>IF(F16=1,IF((F262+F264)&gt;0,'Assumptions - Freight'!F$417/365*(F262+F264),0),0)</f>
        <v>99.482926829268308</v>
      </c>
      <c r="G304" s="41">
        <f>IF(G16=1,IF((G262+G264)&gt;0,'Assumptions - Freight'!G$417/365*(G262+G264),0),0)</f>
        <v>101.43239024390245</v>
      </c>
      <c r="H304" s="41">
        <f>IF(H16=1,IF((H262+H264)&gt;0,'Assumptions - Freight'!H$417/365*(H262+H264),0),0)</f>
        <v>103.4092868292683</v>
      </c>
      <c r="I304" s="41">
        <f>IF(I16=1,IF((I262+I264)&gt;0,'Assumptions - Freight'!I$417/365*(I262+I264),0),0)</f>
        <v>105.41350805853659</v>
      </c>
      <c r="J304" s="41">
        <f>IF(J16=1,IF((J262+J264)&gt;0,'Assumptions - Freight'!J$417/365*(J262+J264),0),0)</f>
        <v>107.44491420341465</v>
      </c>
      <c r="K304" s="41">
        <f>IF(K16=1,IF((K262+K264)&gt;0,'Assumptions - Freight'!K$417/365*(K262+K264),0),0)</f>
        <v>123.19124912969929</v>
      </c>
      <c r="L304" s="41">
        <f>IF(L16=1,IF((L262+L264)&gt;0,'Assumptions - Freight'!L$417/365*(L262+L264),0),0)</f>
        <v>125.5371250439776</v>
      </c>
      <c r="M304" s="41">
        <f>IF(M16=1,IF((M262+M264)&gt;0,'Assumptions - Freight'!M$417/365*(M262+M264),0),0)</f>
        <v>127.91288138889587</v>
      </c>
      <c r="N304" s="41">
        <f>IF(N16=1,IF((N262+N264)&gt;0,'Assumptions - Freight'!N$417/365*(N262+N264),0),0)</f>
        <v>130.31819970196966</v>
      </c>
      <c r="O304" s="41">
        <f>IF(O16=1,IF((O262+O264)&gt;0,'Assumptions - Freight'!O$417/365*(O262+O264),0),0)</f>
        <v>132.75271552057788</v>
      </c>
      <c r="P304" s="41">
        <f>IF(P16=1,IF((P262+P264)&gt;0,'Assumptions - Freight'!P$417/365*(P262+P264),0),0)</f>
        <v>135.21601590857082</v>
      </c>
      <c r="Q304" s="41">
        <f>IF(Q16=1,IF((Q262+Q264)&gt;0,'Assumptions - Freight'!Q$417/365*(Q262+Q264),0),0)</f>
        <v>137.70763687587484</v>
      </c>
      <c r="R304" s="41">
        <f>IF(R16=1,IF((R262+R264)&gt;0,'Assumptions - Freight'!R$417/365*(R262+R264),0),0)</f>
        <v>140.22706068689936</v>
      </c>
      <c r="S304" s="41">
        <f>IF(S16=1,IF((S262+S264)&gt;0,'Assumptions - Freight'!S$417/365*(S262+S264),0),0)</f>
        <v>142.77371305339713</v>
      </c>
      <c r="T304" s="41">
        <f>IF(T16=1,IF((T262+T264)&gt;0,'Assumptions - Freight'!T$417/365*(T262+T264),0),0)</f>
        <v>145.34696020726645</v>
      </c>
      <c r="U304" s="41">
        <f>IF(U16=1,IF((U262+U264)&gt;0,'Assumptions - Freight'!U$417/365*(U262+U264),0),0)</f>
        <v>147.94610584861991</v>
      </c>
      <c r="V304" s="41">
        <f>IF(V16=1,IF((V262+V264)&gt;0,'Assumptions - Freight'!V$417/365*(V262+V264),0),0)</f>
        <v>150.57038796426809</v>
      </c>
      <c r="W304" s="41">
        <f>IF(W16=1,IF((W262+W264)&gt;0,'Assumptions - Freight'!W$417/365*(W262+W264),0),0)</f>
        <v>153.21897551159137</v>
      </c>
      <c r="X304" s="41">
        <f>IF(X16=1,IF((X262+X264)&gt;0,'Assumptions - Freight'!X$417/365*(X262+X264),0),0)</f>
        <v>155.89096496258617</v>
      </c>
      <c r="Y304" s="41">
        <f>IF(Y16=1,IF((Y262+Y264)&gt;0,'Assumptions - Freight'!Y$417/365*(Y262+Y264),0),0)</f>
        <v>158.58537670268026</v>
      </c>
      <c r="Z304" s="41">
        <f>IF(Z16=1,IF((Z262+Z264)&gt;0,'Assumptions - Freight'!Z$417/365*(Z262+Z264),0),0)</f>
        <v>161.30115127871363</v>
      </c>
      <c r="AA304" s="41">
        <f>IF(AA16=1,IF((AA262+AA264)&gt;0,'Assumptions - Freight'!AA$417/365*(AA262+AA264),0),0)</f>
        <v>164.03714549027666</v>
      </c>
      <c r="AB304" s="41">
        <f>IF(AB16=1,IF((AB262+AB264)&gt;0,'Assumptions - Freight'!AB$417/365*(AB262+AB264),0),0)</f>
        <v>166.79212831838254</v>
      </c>
      <c r="AC304" s="41">
        <f>IF(AC16=1,IF((AC262+AC264)&gt;0,'Assumptions - Freight'!AC$417/365*(AC262+AC264),0),0)</f>
        <v>169.5647766852336</v>
      </c>
      <c r="AD304" s="41">
        <f>IF(AD16=1,IF((AD262+AD264)&gt;0,'Assumptions - Freight'!AD$417/365*(AD262+AD264),0),0)</f>
        <v>172.35367103860915</v>
      </c>
      <c r="AE304" s="41">
        <f>IF(AE16=1,IF((AE262+AE264)&gt;0,'Assumptions - Freight'!AE$417/365*(AE262+AE264),0),0)</f>
        <v>175.15729075417053</v>
      </c>
      <c r="AF304" s="41">
        <f>IF(AF16=1,IF((AF262+AF264)&gt;0,'Assumptions - Freight'!AF$417/365*(AF262+AF264),0),0)</f>
        <v>177.97400934873082</v>
      </c>
      <c r="AG304" s="41">
        <f>IF(AG16=1,IF((AG262+AG264)&gt;0,'Assumptions - Freight'!AG$417/365*(AG262+AG264),0),0)</f>
        <v>180.802089497286</v>
      </c>
      <c r="AH304" s="41">
        <f>IF(AH16=1,IF((AH262+AH264)&gt;0,'Assumptions - Freight'!AH$417/365*(AH262+AH264),0),0)</f>
        <v>183.63967784634065</v>
      </c>
    </row>
    <row r="305" spans="1:34" s="20" customFormat="1" ht="14" x14ac:dyDescent="0.2">
      <c r="A305" s="8"/>
      <c r="B305" s="8" t="s">
        <v>288</v>
      </c>
      <c r="C305" s="8"/>
      <c r="D305" s="8" t="str">
        <f>'Assumptions - General'!$E$27 &amp;" millions"</f>
        <v>R$ millions</v>
      </c>
      <c r="E305" s="463">
        <f>IF(E16=1,'Assumptions - Freight'!E420,0)</f>
        <v>100</v>
      </c>
      <c r="F305" s="41">
        <f>IF(F16=1,IF(('Income statement'!F58-F256+SUM(F246:F249))&gt;0,'Assumptions - Freight'!F$421/365*('Income statement'!F58-F256+SUM(F246:F249)),0),0)</f>
        <v>100.91666666666667</v>
      </c>
      <c r="G305" s="41">
        <f>IF(G16=1,IF(('Income statement'!G58-G256+SUM(G246:G249))&gt;0,'Assumptions - Freight'!G$421/365*('Income statement'!G58-G256+SUM(G246:G249)),0),0)</f>
        <v>101.86083333333335</v>
      </c>
      <c r="H305" s="41">
        <f>IF(H16=1,IF(('Income statement'!H58-H256+SUM(H246:H249))&gt;0,'Assumptions - Freight'!H$421/365*('Income statement'!H58-H256+SUM(H246:H249)),0),0)</f>
        <v>102.833325</v>
      </c>
      <c r="I305" s="41">
        <f>IF(I16=1,IF(('Income statement'!I58-I256+SUM(I246:I249))&gt;0,'Assumptions - Freight'!I$421/365*('Income statement'!I58-I256+SUM(I246:I249)),0),0)</f>
        <v>103.83499141666667</v>
      </c>
      <c r="J305" s="41">
        <f>IF(J16=1,IF(('Income statement'!J58-J256+SUM(J246:J249))&gt;0,'Assumptions - Freight'!J$421/365*('Income statement'!J58-J256+SUM(J246:J249)),0),0)</f>
        <v>104.86670782583333</v>
      </c>
      <c r="K305" s="41">
        <f>IF(K16=1,IF(('Income statement'!K58-K256+SUM(K246:K249))&gt;0,'Assumptions - Freight'!K$421/365*('Income statement'!K58-K256+SUM(K246:K249)),0),0)</f>
        <v>105.929375727275</v>
      </c>
      <c r="L305" s="41">
        <f>IF(L16=1,IF(('Income statement'!L58-L256+SUM(L246:L249))&gt;0,'Assumptions - Freight'!L$421/365*('Income statement'!L58-L256+SUM(L246:L249)),0),0)</f>
        <v>107.02392366575992</v>
      </c>
      <c r="M305" s="41">
        <f>IF(M16=1,IF(('Income statement'!M58-M256+SUM(M246:M249))&gt;0,'Assumptions - Freight'!M$421/365*('Income statement'!M58-M256+SUM(M246:M249)),0),0)</f>
        <v>108.15130804239939</v>
      </c>
      <c r="N305" s="41">
        <f>IF(N16=1,IF(('Income statement'!N58-N256+SUM(N246:N249))&gt;0,'Assumptions - Freight'!N$421/365*('Income statement'!N58-N256+SUM(N246:N249)),0),0)</f>
        <v>109.31251395033804</v>
      </c>
      <c r="O305" s="41">
        <f>IF(O16=1,IF(('Income statement'!O58-O256+SUM(O246:O249))&gt;0,'Assumptions - Freight'!O$421/365*('Income statement'!O58-O256+SUM(O246:O249)),0),0)</f>
        <v>110.50855603551484</v>
      </c>
      <c r="P305" s="41">
        <f>IF(P16=1,IF(('Income statement'!P58-P256+SUM(P246:P249))&gt;0,'Assumptions - Freight'!P$421/365*('Income statement'!P58-P256+SUM(P246:P249)),0),0)</f>
        <v>111.74047938324696</v>
      </c>
      <c r="Q305" s="41">
        <f>IF(Q16=1,IF(('Income statement'!Q58-Q256+SUM(Q246:Q249))&gt;0,'Assumptions - Freight'!Q$421/365*('Income statement'!Q58-Q256+SUM(Q246:Q249)),0),0)</f>
        <v>113.00936043141103</v>
      </c>
      <c r="R305" s="41">
        <f>IF(R16=1,IF(('Income statement'!R58-R256+SUM(R246:R249))&gt;0,'Assumptions - Freight'!R$421/365*('Income statement'!R58-R256+SUM(R246:R249)),0),0)</f>
        <v>114.31630791102003</v>
      </c>
      <c r="S305" s="41">
        <f>IF(S16=1,IF(('Income statement'!S58-S256+SUM(S246:S249))&gt;0,'Assumptions - Freight'!S$421/365*('Income statement'!S58-S256+SUM(S246:S249)),0),0)</f>
        <v>115.66246381501732</v>
      </c>
      <c r="T305" s="41">
        <f>IF(T16=1,IF(('Income statement'!T58-T256+SUM(T246:T249))&gt;0,'Assumptions - Freight'!T$421/365*('Income statement'!T58-T256+SUM(T246:T249)),0),0)</f>
        <v>117.04900439613448</v>
      </c>
      <c r="U305" s="41">
        <f>IF(U16=1,IF(('Income statement'!U58-U256+SUM(U246:U249))&gt;0,'Assumptions - Freight'!U$421/365*('Income statement'!U58-U256+SUM(U246:U249)),0),0)</f>
        <v>118.47714119468517</v>
      </c>
      <c r="V305" s="41">
        <f>IF(V16=1,IF(('Income statement'!V58-V256+SUM(V246:V249))&gt;0,'Assumptions - Freight'!V$421/365*('Income statement'!V58-V256+SUM(V246:V249)),0),0)</f>
        <v>119.94812209719241</v>
      </c>
      <c r="W305" s="41">
        <f>IF(W16=1,IF(('Income statement'!W58-W256+SUM(W246:W249))&gt;0,'Assumptions - Freight'!W$421/365*('Income statement'!W58-W256+SUM(W246:W249)),0),0)</f>
        <v>121.46323242677487</v>
      </c>
      <c r="X305" s="41">
        <f>IF(X16=1,IF(('Income statement'!X58-X256+SUM(X246:X249))&gt;0,'Assumptions - Freight'!X$421/365*('Income statement'!X58-X256+SUM(X246:X249)),0),0)</f>
        <v>123.02379606624477</v>
      </c>
      <c r="Y305" s="41">
        <f>IF(Y16=1,IF(('Income statement'!Y58-Y256+SUM(Y246:Y249))&gt;0,'Assumptions - Freight'!Y$421/365*('Income statement'!Y58-Y256+SUM(Y246:Y249)),0),0)</f>
        <v>124.63117661489878</v>
      </c>
      <c r="Z305" s="41">
        <f>IF(Z16=1,IF(('Income statement'!Z58-Z256+SUM(Z246:Z249))&gt;0,'Assumptions - Freight'!Z$421/365*('Income statement'!Z58-Z256+SUM(Z246:Z249)),0),0)</f>
        <v>126.28677858001242</v>
      </c>
      <c r="AA305" s="41">
        <f>IF(AA16=1,IF(('Income statement'!AA58-AA256+SUM(AA246:AA249))&gt;0,'Assumptions - Freight'!AA$421/365*('Income statement'!AA58-AA256+SUM(AA246:AA249)),0),0)</f>
        <v>127.99204860407946</v>
      </c>
      <c r="AB305" s="41">
        <f>IF(AB16=1,IF(('Income statement'!AB58-AB256+SUM(AB246:AB249))&gt;0,'Assumptions - Freight'!AB$421/365*('Income statement'!AB58-AB256+SUM(AB246:AB249)),0),0)</f>
        <v>129.7484767288685</v>
      </c>
      <c r="AC305" s="41">
        <f>IF(AC16=1,IF(('Income statement'!AC58-AC256+SUM(AC246:AC249))&gt;0,'Assumptions - Freight'!AC$421/365*('Income statement'!AC58-AC256+SUM(AC246:AC249)),0),0)</f>
        <v>131.55759769740121</v>
      </c>
      <c r="AD305" s="41">
        <f>IF(AD16=1,IF(('Income statement'!AD58-AD256+SUM(AD246:AD249))&gt;0,'Assumptions - Freight'!AD$421/365*('Income statement'!AD58-AD256+SUM(AD246:AD249)),0),0)</f>
        <v>133.4209922949899</v>
      </c>
      <c r="AE305" s="41">
        <f>IF(AE16=1,IF(('Income statement'!AE58-AE256+SUM(AE246:AE249))&gt;0,'Assumptions - Freight'!AE$421/365*('Income statement'!AE58-AE256+SUM(AE246:AE249)),0),0)</f>
        <v>135.3402887305063</v>
      </c>
      <c r="AF305" s="41">
        <f>IF(AF16=1,IF(('Income statement'!AF58-AF256+SUM(AF246:AF249))&gt;0,'Assumptions - Freight'!AF$421/365*('Income statement'!AF58-AF256+SUM(AF246:AF249)),0),0)</f>
        <v>137.31716405908816</v>
      </c>
      <c r="AG305" s="41">
        <f>IF(AG16=1,IF(('Income statement'!AG58-AG256+SUM(AG246:AG249))&gt;0,'Assumptions - Freight'!AG$421/365*('Income statement'!AG58-AG256+SUM(AG246:AG249)),0),0)</f>
        <v>139.35334564752748</v>
      </c>
      <c r="AH305" s="41">
        <f>IF(AH16=1,IF(('Income statement'!AH58-AH256+SUM(AH246:AH249))&gt;0,'Assumptions - Freight'!AH$421/365*('Income statement'!AH58-AH256+SUM(AH246:AH249)),0),0)</f>
        <v>141.45061268361997</v>
      </c>
    </row>
    <row r="306" spans="1:34" s="20" customFormat="1" ht="14" x14ac:dyDescent="0.2">
      <c r="A306" s="8"/>
      <c r="B306" s="8" t="s">
        <v>289</v>
      </c>
      <c r="C306" s="8"/>
      <c r="D306" s="8" t="str">
        <f>'Assumptions - General'!$E$27 &amp;" millions"</f>
        <v>R$ millions</v>
      </c>
      <c r="E306" s="463">
        <f>IF(E16=1,'Assumptions - Freight'!E424,0)</f>
        <v>2000</v>
      </c>
      <c r="F306" s="41">
        <f>IF(F16=1,IF((F260+F262+F264+F266+F268+F270+F1117+F1118)&gt;0,'Assumptions - Freight'!F425/365*(F260+F262+F264+F266+F268+F270+F1117+F1118),0),0)</f>
        <v>2015.9966071016092</v>
      </c>
      <c r="G306" s="41">
        <f>IF(G16=1,IF((G260+G262+G264+G266+G268+G270+G1117+G1118)&gt;0,'Assumptions - Freight'!G425/365*(G260+G262+G264+G266+G268+G270+G1117+G1118),0),0)</f>
        <v>2076.4765053146571</v>
      </c>
      <c r="H306" s="41">
        <f>IF(H16=1,IF((H260+H262+H264+H266+H268+H270+H1117+H1118)&gt;0,'Assumptions - Freight'!H425/365*(H260+H262+H264+H266+H268+H270+H1117+H1118),0),0)</f>
        <v>2165.9150824178951</v>
      </c>
      <c r="I306" s="41">
        <f>IF(I16=1,IF((I260+I262+I264+I266+I268+I270+I1117+I1118)&gt;0,'Assumptions - Freight'!I425/365*(I260+I262+I264+I266+I268+I270+I1117+I1118),0),0)</f>
        <v>2249.5316084918391</v>
      </c>
      <c r="J306" s="41">
        <f>IF(J16=1,IF((J260+J262+J264+J266+J268+J270+J1117+J1118)&gt;0,'Assumptions - Freight'!J425/365*(J260+J262+J264+J266+J268+J270+J1117+J1118),0),0)</f>
        <v>2317.0175567465944</v>
      </c>
      <c r="K306" s="41">
        <f>IF(K16=1,IF((K260+K262+K264+K266+K268+K270+K1117+K1118)&gt;0,'Assumptions - Freight'!K425/365*(K260+K262+K264+K266+K268+K270+K1117+K1118),0),0)</f>
        <v>2641.5880462906994</v>
      </c>
      <c r="L306" s="41">
        <f>IF(L16=1,IF((L260+L262+L264+L266+L268+L270+L1117+L1118)&gt;0,'Assumptions - Freight'!L425/365*(L260+L262+L264+L266+L268+L270+L1117+L1118),0),0)</f>
        <v>2720.8356876794205</v>
      </c>
      <c r="M306" s="41">
        <f>IF(M16=1,IF((M260+M262+M264+M266+M268+M270+M1117+M1118)&gt;0,'Assumptions - Freight'!M425/365*(M260+M262+M264+M266+M268+M270+M1117+M1118),0),0)</f>
        <v>2802.4607583098032</v>
      </c>
      <c r="N306" s="41">
        <f>IF(N16=1,IF((N260+N262+N264+N266+N268+N270+N1117+N1118)&gt;0,'Assumptions - Freight'!N425/365*(N260+N262+N264+N266+N268+N270+N1117+N1118),0),0)</f>
        <v>2886.534581059097</v>
      </c>
      <c r="O306" s="41">
        <f>IF(O16=1,IF((O260+O262+O264+O266+O268+O270+O1117+O1118)&gt;0,'Assumptions - Freight'!O425/365*(O260+O262+O264+O266+O268+O270+O1117+O1118),0),0)</f>
        <v>2973.1306184908699</v>
      </c>
      <c r="P306" s="41">
        <f>IF(P16=1,IF((P260+P262+P264+P266+P268+P270+P1117+P1118)&gt;0,'Assumptions - Freight'!P425/365*(P260+P262+P264+P266+P268+P270+P1117+P1118),0),0)</f>
        <v>3062.3245370455961</v>
      </c>
      <c r="Q306" s="41">
        <f>IF(Q16=1,IF((Q260+Q262+Q264+Q266+Q268+Q270+Q1117+Q1118)&gt;0,'Assumptions - Freight'!Q425/365*(Q260+Q262+Q264+Q266+Q268+Q270+Q1117+Q1118),0),0)</f>
        <v>3154.1942731569638</v>
      </c>
      <c r="R306" s="41">
        <f>IF(R16=1,IF((R260+R262+R264+R266+R268+R270+R1117+R1118)&gt;0,'Assumptions - Freight'!R425/365*(R260+R262+R264+R266+R268+R270+R1117+R1118),0),0)</f>
        <v>3248.8201013516737</v>
      </c>
      <c r="S306" s="41">
        <f>IF(S16=1,IF((S260+S262+S264+S266+S268+S270+S1117+S1118)&gt;0,'Assumptions - Freight'!S425/365*(S260+S262+S264+S266+S268+S270+S1117+S1118),0),0)</f>
        <v>3346.2847043922238</v>
      </c>
      <c r="T306" s="41">
        <f>IF(T16=1,IF((T260+T262+T264+T266+T268+T270+T1117+T1118)&gt;0,'Assumptions - Freight'!T425/365*(T260+T262+T264+T266+T268+T270+T1117+T1118),0),0)</f>
        <v>3446.6732455239903</v>
      </c>
      <c r="U306" s="41">
        <f>IF(U16=1,IF((U260+U262+U264+U266+U268+U270+U1117+U1118)&gt;0,'Assumptions - Freight'!U425/365*(U260+U262+U264+U266+U268+U270+U1117+U1118),0),0)</f>
        <v>3550.0734428897103</v>
      </c>
      <c r="V306" s="41">
        <f>IF(V16=1,IF((V260+V262+V264+V266+V268+V270+V1117+V1118)&gt;0,'Assumptions - Freight'!V425/365*(V260+V262+V264+V266+V268+V270+V1117+V1118),0),0)</f>
        <v>3656.5756461764017</v>
      </c>
      <c r="W306" s="41">
        <f>IF(W16=1,IF((W260+W262+W264+W266+W268+W270+W1117+W1118)&gt;0,'Assumptions - Freight'!W425/365*(W260+W262+W264+W266+W268+W270+W1117+W1118),0),0)</f>
        <v>3766.2729155616939</v>
      </c>
      <c r="X306" s="41">
        <f>IF(X16=1,IF((X260+X262+X264+X266+X268+X270+X1117+X1118)&gt;0,'Assumptions - Freight'!X425/365*(X260+X262+X264+X266+X268+X270+X1117+X1118),0),0)</f>
        <v>3879.2611030285448</v>
      </c>
      <c r="Y306" s="41">
        <f>IF(Y16=1,IF((Y260+Y262+Y264+Y266+Y268+Y270+Y1117+Y1118)&gt;0,'Assumptions - Freight'!Y425/365*(Y260+Y262+Y264+Y266+Y268+Y270+Y1117+Y1118),0),0)</f>
        <v>3995.6389361194015</v>
      </c>
      <c r="Z306" s="41">
        <f>IF(Z16=1,IF((Z260+Z262+Z264+Z266+Z268+Z270+Z1117+Z1118)&gt;0,'Assumptions - Freight'!Z425/365*(Z260+Z262+Z264+Z266+Z268+Z270+Z1117+Z1118),0),0)</f>
        <v>4115.5081042029842</v>
      </c>
      <c r="AA306" s="41">
        <f>IF(AA16=1,IF((AA260+AA262+AA264+AA266+AA268+AA270+AA1117+AA1118)&gt;0,'Assumptions - Freight'!AA425/365*(AA260+AA262+AA264+AA266+AA268+AA270+AA1117+AA1118),0),0)</f>
        <v>4238.9733473290735</v>
      </c>
      <c r="AB306" s="41">
        <f>IF(AB16=1,IF((AB260+AB262+AB264+AB266+AB268+AB270+AB1117+AB1118)&gt;0,'Assumptions - Freight'!AB425/365*(AB260+AB262+AB264+AB266+AB268+AB270+AB1117+AB1118),0),0)</f>
        <v>4366.1425477489465</v>
      </c>
      <c r="AC306" s="41">
        <f>IF(AC16=1,IF((AC260+AC262+AC264+AC266+AC268+AC270+AC1117+AC1118)&gt;0,'Assumptions - Freight'!AC425/365*(AC260+AC262+AC264+AC266+AC268+AC270+AC1117+AC1118),0),0)</f>
        <v>4497.126824181415</v>
      </c>
      <c r="AD306" s="41">
        <f>IF(AD16=1,IF((AD260+AD262+AD264+AD266+AD268+AD270+AD1117+AD1118)&gt;0,'Assumptions - Freight'!AD425/365*(AD260+AD262+AD264+AD266+AD268+AD270+AD1117+AD1118),0),0)</f>
        <v>4632.0406289068569</v>
      </c>
      <c r="AE306" s="41">
        <f>IF(AE16=1,IF((AE260+AE262+AE264+AE266+AE268+AE270+AE1117+AE1118)&gt;0,'Assumptions - Freight'!AE425/365*(AE260+AE262+AE264+AE266+AE268+AE270+AE1117+AE1118),0),0)</f>
        <v>4771.0018477740623</v>
      </c>
      <c r="AF306" s="41">
        <f>IF(AF16=1,IF((AF260+AF262+AF264+AF266+AF268+AF270+AF1117+AF1118)&gt;0,'Assumptions - Freight'!AF425/365*(AF260+AF262+AF264+AF266+AF268+AF270+AF1117+AF1118),0),0)</f>
        <v>4914.1319032072843</v>
      </c>
      <c r="AG306" s="41">
        <f>IF(AG16=1,IF((AG260+AG262+AG264+AG266+AG268+AG270+AG1117+AG1118)&gt;0,'Assumptions - Freight'!AG425/365*(AG260+AG262+AG264+AG266+AG268+AG270+AG1117+AG1118),0),0)</f>
        <v>5061.5558603035024</v>
      </c>
      <c r="AH306" s="41">
        <f>IF(AH16=1,IF((AH260+AH262+AH264+AH266+AH268+AH270+AH1117+AH1118)&gt;0,'Assumptions - Freight'!AH425/365*(AH260+AH262+AH264+AH266+AH268+AH270+AH1117+AH1118),0),0)</f>
        <v>5213.4025361126087</v>
      </c>
    </row>
    <row r="307" spans="1:34" s="20" customFormat="1" ht="14" x14ac:dyDescent="0.2">
      <c r="A307" s="8"/>
      <c r="B307" s="8" t="s">
        <v>290</v>
      </c>
      <c r="C307" s="8"/>
      <c r="D307" s="8" t="str">
        <f>'Assumptions - General'!$E$27 &amp;" millions"</f>
        <v>R$ millions</v>
      </c>
      <c r="E307" s="463">
        <f>IF(E16=1,'Assumptions - Freight'!E428,0)</f>
        <v>100</v>
      </c>
      <c r="F307" s="41">
        <f>IF(F16=1,IF(SUM(Calculations!F$275:F$278)&gt;0,'Assumptions - Freight'!F429/365*SUM(Calculations!F$275:F$278),0),0)</f>
        <v>103.00000000000001</v>
      </c>
      <c r="G307" s="41">
        <f>IF(G16=1,IF(SUM(Calculations!G$275:G$278)&gt;0,'Assumptions - Freight'!G429/365*SUM(Calculations!G$275:G$278),0),0)</f>
        <v>106.09000000000002</v>
      </c>
      <c r="H307" s="41">
        <f>IF(H16=1,IF(SUM(Calculations!H$275:H$278)&gt;0,'Assumptions - Freight'!H429/365*SUM(Calculations!H$275:H$278),0),0)</f>
        <v>109.27270000000001</v>
      </c>
      <c r="I307" s="41">
        <f>IF(I16=1,IF(SUM(Calculations!I$275:I$278)&gt;0,'Assumptions - Freight'!I429/365*SUM(Calculations!I$275:I$278),0),0)</f>
        <v>112.55088100000002</v>
      </c>
      <c r="J307" s="41">
        <f>IF(J16=1,IF(SUM(Calculations!J$275:J$278)&gt;0,'Assumptions - Freight'!J429/365*SUM(Calculations!J$275:J$278),0),0)</f>
        <v>115.92740743000002</v>
      </c>
      <c r="K307" s="41">
        <f>IF(K16=1,IF(SUM(Calculations!K$275:K$278)&gt;0,'Assumptions - Freight'!K429/365*SUM(Calculations!K$275:K$278),0),0)</f>
        <v>119.4052296529</v>
      </c>
      <c r="L307" s="41">
        <f>IF(L16=1,IF(SUM(Calculations!L$275:L$278)&gt;0,'Assumptions - Freight'!L429/365*SUM(Calculations!L$275:L$278),0),0)</f>
        <v>122.98738654248703</v>
      </c>
      <c r="M307" s="41">
        <f>IF(M16=1,IF(SUM(Calculations!M$275:M$278)&gt;0,'Assumptions - Freight'!M429/365*SUM(Calculations!M$275:M$278),0),0)</f>
        <v>126.67700813876164</v>
      </c>
      <c r="N307" s="41">
        <f>IF(N16=1,IF(SUM(Calculations!N$275:N$278)&gt;0,'Assumptions - Freight'!N429/365*SUM(Calculations!N$275:N$278),0),0)</f>
        <v>130.47731838292449</v>
      </c>
      <c r="O307" s="41">
        <f>IF(O16=1,IF(SUM(Calculations!O$275:O$278)&gt;0,'Assumptions - Freight'!O429/365*SUM(Calculations!O$275:O$278),0),0)</f>
        <v>134.39163793441222</v>
      </c>
      <c r="P307" s="41">
        <f>IF(P16=1,IF(SUM(Calculations!P$275:P$278)&gt;0,'Assumptions - Freight'!P429/365*SUM(Calculations!P$275:P$278),0),0)</f>
        <v>138.4233870724446</v>
      </c>
      <c r="Q307" s="41">
        <f>IF(Q16=1,IF(SUM(Calculations!Q$275:Q$278)&gt;0,'Assumptions - Freight'!Q429/365*SUM(Calculations!Q$275:Q$278),0),0)</f>
        <v>142.5760886846179</v>
      </c>
      <c r="R307" s="41">
        <f>IF(R16=1,IF(SUM(Calculations!R$275:R$278)&gt;0,'Assumptions - Freight'!R429/365*SUM(Calculations!R$275:R$278),0),0)</f>
        <v>146.85337134515649</v>
      </c>
      <c r="S307" s="41">
        <f>IF(S16=1,IF(SUM(Calculations!S$275:S$278)&gt;0,'Assumptions - Freight'!S429/365*SUM(Calculations!S$275:S$278),0),0)</f>
        <v>151.25897248551115</v>
      </c>
      <c r="T307" s="41">
        <f>IF(T16=1,IF(SUM(Calculations!T$275:T$278)&gt;0,'Assumptions - Freight'!T429/365*SUM(Calculations!T$275:T$278),0),0)</f>
        <v>155.79674166007649</v>
      </c>
      <c r="U307" s="41">
        <f>IF(U16=1,IF(SUM(Calculations!U$275:U$278)&gt;0,'Assumptions - Freight'!U429/365*SUM(Calculations!U$275:U$278),0),0)</f>
        <v>160.47064390987876</v>
      </c>
      <c r="V307" s="41">
        <f>IF(V16=1,IF(SUM(Calculations!V$275:V$278)&gt;0,'Assumptions - Freight'!V429/365*SUM(Calculations!V$275:V$278),0),0)</f>
        <v>165.28476322717512</v>
      </c>
      <c r="W307" s="41">
        <f>IF(W16=1,IF(SUM(Calculations!W$275:W$278)&gt;0,'Assumptions - Freight'!W429/365*SUM(Calculations!W$275:W$278),0),0)</f>
        <v>170.24330612399038</v>
      </c>
      <c r="X307" s="41">
        <f>IF(X16=1,IF(SUM(Calculations!X$275:X$278)&gt;0,'Assumptions - Freight'!X429/365*SUM(Calculations!X$275:X$278),0),0)</f>
        <v>175.35060530771014</v>
      </c>
      <c r="Y307" s="41">
        <f>IF(Y16=1,IF(SUM(Calculations!Y$275:Y$278)&gt;0,'Assumptions - Freight'!Y429/365*SUM(Calculations!Y$275:Y$278),0),0)</f>
        <v>180.61112346694145</v>
      </c>
      <c r="Z307" s="41">
        <f>IF(Z16=1,IF(SUM(Calculations!Z$275:Z$278)&gt;0,'Assumptions - Freight'!Z429/365*SUM(Calculations!Z$275:Z$278),0),0)</f>
        <v>186.02945717094968</v>
      </c>
      <c r="AA307" s="41">
        <f>IF(AA16=1,IF(SUM(Calculations!AA$275:AA$278)&gt;0,'Assumptions - Freight'!AA429/365*SUM(Calculations!AA$275:AA$278),0),0)</f>
        <v>191.61034088607818</v>
      </c>
      <c r="AB307" s="41">
        <f>IF(AB16=1,IF(SUM(Calculations!AB$275:AB$278)&gt;0,'Assumptions - Freight'!AB429/365*SUM(Calculations!AB$275:AB$278),0),0)</f>
        <v>197.35865111266054</v>
      </c>
      <c r="AC307" s="41">
        <f>IF(AC16=1,IF(SUM(Calculations!AC$275:AC$278)&gt;0,'Assumptions - Freight'!AC429/365*SUM(Calculations!AC$275:AC$278),0),0)</f>
        <v>203.27941064604036</v>
      </c>
      <c r="AD307" s="41">
        <f>IF(AD16=1,IF(SUM(Calculations!AD$275:AD$278)&gt;0,'Assumptions - Freight'!AD429/365*SUM(Calculations!AD$275:AD$278),0),0)</f>
        <v>209.37779296542155</v>
      </c>
      <c r="AE307" s="41">
        <f>IF(AE16=1,IF(SUM(Calculations!AE$275:AE$278)&gt;0,'Assumptions - Freight'!AE429/365*SUM(Calculations!AE$275:AE$278),0),0)</f>
        <v>215.65912675438415</v>
      </c>
      <c r="AF307" s="41">
        <f>IF(AF16=1,IF(SUM(Calculations!AF$275:AF$278)&gt;0,'Assumptions - Freight'!AF429/365*SUM(Calculations!AF$275:AF$278),0),0)</f>
        <v>222.1289005570157</v>
      </c>
      <c r="AG307" s="41">
        <f>IF(AG16=1,IF(SUM(Calculations!AG$275:AG$278)&gt;0,'Assumptions - Freight'!AG429/365*SUM(Calculations!AG$275:AG$278),0),0)</f>
        <v>228.79276757372622</v>
      </c>
      <c r="AH307" s="41">
        <f>IF(AH16=1,IF(SUM(Calculations!AH$275:AH$278)&gt;0,'Assumptions - Freight'!AH429/365*SUM(Calculations!AH$275:AH$278),0),0)</f>
        <v>235.65655060093803</v>
      </c>
    </row>
    <row r="308" spans="1:34" s="20" customFormat="1" ht="14" x14ac:dyDescent="0.2">
      <c r="A308" s="8"/>
      <c r="B308" s="8"/>
      <c r="C308" s="8"/>
      <c r="D308" s="8"/>
      <c r="E308" s="41"/>
      <c r="F308" s="41"/>
      <c r="G308" s="41"/>
      <c r="H308" s="41"/>
      <c r="I308" s="41"/>
      <c r="J308" s="41"/>
      <c r="K308" s="41"/>
      <c r="L308" s="41"/>
      <c r="M308" s="41"/>
      <c r="N308" s="41"/>
      <c r="O308" s="41"/>
      <c r="P308" s="41"/>
      <c r="Q308" s="41"/>
      <c r="R308" s="41"/>
      <c r="S308" s="41"/>
      <c r="T308" s="41"/>
      <c r="U308" s="41"/>
      <c r="V308" s="41"/>
      <c r="W308" s="41"/>
      <c r="X308" s="41"/>
      <c r="Y308" s="41"/>
      <c r="Z308" s="41"/>
      <c r="AA308" s="41"/>
      <c r="AB308" s="41"/>
      <c r="AC308" s="41"/>
      <c r="AD308" s="41"/>
      <c r="AE308" s="41"/>
      <c r="AF308" s="41"/>
      <c r="AG308" s="41"/>
      <c r="AH308" s="41"/>
    </row>
    <row r="309" spans="1:34" s="20" customFormat="1" ht="14" x14ac:dyDescent="0.2">
      <c r="A309" s="8"/>
      <c r="B309" s="8" t="s">
        <v>70</v>
      </c>
      <c r="C309" s="8"/>
      <c r="D309" s="8" t="str">
        <f>'Assumptions - General'!$E$27 &amp;" millions"</f>
        <v>R$ millions</v>
      </c>
      <c r="E309" s="41">
        <f>'Balance sheet'!E58</f>
        <v>100</v>
      </c>
      <c r="F309" s="41">
        <f>'Balance sheet'!F58</f>
        <v>5005.599091188953</v>
      </c>
      <c r="G309" s="41">
        <f>'Balance sheet'!G58</f>
        <v>10025.072598088243</v>
      </c>
      <c r="H309" s="41">
        <f>'Balance sheet'!H58</f>
        <v>15200.496896913775</v>
      </c>
      <c r="I309" s="41">
        <f>'Balance sheet'!I58</f>
        <v>20545.537369598438</v>
      </c>
      <c r="J309" s="41">
        <f>'Balance sheet'!J58</f>
        <v>26095.548466989076</v>
      </c>
      <c r="K309" s="41">
        <f>'Balance sheet'!K58</f>
        <v>32468.820195622291</v>
      </c>
      <c r="L309" s="41">
        <f>'Balance sheet'!L58</f>
        <v>39204.2119710673</v>
      </c>
      <c r="M309" s="41">
        <f>'Balance sheet'!M58</f>
        <v>46207.603890697501</v>
      </c>
      <c r="N309" s="41">
        <f>'Balance sheet'!N58</f>
        <v>53487.279113867466</v>
      </c>
      <c r="O309" s="41">
        <f>'Balance sheet'!O58</f>
        <v>60952.663298322004</v>
      </c>
      <c r="P309" s="41">
        <f>'Balance sheet'!P58</f>
        <v>68688.863762680325</v>
      </c>
      <c r="Q309" s="41">
        <f>'Balance sheet'!Q58</f>
        <v>76701.147110148202</v>
      </c>
      <c r="R309" s="41">
        <f>'Balance sheet'!R58</f>
        <v>84997.916806745547</v>
      </c>
      <c r="S309" s="41">
        <f>'Balance sheet'!S58</f>
        <v>93587.823172323377</v>
      </c>
      <c r="T309" s="41">
        <f>'Balance sheet'!T58</f>
        <v>102479.7705755028</v>
      </c>
      <c r="U309" s="41">
        <f>'Balance sheet'!U58</f>
        <v>111557.78921359946</v>
      </c>
      <c r="V309" s="41">
        <f>'Balance sheet'!V58</f>
        <v>121083.92902234613</v>
      </c>
      <c r="W309" s="41">
        <f>'Balance sheet'!W58</f>
        <v>130938.66056948928</v>
      </c>
      <c r="X309" s="41">
        <f>'Balance sheet'!X58</f>
        <v>141133.7745096359</v>
      </c>
      <c r="Y309" s="41">
        <f>'Balance sheet'!Y58</f>
        <v>151679.56138746743</v>
      </c>
      <c r="Z309" s="41">
        <f>'Balance sheet'!Z58</f>
        <v>162586.36160375198</v>
      </c>
      <c r="AA309" s="41">
        <f>'Balance sheet'!AA58</f>
        <v>173865.32726528731</v>
      </c>
      <c r="AB309" s="41">
        <f>'Balance sheet'!AB58</f>
        <v>185527.68110213368</v>
      </c>
      <c r="AC309" s="41">
        <f>'Balance sheet'!AC58</f>
        <v>197584.97487228073</v>
      </c>
      <c r="AD309" s="41">
        <f>'Balance sheet'!AD58</f>
        <v>210049.09895234814</v>
      </c>
      <c r="AE309" s="41">
        <f>'Balance sheet'!AE58</f>
        <v>222932.29220793332</v>
      </c>
      <c r="AF309" s="41">
        <f>'Balance sheet'!AF58</f>
        <v>236247.15215175902</v>
      </c>
      <c r="AG309" s="41">
        <f>'Balance sheet'!AG58</f>
        <v>250006.64539801379</v>
      </c>
      <c r="AH309" s="41">
        <f>'Balance sheet'!AH58</f>
        <v>264224.11842152697</v>
      </c>
    </row>
    <row r="310" spans="1:34" s="20" customFormat="1" ht="14" x14ac:dyDescent="0.2">
      <c r="A310" s="8"/>
      <c r="B310" s="8" t="s">
        <v>69</v>
      </c>
      <c r="C310" s="8"/>
      <c r="D310" s="8" t="str">
        <f>'Assumptions - General'!$E$27 &amp;" millions"</f>
        <v>R$ millions</v>
      </c>
      <c r="E310" s="41">
        <f>'Balance sheet'!E62</f>
        <v>5300</v>
      </c>
      <c r="F310" s="41">
        <f>'Balance sheet'!F62</f>
        <v>10218.422483758284</v>
      </c>
      <c r="G310" s="41">
        <f>'Balance sheet'!G62</f>
        <v>15378.996892136098</v>
      </c>
      <c r="H310" s="41">
        <f>'Balance sheet'!H62</f>
        <v>20699.552760782059</v>
      </c>
      <c r="I310" s="41">
        <f>'Balance sheet'!I62</f>
        <v>26193.872457589841</v>
      </c>
      <c r="J310" s="41">
        <f>'Balance sheet'!J62</f>
        <v>31897.430836149088</v>
      </c>
      <c r="K310" s="41">
        <f>'Balance sheet'!K62</f>
        <v>39160.196378202279</v>
      </c>
      <c r="L310" s="41">
        <f>'Balance sheet'!L62</f>
        <v>46078.211996462451</v>
      </c>
      <c r="M310" s="41">
        <f>'Balance sheet'!M62</f>
        <v>53269.45561956177</v>
      </c>
      <c r="N310" s="41">
        <f>'Balance sheet'!N62</f>
        <v>60742.362266579366</v>
      </c>
      <c r="O310" s="41">
        <f>'Balance sheet'!O62</f>
        <v>68406.5138918515</v>
      </c>
      <c r="P310" s="41">
        <f>'Balance sheet'!P62</f>
        <v>76347.178677409829</v>
      </c>
      <c r="Q310" s="41">
        <f>'Balance sheet'!Q62</f>
        <v>84569.788790458639</v>
      </c>
      <c r="R310" s="41">
        <f>'Balance sheet'!R62</f>
        <v>93082.918099290444</v>
      </c>
      <c r="S310" s="41">
        <f>'Balance sheet'!S62</f>
        <v>101895.39230602905</v>
      </c>
      <c r="T310" s="41">
        <f>'Balance sheet'!T62</f>
        <v>111016.29628745108</v>
      </c>
      <c r="U310" s="41">
        <f>'Balance sheet'!U62</f>
        <v>120329.84602507162</v>
      </c>
      <c r="V310" s="41">
        <f>'Balance sheet'!V62</f>
        <v>130098.28266943207</v>
      </c>
      <c r="W310" s="41">
        <f>'Balance sheet'!W62</f>
        <v>140202.27359279542</v>
      </c>
      <c r="X310" s="41">
        <f>'Balance sheet'!X62</f>
        <v>150653.8120077581</v>
      </c>
      <c r="Y310" s="41">
        <f>'Balance sheet'!Y62</f>
        <v>161463.39693903265</v>
      </c>
      <c r="Z310" s="41">
        <f>'Balance sheet'!Z62</f>
        <v>172641.58336297265</v>
      </c>
      <c r="AA310" s="41">
        <f>'Balance sheet'!AA62</f>
        <v>184199.74423611836</v>
      </c>
      <c r="AB310" s="41">
        <f>'Balance sheet'!AB62</f>
        <v>196149.32959627107</v>
      </c>
      <c r="AC310" s="41">
        <f>'Balance sheet'!AC62</f>
        <v>208502.12515639391</v>
      </c>
      <c r="AD310" s="41">
        <f>'Balance sheet'!AD62</f>
        <v>221270.26209009794</v>
      </c>
      <c r="AE310" s="41">
        <f>'Balance sheet'!AE62</f>
        <v>234466.22710248883</v>
      </c>
      <c r="AF310" s="41">
        <f>'Balance sheet'!AF62</f>
        <v>248102.87279469537</v>
      </c>
      <c r="AG310" s="41">
        <f>'Balance sheet'!AG62</f>
        <v>262193.42833064514</v>
      </c>
      <c r="AH310" s="41">
        <f>'Balance sheet'!AH62</f>
        <v>276751.51041490689</v>
      </c>
    </row>
    <row r="311" spans="1:34" s="20" customFormat="1" ht="14" x14ac:dyDescent="0.2">
      <c r="A311" s="8"/>
      <c r="B311" s="8" t="s">
        <v>77</v>
      </c>
      <c r="C311" s="8"/>
      <c r="D311" s="8" t="str">
        <f>'Assumptions - General'!$E$27 &amp;" millions"</f>
        <v>R$ millions</v>
      </c>
      <c r="E311" s="41">
        <f>'Balance sheet'!E75</f>
        <v>2117.5</v>
      </c>
      <c r="F311" s="41">
        <f>'Balance sheet'!F75</f>
        <v>2161.4966071016092</v>
      </c>
      <c r="G311" s="41">
        <f>'Balance sheet'!G75</f>
        <v>2212.5665053146572</v>
      </c>
      <c r="H311" s="41">
        <f>'Balance sheet'!H75</f>
        <v>2305.1877824178951</v>
      </c>
      <c r="I311" s="41">
        <f>'Balance sheet'!I75</f>
        <v>2392.0824894918392</v>
      </c>
      <c r="J311" s="41">
        <f>'Balance sheet'!J75</f>
        <v>2462.9449641765946</v>
      </c>
      <c r="K311" s="41">
        <f>'Balance sheet'!K75</f>
        <v>2790.9932759435992</v>
      </c>
      <c r="L311" s="41">
        <f>'Balance sheet'!L75</f>
        <v>2873.8230742219075</v>
      </c>
      <c r="M311" s="41">
        <f>'Balance sheet'!M75</f>
        <v>2959.1377664485649</v>
      </c>
      <c r="N311" s="41">
        <f>'Balance sheet'!N75</f>
        <v>3047.0118994420213</v>
      </c>
      <c r="O311" s="41">
        <f>'Balance sheet'!O75</f>
        <v>3107.5222564252822</v>
      </c>
      <c r="P311" s="41">
        <f>'Balance sheet'!P75</f>
        <v>3200.7479241180408</v>
      </c>
      <c r="Q311" s="41">
        <f>'Balance sheet'!Q75</f>
        <v>3296.7703618415817</v>
      </c>
      <c r="R311" s="41">
        <f>'Balance sheet'!R75</f>
        <v>3395.6734726968302</v>
      </c>
      <c r="S311" s="41">
        <f>'Balance sheet'!S75</f>
        <v>3497.5436768777349</v>
      </c>
      <c r="T311" s="41">
        <f>'Balance sheet'!T75</f>
        <v>4027.4699871840667</v>
      </c>
      <c r="U311" s="41">
        <f>'Balance sheet'!U75</f>
        <v>3710.544086799589</v>
      </c>
      <c r="V311" s="41">
        <f>'Balance sheet'!V75</f>
        <v>3821.8604094035768</v>
      </c>
      <c r="W311" s="41">
        <f>'Balance sheet'!W75</f>
        <v>3936.5162216856843</v>
      </c>
      <c r="X311" s="41">
        <f>'Balance sheet'!X75</f>
        <v>4054.6117083362551</v>
      </c>
      <c r="Y311" s="41">
        <f>'Balance sheet'!Y75</f>
        <v>4176.250059586343</v>
      </c>
      <c r="Z311" s="41">
        <f>'Balance sheet'!Z75</f>
        <v>4301.5375613739343</v>
      </c>
      <c r="AA311" s="41">
        <f>'Balance sheet'!AA75</f>
        <v>4430.5836882151516</v>
      </c>
      <c r="AB311" s="41">
        <f>'Balance sheet'!AB75</f>
        <v>4563.501198861607</v>
      </c>
      <c r="AC311" s="41">
        <f>'Balance sheet'!AC75</f>
        <v>4700.4062348274556</v>
      </c>
      <c r="AD311" s="41">
        <f>'Balance sheet'!AD75</f>
        <v>4841.4184218722785</v>
      </c>
      <c r="AE311" s="41">
        <f>'Balance sheet'!AE75</f>
        <v>4986.6609745284468</v>
      </c>
      <c r="AF311" s="41">
        <f>'Balance sheet'!AF75</f>
        <v>5136.2608037643004</v>
      </c>
      <c r="AG311" s="41">
        <f>'Balance sheet'!AG75</f>
        <v>5290.3486278772289</v>
      </c>
      <c r="AH311" s="41">
        <f>'Balance sheet'!AH75</f>
        <v>5449.059086713547</v>
      </c>
    </row>
    <row r="312" spans="1:34" s="20" customFormat="1" ht="14" x14ac:dyDescent="0.2">
      <c r="A312" s="8"/>
      <c r="B312" s="8" t="s">
        <v>178</v>
      </c>
      <c r="C312" s="8"/>
      <c r="D312" s="8" t="s">
        <v>118</v>
      </c>
      <c r="E312" s="79">
        <f>IF(E16=1,E310/E311,"N/A")</f>
        <v>2.5029515938606846</v>
      </c>
      <c r="F312" s="79">
        <f t="shared" ref="F312:AH312" si="93">IF(F16=1,F310/F311,"N/A")</f>
        <v>4.7274756065707439</v>
      </c>
      <c r="G312" s="79">
        <f t="shared" si="93"/>
        <v>6.950750115395512</v>
      </c>
      <c r="H312" s="79">
        <f t="shared" si="93"/>
        <v>8.9795516524343384</v>
      </c>
      <c r="I312" s="79">
        <f t="shared" si="93"/>
        <v>10.95023795067967</v>
      </c>
      <c r="J312" s="79">
        <f t="shared" si="93"/>
        <v>12.950931222619891</v>
      </c>
      <c r="K312" s="79">
        <f t="shared" si="93"/>
        <v>14.030917492971286</v>
      </c>
      <c r="L312" s="79">
        <f t="shared" si="93"/>
        <v>16.033767843880998</v>
      </c>
      <c r="M312" s="79">
        <f t="shared" si="93"/>
        <v>18.001681511264536</v>
      </c>
      <c r="N312" s="79">
        <f t="shared" si="93"/>
        <v>19.935059091073029</v>
      </c>
      <c r="O312" s="79">
        <f t="shared" si="93"/>
        <v>22.013201595068377</v>
      </c>
      <c r="P312" s="79">
        <f t="shared" si="93"/>
        <v>23.852918282668927</v>
      </c>
      <c r="Q312" s="79">
        <f t="shared" si="93"/>
        <v>25.652314085721702</v>
      </c>
      <c r="R312" s="79">
        <f t="shared" si="93"/>
        <v>27.412211111501357</v>
      </c>
      <c r="S312" s="79">
        <f t="shared" si="93"/>
        <v>29.133415253584854</v>
      </c>
      <c r="T312" s="79">
        <f t="shared" si="93"/>
        <v>27.564773081045765</v>
      </c>
      <c r="U312" s="79">
        <f t="shared" si="93"/>
        <v>32.429164890709671</v>
      </c>
      <c r="V312" s="79">
        <f t="shared" si="93"/>
        <v>34.040563687079995</v>
      </c>
      <c r="W312" s="79">
        <f t="shared" si="93"/>
        <v>35.61582518584374</v>
      </c>
      <c r="X312" s="79">
        <f t="shared" si="93"/>
        <v>37.156162622925109</v>
      </c>
      <c r="Y312" s="79">
        <f t="shared" si="93"/>
        <v>38.662291442152195</v>
      </c>
      <c r="Z312" s="79">
        <f t="shared" si="93"/>
        <v>40.134854316564422</v>
      </c>
      <c r="AA312" s="79">
        <f t="shared" si="93"/>
        <v>41.574599916951961</v>
      </c>
      <c r="AB312" s="79">
        <f t="shared" si="93"/>
        <v>42.982201833364634</v>
      </c>
      <c r="AC312" s="79">
        <f t="shared" si="93"/>
        <v>44.358320268470941</v>
      </c>
      <c r="AD312" s="79">
        <f t="shared" si="93"/>
        <v>45.703602293587352</v>
      </c>
      <c r="AE312" s="79">
        <f t="shared" si="93"/>
        <v>47.018682100132274</v>
      </c>
      <c r="AF312" s="79">
        <f t="shared" si="93"/>
        <v>48.304181246572199</v>
      </c>
      <c r="AG312" s="79">
        <f t="shared" si="93"/>
        <v>49.560708900927608</v>
      </c>
      <c r="AH312" s="79">
        <f t="shared" si="93"/>
        <v>50.788862078906561</v>
      </c>
    </row>
    <row r="313" spans="1:34" s="20" customFormat="1" ht="14" x14ac:dyDescent="0.2">
      <c r="A313" s="8"/>
      <c r="B313" s="8" t="s">
        <v>216</v>
      </c>
      <c r="C313" s="8"/>
      <c r="D313" s="8" t="s">
        <v>118</v>
      </c>
      <c r="E313" s="79">
        <f>IF(E16=1,E309/E311,"N/A")</f>
        <v>4.7225501770956316E-2</v>
      </c>
      <c r="F313" s="79">
        <f t="shared" ref="F313:AH313" si="94">IF(F16=1,F309/F311,"N/A")</f>
        <v>2.3158024281615939</v>
      </c>
      <c r="G313" s="79">
        <f t="shared" si="94"/>
        <v>4.5309700630501686</v>
      </c>
      <c r="H313" s="79">
        <f t="shared" si="94"/>
        <v>6.594038460923163</v>
      </c>
      <c r="I313" s="79">
        <f t="shared" si="94"/>
        <v>8.5889752798462311</v>
      </c>
      <c r="J313" s="79">
        <f t="shared" si="94"/>
        <v>10.595262519685766</v>
      </c>
      <c r="K313" s="79">
        <f t="shared" si="94"/>
        <v>11.6334283122359</v>
      </c>
      <c r="L313" s="79">
        <f t="shared" si="94"/>
        <v>13.641832137380938</v>
      </c>
      <c r="M313" s="79">
        <f t="shared" si="94"/>
        <v>15.615225629104103</v>
      </c>
      <c r="N313" s="79">
        <f t="shared" si="94"/>
        <v>17.554010577924632</v>
      </c>
      <c r="O313" s="79">
        <f t="shared" si="94"/>
        <v>19.614554062257465</v>
      </c>
      <c r="P313" s="79">
        <f t="shared" si="94"/>
        <v>21.460254100331063</v>
      </c>
      <c r="Q313" s="79">
        <f t="shared" si="94"/>
        <v>23.265541330365153</v>
      </c>
      <c r="R313" s="79">
        <f t="shared" si="94"/>
        <v>25.031239749692581</v>
      </c>
      <c r="S313" s="79">
        <f t="shared" si="94"/>
        <v>26.758157100662554</v>
      </c>
      <c r="T313" s="79">
        <f t="shared" si="94"/>
        <v>25.44519782930891</v>
      </c>
      <c r="U313" s="79">
        <f t="shared" si="94"/>
        <v>30.065075795884173</v>
      </c>
      <c r="V313" s="79">
        <f t="shared" si="94"/>
        <v>31.681933940973519</v>
      </c>
      <c r="W313" s="79">
        <f t="shared" si="94"/>
        <v>33.262573604591694</v>
      </c>
      <c r="X313" s="79">
        <f t="shared" si="94"/>
        <v>34.808209678738358</v>
      </c>
      <c r="Y313" s="79">
        <f t="shared" si="94"/>
        <v>36.31955922737329</v>
      </c>
      <c r="Z313" s="79">
        <f t="shared" si="94"/>
        <v>37.797266508541433</v>
      </c>
      <c r="AA313" s="79">
        <f t="shared" si="94"/>
        <v>39.242081743710045</v>
      </c>
      <c r="AB313" s="79">
        <f t="shared" si="94"/>
        <v>40.654680040056675</v>
      </c>
      <c r="AC313" s="79">
        <f t="shared" si="94"/>
        <v>42.035723084588618</v>
      </c>
      <c r="AD313" s="79">
        <f t="shared" si="94"/>
        <v>43.385859400914519</v>
      </c>
      <c r="AE313" s="79">
        <f t="shared" si="94"/>
        <v>44.705724601423192</v>
      </c>
      <c r="AF313" s="79">
        <f t="shared" si="94"/>
        <v>45.995941634937324</v>
      </c>
      <c r="AG313" s="79">
        <f t="shared" si="94"/>
        <v>47.257121029910245</v>
      </c>
      <c r="AH313" s="79">
        <f t="shared" si="94"/>
        <v>48.489861133234037</v>
      </c>
    </row>
    <row r="315" spans="1:34" x14ac:dyDescent="0.2">
      <c r="A315" s="320"/>
      <c r="B315" s="319" t="str">
        <f>"Cash balance for " &amp;'Assumptions - General'!E24</f>
        <v>Cash balance for Ruritania Freight Rail Company</v>
      </c>
      <c r="C315" s="320"/>
      <c r="D315" s="320"/>
      <c r="E315" s="320"/>
      <c r="F315" s="320"/>
      <c r="G315" s="320"/>
      <c r="H315" s="320"/>
      <c r="I315" s="320"/>
      <c r="J315" s="320"/>
      <c r="K315" s="320"/>
      <c r="L315" s="320"/>
      <c r="M315" s="320"/>
      <c r="N315" s="320"/>
      <c r="O315" s="320"/>
      <c r="P315" s="320"/>
      <c r="Q315" s="320"/>
      <c r="R315" s="320"/>
      <c r="S315" s="320"/>
      <c r="T315" s="320"/>
      <c r="U315" s="320"/>
      <c r="V315" s="320"/>
      <c r="W315" s="320"/>
      <c r="X315" s="320"/>
      <c r="Y315" s="320"/>
      <c r="Z315" s="320"/>
      <c r="AA315" s="320"/>
      <c r="AB315" s="320"/>
      <c r="AC315" s="320"/>
      <c r="AD315" s="320"/>
      <c r="AE315" s="320"/>
      <c r="AF315" s="320"/>
      <c r="AG315" s="320"/>
      <c r="AH315" s="320"/>
    </row>
    <row r="316" spans="1:34" s="20" customFormat="1" ht="14" x14ac:dyDescent="0.2">
      <c r="A316" s="8"/>
      <c r="B316" s="7"/>
      <c r="C316" s="8"/>
      <c r="D316" s="8"/>
      <c r="E316" s="466"/>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row>
    <row r="317" spans="1:34" s="20" customFormat="1" ht="14" x14ac:dyDescent="0.2">
      <c r="A317" s="8"/>
      <c r="B317" s="8" t="s">
        <v>146</v>
      </c>
      <c r="C317" s="8"/>
      <c r="D317" s="8" t="str">
        <f>'Assumptions - General'!$E$27 &amp;" millions"</f>
        <v>R$ millions</v>
      </c>
      <c r="E317" s="463"/>
      <c r="F317" s="41">
        <f t="shared" ref="F317:AH317" si="95">IF(F16=1,E319," ")</f>
        <v>100</v>
      </c>
      <c r="G317" s="41">
        <f t="shared" si="95"/>
        <v>5005.599091188953</v>
      </c>
      <c r="H317" s="41">
        <f t="shared" si="95"/>
        <v>10025.072598088243</v>
      </c>
      <c r="I317" s="41">
        <f t="shared" si="95"/>
        <v>15200.496896913775</v>
      </c>
      <c r="J317" s="41">
        <f t="shared" si="95"/>
        <v>20545.537369598438</v>
      </c>
      <c r="K317" s="41">
        <f t="shared" si="95"/>
        <v>26095.548466989076</v>
      </c>
      <c r="L317" s="41">
        <f t="shared" si="95"/>
        <v>32468.820195622291</v>
      </c>
      <c r="M317" s="41">
        <f t="shared" si="95"/>
        <v>39204.2119710673</v>
      </c>
      <c r="N317" s="41">
        <f t="shared" si="95"/>
        <v>46207.603890697501</v>
      </c>
      <c r="O317" s="41">
        <f t="shared" si="95"/>
        <v>53487.279113867466</v>
      </c>
      <c r="P317" s="41">
        <f t="shared" si="95"/>
        <v>60952.663298322004</v>
      </c>
      <c r="Q317" s="41">
        <f t="shared" si="95"/>
        <v>68688.863762680325</v>
      </c>
      <c r="R317" s="41">
        <f t="shared" si="95"/>
        <v>76701.147110148202</v>
      </c>
      <c r="S317" s="41">
        <f t="shared" si="95"/>
        <v>84997.916806745547</v>
      </c>
      <c r="T317" s="41">
        <f t="shared" si="95"/>
        <v>93587.823172323377</v>
      </c>
      <c r="U317" s="41">
        <f t="shared" si="95"/>
        <v>102479.7705755028</v>
      </c>
      <c r="V317" s="41">
        <f t="shared" si="95"/>
        <v>111557.78921359946</v>
      </c>
      <c r="W317" s="41">
        <f t="shared" si="95"/>
        <v>121083.92902234613</v>
      </c>
      <c r="X317" s="41">
        <f t="shared" si="95"/>
        <v>130938.66056948928</v>
      </c>
      <c r="Y317" s="41">
        <f t="shared" si="95"/>
        <v>141133.7745096359</v>
      </c>
      <c r="Z317" s="41">
        <f t="shared" si="95"/>
        <v>151679.56138746743</v>
      </c>
      <c r="AA317" s="41">
        <f t="shared" si="95"/>
        <v>162586.36160375198</v>
      </c>
      <c r="AB317" s="41">
        <f t="shared" si="95"/>
        <v>173865.32726528731</v>
      </c>
      <c r="AC317" s="41">
        <f t="shared" si="95"/>
        <v>185527.68110213368</v>
      </c>
      <c r="AD317" s="41">
        <f t="shared" si="95"/>
        <v>197584.97487228073</v>
      </c>
      <c r="AE317" s="41">
        <f t="shared" si="95"/>
        <v>210049.09895234814</v>
      </c>
      <c r="AF317" s="41">
        <f t="shared" si="95"/>
        <v>222932.29220793332</v>
      </c>
      <c r="AG317" s="41">
        <f t="shared" si="95"/>
        <v>236247.15215175902</v>
      </c>
      <c r="AH317" s="41">
        <f t="shared" si="95"/>
        <v>250006.64539801379</v>
      </c>
    </row>
    <row r="318" spans="1:34" s="20" customFormat="1" ht="14" x14ac:dyDescent="0.2">
      <c r="A318" s="8"/>
      <c r="B318" s="8" t="s">
        <v>148</v>
      </c>
      <c r="C318" s="8"/>
      <c r="D318" s="8" t="str">
        <f>'Assumptions - General'!$E$27 &amp;" millions"</f>
        <v>R$ millions</v>
      </c>
      <c r="E318" s="463"/>
      <c r="F318" s="41">
        <f>IF(F16=1,'Cash flow statement'!F90," ")</f>
        <v>4905.599091188953</v>
      </c>
      <c r="G318" s="41">
        <f>IF(G16=1,'Cash flow statement'!G90," ")</f>
        <v>5019.4735068992904</v>
      </c>
      <c r="H318" s="41">
        <f>IF(H16=1,'Cash flow statement'!H90," ")</f>
        <v>5175.4242988255319</v>
      </c>
      <c r="I318" s="41">
        <f>IF(I16=1,'Cash flow statement'!I90," ")</f>
        <v>5345.0404726846627</v>
      </c>
      <c r="J318" s="41">
        <f>IF(J16=1,'Cash flow statement'!J90," ")</f>
        <v>5550.0110973906376</v>
      </c>
      <c r="K318" s="41">
        <f>IF(K16=1,'Cash flow statement'!K90," ")</f>
        <v>6373.2717286332154</v>
      </c>
      <c r="L318" s="41">
        <f>IF(L16=1,'Cash flow statement'!L90," ")</f>
        <v>6735.3917754450067</v>
      </c>
      <c r="M318" s="41">
        <f>IF(M16=1,'Cash flow statement'!M90," ")</f>
        <v>7003.3919196302013</v>
      </c>
      <c r="N318" s="41">
        <f>IF(N16=1,'Cash flow statement'!N90," ")</f>
        <v>7279.6752231699684</v>
      </c>
      <c r="O318" s="41">
        <f>IF(O16=1,'Cash flow statement'!O90," ")</f>
        <v>7465.3841844545423</v>
      </c>
      <c r="P318" s="41">
        <f>IF(P16=1,'Cash flow statement'!P90," ")</f>
        <v>7736.2004643583168</v>
      </c>
      <c r="Q318" s="41">
        <f>IF(Q16=1,'Cash flow statement'!Q90," ")</f>
        <v>8012.283347467881</v>
      </c>
      <c r="R318" s="41">
        <f>IF(R16=1,'Cash flow statement'!R90," ")</f>
        <v>8296.7696965973519</v>
      </c>
      <c r="S318" s="41">
        <f>IF(S16=1,'Cash flow statement'!S90," ")</f>
        <v>8589.9063655778264</v>
      </c>
      <c r="T318" s="41">
        <f>IF(T16=1,'Cash flow statement'!T90," ")</f>
        <v>8891.9474031794234</v>
      </c>
      <c r="U318" s="41">
        <f>IF(U16=1,'Cash flow statement'!U90," ")</f>
        <v>9078.0186380966552</v>
      </c>
      <c r="V318" s="41">
        <f>IF(V16=1,'Cash flow statement'!V90," ")</f>
        <v>9526.1398087466659</v>
      </c>
      <c r="W318" s="41">
        <f>IF(W16=1,'Cash flow statement'!W90," ")</f>
        <v>9854.7315471431466</v>
      </c>
      <c r="X318" s="41">
        <f>IF(X16=1,'Cash flow statement'!X90," ")</f>
        <v>10195.113940146621</v>
      </c>
      <c r="Y318" s="41">
        <f>IF(Y16=1,'Cash flow statement'!Y90," ")</f>
        <v>10545.786877831539</v>
      </c>
      <c r="Z318" s="41">
        <f>IF(Z16=1,'Cash flow statement'!Z90," ")</f>
        <v>10906.800216284562</v>
      </c>
      <c r="AA318" s="41">
        <f>IF(AA16=1,'Cash flow statement'!AA90," ")</f>
        <v>11278.965661535331</v>
      </c>
      <c r="AB318" s="41">
        <f>IF(AB16=1,'Cash flow statement'!AB90," ")</f>
        <v>11662.353836846352</v>
      </c>
      <c r="AC318" s="41">
        <f>IF(AC16=1,'Cash flow statement'!AC90," ")</f>
        <v>12057.293770147062</v>
      </c>
      <c r="AD318" s="41">
        <f>IF(AD16=1,'Cash flow statement'!AD90," ")</f>
        <v>12464.124080067413</v>
      </c>
      <c r="AE318" s="41">
        <f>IF(AE16=1,'Cash flow statement'!AE90," ")</f>
        <v>12883.193255585189</v>
      </c>
      <c r="AF318" s="41">
        <f>IF(AF16=1,'Cash flow statement'!AF90," ")</f>
        <v>13314.859943825682</v>
      </c>
      <c r="AG318" s="41">
        <f>IF(AG16=1,'Cash flow statement'!AG90," ")</f>
        <v>13759.49324625478</v>
      </c>
      <c r="AH318" s="41">
        <f>IF(AH16=1,'Cash flow statement'!AH90," ")</f>
        <v>14217.473023513216</v>
      </c>
    </row>
    <row r="319" spans="1:34" s="20" customFormat="1" ht="14" x14ac:dyDescent="0.2">
      <c r="A319" s="8"/>
      <c r="B319" s="8" t="s">
        <v>147</v>
      </c>
      <c r="C319" s="8"/>
      <c r="D319" s="8" t="str">
        <f>'Assumptions - General'!$E$27 &amp;" millions"</f>
        <v>R$ millions</v>
      </c>
      <c r="E319" s="463">
        <f>IF(E16=1,'Assumptions - Freight'!E432,0)</f>
        <v>100</v>
      </c>
      <c r="F319" s="41">
        <f t="shared" ref="F319:AH319" si="96">IF(F16=1,F317+F318," ")</f>
        <v>5005.599091188953</v>
      </c>
      <c r="G319" s="41">
        <f t="shared" si="96"/>
        <v>10025.072598088243</v>
      </c>
      <c r="H319" s="41">
        <f t="shared" si="96"/>
        <v>15200.496896913775</v>
      </c>
      <c r="I319" s="41">
        <f t="shared" si="96"/>
        <v>20545.537369598438</v>
      </c>
      <c r="J319" s="41">
        <f t="shared" si="96"/>
        <v>26095.548466989076</v>
      </c>
      <c r="K319" s="41">
        <f t="shared" si="96"/>
        <v>32468.820195622291</v>
      </c>
      <c r="L319" s="41">
        <f t="shared" si="96"/>
        <v>39204.2119710673</v>
      </c>
      <c r="M319" s="41">
        <f t="shared" si="96"/>
        <v>46207.603890697501</v>
      </c>
      <c r="N319" s="41">
        <f t="shared" si="96"/>
        <v>53487.279113867466</v>
      </c>
      <c r="O319" s="41">
        <f t="shared" si="96"/>
        <v>60952.663298322004</v>
      </c>
      <c r="P319" s="41">
        <f t="shared" si="96"/>
        <v>68688.863762680325</v>
      </c>
      <c r="Q319" s="41">
        <f t="shared" si="96"/>
        <v>76701.147110148202</v>
      </c>
      <c r="R319" s="41">
        <f t="shared" si="96"/>
        <v>84997.916806745547</v>
      </c>
      <c r="S319" s="41">
        <f t="shared" si="96"/>
        <v>93587.823172323377</v>
      </c>
      <c r="T319" s="41">
        <f t="shared" si="96"/>
        <v>102479.7705755028</v>
      </c>
      <c r="U319" s="41">
        <f t="shared" si="96"/>
        <v>111557.78921359946</v>
      </c>
      <c r="V319" s="41">
        <f t="shared" si="96"/>
        <v>121083.92902234613</v>
      </c>
      <c r="W319" s="41">
        <f t="shared" si="96"/>
        <v>130938.66056948928</v>
      </c>
      <c r="X319" s="41">
        <f t="shared" si="96"/>
        <v>141133.7745096359</v>
      </c>
      <c r="Y319" s="41">
        <f t="shared" si="96"/>
        <v>151679.56138746743</v>
      </c>
      <c r="Z319" s="41">
        <f t="shared" si="96"/>
        <v>162586.36160375198</v>
      </c>
      <c r="AA319" s="41">
        <f t="shared" si="96"/>
        <v>173865.32726528731</v>
      </c>
      <c r="AB319" s="41">
        <f t="shared" si="96"/>
        <v>185527.68110213368</v>
      </c>
      <c r="AC319" s="41">
        <f t="shared" si="96"/>
        <v>197584.97487228073</v>
      </c>
      <c r="AD319" s="41">
        <f t="shared" si="96"/>
        <v>210049.09895234814</v>
      </c>
      <c r="AE319" s="41">
        <f t="shared" si="96"/>
        <v>222932.29220793332</v>
      </c>
      <c r="AF319" s="41">
        <f t="shared" si="96"/>
        <v>236247.15215175902</v>
      </c>
      <c r="AG319" s="41">
        <f t="shared" si="96"/>
        <v>250006.64539801379</v>
      </c>
      <c r="AH319" s="41">
        <f t="shared" si="96"/>
        <v>264224.11842152697</v>
      </c>
    </row>
    <row r="320" spans="1:34" s="20" customFormat="1" ht="14" x14ac:dyDescent="0.2">
      <c r="A320" s="8"/>
      <c r="B320" s="8" t="s">
        <v>419</v>
      </c>
      <c r="C320" s="8"/>
      <c r="D320" s="8" t="s">
        <v>15</v>
      </c>
      <c r="E320" s="466" t="str">
        <f>IF(AND(E16=1,E317&lt;&gt;0),'Assumptions - Freight'!$E$435+'Assumptions - General'!E38," ")</f>
        <v xml:space="preserve"> </v>
      </c>
      <c r="F320" s="243">
        <f>IF(AND(F16=1,F317&lt;&gt;0),'Assumptions - Freight'!$E$435+'Assumptions - General'!F38," ")</f>
        <v>2.6299999999999997E-2</v>
      </c>
      <c r="G320" s="243">
        <f>IF(AND(G16=1,G317&lt;&gt;0),'Assumptions - Freight'!$E$435+'Assumptions - General'!G38," ")</f>
        <v>3.9699999999999999E-2</v>
      </c>
      <c r="H320" s="243">
        <f>IF(AND(H16=1,H317&lt;&gt;0),'Assumptions - Freight'!$E$435+'Assumptions - General'!H38," ")</f>
        <v>4.9399999999999999E-2</v>
      </c>
      <c r="I320" s="243">
        <f>IF(AND(I16=1,I317&lt;&gt;0),'Assumptions - Freight'!$E$435+'Assumptions - General'!I38," ")</f>
        <v>5.6300000000000003E-2</v>
      </c>
      <c r="J320" s="243">
        <f>IF(AND(J16=1,J317&lt;&gt;0),'Assumptions - Freight'!$E$435+'Assumptions - General'!J38," ")</f>
        <v>6.08E-2</v>
      </c>
      <c r="K320" s="243">
        <f>IF(AND(K16=1,K317&lt;&gt;0),'Assumptions - Freight'!$E$435+'Assumptions - General'!K38," ")</f>
        <v>6.3799999999999996E-2</v>
      </c>
      <c r="L320" s="243">
        <f>IF(AND(L16=1,L317&lt;&gt;0),'Assumptions - Freight'!$E$435+'Assumptions - General'!L38," ")</f>
        <v>6.5699999999999995E-2</v>
      </c>
      <c r="M320" s="243">
        <f>IF(AND(M16=1,M317&lt;&gt;0),'Assumptions - Freight'!$E$435+'Assumptions - General'!M38," ")</f>
        <v>6.7699999999999996E-2</v>
      </c>
      <c r="N320" s="243">
        <f>IF(AND(N16=1,N317&lt;&gt;0),'Assumptions - Freight'!$E$435+'Assumptions - General'!N38," ")</f>
        <v>6.9099999999999995E-2</v>
      </c>
      <c r="O320" s="243">
        <f>IF(AND(O16=1,O317&lt;&gt;0),'Assumptions - Freight'!$E$435+'Assumptions - General'!O38," ")</f>
        <v>6.0600000000000001E-2</v>
      </c>
      <c r="P320" s="243">
        <f>IF(AND(P16=1,P317&lt;&gt;0),'Assumptions - Freight'!$E$435+'Assumptions - General'!P38," ")</f>
        <v>6.0000000000000005E-2</v>
      </c>
      <c r="Q320" s="243">
        <f>IF(AND(Q16=1,Q317&lt;&gt;0),'Assumptions - Freight'!$E$435+'Assumptions - General'!Q38," ")</f>
        <v>6.0000000000000005E-2</v>
      </c>
      <c r="R320" s="243">
        <f>IF(AND(R16=1,R317&lt;&gt;0),'Assumptions - Freight'!$E$435+'Assumptions - General'!R38," ")</f>
        <v>6.0000000000000005E-2</v>
      </c>
      <c r="S320" s="243">
        <f>IF(AND(S16=1,S317&lt;&gt;0),'Assumptions - Freight'!$E$435+'Assumptions - General'!S38," ")</f>
        <v>6.0000000000000005E-2</v>
      </c>
      <c r="T320" s="243">
        <f>IF(AND(T16=1,T317&lt;&gt;0),'Assumptions - Freight'!$E$435+'Assumptions - General'!T38," ")</f>
        <v>6.0000000000000005E-2</v>
      </c>
      <c r="U320" s="243">
        <f>IF(AND(U16=1,U317&lt;&gt;0),'Assumptions - Freight'!$E$435+'Assumptions - General'!U38," ")</f>
        <v>6.0000000000000005E-2</v>
      </c>
      <c r="V320" s="243">
        <f>IF(AND(V16=1,V317&lt;&gt;0),'Assumptions - Freight'!$E$435+'Assumptions - General'!V38," ")</f>
        <v>6.0000000000000005E-2</v>
      </c>
      <c r="W320" s="243">
        <f>IF(AND(W16=1,W317&lt;&gt;0),'Assumptions - Freight'!$E$435+'Assumptions - General'!W38," ")</f>
        <v>6.0000000000000005E-2</v>
      </c>
      <c r="X320" s="243">
        <f>IF(AND(X16=1,X317&lt;&gt;0),'Assumptions - Freight'!$E$435+'Assumptions - General'!X38," ")</f>
        <v>6.0000000000000005E-2</v>
      </c>
      <c r="Y320" s="243">
        <f>IF(AND(Y16=1,Y317&lt;&gt;0),'Assumptions - Freight'!$E$435+'Assumptions - General'!Y38," ")</f>
        <v>6.0000000000000005E-2</v>
      </c>
      <c r="Z320" s="243">
        <f>IF(AND(Z16=1,Z317&lt;&gt;0),'Assumptions - Freight'!$E$435+'Assumptions - General'!Z38," ")</f>
        <v>6.0000000000000005E-2</v>
      </c>
      <c r="AA320" s="243">
        <f>IF(AND(AA16=1,AA317&lt;&gt;0),'Assumptions - Freight'!$E$435+'Assumptions - General'!AA38," ")</f>
        <v>6.0000000000000005E-2</v>
      </c>
      <c r="AB320" s="243">
        <f>IF(AND(AB16=1,AB317&lt;&gt;0),'Assumptions - Freight'!$E$435+'Assumptions - General'!AB38," ")</f>
        <v>6.0000000000000005E-2</v>
      </c>
      <c r="AC320" s="243">
        <f>IF(AND(AC16=1,AC317&lt;&gt;0),'Assumptions - Freight'!$E$435+'Assumptions - General'!AC38," ")</f>
        <v>6.0000000000000005E-2</v>
      </c>
      <c r="AD320" s="243">
        <f>IF(AND(AD16=1,AD317&lt;&gt;0),'Assumptions - Freight'!$E$435+'Assumptions - General'!AD38," ")</f>
        <v>6.0000000000000005E-2</v>
      </c>
      <c r="AE320" s="243">
        <f>IF(AND(AE16=1,AE317&lt;&gt;0),'Assumptions - Freight'!$E$435+'Assumptions - General'!AE38," ")</f>
        <v>6.0000000000000005E-2</v>
      </c>
      <c r="AF320" s="243">
        <f>IF(AND(AF16=1,AF317&lt;&gt;0),'Assumptions - Freight'!$E$435+'Assumptions - General'!AF38," ")</f>
        <v>6.0000000000000005E-2</v>
      </c>
      <c r="AG320" s="243">
        <f>IF(AND(AG16=1,AG317&lt;&gt;0),'Assumptions - Freight'!$E$435+'Assumptions - General'!AG38," ")</f>
        <v>6.0000000000000005E-2</v>
      </c>
      <c r="AH320" s="243">
        <f>IF(AND(AH16=1,AH317&lt;&gt;0),'Assumptions - Freight'!$E$435+'Assumptions - General'!AH38," ")</f>
        <v>6.0000000000000005E-2</v>
      </c>
    </row>
    <row r="321" spans="1:34" s="20" customFormat="1" ht="14" x14ac:dyDescent="0.2">
      <c r="A321" s="8"/>
      <c r="B321" s="8" t="s">
        <v>675</v>
      </c>
      <c r="C321" s="8"/>
      <c r="D321" s="8" t="str">
        <f>'Assumptions - General'!$E$27 &amp;" millions"</f>
        <v>R$ millions</v>
      </c>
      <c r="E321" s="463">
        <f>IF(AND(E16=1,'Assumptions - Freight'!$E$433=1,E320&gt;=0,E320&lt;&gt;" "),E320*E317,0)</f>
        <v>0</v>
      </c>
      <c r="F321" s="244">
        <f>IF(AND(F16=1,'Assumptions - Freight'!$E$433=1,F320&gt;=0,F320&lt;&gt;" ",E319&gt;0),F320*F317,0)</f>
        <v>2.63</v>
      </c>
      <c r="G321" s="244">
        <f>IF(AND(G16=1,'Assumptions - Freight'!$E$433=1,G320&gt;=0,G320&lt;&gt;" ",F319&gt;0),G320*G317,0)</f>
        <v>198.72228392020142</v>
      </c>
      <c r="H321" s="244">
        <f>IF(AND(H16=1,'Assumptions - Freight'!$E$433=1,H320&gt;=0,H320&lt;&gt;" ",G319&gt;0),H320*H317,0)</f>
        <v>495.23858634555921</v>
      </c>
      <c r="I321" s="244">
        <f>IF(AND(I16=1,'Assumptions - Freight'!$E$433=1,I320&gt;=0,I320&lt;&gt;" ",H319&gt;0),I320*I317,0)</f>
        <v>855.78797529624558</v>
      </c>
      <c r="J321" s="244">
        <f>IF(AND(J16=1,'Assumptions - Freight'!$E$433=1,J320&gt;=0,J320&lt;&gt;" ",I319&gt;0),J320*J317,0)</f>
        <v>1249.168672071585</v>
      </c>
      <c r="K321" s="244">
        <f>IF(AND(K16=1,'Assumptions - Freight'!$E$433=1,K320&gt;=0,K320&lt;&gt;" ",J319&gt;0),K320*K317,0)</f>
        <v>1664.8959921939029</v>
      </c>
      <c r="L321" s="244">
        <f>IF(AND(L16=1,'Assumptions - Freight'!$E$433=1,L320&gt;=0,L320&lt;&gt;" ",K319&gt;0),L320*L317,0)</f>
        <v>2133.2014868523843</v>
      </c>
      <c r="M321" s="244">
        <f>IF(AND(M16=1,'Assumptions - Freight'!$E$433=1,M320&gt;=0,M320&lt;&gt;" ",L319&gt;0),M320*M317,0)</f>
        <v>2654.1251504412562</v>
      </c>
      <c r="N321" s="244">
        <f>IF(AND(N16=1,'Assumptions - Freight'!$E$433=1,N320&gt;=0,N320&lt;&gt;" ",M319&gt;0),N320*N317,0)</f>
        <v>3192.945428847197</v>
      </c>
      <c r="O321" s="244">
        <f>IF(AND(O16=1,'Assumptions - Freight'!$E$433=1,O320&gt;=0,O320&lt;&gt;" ",N319&gt;0),O320*O317,0)</f>
        <v>3241.3291143003685</v>
      </c>
      <c r="P321" s="244">
        <f>IF(AND(P16=1,'Assumptions - Freight'!$E$433=1,P320&gt;=0,P320&lt;&gt;" ",O319&gt;0),P320*P317,0)</f>
        <v>3657.1597978993204</v>
      </c>
      <c r="Q321" s="244">
        <f>IF(AND(Q16=1,'Assumptions - Freight'!$E$433=1,Q320&gt;=0,Q320&lt;&gt;" ",P319&gt;0),Q320*Q317,0)</f>
        <v>4121.3318257608198</v>
      </c>
      <c r="R321" s="244">
        <f>IF(AND(R16=1,'Assumptions - Freight'!$E$433=1,R320&gt;=0,R320&lt;&gt;" ",Q319&gt;0),R320*R317,0)</f>
        <v>4602.0688266088928</v>
      </c>
      <c r="S321" s="244">
        <f>IF(AND(S16=1,'Assumptions - Freight'!$E$433=1,S320&gt;=0,S320&lt;&gt;" ",R319&gt;0),S320*S317,0)</f>
        <v>5099.8750084047333</v>
      </c>
      <c r="T321" s="244">
        <f>IF(AND(T16=1,'Assumptions - Freight'!$E$433=1,T320&gt;=0,T320&lt;&gt;" ",S319&gt;0),T320*T317,0)</f>
        <v>5615.2693903394029</v>
      </c>
      <c r="U321" s="244">
        <f>IF(AND(U16=1,'Assumptions - Freight'!$E$433=1,U320&gt;=0,U320&lt;&gt;" ",T319&gt;0),U320*U317,0)</f>
        <v>6148.7862345301683</v>
      </c>
      <c r="V321" s="244">
        <f>IF(AND(V16=1,'Assumptions - Freight'!$E$433=1,V320&gt;=0,V320&lt;&gt;" ",U319&gt;0),V320*V317,0)</f>
        <v>6693.4673528159683</v>
      </c>
      <c r="W321" s="244">
        <f>IF(AND(W16=1,'Assumptions - Freight'!$E$433=1,W320&gt;=0,W320&lt;&gt;" ",V319&gt;0),W320*W317,0)</f>
        <v>7265.0357413407683</v>
      </c>
      <c r="X321" s="244">
        <f>IF(AND(X16=1,'Assumptions - Freight'!$E$433=1,X320&gt;=0,X320&lt;&gt;" ",W319&gt;0),X320*X317,0)</f>
        <v>7856.3196341693574</v>
      </c>
      <c r="Y321" s="244">
        <f>IF(AND(Y16=1,'Assumptions - Freight'!$E$433=1,Y320&gt;=0,Y320&lt;&gt;" ",X319&gt;0),Y320*Y317,0)</f>
        <v>8468.0264705781537</v>
      </c>
      <c r="Z321" s="244">
        <f>IF(AND(Z16=1,'Assumptions - Freight'!$E$433=1,Z320&gt;=0,Z320&lt;&gt;" ",Y319&gt;0),Z320*Z317,0)</f>
        <v>9100.7736832480459</v>
      </c>
      <c r="AA321" s="244">
        <f>IF(AND(AA16=1,'Assumptions - Freight'!$E$433=1,AA320&gt;=0,AA320&lt;&gt;" ",Z319&gt;0),AA320*AA317,0)</f>
        <v>9755.1816962251196</v>
      </c>
      <c r="AB321" s="244">
        <f>IF(AND(AB16=1,'Assumptions - Freight'!$E$433=1,AB320&gt;=0,AB320&lt;&gt;" ",AA319&gt;0),AB320*AB317,0)</f>
        <v>10431.91963591724</v>
      </c>
      <c r="AC321" s="244">
        <f>IF(AND(AC16=1,'Assumptions - Freight'!$E$433=1,AC320&gt;=0,AC320&lt;&gt;" ",AB319&gt;0),AC320*AC317,0)</f>
        <v>11131.660866128021</v>
      </c>
      <c r="AD321" s="244">
        <f>IF(AND(AD16=1,'Assumptions - Freight'!$E$433=1,AD320&gt;=0,AD320&lt;&gt;" ",AC319&gt;0),AD320*AD317,0)</f>
        <v>11855.098492336845</v>
      </c>
      <c r="AE321" s="244">
        <f>IF(AND(AE16=1,'Assumptions - Freight'!$E$433=1,AE320&gt;=0,AE320&lt;&gt;" ",AD319&gt;0),AE320*AE317,0)</f>
        <v>12602.94593714089</v>
      </c>
      <c r="AF321" s="244">
        <f>IF(AND(AF16=1,'Assumptions - Freight'!$E$433=1,AF320&gt;=0,AF320&lt;&gt;" ",AE319&gt;0),AF320*AF317,0)</f>
        <v>13375.937532476</v>
      </c>
      <c r="AG321" s="244">
        <f>IF(AND(AG16=1,'Assumptions - Freight'!$E$433=1,AG320&gt;=0,AG320&lt;&gt;" ",AF319&gt;0),AG320*AG317,0)</f>
        <v>14174.829129105541</v>
      </c>
      <c r="AH321" s="244">
        <f>IF(AND(AH16=1,'Assumptions - Freight'!$E$433=1,AH320&gt;=0,AH320&lt;&gt;" ",AG319&gt;0),AH320*AH317,0)</f>
        <v>15000.398723880828</v>
      </c>
    </row>
    <row r="322" spans="1:34" s="20" customFormat="1" ht="14" x14ac:dyDescent="0.2">
      <c r="A322" s="8"/>
      <c r="B322" s="8" t="s">
        <v>413</v>
      </c>
      <c r="C322" s="8"/>
      <c r="D322" s="8" t="s">
        <v>657</v>
      </c>
      <c r="E322" s="466">
        <f>IF(E319&gt;=0,1,0)</f>
        <v>1</v>
      </c>
      <c r="F322" s="28">
        <f t="shared" ref="F322:AH322" si="97">IF(F319&gt;=0,1,0)</f>
        <v>1</v>
      </c>
      <c r="G322" s="28">
        <f t="shared" si="97"/>
        <v>1</v>
      </c>
      <c r="H322" s="28">
        <f t="shared" si="97"/>
        <v>1</v>
      </c>
      <c r="I322" s="28">
        <f t="shared" si="97"/>
        <v>1</v>
      </c>
      <c r="J322" s="28">
        <f t="shared" si="97"/>
        <v>1</v>
      </c>
      <c r="K322" s="28">
        <f t="shared" si="97"/>
        <v>1</v>
      </c>
      <c r="L322" s="28">
        <f t="shared" si="97"/>
        <v>1</v>
      </c>
      <c r="M322" s="28">
        <f t="shared" si="97"/>
        <v>1</v>
      </c>
      <c r="N322" s="28">
        <f t="shared" si="97"/>
        <v>1</v>
      </c>
      <c r="O322" s="28">
        <f t="shared" si="97"/>
        <v>1</v>
      </c>
      <c r="P322" s="28">
        <f t="shared" si="97"/>
        <v>1</v>
      </c>
      <c r="Q322" s="28">
        <f t="shared" si="97"/>
        <v>1</v>
      </c>
      <c r="R322" s="28">
        <f t="shared" si="97"/>
        <v>1</v>
      </c>
      <c r="S322" s="28">
        <f t="shared" si="97"/>
        <v>1</v>
      </c>
      <c r="T322" s="28">
        <f t="shared" si="97"/>
        <v>1</v>
      </c>
      <c r="U322" s="28">
        <f t="shared" si="97"/>
        <v>1</v>
      </c>
      <c r="V322" s="28">
        <f t="shared" si="97"/>
        <v>1</v>
      </c>
      <c r="W322" s="28">
        <f t="shared" si="97"/>
        <v>1</v>
      </c>
      <c r="X322" s="28">
        <f t="shared" si="97"/>
        <v>1</v>
      </c>
      <c r="Y322" s="28">
        <f t="shared" si="97"/>
        <v>1</v>
      </c>
      <c r="Z322" s="28">
        <f t="shared" si="97"/>
        <v>1</v>
      </c>
      <c r="AA322" s="28">
        <f t="shared" si="97"/>
        <v>1</v>
      </c>
      <c r="AB322" s="28">
        <f t="shared" si="97"/>
        <v>1</v>
      </c>
      <c r="AC322" s="28">
        <f t="shared" si="97"/>
        <v>1</v>
      </c>
      <c r="AD322" s="28">
        <f t="shared" si="97"/>
        <v>1</v>
      </c>
      <c r="AE322" s="28">
        <f t="shared" si="97"/>
        <v>1</v>
      </c>
      <c r="AF322" s="28">
        <f t="shared" si="97"/>
        <v>1</v>
      </c>
      <c r="AG322" s="28">
        <f t="shared" si="97"/>
        <v>1</v>
      </c>
      <c r="AH322" s="28">
        <f t="shared" si="97"/>
        <v>1</v>
      </c>
    </row>
    <row r="324" spans="1:34" x14ac:dyDescent="0.2">
      <c r="A324" s="320"/>
      <c r="B324" s="319" t="str">
        <f>"Financing sources for " &amp;'Assumptions - General'!E24</f>
        <v>Financing sources for Ruritania Freight Rail Company</v>
      </c>
      <c r="C324" s="320"/>
      <c r="D324" s="320"/>
      <c r="E324" s="320"/>
      <c r="F324" s="320"/>
      <c r="G324" s="320"/>
      <c r="H324" s="320"/>
      <c r="I324" s="320"/>
      <c r="J324" s="320"/>
      <c r="K324" s="320"/>
      <c r="L324" s="320"/>
      <c r="M324" s="320"/>
      <c r="N324" s="320"/>
      <c r="O324" s="320"/>
      <c r="P324" s="320"/>
      <c r="Q324" s="320"/>
      <c r="R324" s="320"/>
      <c r="S324" s="320"/>
      <c r="T324" s="320"/>
      <c r="U324" s="320"/>
      <c r="V324" s="320"/>
      <c r="W324" s="320"/>
      <c r="X324" s="320"/>
      <c r="Y324" s="320"/>
      <c r="Z324" s="320"/>
      <c r="AA324" s="320"/>
      <c r="AB324" s="320"/>
      <c r="AC324" s="320"/>
      <c r="AD324" s="320"/>
      <c r="AE324" s="320"/>
      <c r="AF324" s="320"/>
      <c r="AG324" s="320"/>
      <c r="AH324" s="320"/>
    </row>
    <row r="325" spans="1:34" s="20" customFormat="1" ht="14" x14ac:dyDescent="0.2">
      <c r="A325" s="8"/>
      <c r="B325" s="7"/>
      <c r="C325" s="8"/>
      <c r="D325" s="8"/>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row>
    <row r="326" spans="1:34" s="20" customFormat="1" ht="14" x14ac:dyDescent="0.2">
      <c r="B326" s="21" t="str">
        <f>"Existing loan from " &amp; 'Assumptions - Freight'!E448</f>
        <v>Existing loan from Municipal bank</v>
      </c>
    </row>
    <row r="327" spans="1:34" s="20" customFormat="1" ht="14" x14ac:dyDescent="0.2">
      <c r="B327" s="8" t="s">
        <v>135</v>
      </c>
      <c r="D327" s="20" t="s">
        <v>15</v>
      </c>
      <c r="E327" s="47">
        <f>IF(E$16=1,IF('Assumptions - Freight'!$E454=1,'Assumptions - Freight'!$E456,'Assumptions - General'!E$38+'Assumptions - Freight'!$E457),0)</f>
        <v>2.4E-2</v>
      </c>
      <c r="F327" s="47">
        <f>IF(F$16=1,IF('Assumptions - Freight'!$E454=1,'Assumptions - Freight'!$E456,'Assumptions - General'!F$38+'Assumptions - Freight'!$E457),0)</f>
        <v>3.6299999999999999E-2</v>
      </c>
      <c r="G327" s="47">
        <f>IF(G$16=1,IF('Assumptions - Freight'!$E454=1,'Assumptions - Freight'!$E456,'Assumptions - General'!G$38+'Assumptions - Freight'!$E457),0)</f>
        <v>4.9700000000000001E-2</v>
      </c>
      <c r="H327" s="47">
        <f>IF(H$16=1,IF('Assumptions - Freight'!$E454=1,'Assumptions - Freight'!$E456,'Assumptions - General'!H$38+'Assumptions - Freight'!$E457),0)</f>
        <v>5.9399999999999994E-2</v>
      </c>
      <c r="I327" s="47">
        <f>IF(I$16=1,IF('Assumptions - Freight'!$E454=1,'Assumptions - Freight'!$E456,'Assumptions - General'!I$38+'Assumptions - Freight'!$E457),0)</f>
        <v>6.6299999999999998E-2</v>
      </c>
      <c r="J327" s="47">
        <f>IF(J$16=1,IF('Assumptions - Freight'!$E454=1,'Assumptions - Freight'!$E456,'Assumptions - General'!J$38+'Assumptions - Freight'!$E457),0)</f>
        <v>7.0800000000000002E-2</v>
      </c>
      <c r="K327" s="47">
        <f>IF(K$16=1,IF('Assumptions - Freight'!$E454=1,'Assumptions - Freight'!$E456,'Assumptions - General'!K$38+'Assumptions - Freight'!$E457),0)</f>
        <v>7.3800000000000004E-2</v>
      </c>
      <c r="L327" s="47">
        <f>IF(L$16=1,IF('Assumptions - Freight'!$E454=1,'Assumptions - Freight'!$E456,'Assumptions - General'!L$38+'Assumptions - Freight'!$E457),0)</f>
        <v>7.5700000000000003E-2</v>
      </c>
      <c r="M327" s="47">
        <f>IF(M$16=1,IF('Assumptions - Freight'!$E454=1,'Assumptions - Freight'!$E456,'Assumptions - General'!M$38+'Assumptions - Freight'!$E457),0)</f>
        <v>7.7700000000000005E-2</v>
      </c>
      <c r="N327" s="47">
        <f>IF(N$16=1,IF('Assumptions - Freight'!$E454=1,'Assumptions - Freight'!$E456,'Assumptions - General'!N$38+'Assumptions - Freight'!$E457),0)</f>
        <v>7.9100000000000004E-2</v>
      </c>
      <c r="O327" s="47">
        <f>IF(O$16=1,IF('Assumptions - Freight'!$E454=1,'Assumptions - Freight'!$E456,'Assumptions - General'!O$38+'Assumptions - Freight'!$E457),0)</f>
        <v>7.0599999999999996E-2</v>
      </c>
      <c r="P327" s="47">
        <f>IF(P$16=1,IF('Assumptions - Freight'!$E454=1,'Assumptions - Freight'!$E456,'Assumptions - General'!P$38+'Assumptions - Freight'!$E457),0)</f>
        <v>7.0000000000000007E-2</v>
      </c>
      <c r="Q327" s="47">
        <f>IF(Q$16=1,IF('Assumptions - Freight'!$E454=1,'Assumptions - Freight'!$E456,'Assumptions - General'!Q$38+'Assumptions - Freight'!$E457),0)</f>
        <v>7.0000000000000007E-2</v>
      </c>
      <c r="R327" s="47">
        <f>IF(R$16=1,IF('Assumptions - Freight'!$E454=1,'Assumptions - Freight'!$E456,'Assumptions - General'!R$38+'Assumptions - Freight'!$E457),0)</f>
        <v>7.0000000000000007E-2</v>
      </c>
      <c r="S327" s="47">
        <f>IF(S$16=1,IF('Assumptions - Freight'!$E454=1,'Assumptions - Freight'!$E456,'Assumptions - General'!S$38+'Assumptions - Freight'!$E457),0)</f>
        <v>7.0000000000000007E-2</v>
      </c>
      <c r="T327" s="47">
        <f>IF(T$16=1,IF('Assumptions - Freight'!$E454=1,'Assumptions - Freight'!$E456,'Assumptions - General'!T$38+'Assumptions - Freight'!$E457),0)</f>
        <v>7.0000000000000007E-2</v>
      </c>
      <c r="U327" s="47">
        <f>IF(U$16=1,IF('Assumptions - Freight'!$E454=1,'Assumptions - Freight'!$E456,'Assumptions - General'!U$38+'Assumptions - Freight'!$E457),0)</f>
        <v>7.0000000000000007E-2</v>
      </c>
      <c r="V327" s="47">
        <f>IF(V$16=1,IF('Assumptions - Freight'!$E454=1,'Assumptions - Freight'!$E456,'Assumptions - General'!V$38+'Assumptions - Freight'!$E457),0)</f>
        <v>7.0000000000000007E-2</v>
      </c>
      <c r="W327" s="47">
        <f>IF(W$16=1,IF('Assumptions - Freight'!$E454=1,'Assumptions - Freight'!$E456,'Assumptions - General'!W$38+'Assumptions - Freight'!$E457),0)</f>
        <v>7.0000000000000007E-2</v>
      </c>
      <c r="X327" s="47">
        <f>IF(X$16=1,IF('Assumptions - Freight'!$E454=1,'Assumptions - Freight'!$E456,'Assumptions - General'!X$38+'Assumptions - Freight'!$E457),0)</f>
        <v>7.0000000000000007E-2</v>
      </c>
      <c r="Y327" s="47">
        <f>IF(Y$16=1,IF('Assumptions - Freight'!$E454=1,'Assumptions - Freight'!$E456,'Assumptions - General'!Y$38+'Assumptions - Freight'!$E457),0)</f>
        <v>7.0000000000000007E-2</v>
      </c>
      <c r="Z327" s="47">
        <f>IF(Z$16=1,IF('Assumptions - Freight'!$E454=1,'Assumptions - Freight'!$E456,'Assumptions - General'!Z$38+'Assumptions - Freight'!$E457),0)</f>
        <v>7.0000000000000007E-2</v>
      </c>
      <c r="AA327" s="47">
        <f>IF(AA$16=1,IF('Assumptions - Freight'!$E454=1,'Assumptions - Freight'!$E456,'Assumptions - General'!AA$38+'Assumptions - Freight'!$E457),0)</f>
        <v>7.0000000000000007E-2</v>
      </c>
      <c r="AB327" s="47">
        <f>IF(AB$16=1,IF('Assumptions - Freight'!$E454=1,'Assumptions - Freight'!$E456,'Assumptions - General'!AB$38+'Assumptions - Freight'!$E457),0)</f>
        <v>7.0000000000000007E-2</v>
      </c>
      <c r="AC327" s="47">
        <f>IF(AC$16=1,IF('Assumptions - Freight'!$E454=1,'Assumptions - Freight'!$E456,'Assumptions - General'!AC$38+'Assumptions - Freight'!$E457),0)</f>
        <v>7.0000000000000007E-2</v>
      </c>
      <c r="AD327" s="47">
        <f>IF(AD$16=1,IF('Assumptions - Freight'!$E454=1,'Assumptions - Freight'!$E456,'Assumptions - General'!AD$38+'Assumptions - Freight'!$E457),0)</f>
        <v>7.0000000000000007E-2</v>
      </c>
      <c r="AE327" s="47">
        <f>IF(AE$16=1,IF('Assumptions - Freight'!$E454=1,'Assumptions - Freight'!$E456,'Assumptions - General'!AE$38+'Assumptions - Freight'!$E457),0)</f>
        <v>7.0000000000000007E-2</v>
      </c>
      <c r="AF327" s="47">
        <f>IF(AF$16=1,IF('Assumptions - Freight'!$E454=1,'Assumptions - Freight'!$E456,'Assumptions - General'!AF$38+'Assumptions - Freight'!$E457),0)</f>
        <v>7.0000000000000007E-2</v>
      </c>
      <c r="AG327" s="47">
        <f>IF(AG$16=1,IF('Assumptions - Freight'!$E454=1,'Assumptions - Freight'!$E456,'Assumptions - General'!AG$38+'Assumptions - Freight'!$E457),0)</f>
        <v>7.0000000000000007E-2</v>
      </c>
      <c r="AH327" s="47">
        <f>IF(AH$16=1,IF('Assumptions - Freight'!$E454=1,'Assumptions - Freight'!$E456,'Assumptions - General'!AH$38+'Assumptions - Freight'!$E457),0)</f>
        <v>7.0000000000000007E-2</v>
      </c>
    </row>
    <row r="328" spans="1:34" s="20" customFormat="1" ht="14" x14ac:dyDescent="0.2">
      <c r="B328" s="8" t="s">
        <v>136</v>
      </c>
      <c r="D328" s="8" t="str">
        <f>'Assumptions - Freight'!D451</f>
        <v>USD millions</v>
      </c>
      <c r="E328" s="463">
        <f>IF(E$16=1,'Assumptions - Freight'!E451,0)</f>
        <v>50</v>
      </c>
      <c r="F328" s="33">
        <f>E330</f>
        <v>50</v>
      </c>
      <c r="G328" s="33">
        <f t="shared" ref="G328" si="98">F330</f>
        <v>50</v>
      </c>
      <c r="H328" s="33">
        <f t="shared" ref="H328:I328" si="99">G330</f>
        <v>40</v>
      </c>
      <c r="I328" s="33">
        <f t="shared" si="99"/>
        <v>35</v>
      </c>
      <c r="J328" s="33">
        <f t="shared" ref="J328:AH328" si="100">I330</f>
        <v>30</v>
      </c>
      <c r="K328" s="33">
        <f t="shared" si="100"/>
        <v>25</v>
      </c>
      <c r="L328" s="33">
        <f t="shared" si="100"/>
        <v>20</v>
      </c>
      <c r="M328" s="33">
        <f t="shared" si="100"/>
        <v>15</v>
      </c>
      <c r="N328" s="33">
        <f t="shared" si="100"/>
        <v>10</v>
      </c>
      <c r="O328" s="33">
        <f t="shared" si="100"/>
        <v>5</v>
      </c>
      <c r="P328" s="33">
        <f t="shared" si="100"/>
        <v>0</v>
      </c>
      <c r="Q328" s="33">
        <f t="shared" si="100"/>
        <v>0</v>
      </c>
      <c r="R328" s="33">
        <f t="shared" si="100"/>
        <v>0</v>
      </c>
      <c r="S328" s="33">
        <f t="shared" si="100"/>
        <v>0</v>
      </c>
      <c r="T328" s="33">
        <f t="shared" si="100"/>
        <v>0</v>
      </c>
      <c r="U328" s="33">
        <f t="shared" si="100"/>
        <v>0</v>
      </c>
      <c r="V328" s="33">
        <f t="shared" si="100"/>
        <v>0</v>
      </c>
      <c r="W328" s="33">
        <f t="shared" si="100"/>
        <v>0</v>
      </c>
      <c r="X328" s="33">
        <f t="shared" si="100"/>
        <v>0</v>
      </c>
      <c r="Y328" s="33">
        <f t="shared" si="100"/>
        <v>0</v>
      </c>
      <c r="Z328" s="33">
        <f t="shared" si="100"/>
        <v>0</v>
      </c>
      <c r="AA328" s="33">
        <f t="shared" si="100"/>
        <v>0</v>
      </c>
      <c r="AB328" s="33">
        <f t="shared" si="100"/>
        <v>0</v>
      </c>
      <c r="AC328" s="33">
        <f t="shared" si="100"/>
        <v>0</v>
      </c>
      <c r="AD328" s="33">
        <f t="shared" si="100"/>
        <v>0</v>
      </c>
      <c r="AE328" s="33">
        <f t="shared" si="100"/>
        <v>0</v>
      </c>
      <c r="AF328" s="33">
        <f t="shared" si="100"/>
        <v>0</v>
      </c>
      <c r="AG328" s="33">
        <f t="shared" si="100"/>
        <v>0</v>
      </c>
      <c r="AH328" s="33">
        <f t="shared" si="100"/>
        <v>0</v>
      </c>
    </row>
    <row r="329" spans="1:34" s="20" customFormat="1" ht="14" x14ac:dyDescent="0.2">
      <c r="B329" s="8" t="s">
        <v>410</v>
      </c>
      <c r="D329" s="8" t="str">
        <f>D328</f>
        <v>USD millions</v>
      </c>
      <c r="E329" s="33">
        <f>IF(E$16=1,'Assumptions - Freight'!E453,0)</f>
        <v>0</v>
      </c>
      <c r="F329" s="33">
        <f>IF(F$16=1,'Assumptions - Freight'!F453,0)</f>
        <v>0</v>
      </c>
      <c r="G329" s="33">
        <f>IF(G$16=1,'Assumptions - Freight'!G453,0)</f>
        <v>10</v>
      </c>
      <c r="H329" s="33">
        <f>IF(H$16=1,'Assumptions - Freight'!H453,0)</f>
        <v>5</v>
      </c>
      <c r="I329" s="33">
        <f>IF(I$16=1,'Assumptions - Freight'!I453,0)</f>
        <v>5</v>
      </c>
      <c r="J329" s="33">
        <f>IF(J$16=1,'Assumptions - Freight'!J453,0)</f>
        <v>5</v>
      </c>
      <c r="K329" s="33">
        <f>IF(K$16=1,'Assumptions - Freight'!K453,0)</f>
        <v>5</v>
      </c>
      <c r="L329" s="33">
        <f>IF(L$16=1,'Assumptions - Freight'!L453,0)</f>
        <v>5</v>
      </c>
      <c r="M329" s="33">
        <f>IF(M$16=1,'Assumptions - Freight'!M453,0)</f>
        <v>5</v>
      </c>
      <c r="N329" s="33">
        <f>IF(N$16=1,'Assumptions - Freight'!N453,0)</f>
        <v>5</v>
      </c>
      <c r="O329" s="33">
        <f>IF(O$16=1,'Assumptions - Freight'!O453,0)</f>
        <v>5</v>
      </c>
      <c r="P329" s="33">
        <f>IF(P$16=1,'Assumptions - Freight'!P453,0)</f>
        <v>0</v>
      </c>
      <c r="Q329" s="33">
        <f>IF(Q$16=1,'Assumptions - Freight'!Q453,0)</f>
        <v>0</v>
      </c>
      <c r="R329" s="33">
        <f>IF(R$16=1,'Assumptions - Freight'!R453,0)</f>
        <v>0</v>
      </c>
      <c r="S329" s="33">
        <f>IF(S$16=1,'Assumptions - Freight'!S453,0)</f>
        <v>0</v>
      </c>
      <c r="T329" s="33">
        <f>IF(T$16=1,'Assumptions - Freight'!T453,0)</f>
        <v>0</v>
      </c>
      <c r="U329" s="33">
        <f>IF(U$16=1,'Assumptions - Freight'!U453,0)</f>
        <v>0</v>
      </c>
      <c r="V329" s="33">
        <f>IF(V$16=1,'Assumptions - Freight'!V453,0)</f>
        <v>0</v>
      </c>
      <c r="W329" s="33">
        <f>IF(W$16=1,'Assumptions - Freight'!W453,0)</f>
        <v>0</v>
      </c>
      <c r="X329" s="33">
        <f>IF(X$16=1,'Assumptions - Freight'!X453,0)</f>
        <v>0</v>
      </c>
      <c r="Y329" s="33">
        <f>IF(Y$16=1,'Assumptions - Freight'!Y453,0)</f>
        <v>0</v>
      </c>
      <c r="Z329" s="33">
        <f>IF(Z$16=1,'Assumptions - Freight'!Z453,0)</f>
        <v>0</v>
      </c>
      <c r="AA329" s="33">
        <f>IF(AA$16=1,'Assumptions - Freight'!AA453,0)</f>
        <v>0</v>
      </c>
      <c r="AB329" s="33">
        <f>IF(AB$16=1,'Assumptions - Freight'!AB453,0)</f>
        <v>0</v>
      </c>
      <c r="AC329" s="33">
        <f>IF(AC$16=1,'Assumptions - Freight'!AC453,0)</f>
        <v>0</v>
      </c>
      <c r="AD329" s="33">
        <f>IF(AD$16=1,'Assumptions - Freight'!AD453,0)</f>
        <v>0</v>
      </c>
      <c r="AE329" s="33">
        <f>IF(AE$16=1,'Assumptions - Freight'!AE453,0)</f>
        <v>0</v>
      </c>
      <c r="AF329" s="33">
        <f>IF(AF$16=1,'Assumptions - Freight'!AF453,0)</f>
        <v>0</v>
      </c>
      <c r="AG329" s="33">
        <f>IF(AG$16=1,'Assumptions - Freight'!AG453,0)</f>
        <v>0</v>
      </c>
      <c r="AH329" s="33">
        <f>IF(AH$16=1,'Assumptions - Freight'!AH453,0)</f>
        <v>0</v>
      </c>
    </row>
    <row r="330" spans="1:34" s="20" customFormat="1" ht="14" x14ac:dyDescent="0.2">
      <c r="B330" s="8" t="s">
        <v>138</v>
      </c>
      <c r="D330" s="8" t="str">
        <f>D329</f>
        <v>USD millions</v>
      </c>
      <c r="E330" s="33">
        <f>E328-E329</f>
        <v>50</v>
      </c>
      <c r="F330" s="33">
        <f t="shared" ref="F330" si="101">F328-F329</f>
        <v>50</v>
      </c>
      <c r="G330" s="33">
        <f t="shared" ref="G330" si="102">G328-G329</f>
        <v>40</v>
      </c>
      <c r="H330" s="33">
        <f t="shared" ref="H330:I330" si="103">H328-H329</f>
        <v>35</v>
      </c>
      <c r="I330" s="33">
        <f t="shared" si="103"/>
        <v>30</v>
      </c>
      <c r="J330" s="33">
        <f t="shared" ref="J330:AH330" si="104">J328-J329</f>
        <v>25</v>
      </c>
      <c r="K330" s="33">
        <f t="shared" si="104"/>
        <v>20</v>
      </c>
      <c r="L330" s="33">
        <f t="shared" si="104"/>
        <v>15</v>
      </c>
      <c r="M330" s="33">
        <f t="shared" si="104"/>
        <v>10</v>
      </c>
      <c r="N330" s="33">
        <f t="shared" si="104"/>
        <v>5</v>
      </c>
      <c r="O330" s="33">
        <f t="shared" si="104"/>
        <v>0</v>
      </c>
      <c r="P330" s="33">
        <f t="shared" si="104"/>
        <v>0</v>
      </c>
      <c r="Q330" s="33">
        <f t="shared" si="104"/>
        <v>0</v>
      </c>
      <c r="R330" s="33">
        <f t="shared" si="104"/>
        <v>0</v>
      </c>
      <c r="S330" s="33">
        <f t="shared" si="104"/>
        <v>0</v>
      </c>
      <c r="T330" s="33">
        <f t="shared" si="104"/>
        <v>0</v>
      </c>
      <c r="U330" s="33">
        <f t="shared" si="104"/>
        <v>0</v>
      </c>
      <c r="V330" s="33">
        <f t="shared" si="104"/>
        <v>0</v>
      </c>
      <c r="W330" s="33">
        <f t="shared" si="104"/>
        <v>0</v>
      </c>
      <c r="X330" s="33">
        <f t="shared" si="104"/>
        <v>0</v>
      </c>
      <c r="Y330" s="33">
        <f t="shared" si="104"/>
        <v>0</v>
      </c>
      <c r="Z330" s="33">
        <f t="shared" si="104"/>
        <v>0</v>
      </c>
      <c r="AA330" s="33">
        <f t="shared" si="104"/>
        <v>0</v>
      </c>
      <c r="AB330" s="33">
        <f t="shared" si="104"/>
        <v>0</v>
      </c>
      <c r="AC330" s="33">
        <f t="shared" si="104"/>
        <v>0</v>
      </c>
      <c r="AD330" s="33">
        <f t="shared" si="104"/>
        <v>0</v>
      </c>
      <c r="AE330" s="33">
        <f t="shared" si="104"/>
        <v>0</v>
      </c>
      <c r="AF330" s="33">
        <f t="shared" si="104"/>
        <v>0</v>
      </c>
      <c r="AG330" s="33">
        <f t="shared" si="104"/>
        <v>0</v>
      </c>
      <c r="AH330" s="33">
        <f t="shared" si="104"/>
        <v>0</v>
      </c>
    </row>
    <row r="331" spans="1:34" s="20" customFormat="1" ht="14" x14ac:dyDescent="0.2">
      <c r="B331" s="8" t="s">
        <v>139</v>
      </c>
      <c r="D331" s="8" t="str">
        <f>D330</f>
        <v>USD millions</v>
      </c>
      <c r="E331" s="463">
        <f>IF(E$16=1,'Assumptions - Freight'!E452,0)</f>
        <v>2.5</v>
      </c>
      <c r="F331" s="229">
        <f t="shared" ref="F331" si="105">F327*((F328+F330)/2)</f>
        <v>1.8149999999999999</v>
      </c>
      <c r="G331" s="229">
        <f t="shared" ref="G331" si="106">G327*((G328+G330)/2)</f>
        <v>2.2364999999999999</v>
      </c>
      <c r="H331" s="229">
        <f t="shared" ref="H331:I331" si="107">H327*((H328+H330)/2)</f>
        <v>2.2274999999999996</v>
      </c>
      <c r="I331" s="229">
        <f t="shared" si="107"/>
        <v>2.1547499999999999</v>
      </c>
      <c r="J331" s="229">
        <f t="shared" ref="J331:AH331" si="108">J327*((J328+J330)/2)</f>
        <v>1.9470000000000001</v>
      </c>
      <c r="K331" s="229">
        <f t="shared" si="108"/>
        <v>1.6605000000000001</v>
      </c>
      <c r="L331" s="229">
        <f t="shared" si="108"/>
        <v>1.3247500000000001</v>
      </c>
      <c r="M331" s="229">
        <f t="shared" si="108"/>
        <v>0.97125000000000006</v>
      </c>
      <c r="N331" s="229">
        <f t="shared" si="108"/>
        <v>0.59325000000000006</v>
      </c>
      <c r="O331" s="229">
        <f t="shared" si="108"/>
        <v>0.17649999999999999</v>
      </c>
      <c r="P331" s="229">
        <f t="shared" si="108"/>
        <v>0</v>
      </c>
      <c r="Q331" s="229">
        <f t="shared" si="108"/>
        <v>0</v>
      </c>
      <c r="R331" s="229">
        <f t="shared" si="108"/>
        <v>0</v>
      </c>
      <c r="S331" s="229">
        <f t="shared" si="108"/>
        <v>0</v>
      </c>
      <c r="T331" s="229">
        <f t="shared" si="108"/>
        <v>0</v>
      </c>
      <c r="U331" s="229">
        <f t="shared" si="108"/>
        <v>0</v>
      </c>
      <c r="V331" s="229">
        <f t="shared" si="108"/>
        <v>0</v>
      </c>
      <c r="W331" s="229">
        <f t="shared" si="108"/>
        <v>0</v>
      </c>
      <c r="X331" s="229">
        <f t="shared" si="108"/>
        <v>0</v>
      </c>
      <c r="Y331" s="229">
        <f t="shared" si="108"/>
        <v>0</v>
      </c>
      <c r="Z331" s="229">
        <f t="shared" si="108"/>
        <v>0</v>
      </c>
      <c r="AA331" s="229">
        <f t="shared" si="108"/>
        <v>0</v>
      </c>
      <c r="AB331" s="229">
        <f t="shared" si="108"/>
        <v>0</v>
      </c>
      <c r="AC331" s="229">
        <f t="shared" si="108"/>
        <v>0</v>
      </c>
      <c r="AD331" s="229">
        <f t="shared" si="108"/>
        <v>0</v>
      </c>
      <c r="AE331" s="229">
        <f t="shared" si="108"/>
        <v>0</v>
      </c>
      <c r="AF331" s="229">
        <f t="shared" si="108"/>
        <v>0</v>
      </c>
      <c r="AG331" s="229">
        <f t="shared" si="108"/>
        <v>0</v>
      </c>
      <c r="AH331" s="229">
        <f t="shared" si="108"/>
        <v>0</v>
      </c>
    </row>
    <row r="332" spans="1:34" s="20" customFormat="1" ht="14" x14ac:dyDescent="0.2">
      <c r="B332" s="8" t="s">
        <v>140</v>
      </c>
      <c r="D332" s="8" t="str">
        <f>D331</f>
        <v>USD millions</v>
      </c>
      <c r="E332" s="44">
        <f t="shared" ref="E332:F332" si="109">E331+E329</f>
        <v>2.5</v>
      </c>
      <c r="F332" s="44">
        <f t="shared" si="109"/>
        <v>1.8149999999999999</v>
      </c>
      <c r="G332" s="44">
        <f t="shared" ref="G332" si="110">G331+G329</f>
        <v>12.236499999999999</v>
      </c>
      <c r="H332" s="44">
        <f t="shared" ref="H332:I332" si="111">H331+H329</f>
        <v>7.2274999999999991</v>
      </c>
      <c r="I332" s="44">
        <f t="shared" si="111"/>
        <v>7.1547499999999999</v>
      </c>
      <c r="J332" s="44">
        <f t="shared" ref="J332:AH332" si="112">J331+J329</f>
        <v>6.9470000000000001</v>
      </c>
      <c r="K332" s="44">
        <f t="shared" si="112"/>
        <v>6.6604999999999999</v>
      </c>
      <c r="L332" s="44">
        <f t="shared" si="112"/>
        <v>6.3247499999999999</v>
      </c>
      <c r="M332" s="44">
        <f t="shared" si="112"/>
        <v>5.9712500000000004</v>
      </c>
      <c r="N332" s="44">
        <f t="shared" si="112"/>
        <v>5.5932500000000003</v>
      </c>
      <c r="O332" s="33">
        <f t="shared" si="112"/>
        <v>5.1764999999999999</v>
      </c>
      <c r="P332" s="33">
        <f t="shared" si="112"/>
        <v>0</v>
      </c>
      <c r="Q332" s="33">
        <f t="shared" si="112"/>
        <v>0</v>
      </c>
      <c r="R332" s="33">
        <f t="shared" si="112"/>
        <v>0</v>
      </c>
      <c r="S332" s="33">
        <f t="shared" si="112"/>
        <v>0</v>
      </c>
      <c r="T332" s="33">
        <f t="shared" si="112"/>
        <v>0</v>
      </c>
      <c r="U332" s="33">
        <f t="shared" si="112"/>
        <v>0</v>
      </c>
      <c r="V332" s="33">
        <f t="shared" si="112"/>
        <v>0</v>
      </c>
      <c r="W332" s="33">
        <f t="shared" si="112"/>
        <v>0</v>
      </c>
      <c r="X332" s="33">
        <f t="shared" si="112"/>
        <v>0</v>
      </c>
      <c r="Y332" s="33">
        <f t="shared" si="112"/>
        <v>0</v>
      </c>
      <c r="Z332" s="33">
        <f t="shared" si="112"/>
        <v>0</v>
      </c>
      <c r="AA332" s="33">
        <f t="shared" si="112"/>
        <v>0</v>
      </c>
      <c r="AB332" s="33">
        <f t="shared" si="112"/>
        <v>0</v>
      </c>
      <c r="AC332" s="33">
        <f t="shared" si="112"/>
        <v>0</v>
      </c>
      <c r="AD332" s="33">
        <f t="shared" si="112"/>
        <v>0</v>
      </c>
      <c r="AE332" s="33">
        <f t="shared" si="112"/>
        <v>0</v>
      </c>
      <c r="AF332" s="33">
        <f t="shared" si="112"/>
        <v>0</v>
      </c>
      <c r="AG332" s="33">
        <f t="shared" si="112"/>
        <v>0</v>
      </c>
      <c r="AH332" s="33">
        <f t="shared" si="112"/>
        <v>0</v>
      </c>
    </row>
    <row r="333" spans="1:34" s="20" customFormat="1" ht="14" x14ac:dyDescent="0.2">
      <c r="B333" s="16"/>
      <c r="E333" s="45"/>
      <c r="F333" s="46"/>
      <c r="G333" s="46"/>
      <c r="H333" s="46"/>
      <c r="I333" s="46"/>
      <c r="J333" s="46"/>
      <c r="K333" s="46"/>
      <c r="L333" s="46"/>
      <c r="M333" s="46"/>
      <c r="N333" s="46"/>
    </row>
    <row r="334" spans="1:34" s="20" customFormat="1" ht="14" x14ac:dyDescent="0.2">
      <c r="B334" s="19" t="str">
        <f>B326</f>
        <v>Existing loan from Municipal bank</v>
      </c>
    </row>
    <row r="335" spans="1:34" s="20" customFormat="1" ht="14" x14ac:dyDescent="0.2">
      <c r="B335" s="20" t="s">
        <v>334</v>
      </c>
      <c r="D335" s="8" t="str">
        <f>IF('Assumptions - Freight'!$E$449=1,"Same as above",IF('Assumptions - Freight'!$E$449=2,"Local currency/"&amp;'Assumptions - General'!$E$39,"Local currency/"&amp;'Assumptions - General'!$E$40))</f>
        <v>Local currency/USD</v>
      </c>
      <c r="E335" s="124">
        <f>IF('Assumptions - Freight'!$E$449=1,1,IF('Assumptions - Freight'!$E$449=2,'Assumptions - General'!E$41,'Assumptions - General'!E$42))</f>
        <v>2.5</v>
      </c>
      <c r="F335" s="124">
        <f>IF('Assumptions - Freight'!$E$449=1,1,IF('Assumptions - Freight'!$E$449=2,'Assumptions - General'!F$41,'Assumptions - General'!F$42))</f>
        <v>2.5</v>
      </c>
      <c r="G335" s="124">
        <f>IF('Assumptions - Freight'!$E$449=1,1,IF('Assumptions - Freight'!$E$449=2,'Assumptions - General'!G$41,'Assumptions - General'!G$42))</f>
        <v>2.5</v>
      </c>
      <c r="H335" s="124">
        <f>IF('Assumptions - Freight'!$E$449=1,1,IF('Assumptions - Freight'!$E$449=2,'Assumptions - General'!H$41,'Assumptions - General'!H$42))</f>
        <v>2.5</v>
      </c>
      <c r="I335" s="124">
        <f>IF('Assumptions - Freight'!$E$449=1,1,IF('Assumptions - Freight'!$E$449=2,'Assumptions - General'!I$41,'Assumptions - General'!I$42))</f>
        <v>2.5</v>
      </c>
      <c r="J335" s="124">
        <f>IF('Assumptions - Freight'!$E$449=1,1,IF('Assumptions - Freight'!$E$449=2,'Assumptions - General'!J$41,'Assumptions - General'!J$42))</f>
        <v>2.5</v>
      </c>
      <c r="K335" s="124">
        <f>IF('Assumptions - Freight'!$E$449=1,1,IF('Assumptions - Freight'!$E$449=2,'Assumptions - General'!K$41,'Assumptions - General'!K$42))</f>
        <v>2.5</v>
      </c>
      <c r="L335" s="124">
        <f>IF('Assumptions - Freight'!$E$449=1,1,IF('Assumptions - Freight'!$E$449=2,'Assumptions - General'!L$41,'Assumptions - General'!L$42))</f>
        <v>2.5</v>
      </c>
      <c r="M335" s="124">
        <f>IF('Assumptions - Freight'!$E$449=1,1,IF('Assumptions - Freight'!$E$449=2,'Assumptions - General'!M$41,'Assumptions - General'!M$42))</f>
        <v>2.5</v>
      </c>
      <c r="N335" s="124">
        <f>IF('Assumptions - Freight'!$E$449=1,1,IF('Assumptions - Freight'!$E$449=2,'Assumptions - General'!N$41,'Assumptions - General'!N$42))</f>
        <v>2.5</v>
      </c>
      <c r="O335" s="124">
        <f>IF('Assumptions - Freight'!$E$449=1,1,IF('Assumptions - Freight'!$E$449=2,'Assumptions - General'!O$41,'Assumptions - General'!O$42))</f>
        <v>2.5</v>
      </c>
      <c r="P335" s="124">
        <f>IF('Assumptions - Freight'!$E$449=1,1,IF('Assumptions - Freight'!$E$449=2,'Assumptions - General'!P$41,'Assumptions - General'!P$42))</f>
        <v>2.5</v>
      </c>
      <c r="Q335" s="124">
        <f>IF('Assumptions - Freight'!$E$449=1,1,IF('Assumptions - Freight'!$E$449=2,'Assumptions - General'!Q$41,'Assumptions - General'!Q$42))</f>
        <v>2.5</v>
      </c>
      <c r="R335" s="124">
        <f>IF('Assumptions - Freight'!$E$449=1,1,IF('Assumptions - Freight'!$E$449=2,'Assumptions - General'!R$41,'Assumptions - General'!R$42))</f>
        <v>2.5</v>
      </c>
      <c r="S335" s="124">
        <f>IF('Assumptions - Freight'!$E$449=1,1,IF('Assumptions - Freight'!$E$449=2,'Assumptions - General'!S$41,'Assumptions - General'!S$42))</f>
        <v>2.5</v>
      </c>
      <c r="T335" s="124">
        <f>IF('Assumptions - Freight'!$E$449=1,1,IF('Assumptions - Freight'!$E$449=2,'Assumptions - General'!T$41,'Assumptions - General'!T$42))</f>
        <v>2.5</v>
      </c>
      <c r="U335" s="124">
        <f>IF('Assumptions - Freight'!$E$449=1,1,IF('Assumptions - Freight'!$E$449=2,'Assumptions - General'!U$41,'Assumptions - General'!U$42))</f>
        <v>2.5</v>
      </c>
      <c r="V335" s="124">
        <f>IF('Assumptions - Freight'!$E$449=1,1,IF('Assumptions - Freight'!$E$449=2,'Assumptions - General'!V$41,'Assumptions - General'!V$42))</f>
        <v>2.5</v>
      </c>
      <c r="W335" s="124">
        <f>IF('Assumptions - Freight'!$E$449=1,1,IF('Assumptions - Freight'!$E$449=2,'Assumptions - General'!W$41,'Assumptions - General'!W$42))</f>
        <v>2.5</v>
      </c>
      <c r="X335" s="124">
        <f>IF('Assumptions - Freight'!$E$449=1,1,IF('Assumptions - Freight'!$E$449=2,'Assumptions - General'!X$41,'Assumptions - General'!X$42))</f>
        <v>2.5</v>
      </c>
      <c r="Y335" s="124">
        <f>IF('Assumptions - Freight'!$E$449=1,1,IF('Assumptions - Freight'!$E$449=2,'Assumptions - General'!Y$41,'Assumptions - General'!Y$42))</f>
        <v>2.5</v>
      </c>
      <c r="Z335" s="124">
        <f>IF('Assumptions - Freight'!$E$449=1,1,IF('Assumptions - Freight'!$E$449=2,'Assumptions - General'!Z$41,'Assumptions - General'!Z$42))</f>
        <v>2.5</v>
      </c>
      <c r="AA335" s="124">
        <f>IF('Assumptions - Freight'!$E$449=1,1,IF('Assumptions - Freight'!$E$449=2,'Assumptions - General'!AA$41,'Assumptions - General'!AA$42))</f>
        <v>2.5</v>
      </c>
      <c r="AB335" s="124">
        <f>IF('Assumptions - Freight'!$E$449=1,1,IF('Assumptions - Freight'!$E$449=2,'Assumptions - General'!AB$41,'Assumptions - General'!AB$42))</f>
        <v>2.5</v>
      </c>
      <c r="AC335" s="124">
        <f>IF('Assumptions - Freight'!$E$449=1,1,IF('Assumptions - Freight'!$E$449=2,'Assumptions - General'!AC$41,'Assumptions - General'!AC$42))</f>
        <v>2.5</v>
      </c>
      <c r="AD335" s="124">
        <f>IF('Assumptions - Freight'!$E$449=1,1,IF('Assumptions - Freight'!$E$449=2,'Assumptions - General'!AD$41,'Assumptions - General'!AD$42))</f>
        <v>2.5</v>
      </c>
      <c r="AE335" s="124">
        <f>IF('Assumptions - Freight'!$E$449=1,1,IF('Assumptions - Freight'!$E$449=2,'Assumptions - General'!AE$41,'Assumptions - General'!AE$42))</f>
        <v>2.5</v>
      </c>
      <c r="AF335" s="124">
        <f>IF('Assumptions - Freight'!$E$449=1,1,IF('Assumptions - Freight'!$E$449=2,'Assumptions - General'!AF$41,'Assumptions - General'!AF$42))</f>
        <v>2.5</v>
      </c>
      <c r="AG335" s="124">
        <f>IF('Assumptions - Freight'!$E$449=1,1,IF('Assumptions - Freight'!$E$449=2,'Assumptions - General'!AG$41,'Assumptions - General'!AG$42))</f>
        <v>2.5</v>
      </c>
      <c r="AH335" s="124">
        <f>IF('Assumptions - Freight'!$E$449=1,1,IF('Assumptions - Freight'!$E$449=2,'Assumptions - General'!AH$41,'Assumptions - General'!AH$42))</f>
        <v>2.5</v>
      </c>
    </row>
    <row r="336" spans="1:34" s="20" customFormat="1" ht="14" x14ac:dyDescent="0.2">
      <c r="B336" s="8" t="s">
        <v>136</v>
      </c>
      <c r="D336" s="8" t="str">
        <f>'Assumptions - General'!$E$27 &amp;" millions"</f>
        <v>R$ millions</v>
      </c>
      <c r="E336" s="229">
        <f t="shared" ref="E336:F340" si="113">E$335*E328</f>
        <v>125</v>
      </c>
      <c r="F336" s="229">
        <f t="shared" si="113"/>
        <v>125</v>
      </c>
      <c r="G336" s="229">
        <f t="shared" ref="G336:AH336" si="114">G$335*G328</f>
        <v>125</v>
      </c>
      <c r="H336" s="229">
        <f t="shared" si="114"/>
        <v>100</v>
      </c>
      <c r="I336" s="229">
        <f t="shared" si="114"/>
        <v>87.5</v>
      </c>
      <c r="J336" s="229">
        <f t="shared" si="114"/>
        <v>75</v>
      </c>
      <c r="K336" s="229">
        <f t="shared" si="114"/>
        <v>62.5</v>
      </c>
      <c r="L336" s="229">
        <f t="shared" si="114"/>
        <v>50</v>
      </c>
      <c r="M336" s="229">
        <f t="shared" si="114"/>
        <v>37.5</v>
      </c>
      <c r="N336" s="229">
        <f t="shared" si="114"/>
        <v>25</v>
      </c>
      <c r="O336" s="229">
        <f t="shared" si="114"/>
        <v>12.5</v>
      </c>
      <c r="P336" s="229">
        <f t="shared" si="114"/>
        <v>0</v>
      </c>
      <c r="Q336" s="229">
        <f t="shared" si="114"/>
        <v>0</v>
      </c>
      <c r="R336" s="229">
        <f t="shared" si="114"/>
        <v>0</v>
      </c>
      <c r="S336" s="229">
        <f t="shared" si="114"/>
        <v>0</v>
      </c>
      <c r="T336" s="229">
        <f t="shared" si="114"/>
        <v>0</v>
      </c>
      <c r="U336" s="229">
        <f t="shared" si="114"/>
        <v>0</v>
      </c>
      <c r="V336" s="229">
        <f t="shared" si="114"/>
        <v>0</v>
      </c>
      <c r="W336" s="229">
        <f t="shared" si="114"/>
        <v>0</v>
      </c>
      <c r="X336" s="229">
        <f t="shared" si="114"/>
        <v>0</v>
      </c>
      <c r="Y336" s="229">
        <f t="shared" si="114"/>
        <v>0</v>
      </c>
      <c r="Z336" s="229">
        <f t="shared" si="114"/>
        <v>0</v>
      </c>
      <c r="AA336" s="229">
        <f t="shared" si="114"/>
        <v>0</v>
      </c>
      <c r="AB336" s="229">
        <f t="shared" si="114"/>
        <v>0</v>
      </c>
      <c r="AC336" s="229">
        <f t="shared" si="114"/>
        <v>0</v>
      </c>
      <c r="AD336" s="229">
        <f t="shared" si="114"/>
        <v>0</v>
      </c>
      <c r="AE336" s="229">
        <f t="shared" si="114"/>
        <v>0</v>
      </c>
      <c r="AF336" s="229">
        <f t="shared" si="114"/>
        <v>0</v>
      </c>
      <c r="AG336" s="229">
        <f t="shared" si="114"/>
        <v>0</v>
      </c>
      <c r="AH336" s="229">
        <f t="shared" si="114"/>
        <v>0</v>
      </c>
    </row>
    <row r="337" spans="2:34" s="20" customFormat="1" ht="14" x14ac:dyDescent="0.2">
      <c r="B337" s="8" t="s">
        <v>410</v>
      </c>
      <c r="D337" s="8" t="str">
        <f>'Assumptions - General'!$E$27 &amp;" millions"</f>
        <v>R$ millions</v>
      </c>
      <c r="E337" s="229">
        <f t="shared" si="113"/>
        <v>0</v>
      </c>
      <c r="F337" s="229">
        <f t="shared" si="113"/>
        <v>0</v>
      </c>
      <c r="G337" s="229">
        <f t="shared" ref="G337:AH337" si="115">G$335*G329</f>
        <v>25</v>
      </c>
      <c r="H337" s="229">
        <f t="shared" si="115"/>
        <v>12.5</v>
      </c>
      <c r="I337" s="229">
        <f t="shared" si="115"/>
        <v>12.5</v>
      </c>
      <c r="J337" s="229">
        <f t="shared" si="115"/>
        <v>12.5</v>
      </c>
      <c r="K337" s="229">
        <f t="shared" si="115"/>
        <v>12.5</v>
      </c>
      <c r="L337" s="229">
        <f t="shared" si="115"/>
        <v>12.5</v>
      </c>
      <c r="M337" s="229">
        <f t="shared" si="115"/>
        <v>12.5</v>
      </c>
      <c r="N337" s="229">
        <f t="shared" si="115"/>
        <v>12.5</v>
      </c>
      <c r="O337" s="229">
        <f t="shared" si="115"/>
        <v>12.5</v>
      </c>
      <c r="P337" s="229">
        <f t="shared" si="115"/>
        <v>0</v>
      </c>
      <c r="Q337" s="229">
        <f t="shared" si="115"/>
        <v>0</v>
      </c>
      <c r="R337" s="229">
        <f t="shared" si="115"/>
        <v>0</v>
      </c>
      <c r="S337" s="229">
        <f t="shared" si="115"/>
        <v>0</v>
      </c>
      <c r="T337" s="229">
        <f t="shared" si="115"/>
        <v>0</v>
      </c>
      <c r="U337" s="229">
        <f t="shared" si="115"/>
        <v>0</v>
      </c>
      <c r="V337" s="229">
        <f t="shared" si="115"/>
        <v>0</v>
      </c>
      <c r="W337" s="229">
        <f t="shared" si="115"/>
        <v>0</v>
      </c>
      <c r="X337" s="229">
        <f t="shared" si="115"/>
        <v>0</v>
      </c>
      <c r="Y337" s="229">
        <f t="shared" si="115"/>
        <v>0</v>
      </c>
      <c r="Z337" s="229">
        <f t="shared" si="115"/>
        <v>0</v>
      </c>
      <c r="AA337" s="229">
        <f t="shared" si="115"/>
        <v>0</v>
      </c>
      <c r="AB337" s="229">
        <f t="shared" si="115"/>
        <v>0</v>
      </c>
      <c r="AC337" s="229">
        <f t="shared" si="115"/>
        <v>0</v>
      </c>
      <c r="AD337" s="229">
        <f t="shared" si="115"/>
        <v>0</v>
      </c>
      <c r="AE337" s="229">
        <f t="shared" si="115"/>
        <v>0</v>
      </c>
      <c r="AF337" s="229">
        <f t="shared" si="115"/>
        <v>0</v>
      </c>
      <c r="AG337" s="229">
        <f t="shared" si="115"/>
        <v>0</v>
      </c>
      <c r="AH337" s="229">
        <f t="shared" si="115"/>
        <v>0</v>
      </c>
    </row>
    <row r="338" spans="2:34" s="20" customFormat="1" ht="14" x14ac:dyDescent="0.2">
      <c r="B338" s="8" t="s">
        <v>138</v>
      </c>
      <c r="D338" s="8" t="str">
        <f>'Assumptions - General'!$E$27 &amp;" millions"</f>
        <v>R$ millions</v>
      </c>
      <c r="E338" s="229">
        <f t="shared" si="113"/>
        <v>125</v>
      </c>
      <c r="F338" s="229">
        <f t="shared" si="113"/>
        <v>125</v>
      </c>
      <c r="G338" s="229">
        <f t="shared" ref="G338:AH338" si="116">G$335*G330</f>
        <v>100</v>
      </c>
      <c r="H338" s="229">
        <f t="shared" si="116"/>
        <v>87.5</v>
      </c>
      <c r="I338" s="229">
        <f t="shared" si="116"/>
        <v>75</v>
      </c>
      <c r="J338" s="229">
        <f t="shared" si="116"/>
        <v>62.5</v>
      </c>
      <c r="K338" s="229">
        <f t="shared" si="116"/>
        <v>50</v>
      </c>
      <c r="L338" s="229">
        <f t="shared" si="116"/>
        <v>37.5</v>
      </c>
      <c r="M338" s="229">
        <f t="shared" si="116"/>
        <v>25</v>
      </c>
      <c r="N338" s="229">
        <f t="shared" si="116"/>
        <v>12.5</v>
      </c>
      <c r="O338" s="229">
        <f t="shared" si="116"/>
        <v>0</v>
      </c>
      <c r="P338" s="229">
        <f t="shared" si="116"/>
        <v>0</v>
      </c>
      <c r="Q338" s="229">
        <f t="shared" si="116"/>
        <v>0</v>
      </c>
      <c r="R338" s="229">
        <f t="shared" si="116"/>
        <v>0</v>
      </c>
      <c r="S338" s="229">
        <f t="shared" si="116"/>
        <v>0</v>
      </c>
      <c r="T338" s="229">
        <f t="shared" si="116"/>
        <v>0</v>
      </c>
      <c r="U338" s="229">
        <f t="shared" si="116"/>
        <v>0</v>
      </c>
      <c r="V338" s="229">
        <f t="shared" si="116"/>
        <v>0</v>
      </c>
      <c r="W338" s="229">
        <f t="shared" si="116"/>
        <v>0</v>
      </c>
      <c r="X338" s="229">
        <f t="shared" si="116"/>
        <v>0</v>
      </c>
      <c r="Y338" s="229">
        <f t="shared" si="116"/>
        <v>0</v>
      </c>
      <c r="Z338" s="229">
        <f t="shared" si="116"/>
        <v>0</v>
      </c>
      <c r="AA338" s="229">
        <f t="shared" si="116"/>
        <v>0</v>
      </c>
      <c r="AB338" s="229">
        <f t="shared" si="116"/>
        <v>0</v>
      </c>
      <c r="AC338" s="229">
        <f t="shared" si="116"/>
        <v>0</v>
      </c>
      <c r="AD338" s="229">
        <f t="shared" si="116"/>
        <v>0</v>
      </c>
      <c r="AE338" s="229">
        <f t="shared" si="116"/>
        <v>0</v>
      </c>
      <c r="AF338" s="229">
        <f t="shared" si="116"/>
        <v>0</v>
      </c>
      <c r="AG338" s="229">
        <f t="shared" si="116"/>
        <v>0</v>
      </c>
      <c r="AH338" s="229">
        <f t="shared" si="116"/>
        <v>0</v>
      </c>
    </row>
    <row r="339" spans="2:34" s="20" customFormat="1" ht="14" x14ac:dyDescent="0.2">
      <c r="B339" s="8" t="s">
        <v>139</v>
      </c>
      <c r="D339" s="8" t="str">
        <f>'Assumptions - General'!$E$27 &amp;" millions"</f>
        <v>R$ millions</v>
      </c>
      <c r="E339" s="229">
        <f t="shared" si="113"/>
        <v>6.25</v>
      </c>
      <c r="F339" s="229">
        <f t="shared" si="113"/>
        <v>4.5374999999999996</v>
      </c>
      <c r="G339" s="229">
        <f t="shared" ref="G339:AH339" si="117">G$335*G331</f>
        <v>5.5912499999999996</v>
      </c>
      <c r="H339" s="229">
        <f t="shared" si="117"/>
        <v>5.5687499999999988</v>
      </c>
      <c r="I339" s="229">
        <f t="shared" si="117"/>
        <v>5.3868749999999999</v>
      </c>
      <c r="J339" s="229">
        <f t="shared" si="117"/>
        <v>4.8674999999999997</v>
      </c>
      <c r="K339" s="229">
        <f t="shared" si="117"/>
        <v>4.1512500000000001</v>
      </c>
      <c r="L339" s="229">
        <f t="shared" si="117"/>
        <v>3.3118750000000001</v>
      </c>
      <c r="M339" s="229">
        <f t="shared" si="117"/>
        <v>2.4281250000000001</v>
      </c>
      <c r="N339" s="229">
        <f t="shared" si="117"/>
        <v>1.4831250000000002</v>
      </c>
      <c r="O339" s="229">
        <f t="shared" si="117"/>
        <v>0.44124999999999998</v>
      </c>
      <c r="P339" s="229">
        <f t="shared" si="117"/>
        <v>0</v>
      </c>
      <c r="Q339" s="229">
        <f t="shared" si="117"/>
        <v>0</v>
      </c>
      <c r="R339" s="229">
        <f t="shared" si="117"/>
        <v>0</v>
      </c>
      <c r="S339" s="229">
        <f t="shared" si="117"/>
        <v>0</v>
      </c>
      <c r="T339" s="229">
        <f t="shared" si="117"/>
        <v>0</v>
      </c>
      <c r="U339" s="229">
        <f t="shared" si="117"/>
        <v>0</v>
      </c>
      <c r="V339" s="229">
        <f t="shared" si="117"/>
        <v>0</v>
      </c>
      <c r="W339" s="229">
        <f t="shared" si="117"/>
        <v>0</v>
      </c>
      <c r="X339" s="229">
        <f t="shared" si="117"/>
        <v>0</v>
      </c>
      <c r="Y339" s="229">
        <f t="shared" si="117"/>
        <v>0</v>
      </c>
      <c r="Z339" s="229">
        <f t="shared" si="117"/>
        <v>0</v>
      </c>
      <c r="AA339" s="229">
        <f t="shared" si="117"/>
        <v>0</v>
      </c>
      <c r="AB339" s="229">
        <f t="shared" si="117"/>
        <v>0</v>
      </c>
      <c r="AC339" s="229">
        <f t="shared" si="117"/>
        <v>0</v>
      </c>
      <c r="AD339" s="229">
        <f t="shared" si="117"/>
        <v>0</v>
      </c>
      <c r="AE339" s="229">
        <f t="shared" si="117"/>
        <v>0</v>
      </c>
      <c r="AF339" s="229">
        <f t="shared" si="117"/>
        <v>0</v>
      </c>
      <c r="AG339" s="229">
        <f t="shared" si="117"/>
        <v>0</v>
      </c>
      <c r="AH339" s="229">
        <f t="shared" si="117"/>
        <v>0</v>
      </c>
    </row>
    <row r="340" spans="2:34" s="20" customFormat="1" ht="14" x14ac:dyDescent="0.2">
      <c r="B340" s="8" t="s">
        <v>140</v>
      </c>
      <c r="D340" s="8" t="str">
        <f>'Assumptions - General'!$E$27 &amp;" millions"</f>
        <v>R$ millions</v>
      </c>
      <c r="E340" s="229">
        <f t="shared" si="113"/>
        <v>6.25</v>
      </c>
      <c r="F340" s="229">
        <f t="shared" si="113"/>
        <v>4.5374999999999996</v>
      </c>
      <c r="G340" s="229">
        <f t="shared" ref="G340:AH340" si="118">G$335*G332</f>
        <v>30.591249999999999</v>
      </c>
      <c r="H340" s="229">
        <f t="shared" si="118"/>
        <v>18.068749999999998</v>
      </c>
      <c r="I340" s="229">
        <f t="shared" si="118"/>
        <v>17.886875</v>
      </c>
      <c r="J340" s="229">
        <f t="shared" si="118"/>
        <v>17.3675</v>
      </c>
      <c r="K340" s="229">
        <f t="shared" si="118"/>
        <v>16.651250000000001</v>
      </c>
      <c r="L340" s="229">
        <f t="shared" si="118"/>
        <v>15.811875000000001</v>
      </c>
      <c r="M340" s="229">
        <f t="shared" si="118"/>
        <v>14.928125000000001</v>
      </c>
      <c r="N340" s="229">
        <f t="shared" si="118"/>
        <v>13.983125000000001</v>
      </c>
      <c r="O340" s="229">
        <f t="shared" si="118"/>
        <v>12.94125</v>
      </c>
      <c r="P340" s="229">
        <f t="shared" si="118"/>
        <v>0</v>
      </c>
      <c r="Q340" s="229">
        <f t="shared" si="118"/>
        <v>0</v>
      </c>
      <c r="R340" s="229">
        <f t="shared" si="118"/>
        <v>0</v>
      </c>
      <c r="S340" s="229">
        <f t="shared" si="118"/>
        <v>0</v>
      </c>
      <c r="T340" s="229">
        <f t="shared" si="118"/>
        <v>0</v>
      </c>
      <c r="U340" s="229">
        <f t="shared" si="118"/>
        <v>0</v>
      </c>
      <c r="V340" s="229">
        <f t="shared" si="118"/>
        <v>0</v>
      </c>
      <c r="W340" s="229">
        <f t="shared" si="118"/>
        <v>0</v>
      </c>
      <c r="X340" s="229">
        <f t="shared" si="118"/>
        <v>0</v>
      </c>
      <c r="Y340" s="229">
        <f t="shared" si="118"/>
        <v>0</v>
      </c>
      <c r="Z340" s="229">
        <f t="shared" si="118"/>
        <v>0</v>
      </c>
      <c r="AA340" s="229">
        <f t="shared" si="118"/>
        <v>0</v>
      </c>
      <c r="AB340" s="229">
        <f t="shared" si="118"/>
        <v>0</v>
      </c>
      <c r="AC340" s="229">
        <f t="shared" si="118"/>
        <v>0</v>
      </c>
      <c r="AD340" s="229">
        <f t="shared" si="118"/>
        <v>0</v>
      </c>
      <c r="AE340" s="229">
        <f t="shared" si="118"/>
        <v>0</v>
      </c>
      <c r="AF340" s="229">
        <f t="shared" si="118"/>
        <v>0</v>
      </c>
      <c r="AG340" s="229">
        <f t="shared" si="118"/>
        <v>0</v>
      </c>
      <c r="AH340" s="229">
        <f t="shared" si="118"/>
        <v>0</v>
      </c>
    </row>
    <row r="341" spans="2:34" s="20" customFormat="1" ht="14" x14ac:dyDescent="0.2">
      <c r="B341" s="16"/>
      <c r="E341" s="45"/>
      <c r="F341" s="46"/>
      <c r="G341" s="46"/>
      <c r="H341" s="46"/>
      <c r="I341" s="46"/>
      <c r="J341" s="46"/>
      <c r="K341" s="46"/>
      <c r="L341" s="46"/>
      <c r="M341" s="46"/>
      <c r="N341" s="46"/>
    </row>
    <row r="342" spans="2:34" s="20" customFormat="1" ht="14" x14ac:dyDescent="0.2">
      <c r="B342" s="21" t="str">
        <f>"Existing loan from " &amp; 'Assumptions - Freight'!E460</f>
        <v>Existing loan from London bank</v>
      </c>
    </row>
    <row r="343" spans="2:34" s="20" customFormat="1" ht="14" x14ac:dyDescent="0.2">
      <c r="B343" s="8" t="s">
        <v>135</v>
      </c>
      <c r="D343" s="20" t="s">
        <v>15</v>
      </c>
      <c r="E343" s="47">
        <f>IF(E$16=1,IF('Assumptions - Freight'!$E466=1,'Assumptions - Freight'!$E468,'Assumptions - General'!E$38+'Assumptions - Freight'!$E469),0)</f>
        <v>0.05</v>
      </c>
      <c r="F343" s="47">
        <f>IF(F$16=1,IF('Assumptions - Freight'!$E466=1,'Assumptions - Freight'!$E468,'Assumptions - General'!F$38+'Assumptions - Freight'!$E469),0)</f>
        <v>0.05</v>
      </c>
      <c r="G343" s="47">
        <f>IF(G$16=1,IF('Assumptions - Freight'!$E466=1,'Assumptions - Freight'!$E468,'Assumptions - General'!G$38+'Assumptions - Freight'!$E469),0)</f>
        <v>0.05</v>
      </c>
      <c r="H343" s="47">
        <f>IF(H$16=1,IF('Assumptions - Freight'!$E466=1,'Assumptions - Freight'!$E468,'Assumptions - General'!H$38+'Assumptions - Freight'!$E469),0)</f>
        <v>0.05</v>
      </c>
      <c r="I343" s="47">
        <f>IF(I$16=1,IF('Assumptions - Freight'!$E466=1,'Assumptions - Freight'!$E468,'Assumptions - General'!I$38+'Assumptions - Freight'!$E469),0)</f>
        <v>0.05</v>
      </c>
      <c r="J343" s="47">
        <f>IF(J$16=1,IF('Assumptions - Freight'!$E466=1,'Assumptions - Freight'!$E468,'Assumptions - General'!J$38+'Assumptions - Freight'!$E469),0)</f>
        <v>0.05</v>
      </c>
      <c r="K343" s="47">
        <f>IF(K$16=1,IF('Assumptions - Freight'!$E466=1,'Assumptions - Freight'!$E468,'Assumptions - General'!K$38+'Assumptions - Freight'!$E469),0)</f>
        <v>0.05</v>
      </c>
      <c r="L343" s="47">
        <f>IF(L$16=1,IF('Assumptions - Freight'!$E466=1,'Assumptions - Freight'!$E468,'Assumptions - General'!L$38+'Assumptions - Freight'!$E469),0)</f>
        <v>0.05</v>
      </c>
      <c r="M343" s="47">
        <f>IF(M$16=1,IF('Assumptions - Freight'!$E466=1,'Assumptions - Freight'!$E468,'Assumptions - General'!M$38+'Assumptions - Freight'!$E469),0)</f>
        <v>0.05</v>
      </c>
      <c r="N343" s="47">
        <f>IF(N$16=1,IF('Assumptions - Freight'!$E466=1,'Assumptions - Freight'!$E468,'Assumptions - General'!N$38+'Assumptions - Freight'!$E469),0)</f>
        <v>0.05</v>
      </c>
      <c r="O343" s="47">
        <f>IF(O$16=1,IF('Assumptions - Freight'!$E466=1,'Assumptions - Freight'!$E468,'Assumptions - General'!O$38+'Assumptions - Freight'!$E469),0)</f>
        <v>0.05</v>
      </c>
      <c r="P343" s="47">
        <f>IF(P$16=1,IF('Assumptions - Freight'!$E466=1,'Assumptions - Freight'!$E468,'Assumptions - General'!P$38+'Assumptions - Freight'!$E469),0)</f>
        <v>0.05</v>
      </c>
      <c r="Q343" s="47">
        <f>IF(Q$16=1,IF('Assumptions - Freight'!$E466=1,'Assumptions - Freight'!$E468,'Assumptions - General'!Q$38+'Assumptions - Freight'!$E469),0)</f>
        <v>0.05</v>
      </c>
      <c r="R343" s="47">
        <f>IF(R$16=1,IF('Assumptions - Freight'!$E466=1,'Assumptions - Freight'!$E468,'Assumptions - General'!R$38+'Assumptions - Freight'!$E469),0)</f>
        <v>0.05</v>
      </c>
      <c r="S343" s="47">
        <f>IF(S$16=1,IF('Assumptions - Freight'!$E466=1,'Assumptions - Freight'!$E468,'Assumptions - General'!S$38+'Assumptions - Freight'!$E469),0)</f>
        <v>0.05</v>
      </c>
      <c r="T343" s="47">
        <f>IF(T$16=1,IF('Assumptions - Freight'!$E466=1,'Assumptions - Freight'!$E468,'Assumptions - General'!T$38+'Assumptions - Freight'!$E469),0)</f>
        <v>0.05</v>
      </c>
      <c r="U343" s="47">
        <f>IF(U$16=1,IF('Assumptions - Freight'!$E466=1,'Assumptions - Freight'!$E468,'Assumptions - General'!U$38+'Assumptions - Freight'!$E469),0)</f>
        <v>0.05</v>
      </c>
      <c r="V343" s="47">
        <f>IF(V$16=1,IF('Assumptions - Freight'!$E466=1,'Assumptions - Freight'!$E468,'Assumptions - General'!V$38+'Assumptions - Freight'!$E469),0)</f>
        <v>0.05</v>
      </c>
      <c r="W343" s="47">
        <f>IF(W$16=1,IF('Assumptions - Freight'!$E466=1,'Assumptions - Freight'!$E468,'Assumptions - General'!W$38+'Assumptions - Freight'!$E469),0)</f>
        <v>0.05</v>
      </c>
      <c r="X343" s="47">
        <f>IF(X$16=1,IF('Assumptions - Freight'!$E466=1,'Assumptions - Freight'!$E468,'Assumptions - General'!X$38+'Assumptions - Freight'!$E469),0)</f>
        <v>0.05</v>
      </c>
      <c r="Y343" s="47">
        <f>IF(Y$16=1,IF('Assumptions - Freight'!$E466=1,'Assumptions - Freight'!$E468,'Assumptions - General'!Y$38+'Assumptions - Freight'!$E469),0)</f>
        <v>0.05</v>
      </c>
      <c r="Z343" s="47">
        <f>IF(Z$16=1,IF('Assumptions - Freight'!$E466=1,'Assumptions - Freight'!$E468,'Assumptions - General'!Z$38+'Assumptions - Freight'!$E469),0)</f>
        <v>0.05</v>
      </c>
      <c r="AA343" s="47">
        <f>IF(AA$16=1,IF('Assumptions - Freight'!$E466=1,'Assumptions - Freight'!$E468,'Assumptions - General'!AA$38+'Assumptions - Freight'!$E469),0)</f>
        <v>0.05</v>
      </c>
      <c r="AB343" s="47">
        <f>IF(AB$16=1,IF('Assumptions - Freight'!$E466=1,'Assumptions - Freight'!$E468,'Assumptions - General'!AB$38+'Assumptions - Freight'!$E469),0)</f>
        <v>0.05</v>
      </c>
      <c r="AC343" s="47">
        <f>IF(AC$16=1,IF('Assumptions - Freight'!$E466=1,'Assumptions - Freight'!$E468,'Assumptions - General'!AC$38+'Assumptions - Freight'!$E469),0)</f>
        <v>0.05</v>
      </c>
      <c r="AD343" s="47">
        <f>IF(AD$16=1,IF('Assumptions - Freight'!$E466=1,'Assumptions - Freight'!$E468,'Assumptions - General'!AD$38+'Assumptions - Freight'!$E469),0)</f>
        <v>0.05</v>
      </c>
      <c r="AE343" s="47">
        <f>IF(AE$16=1,IF('Assumptions - Freight'!$E466=1,'Assumptions - Freight'!$E468,'Assumptions - General'!AE$38+'Assumptions - Freight'!$E469),0)</f>
        <v>0.05</v>
      </c>
      <c r="AF343" s="47">
        <f>IF(AF$16=1,IF('Assumptions - Freight'!$E466=1,'Assumptions - Freight'!$E468,'Assumptions - General'!AF$38+'Assumptions - Freight'!$E469),0)</f>
        <v>0.05</v>
      </c>
      <c r="AG343" s="47">
        <f>IF(AG$16=1,IF('Assumptions - Freight'!$E466=1,'Assumptions - Freight'!$E468,'Assumptions - General'!AG$38+'Assumptions - Freight'!$E469),0)</f>
        <v>0.05</v>
      </c>
      <c r="AH343" s="47">
        <f>IF(AH$16=1,IF('Assumptions - Freight'!$E466=1,'Assumptions - Freight'!$E468,'Assumptions - General'!AH$38+'Assumptions - Freight'!$E469),0)</f>
        <v>0.05</v>
      </c>
    </row>
    <row r="344" spans="2:34" s="20" customFormat="1" ht="14" x14ac:dyDescent="0.2">
      <c r="B344" s="8" t="s">
        <v>136</v>
      </c>
      <c r="D344" s="8" t="str">
        <f>'Assumptions - Freight'!D463</f>
        <v>USD millions</v>
      </c>
      <c r="E344" s="463">
        <f>IF(E$16=1,'Assumptions - Freight'!E463,0)</f>
        <v>50</v>
      </c>
      <c r="F344" s="33">
        <f t="shared" ref="F344" si="119">E346</f>
        <v>50</v>
      </c>
      <c r="G344" s="33">
        <f t="shared" ref="G344:AH344" si="120">F346</f>
        <v>45</v>
      </c>
      <c r="H344" s="33">
        <f t="shared" si="120"/>
        <v>40</v>
      </c>
      <c r="I344" s="33">
        <f t="shared" si="120"/>
        <v>35</v>
      </c>
      <c r="J344" s="33">
        <f t="shared" si="120"/>
        <v>30</v>
      </c>
      <c r="K344" s="33">
        <f t="shared" si="120"/>
        <v>25</v>
      </c>
      <c r="L344" s="33">
        <f t="shared" si="120"/>
        <v>20</v>
      </c>
      <c r="M344" s="33">
        <f t="shared" si="120"/>
        <v>15</v>
      </c>
      <c r="N344" s="33">
        <f t="shared" si="120"/>
        <v>10</v>
      </c>
      <c r="O344" s="33">
        <f t="shared" si="120"/>
        <v>5</v>
      </c>
      <c r="P344" s="33">
        <f t="shared" si="120"/>
        <v>0</v>
      </c>
      <c r="Q344" s="33">
        <f t="shared" si="120"/>
        <v>0</v>
      </c>
      <c r="R344" s="33">
        <f t="shared" si="120"/>
        <v>0</v>
      </c>
      <c r="S344" s="33">
        <f t="shared" si="120"/>
        <v>0</v>
      </c>
      <c r="T344" s="33">
        <f t="shared" si="120"/>
        <v>0</v>
      </c>
      <c r="U344" s="33">
        <f t="shared" si="120"/>
        <v>0</v>
      </c>
      <c r="V344" s="33">
        <f t="shared" si="120"/>
        <v>0</v>
      </c>
      <c r="W344" s="33">
        <f t="shared" si="120"/>
        <v>0</v>
      </c>
      <c r="X344" s="33">
        <f t="shared" si="120"/>
        <v>0</v>
      </c>
      <c r="Y344" s="33">
        <f t="shared" si="120"/>
        <v>0</v>
      </c>
      <c r="Z344" s="33">
        <f t="shared" si="120"/>
        <v>0</v>
      </c>
      <c r="AA344" s="33">
        <f t="shared" si="120"/>
        <v>0</v>
      </c>
      <c r="AB344" s="33">
        <f t="shared" si="120"/>
        <v>0</v>
      </c>
      <c r="AC344" s="33">
        <f t="shared" si="120"/>
        <v>0</v>
      </c>
      <c r="AD344" s="33">
        <f t="shared" si="120"/>
        <v>0</v>
      </c>
      <c r="AE344" s="33">
        <f t="shared" si="120"/>
        <v>0</v>
      </c>
      <c r="AF344" s="33">
        <f t="shared" si="120"/>
        <v>0</v>
      </c>
      <c r="AG344" s="33">
        <f t="shared" si="120"/>
        <v>0</v>
      </c>
      <c r="AH344" s="33">
        <f t="shared" si="120"/>
        <v>0</v>
      </c>
    </row>
    <row r="345" spans="2:34" s="20" customFormat="1" ht="14" x14ac:dyDescent="0.2">
      <c r="B345" s="8" t="s">
        <v>410</v>
      </c>
      <c r="D345" s="8" t="str">
        <f>D344</f>
        <v>USD millions</v>
      </c>
      <c r="E345" s="33">
        <f>IF(E$16=1,'Assumptions - Freight'!E465,0)</f>
        <v>0</v>
      </c>
      <c r="F345" s="33">
        <f>IF(F$16=1,'Assumptions - Freight'!F465,0)</f>
        <v>5</v>
      </c>
      <c r="G345" s="33">
        <f>IF(G$16=1,'Assumptions - Freight'!G465,0)</f>
        <v>5</v>
      </c>
      <c r="H345" s="33">
        <f>IF(H$16=1,'Assumptions - Freight'!H465,0)</f>
        <v>5</v>
      </c>
      <c r="I345" s="33">
        <f>IF(I$16=1,'Assumptions - Freight'!I465,0)</f>
        <v>5</v>
      </c>
      <c r="J345" s="33">
        <f>IF(J$16=1,'Assumptions - Freight'!J465,0)</f>
        <v>5</v>
      </c>
      <c r="K345" s="33">
        <f>IF(K$16=1,'Assumptions - Freight'!K465,0)</f>
        <v>5</v>
      </c>
      <c r="L345" s="33">
        <f>IF(L$16=1,'Assumptions - Freight'!L465,0)</f>
        <v>5</v>
      </c>
      <c r="M345" s="33">
        <f>IF(M$16=1,'Assumptions - Freight'!M465,0)</f>
        <v>5</v>
      </c>
      <c r="N345" s="33">
        <f>IF(N$16=1,'Assumptions - Freight'!N465,0)</f>
        <v>5</v>
      </c>
      <c r="O345" s="33">
        <f>IF(O$16=1,'Assumptions - Freight'!O465,0)</f>
        <v>5</v>
      </c>
      <c r="P345" s="33">
        <f>IF(P$16=1,'Assumptions - Freight'!P465,0)</f>
        <v>0</v>
      </c>
      <c r="Q345" s="33">
        <f>IF(Q$16=1,'Assumptions - Freight'!Q465,0)</f>
        <v>0</v>
      </c>
      <c r="R345" s="33">
        <f>IF(R$16=1,'Assumptions - Freight'!R465,0)</f>
        <v>0</v>
      </c>
      <c r="S345" s="33">
        <f>IF(S$16=1,'Assumptions - Freight'!S465,0)</f>
        <v>0</v>
      </c>
      <c r="T345" s="33">
        <f>IF(T$16=1,'Assumptions - Freight'!T465,0)</f>
        <v>0</v>
      </c>
      <c r="U345" s="33">
        <f>IF(U$16=1,'Assumptions - Freight'!U465,0)</f>
        <v>0</v>
      </c>
      <c r="V345" s="33">
        <f>IF(V$16=1,'Assumptions - Freight'!V465,0)</f>
        <v>0</v>
      </c>
      <c r="W345" s="33">
        <f>IF(W$16=1,'Assumptions - Freight'!W465,0)</f>
        <v>0</v>
      </c>
      <c r="X345" s="33">
        <f>IF(X$16=1,'Assumptions - Freight'!X465,0)</f>
        <v>0</v>
      </c>
      <c r="Y345" s="33">
        <f>IF(Y$16=1,'Assumptions - Freight'!Y465,0)</f>
        <v>0</v>
      </c>
      <c r="Z345" s="33">
        <f>IF(Z$16=1,'Assumptions - Freight'!Z465,0)</f>
        <v>0</v>
      </c>
      <c r="AA345" s="33">
        <f>IF(AA$16=1,'Assumptions - Freight'!AA465,0)</f>
        <v>0</v>
      </c>
      <c r="AB345" s="33">
        <f>IF(AB$16=1,'Assumptions - Freight'!AB465,0)</f>
        <v>0</v>
      </c>
      <c r="AC345" s="33">
        <f>IF(AC$16=1,'Assumptions - Freight'!AC465,0)</f>
        <v>0</v>
      </c>
      <c r="AD345" s="33">
        <f>IF(AD$16=1,'Assumptions - Freight'!AD465,0)</f>
        <v>0</v>
      </c>
      <c r="AE345" s="33">
        <f>IF(AE$16=1,'Assumptions - Freight'!AE465,0)</f>
        <v>0</v>
      </c>
      <c r="AF345" s="33">
        <f>IF(AF$16=1,'Assumptions - Freight'!AF465,0)</f>
        <v>0</v>
      </c>
      <c r="AG345" s="33">
        <f>IF(AG$16=1,'Assumptions - Freight'!AG465,0)</f>
        <v>0</v>
      </c>
      <c r="AH345" s="33">
        <f>IF(AH$16=1,'Assumptions - Freight'!AH465,0)</f>
        <v>0</v>
      </c>
    </row>
    <row r="346" spans="2:34" s="20" customFormat="1" ht="14" x14ac:dyDescent="0.2">
      <c r="B346" s="8" t="s">
        <v>138</v>
      </c>
      <c r="D346" s="8" t="str">
        <f>D345</f>
        <v>USD millions</v>
      </c>
      <c r="E346" s="33">
        <f>E344-E345</f>
        <v>50</v>
      </c>
      <c r="F346" s="33">
        <f t="shared" ref="F346" si="121">F344-F345</f>
        <v>45</v>
      </c>
      <c r="G346" s="33">
        <f t="shared" ref="G346:AH346" si="122">G344-G345</f>
        <v>40</v>
      </c>
      <c r="H346" s="33">
        <f t="shared" si="122"/>
        <v>35</v>
      </c>
      <c r="I346" s="33">
        <f t="shared" si="122"/>
        <v>30</v>
      </c>
      <c r="J346" s="33">
        <f t="shared" si="122"/>
        <v>25</v>
      </c>
      <c r="K346" s="33">
        <f t="shared" si="122"/>
        <v>20</v>
      </c>
      <c r="L346" s="33">
        <f t="shared" si="122"/>
        <v>15</v>
      </c>
      <c r="M346" s="33">
        <f t="shared" si="122"/>
        <v>10</v>
      </c>
      <c r="N346" s="33">
        <f t="shared" si="122"/>
        <v>5</v>
      </c>
      <c r="O346" s="33">
        <f t="shared" si="122"/>
        <v>0</v>
      </c>
      <c r="P346" s="33">
        <f t="shared" si="122"/>
        <v>0</v>
      </c>
      <c r="Q346" s="33">
        <f t="shared" si="122"/>
        <v>0</v>
      </c>
      <c r="R346" s="33">
        <f t="shared" si="122"/>
        <v>0</v>
      </c>
      <c r="S346" s="33">
        <f t="shared" si="122"/>
        <v>0</v>
      </c>
      <c r="T346" s="33">
        <f t="shared" si="122"/>
        <v>0</v>
      </c>
      <c r="U346" s="33">
        <f t="shared" si="122"/>
        <v>0</v>
      </c>
      <c r="V346" s="33">
        <f t="shared" si="122"/>
        <v>0</v>
      </c>
      <c r="W346" s="33">
        <f t="shared" si="122"/>
        <v>0</v>
      </c>
      <c r="X346" s="33">
        <f t="shared" si="122"/>
        <v>0</v>
      </c>
      <c r="Y346" s="33">
        <f t="shared" si="122"/>
        <v>0</v>
      </c>
      <c r="Z346" s="33">
        <f t="shared" si="122"/>
        <v>0</v>
      </c>
      <c r="AA346" s="33">
        <f t="shared" si="122"/>
        <v>0</v>
      </c>
      <c r="AB346" s="33">
        <f t="shared" si="122"/>
        <v>0</v>
      </c>
      <c r="AC346" s="33">
        <f t="shared" si="122"/>
        <v>0</v>
      </c>
      <c r="AD346" s="33">
        <f t="shared" si="122"/>
        <v>0</v>
      </c>
      <c r="AE346" s="33">
        <f t="shared" si="122"/>
        <v>0</v>
      </c>
      <c r="AF346" s="33">
        <f t="shared" si="122"/>
        <v>0</v>
      </c>
      <c r="AG346" s="33">
        <f t="shared" si="122"/>
        <v>0</v>
      </c>
      <c r="AH346" s="33">
        <f t="shared" si="122"/>
        <v>0</v>
      </c>
    </row>
    <row r="347" spans="2:34" s="20" customFormat="1" ht="14" x14ac:dyDescent="0.2">
      <c r="B347" s="8" t="s">
        <v>139</v>
      </c>
      <c r="D347" s="8" t="str">
        <f>D346</f>
        <v>USD millions</v>
      </c>
      <c r="E347" s="463">
        <f>IF(E$16=1,'Assumptions - Freight'!E464,0)</f>
        <v>2.5</v>
      </c>
      <c r="F347" s="229">
        <f t="shared" ref="F347" si="123">F343*((F344+F346)/2)</f>
        <v>2.375</v>
      </c>
      <c r="G347" s="229">
        <f t="shared" ref="G347:AH347" si="124">G343*((G344+G346)/2)</f>
        <v>2.125</v>
      </c>
      <c r="H347" s="229">
        <f t="shared" si="124"/>
        <v>1.875</v>
      </c>
      <c r="I347" s="229">
        <f t="shared" si="124"/>
        <v>1.625</v>
      </c>
      <c r="J347" s="229">
        <f t="shared" si="124"/>
        <v>1.375</v>
      </c>
      <c r="K347" s="229">
        <f t="shared" si="124"/>
        <v>1.125</v>
      </c>
      <c r="L347" s="229">
        <f t="shared" si="124"/>
        <v>0.875</v>
      </c>
      <c r="M347" s="229">
        <f t="shared" si="124"/>
        <v>0.625</v>
      </c>
      <c r="N347" s="229">
        <f t="shared" si="124"/>
        <v>0.375</v>
      </c>
      <c r="O347" s="229">
        <f t="shared" si="124"/>
        <v>0.125</v>
      </c>
      <c r="P347" s="229">
        <f t="shared" si="124"/>
        <v>0</v>
      </c>
      <c r="Q347" s="229">
        <f t="shared" si="124"/>
        <v>0</v>
      </c>
      <c r="R347" s="229">
        <f t="shared" si="124"/>
        <v>0</v>
      </c>
      <c r="S347" s="229">
        <f t="shared" si="124"/>
        <v>0</v>
      </c>
      <c r="T347" s="229">
        <f t="shared" si="124"/>
        <v>0</v>
      </c>
      <c r="U347" s="229">
        <f t="shared" si="124"/>
        <v>0</v>
      </c>
      <c r="V347" s="229">
        <f t="shared" si="124"/>
        <v>0</v>
      </c>
      <c r="W347" s="229">
        <f t="shared" si="124"/>
        <v>0</v>
      </c>
      <c r="X347" s="229">
        <f t="shared" si="124"/>
        <v>0</v>
      </c>
      <c r="Y347" s="229">
        <f t="shared" si="124"/>
        <v>0</v>
      </c>
      <c r="Z347" s="229">
        <f t="shared" si="124"/>
        <v>0</v>
      </c>
      <c r="AA347" s="229">
        <f t="shared" si="124"/>
        <v>0</v>
      </c>
      <c r="AB347" s="229">
        <f t="shared" si="124"/>
        <v>0</v>
      </c>
      <c r="AC347" s="229">
        <f t="shared" si="124"/>
        <v>0</v>
      </c>
      <c r="AD347" s="229">
        <f t="shared" si="124"/>
        <v>0</v>
      </c>
      <c r="AE347" s="229">
        <f t="shared" si="124"/>
        <v>0</v>
      </c>
      <c r="AF347" s="229">
        <f t="shared" si="124"/>
        <v>0</v>
      </c>
      <c r="AG347" s="229">
        <f t="shared" si="124"/>
        <v>0</v>
      </c>
      <c r="AH347" s="229">
        <f t="shared" si="124"/>
        <v>0</v>
      </c>
    </row>
    <row r="348" spans="2:34" s="20" customFormat="1" ht="14" x14ac:dyDescent="0.2">
      <c r="B348" s="8" t="s">
        <v>140</v>
      </c>
      <c r="D348" s="8" t="str">
        <f>D347</f>
        <v>USD millions</v>
      </c>
      <c r="E348" s="44">
        <f t="shared" ref="E348:F348" si="125">E347+E345</f>
        <v>2.5</v>
      </c>
      <c r="F348" s="44">
        <f t="shared" si="125"/>
        <v>7.375</v>
      </c>
      <c r="G348" s="44">
        <f t="shared" ref="G348:AH348" si="126">G347+G345</f>
        <v>7.125</v>
      </c>
      <c r="H348" s="44">
        <f t="shared" si="126"/>
        <v>6.875</v>
      </c>
      <c r="I348" s="44">
        <f t="shared" si="126"/>
        <v>6.625</v>
      </c>
      <c r="J348" s="44">
        <f t="shared" si="126"/>
        <v>6.375</v>
      </c>
      <c r="K348" s="44">
        <f t="shared" si="126"/>
        <v>6.125</v>
      </c>
      <c r="L348" s="44">
        <f t="shared" si="126"/>
        <v>5.875</v>
      </c>
      <c r="M348" s="44">
        <f t="shared" si="126"/>
        <v>5.625</v>
      </c>
      <c r="N348" s="44">
        <f t="shared" si="126"/>
        <v>5.375</v>
      </c>
      <c r="O348" s="33">
        <f t="shared" si="126"/>
        <v>5.125</v>
      </c>
      <c r="P348" s="33">
        <f t="shared" si="126"/>
        <v>0</v>
      </c>
      <c r="Q348" s="33">
        <f t="shared" si="126"/>
        <v>0</v>
      </c>
      <c r="R348" s="33">
        <f t="shared" si="126"/>
        <v>0</v>
      </c>
      <c r="S348" s="33">
        <f t="shared" si="126"/>
        <v>0</v>
      </c>
      <c r="T348" s="33">
        <f t="shared" si="126"/>
        <v>0</v>
      </c>
      <c r="U348" s="33">
        <f t="shared" si="126"/>
        <v>0</v>
      </c>
      <c r="V348" s="33">
        <f t="shared" si="126"/>
        <v>0</v>
      </c>
      <c r="W348" s="33">
        <f t="shared" si="126"/>
        <v>0</v>
      </c>
      <c r="X348" s="33">
        <f t="shared" si="126"/>
        <v>0</v>
      </c>
      <c r="Y348" s="33">
        <f t="shared" si="126"/>
        <v>0</v>
      </c>
      <c r="Z348" s="33">
        <f t="shared" si="126"/>
        <v>0</v>
      </c>
      <c r="AA348" s="33">
        <f t="shared" si="126"/>
        <v>0</v>
      </c>
      <c r="AB348" s="33">
        <f t="shared" si="126"/>
        <v>0</v>
      </c>
      <c r="AC348" s="33">
        <f t="shared" si="126"/>
        <v>0</v>
      </c>
      <c r="AD348" s="33">
        <f t="shared" si="126"/>
        <v>0</v>
      </c>
      <c r="AE348" s="33">
        <f t="shared" si="126"/>
        <v>0</v>
      </c>
      <c r="AF348" s="33">
        <f t="shared" si="126"/>
        <v>0</v>
      </c>
      <c r="AG348" s="33">
        <f t="shared" si="126"/>
        <v>0</v>
      </c>
      <c r="AH348" s="33">
        <f t="shared" si="126"/>
        <v>0</v>
      </c>
    </row>
    <row r="349" spans="2:34" s="20" customFormat="1" ht="14" x14ac:dyDescent="0.2">
      <c r="B349" s="16"/>
      <c r="E349" s="45"/>
      <c r="F349" s="46"/>
      <c r="G349" s="46"/>
      <c r="H349" s="46"/>
      <c r="I349" s="46"/>
      <c r="J349" s="46"/>
      <c r="K349" s="46"/>
      <c r="L349" s="46"/>
      <c r="M349" s="46"/>
      <c r="N349" s="46"/>
    </row>
    <row r="350" spans="2:34" s="20" customFormat="1" ht="14" x14ac:dyDescent="0.2">
      <c r="B350" s="19" t="str">
        <f>B342</f>
        <v>Existing loan from London bank</v>
      </c>
    </row>
    <row r="351" spans="2:34" s="20" customFormat="1" ht="14" x14ac:dyDescent="0.2">
      <c r="B351" s="20" t="s">
        <v>334</v>
      </c>
      <c r="D351" s="8" t="str">
        <f>IF('Assumptions - Freight'!$E$461=1,"Same as above",IF('Assumptions - Freight'!$E$461=2,"Local currency/"&amp;'Assumptions - General'!$E$39,"Local currency/"&amp;'Assumptions - General'!$E$40))</f>
        <v>Local currency/USD</v>
      </c>
      <c r="E351" s="124">
        <f>IF('Assumptions - Freight'!$E$461=1,1,IF('Assumptions - Freight'!$E$461=2,'Assumptions - General'!E$41,'Assumptions - General'!E$42))</f>
        <v>2.5</v>
      </c>
      <c r="F351" s="124">
        <f>IF('Assumptions - Freight'!$E$461=1,1,IF('Assumptions - Freight'!$E$461=2,'Assumptions - General'!F$41,'Assumptions - General'!F$42))</f>
        <v>2.5</v>
      </c>
      <c r="G351" s="124">
        <f>IF('Assumptions - Freight'!$E$461=1,1,IF('Assumptions - Freight'!$E$461=2,'Assumptions - General'!G$41,'Assumptions - General'!G$42))</f>
        <v>2.5</v>
      </c>
      <c r="H351" s="124">
        <f>IF('Assumptions - Freight'!$E$461=1,1,IF('Assumptions - Freight'!$E$461=2,'Assumptions - General'!H$41,'Assumptions - General'!H$42))</f>
        <v>2.5</v>
      </c>
      <c r="I351" s="124">
        <f>IF('Assumptions - Freight'!$E$461=1,1,IF('Assumptions - Freight'!$E$461=2,'Assumptions - General'!I$41,'Assumptions - General'!I$42))</f>
        <v>2.5</v>
      </c>
      <c r="J351" s="124">
        <f>IF('Assumptions - Freight'!$E$461=1,1,IF('Assumptions - Freight'!$E$461=2,'Assumptions - General'!J$41,'Assumptions - General'!J$42))</f>
        <v>2.5</v>
      </c>
      <c r="K351" s="124">
        <f>IF('Assumptions - Freight'!$E$461=1,1,IF('Assumptions - Freight'!$E$461=2,'Assumptions - General'!K$41,'Assumptions - General'!K$42))</f>
        <v>2.5</v>
      </c>
      <c r="L351" s="124">
        <f>IF('Assumptions - Freight'!$E$461=1,1,IF('Assumptions - Freight'!$E$461=2,'Assumptions - General'!L$41,'Assumptions - General'!L$42))</f>
        <v>2.5</v>
      </c>
      <c r="M351" s="124">
        <f>IF('Assumptions - Freight'!$E$461=1,1,IF('Assumptions - Freight'!$E$461=2,'Assumptions - General'!M$41,'Assumptions - General'!M$42))</f>
        <v>2.5</v>
      </c>
      <c r="N351" s="124">
        <f>IF('Assumptions - Freight'!$E$461=1,1,IF('Assumptions - Freight'!$E$461=2,'Assumptions - General'!N$41,'Assumptions - General'!N$42))</f>
        <v>2.5</v>
      </c>
      <c r="O351" s="124">
        <f>IF('Assumptions - Freight'!$E$461=1,1,IF('Assumptions - Freight'!$E$461=2,'Assumptions - General'!O$41,'Assumptions - General'!O$42))</f>
        <v>2.5</v>
      </c>
      <c r="P351" s="124">
        <f>IF('Assumptions - Freight'!$E$461=1,1,IF('Assumptions - Freight'!$E$461=2,'Assumptions - General'!P$41,'Assumptions - General'!P$42))</f>
        <v>2.5</v>
      </c>
      <c r="Q351" s="124">
        <f>IF('Assumptions - Freight'!$E$461=1,1,IF('Assumptions - Freight'!$E$461=2,'Assumptions - General'!Q$41,'Assumptions - General'!Q$42))</f>
        <v>2.5</v>
      </c>
      <c r="R351" s="124">
        <f>IF('Assumptions - Freight'!$E$461=1,1,IF('Assumptions - Freight'!$E$461=2,'Assumptions - General'!R$41,'Assumptions - General'!R$42))</f>
        <v>2.5</v>
      </c>
      <c r="S351" s="124">
        <f>IF('Assumptions - Freight'!$E$461=1,1,IF('Assumptions - Freight'!$E$461=2,'Assumptions - General'!S$41,'Assumptions - General'!S$42))</f>
        <v>2.5</v>
      </c>
      <c r="T351" s="124">
        <f>IF('Assumptions - Freight'!$E$461=1,1,IF('Assumptions - Freight'!$E$461=2,'Assumptions - General'!T$41,'Assumptions - General'!T$42))</f>
        <v>2.5</v>
      </c>
      <c r="U351" s="124">
        <f>IF('Assumptions - Freight'!$E$461=1,1,IF('Assumptions - Freight'!$E$461=2,'Assumptions - General'!U$41,'Assumptions - General'!U$42))</f>
        <v>2.5</v>
      </c>
      <c r="V351" s="124">
        <f>IF('Assumptions - Freight'!$E$461=1,1,IF('Assumptions - Freight'!$E$461=2,'Assumptions - General'!V$41,'Assumptions - General'!V$42))</f>
        <v>2.5</v>
      </c>
      <c r="W351" s="124">
        <f>IF('Assumptions - Freight'!$E$461=1,1,IF('Assumptions - Freight'!$E$461=2,'Assumptions - General'!W$41,'Assumptions - General'!W$42))</f>
        <v>2.5</v>
      </c>
      <c r="X351" s="124">
        <f>IF('Assumptions - Freight'!$E$461=1,1,IF('Assumptions - Freight'!$E$461=2,'Assumptions - General'!X$41,'Assumptions - General'!X$42))</f>
        <v>2.5</v>
      </c>
      <c r="Y351" s="124">
        <f>IF('Assumptions - Freight'!$E$461=1,1,IF('Assumptions - Freight'!$E$461=2,'Assumptions - General'!Y$41,'Assumptions - General'!Y$42))</f>
        <v>2.5</v>
      </c>
      <c r="Z351" s="124">
        <f>IF('Assumptions - Freight'!$E$461=1,1,IF('Assumptions - Freight'!$E$461=2,'Assumptions - General'!Z$41,'Assumptions - General'!Z$42))</f>
        <v>2.5</v>
      </c>
      <c r="AA351" s="124">
        <f>IF('Assumptions - Freight'!$E$461=1,1,IF('Assumptions - Freight'!$E$461=2,'Assumptions - General'!AA$41,'Assumptions - General'!AA$42))</f>
        <v>2.5</v>
      </c>
      <c r="AB351" s="124">
        <f>IF('Assumptions - Freight'!$E$461=1,1,IF('Assumptions - Freight'!$E$461=2,'Assumptions - General'!AB$41,'Assumptions - General'!AB$42))</f>
        <v>2.5</v>
      </c>
      <c r="AC351" s="124">
        <f>IF('Assumptions - Freight'!$E$461=1,1,IF('Assumptions - Freight'!$E$461=2,'Assumptions - General'!AC$41,'Assumptions - General'!AC$42))</f>
        <v>2.5</v>
      </c>
      <c r="AD351" s="124">
        <f>IF('Assumptions - Freight'!$E$461=1,1,IF('Assumptions - Freight'!$E$461=2,'Assumptions - General'!AD$41,'Assumptions - General'!AD$42))</f>
        <v>2.5</v>
      </c>
      <c r="AE351" s="124">
        <f>IF('Assumptions - Freight'!$E$461=1,1,IF('Assumptions - Freight'!$E$461=2,'Assumptions - General'!AE$41,'Assumptions - General'!AE$42))</f>
        <v>2.5</v>
      </c>
      <c r="AF351" s="124">
        <f>IF('Assumptions - Freight'!$E$461=1,1,IF('Assumptions - Freight'!$E$461=2,'Assumptions - General'!AF$41,'Assumptions - General'!AF$42))</f>
        <v>2.5</v>
      </c>
      <c r="AG351" s="124">
        <f>IF('Assumptions - Freight'!$E$461=1,1,IF('Assumptions - Freight'!$E$461=2,'Assumptions - General'!AG$41,'Assumptions - General'!AG$42))</f>
        <v>2.5</v>
      </c>
      <c r="AH351" s="124">
        <f>IF('Assumptions - Freight'!$E$461=1,1,IF('Assumptions - Freight'!$E$461=2,'Assumptions - General'!AH$41,'Assumptions - General'!AH$42))</f>
        <v>2.5</v>
      </c>
    </row>
    <row r="352" spans="2:34" s="20" customFormat="1" ht="14" x14ac:dyDescent="0.2">
      <c r="B352" s="8" t="s">
        <v>136</v>
      </c>
      <c r="D352" s="8" t="str">
        <f>'Assumptions - General'!$E$27 &amp;" millions"</f>
        <v>R$ millions</v>
      </c>
      <c r="E352" s="466">
        <f t="shared" ref="E352:F356" si="127">E$351*E344</f>
        <v>125</v>
      </c>
      <c r="F352" s="229">
        <f t="shared" si="127"/>
        <v>125</v>
      </c>
      <c r="G352" s="229">
        <f t="shared" ref="G352:AH352" si="128">G$351*G344</f>
        <v>112.5</v>
      </c>
      <c r="H352" s="229">
        <f t="shared" si="128"/>
        <v>100</v>
      </c>
      <c r="I352" s="229">
        <f t="shared" si="128"/>
        <v>87.5</v>
      </c>
      <c r="J352" s="229">
        <f t="shared" si="128"/>
        <v>75</v>
      </c>
      <c r="K352" s="229">
        <f t="shared" si="128"/>
        <v>62.5</v>
      </c>
      <c r="L352" s="229">
        <f t="shared" si="128"/>
        <v>50</v>
      </c>
      <c r="M352" s="229">
        <f t="shared" si="128"/>
        <v>37.5</v>
      </c>
      <c r="N352" s="229">
        <f t="shared" si="128"/>
        <v>25</v>
      </c>
      <c r="O352" s="229">
        <f t="shared" si="128"/>
        <v>12.5</v>
      </c>
      <c r="P352" s="229">
        <f t="shared" si="128"/>
        <v>0</v>
      </c>
      <c r="Q352" s="229">
        <f t="shared" si="128"/>
        <v>0</v>
      </c>
      <c r="R352" s="229">
        <f t="shared" si="128"/>
        <v>0</v>
      </c>
      <c r="S352" s="229">
        <f t="shared" si="128"/>
        <v>0</v>
      </c>
      <c r="T352" s="229">
        <f t="shared" si="128"/>
        <v>0</v>
      </c>
      <c r="U352" s="229">
        <f t="shared" si="128"/>
        <v>0</v>
      </c>
      <c r="V352" s="229">
        <f t="shared" si="128"/>
        <v>0</v>
      </c>
      <c r="W352" s="229">
        <f t="shared" si="128"/>
        <v>0</v>
      </c>
      <c r="X352" s="229">
        <f t="shared" si="128"/>
        <v>0</v>
      </c>
      <c r="Y352" s="229">
        <f t="shared" si="128"/>
        <v>0</v>
      </c>
      <c r="Z352" s="229">
        <f t="shared" si="128"/>
        <v>0</v>
      </c>
      <c r="AA352" s="229">
        <f t="shared" si="128"/>
        <v>0</v>
      </c>
      <c r="AB352" s="229">
        <f t="shared" si="128"/>
        <v>0</v>
      </c>
      <c r="AC352" s="229">
        <f t="shared" si="128"/>
        <v>0</v>
      </c>
      <c r="AD352" s="229">
        <f t="shared" si="128"/>
        <v>0</v>
      </c>
      <c r="AE352" s="229">
        <f t="shared" si="128"/>
        <v>0</v>
      </c>
      <c r="AF352" s="229">
        <f t="shared" si="128"/>
        <v>0</v>
      </c>
      <c r="AG352" s="229">
        <f t="shared" si="128"/>
        <v>0</v>
      </c>
      <c r="AH352" s="229">
        <f t="shared" si="128"/>
        <v>0</v>
      </c>
    </row>
    <row r="353" spans="2:34" s="20" customFormat="1" ht="14" x14ac:dyDescent="0.2">
      <c r="B353" s="8" t="s">
        <v>410</v>
      </c>
      <c r="D353" s="8" t="str">
        <f>'Assumptions - General'!$E$27 &amp;" millions"</f>
        <v>R$ millions</v>
      </c>
      <c r="E353" s="229">
        <f t="shared" si="127"/>
        <v>0</v>
      </c>
      <c r="F353" s="229">
        <f t="shared" si="127"/>
        <v>12.5</v>
      </c>
      <c r="G353" s="229">
        <f t="shared" ref="G353:AH353" si="129">G$351*G345</f>
        <v>12.5</v>
      </c>
      <c r="H353" s="229">
        <f t="shared" si="129"/>
        <v>12.5</v>
      </c>
      <c r="I353" s="229">
        <f t="shared" si="129"/>
        <v>12.5</v>
      </c>
      <c r="J353" s="229">
        <f t="shared" si="129"/>
        <v>12.5</v>
      </c>
      <c r="K353" s="229">
        <f t="shared" si="129"/>
        <v>12.5</v>
      </c>
      <c r="L353" s="229">
        <f t="shared" si="129"/>
        <v>12.5</v>
      </c>
      <c r="M353" s="229">
        <f t="shared" si="129"/>
        <v>12.5</v>
      </c>
      <c r="N353" s="229">
        <f t="shared" si="129"/>
        <v>12.5</v>
      </c>
      <c r="O353" s="229">
        <f t="shared" si="129"/>
        <v>12.5</v>
      </c>
      <c r="P353" s="229">
        <f t="shared" si="129"/>
        <v>0</v>
      </c>
      <c r="Q353" s="229">
        <f t="shared" si="129"/>
        <v>0</v>
      </c>
      <c r="R353" s="229">
        <f t="shared" si="129"/>
        <v>0</v>
      </c>
      <c r="S353" s="229">
        <f t="shared" si="129"/>
        <v>0</v>
      </c>
      <c r="T353" s="229">
        <f t="shared" si="129"/>
        <v>0</v>
      </c>
      <c r="U353" s="229">
        <f t="shared" si="129"/>
        <v>0</v>
      </c>
      <c r="V353" s="229">
        <f t="shared" si="129"/>
        <v>0</v>
      </c>
      <c r="W353" s="229">
        <f t="shared" si="129"/>
        <v>0</v>
      </c>
      <c r="X353" s="229">
        <f t="shared" si="129"/>
        <v>0</v>
      </c>
      <c r="Y353" s="229">
        <f t="shared" si="129"/>
        <v>0</v>
      </c>
      <c r="Z353" s="229">
        <f t="shared" si="129"/>
        <v>0</v>
      </c>
      <c r="AA353" s="229">
        <f t="shared" si="129"/>
        <v>0</v>
      </c>
      <c r="AB353" s="229">
        <f t="shared" si="129"/>
        <v>0</v>
      </c>
      <c r="AC353" s="229">
        <f t="shared" si="129"/>
        <v>0</v>
      </c>
      <c r="AD353" s="229">
        <f t="shared" si="129"/>
        <v>0</v>
      </c>
      <c r="AE353" s="229">
        <f t="shared" si="129"/>
        <v>0</v>
      </c>
      <c r="AF353" s="229">
        <f t="shared" si="129"/>
        <v>0</v>
      </c>
      <c r="AG353" s="229">
        <f t="shared" si="129"/>
        <v>0</v>
      </c>
      <c r="AH353" s="229">
        <f t="shared" si="129"/>
        <v>0</v>
      </c>
    </row>
    <row r="354" spans="2:34" s="20" customFormat="1" ht="14" x14ac:dyDescent="0.2">
      <c r="B354" s="8" t="s">
        <v>138</v>
      </c>
      <c r="D354" s="8" t="str">
        <f>'Assumptions - General'!$E$27 &amp;" millions"</f>
        <v>R$ millions</v>
      </c>
      <c r="E354" s="229">
        <f t="shared" si="127"/>
        <v>125</v>
      </c>
      <c r="F354" s="229">
        <f t="shared" si="127"/>
        <v>112.5</v>
      </c>
      <c r="G354" s="229">
        <f t="shared" ref="G354:AH354" si="130">G$351*G346</f>
        <v>100</v>
      </c>
      <c r="H354" s="229">
        <f t="shared" si="130"/>
        <v>87.5</v>
      </c>
      <c r="I354" s="229">
        <f t="shared" si="130"/>
        <v>75</v>
      </c>
      <c r="J354" s="229">
        <f t="shared" si="130"/>
        <v>62.5</v>
      </c>
      <c r="K354" s="229">
        <f t="shared" si="130"/>
        <v>50</v>
      </c>
      <c r="L354" s="229">
        <f t="shared" si="130"/>
        <v>37.5</v>
      </c>
      <c r="M354" s="229">
        <f t="shared" si="130"/>
        <v>25</v>
      </c>
      <c r="N354" s="229">
        <f t="shared" si="130"/>
        <v>12.5</v>
      </c>
      <c r="O354" s="229">
        <f t="shared" si="130"/>
        <v>0</v>
      </c>
      <c r="P354" s="229">
        <f t="shared" si="130"/>
        <v>0</v>
      </c>
      <c r="Q354" s="229">
        <f t="shared" si="130"/>
        <v>0</v>
      </c>
      <c r="R354" s="229">
        <f t="shared" si="130"/>
        <v>0</v>
      </c>
      <c r="S354" s="229">
        <f t="shared" si="130"/>
        <v>0</v>
      </c>
      <c r="T354" s="229">
        <f t="shared" si="130"/>
        <v>0</v>
      </c>
      <c r="U354" s="229">
        <f t="shared" si="130"/>
        <v>0</v>
      </c>
      <c r="V354" s="229">
        <f t="shared" si="130"/>
        <v>0</v>
      </c>
      <c r="W354" s="229">
        <f t="shared" si="130"/>
        <v>0</v>
      </c>
      <c r="X354" s="229">
        <f t="shared" si="130"/>
        <v>0</v>
      </c>
      <c r="Y354" s="229">
        <f t="shared" si="130"/>
        <v>0</v>
      </c>
      <c r="Z354" s="229">
        <f t="shared" si="130"/>
        <v>0</v>
      </c>
      <c r="AA354" s="229">
        <f t="shared" si="130"/>
        <v>0</v>
      </c>
      <c r="AB354" s="229">
        <f t="shared" si="130"/>
        <v>0</v>
      </c>
      <c r="AC354" s="229">
        <f t="shared" si="130"/>
        <v>0</v>
      </c>
      <c r="AD354" s="229">
        <f t="shared" si="130"/>
        <v>0</v>
      </c>
      <c r="AE354" s="229">
        <f t="shared" si="130"/>
        <v>0</v>
      </c>
      <c r="AF354" s="229">
        <f t="shared" si="130"/>
        <v>0</v>
      </c>
      <c r="AG354" s="229">
        <f t="shared" si="130"/>
        <v>0</v>
      </c>
      <c r="AH354" s="229">
        <f t="shared" si="130"/>
        <v>0</v>
      </c>
    </row>
    <row r="355" spans="2:34" s="20" customFormat="1" ht="14" x14ac:dyDescent="0.2">
      <c r="B355" s="8" t="s">
        <v>139</v>
      </c>
      <c r="D355" s="8" t="str">
        <f>'Assumptions - General'!$E$27 &amp;" millions"</f>
        <v>R$ millions</v>
      </c>
      <c r="E355" s="466">
        <f t="shared" si="127"/>
        <v>6.25</v>
      </c>
      <c r="F355" s="229">
        <f t="shared" si="127"/>
        <v>5.9375</v>
      </c>
      <c r="G355" s="229">
        <f t="shared" ref="G355:AH355" si="131">G$351*G347</f>
        <v>5.3125</v>
      </c>
      <c r="H355" s="229">
        <f t="shared" si="131"/>
        <v>4.6875</v>
      </c>
      <c r="I355" s="229">
        <f t="shared" si="131"/>
        <v>4.0625</v>
      </c>
      <c r="J355" s="229">
        <f t="shared" si="131"/>
        <v>3.4375</v>
      </c>
      <c r="K355" s="229">
        <f t="shared" si="131"/>
        <v>2.8125</v>
      </c>
      <c r="L355" s="229">
        <f t="shared" si="131"/>
        <v>2.1875</v>
      </c>
      <c r="M355" s="229">
        <f t="shared" si="131"/>
        <v>1.5625</v>
      </c>
      <c r="N355" s="229">
        <f t="shared" si="131"/>
        <v>0.9375</v>
      </c>
      <c r="O355" s="229">
        <f t="shared" si="131"/>
        <v>0.3125</v>
      </c>
      <c r="P355" s="229">
        <f t="shared" si="131"/>
        <v>0</v>
      </c>
      <c r="Q355" s="229">
        <f t="shared" si="131"/>
        <v>0</v>
      </c>
      <c r="R355" s="229">
        <f t="shared" si="131"/>
        <v>0</v>
      </c>
      <c r="S355" s="229">
        <f t="shared" si="131"/>
        <v>0</v>
      </c>
      <c r="T355" s="229">
        <f t="shared" si="131"/>
        <v>0</v>
      </c>
      <c r="U355" s="229">
        <f t="shared" si="131"/>
        <v>0</v>
      </c>
      <c r="V355" s="229">
        <f t="shared" si="131"/>
        <v>0</v>
      </c>
      <c r="W355" s="229">
        <f t="shared" si="131"/>
        <v>0</v>
      </c>
      <c r="X355" s="229">
        <f t="shared" si="131"/>
        <v>0</v>
      </c>
      <c r="Y355" s="229">
        <f t="shared" si="131"/>
        <v>0</v>
      </c>
      <c r="Z355" s="229">
        <f t="shared" si="131"/>
        <v>0</v>
      </c>
      <c r="AA355" s="229">
        <f t="shared" si="131"/>
        <v>0</v>
      </c>
      <c r="AB355" s="229">
        <f t="shared" si="131"/>
        <v>0</v>
      </c>
      <c r="AC355" s="229">
        <f t="shared" si="131"/>
        <v>0</v>
      </c>
      <c r="AD355" s="229">
        <f t="shared" si="131"/>
        <v>0</v>
      </c>
      <c r="AE355" s="229">
        <f t="shared" si="131"/>
        <v>0</v>
      </c>
      <c r="AF355" s="229">
        <f t="shared" si="131"/>
        <v>0</v>
      </c>
      <c r="AG355" s="229">
        <f t="shared" si="131"/>
        <v>0</v>
      </c>
      <c r="AH355" s="229">
        <f t="shared" si="131"/>
        <v>0</v>
      </c>
    </row>
    <row r="356" spans="2:34" s="20" customFormat="1" ht="14" x14ac:dyDescent="0.2">
      <c r="B356" s="8" t="s">
        <v>140</v>
      </c>
      <c r="D356" s="8" t="str">
        <f>'Assumptions - General'!$E$27 &amp;" millions"</f>
        <v>R$ millions</v>
      </c>
      <c r="E356" s="229">
        <f t="shared" si="127"/>
        <v>6.25</v>
      </c>
      <c r="F356" s="229">
        <f t="shared" si="127"/>
        <v>18.4375</v>
      </c>
      <c r="G356" s="229">
        <f t="shared" ref="G356:AH356" si="132">G$351*G348</f>
        <v>17.8125</v>
      </c>
      <c r="H356" s="229">
        <f t="shared" si="132"/>
        <v>17.1875</v>
      </c>
      <c r="I356" s="229">
        <f t="shared" si="132"/>
        <v>16.5625</v>
      </c>
      <c r="J356" s="229">
        <f t="shared" si="132"/>
        <v>15.9375</v>
      </c>
      <c r="K356" s="229">
        <f t="shared" si="132"/>
        <v>15.3125</v>
      </c>
      <c r="L356" s="229">
        <f t="shared" si="132"/>
        <v>14.6875</v>
      </c>
      <c r="M356" s="229">
        <f t="shared" si="132"/>
        <v>14.0625</v>
      </c>
      <c r="N356" s="229">
        <f t="shared" si="132"/>
        <v>13.4375</v>
      </c>
      <c r="O356" s="229">
        <f t="shared" si="132"/>
        <v>12.8125</v>
      </c>
      <c r="P356" s="229">
        <f t="shared" si="132"/>
        <v>0</v>
      </c>
      <c r="Q356" s="229">
        <f t="shared" si="132"/>
        <v>0</v>
      </c>
      <c r="R356" s="229">
        <f t="shared" si="132"/>
        <v>0</v>
      </c>
      <c r="S356" s="229">
        <f t="shared" si="132"/>
        <v>0</v>
      </c>
      <c r="T356" s="229">
        <f t="shared" si="132"/>
        <v>0</v>
      </c>
      <c r="U356" s="229">
        <f t="shared" si="132"/>
        <v>0</v>
      </c>
      <c r="V356" s="229">
        <f t="shared" si="132"/>
        <v>0</v>
      </c>
      <c r="W356" s="229">
        <f t="shared" si="132"/>
        <v>0</v>
      </c>
      <c r="X356" s="229">
        <f t="shared" si="132"/>
        <v>0</v>
      </c>
      <c r="Y356" s="229">
        <f t="shared" si="132"/>
        <v>0</v>
      </c>
      <c r="Z356" s="229">
        <f t="shared" si="132"/>
        <v>0</v>
      </c>
      <c r="AA356" s="229">
        <f t="shared" si="132"/>
        <v>0</v>
      </c>
      <c r="AB356" s="229">
        <f t="shared" si="132"/>
        <v>0</v>
      </c>
      <c r="AC356" s="229">
        <f t="shared" si="132"/>
        <v>0</v>
      </c>
      <c r="AD356" s="229">
        <f t="shared" si="132"/>
        <v>0</v>
      </c>
      <c r="AE356" s="229">
        <f t="shared" si="132"/>
        <v>0</v>
      </c>
      <c r="AF356" s="229">
        <f t="shared" si="132"/>
        <v>0</v>
      </c>
      <c r="AG356" s="229">
        <f t="shared" si="132"/>
        <v>0</v>
      </c>
      <c r="AH356" s="229">
        <f t="shared" si="132"/>
        <v>0</v>
      </c>
    </row>
    <row r="357" spans="2:34" s="20" customFormat="1" ht="14" x14ac:dyDescent="0.2">
      <c r="B357" s="16"/>
      <c r="E357" s="45"/>
      <c r="F357" s="46"/>
      <c r="G357" s="46"/>
      <c r="H357" s="46"/>
      <c r="I357" s="46"/>
      <c r="J357" s="46"/>
      <c r="K357" s="46"/>
      <c r="L357" s="46"/>
      <c r="M357" s="46"/>
      <c r="N357" s="46"/>
    </row>
    <row r="358" spans="2:34" s="20" customFormat="1" ht="14" x14ac:dyDescent="0.2">
      <c r="B358" s="21" t="str">
        <f>"Existing loan from " &amp; 'Assumptions - Freight'!E472</f>
        <v>Existing loan from New York bank</v>
      </c>
    </row>
    <row r="359" spans="2:34" s="20" customFormat="1" ht="14" x14ac:dyDescent="0.2">
      <c r="B359" s="8" t="s">
        <v>135</v>
      </c>
      <c r="D359" s="20" t="s">
        <v>15</v>
      </c>
      <c r="E359" s="47">
        <f>IF(E$16=1,IF('Assumptions - Freight'!$E478=1,'Assumptions - Freight'!$E480,'Assumptions - General'!E$38+'Assumptions - Freight'!$E481),0)</f>
        <v>0.05</v>
      </c>
      <c r="F359" s="47">
        <f>IF(F$16=1,IF('Assumptions - Freight'!$E478=1,'Assumptions - Freight'!$E480,'Assumptions - General'!F$38+'Assumptions - Freight'!$E481),0)</f>
        <v>0.05</v>
      </c>
      <c r="G359" s="47">
        <f>IF(G$16=1,IF('Assumptions - Freight'!$E478=1,'Assumptions - Freight'!$E480,'Assumptions - General'!G$38+'Assumptions - Freight'!$E481),0)</f>
        <v>0.05</v>
      </c>
      <c r="H359" s="47">
        <f>IF(H$16=1,IF('Assumptions - Freight'!$E478=1,'Assumptions - Freight'!$E480,'Assumptions - General'!H$38+'Assumptions - Freight'!$E481),0)</f>
        <v>0.05</v>
      </c>
      <c r="I359" s="47">
        <f>IF(I$16=1,IF('Assumptions - Freight'!$E478=1,'Assumptions - Freight'!$E480,'Assumptions - General'!I$38+'Assumptions - Freight'!$E481),0)</f>
        <v>0.05</v>
      </c>
      <c r="J359" s="47">
        <f>IF(J$16=1,IF('Assumptions - Freight'!$E478=1,'Assumptions - Freight'!$E480,'Assumptions - General'!J$38+'Assumptions - Freight'!$E481),0)</f>
        <v>0.05</v>
      </c>
      <c r="K359" s="47">
        <f>IF(K$16=1,IF('Assumptions - Freight'!$E478=1,'Assumptions - Freight'!$E480,'Assumptions - General'!K$38+'Assumptions - Freight'!$E481),0)</f>
        <v>0.05</v>
      </c>
      <c r="L359" s="47">
        <f>IF(L$16=1,IF('Assumptions - Freight'!$E478=1,'Assumptions - Freight'!$E480,'Assumptions - General'!L$38+'Assumptions - Freight'!$E481),0)</f>
        <v>0.05</v>
      </c>
      <c r="M359" s="47">
        <f>IF(M$16=1,IF('Assumptions - Freight'!$E478=1,'Assumptions - Freight'!$E480,'Assumptions - General'!M$38+'Assumptions - Freight'!$E481),0)</f>
        <v>0.05</v>
      </c>
      <c r="N359" s="47">
        <f>IF(N$16=1,IF('Assumptions - Freight'!$E478=1,'Assumptions - Freight'!$E480,'Assumptions - General'!N$38+'Assumptions - Freight'!$E481),0)</f>
        <v>0.05</v>
      </c>
      <c r="O359" s="47">
        <f>IF(O$16=1,IF('Assumptions - Freight'!$E478=1,'Assumptions - Freight'!$E480,'Assumptions - General'!O$38+'Assumptions - Freight'!$E481),0)</f>
        <v>0.05</v>
      </c>
      <c r="P359" s="47">
        <f>IF(P$16=1,IF('Assumptions - Freight'!$E478=1,'Assumptions - Freight'!$E480,'Assumptions - General'!P$38+'Assumptions - Freight'!$E481),0)</f>
        <v>0.05</v>
      </c>
      <c r="Q359" s="47">
        <f>IF(Q$16=1,IF('Assumptions - Freight'!$E478=1,'Assumptions - Freight'!$E480,'Assumptions - General'!Q$38+'Assumptions - Freight'!$E481),0)</f>
        <v>0.05</v>
      </c>
      <c r="R359" s="47">
        <f>IF(R$16=1,IF('Assumptions - Freight'!$E478=1,'Assumptions - Freight'!$E480,'Assumptions - General'!R$38+'Assumptions - Freight'!$E481),0)</f>
        <v>0.05</v>
      </c>
      <c r="S359" s="47">
        <f>IF(S$16=1,IF('Assumptions - Freight'!$E478=1,'Assumptions - Freight'!$E480,'Assumptions - General'!S$38+'Assumptions - Freight'!$E481),0)</f>
        <v>0.05</v>
      </c>
      <c r="T359" s="47">
        <f>IF(T$16=1,IF('Assumptions - Freight'!$E478=1,'Assumptions - Freight'!$E480,'Assumptions - General'!T$38+'Assumptions - Freight'!$E481),0)</f>
        <v>0.05</v>
      </c>
      <c r="U359" s="47">
        <f>IF(U$16=1,IF('Assumptions - Freight'!$E478=1,'Assumptions - Freight'!$E480,'Assumptions - General'!U$38+'Assumptions - Freight'!$E481),0)</f>
        <v>0.05</v>
      </c>
      <c r="V359" s="47">
        <f>IF(V$16=1,IF('Assumptions - Freight'!$E478=1,'Assumptions - Freight'!$E480,'Assumptions - General'!V$38+'Assumptions - Freight'!$E481),0)</f>
        <v>0.05</v>
      </c>
      <c r="W359" s="47">
        <f>IF(W$16=1,IF('Assumptions - Freight'!$E478=1,'Assumptions - Freight'!$E480,'Assumptions - General'!W$38+'Assumptions - Freight'!$E481),0)</f>
        <v>0.05</v>
      </c>
      <c r="X359" s="47">
        <f>IF(X$16=1,IF('Assumptions - Freight'!$E478=1,'Assumptions - Freight'!$E480,'Assumptions - General'!X$38+'Assumptions - Freight'!$E481),0)</f>
        <v>0.05</v>
      </c>
      <c r="Y359" s="47">
        <f>IF(Y$16=1,IF('Assumptions - Freight'!$E478=1,'Assumptions - Freight'!$E480,'Assumptions - General'!Y$38+'Assumptions - Freight'!$E481),0)</f>
        <v>0.05</v>
      </c>
      <c r="Z359" s="47">
        <f>IF(Z$16=1,IF('Assumptions - Freight'!$E478=1,'Assumptions - Freight'!$E480,'Assumptions - General'!Z$38+'Assumptions - Freight'!$E481),0)</f>
        <v>0.05</v>
      </c>
      <c r="AA359" s="47">
        <f>IF(AA$16=1,IF('Assumptions - Freight'!$E478=1,'Assumptions - Freight'!$E480,'Assumptions - General'!AA$38+'Assumptions - Freight'!$E481),0)</f>
        <v>0.05</v>
      </c>
      <c r="AB359" s="47">
        <f>IF(AB$16=1,IF('Assumptions - Freight'!$E478=1,'Assumptions - Freight'!$E480,'Assumptions - General'!AB$38+'Assumptions - Freight'!$E481),0)</f>
        <v>0.05</v>
      </c>
      <c r="AC359" s="47">
        <f>IF(AC$16=1,IF('Assumptions - Freight'!$E478=1,'Assumptions - Freight'!$E480,'Assumptions - General'!AC$38+'Assumptions - Freight'!$E481),0)</f>
        <v>0.05</v>
      </c>
      <c r="AD359" s="47">
        <f>IF(AD$16=1,IF('Assumptions - Freight'!$E478=1,'Assumptions - Freight'!$E480,'Assumptions - General'!AD$38+'Assumptions - Freight'!$E481),0)</f>
        <v>0.05</v>
      </c>
      <c r="AE359" s="47">
        <f>IF(AE$16=1,IF('Assumptions - Freight'!$E478=1,'Assumptions - Freight'!$E480,'Assumptions - General'!AE$38+'Assumptions - Freight'!$E481),0)</f>
        <v>0.05</v>
      </c>
      <c r="AF359" s="47">
        <f>IF(AF$16=1,IF('Assumptions - Freight'!$E478=1,'Assumptions - Freight'!$E480,'Assumptions - General'!AF$38+'Assumptions - Freight'!$E481),0)</f>
        <v>0.05</v>
      </c>
      <c r="AG359" s="47">
        <f>IF(AG$16=1,IF('Assumptions - Freight'!$E478=1,'Assumptions - Freight'!$E480,'Assumptions - General'!AG$38+'Assumptions - Freight'!$E481),0)</f>
        <v>0.05</v>
      </c>
      <c r="AH359" s="47">
        <f>IF(AH$16=1,IF('Assumptions - Freight'!$E478=1,'Assumptions - Freight'!$E480,'Assumptions - General'!AH$38+'Assumptions - Freight'!$E481),0)</f>
        <v>0.05</v>
      </c>
    </row>
    <row r="360" spans="2:34" s="20" customFormat="1" ht="14" x14ac:dyDescent="0.2">
      <c r="B360" s="8" t="s">
        <v>136</v>
      </c>
      <c r="D360" s="8" t="str">
        <f>'Assumptions - Freight'!D475</f>
        <v>R$ millions</v>
      </c>
      <c r="E360" s="463">
        <f>IF(E$16=1,'Assumptions - Freight'!E475,0)</f>
        <v>50</v>
      </c>
      <c r="F360" s="33">
        <f t="shared" ref="F360" si="133">E362</f>
        <v>50</v>
      </c>
      <c r="G360" s="33">
        <f t="shared" ref="G360:AH360" si="134">F362</f>
        <v>45</v>
      </c>
      <c r="H360" s="33">
        <f t="shared" si="134"/>
        <v>40</v>
      </c>
      <c r="I360" s="33">
        <f t="shared" si="134"/>
        <v>35</v>
      </c>
      <c r="J360" s="33">
        <f t="shared" si="134"/>
        <v>30</v>
      </c>
      <c r="K360" s="33">
        <f t="shared" si="134"/>
        <v>25</v>
      </c>
      <c r="L360" s="33">
        <f t="shared" si="134"/>
        <v>20</v>
      </c>
      <c r="M360" s="33">
        <f t="shared" si="134"/>
        <v>15</v>
      </c>
      <c r="N360" s="33">
        <f t="shared" si="134"/>
        <v>10</v>
      </c>
      <c r="O360" s="33">
        <f t="shared" si="134"/>
        <v>5</v>
      </c>
      <c r="P360" s="33">
        <f t="shared" si="134"/>
        <v>0</v>
      </c>
      <c r="Q360" s="33">
        <f t="shared" si="134"/>
        <v>0</v>
      </c>
      <c r="R360" s="33">
        <f t="shared" si="134"/>
        <v>0</v>
      </c>
      <c r="S360" s="33">
        <f t="shared" si="134"/>
        <v>0</v>
      </c>
      <c r="T360" s="33">
        <f t="shared" si="134"/>
        <v>0</v>
      </c>
      <c r="U360" s="33">
        <f t="shared" si="134"/>
        <v>0</v>
      </c>
      <c r="V360" s="33">
        <f t="shared" si="134"/>
        <v>0</v>
      </c>
      <c r="W360" s="33">
        <f t="shared" si="134"/>
        <v>0</v>
      </c>
      <c r="X360" s="33">
        <f t="shared" si="134"/>
        <v>0</v>
      </c>
      <c r="Y360" s="33">
        <f t="shared" si="134"/>
        <v>0</v>
      </c>
      <c r="Z360" s="33">
        <f t="shared" si="134"/>
        <v>0</v>
      </c>
      <c r="AA360" s="33">
        <f t="shared" si="134"/>
        <v>0</v>
      </c>
      <c r="AB360" s="33">
        <f t="shared" si="134"/>
        <v>0</v>
      </c>
      <c r="AC360" s="33">
        <f t="shared" si="134"/>
        <v>0</v>
      </c>
      <c r="AD360" s="33">
        <f t="shared" si="134"/>
        <v>0</v>
      </c>
      <c r="AE360" s="33">
        <f t="shared" si="134"/>
        <v>0</v>
      </c>
      <c r="AF360" s="33">
        <f t="shared" si="134"/>
        <v>0</v>
      </c>
      <c r="AG360" s="33">
        <f t="shared" si="134"/>
        <v>0</v>
      </c>
      <c r="AH360" s="33">
        <f t="shared" si="134"/>
        <v>0</v>
      </c>
    </row>
    <row r="361" spans="2:34" s="20" customFormat="1" ht="14" x14ac:dyDescent="0.2">
      <c r="B361" s="8" t="s">
        <v>410</v>
      </c>
      <c r="D361" s="8" t="str">
        <f>D360</f>
        <v>R$ millions</v>
      </c>
      <c r="E361" s="33">
        <f>IF(E$16=1,'Assumptions - Freight'!E477,0)</f>
        <v>0</v>
      </c>
      <c r="F361" s="33">
        <f>IF(F$16=1,'Assumptions - Freight'!F477,0)</f>
        <v>5</v>
      </c>
      <c r="G361" s="33">
        <f>IF(G$16=1,'Assumptions - Freight'!G477,0)</f>
        <v>5</v>
      </c>
      <c r="H361" s="33">
        <f>IF(H$16=1,'Assumptions - Freight'!H477,0)</f>
        <v>5</v>
      </c>
      <c r="I361" s="33">
        <f>IF(I$16=1,'Assumptions - Freight'!I477,0)</f>
        <v>5</v>
      </c>
      <c r="J361" s="33">
        <f>IF(J$16=1,'Assumptions - Freight'!J477,0)</f>
        <v>5</v>
      </c>
      <c r="K361" s="33">
        <f>IF(K$16=1,'Assumptions - Freight'!K477,0)</f>
        <v>5</v>
      </c>
      <c r="L361" s="33">
        <f>IF(L$16=1,'Assumptions - Freight'!L477,0)</f>
        <v>5</v>
      </c>
      <c r="M361" s="33">
        <f>IF(M$16=1,'Assumptions - Freight'!M477,0)</f>
        <v>5</v>
      </c>
      <c r="N361" s="33">
        <f>IF(N$16=1,'Assumptions - Freight'!N477,0)</f>
        <v>5</v>
      </c>
      <c r="O361" s="33">
        <f>IF(O$16=1,'Assumptions - Freight'!O477,0)</f>
        <v>5</v>
      </c>
      <c r="P361" s="33">
        <f>IF(P$16=1,'Assumptions - Freight'!P477,0)</f>
        <v>0</v>
      </c>
      <c r="Q361" s="33">
        <f>IF(Q$16=1,'Assumptions - Freight'!Q477,0)</f>
        <v>0</v>
      </c>
      <c r="R361" s="33">
        <f>IF(R$16=1,'Assumptions - Freight'!R477,0)</f>
        <v>0</v>
      </c>
      <c r="S361" s="33">
        <f>IF(S$16=1,'Assumptions - Freight'!S477,0)</f>
        <v>0</v>
      </c>
      <c r="T361" s="33">
        <f>IF(T$16=1,'Assumptions - Freight'!T477,0)</f>
        <v>0</v>
      </c>
      <c r="U361" s="33">
        <f>IF(U$16=1,'Assumptions - Freight'!U477,0)</f>
        <v>0</v>
      </c>
      <c r="V361" s="33">
        <f>IF(V$16=1,'Assumptions - Freight'!V477,0)</f>
        <v>0</v>
      </c>
      <c r="W361" s="33">
        <f>IF(W$16=1,'Assumptions - Freight'!W477,0)</f>
        <v>0</v>
      </c>
      <c r="X361" s="33">
        <f>IF(X$16=1,'Assumptions - Freight'!X477,0)</f>
        <v>0</v>
      </c>
      <c r="Y361" s="33">
        <f>IF(Y$16=1,'Assumptions - Freight'!Y477,0)</f>
        <v>0</v>
      </c>
      <c r="Z361" s="33">
        <f>IF(Z$16=1,'Assumptions - Freight'!Z477,0)</f>
        <v>0</v>
      </c>
      <c r="AA361" s="33">
        <f>IF(AA$16=1,'Assumptions - Freight'!AA477,0)</f>
        <v>0</v>
      </c>
      <c r="AB361" s="33">
        <f>IF(AB$16=1,'Assumptions - Freight'!AB477,0)</f>
        <v>0</v>
      </c>
      <c r="AC361" s="33">
        <f>IF(AC$16=1,'Assumptions - Freight'!AC477,0)</f>
        <v>0</v>
      </c>
      <c r="AD361" s="33">
        <f>IF(AD$16=1,'Assumptions - Freight'!AD477,0)</f>
        <v>0</v>
      </c>
      <c r="AE361" s="33">
        <f>IF(AE$16=1,'Assumptions - Freight'!AE477,0)</f>
        <v>0</v>
      </c>
      <c r="AF361" s="33">
        <f>IF(AF$16=1,'Assumptions - Freight'!AF477,0)</f>
        <v>0</v>
      </c>
      <c r="AG361" s="33">
        <f>IF(AG$16=1,'Assumptions - Freight'!AG477,0)</f>
        <v>0</v>
      </c>
      <c r="AH361" s="33">
        <f>IF(AH$16=1,'Assumptions - Freight'!AH477,0)</f>
        <v>0</v>
      </c>
    </row>
    <row r="362" spans="2:34" s="20" customFormat="1" ht="14" x14ac:dyDescent="0.2">
      <c r="B362" s="8" t="s">
        <v>138</v>
      </c>
      <c r="D362" s="8" t="str">
        <f>D361</f>
        <v>R$ millions</v>
      </c>
      <c r="E362" s="33">
        <f>E360-E361</f>
        <v>50</v>
      </c>
      <c r="F362" s="33">
        <f t="shared" ref="F362" si="135">F360-F361</f>
        <v>45</v>
      </c>
      <c r="G362" s="33">
        <f t="shared" ref="G362:AH362" si="136">G360-G361</f>
        <v>40</v>
      </c>
      <c r="H362" s="33">
        <f t="shared" si="136"/>
        <v>35</v>
      </c>
      <c r="I362" s="33">
        <f t="shared" si="136"/>
        <v>30</v>
      </c>
      <c r="J362" s="33">
        <f t="shared" si="136"/>
        <v>25</v>
      </c>
      <c r="K362" s="33">
        <f t="shared" si="136"/>
        <v>20</v>
      </c>
      <c r="L362" s="33">
        <f t="shared" si="136"/>
        <v>15</v>
      </c>
      <c r="M362" s="33">
        <f t="shared" si="136"/>
        <v>10</v>
      </c>
      <c r="N362" s="33">
        <f t="shared" si="136"/>
        <v>5</v>
      </c>
      <c r="O362" s="33">
        <f t="shared" si="136"/>
        <v>0</v>
      </c>
      <c r="P362" s="33">
        <f t="shared" si="136"/>
        <v>0</v>
      </c>
      <c r="Q362" s="33">
        <f t="shared" si="136"/>
        <v>0</v>
      </c>
      <c r="R362" s="33">
        <f t="shared" si="136"/>
        <v>0</v>
      </c>
      <c r="S362" s="33">
        <f t="shared" si="136"/>
        <v>0</v>
      </c>
      <c r="T362" s="33">
        <f t="shared" si="136"/>
        <v>0</v>
      </c>
      <c r="U362" s="33">
        <f t="shared" si="136"/>
        <v>0</v>
      </c>
      <c r="V362" s="33">
        <f t="shared" si="136"/>
        <v>0</v>
      </c>
      <c r="W362" s="33">
        <f t="shared" si="136"/>
        <v>0</v>
      </c>
      <c r="X362" s="33">
        <f t="shared" si="136"/>
        <v>0</v>
      </c>
      <c r="Y362" s="33">
        <f t="shared" si="136"/>
        <v>0</v>
      </c>
      <c r="Z362" s="33">
        <f t="shared" si="136"/>
        <v>0</v>
      </c>
      <c r="AA362" s="33">
        <f t="shared" si="136"/>
        <v>0</v>
      </c>
      <c r="AB362" s="33">
        <f t="shared" si="136"/>
        <v>0</v>
      </c>
      <c r="AC362" s="33">
        <f t="shared" si="136"/>
        <v>0</v>
      </c>
      <c r="AD362" s="33">
        <f t="shared" si="136"/>
        <v>0</v>
      </c>
      <c r="AE362" s="33">
        <f t="shared" si="136"/>
        <v>0</v>
      </c>
      <c r="AF362" s="33">
        <f t="shared" si="136"/>
        <v>0</v>
      </c>
      <c r="AG362" s="33">
        <f t="shared" si="136"/>
        <v>0</v>
      </c>
      <c r="AH362" s="33">
        <f t="shared" si="136"/>
        <v>0</v>
      </c>
    </row>
    <row r="363" spans="2:34" s="20" customFormat="1" ht="14" x14ac:dyDescent="0.2">
      <c r="B363" s="8" t="s">
        <v>139</v>
      </c>
      <c r="D363" s="8" t="str">
        <f>D362</f>
        <v>R$ millions</v>
      </c>
      <c r="E363" s="463">
        <f>IF(E$16=1,'Assumptions - Freight'!E476,0)</f>
        <v>2.5</v>
      </c>
      <c r="F363" s="229">
        <f t="shared" ref="F363" si="137">F359*((F360+F362)/2)</f>
        <v>2.375</v>
      </c>
      <c r="G363" s="229">
        <f t="shared" ref="G363:AH363" si="138">G359*((G360+G362)/2)</f>
        <v>2.125</v>
      </c>
      <c r="H363" s="229">
        <f t="shared" si="138"/>
        <v>1.875</v>
      </c>
      <c r="I363" s="229">
        <f t="shared" si="138"/>
        <v>1.625</v>
      </c>
      <c r="J363" s="229">
        <f t="shared" si="138"/>
        <v>1.375</v>
      </c>
      <c r="K363" s="229">
        <f t="shared" si="138"/>
        <v>1.125</v>
      </c>
      <c r="L363" s="229">
        <f t="shared" si="138"/>
        <v>0.875</v>
      </c>
      <c r="M363" s="229">
        <f t="shared" si="138"/>
        <v>0.625</v>
      </c>
      <c r="N363" s="229">
        <f t="shared" si="138"/>
        <v>0.375</v>
      </c>
      <c r="O363" s="229">
        <f t="shared" si="138"/>
        <v>0.125</v>
      </c>
      <c r="P363" s="229">
        <f t="shared" si="138"/>
        <v>0</v>
      </c>
      <c r="Q363" s="229">
        <f t="shared" si="138"/>
        <v>0</v>
      </c>
      <c r="R363" s="229">
        <f t="shared" si="138"/>
        <v>0</v>
      </c>
      <c r="S363" s="229">
        <f t="shared" si="138"/>
        <v>0</v>
      </c>
      <c r="T363" s="229">
        <f t="shared" si="138"/>
        <v>0</v>
      </c>
      <c r="U363" s="229">
        <f t="shared" si="138"/>
        <v>0</v>
      </c>
      <c r="V363" s="229">
        <f t="shared" si="138"/>
        <v>0</v>
      </c>
      <c r="W363" s="229">
        <f t="shared" si="138"/>
        <v>0</v>
      </c>
      <c r="X363" s="229">
        <f t="shared" si="138"/>
        <v>0</v>
      </c>
      <c r="Y363" s="229">
        <f t="shared" si="138"/>
        <v>0</v>
      </c>
      <c r="Z363" s="229">
        <f t="shared" si="138"/>
        <v>0</v>
      </c>
      <c r="AA363" s="229">
        <f t="shared" si="138"/>
        <v>0</v>
      </c>
      <c r="AB363" s="229">
        <f t="shared" si="138"/>
        <v>0</v>
      </c>
      <c r="AC363" s="229">
        <f t="shared" si="138"/>
        <v>0</v>
      </c>
      <c r="AD363" s="229">
        <f t="shared" si="138"/>
        <v>0</v>
      </c>
      <c r="AE363" s="229">
        <f t="shared" si="138"/>
        <v>0</v>
      </c>
      <c r="AF363" s="229">
        <f t="shared" si="138"/>
        <v>0</v>
      </c>
      <c r="AG363" s="229">
        <f t="shared" si="138"/>
        <v>0</v>
      </c>
      <c r="AH363" s="229">
        <f t="shared" si="138"/>
        <v>0</v>
      </c>
    </row>
    <row r="364" spans="2:34" s="20" customFormat="1" ht="14" x14ac:dyDescent="0.2">
      <c r="B364" s="8" t="s">
        <v>140</v>
      </c>
      <c r="D364" s="8" t="str">
        <f>D363</f>
        <v>R$ millions</v>
      </c>
      <c r="E364" s="44">
        <f t="shared" ref="E364:F364" si="139">E363+E361</f>
        <v>2.5</v>
      </c>
      <c r="F364" s="44">
        <f t="shared" si="139"/>
        <v>7.375</v>
      </c>
      <c r="G364" s="44">
        <f t="shared" ref="G364:AH364" si="140">G363+G361</f>
        <v>7.125</v>
      </c>
      <c r="H364" s="44">
        <f t="shared" si="140"/>
        <v>6.875</v>
      </c>
      <c r="I364" s="44">
        <f t="shared" si="140"/>
        <v>6.625</v>
      </c>
      <c r="J364" s="44">
        <f t="shared" si="140"/>
        <v>6.375</v>
      </c>
      <c r="K364" s="44">
        <f t="shared" si="140"/>
        <v>6.125</v>
      </c>
      <c r="L364" s="44">
        <f t="shared" si="140"/>
        <v>5.875</v>
      </c>
      <c r="M364" s="44">
        <f t="shared" si="140"/>
        <v>5.625</v>
      </c>
      <c r="N364" s="44">
        <f t="shared" si="140"/>
        <v>5.375</v>
      </c>
      <c r="O364" s="33">
        <f t="shared" si="140"/>
        <v>5.125</v>
      </c>
      <c r="P364" s="33">
        <f t="shared" si="140"/>
        <v>0</v>
      </c>
      <c r="Q364" s="33">
        <f t="shared" si="140"/>
        <v>0</v>
      </c>
      <c r="R364" s="33">
        <f t="shared" si="140"/>
        <v>0</v>
      </c>
      <c r="S364" s="33">
        <f t="shared" si="140"/>
        <v>0</v>
      </c>
      <c r="T364" s="33">
        <f t="shared" si="140"/>
        <v>0</v>
      </c>
      <c r="U364" s="33">
        <f t="shared" si="140"/>
        <v>0</v>
      </c>
      <c r="V364" s="33">
        <f t="shared" si="140"/>
        <v>0</v>
      </c>
      <c r="W364" s="33">
        <f t="shared" si="140"/>
        <v>0</v>
      </c>
      <c r="X364" s="33">
        <f t="shared" si="140"/>
        <v>0</v>
      </c>
      <c r="Y364" s="33">
        <f t="shared" si="140"/>
        <v>0</v>
      </c>
      <c r="Z364" s="33">
        <f t="shared" si="140"/>
        <v>0</v>
      </c>
      <c r="AA364" s="33">
        <f t="shared" si="140"/>
        <v>0</v>
      </c>
      <c r="AB364" s="33">
        <f t="shared" si="140"/>
        <v>0</v>
      </c>
      <c r="AC364" s="33">
        <f t="shared" si="140"/>
        <v>0</v>
      </c>
      <c r="AD364" s="33">
        <f t="shared" si="140"/>
        <v>0</v>
      </c>
      <c r="AE364" s="33">
        <f t="shared" si="140"/>
        <v>0</v>
      </c>
      <c r="AF364" s="33">
        <f t="shared" si="140"/>
        <v>0</v>
      </c>
      <c r="AG364" s="33">
        <f t="shared" si="140"/>
        <v>0</v>
      </c>
      <c r="AH364" s="33">
        <f t="shared" si="140"/>
        <v>0</v>
      </c>
    </row>
    <row r="365" spans="2:34" s="20" customFormat="1" ht="14" x14ac:dyDescent="0.2">
      <c r="B365" s="16"/>
      <c r="E365" s="45"/>
      <c r="F365" s="46"/>
      <c r="G365" s="46"/>
      <c r="H365" s="46"/>
      <c r="I365" s="46"/>
      <c r="J365" s="46"/>
      <c r="K365" s="46"/>
      <c r="L365" s="46"/>
      <c r="M365" s="46"/>
      <c r="N365" s="46"/>
    </row>
    <row r="366" spans="2:34" s="20" customFormat="1" ht="14" x14ac:dyDescent="0.2">
      <c r="B366" s="19" t="str">
        <f>B358</f>
        <v>Existing loan from New York bank</v>
      </c>
    </row>
    <row r="367" spans="2:34" s="20" customFormat="1" ht="14" x14ac:dyDescent="0.2">
      <c r="B367" s="20" t="s">
        <v>334</v>
      </c>
      <c r="D367" s="8" t="str">
        <f>IF('Assumptions - Freight'!$E$473=1,"Same as above",IF('Assumptions - Freight'!$E$473=2,"Local currency/"&amp;'Assumptions - General'!$E$39,"Local currency/"&amp;'Assumptions - General'!$E$40))</f>
        <v>Same as above</v>
      </c>
      <c r="E367" s="124">
        <f>IF('Assumptions - Freight'!$E$473=1,1,IF('Assumptions - Freight'!$E$473=2,'Assumptions - General'!E$41,'Assumptions - General'!E$42))</f>
        <v>1</v>
      </c>
      <c r="F367" s="124">
        <f>IF('Assumptions - Freight'!$E$473=1,1,IF('Assumptions - Freight'!$E$473=2,'Assumptions - General'!F$41,'Assumptions - General'!F$42))</f>
        <v>1</v>
      </c>
      <c r="G367" s="124">
        <f>IF('Assumptions - Freight'!$E$473=1,1,IF('Assumptions - Freight'!$E$473=2,'Assumptions - General'!G$41,'Assumptions - General'!G$42))</f>
        <v>1</v>
      </c>
      <c r="H367" s="124">
        <f>IF('Assumptions - Freight'!$E$473=1,1,IF('Assumptions - Freight'!$E$473=2,'Assumptions - General'!H$41,'Assumptions - General'!H$42))</f>
        <v>1</v>
      </c>
      <c r="I367" s="124">
        <f>IF('Assumptions - Freight'!$E$473=1,1,IF('Assumptions - Freight'!$E$473=2,'Assumptions - General'!I$41,'Assumptions - General'!I$42))</f>
        <v>1</v>
      </c>
      <c r="J367" s="124">
        <f>IF('Assumptions - Freight'!$E$473=1,1,IF('Assumptions - Freight'!$E$473=2,'Assumptions - General'!J$41,'Assumptions - General'!J$42))</f>
        <v>1</v>
      </c>
      <c r="K367" s="124">
        <f>IF('Assumptions - Freight'!$E$473=1,1,IF('Assumptions - Freight'!$E$473=2,'Assumptions - General'!K$41,'Assumptions - General'!K$42))</f>
        <v>1</v>
      </c>
      <c r="L367" s="124">
        <f>IF('Assumptions - Freight'!$E$473=1,1,IF('Assumptions - Freight'!$E$473=2,'Assumptions - General'!L$41,'Assumptions - General'!L$42))</f>
        <v>1</v>
      </c>
      <c r="M367" s="124">
        <f>IF('Assumptions - Freight'!$E$473=1,1,IF('Assumptions - Freight'!$E$473=2,'Assumptions - General'!M$41,'Assumptions - General'!M$42))</f>
        <v>1</v>
      </c>
      <c r="N367" s="124">
        <f>IF('Assumptions - Freight'!$E$473=1,1,IF('Assumptions - Freight'!$E$473=2,'Assumptions - General'!N$41,'Assumptions - General'!N$42))</f>
        <v>1</v>
      </c>
      <c r="O367" s="124">
        <f>IF('Assumptions - Freight'!$E$473=1,1,IF('Assumptions - Freight'!$E$473=2,'Assumptions - General'!O$41,'Assumptions - General'!O$42))</f>
        <v>1</v>
      </c>
      <c r="P367" s="124">
        <f>IF('Assumptions - Freight'!$E$473=1,1,IF('Assumptions - Freight'!$E$473=2,'Assumptions - General'!P$41,'Assumptions - General'!P$42))</f>
        <v>1</v>
      </c>
      <c r="Q367" s="124">
        <f>IF('Assumptions - Freight'!$E$473=1,1,IF('Assumptions - Freight'!$E$473=2,'Assumptions - General'!Q$41,'Assumptions - General'!Q$42))</f>
        <v>1</v>
      </c>
      <c r="R367" s="124">
        <f>IF('Assumptions - Freight'!$E$473=1,1,IF('Assumptions - Freight'!$E$473=2,'Assumptions - General'!R$41,'Assumptions - General'!R$42))</f>
        <v>1</v>
      </c>
      <c r="S367" s="124">
        <f>IF('Assumptions - Freight'!$E$473=1,1,IF('Assumptions - Freight'!$E$473=2,'Assumptions - General'!S$41,'Assumptions - General'!S$42))</f>
        <v>1</v>
      </c>
      <c r="T367" s="124">
        <f>IF('Assumptions - Freight'!$E$473=1,1,IF('Assumptions - Freight'!$E$473=2,'Assumptions - General'!T$41,'Assumptions - General'!T$42))</f>
        <v>1</v>
      </c>
      <c r="U367" s="124">
        <f>IF('Assumptions - Freight'!$E$473=1,1,IF('Assumptions - Freight'!$E$473=2,'Assumptions - General'!U$41,'Assumptions - General'!U$42))</f>
        <v>1</v>
      </c>
      <c r="V367" s="124">
        <f>IF('Assumptions - Freight'!$E$473=1,1,IF('Assumptions - Freight'!$E$473=2,'Assumptions - General'!V$41,'Assumptions - General'!V$42))</f>
        <v>1</v>
      </c>
      <c r="W367" s="124">
        <f>IF('Assumptions - Freight'!$E$473=1,1,IF('Assumptions - Freight'!$E$473=2,'Assumptions - General'!W$41,'Assumptions - General'!W$42))</f>
        <v>1</v>
      </c>
      <c r="X367" s="124">
        <f>IF('Assumptions - Freight'!$E$473=1,1,IF('Assumptions - Freight'!$E$473=2,'Assumptions - General'!X$41,'Assumptions - General'!X$42))</f>
        <v>1</v>
      </c>
      <c r="Y367" s="124">
        <f>IF('Assumptions - Freight'!$E$473=1,1,IF('Assumptions - Freight'!$E$473=2,'Assumptions - General'!Y$41,'Assumptions - General'!Y$42))</f>
        <v>1</v>
      </c>
      <c r="Z367" s="124">
        <f>IF('Assumptions - Freight'!$E$473=1,1,IF('Assumptions - Freight'!$E$473=2,'Assumptions - General'!Z$41,'Assumptions - General'!Z$42))</f>
        <v>1</v>
      </c>
      <c r="AA367" s="124">
        <f>IF('Assumptions - Freight'!$E$473=1,1,IF('Assumptions - Freight'!$E$473=2,'Assumptions - General'!AA$41,'Assumptions - General'!AA$42))</f>
        <v>1</v>
      </c>
      <c r="AB367" s="124">
        <f>IF('Assumptions - Freight'!$E$473=1,1,IF('Assumptions - Freight'!$E$473=2,'Assumptions - General'!AB$41,'Assumptions - General'!AB$42))</f>
        <v>1</v>
      </c>
      <c r="AC367" s="124">
        <f>IF('Assumptions - Freight'!$E$473=1,1,IF('Assumptions - Freight'!$E$473=2,'Assumptions - General'!AC$41,'Assumptions - General'!AC$42))</f>
        <v>1</v>
      </c>
      <c r="AD367" s="124">
        <f>IF('Assumptions - Freight'!$E$473=1,1,IF('Assumptions - Freight'!$E$473=2,'Assumptions - General'!AD$41,'Assumptions - General'!AD$42))</f>
        <v>1</v>
      </c>
      <c r="AE367" s="124">
        <f>IF('Assumptions - Freight'!$E$473=1,1,IF('Assumptions - Freight'!$E$473=2,'Assumptions - General'!AE$41,'Assumptions - General'!AE$42))</f>
        <v>1</v>
      </c>
      <c r="AF367" s="124">
        <f>IF('Assumptions - Freight'!$E$473=1,1,IF('Assumptions - Freight'!$E$473=2,'Assumptions - General'!AF$41,'Assumptions - General'!AF$42))</f>
        <v>1</v>
      </c>
      <c r="AG367" s="124">
        <f>IF('Assumptions - Freight'!$E$473=1,1,IF('Assumptions - Freight'!$E$473=2,'Assumptions - General'!AG$41,'Assumptions - General'!AG$42))</f>
        <v>1</v>
      </c>
      <c r="AH367" s="124">
        <f>IF('Assumptions - Freight'!$E$473=1,1,IF('Assumptions - Freight'!$E$473=2,'Assumptions - General'!AH$41,'Assumptions - General'!AH$42))</f>
        <v>1</v>
      </c>
    </row>
    <row r="368" spans="2:34" s="20" customFormat="1" ht="14" x14ac:dyDescent="0.2">
      <c r="B368" s="8" t="s">
        <v>136</v>
      </c>
      <c r="D368" s="8" t="str">
        <f>'Assumptions - General'!$E$27 &amp;" millions"</f>
        <v>R$ millions</v>
      </c>
      <c r="E368" s="229">
        <f t="shared" ref="E368:F372" si="141">E$367*E360</f>
        <v>50</v>
      </c>
      <c r="F368" s="229">
        <f t="shared" si="141"/>
        <v>50</v>
      </c>
      <c r="G368" s="229">
        <f t="shared" ref="G368:AH368" si="142">G$367*G360</f>
        <v>45</v>
      </c>
      <c r="H368" s="229">
        <f t="shared" si="142"/>
        <v>40</v>
      </c>
      <c r="I368" s="229">
        <f t="shared" si="142"/>
        <v>35</v>
      </c>
      <c r="J368" s="229">
        <f t="shared" si="142"/>
        <v>30</v>
      </c>
      <c r="K368" s="229">
        <f t="shared" si="142"/>
        <v>25</v>
      </c>
      <c r="L368" s="229">
        <f t="shared" si="142"/>
        <v>20</v>
      </c>
      <c r="M368" s="229">
        <f t="shared" si="142"/>
        <v>15</v>
      </c>
      <c r="N368" s="229">
        <f t="shared" si="142"/>
        <v>10</v>
      </c>
      <c r="O368" s="229">
        <f t="shared" si="142"/>
        <v>5</v>
      </c>
      <c r="P368" s="229">
        <f t="shared" si="142"/>
        <v>0</v>
      </c>
      <c r="Q368" s="229">
        <f t="shared" si="142"/>
        <v>0</v>
      </c>
      <c r="R368" s="229">
        <f t="shared" si="142"/>
        <v>0</v>
      </c>
      <c r="S368" s="229">
        <f t="shared" si="142"/>
        <v>0</v>
      </c>
      <c r="T368" s="229">
        <f t="shared" si="142"/>
        <v>0</v>
      </c>
      <c r="U368" s="229">
        <f t="shared" si="142"/>
        <v>0</v>
      </c>
      <c r="V368" s="229">
        <f t="shared" si="142"/>
        <v>0</v>
      </c>
      <c r="W368" s="229">
        <f t="shared" si="142"/>
        <v>0</v>
      </c>
      <c r="X368" s="229">
        <f t="shared" si="142"/>
        <v>0</v>
      </c>
      <c r="Y368" s="229">
        <f t="shared" si="142"/>
        <v>0</v>
      </c>
      <c r="Z368" s="229">
        <f t="shared" si="142"/>
        <v>0</v>
      </c>
      <c r="AA368" s="229">
        <f t="shared" si="142"/>
        <v>0</v>
      </c>
      <c r="AB368" s="229">
        <f t="shared" si="142"/>
        <v>0</v>
      </c>
      <c r="AC368" s="229">
        <f t="shared" si="142"/>
        <v>0</v>
      </c>
      <c r="AD368" s="229">
        <f t="shared" si="142"/>
        <v>0</v>
      </c>
      <c r="AE368" s="229">
        <f t="shared" si="142"/>
        <v>0</v>
      </c>
      <c r="AF368" s="229">
        <f t="shared" si="142"/>
        <v>0</v>
      </c>
      <c r="AG368" s="229">
        <f t="shared" si="142"/>
        <v>0</v>
      </c>
      <c r="AH368" s="229">
        <f t="shared" si="142"/>
        <v>0</v>
      </c>
    </row>
    <row r="369" spans="1:34" s="20" customFormat="1" ht="14" x14ac:dyDescent="0.2">
      <c r="B369" s="8" t="s">
        <v>410</v>
      </c>
      <c r="D369" s="8" t="str">
        <f>'Assumptions - General'!$E$27 &amp;" millions"</f>
        <v>R$ millions</v>
      </c>
      <c r="E369" s="229">
        <f t="shared" si="141"/>
        <v>0</v>
      </c>
      <c r="F369" s="229">
        <f t="shared" si="141"/>
        <v>5</v>
      </c>
      <c r="G369" s="229">
        <f t="shared" ref="G369:AH369" si="143">G$367*G361</f>
        <v>5</v>
      </c>
      <c r="H369" s="229">
        <f t="shared" si="143"/>
        <v>5</v>
      </c>
      <c r="I369" s="229">
        <f t="shared" si="143"/>
        <v>5</v>
      </c>
      <c r="J369" s="229">
        <f t="shared" si="143"/>
        <v>5</v>
      </c>
      <c r="K369" s="229">
        <f t="shared" si="143"/>
        <v>5</v>
      </c>
      <c r="L369" s="229">
        <f t="shared" si="143"/>
        <v>5</v>
      </c>
      <c r="M369" s="229">
        <f t="shared" si="143"/>
        <v>5</v>
      </c>
      <c r="N369" s="229">
        <f t="shared" si="143"/>
        <v>5</v>
      </c>
      <c r="O369" s="229">
        <f t="shared" si="143"/>
        <v>5</v>
      </c>
      <c r="P369" s="229">
        <f t="shared" si="143"/>
        <v>0</v>
      </c>
      <c r="Q369" s="229">
        <f t="shared" si="143"/>
        <v>0</v>
      </c>
      <c r="R369" s="229">
        <f t="shared" si="143"/>
        <v>0</v>
      </c>
      <c r="S369" s="229">
        <f t="shared" si="143"/>
        <v>0</v>
      </c>
      <c r="T369" s="229">
        <f t="shared" si="143"/>
        <v>0</v>
      </c>
      <c r="U369" s="229">
        <f t="shared" si="143"/>
        <v>0</v>
      </c>
      <c r="V369" s="229">
        <f t="shared" si="143"/>
        <v>0</v>
      </c>
      <c r="W369" s="229">
        <f t="shared" si="143"/>
        <v>0</v>
      </c>
      <c r="X369" s="229">
        <f t="shared" si="143"/>
        <v>0</v>
      </c>
      <c r="Y369" s="229">
        <f t="shared" si="143"/>
        <v>0</v>
      </c>
      <c r="Z369" s="229">
        <f t="shared" si="143"/>
        <v>0</v>
      </c>
      <c r="AA369" s="229">
        <f t="shared" si="143"/>
        <v>0</v>
      </c>
      <c r="AB369" s="229">
        <f t="shared" si="143"/>
        <v>0</v>
      </c>
      <c r="AC369" s="229">
        <f t="shared" si="143"/>
        <v>0</v>
      </c>
      <c r="AD369" s="229">
        <f t="shared" si="143"/>
        <v>0</v>
      </c>
      <c r="AE369" s="229">
        <f t="shared" si="143"/>
        <v>0</v>
      </c>
      <c r="AF369" s="229">
        <f t="shared" si="143"/>
        <v>0</v>
      </c>
      <c r="AG369" s="229">
        <f t="shared" si="143"/>
        <v>0</v>
      </c>
      <c r="AH369" s="229">
        <f t="shared" si="143"/>
        <v>0</v>
      </c>
    </row>
    <row r="370" spans="1:34" s="20" customFormat="1" ht="14" x14ac:dyDescent="0.2">
      <c r="B370" s="8" t="s">
        <v>138</v>
      </c>
      <c r="D370" s="8" t="str">
        <f>'Assumptions - General'!$E$27 &amp;" millions"</f>
        <v>R$ millions</v>
      </c>
      <c r="E370" s="229">
        <f t="shared" si="141"/>
        <v>50</v>
      </c>
      <c r="F370" s="229">
        <f t="shared" si="141"/>
        <v>45</v>
      </c>
      <c r="G370" s="229">
        <f t="shared" ref="G370:AH370" si="144">G$367*G362</f>
        <v>40</v>
      </c>
      <c r="H370" s="229">
        <f t="shared" si="144"/>
        <v>35</v>
      </c>
      <c r="I370" s="229">
        <f t="shared" si="144"/>
        <v>30</v>
      </c>
      <c r="J370" s="229">
        <f t="shared" si="144"/>
        <v>25</v>
      </c>
      <c r="K370" s="229">
        <f t="shared" si="144"/>
        <v>20</v>
      </c>
      <c r="L370" s="229">
        <f t="shared" si="144"/>
        <v>15</v>
      </c>
      <c r="M370" s="229">
        <f t="shared" si="144"/>
        <v>10</v>
      </c>
      <c r="N370" s="229">
        <f t="shared" si="144"/>
        <v>5</v>
      </c>
      <c r="O370" s="229">
        <f t="shared" si="144"/>
        <v>0</v>
      </c>
      <c r="P370" s="229">
        <f t="shared" si="144"/>
        <v>0</v>
      </c>
      <c r="Q370" s="229">
        <f t="shared" si="144"/>
        <v>0</v>
      </c>
      <c r="R370" s="229">
        <f t="shared" si="144"/>
        <v>0</v>
      </c>
      <c r="S370" s="229">
        <f t="shared" si="144"/>
        <v>0</v>
      </c>
      <c r="T370" s="229">
        <f t="shared" si="144"/>
        <v>0</v>
      </c>
      <c r="U370" s="229">
        <f t="shared" si="144"/>
        <v>0</v>
      </c>
      <c r="V370" s="229">
        <f t="shared" si="144"/>
        <v>0</v>
      </c>
      <c r="W370" s="229">
        <f t="shared" si="144"/>
        <v>0</v>
      </c>
      <c r="X370" s="229">
        <f t="shared" si="144"/>
        <v>0</v>
      </c>
      <c r="Y370" s="229">
        <f t="shared" si="144"/>
        <v>0</v>
      </c>
      <c r="Z370" s="229">
        <f t="shared" si="144"/>
        <v>0</v>
      </c>
      <c r="AA370" s="229">
        <f t="shared" si="144"/>
        <v>0</v>
      </c>
      <c r="AB370" s="229">
        <f t="shared" si="144"/>
        <v>0</v>
      </c>
      <c r="AC370" s="229">
        <f t="shared" si="144"/>
        <v>0</v>
      </c>
      <c r="AD370" s="229">
        <f t="shared" si="144"/>
        <v>0</v>
      </c>
      <c r="AE370" s="229">
        <f t="shared" si="144"/>
        <v>0</v>
      </c>
      <c r="AF370" s="229">
        <f t="shared" si="144"/>
        <v>0</v>
      </c>
      <c r="AG370" s="229">
        <f t="shared" si="144"/>
        <v>0</v>
      </c>
      <c r="AH370" s="229">
        <f t="shared" si="144"/>
        <v>0</v>
      </c>
    </row>
    <row r="371" spans="1:34" s="20" customFormat="1" ht="14" x14ac:dyDescent="0.2">
      <c r="B371" s="8" t="s">
        <v>139</v>
      </c>
      <c r="D371" s="8" t="str">
        <f>'Assumptions - General'!$E$27 &amp;" millions"</f>
        <v>R$ millions</v>
      </c>
      <c r="E371" s="229">
        <f t="shared" si="141"/>
        <v>2.5</v>
      </c>
      <c r="F371" s="229">
        <f t="shared" si="141"/>
        <v>2.375</v>
      </c>
      <c r="G371" s="229">
        <f t="shared" ref="G371:AH371" si="145">G$367*G363</f>
        <v>2.125</v>
      </c>
      <c r="H371" s="229">
        <f t="shared" si="145"/>
        <v>1.875</v>
      </c>
      <c r="I371" s="229">
        <f t="shared" si="145"/>
        <v>1.625</v>
      </c>
      <c r="J371" s="229">
        <f t="shared" si="145"/>
        <v>1.375</v>
      </c>
      <c r="K371" s="229">
        <f t="shared" si="145"/>
        <v>1.125</v>
      </c>
      <c r="L371" s="229">
        <f t="shared" si="145"/>
        <v>0.875</v>
      </c>
      <c r="M371" s="229">
        <f t="shared" si="145"/>
        <v>0.625</v>
      </c>
      <c r="N371" s="229">
        <f t="shared" si="145"/>
        <v>0.375</v>
      </c>
      <c r="O371" s="229">
        <f t="shared" si="145"/>
        <v>0.125</v>
      </c>
      <c r="P371" s="229">
        <f t="shared" si="145"/>
        <v>0</v>
      </c>
      <c r="Q371" s="229">
        <f t="shared" si="145"/>
        <v>0</v>
      </c>
      <c r="R371" s="229">
        <f t="shared" si="145"/>
        <v>0</v>
      </c>
      <c r="S371" s="229">
        <f t="shared" si="145"/>
        <v>0</v>
      </c>
      <c r="T371" s="229">
        <f t="shared" si="145"/>
        <v>0</v>
      </c>
      <c r="U371" s="229">
        <f t="shared" si="145"/>
        <v>0</v>
      </c>
      <c r="V371" s="229">
        <f t="shared" si="145"/>
        <v>0</v>
      </c>
      <c r="W371" s="229">
        <f t="shared" si="145"/>
        <v>0</v>
      </c>
      <c r="X371" s="229">
        <f t="shared" si="145"/>
        <v>0</v>
      </c>
      <c r="Y371" s="229">
        <f t="shared" si="145"/>
        <v>0</v>
      </c>
      <c r="Z371" s="229">
        <f t="shared" si="145"/>
        <v>0</v>
      </c>
      <c r="AA371" s="229">
        <f t="shared" si="145"/>
        <v>0</v>
      </c>
      <c r="AB371" s="229">
        <f t="shared" si="145"/>
        <v>0</v>
      </c>
      <c r="AC371" s="229">
        <f t="shared" si="145"/>
        <v>0</v>
      </c>
      <c r="AD371" s="229">
        <f t="shared" si="145"/>
        <v>0</v>
      </c>
      <c r="AE371" s="229">
        <f t="shared" si="145"/>
        <v>0</v>
      </c>
      <c r="AF371" s="229">
        <f t="shared" si="145"/>
        <v>0</v>
      </c>
      <c r="AG371" s="229">
        <f t="shared" si="145"/>
        <v>0</v>
      </c>
      <c r="AH371" s="229">
        <f t="shared" si="145"/>
        <v>0</v>
      </c>
    </row>
    <row r="372" spans="1:34" s="20" customFormat="1" ht="14" x14ac:dyDescent="0.2">
      <c r="B372" s="8" t="s">
        <v>140</v>
      </c>
      <c r="D372" s="8" t="str">
        <f>'Assumptions - General'!$E$27 &amp;" millions"</f>
        <v>R$ millions</v>
      </c>
      <c r="E372" s="229">
        <f t="shared" si="141"/>
        <v>2.5</v>
      </c>
      <c r="F372" s="229">
        <f t="shared" si="141"/>
        <v>7.375</v>
      </c>
      <c r="G372" s="229">
        <f t="shared" ref="G372:AH372" si="146">G$367*G364</f>
        <v>7.125</v>
      </c>
      <c r="H372" s="229">
        <f t="shared" si="146"/>
        <v>6.875</v>
      </c>
      <c r="I372" s="229">
        <f t="shared" si="146"/>
        <v>6.625</v>
      </c>
      <c r="J372" s="229">
        <f t="shared" si="146"/>
        <v>6.375</v>
      </c>
      <c r="K372" s="229">
        <f t="shared" si="146"/>
        <v>6.125</v>
      </c>
      <c r="L372" s="229">
        <f t="shared" si="146"/>
        <v>5.875</v>
      </c>
      <c r="M372" s="229">
        <f t="shared" si="146"/>
        <v>5.625</v>
      </c>
      <c r="N372" s="229">
        <f t="shared" si="146"/>
        <v>5.375</v>
      </c>
      <c r="O372" s="229">
        <f t="shared" si="146"/>
        <v>5.125</v>
      </c>
      <c r="P372" s="229">
        <f t="shared" si="146"/>
        <v>0</v>
      </c>
      <c r="Q372" s="229">
        <f t="shared" si="146"/>
        <v>0</v>
      </c>
      <c r="R372" s="229">
        <f t="shared" si="146"/>
        <v>0</v>
      </c>
      <c r="S372" s="229">
        <f t="shared" si="146"/>
        <v>0</v>
      </c>
      <c r="T372" s="229">
        <f t="shared" si="146"/>
        <v>0</v>
      </c>
      <c r="U372" s="229">
        <f t="shared" si="146"/>
        <v>0</v>
      </c>
      <c r="V372" s="229">
        <f t="shared" si="146"/>
        <v>0</v>
      </c>
      <c r="W372" s="229">
        <f t="shared" si="146"/>
        <v>0</v>
      </c>
      <c r="X372" s="229">
        <f t="shared" si="146"/>
        <v>0</v>
      </c>
      <c r="Y372" s="229">
        <f t="shared" si="146"/>
        <v>0</v>
      </c>
      <c r="Z372" s="229">
        <f t="shared" si="146"/>
        <v>0</v>
      </c>
      <c r="AA372" s="229">
        <f t="shared" si="146"/>
        <v>0</v>
      </c>
      <c r="AB372" s="229">
        <f t="shared" si="146"/>
        <v>0</v>
      </c>
      <c r="AC372" s="229">
        <f t="shared" si="146"/>
        <v>0</v>
      </c>
      <c r="AD372" s="229">
        <f t="shared" si="146"/>
        <v>0</v>
      </c>
      <c r="AE372" s="229">
        <f t="shared" si="146"/>
        <v>0</v>
      </c>
      <c r="AF372" s="229">
        <f t="shared" si="146"/>
        <v>0</v>
      </c>
      <c r="AG372" s="229">
        <f t="shared" si="146"/>
        <v>0</v>
      </c>
      <c r="AH372" s="229">
        <f t="shared" si="146"/>
        <v>0</v>
      </c>
    </row>
    <row r="373" spans="1:34" s="20" customFormat="1" ht="14" x14ac:dyDescent="0.2">
      <c r="B373" s="16"/>
      <c r="E373" s="45"/>
      <c r="F373" s="46"/>
      <c r="G373" s="46"/>
      <c r="H373" s="46"/>
      <c r="I373" s="46"/>
      <c r="J373" s="46"/>
      <c r="K373" s="46"/>
      <c r="L373" s="46"/>
      <c r="M373" s="46"/>
      <c r="N373" s="46"/>
    </row>
    <row r="374" spans="1:34" s="20" customFormat="1" ht="14" x14ac:dyDescent="0.2">
      <c r="A374" s="8"/>
      <c r="B374" s="21" t="str">
        <f>"New loan from " &amp; 'Assumptions - Freight'!E484</f>
        <v>New loan from Local bank</v>
      </c>
      <c r="C374" s="8"/>
      <c r="D374" s="8"/>
      <c r="E374" s="8"/>
      <c r="F374" s="8"/>
      <c r="G374" s="8"/>
      <c r="H374" s="8"/>
      <c r="I374" s="8"/>
      <c r="J374" s="8"/>
      <c r="K374" s="8"/>
      <c r="L374" s="8"/>
      <c r="M374" s="8"/>
      <c r="N374" s="8"/>
      <c r="O374" s="8"/>
      <c r="P374" s="8"/>
      <c r="Q374" s="8"/>
      <c r="R374" s="8"/>
      <c r="S374" s="8"/>
      <c r="T374" s="8"/>
      <c r="U374" s="8"/>
      <c r="V374" s="8"/>
      <c r="W374" s="8"/>
      <c r="X374" s="8"/>
      <c r="Y374" s="8"/>
      <c r="Z374" s="8"/>
      <c r="AA374" s="8"/>
      <c r="AB374" s="8"/>
      <c r="AC374" s="8"/>
      <c r="AD374" s="8"/>
      <c r="AE374" s="8"/>
      <c r="AF374" s="8"/>
      <c r="AG374" s="8"/>
      <c r="AH374" s="8"/>
    </row>
    <row r="375" spans="1:34" s="20" customFormat="1" ht="14" x14ac:dyDescent="0.2">
      <c r="A375" s="8"/>
      <c r="B375" s="8" t="s">
        <v>293</v>
      </c>
      <c r="C375" s="8"/>
      <c r="D375" s="8" t="s">
        <v>99</v>
      </c>
      <c r="E375" s="8">
        <f>IF('Assumptions - Freight'!$E$488&lt;&gt;0,IF(E$4&lt;'Assumptions - Freight'!$E$485+'Assumptions - Freight'!$E$495,0,D375+1),0)</f>
        <v>0</v>
      </c>
      <c r="F375" s="8">
        <f>IF('Assumptions - Freight'!$E$488&lt;&gt;0,IF(F$4&lt;'Assumptions - Freight'!$E$485+'Assumptions - Freight'!$E$495,0,E375+1),0)</f>
        <v>0</v>
      </c>
      <c r="G375" s="8">
        <f>IF('Assumptions - Freight'!$E$488&lt;&gt;0,IF(G$4&lt;'Assumptions - Freight'!$E$485+'Assumptions - Freight'!$E$495,0,F375+1),0)</f>
        <v>0</v>
      </c>
      <c r="H375" s="8">
        <f>IF('Assumptions - Freight'!$E$488&lt;&gt;0,IF(H$4&lt;'Assumptions - Freight'!$E$485+'Assumptions - Freight'!$E$495,0,G375+1),0)</f>
        <v>0</v>
      </c>
      <c r="I375" s="8">
        <f>IF('Assumptions - Freight'!$E$488&lt;&gt;0,IF(I$4&lt;'Assumptions - Freight'!$E$485+'Assumptions - Freight'!$E$495,0,H375+1),0)</f>
        <v>0</v>
      </c>
      <c r="J375" s="8">
        <f>IF('Assumptions - Freight'!$E$488&lt;&gt;0,IF(J$4&lt;'Assumptions - Freight'!$E$485+'Assumptions - Freight'!$E$495,0,I375+1),0)</f>
        <v>0</v>
      </c>
      <c r="K375" s="8">
        <f>IF('Assumptions - Freight'!$E$488&lt;&gt;0,IF(K$4&lt;'Assumptions - Freight'!$E$485+'Assumptions - Freight'!$E$495,0,J375+1),0)</f>
        <v>0</v>
      </c>
      <c r="L375" s="8">
        <f>IF('Assumptions - Freight'!$E$488&lt;&gt;0,IF(L$4&lt;'Assumptions - Freight'!$E$485+'Assumptions - Freight'!$E$495,0,K375+1),0)</f>
        <v>1</v>
      </c>
      <c r="M375" s="8">
        <f>IF('Assumptions - Freight'!$E$488&lt;&gt;0,IF(M$4&lt;'Assumptions - Freight'!$E$485+'Assumptions - Freight'!$E$495,0,L375+1),0)</f>
        <v>2</v>
      </c>
      <c r="N375" s="8">
        <f>IF('Assumptions - Freight'!$E$488&lt;&gt;0,IF(N$4&lt;'Assumptions - Freight'!$E$485+'Assumptions - Freight'!$E$495,0,M375+1),0)</f>
        <v>3</v>
      </c>
      <c r="O375" s="8">
        <f>IF('Assumptions - Freight'!$E$488&lt;&gt;0,IF(O$4&lt;'Assumptions - Freight'!$E$485+'Assumptions - Freight'!$E$495,0,N375+1),0)</f>
        <v>4</v>
      </c>
      <c r="P375" s="8">
        <f>IF('Assumptions - Freight'!$E$488&lt;&gt;0,IF(P$4&lt;'Assumptions - Freight'!$E$485+'Assumptions - Freight'!$E$495,0,O375+1),0)</f>
        <v>5</v>
      </c>
      <c r="Q375" s="8">
        <f>IF('Assumptions - Freight'!$E$488&lt;&gt;0,IF(Q$4&lt;'Assumptions - Freight'!$E$485+'Assumptions - Freight'!$E$495,0,P375+1),0)</f>
        <v>6</v>
      </c>
      <c r="R375" s="8">
        <f>IF('Assumptions - Freight'!$E$488&lt;&gt;0,IF(R$4&lt;'Assumptions - Freight'!$E$485+'Assumptions - Freight'!$E$495,0,Q375+1),0)</f>
        <v>7</v>
      </c>
      <c r="S375" s="8">
        <f>IF('Assumptions - Freight'!$E$488&lt;&gt;0,IF(S$4&lt;'Assumptions - Freight'!$E$485+'Assumptions - Freight'!$E$495,0,R375+1),0)</f>
        <v>8</v>
      </c>
      <c r="T375" s="8">
        <f>IF('Assumptions - Freight'!$E$488&lt;&gt;0,IF(T$4&lt;'Assumptions - Freight'!$E$485+'Assumptions - Freight'!$E$495,0,S375+1),0)</f>
        <v>9</v>
      </c>
      <c r="U375" s="8">
        <f>IF('Assumptions - Freight'!$E$488&lt;&gt;0,IF(U$4&lt;'Assumptions - Freight'!$E$485+'Assumptions - Freight'!$E$495,0,T375+1),0)</f>
        <v>10</v>
      </c>
      <c r="V375" s="8">
        <f>IF('Assumptions - Freight'!$E$488&lt;&gt;0,IF(V$4&lt;'Assumptions - Freight'!$E$485+'Assumptions - Freight'!$E$495,0,U375+1),0)</f>
        <v>11</v>
      </c>
      <c r="W375" s="8">
        <f>IF('Assumptions - Freight'!$E$488&lt;&gt;0,IF(W$4&lt;'Assumptions - Freight'!$E$485+'Assumptions - Freight'!$E$495,0,V375+1),0)</f>
        <v>12</v>
      </c>
      <c r="X375" s="8">
        <f>IF('Assumptions - Freight'!$E$488&lt;&gt;0,IF(X$4&lt;'Assumptions - Freight'!$E$485+'Assumptions - Freight'!$E$495,0,W375+1),0)</f>
        <v>13</v>
      </c>
      <c r="Y375" s="8">
        <f>IF('Assumptions - Freight'!$E$488&lt;&gt;0,IF(Y$4&lt;'Assumptions - Freight'!$E$485+'Assumptions - Freight'!$E$495,0,X375+1),0)</f>
        <v>14</v>
      </c>
      <c r="Z375" s="8">
        <f>IF('Assumptions - Freight'!$E$488&lt;&gt;0,IF(Z$4&lt;'Assumptions - Freight'!$E$485+'Assumptions - Freight'!$E$495,0,Y375+1),0)</f>
        <v>15</v>
      </c>
      <c r="AA375" s="8">
        <f>IF('Assumptions - Freight'!$E$488&lt;&gt;0,IF(AA$4&lt;'Assumptions - Freight'!$E$485+'Assumptions - Freight'!$E$495,0,Z375+1),0)</f>
        <v>16</v>
      </c>
      <c r="AB375" s="8">
        <f>IF('Assumptions - Freight'!$E$488&lt;&gt;0,IF(AB$4&lt;'Assumptions - Freight'!$E$485+'Assumptions - Freight'!$E$495,0,AA375+1),0)</f>
        <v>17</v>
      </c>
      <c r="AC375" s="8">
        <f>IF('Assumptions - Freight'!$E$488&lt;&gt;0,IF(AC$4&lt;'Assumptions - Freight'!$E$485+'Assumptions - Freight'!$E$495,0,AB375+1),0)</f>
        <v>18</v>
      </c>
      <c r="AD375" s="8">
        <f>IF('Assumptions - Freight'!$E$488&lt;&gt;0,IF(AD$4&lt;'Assumptions - Freight'!$E$485+'Assumptions - Freight'!$E$495,0,AC375+1),0)</f>
        <v>19</v>
      </c>
      <c r="AE375" s="8">
        <f>IF('Assumptions - Freight'!$E$488&lt;&gt;0,IF(AE$4&lt;'Assumptions - Freight'!$E$485+'Assumptions - Freight'!$E$495,0,AD375+1),0)</f>
        <v>20</v>
      </c>
      <c r="AF375" s="8">
        <f>IF('Assumptions - Freight'!$E$488&lt;&gt;0,IF(AF$4&lt;'Assumptions - Freight'!$E$485+'Assumptions - Freight'!$E$495,0,AE375+1),0)</f>
        <v>21</v>
      </c>
      <c r="AG375" s="8">
        <f>IF('Assumptions - Freight'!$E$488&lt;&gt;0,IF(AG$4&lt;'Assumptions - Freight'!$E$485+'Assumptions - Freight'!$E$495,0,AF375+1),0)</f>
        <v>22</v>
      </c>
      <c r="AH375" s="8">
        <f>IF('Assumptions - Freight'!$E$488&lt;&gt;0,IF(AH$4&lt;'Assumptions - Freight'!$E$485+'Assumptions - Freight'!$E$495,0,AG375+1),0)</f>
        <v>23</v>
      </c>
    </row>
    <row r="376" spans="1:34" s="20" customFormat="1" ht="14" x14ac:dyDescent="0.2">
      <c r="A376" s="8"/>
      <c r="B376" s="8" t="s">
        <v>135</v>
      </c>
      <c r="C376" s="8"/>
      <c r="D376" s="8" t="s">
        <v>15</v>
      </c>
      <c r="E376" s="47">
        <f>IF(E$16=1,IF('Assumptions - Freight'!$E490=1,'Assumptions - Freight'!$E492,'Assumptions - General'!E$38+'Assumptions - Freight'!$E493),0)</f>
        <v>0.05</v>
      </c>
      <c r="F376" s="47">
        <f>IF(F$16=1,IF('Assumptions - Freight'!$E490=1,'Assumptions - Freight'!$E492,'Assumptions - General'!F$38+'Assumptions - Freight'!$E493),0)</f>
        <v>0.05</v>
      </c>
      <c r="G376" s="47">
        <f>IF(G$16=1,IF('Assumptions - Freight'!$E490=1,'Assumptions - Freight'!$E492,'Assumptions - General'!G$38+'Assumptions - Freight'!$E493),0)</f>
        <v>0.05</v>
      </c>
      <c r="H376" s="47">
        <f>IF(H$16=1,IF('Assumptions - Freight'!$E490=1,'Assumptions - Freight'!$E492,'Assumptions - General'!H$38+'Assumptions - Freight'!$E493),0)</f>
        <v>0.05</v>
      </c>
      <c r="I376" s="47">
        <f>IF(I$16=1,IF('Assumptions - Freight'!$E490=1,'Assumptions - Freight'!$E492,'Assumptions - General'!I$38+'Assumptions - Freight'!$E493),0)</f>
        <v>0.05</v>
      </c>
      <c r="J376" s="47">
        <f>IF(J$16=1,IF('Assumptions - Freight'!$E490=1,'Assumptions - Freight'!$E492,'Assumptions - General'!J$38+'Assumptions - Freight'!$E493),0)</f>
        <v>0.05</v>
      </c>
      <c r="K376" s="47">
        <f>IF(K$16=1,IF('Assumptions - Freight'!$E490=1,'Assumptions - Freight'!$E492,'Assumptions - General'!K$38+'Assumptions - Freight'!$E493),0)</f>
        <v>0.05</v>
      </c>
      <c r="L376" s="47">
        <f>IF(L$16=1,IF('Assumptions - Freight'!$E490=1,'Assumptions - Freight'!$E492,'Assumptions - General'!L$38+'Assumptions - Freight'!$E493),0)</f>
        <v>0.05</v>
      </c>
      <c r="M376" s="47">
        <f>IF(M$16=1,IF('Assumptions - Freight'!$E490=1,'Assumptions - Freight'!$E492,'Assumptions - General'!M$38+'Assumptions - Freight'!$E493),0)</f>
        <v>0.05</v>
      </c>
      <c r="N376" s="47">
        <f>IF(N$16=1,IF('Assumptions - Freight'!$E490=1,'Assumptions - Freight'!$E492,'Assumptions - General'!N$38+'Assumptions - Freight'!$E493),0)</f>
        <v>0.05</v>
      </c>
      <c r="O376" s="47">
        <f>IF(O$16=1,IF('Assumptions - Freight'!$E490=1,'Assumptions - Freight'!$E492,'Assumptions - General'!O$38+'Assumptions - Freight'!$E493),0)</f>
        <v>0.05</v>
      </c>
      <c r="P376" s="47">
        <f>IF(P$16=1,IF('Assumptions - Freight'!$E490=1,'Assumptions - Freight'!$E492,'Assumptions - General'!P$38+'Assumptions - Freight'!$E493),0)</f>
        <v>0.05</v>
      </c>
      <c r="Q376" s="47">
        <f>IF(Q$16=1,IF('Assumptions - Freight'!$E490=1,'Assumptions - Freight'!$E492,'Assumptions - General'!Q$38+'Assumptions - Freight'!$E493),0)</f>
        <v>0.05</v>
      </c>
      <c r="R376" s="47">
        <f>IF(R$16=1,IF('Assumptions - Freight'!$E490=1,'Assumptions - Freight'!$E492,'Assumptions - General'!R$38+'Assumptions - Freight'!$E493),0)</f>
        <v>0.05</v>
      </c>
      <c r="S376" s="47">
        <f>IF(S$16=1,IF('Assumptions - Freight'!$E490=1,'Assumptions - Freight'!$E492,'Assumptions - General'!S$38+'Assumptions - Freight'!$E493),0)</f>
        <v>0.05</v>
      </c>
      <c r="T376" s="47">
        <f>IF(T$16=1,IF('Assumptions - Freight'!$E490=1,'Assumptions - Freight'!$E492,'Assumptions - General'!T$38+'Assumptions - Freight'!$E493),0)</f>
        <v>0.05</v>
      </c>
      <c r="U376" s="47">
        <f>IF(U$16=1,IF('Assumptions - Freight'!$E490=1,'Assumptions - Freight'!$E492,'Assumptions - General'!U$38+'Assumptions - Freight'!$E493),0)</f>
        <v>0.05</v>
      </c>
      <c r="V376" s="47">
        <f>IF(V$16=1,IF('Assumptions - Freight'!$E490=1,'Assumptions - Freight'!$E492,'Assumptions - General'!V$38+'Assumptions - Freight'!$E493),0)</f>
        <v>0.05</v>
      </c>
      <c r="W376" s="47">
        <f>IF(W$16=1,IF('Assumptions - Freight'!$E490=1,'Assumptions - Freight'!$E492,'Assumptions - General'!W$38+'Assumptions - Freight'!$E493),0)</f>
        <v>0.05</v>
      </c>
      <c r="X376" s="47">
        <f>IF(X$16=1,IF('Assumptions - Freight'!$E490=1,'Assumptions - Freight'!$E492,'Assumptions - General'!X$38+'Assumptions - Freight'!$E493),0)</f>
        <v>0.05</v>
      </c>
      <c r="Y376" s="47">
        <f>IF(Y$16=1,IF('Assumptions - Freight'!$E490=1,'Assumptions - Freight'!$E492,'Assumptions - General'!Y$38+'Assumptions - Freight'!$E493),0)</f>
        <v>0.05</v>
      </c>
      <c r="Z376" s="47">
        <f>IF(Z$16=1,IF('Assumptions - Freight'!$E490=1,'Assumptions - Freight'!$E492,'Assumptions - General'!Z$38+'Assumptions - Freight'!$E493),0)</f>
        <v>0.05</v>
      </c>
      <c r="AA376" s="47">
        <f>IF(AA$16=1,IF('Assumptions - Freight'!$E490=1,'Assumptions - Freight'!$E492,'Assumptions - General'!AA$38+'Assumptions - Freight'!$E493),0)</f>
        <v>0.05</v>
      </c>
      <c r="AB376" s="47">
        <f>IF(AB$16=1,IF('Assumptions - Freight'!$E490=1,'Assumptions - Freight'!$E492,'Assumptions - General'!AB$38+'Assumptions - Freight'!$E493),0)</f>
        <v>0.05</v>
      </c>
      <c r="AC376" s="47">
        <f>IF(AC$16=1,IF('Assumptions - Freight'!$E490=1,'Assumptions - Freight'!$E492,'Assumptions - General'!AC$38+'Assumptions - Freight'!$E493),0)</f>
        <v>0.05</v>
      </c>
      <c r="AD376" s="47">
        <f>IF(AD$16=1,IF('Assumptions - Freight'!$E490=1,'Assumptions - Freight'!$E492,'Assumptions - General'!AD$38+'Assumptions - Freight'!$E493),0)</f>
        <v>0.05</v>
      </c>
      <c r="AE376" s="47">
        <f>IF(AE$16=1,IF('Assumptions - Freight'!$E490=1,'Assumptions - Freight'!$E492,'Assumptions - General'!AE$38+'Assumptions - Freight'!$E493),0)</f>
        <v>0.05</v>
      </c>
      <c r="AF376" s="47">
        <f>IF(AF$16=1,IF('Assumptions - Freight'!$E490=1,'Assumptions - Freight'!$E492,'Assumptions - General'!AF$38+'Assumptions - Freight'!$E493),0)</f>
        <v>0.05</v>
      </c>
      <c r="AG376" s="47">
        <f>IF(AG$16=1,IF('Assumptions - Freight'!$E490=1,'Assumptions - Freight'!$E492,'Assumptions - General'!AG$38+'Assumptions - Freight'!$E493),0)</f>
        <v>0.05</v>
      </c>
      <c r="AH376" s="47">
        <f>IF(AH$16=1,IF('Assumptions - Freight'!$E490=1,'Assumptions - Freight'!$E492,'Assumptions - General'!AH$38+'Assumptions - Freight'!$E493),0)</f>
        <v>0.05</v>
      </c>
    </row>
    <row r="377" spans="1:34" s="20" customFormat="1" ht="14" x14ac:dyDescent="0.2">
      <c r="A377" s="8"/>
      <c r="B377" s="8" t="s">
        <v>136</v>
      </c>
      <c r="C377" s="8"/>
      <c r="D377" s="8" t="str">
        <f>'Assumptions - Freight'!D488</f>
        <v>USD millions</v>
      </c>
      <c r="E377" s="463">
        <v>0</v>
      </c>
      <c r="F377" s="126">
        <f>E385</f>
        <v>0</v>
      </c>
      <c r="G377" s="126">
        <f t="shared" ref="G377:AH377" si="147">F385</f>
        <v>0</v>
      </c>
      <c r="H377" s="126">
        <f t="shared" si="147"/>
        <v>10</v>
      </c>
      <c r="I377" s="126">
        <f t="shared" si="147"/>
        <v>20</v>
      </c>
      <c r="J377" s="126">
        <f t="shared" si="147"/>
        <v>30</v>
      </c>
      <c r="K377" s="126">
        <f t="shared" si="147"/>
        <v>40</v>
      </c>
      <c r="L377" s="126">
        <f t="shared" si="147"/>
        <v>50</v>
      </c>
      <c r="M377" s="126">
        <f t="shared" si="147"/>
        <v>50</v>
      </c>
      <c r="N377" s="126">
        <f t="shared" si="147"/>
        <v>50</v>
      </c>
      <c r="O377" s="126">
        <f t="shared" si="147"/>
        <v>50</v>
      </c>
      <c r="P377" s="126">
        <f t="shared" si="147"/>
        <v>50</v>
      </c>
      <c r="Q377" s="126">
        <f t="shared" si="147"/>
        <v>50</v>
      </c>
      <c r="R377" s="126">
        <f t="shared" si="147"/>
        <v>50</v>
      </c>
      <c r="S377" s="126">
        <f t="shared" si="147"/>
        <v>50</v>
      </c>
      <c r="T377" s="126">
        <f t="shared" si="147"/>
        <v>50</v>
      </c>
      <c r="U377" s="126">
        <f t="shared" si="147"/>
        <v>50</v>
      </c>
      <c r="V377" s="126">
        <f t="shared" si="147"/>
        <v>0</v>
      </c>
      <c r="W377" s="126">
        <f t="shared" si="147"/>
        <v>0</v>
      </c>
      <c r="X377" s="126">
        <f t="shared" si="147"/>
        <v>0</v>
      </c>
      <c r="Y377" s="126">
        <f t="shared" si="147"/>
        <v>0</v>
      </c>
      <c r="Z377" s="126">
        <f t="shared" si="147"/>
        <v>0</v>
      </c>
      <c r="AA377" s="126">
        <f t="shared" si="147"/>
        <v>0</v>
      </c>
      <c r="AB377" s="126">
        <f t="shared" si="147"/>
        <v>0</v>
      </c>
      <c r="AC377" s="126">
        <f t="shared" si="147"/>
        <v>0</v>
      </c>
      <c r="AD377" s="126">
        <f t="shared" si="147"/>
        <v>0</v>
      </c>
      <c r="AE377" s="126">
        <f t="shared" si="147"/>
        <v>0</v>
      </c>
      <c r="AF377" s="126">
        <f t="shared" si="147"/>
        <v>0</v>
      </c>
      <c r="AG377" s="126">
        <f t="shared" si="147"/>
        <v>0</v>
      </c>
      <c r="AH377" s="126">
        <f t="shared" si="147"/>
        <v>0</v>
      </c>
    </row>
    <row r="378" spans="1:34" s="20" customFormat="1" ht="14" x14ac:dyDescent="0.2">
      <c r="A378" s="8"/>
      <c r="B378" s="8" t="s">
        <v>410</v>
      </c>
      <c r="C378" s="8"/>
      <c r="D378" s="8" t="str">
        <f>D377</f>
        <v>USD millions</v>
      </c>
      <c r="E378" s="126">
        <f>IF(E$16=1,IF('Assumptions - Freight'!$E$488&lt;&gt;0,IF('Assumptions - Freight'!$E$496=1,Calculations!E379,IF('Assumptions - Freight'!$E$496=2,Calculations!E380,IF('Assumptions - Freight'!$E$496=3,IF(E375=('Assumptions - Freight'!$E$494-'Assumptions - Freight'!$E$495),Calculations!D385,Calculations!E381),0))),0),0)</f>
        <v>0</v>
      </c>
      <c r="F378" s="126">
        <f>IF(F$16=1,IF('Assumptions - Freight'!$E$488&lt;&gt;0,IF('Assumptions - Freight'!$E$496=1,Calculations!F379,IF('Assumptions - Freight'!$E$496=2,Calculations!F380,IF('Assumptions - Freight'!$E$496=3,IF(F375=('Assumptions - Freight'!$E$494-'Assumptions - Freight'!$E$495),Calculations!E385,Calculations!F381),0))),0),0)</f>
        <v>0</v>
      </c>
      <c r="G378" s="126">
        <f>IF(G$16=1,IF('Assumptions - Freight'!$E$488&lt;&gt;0,IF('Assumptions - Freight'!$E$496=1,Calculations!G379,IF('Assumptions - Freight'!$E$496=2,Calculations!G380,IF('Assumptions - Freight'!$E$496=3,IF(G375=('Assumptions - Freight'!$E$494-'Assumptions - Freight'!$E$495),Calculations!F385,Calculations!G381),0))),0),0)</f>
        <v>0</v>
      </c>
      <c r="H378" s="126">
        <f>IF(H$16=1,IF('Assumptions - Freight'!$E$488&lt;&gt;0,IF('Assumptions - Freight'!$E$496=1,Calculations!H379,IF('Assumptions - Freight'!$E$496=2,Calculations!H380,IF('Assumptions - Freight'!$E$496=3,IF(H375=('Assumptions - Freight'!$E$494-'Assumptions - Freight'!$E$495),Calculations!G385,Calculations!H381),0))),0),0)</f>
        <v>0</v>
      </c>
      <c r="I378" s="126">
        <f>IF(I$16=1,IF('Assumptions - Freight'!$E$488&lt;&gt;0,IF('Assumptions - Freight'!$E$496=1,Calculations!I379,IF('Assumptions - Freight'!$E$496=2,Calculations!I380,IF('Assumptions - Freight'!$E$496=3,IF(I375=('Assumptions - Freight'!$E$494-'Assumptions - Freight'!$E$495),Calculations!H385,Calculations!I381),0))),0),0)</f>
        <v>0</v>
      </c>
      <c r="J378" s="126">
        <f>IF(J$16=1,IF('Assumptions - Freight'!$E$488&lt;&gt;0,IF('Assumptions - Freight'!$E$496=1,Calculations!J379,IF('Assumptions - Freight'!$E$496=2,Calculations!J380,IF('Assumptions - Freight'!$E$496=3,IF(J375=('Assumptions - Freight'!$E$494-'Assumptions - Freight'!$E$495),Calculations!I385,Calculations!J381),0))),0),0)</f>
        <v>0</v>
      </c>
      <c r="K378" s="126">
        <f>IF(K$16=1,IF('Assumptions - Freight'!$E$488&lt;&gt;0,IF('Assumptions - Freight'!$E$496=1,Calculations!K379,IF('Assumptions - Freight'!$E$496=2,Calculations!K380,IF('Assumptions - Freight'!$E$496=3,IF(K375=('Assumptions - Freight'!$E$494-'Assumptions - Freight'!$E$495),Calculations!J385,Calculations!K381),0))),0),0)</f>
        <v>0</v>
      </c>
      <c r="L378" s="126">
        <f>IF(L$16=1,IF('Assumptions - Freight'!$E$488&lt;&gt;0,IF('Assumptions - Freight'!$E$496=1,Calculations!L379,IF('Assumptions - Freight'!$E$496=2,Calculations!L380,IF('Assumptions - Freight'!$E$496=3,IF(L375=('Assumptions - Freight'!$E$494-'Assumptions - Freight'!$E$495),Calculations!K385,Calculations!L381),0))),0),0)</f>
        <v>0</v>
      </c>
      <c r="M378" s="126">
        <f>IF(M$16=1,IF('Assumptions - Freight'!$E$488&lt;&gt;0,IF('Assumptions - Freight'!$E$496=1,Calculations!M379,IF('Assumptions - Freight'!$E$496=2,Calculations!M380,IF('Assumptions - Freight'!$E$496=3,IF(M375=('Assumptions - Freight'!$E$494-'Assumptions - Freight'!$E$495),Calculations!L385,Calculations!M381),0))),0),0)</f>
        <v>0</v>
      </c>
      <c r="N378" s="126">
        <f>IF(N$16=1,IF('Assumptions - Freight'!$E$488&lt;&gt;0,IF('Assumptions - Freight'!$E$496=1,Calculations!N379,IF('Assumptions - Freight'!$E$496=2,Calculations!N380,IF('Assumptions - Freight'!$E$496=3,IF(N375=('Assumptions - Freight'!$E$494-'Assumptions - Freight'!$E$495),Calculations!M385,Calculations!N381),0))),0),0)</f>
        <v>0</v>
      </c>
      <c r="O378" s="126">
        <f>IF(O$16=1,IF('Assumptions - Freight'!$E$488&lt;&gt;0,IF('Assumptions - Freight'!$E$496=1,Calculations!O379,IF('Assumptions - Freight'!$E$496=2,Calculations!O380,IF('Assumptions - Freight'!$E$496=3,IF(O375=('Assumptions - Freight'!$E$494-'Assumptions - Freight'!$E$495),Calculations!N385,Calculations!O381),0))),0),0)</f>
        <v>0</v>
      </c>
      <c r="P378" s="126">
        <f>IF(P$16=1,IF('Assumptions - Freight'!$E$488&lt;&gt;0,IF('Assumptions - Freight'!$E$496=1,Calculations!P379,IF('Assumptions - Freight'!$E$496=2,Calculations!P380,IF('Assumptions - Freight'!$E$496=3,IF(P375=('Assumptions - Freight'!$E$494-'Assumptions - Freight'!$E$495),Calculations!O385,Calculations!P381),0))),0),0)</f>
        <v>0</v>
      </c>
      <c r="Q378" s="126">
        <f>IF(Q$16=1,IF('Assumptions - Freight'!$E$488&lt;&gt;0,IF('Assumptions - Freight'!$E$496=1,Calculations!Q379,IF('Assumptions - Freight'!$E$496=2,Calculations!Q380,IF('Assumptions - Freight'!$E$496=3,IF(Q375=('Assumptions - Freight'!$E$494-'Assumptions - Freight'!$E$495),Calculations!P385,Calculations!Q381),0))),0),0)</f>
        <v>0</v>
      </c>
      <c r="R378" s="126">
        <f>IF(R$16=1,IF('Assumptions - Freight'!$E$488&lt;&gt;0,IF('Assumptions - Freight'!$E$496=1,Calculations!R379,IF('Assumptions - Freight'!$E$496=2,Calculations!R380,IF('Assumptions - Freight'!$E$496=3,IF(R375=('Assumptions - Freight'!$E$494-'Assumptions - Freight'!$E$495),Calculations!Q385,Calculations!R381),0))),0),0)</f>
        <v>0</v>
      </c>
      <c r="S378" s="126">
        <f>IF(S$16=1,IF('Assumptions - Freight'!$E$488&lt;&gt;0,IF('Assumptions - Freight'!$E$496=1,Calculations!S379,IF('Assumptions - Freight'!$E$496=2,Calculations!S380,IF('Assumptions - Freight'!$E$496=3,IF(S375=('Assumptions - Freight'!$E$494-'Assumptions - Freight'!$E$495),Calculations!R385,Calculations!S381),0))),0),0)</f>
        <v>0</v>
      </c>
      <c r="T378" s="126">
        <f>IF(T$16=1,IF('Assumptions - Freight'!$E$488&lt;&gt;0,IF('Assumptions - Freight'!$E$496=1,Calculations!T379,IF('Assumptions - Freight'!$E$496=2,Calculations!T380,IF('Assumptions - Freight'!$E$496=3,IF(T375=('Assumptions - Freight'!$E$494-'Assumptions - Freight'!$E$495),Calculations!S385,Calculations!T381),0))),0),0)</f>
        <v>0</v>
      </c>
      <c r="U378" s="126">
        <f>IF(U$16=1,IF('Assumptions - Freight'!$E$488&lt;&gt;0,IF('Assumptions - Freight'!$E$496=1,Calculations!U379,IF('Assumptions - Freight'!$E$496=2,Calculations!U380,IF('Assumptions - Freight'!$E$496=3,IF(U375=('Assumptions - Freight'!$E$494-'Assumptions - Freight'!$E$495),Calculations!T385,Calculations!U381),0))),0),0)</f>
        <v>50</v>
      </c>
      <c r="V378" s="126">
        <f>IF(V$16=1,IF('Assumptions - Freight'!$E$488&lt;&gt;0,IF('Assumptions - Freight'!$E$496=1,Calculations!V379,IF('Assumptions - Freight'!$E$496=2,Calculations!V380,IF('Assumptions - Freight'!$E$496=3,IF(V375=('Assumptions - Freight'!$E$494-'Assumptions - Freight'!$E$495),Calculations!U385,Calculations!V381),0))),0),0)</f>
        <v>0</v>
      </c>
      <c r="W378" s="126">
        <f>IF(W$16=1,IF('Assumptions - Freight'!$E$488&lt;&gt;0,IF('Assumptions - Freight'!$E$496=1,Calculations!W379,IF('Assumptions - Freight'!$E$496=2,Calculations!W380,IF('Assumptions - Freight'!$E$496=3,IF(W375=('Assumptions - Freight'!$E$494-'Assumptions - Freight'!$E$495),Calculations!V385,Calculations!W381),0))),0),0)</f>
        <v>0</v>
      </c>
      <c r="X378" s="126">
        <f>IF(X$16=1,IF('Assumptions - Freight'!$E$488&lt;&gt;0,IF('Assumptions - Freight'!$E$496=1,Calculations!X379,IF('Assumptions - Freight'!$E$496=2,Calculations!X380,IF('Assumptions - Freight'!$E$496=3,IF(X375=('Assumptions - Freight'!$E$494-'Assumptions - Freight'!$E$495),Calculations!W385,Calculations!X381),0))),0),0)</f>
        <v>0</v>
      </c>
      <c r="Y378" s="126">
        <f>IF(Y$16=1,IF('Assumptions - Freight'!$E$488&lt;&gt;0,IF('Assumptions - Freight'!$E$496=1,Calculations!Y379,IF('Assumptions - Freight'!$E$496=2,Calculations!Y380,IF('Assumptions - Freight'!$E$496=3,IF(Y375=('Assumptions - Freight'!$E$494-'Assumptions - Freight'!$E$495),Calculations!X385,Calculations!Y381),0))),0),0)</f>
        <v>0</v>
      </c>
      <c r="Z378" s="126">
        <f>IF(Z$16=1,IF('Assumptions - Freight'!$E$488&lt;&gt;0,IF('Assumptions - Freight'!$E$496=1,Calculations!Z379,IF('Assumptions - Freight'!$E$496=2,Calculations!Z380,IF('Assumptions - Freight'!$E$496=3,IF(Z375=('Assumptions - Freight'!$E$494-'Assumptions - Freight'!$E$495),Calculations!Y385,Calculations!Z381),0))),0),0)</f>
        <v>0</v>
      </c>
      <c r="AA378" s="126">
        <f>IF(AA$16=1,IF('Assumptions - Freight'!$E$488&lt;&gt;0,IF('Assumptions - Freight'!$E$496=1,Calculations!AA379,IF('Assumptions - Freight'!$E$496=2,Calculations!AA380,IF('Assumptions - Freight'!$E$496=3,IF(AA375=('Assumptions - Freight'!$E$494-'Assumptions - Freight'!$E$495),Calculations!Z385,Calculations!AA381),0))),0),0)</f>
        <v>0</v>
      </c>
      <c r="AB378" s="126">
        <f>IF(AB$16=1,IF('Assumptions - Freight'!$E$488&lt;&gt;0,IF('Assumptions - Freight'!$E$496=1,Calculations!AB379,IF('Assumptions - Freight'!$E$496=2,Calculations!AB380,IF('Assumptions - Freight'!$E$496=3,IF(AB375=('Assumptions - Freight'!$E$494-'Assumptions - Freight'!$E$495),Calculations!AA385,Calculations!AB381),0))),0),0)</f>
        <v>0</v>
      </c>
      <c r="AC378" s="126">
        <f>IF(AC$16=1,IF('Assumptions - Freight'!$E$488&lt;&gt;0,IF('Assumptions - Freight'!$E$496=1,Calculations!AC379,IF('Assumptions - Freight'!$E$496=2,Calculations!AC380,IF('Assumptions - Freight'!$E$496=3,IF(AC375=('Assumptions - Freight'!$E$494-'Assumptions - Freight'!$E$495),Calculations!AB385,Calculations!AC381),0))),0),0)</f>
        <v>0</v>
      </c>
      <c r="AD378" s="126">
        <f>IF(AD$16=1,IF('Assumptions - Freight'!$E$488&lt;&gt;0,IF('Assumptions - Freight'!$E$496=1,Calculations!AD379,IF('Assumptions - Freight'!$E$496=2,Calculations!AD380,IF('Assumptions - Freight'!$E$496=3,IF(AD375=('Assumptions - Freight'!$E$494-'Assumptions - Freight'!$E$495),Calculations!AC385,Calculations!AD381),0))),0),0)</f>
        <v>0</v>
      </c>
      <c r="AE378" s="126">
        <f>IF(AE$16=1,IF('Assumptions - Freight'!$E$488&lt;&gt;0,IF('Assumptions - Freight'!$E$496=1,Calculations!AE379,IF('Assumptions - Freight'!$E$496=2,Calculations!AE380,IF('Assumptions - Freight'!$E$496=3,IF(AE375=('Assumptions - Freight'!$E$494-'Assumptions - Freight'!$E$495),Calculations!AD385,Calculations!AE381),0))),0),0)</f>
        <v>0</v>
      </c>
      <c r="AF378" s="126">
        <f>IF(AF$16=1,IF('Assumptions - Freight'!$E$488&lt;&gt;0,IF('Assumptions - Freight'!$E$496=1,Calculations!AF379,IF('Assumptions - Freight'!$E$496=2,Calculations!AF380,IF('Assumptions - Freight'!$E$496=3,IF(AF375=('Assumptions - Freight'!$E$494-'Assumptions - Freight'!$E$495),Calculations!AE385,Calculations!AF381),0))),0),0)</f>
        <v>0</v>
      </c>
      <c r="AG378" s="126">
        <f>IF(AG$16=1,IF('Assumptions - Freight'!$E$488&lt;&gt;0,IF('Assumptions - Freight'!$E$496=1,Calculations!AG379,IF('Assumptions - Freight'!$E$496=2,Calculations!AG380,IF('Assumptions - Freight'!$E$496=3,IF(AG375=('Assumptions - Freight'!$E$494-'Assumptions - Freight'!$E$495),Calculations!AF385,Calculations!AG381),0))),0),0)</f>
        <v>0</v>
      </c>
      <c r="AH378" s="126">
        <f>IF(AH$16=1,IF('Assumptions - Freight'!$E$488&lt;&gt;0,IF('Assumptions - Freight'!$E$496=1,Calculations!AH379,IF('Assumptions - Freight'!$E$496=2,Calculations!AH380,IF('Assumptions - Freight'!$E$496=3,IF(AH375=('Assumptions - Freight'!$E$494-'Assumptions - Freight'!$E$495),Calculations!AG385,Calculations!AH381),0))),0),0)</f>
        <v>0</v>
      </c>
    </row>
    <row r="379" spans="1:34" s="20" customFormat="1" ht="14" x14ac:dyDescent="0.2">
      <c r="A379" s="8"/>
      <c r="B379" s="125" t="s">
        <v>295</v>
      </c>
      <c r="C379" s="8"/>
      <c r="D379" s="8" t="str">
        <f t="shared" ref="D379:D387" si="148">D378</f>
        <v>USD millions</v>
      </c>
      <c r="E379" s="126">
        <f>IF('Assumptions - Freight'!$E$488&lt;&gt;0,IF(AND('Assumptions - Freight'!$E$496=1,E$375=('Assumptions - Freight'!$E$494-'Assumptions - Freight'!$E$495)),'Assumptions - Freight'!$E$488,0),0)</f>
        <v>0</v>
      </c>
      <c r="F379" s="126">
        <f>IF('Assumptions - Freight'!$E$488&lt;&gt;0,IF(AND('Assumptions - Freight'!$E$496=1,F$375=('Assumptions - Freight'!$E$494-'Assumptions - Freight'!$E$495)),'Assumptions - Freight'!$E$488,0),0)</f>
        <v>0</v>
      </c>
      <c r="G379" s="126">
        <f>IF('Assumptions - Freight'!$E$488&lt;&gt;0,IF(AND('Assumptions - Freight'!$E$496=1,G$375=('Assumptions - Freight'!$E$494-'Assumptions - Freight'!$E$495)),'Assumptions - Freight'!$E$488,0),0)</f>
        <v>0</v>
      </c>
      <c r="H379" s="126">
        <f>IF('Assumptions - Freight'!$E$488&lt;&gt;0,IF(AND('Assumptions - Freight'!$E$496=1,H$375=('Assumptions - Freight'!$E$494-'Assumptions - Freight'!$E$495)),'Assumptions - Freight'!$E$488,0),0)</f>
        <v>0</v>
      </c>
      <c r="I379" s="126">
        <f>IF('Assumptions - Freight'!$E$488&lt;&gt;0,IF(AND('Assumptions - Freight'!$E$496=1,I$375=('Assumptions - Freight'!$E$494-'Assumptions - Freight'!$E$495)),'Assumptions - Freight'!$E$488,0),0)</f>
        <v>0</v>
      </c>
      <c r="J379" s="126">
        <f>IF('Assumptions - Freight'!$E$488&lt;&gt;0,IF(AND('Assumptions - Freight'!$E$496=1,J$375=('Assumptions - Freight'!$E$494-'Assumptions - Freight'!$E$495)),'Assumptions - Freight'!$E$488,0),0)</f>
        <v>0</v>
      </c>
      <c r="K379" s="126">
        <f>IF('Assumptions - Freight'!$E$488&lt;&gt;0,IF(AND('Assumptions - Freight'!$E$496=1,K$375=('Assumptions - Freight'!$E$494-'Assumptions - Freight'!$E$495)),'Assumptions - Freight'!$E$488,0),0)</f>
        <v>0</v>
      </c>
      <c r="L379" s="126">
        <f>IF('Assumptions - Freight'!$E$488&lt;&gt;0,IF(AND('Assumptions - Freight'!$E$496=1,L$375=('Assumptions - Freight'!$E$494-'Assumptions - Freight'!$E$495)),'Assumptions - Freight'!$E$488,0),0)</f>
        <v>0</v>
      </c>
      <c r="M379" s="126">
        <f>IF('Assumptions - Freight'!$E$488&lt;&gt;0,IF(AND('Assumptions - Freight'!$E$496=1,M$375=('Assumptions - Freight'!$E$494-'Assumptions - Freight'!$E$495)),'Assumptions - Freight'!$E$488,0),0)</f>
        <v>0</v>
      </c>
      <c r="N379" s="126">
        <f>IF('Assumptions - Freight'!$E$488&lt;&gt;0,IF(AND('Assumptions - Freight'!$E$496=1,N$375=('Assumptions - Freight'!$E$494-'Assumptions - Freight'!$E$495)),'Assumptions - Freight'!$E$488,0),0)</f>
        <v>0</v>
      </c>
      <c r="O379" s="126">
        <f>IF('Assumptions - Freight'!$E$488&lt;&gt;0,IF(AND('Assumptions - Freight'!$E$496=1,O$375=('Assumptions - Freight'!$E$494-'Assumptions - Freight'!$E$495)),'Assumptions - Freight'!$E$488,0),0)</f>
        <v>0</v>
      </c>
      <c r="P379" s="126">
        <f>IF('Assumptions - Freight'!$E$488&lt;&gt;0,IF(AND('Assumptions - Freight'!$E$496=1,P$375=('Assumptions - Freight'!$E$494-'Assumptions - Freight'!$E$495)),'Assumptions - Freight'!$E$488,0),0)</f>
        <v>0</v>
      </c>
      <c r="Q379" s="126">
        <f>IF('Assumptions - Freight'!$E$488&lt;&gt;0,IF(AND('Assumptions - Freight'!$E$496=1,Q$375=('Assumptions - Freight'!$E$494-'Assumptions - Freight'!$E$495)),'Assumptions - Freight'!$E$488,0),0)</f>
        <v>0</v>
      </c>
      <c r="R379" s="126">
        <f>IF('Assumptions - Freight'!$E$488&lt;&gt;0,IF(AND('Assumptions - Freight'!$E$496=1,R$375=('Assumptions - Freight'!$E$494-'Assumptions - Freight'!$E$495)),'Assumptions - Freight'!$E$488,0),0)</f>
        <v>0</v>
      </c>
      <c r="S379" s="126">
        <f>IF('Assumptions - Freight'!$E$488&lt;&gt;0,IF(AND('Assumptions - Freight'!$E$496=1,S$375=('Assumptions - Freight'!$E$494-'Assumptions - Freight'!$E$495)),'Assumptions - Freight'!$E$488,0),0)</f>
        <v>0</v>
      </c>
      <c r="T379" s="126">
        <f>IF('Assumptions - Freight'!$E$488&lt;&gt;0,IF(AND('Assumptions - Freight'!$E$496=1,T$375=('Assumptions - Freight'!$E$494-'Assumptions - Freight'!$E$495)),'Assumptions - Freight'!$E$488,0),0)</f>
        <v>0</v>
      </c>
      <c r="U379" s="126">
        <f>IF('Assumptions - Freight'!$E$488&lt;&gt;0,IF(AND('Assumptions - Freight'!$E$496=1,U$375=('Assumptions - Freight'!$E$494-'Assumptions - Freight'!$E$495)),'Assumptions - Freight'!$E$488,0),0)</f>
        <v>50</v>
      </c>
      <c r="V379" s="126">
        <f>IF('Assumptions - Freight'!$E$488&lt;&gt;0,IF(AND('Assumptions - Freight'!$E$496=1,V$375=('Assumptions - Freight'!$E$494-'Assumptions - Freight'!$E$495)),'Assumptions - Freight'!$E$488,0),0)</f>
        <v>0</v>
      </c>
      <c r="W379" s="126">
        <f>IF('Assumptions - Freight'!$E$488&lt;&gt;0,IF(AND('Assumptions - Freight'!$E$496=1,W$375=('Assumptions - Freight'!$E$494-'Assumptions - Freight'!$E$495)),'Assumptions - Freight'!$E$488,0),0)</f>
        <v>0</v>
      </c>
      <c r="X379" s="126">
        <f>IF('Assumptions - Freight'!$E$488&lt;&gt;0,IF(AND('Assumptions - Freight'!$E$496=1,X$375=('Assumptions - Freight'!$E$494-'Assumptions - Freight'!$E$495)),'Assumptions - Freight'!$E$488,0),0)</f>
        <v>0</v>
      </c>
      <c r="Y379" s="126">
        <f>IF('Assumptions - Freight'!$E$488&lt;&gt;0,IF(AND('Assumptions - Freight'!$E$496=1,Y$375=('Assumptions - Freight'!$E$494-'Assumptions - Freight'!$E$495)),'Assumptions - Freight'!$E$488,0),0)</f>
        <v>0</v>
      </c>
      <c r="Z379" s="126">
        <f>IF('Assumptions - Freight'!$E$488&lt;&gt;0,IF(AND('Assumptions - Freight'!$E$496=1,Z$375=('Assumptions - Freight'!$E$494-'Assumptions - Freight'!$E$495)),'Assumptions - Freight'!$E$488,0),0)</f>
        <v>0</v>
      </c>
      <c r="AA379" s="126">
        <f>IF('Assumptions - Freight'!$E$488&lt;&gt;0,IF(AND('Assumptions - Freight'!$E$496=1,AA$375=('Assumptions - Freight'!$E$494-'Assumptions - Freight'!$E$495)),'Assumptions - Freight'!$E$488,0),0)</f>
        <v>0</v>
      </c>
      <c r="AB379" s="126">
        <f>IF('Assumptions - Freight'!$E$488&lt;&gt;0,IF(AND('Assumptions - Freight'!$E$496=1,AB$375=('Assumptions - Freight'!$E$494-'Assumptions - Freight'!$E$495)),'Assumptions - Freight'!$E$488,0),0)</f>
        <v>0</v>
      </c>
      <c r="AC379" s="126">
        <f>IF('Assumptions - Freight'!$E$488&lt;&gt;0,IF(AND('Assumptions - Freight'!$E$496=1,AC$375=('Assumptions - Freight'!$E$494-'Assumptions - Freight'!$E$495)),'Assumptions - Freight'!$E$488,0),0)</f>
        <v>0</v>
      </c>
      <c r="AD379" s="126">
        <f>IF('Assumptions - Freight'!$E$488&lt;&gt;0,IF(AND('Assumptions - Freight'!$E$496=1,AD$375=('Assumptions - Freight'!$E$494-'Assumptions - Freight'!$E$495)),'Assumptions - Freight'!$E$488,0),0)</f>
        <v>0</v>
      </c>
      <c r="AE379" s="126">
        <f>IF('Assumptions - Freight'!$E$488&lt;&gt;0,IF(AND('Assumptions - Freight'!$E$496=1,AE$375=('Assumptions - Freight'!$E$494-'Assumptions - Freight'!$E$495)),'Assumptions - Freight'!$E$488,0),0)</f>
        <v>0</v>
      </c>
      <c r="AF379" s="126">
        <f>IF('Assumptions - Freight'!$E$488&lt;&gt;0,IF(AND('Assumptions - Freight'!$E$496=1,AF$375=('Assumptions - Freight'!$E$494-'Assumptions - Freight'!$E$495)),'Assumptions - Freight'!$E$488,0),0)</f>
        <v>0</v>
      </c>
      <c r="AG379" s="126">
        <f>IF('Assumptions - Freight'!$E$488&lt;&gt;0,IF(AND('Assumptions - Freight'!$E$496=1,AG$375=('Assumptions - Freight'!$E$494-'Assumptions - Freight'!$E$495)),'Assumptions - Freight'!$E$488,0),0)</f>
        <v>0</v>
      </c>
      <c r="AH379" s="126">
        <f>IF('Assumptions - Freight'!$E$488&lt;&gt;0,IF(AND('Assumptions - Freight'!$E$496=1,AH$375=('Assumptions - Freight'!$E$494-'Assumptions - Freight'!$E$495)),'Assumptions - Freight'!$E$488,0),0)</f>
        <v>0</v>
      </c>
    </row>
    <row r="380" spans="1:34" s="20" customFormat="1" ht="14" x14ac:dyDescent="0.2">
      <c r="A380" s="8"/>
      <c r="B380" s="125" t="s">
        <v>294</v>
      </c>
      <c r="C380" s="8"/>
      <c r="D380" s="8" t="str">
        <f t="shared" si="148"/>
        <v>USD millions</v>
      </c>
      <c r="E380" s="126">
        <f>IF('Assumptions - Freight'!$E$488&lt;&gt;0,IF(AND('Assumptions - Freight'!$E$496=2,Calculations!E$375&gt;0,Calculations!E$375&lt;=('Assumptions - Freight'!$E$494-'Assumptions - Freight'!$E$495)),'Assumptions - Freight'!$E$488/('Assumptions - Freight'!$E$494-'Assumptions - Freight'!$E$495),0),0)</f>
        <v>0</v>
      </c>
      <c r="F380" s="126">
        <f>IF('Assumptions - Freight'!$E$488&lt;&gt;0,IF(AND('Assumptions - Freight'!$E$496=2,Calculations!F$375&gt;0,Calculations!F$375&lt;=('Assumptions - Freight'!$E$494-'Assumptions - Freight'!$E$495)),'Assumptions - Freight'!$E$488/('Assumptions - Freight'!$E$494-'Assumptions - Freight'!$E$495),0),0)</f>
        <v>0</v>
      </c>
      <c r="G380" s="126">
        <f>IF('Assumptions - Freight'!$E$488&lt;&gt;0,IF(AND('Assumptions - Freight'!$E$496=2,Calculations!G$375&gt;0,Calculations!G$375&lt;=('Assumptions - Freight'!$E$494-'Assumptions - Freight'!$E$495)),'Assumptions - Freight'!$E$488/('Assumptions - Freight'!$E$494-'Assumptions - Freight'!$E$495),0),0)</f>
        <v>0</v>
      </c>
      <c r="H380" s="126">
        <f>IF('Assumptions - Freight'!$E$488&lt;&gt;0,IF(AND('Assumptions - Freight'!$E$496=2,Calculations!H$375&gt;0,Calculations!H$375&lt;=('Assumptions - Freight'!$E$494-'Assumptions - Freight'!$E$495)),'Assumptions - Freight'!$E$488/('Assumptions - Freight'!$E$494-'Assumptions - Freight'!$E$495),0),0)</f>
        <v>0</v>
      </c>
      <c r="I380" s="126">
        <f>IF('Assumptions - Freight'!$E$488&lt;&gt;0,IF(AND('Assumptions - Freight'!$E$496=2,Calculations!I$375&gt;0,Calculations!I$375&lt;=('Assumptions - Freight'!$E$494-'Assumptions - Freight'!$E$495)),'Assumptions - Freight'!$E$488/('Assumptions - Freight'!$E$494-'Assumptions - Freight'!$E$495),0),0)</f>
        <v>0</v>
      </c>
      <c r="J380" s="126">
        <f>IF('Assumptions - Freight'!$E$488&lt;&gt;0,IF(AND('Assumptions - Freight'!$E$496=2,Calculations!J$375&gt;0,Calculations!J$375&lt;=('Assumptions - Freight'!$E$494-'Assumptions - Freight'!$E$495)),'Assumptions - Freight'!$E$488/('Assumptions - Freight'!$E$494-'Assumptions - Freight'!$E$495),0),0)</f>
        <v>0</v>
      </c>
      <c r="K380" s="126">
        <f>IF('Assumptions - Freight'!$E$488&lt;&gt;0,IF(AND('Assumptions - Freight'!$E$496=2,Calculations!K$375&gt;0,Calculations!K$375&lt;=('Assumptions - Freight'!$E$494-'Assumptions - Freight'!$E$495)),'Assumptions - Freight'!$E$488/('Assumptions - Freight'!$E$494-'Assumptions - Freight'!$E$495),0),0)</f>
        <v>0</v>
      </c>
      <c r="L380" s="126">
        <f>IF('Assumptions - Freight'!$E$488&lt;&gt;0,IF(AND('Assumptions - Freight'!$E$496=2,Calculations!L$375&gt;0,Calculations!L$375&lt;=('Assumptions - Freight'!$E$494-'Assumptions - Freight'!$E$495)),'Assumptions - Freight'!$E$488/('Assumptions - Freight'!$E$494-'Assumptions - Freight'!$E$495),0),0)</f>
        <v>0</v>
      </c>
      <c r="M380" s="126">
        <f>IF('Assumptions - Freight'!$E$488&lt;&gt;0,IF(AND('Assumptions - Freight'!$E$496=2,Calculations!M$375&gt;0,Calculations!M$375&lt;=('Assumptions - Freight'!$E$494-'Assumptions - Freight'!$E$495)),'Assumptions - Freight'!$E$488/('Assumptions - Freight'!$E$494-'Assumptions - Freight'!$E$495),0),0)</f>
        <v>0</v>
      </c>
      <c r="N380" s="126">
        <f>IF('Assumptions - Freight'!$E$488&lt;&gt;0,IF(AND('Assumptions - Freight'!$E$496=2,Calculations!N$375&gt;0,Calculations!N$375&lt;=('Assumptions - Freight'!$E$494-'Assumptions - Freight'!$E$495)),'Assumptions - Freight'!$E$488/('Assumptions - Freight'!$E$494-'Assumptions - Freight'!$E$495),0),0)</f>
        <v>0</v>
      </c>
      <c r="O380" s="126">
        <f>IF('Assumptions - Freight'!$E$488&lt;&gt;0,IF(AND('Assumptions - Freight'!$E$496=2,Calculations!O$375&gt;0,Calculations!O$375&lt;=('Assumptions - Freight'!$E$494-'Assumptions - Freight'!$E$495)),'Assumptions - Freight'!$E$488/('Assumptions - Freight'!$E$494-'Assumptions - Freight'!$E$495),0),0)</f>
        <v>0</v>
      </c>
      <c r="P380" s="126">
        <f>IF('Assumptions - Freight'!$E$488&lt;&gt;0,IF(AND('Assumptions - Freight'!$E$496=2,Calculations!P$375&gt;0,Calculations!P$375&lt;=('Assumptions - Freight'!$E$494-'Assumptions - Freight'!$E$495)),'Assumptions - Freight'!$E$488/('Assumptions - Freight'!$E$494-'Assumptions - Freight'!$E$495),0),0)</f>
        <v>0</v>
      </c>
      <c r="Q380" s="126">
        <f>IF('Assumptions - Freight'!$E$488&lt;&gt;0,IF(AND('Assumptions - Freight'!$E$496=2,Calculations!Q$375&gt;0,Calculations!Q$375&lt;=('Assumptions - Freight'!$E$494-'Assumptions - Freight'!$E$495)),'Assumptions - Freight'!$E$488/('Assumptions - Freight'!$E$494-'Assumptions - Freight'!$E$495),0),0)</f>
        <v>0</v>
      </c>
      <c r="R380" s="126">
        <f>IF('Assumptions - Freight'!$E$488&lt;&gt;0,IF(AND('Assumptions - Freight'!$E$496=2,Calculations!R$375&gt;0,Calculations!R$375&lt;=('Assumptions - Freight'!$E$494-'Assumptions - Freight'!$E$495)),'Assumptions - Freight'!$E$488/('Assumptions - Freight'!$E$494-'Assumptions - Freight'!$E$495),0),0)</f>
        <v>0</v>
      </c>
      <c r="S380" s="126">
        <f>IF('Assumptions - Freight'!$E$488&lt;&gt;0,IF(AND('Assumptions - Freight'!$E$496=2,Calculations!S$375&gt;0,Calculations!S$375&lt;=('Assumptions - Freight'!$E$494-'Assumptions - Freight'!$E$495)),'Assumptions - Freight'!$E$488/('Assumptions - Freight'!$E$494-'Assumptions - Freight'!$E$495),0),0)</f>
        <v>0</v>
      </c>
      <c r="T380" s="126">
        <f>IF('Assumptions - Freight'!$E$488&lt;&gt;0,IF(AND('Assumptions - Freight'!$E$496=2,Calculations!T$375&gt;0,Calculations!T$375&lt;=('Assumptions - Freight'!$E$494-'Assumptions - Freight'!$E$495)),'Assumptions - Freight'!$E$488/('Assumptions - Freight'!$E$494-'Assumptions - Freight'!$E$495),0),0)</f>
        <v>0</v>
      </c>
      <c r="U380" s="126">
        <f>IF('Assumptions - Freight'!$E$488&lt;&gt;0,IF(AND('Assumptions - Freight'!$E$496=2,Calculations!U$375&gt;0,Calculations!U$375&lt;=('Assumptions - Freight'!$E$494-'Assumptions - Freight'!$E$495)),'Assumptions - Freight'!$E$488/('Assumptions - Freight'!$E$494-'Assumptions - Freight'!$E$495),0),0)</f>
        <v>0</v>
      </c>
      <c r="V380" s="126">
        <f>IF('Assumptions - Freight'!$E$488&lt;&gt;0,IF(AND('Assumptions - Freight'!$E$496=2,Calculations!V$375&gt;0,Calculations!V$375&lt;=('Assumptions - Freight'!$E$494-'Assumptions - Freight'!$E$495)),'Assumptions - Freight'!$E$488/('Assumptions - Freight'!$E$494-'Assumptions - Freight'!$E$495),0),0)</f>
        <v>0</v>
      </c>
      <c r="W380" s="126">
        <f>IF('Assumptions - Freight'!$E$488&lt;&gt;0,IF(AND('Assumptions - Freight'!$E$496=2,Calculations!W$375&gt;0,Calculations!W$375&lt;=('Assumptions - Freight'!$E$494-'Assumptions - Freight'!$E$495)),'Assumptions - Freight'!$E$488/('Assumptions - Freight'!$E$494-'Assumptions - Freight'!$E$495),0),0)</f>
        <v>0</v>
      </c>
      <c r="X380" s="126">
        <f>IF('Assumptions - Freight'!$E$488&lt;&gt;0,IF(AND('Assumptions - Freight'!$E$496=2,Calculations!X$375&gt;0,Calculations!X$375&lt;=('Assumptions - Freight'!$E$494-'Assumptions - Freight'!$E$495)),'Assumptions - Freight'!$E$488/('Assumptions - Freight'!$E$494-'Assumptions - Freight'!$E$495),0),0)</f>
        <v>0</v>
      </c>
      <c r="Y380" s="126">
        <f>IF('Assumptions - Freight'!$E$488&lt;&gt;0,IF(AND('Assumptions - Freight'!$E$496=2,Calculations!Y$375&gt;0,Calculations!Y$375&lt;=('Assumptions - Freight'!$E$494-'Assumptions - Freight'!$E$495)),'Assumptions - Freight'!$E$488/('Assumptions - Freight'!$E$494-'Assumptions - Freight'!$E$495),0),0)</f>
        <v>0</v>
      </c>
      <c r="Z380" s="126">
        <f>IF('Assumptions - Freight'!$E$488&lt;&gt;0,IF(AND('Assumptions - Freight'!$E$496=2,Calculations!Z$375&gt;0,Calculations!Z$375&lt;=('Assumptions - Freight'!$E$494-'Assumptions - Freight'!$E$495)),'Assumptions - Freight'!$E$488/('Assumptions - Freight'!$E$494-'Assumptions - Freight'!$E$495),0),0)</f>
        <v>0</v>
      </c>
      <c r="AA380" s="126">
        <f>IF('Assumptions - Freight'!$E$488&lt;&gt;0,IF(AND('Assumptions - Freight'!$E$496=2,Calculations!AA$375&gt;0,Calculations!AA$375&lt;=('Assumptions - Freight'!$E$494-'Assumptions - Freight'!$E$495)),'Assumptions - Freight'!$E$488/('Assumptions - Freight'!$E$494-'Assumptions - Freight'!$E$495),0),0)</f>
        <v>0</v>
      </c>
      <c r="AB380" s="126">
        <f>IF('Assumptions - Freight'!$E$488&lt;&gt;0,IF(AND('Assumptions - Freight'!$E$496=2,Calculations!AB$375&gt;0,Calculations!AB$375&lt;=('Assumptions - Freight'!$E$494-'Assumptions - Freight'!$E$495)),'Assumptions - Freight'!$E$488/('Assumptions - Freight'!$E$494-'Assumptions - Freight'!$E$495),0),0)</f>
        <v>0</v>
      </c>
      <c r="AC380" s="126">
        <f>IF('Assumptions - Freight'!$E$488&lt;&gt;0,IF(AND('Assumptions - Freight'!$E$496=2,Calculations!AC$375&gt;0,Calculations!AC$375&lt;=('Assumptions - Freight'!$E$494-'Assumptions - Freight'!$E$495)),'Assumptions - Freight'!$E$488/('Assumptions - Freight'!$E$494-'Assumptions - Freight'!$E$495),0),0)</f>
        <v>0</v>
      </c>
      <c r="AD380" s="126">
        <f>IF('Assumptions - Freight'!$E$488&lt;&gt;0,IF(AND('Assumptions - Freight'!$E$496=2,Calculations!AD$375&gt;0,Calculations!AD$375&lt;=('Assumptions - Freight'!$E$494-'Assumptions - Freight'!$E$495)),'Assumptions - Freight'!$E$488/('Assumptions - Freight'!$E$494-'Assumptions - Freight'!$E$495),0),0)</f>
        <v>0</v>
      </c>
      <c r="AE380" s="126">
        <f>IF('Assumptions - Freight'!$E$488&lt;&gt;0,IF(AND('Assumptions - Freight'!$E$496=2,Calculations!AE$375&gt;0,Calculations!AE$375&lt;=('Assumptions - Freight'!$E$494-'Assumptions - Freight'!$E$495)),'Assumptions - Freight'!$E$488/('Assumptions - Freight'!$E$494-'Assumptions - Freight'!$E$495),0),0)</f>
        <v>0</v>
      </c>
      <c r="AF380" s="126">
        <f>IF('Assumptions - Freight'!$E$488&lt;&gt;0,IF(AND('Assumptions - Freight'!$E$496=2,Calculations!AF$375&gt;0,Calculations!AF$375&lt;=('Assumptions - Freight'!$E$494-'Assumptions - Freight'!$E$495)),'Assumptions - Freight'!$E$488/('Assumptions - Freight'!$E$494-'Assumptions - Freight'!$E$495),0),0)</f>
        <v>0</v>
      </c>
      <c r="AG380" s="126">
        <f>IF('Assumptions - Freight'!$E$488&lt;&gt;0,IF(AND('Assumptions - Freight'!$E$496=2,Calculations!AG$375&gt;0,Calculations!AG$375&lt;=('Assumptions - Freight'!$E$494-'Assumptions - Freight'!$E$495)),'Assumptions - Freight'!$E$488/('Assumptions - Freight'!$E$494-'Assumptions - Freight'!$E$495),0),0)</f>
        <v>0</v>
      </c>
      <c r="AH380" s="126">
        <f>IF('Assumptions - Freight'!$E$488&lt;&gt;0,IF(AND('Assumptions - Freight'!$E$496=2,Calculations!AH$375&gt;0,Calculations!AH$375&lt;=('Assumptions - Freight'!$E$494-'Assumptions - Freight'!$E$495)),'Assumptions - Freight'!$E$488/('Assumptions - Freight'!$E$494-'Assumptions - Freight'!$E$495),0),0)</f>
        <v>0</v>
      </c>
    </row>
    <row r="381" spans="1:34" s="20" customFormat="1" ht="14" x14ac:dyDescent="0.2">
      <c r="A381" s="8"/>
      <c r="B381" s="125" t="s">
        <v>678</v>
      </c>
      <c r="C381" s="8"/>
      <c r="D381" s="8" t="str">
        <f t="shared" si="148"/>
        <v>USD millions</v>
      </c>
      <c r="E381" s="126">
        <f>IF('Assumptions - Freight'!$E$488&lt;&gt;0,IF(AND('Assumptions - Freight'!$E496=3,E375&gt;0,E375&lt;=('Assumptions - Freight'!$E$494-'Assumptions - Freight'!$E$495)),E377*D382/SUM(E382:$AH382)-E383,0),0)</f>
        <v>0</v>
      </c>
      <c r="F381" s="126">
        <f>IF('Assumptions - Freight'!$E$488&lt;&gt;0,IF(AND('Assumptions - Freight'!$E496=3,F375&gt;0,F375&lt;=('Assumptions - Freight'!$E$494-'Assumptions - Freight'!$E$495)),F377*E382/SUM(F382:$AH382)-F383,0),0)</f>
        <v>0</v>
      </c>
      <c r="G381" s="126">
        <f>IF('Assumptions - Freight'!$E$488&lt;&gt;0,IF(AND('Assumptions - Freight'!$E496=3,G375&gt;0,G375&lt;=('Assumptions - Freight'!$E$494-'Assumptions - Freight'!$E$495)),G377*F382/SUM(G382:$AH382)-G383,0),0)</f>
        <v>0</v>
      </c>
      <c r="H381" s="126">
        <f>IF('Assumptions - Freight'!$E$488&lt;&gt;0,IF(AND('Assumptions - Freight'!$E496=3,H375&gt;0,H375&lt;=('Assumptions - Freight'!$E$494-'Assumptions - Freight'!$E$495)),H377*G382/SUM(H382:$AH382)-H383,0),0)</f>
        <v>0</v>
      </c>
      <c r="I381" s="126">
        <f>IF('Assumptions - Freight'!$E$488&lt;&gt;0,IF(AND('Assumptions - Freight'!$E496=3,I375&gt;0,I375&lt;=('Assumptions - Freight'!$E$494-'Assumptions - Freight'!$E$495)),I377*H382/SUM(I382:$AH382)-I383,0),0)</f>
        <v>0</v>
      </c>
      <c r="J381" s="126">
        <f>IF('Assumptions - Freight'!$E$488&lt;&gt;0,IF(AND('Assumptions - Freight'!$E496=3,J375&gt;0,J375&lt;=('Assumptions - Freight'!$E$494-'Assumptions - Freight'!$E$495)),J377*I382/SUM(J382:$AH382)-J383,0),0)</f>
        <v>0</v>
      </c>
      <c r="K381" s="126">
        <f>IF('Assumptions - Freight'!$E$488&lt;&gt;0,IF(AND('Assumptions - Freight'!$E496=3,K375&gt;0,K375&lt;=('Assumptions - Freight'!$E$494-'Assumptions - Freight'!$E$495)),K377*J382/SUM(K382:$AH382)-K383,0),0)</f>
        <v>0</v>
      </c>
      <c r="L381" s="126">
        <f>IF('Assumptions - Freight'!$E$488&lt;&gt;0,IF(AND('Assumptions - Freight'!$E496=3,L375&gt;0,L375&lt;=('Assumptions - Freight'!$E$494-'Assumptions - Freight'!$E$495)),L377*K382/SUM(L382:$AH382)-L383,0),0)</f>
        <v>0</v>
      </c>
      <c r="M381" s="126">
        <f>IF('Assumptions - Freight'!$E$488&lt;&gt;0,IF(AND('Assumptions - Freight'!$E496=3,M375&gt;0,M375&lt;=('Assumptions - Freight'!$E$494-'Assumptions - Freight'!$E$495)),M377*L382/SUM(M382:$AH382)-M383,0),0)</f>
        <v>0</v>
      </c>
      <c r="N381" s="126">
        <f>IF('Assumptions - Freight'!$E$488&lt;&gt;0,IF(AND('Assumptions - Freight'!$E496=3,N375&gt;0,N375&lt;=('Assumptions - Freight'!$E$494-'Assumptions - Freight'!$E$495)),N377*M382/SUM(N382:$AH382)-N383,0),0)</f>
        <v>0</v>
      </c>
      <c r="O381" s="126">
        <f>IF('Assumptions - Freight'!$E$488&lt;&gt;0,IF(AND('Assumptions - Freight'!$E496=3,O375&gt;0,O375&lt;=('Assumptions - Freight'!$E$494-'Assumptions - Freight'!$E$495)),O377*N382/SUM(O382:$AH382)-O383,0),0)</f>
        <v>0</v>
      </c>
      <c r="P381" s="126">
        <f>IF('Assumptions - Freight'!$E$488&lt;&gt;0,IF(AND('Assumptions - Freight'!$E496=3,P375&gt;0,P375&lt;=('Assumptions - Freight'!$E$494-'Assumptions - Freight'!$E$495)),P377*O382/SUM(P382:$AH382)-P383,0),0)</f>
        <v>0</v>
      </c>
      <c r="Q381" s="126">
        <f>IF('Assumptions - Freight'!$E$488&lt;&gt;0,IF(AND('Assumptions - Freight'!$E496=3,Q375&gt;0,Q375&lt;=('Assumptions - Freight'!$E$494-'Assumptions - Freight'!$E$495)),Q377*P382/SUM(Q382:$AH382)-Q383,0),0)</f>
        <v>0</v>
      </c>
      <c r="R381" s="126">
        <f>IF('Assumptions - Freight'!$E$488&lt;&gt;0,IF(AND('Assumptions - Freight'!$E496=3,R375&gt;0,R375&lt;=('Assumptions - Freight'!$E$494-'Assumptions - Freight'!$E$495)),R377*Q382/SUM(R382:$AH382)-R383,0),0)</f>
        <v>0</v>
      </c>
      <c r="S381" s="126">
        <f>IF('Assumptions - Freight'!$E$488&lt;&gt;0,IF(AND('Assumptions - Freight'!$E496=3,S375&gt;0,S375&lt;=('Assumptions - Freight'!$E$494-'Assumptions - Freight'!$E$495)),S377*R382/SUM(S382:$AH382)-S383,0),0)</f>
        <v>0</v>
      </c>
      <c r="T381" s="126">
        <f>IF('Assumptions - Freight'!$E$488&lt;&gt;0,IF(AND('Assumptions - Freight'!$E496=3,T375&gt;0,T375&lt;=('Assumptions - Freight'!$E$494-'Assumptions - Freight'!$E$495)),T377*S382/SUM(T382:$AH382)-T383,0),0)</f>
        <v>0</v>
      </c>
      <c r="U381" s="126">
        <f>IF('Assumptions - Freight'!$E$488&lt;&gt;0,IF(AND('Assumptions - Freight'!$E496=3,U375&gt;0,U375&lt;=('Assumptions - Freight'!$E$494-'Assumptions - Freight'!$E$495)),U377*T382/SUM(U382:$AH382)-U383,0),0)</f>
        <v>0</v>
      </c>
      <c r="V381" s="126">
        <f>IF('Assumptions - Freight'!$E$488&lt;&gt;0,IF(AND('Assumptions - Freight'!$E496=3,V375&gt;0,V375&lt;=('Assumptions - Freight'!$E$494-'Assumptions - Freight'!$E$495)),V377*U382/SUM(V382:$AH382)-V383,0),0)</f>
        <v>0</v>
      </c>
      <c r="W381" s="126">
        <f>IF('Assumptions - Freight'!$E$488&lt;&gt;0,IF(AND('Assumptions - Freight'!$E496=3,W375&gt;0,W375&lt;=('Assumptions - Freight'!$E$494-'Assumptions - Freight'!$E$495)),W377*V382/SUM(W382:$AH382)-W383,0),0)</f>
        <v>0</v>
      </c>
      <c r="X381" s="126">
        <f>IF('Assumptions - Freight'!$E$488&lt;&gt;0,IF(AND('Assumptions - Freight'!$E496=3,X375&gt;0,X375&lt;=('Assumptions - Freight'!$E$494-'Assumptions - Freight'!$E$495)),X377*W382/SUM(X382:$AH382)-X383,0),0)</f>
        <v>0</v>
      </c>
      <c r="Y381" s="126">
        <f>IF('Assumptions - Freight'!$E$488&lt;&gt;0,IF(AND('Assumptions - Freight'!$E496=3,Y375&gt;0,Y375&lt;=('Assumptions - Freight'!$E$494-'Assumptions - Freight'!$E$495)),Y377*X382/SUM(Y382:$AH382)-Y383,0),0)</f>
        <v>0</v>
      </c>
      <c r="Z381" s="126">
        <f>IF('Assumptions - Freight'!$E$488&lt;&gt;0,IF(AND('Assumptions - Freight'!$E496=3,Z375&gt;0,Z375&lt;=('Assumptions - Freight'!$E$494-'Assumptions - Freight'!$E$495)),Z377*Y382/SUM(Z382:$AH382)-Z383,0),0)</f>
        <v>0</v>
      </c>
      <c r="AA381" s="126">
        <f>IF('Assumptions - Freight'!$E$488&lt;&gt;0,IF(AND('Assumptions - Freight'!$E496=3,AA375&gt;0,AA375&lt;=('Assumptions - Freight'!$E$494-'Assumptions - Freight'!$E$495)),AA377*Z382/SUM(AA382:$AH382)-AA383,0),0)</f>
        <v>0</v>
      </c>
      <c r="AB381" s="126">
        <f>IF('Assumptions - Freight'!$E$488&lt;&gt;0,IF(AND('Assumptions - Freight'!$E496=3,AB375&gt;0,AB375&lt;=('Assumptions - Freight'!$E$494-'Assumptions - Freight'!$E$495)),AB377*AA382/SUM(AB382:$AH382)-AB383,0),0)</f>
        <v>0</v>
      </c>
      <c r="AC381" s="126">
        <f>IF('Assumptions - Freight'!$E$488&lt;&gt;0,IF(AND('Assumptions - Freight'!$E496=3,AC375&gt;0,AC375&lt;=('Assumptions - Freight'!$E$494-'Assumptions - Freight'!$E$495)),AC377*AB382/SUM(AC382:$AH382)-AC383,0),0)</f>
        <v>0</v>
      </c>
      <c r="AD381" s="126">
        <f>IF('Assumptions - Freight'!$E$488&lt;&gt;0,IF(AND('Assumptions - Freight'!$E496=3,AD375&gt;0,AD375&lt;=('Assumptions - Freight'!$E$494-'Assumptions - Freight'!$E$495)),AD377*AC382/SUM(AD382:$AH382)-AD383,0),0)</f>
        <v>0</v>
      </c>
      <c r="AE381" s="126">
        <f>IF('Assumptions - Freight'!$E$488&lt;&gt;0,IF(AND('Assumptions - Freight'!$E496=3,AE375&gt;0,AE375&lt;=('Assumptions - Freight'!$E$494-'Assumptions - Freight'!$E$495)),AE377*AD382/SUM(AE382:$AH382)-AE383,0),0)</f>
        <v>0</v>
      </c>
      <c r="AF381" s="126">
        <f>IF('Assumptions - Freight'!$E$488&lt;&gt;0,IF(AND('Assumptions - Freight'!$E496=3,AF375&gt;0,AF375&lt;=('Assumptions - Freight'!$E$494-'Assumptions - Freight'!$E$495)),AF377*AE382/SUM(AF382:$AH382)-AF383,0),0)</f>
        <v>0</v>
      </c>
      <c r="AG381" s="126">
        <f>IF('Assumptions - Freight'!$E$488&lt;&gt;0,IF(AND('Assumptions - Freight'!$E496=3,AG375&gt;0,AG375&lt;=('Assumptions - Freight'!$E$494-'Assumptions - Freight'!$E$495)),AG377*AF382/SUM(AG382:$AH382)-AG383,0),0)</f>
        <v>0</v>
      </c>
      <c r="AH381" s="126">
        <f>IF('Assumptions - Freight'!$E$488&lt;&gt;0,IF(AND('Assumptions - Freight'!$E496=3,AH375&gt;0,AH375&lt;=('Assumptions - Freight'!$E$494-'Assumptions - Freight'!$E$495)),AH377*AG382/SUM(AH382:$AH382)-AH383,0),0)</f>
        <v>0</v>
      </c>
    </row>
    <row r="382" spans="1:34" s="20" customFormat="1" ht="14" x14ac:dyDescent="0.2">
      <c r="B382" s="127" t="s">
        <v>677</v>
      </c>
      <c r="D382" s="87">
        <v>1</v>
      </c>
      <c r="E382" s="126">
        <f>IF('Assumptions - Freight'!$E$488&lt;&gt;0,IF(AND('Assumptions - Freight'!$E496=3,E375&lt;=('Assumptions - Freight'!$E$494-'Assumptions - Freight'!$E$495)),D382/(1+E376),0),0)</f>
        <v>0</v>
      </c>
      <c r="F382" s="126">
        <f>IF('Assumptions - Freight'!$E$488&lt;&gt;0,IF(AND('Assumptions - Freight'!$E496=3,F375&lt;=('Assumptions - Freight'!$E$494-'Assumptions - Freight'!$E$495)),E382/(1+F376),0),0)</f>
        <v>0</v>
      </c>
      <c r="G382" s="126">
        <f>IF('Assumptions - Freight'!$E$488&lt;&gt;0,IF(AND('Assumptions - Freight'!$E496=3,G375&lt;=('Assumptions - Freight'!$E$494-'Assumptions - Freight'!$E$495)),F382/(1+G376),0),0)</f>
        <v>0</v>
      </c>
      <c r="H382" s="126">
        <f>IF('Assumptions - Freight'!$E$488&lt;&gt;0,IF(AND('Assumptions - Freight'!$E496=3,H375&lt;=('Assumptions - Freight'!$E$494-'Assumptions - Freight'!$E$495)),G382/(1+H376),0),0)</f>
        <v>0</v>
      </c>
      <c r="I382" s="126">
        <f>IF('Assumptions - Freight'!$E$488&lt;&gt;0,IF(AND('Assumptions - Freight'!$E496=3,I375&lt;=('Assumptions - Freight'!$E$494-'Assumptions - Freight'!$E$495)),H382/(1+I376),0),0)</f>
        <v>0</v>
      </c>
      <c r="J382" s="126">
        <f>IF('Assumptions - Freight'!$E$488&lt;&gt;0,IF(AND('Assumptions - Freight'!$E496=3,J375&lt;=('Assumptions - Freight'!$E$494-'Assumptions - Freight'!$E$495)),I382/(1+J376),0),0)</f>
        <v>0</v>
      </c>
      <c r="K382" s="126">
        <f>IF('Assumptions - Freight'!$E$488&lt;&gt;0,IF(AND('Assumptions - Freight'!$E496=3,K375&lt;=('Assumptions - Freight'!$E$494-'Assumptions - Freight'!$E$495)),J382/(1+K376),0),0)</f>
        <v>0</v>
      </c>
      <c r="L382" s="126">
        <f>IF('Assumptions - Freight'!$E$488&lt;&gt;0,IF(AND('Assumptions - Freight'!$E496=3,L375&lt;=('Assumptions - Freight'!$E$494-'Assumptions - Freight'!$E$495)),K382/(1+L376),0),0)</f>
        <v>0</v>
      </c>
      <c r="M382" s="126">
        <f>IF('Assumptions - Freight'!$E$488&lt;&gt;0,IF(AND('Assumptions - Freight'!$E496=3,M375&lt;=('Assumptions - Freight'!$E$494-'Assumptions - Freight'!$E$495)),L382/(1+M376),0),0)</f>
        <v>0</v>
      </c>
      <c r="N382" s="126">
        <f>IF('Assumptions - Freight'!$E$488&lt;&gt;0,IF(AND('Assumptions - Freight'!$E496=3,N375&lt;=('Assumptions - Freight'!$E$494-'Assumptions - Freight'!$E$495)),M382/(1+N376),0),0)</f>
        <v>0</v>
      </c>
      <c r="O382" s="126">
        <f>IF('Assumptions - Freight'!$E$488&lt;&gt;0,IF(AND('Assumptions - Freight'!$E496=3,O375&lt;=('Assumptions - Freight'!$E$494-'Assumptions - Freight'!$E$495)),N382/(1+O376),0),0)</f>
        <v>0</v>
      </c>
      <c r="P382" s="126">
        <f>IF('Assumptions - Freight'!$E$488&lt;&gt;0,IF(AND('Assumptions - Freight'!$E496=3,P375&lt;=('Assumptions - Freight'!$E$494-'Assumptions - Freight'!$E$495)),O382/(1+P376),0),0)</f>
        <v>0</v>
      </c>
      <c r="Q382" s="126">
        <f>IF('Assumptions - Freight'!$E$488&lt;&gt;0,IF(AND('Assumptions - Freight'!$E496=3,Q375&lt;=('Assumptions - Freight'!$E$494-'Assumptions - Freight'!$E$495)),P382/(1+Q376),0),0)</f>
        <v>0</v>
      </c>
      <c r="R382" s="126">
        <f>IF('Assumptions - Freight'!$E$488&lt;&gt;0,IF(AND('Assumptions - Freight'!$E496=3,R375&lt;=('Assumptions - Freight'!$E$494-'Assumptions - Freight'!$E$495)),Q382/(1+R376),0),0)</f>
        <v>0</v>
      </c>
      <c r="S382" s="126">
        <f>IF('Assumptions - Freight'!$E$488&lt;&gt;0,IF(AND('Assumptions - Freight'!$E496=3,S375&lt;=('Assumptions - Freight'!$E$494-'Assumptions - Freight'!$E$495)),R382/(1+S376),0),0)</f>
        <v>0</v>
      </c>
      <c r="T382" s="126">
        <f>IF('Assumptions - Freight'!$E$488&lt;&gt;0,IF(AND('Assumptions - Freight'!$E496=3,T375&lt;=('Assumptions - Freight'!$E$494-'Assumptions - Freight'!$E$495)),S382/(1+T376),0),0)</f>
        <v>0</v>
      </c>
      <c r="U382" s="126">
        <f>IF('Assumptions - Freight'!$E$488&lt;&gt;0,IF(AND('Assumptions - Freight'!$E496=3,U375&lt;=('Assumptions - Freight'!$E$494-'Assumptions - Freight'!$E$495)),T382/(1+U376),0),0)</f>
        <v>0</v>
      </c>
      <c r="V382" s="126">
        <f>IF('Assumptions - Freight'!$E$488&lt;&gt;0,IF(AND('Assumptions - Freight'!$E496=3,V375&lt;=('Assumptions - Freight'!$E$494-'Assumptions - Freight'!$E$495)),U382/(1+V376),0),0)</f>
        <v>0</v>
      </c>
      <c r="W382" s="126">
        <f>IF('Assumptions - Freight'!$E$488&lt;&gt;0,IF(AND('Assumptions - Freight'!$E496=3,W375&lt;=('Assumptions - Freight'!$E$494-'Assumptions - Freight'!$E$495)),V382/(1+W376),0),0)</f>
        <v>0</v>
      </c>
      <c r="X382" s="126">
        <f>IF('Assumptions - Freight'!$E$488&lt;&gt;0,IF(AND('Assumptions - Freight'!$E496=3,X375&lt;=('Assumptions - Freight'!$E$494-'Assumptions - Freight'!$E$495)),W382/(1+X376),0),0)</f>
        <v>0</v>
      </c>
      <c r="Y382" s="126">
        <f>IF('Assumptions - Freight'!$E$488&lt;&gt;0,IF(AND('Assumptions - Freight'!$E496=3,Y375&lt;=('Assumptions - Freight'!$E$494-'Assumptions - Freight'!$E$495)),X382/(1+Y376),0),0)</f>
        <v>0</v>
      </c>
      <c r="Z382" s="126">
        <f>IF('Assumptions - Freight'!$E$488&lt;&gt;0,IF(AND('Assumptions - Freight'!$E496=3,Z375&lt;=('Assumptions - Freight'!$E$494-'Assumptions - Freight'!$E$495)),Y382/(1+Z376),0),0)</f>
        <v>0</v>
      </c>
      <c r="AA382" s="126">
        <f>IF('Assumptions - Freight'!$E$488&lt;&gt;0,IF(AND('Assumptions - Freight'!$E496=3,AA375&lt;=('Assumptions - Freight'!$E$494-'Assumptions - Freight'!$E$495)),Z382/(1+AA376),0),0)</f>
        <v>0</v>
      </c>
      <c r="AB382" s="126">
        <f>IF('Assumptions - Freight'!$E$488&lt;&gt;0,IF(AND('Assumptions - Freight'!$E496=3,AB375&lt;=('Assumptions - Freight'!$E$494-'Assumptions - Freight'!$E$495)),AA382/(1+AB376),0),0)</f>
        <v>0</v>
      </c>
      <c r="AC382" s="126">
        <f>IF('Assumptions - Freight'!$E$488&lt;&gt;0,IF(AND('Assumptions - Freight'!$E496=3,AC375&lt;=('Assumptions - Freight'!$E$494-'Assumptions - Freight'!$E$495)),AB382/(1+AC376),0),0)</f>
        <v>0</v>
      </c>
      <c r="AD382" s="126">
        <f>IF('Assumptions - Freight'!$E$488&lt;&gt;0,IF(AND('Assumptions - Freight'!$E496=3,AD375&lt;=('Assumptions - Freight'!$E$494-'Assumptions - Freight'!$E$495)),AC382/(1+AD376),0),0)</f>
        <v>0</v>
      </c>
      <c r="AE382" s="126">
        <f>IF('Assumptions - Freight'!$E$488&lt;&gt;0,IF(AND('Assumptions - Freight'!$E496=3,AE375&lt;=('Assumptions - Freight'!$E$494-'Assumptions - Freight'!$E$495)),AD382/(1+AE376),0),0)</f>
        <v>0</v>
      </c>
      <c r="AF382" s="126">
        <f>IF('Assumptions - Freight'!$E$488&lt;&gt;0,IF(AND('Assumptions - Freight'!$E496=3,AF375&lt;=('Assumptions - Freight'!$E$494-'Assumptions - Freight'!$E$495)),AE382/(1+AF376),0),0)</f>
        <v>0</v>
      </c>
      <c r="AG382" s="126">
        <f>IF('Assumptions - Freight'!$E$488&lt;&gt;0,IF(AND('Assumptions - Freight'!$E496=3,AG375&lt;=('Assumptions - Freight'!$E$494-'Assumptions - Freight'!$E$495)),AF382/(1+AG376),0),0)</f>
        <v>0</v>
      </c>
      <c r="AH382" s="126">
        <f>IF('Assumptions - Freight'!$E$488&lt;&gt;0,IF(AND('Assumptions - Freight'!$E496=3,AH375&lt;=('Assumptions - Freight'!$E$494-'Assumptions - Freight'!$E$495)),AG382/(1+AH376),0),0)</f>
        <v>0</v>
      </c>
    </row>
    <row r="383" spans="1:34" s="20" customFormat="1" ht="14" x14ac:dyDescent="0.2">
      <c r="A383" s="8"/>
      <c r="B383" s="125" t="s">
        <v>679</v>
      </c>
      <c r="C383" s="8"/>
      <c r="D383" s="8" t="str">
        <f>'Assumptions - Freight'!D488</f>
        <v>USD millions</v>
      </c>
      <c r="E383" s="126">
        <f>IF('Assumptions - Freight'!$E$488&lt;&gt;0,IF('Assumptions - Freight'!$E$496=3,E376*E377,0),0)</f>
        <v>0</v>
      </c>
      <c r="F383" s="126">
        <f>IF('Assumptions - Freight'!$E$488&lt;&gt;0,IF('Assumptions - Freight'!$E$496=3,F376*F377,0),0)</f>
        <v>0</v>
      </c>
      <c r="G383" s="126">
        <f>IF('Assumptions - Freight'!$E$488&lt;&gt;0,IF('Assumptions - Freight'!$E$496=3,G376*G377,0),0)</f>
        <v>0</v>
      </c>
      <c r="H383" s="126">
        <f>IF('Assumptions - Freight'!$E$488&lt;&gt;0,IF('Assumptions - Freight'!$E$496=3,H376*H377,0),0)</f>
        <v>0</v>
      </c>
      <c r="I383" s="126">
        <f>IF('Assumptions - Freight'!$E$488&lt;&gt;0,IF('Assumptions - Freight'!$E$496=3,I376*I377,0),0)</f>
        <v>0</v>
      </c>
      <c r="J383" s="126">
        <f>IF('Assumptions - Freight'!$E$488&lt;&gt;0,IF('Assumptions - Freight'!$E$496=3,J376*J377,0),0)</f>
        <v>0</v>
      </c>
      <c r="K383" s="126">
        <f>IF('Assumptions - Freight'!$E$488&lt;&gt;0,IF('Assumptions - Freight'!$E$496=3,K376*K377,0),0)</f>
        <v>0</v>
      </c>
      <c r="L383" s="126">
        <f>IF('Assumptions - Freight'!$E$488&lt;&gt;0,IF('Assumptions - Freight'!$E$496=3,L376*L377,0),0)</f>
        <v>0</v>
      </c>
      <c r="M383" s="126">
        <f>IF('Assumptions - Freight'!$E$488&lt;&gt;0,IF('Assumptions - Freight'!$E$496=3,M376*M377,0),0)</f>
        <v>0</v>
      </c>
      <c r="N383" s="126">
        <f>IF('Assumptions - Freight'!$E$488&lt;&gt;0,IF('Assumptions - Freight'!$E$496=3,N376*N377,0),0)</f>
        <v>0</v>
      </c>
      <c r="O383" s="126">
        <f>IF('Assumptions - Freight'!$E$488&lt;&gt;0,IF('Assumptions - Freight'!$E$496=3,O376*O377,0),0)</f>
        <v>0</v>
      </c>
      <c r="P383" s="126">
        <f>IF('Assumptions - Freight'!$E$488&lt;&gt;0,IF('Assumptions - Freight'!$E$496=3,P376*P377,0),0)</f>
        <v>0</v>
      </c>
      <c r="Q383" s="126">
        <f>IF('Assumptions - Freight'!$E$488&lt;&gt;0,IF('Assumptions - Freight'!$E$496=3,Q376*Q377,0),0)</f>
        <v>0</v>
      </c>
      <c r="R383" s="126">
        <f>IF('Assumptions - Freight'!$E$488&lt;&gt;0,IF('Assumptions - Freight'!$E$496=3,R376*R377,0),0)</f>
        <v>0</v>
      </c>
      <c r="S383" s="126">
        <f>IF('Assumptions - Freight'!$E$488&lt;&gt;0,IF('Assumptions - Freight'!$E$496=3,S376*S377,0),0)</f>
        <v>0</v>
      </c>
      <c r="T383" s="126">
        <f>IF('Assumptions - Freight'!$E$488&lt;&gt;0,IF('Assumptions - Freight'!$E$496=3,T376*T377,0),0)</f>
        <v>0</v>
      </c>
      <c r="U383" s="126">
        <f>IF('Assumptions - Freight'!$E$488&lt;&gt;0,IF('Assumptions - Freight'!$E$496=3,U376*U377,0),0)</f>
        <v>0</v>
      </c>
      <c r="V383" s="126">
        <f>IF('Assumptions - Freight'!$E$488&lt;&gt;0,IF('Assumptions - Freight'!$E$496=3,V376*V377,0),0)</f>
        <v>0</v>
      </c>
      <c r="W383" s="126">
        <f>IF('Assumptions - Freight'!$E$488&lt;&gt;0,IF('Assumptions - Freight'!$E$496=3,W376*W377,0),0)</f>
        <v>0</v>
      </c>
      <c r="X383" s="126">
        <f>IF('Assumptions - Freight'!$E$488&lt;&gt;0,IF('Assumptions - Freight'!$E$496=3,X376*X377,0),0)</f>
        <v>0</v>
      </c>
      <c r="Y383" s="126">
        <f>IF('Assumptions - Freight'!$E$488&lt;&gt;0,IF('Assumptions - Freight'!$E$496=3,Y376*Y377,0),0)</f>
        <v>0</v>
      </c>
      <c r="Z383" s="126">
        <f>IF('Assumptions - Freight'!$E$488&lt;&gt;0,IF('Assumptions - Freight'!$E$496=3,Z376*Z377,0),0)</f>
        <v>0</v>
      </c>
      <c r="AA383" s="126">
        <f>IF('Assumptions - Freight'!$E$488&lt;&gt;0,IF('Assumptions - Freight'!$E$496=3,AA376*AA377,0),0)</f>
        <v>0</v>
      </c>
      <c r="AB383" s="126">
        <f>IF('Assumptions - Freight'!$E$488&lt;&gt;0,IF('Assumptions - Freight'!$E$496=3,AB376*AB377,0),0)</f>
        <v>0</v>
      </c>
      <c r="AC383" s="126">
        <f>IF('Assumptions - Freight'!$E$488&lt;&gt;0,IF('Assumptions - Freight'!$E$496=3,AC376*AC377,0),0)</f>
        <v>0</v>
      </c>
      <c r="AD383" s="126">
        <f>IF('Assumptions - Freight'!$E$488&lt;&gt;0,IF('Assumptions - Freight'!$E$496=3,AD376*AD377,0),0)</f>
        <v>0</v>
      </c>
      <c r="AE383" s="126">
        <f>IF('Assumptions - Freight'!$E$488&lt;&gt;0,IF('Assumptions - Freight'!$E$496=3,AE376*AE377,0),0)</f>
        <v>0</v>
      </c>
      <c r="AF383" s="126">
        <f>IF('Assumptions - Freight'!$E$488&lt;&gt;0,IF('Assumptions - Freight'!$E$496=3,AF376*AF377,0),0)</f>
        <v>0</v>
      </c>
      <c r="AG383" s="126">
        <f>IF('Assumptions - Freight'!$E$488&lt;&gt;0,IF('Assumptions - Freight'!$E$496=3,AG376*AG377,0),0)</f>
        <v>0</v>
      </c>
      <c r="AH383" s="126">
        <f>IF('Assumptions - Freight'!$E$488&lt;&gt;0,IF('Assumptions - Freight'!$E$496=3,AH376*AH377,0),0)</f>
        <v>0</v>
      </c>
    </row>
    <row r="384" spans="1:34" s="20" customFormat="1" ht="14" x14ac:dyDescent="0.2">
      <c r="A384" s="8"/>
      <c r="B384" s="8" t="s">
        <v>137</v>
      </c>
      <c r="C384" s="8"/>
      <c r="D384" s="8" t="str">
        <f>'Assumptions - Freight'!D488</f>
        <v>USD millions</v>
      </c>
      <c r="E384" s="126">
        <f>IF(E$16=1,IF('Assumptions - Freight'!$E$488&gt;0,'Assumptions - Freight'!E489,0),0)</f>
        <v>0</v>
      </c>
      <c r="F384" s="126">
        <f>IF(F$16=1,IF('Assumptions - Freight'!$E$488&gt;0,'Assumptions - Freight'!F489,0),0)</f>
        <v>0</v>
      </c>
      <c r="G384" s="126">
        <f>IF(G$16=1,IF('Assumptions - Freight'!$E$488&gt;0,'Assumptions - Freight'!G489,0),0)</f>
        <v>10</v>
      </c>
      <c r="H384" s="126">
        <f>IF(H$16=1,IF('Assumptions - Freight'!$E$488&gt;0,'Assumptions - Freight'!H489,0),0)</f>
        <v>10</v>
      </c>
      <c r="I384" s="126">
        <f>IF(I$16=1,IF('Assumptions - Freight'!$E$488&gt;0,'Assumptions - Freight'!I489,0),0)</f>
        <v>10</v>
      </c>
      <c r="J384" s="126">
        <f>IF(J$16=1,IF('Assumptions - Freight'!$E$488&gt;0,'Assumptions - Freight'!J489,0),0)</f>
        <v>10</v>
      </c>
      <c r="K384" s="126">
        <f>IF(K$16=1,IF('Assumptions - Freight'!$E$488&gt;0,'Assumptions - Freight'!K489,0),0)</f>
        <v>10</v>
      </c>
      <c r="L384" s="126">
        <f>IF(L$16=1,IF('Assumptions - Freight'!$E$488&gt;0,'Assumptions - Freight'!L489,0),0)</f>
        <v>0</v>
      </c>
      <c r="M384" s="126">
        <f>IF(M$16=1,IF('Assumptions - Freight'!$E$488&gt;0,'Assumptions - Freight'!M489,0),0)</f>
        <v>0</v>
      </c>
      <c r="N384" s="126">
        <f>IF(N$16=1,IF('Assumptions - Freight'!$E$488&gt;0,'Assumptions - Freight'!N489,0),0)</f>
        <v>0</v>
      </c>
      <c r="O384" s="126">
        <f>IF(O$16=1,IF('Assumptions - Freight'!$E$488&gt;0,'Assumptions - Freight'!O489,0),0)</f>
        <v>0</v>
      </c>
      <c r="P384" s="126">
        <f>IF(P$16=1,IF('Assumptions - Freight'!$E$488&gt;0,'Assumptions - Freight'!P489,0),0)</f>
        <v>0</v>
      </c>
      <c r="Q384" s="126">
        <f>IF(Q$16=1,IF('Assumptions - Freight'!$E$488&gt;0,'Assumptions - Freight'!Q489,0),0)</f>
        <v>0</v>
      </c>
      <c r="R384" s="126">
        <f>IF(R$16=1,IF('Assumptions - Freight'!$E$488&gt;0,'Assumptions - Freight'!R489,0),0)</f>
        <v>0</v>
      </c>
      <c r="S384" s="126">
        <f>IF(S$16=1,IF('Assumptions - Freight'!$E$488&gt;0,'Assumptions - Freight'!S489,0),0)</f>
        <v>0</v>
      </c>
      <c r="T384" s="126">
        <f>IF(T$16=1,IF('Assumptions - Freight'!$E$488&gt;0,'Assumptions - Freight'!T489,0),0)</f>
        <v>0</v>
      </c>
      <c r="U384" s="126">
        <f>IF(U$16=1,IF('Assumptions - Freight'!$E$488&gt;0,'Assumptions - Freight'!U489,0),0)</f>
        <v>0</v>
      </c>
      <c r="V384" s="126">
        <f>IF(V$16=1,IF('Assumptions - Freight'!$E$488&gt;0,'Assumptions - Freight'!V489,0),0)</f>
        <v>0</v>
      </c>
      <c r="W384" s="126">
        <f>IF(W$16=1,IF('Assumptions - Freight'!$E$488&gt;0,'Assumptions - Freight'!W489,0),0)</f>
        <v>0</v>
      </c>
      <c r="X384" s="126">
        <f>IF(X$16=1,IF('Assumptions - Freight'!$E$488&gt;0,'Assumptions - Freight'!X489,0),0)</f>
        <v>0</v>
      </c>
      <c r="Y384" s="126">
        <f>IF(Y$16=1,IF('Assumptions - Freight'!$E$488&gt;0,'Assumptions - Freight'!Y489,0),0)</f>
        <v>0</v>
      </c>
      <c r="Z384" s="126">
        <f>IF(Z$16=1,IF('Assumptions - Freight'!$E$488&gt;0,'Assumptions - Freight'!Z489,0),0)</f>
        <v>0</v>
      </c>
      <c r="AA384" s="126">
        <f>IF(AA$16=1,IF('Assumptions - Freight'!$E$488&gt;0,'Assumptions - Freight'!AA489,0),0)</f>
        <v>0</v>
      </c>
      <c r="AB384" s="126">
        <f>IF(AB$16=1,IF('Assumptions - Freight'!$E$488&gt;0,'Assumptions - Freight'!AB489,0),0)</f>
        <v>0</v>
      </c>
      <c r="AC384" s="126">
        <f>IF(AC$16=1,IF('Assumptions - Freight'!$E$488&gt;0,'Assumptions - Freight'!AC489,0),0)</f>
        <v>0</v>
      </c>
      <c r="AD384" s="126">
        <f>IF(AD$16=1,IF('Assumptions - Freight'!$E$488&gt;0,'Assumptions - Freight'!AD489,0),0)</f>
        <v>0</v>
      </c>
      <c r="AE384" s="126">
        <f>IF(AE$16=1,IF('Assumptions - Freight'!$E$488&gt;0,'Assumptions - Freight'!AE489,0),0)</f>
        <v>0</v>
      </c>
      <c r="AF384" s="126">
        <f>IF(AF$16=1,IF('Assumptions - Freight'!$E$488&gt;0,'Assumptions - Freight'!AF489,0),0)</f>
        <v>0</v>
      </c>
      <c r="AG384" s="126">
        <f>IF(AG$16=1,IF('Assumptions - Freight'!$E$488&gt;0,'Assumptions - Freight'!AG489,0),0)</f>
        <v>0</v>
      </c>
      <c r="AH384" s="126">
        <f>IF(AH$16=1,IF('Assumptions - Freight'!$E$488&gt;0,'Assumptions - Freight'!AH489,0),0)</f>
        <v>0</v>
      </c>
    </row>
    <row r="385" spans="1:34" s="20" customFormat="1" ht="14" x14ac:dyDescent="0.2">
      <c r="A385" s="8"/>
      <c r="B385" s="8" t="s">
        <v>138</v>
      </c>
      <c r="C385" s="8"/>
      <c r="D385" s="8" t="str">
        <f t="shared" si="148"/>
        <v>USD millions</v>
      </c>
      <c r="E385" s="126">
        <f>IF(E$16=1,IF('Assumptions - Freight'!$E$488&lt;&gt;0,E377-E378+E384,0),0)</f>
        <v>0</v>
      </c>
      <c r="F385" s="126">
        <f>IF(F$16=1,IF('Assumptions - Freight'!$E$488&lt;&gt;0,F377-F378+F384,0),0)</f>
        <v>0</v>
      </c>
      <c r="G385" s="126">
        <f>IF(G$16=1,IF('Assumptions - Freight'!$E$488&lt;&gt;0,G377-G378+G384,0),0)</f>
        <v>10</v>
      </c>
      <c r="H385" s="126">
        <f>IF(H$16=1,IF('Assumptions - Freight'!$E$488&lt;&gt;0,H377-H378+H384,0),0)</f>
        <v>20</v>
      </c>
      <c r="I385" s="126">
        <f>IF(I$16=1,IF('Assumptions - Freight'!$E$488&lt;&gt;0,I377-I378+I384,0),0)</f>
        <v>30</v>
      </c>
      <c r="J385" s="126">
        <f>IF(J$16=1,IF('Assumptions - Freight'!$E$488&lt;&gt;0,J377-J378+J384,0),0)</f>
        <v>40</v>
      </c>
      <c r="K385" s="126">
        <f>IF(K$16=1,IF('Assumptions - Freight'!$E$488&lt;&gt;0,K377-K378+K384,0),0)</f>
        <v>50</v>
      </c>
      <c r="L385" s="126">
        <f>IF(L$16=1,IF('Assumptions - Freight'!$E$488&lt;&gt;0,L377-L378+L384,0),0)</f>
        <v>50</v>
      </c>
      <c r="M385" s="126">
        <f>IF(M$16=1,IF('Assumptions - Freight'!$E$488&lt;&gt;0,M377-M378+M384,0),0)</f>
        <v>50</v>
      </c>
      <c r="N385" s="126">
        <f>IF(N$16=1,IF('Assumptions - Freight'!$E$488&lt;&gt;0,N377-N378+N384,0),0)</f>
        <v>50</v>
      </c>
      <c r="O385" s="126">
        <f>IF(O$16=1,IF('Assumptions - Freight'!$E$488&lt;&gt;0,O377-O378+O384,0),0)</f>
        <v>50</v>
      </c>
      <c r="P385" s="126">
        <f>IF(P$16=1,IF('Assumptions - Freight'!$E$488&lt;&gt;0,P377-P378+P384,0),0)</f>
        <v>50</v>
      </c>
      <c r="Q385" s="126">
        <f>IF(Q$16=1,IF('Assumptions - Freight'!$E$488&lt;&gt;0,Q377-Q378+Q384,0),0)</f>
        <v>50</v>
      </c>
      <c r="R385" s="126">
        <f>IF(R$16=1,IF('Assumptions - Freight'!$E$488&lt;&gt;0,R377-R378+R384,0),0)</f>
        <v>50</v>
      </c>
      <c r="S385" s="126">
        <f>IF(S$16=1,IF('Assumptions - Freight'!$E$488&lt;&gt;0,S377-S378+S384,0),0)</f>
        <v>50</v>
      </c>
      <c r="T385" s="126">
        <f>IF(T$16=1,IF('Assumptions - Freight'!$E$488&lt;&gt;0,T377-T378+T384,0),0)</f>
        <v>50</v>
      </c>
      <c r="U385" s="126">
        <f>IF(U$16=1,IF('Assumptions - Freight'!$E$488&lt;&gt;0,U377-U378+U384,0),0)</f>
        <v>0</v>
      </c>
      <c r="V385" s="126">
        <f>IF(V$16=1,IF('Assumptions - Freight'!$E$488&lt;&gt;0,V377-V378+V384,0),0)</f>
        <v>0</v>
      </c>
      <c r="W385" s="126">
        <f>IF(W$16=1,IF('Assumptions - Freight'!$E$488&lt;&gt;0,W377-W378+W384,0),0)</f>
        <v>0</v>
      </c>
      <c r="X385" s="126">
        <f>IF(X$16=1,IF('Assumptions - Freight'!$E$488&lt;&gt;0,X377-X378+X384,0),0)</f>
        <v>0</v>
      </c>
      <c r="Y385" s="126">
        <f>IF(Y$16=1,IF('Assumptions - Freight'!$E$488&lt;&gt;0,Y377-Y378+Y384,0),0)</f>
        <v>0</v>
      </c>
      <c r="Z385" s="126">
        <f>IF(Z$16=1,IF('Assumptions - Freight'!$E$488&lt;&gt;0,Z377-Z378+Z384,0),0)</f>
        <v>0</v>
      </c>
      <c r="AA385" s="126">
        <f>IF(AA$16=1,IF('Assumptions - Freight'!$E$488&lt;&gt;0,AA377-AA378+AA384,0),0)</f>
        <v>0</v>
      </c>
      <c r="AB385" s="126">
        <f>IF(AB$16=1,IF('Assumptions - Freight'!$E$488&lt;&gt;0,AB377-AB378+AB384,0),0)</f>
        <v>0</v>
      </c>
      <c r="AC385" s="126">
        <f>IF(AC$16=1,IF('Assumptions - Freight'!$E$488&lt;&gt;0,AC377-AC378+AC384,0),0)</f>
        <v>0</v>
      </c>
      <c r="AD385" s="126">
        <f>IF(AD$16=1,IF('Assumptions - Freight'!$E$488&lt;&gt;0,AD377-AD378+AD384,0),0)</f>
        <v>0</v>
      </c>
      <c r="AE385" s="126">
        <f>IF(AE$16=1,IF('Assumptions - Freight'!$E$488&lt;&gt;0,AE377-AE378+AE384,0),0)</f>
        <v>0</v>
      </c>
      <c r="AF385" s="126">
        <f>IF(AF$16=1,IF('Assumptions - Freight'!$E$488&lt;&gt;0,AF377-AF378+AF384,0),0)</f>
        <v>0</v>
      </c>
      <c r="AG385" s="126">
        <f>IF(AG$16=1,IF('Assumptions - Freight'!$E$488&lt;&gt;0,AG377-AG378+AG384,0),0)</f>
        <v>0</v>
      </c>
      <c r="AH385" s="126">
        <f>IF(AH$16=1,IF('Assumptions - Freight'!$E$488&lt;&gt;0,AH377-AH378+AH384,0),0)</f>
        <v>0</v>
      </c>
    </row>
    <row r="386" spans="1:34" s="20" customFormat="1" ht="14" x14ac:dyDescent="0.2">
      <c r="A386" s="8"/>
      <c r="B386" s="8" t="s">
        <v>139</v>
      </c>
      <c r="C386" s="8"/>
      <c r="D386" s="8" t="str">
        <f t="shared" si="148"/>
        <v>USD millions</v>
      </c>
      <c r="E386" s="126">
        <f>IF(E$16=1,IF('Assumptions - Freight'!$E$488&lt;&gt;0,IF(AND('Assumptions - Freight'!$E$496=3,E375&gt;0),Calculations!E383,((E377+E385)/2)*E376),0),0)</f>
        <v>0</v>
      </c>
      <c r="F386" s="126">
        <f>IF(F$16=1,IF('Assumptions - Freight'!$E$488&lt;&gt;0,IF(AND('Assumptions - Freight'!$E$496=3,F375&gt;0),Calculations!F383,((F377+F385)/2)*F376),0),0)</f>
        <v>0</v>
      </c>
      <c r="G386" s="126">
        <f>IF(G$16=1,IF('Assumptions - Freight'!$E$488&lt;&gt;0,IF(AND('Assumptions - Freight'!$E$496=3,G375&gt;0),Calculations!G383,((G377+G385)/2)*G376),0),0)</f>
        <v>0.25</v>
      </c>
      <c r="H386" s="126">
        <f>IF(H$16=1,IF('Assumptions - Freight'!$E$488&lt;&gt;0,IF(AND('Assumptions - Freight'!$E$496=3,H375&gt;0),Calculations!H383,((H377+H385)/2)*H376),0),0)</f>
        <v>0.75</v>
      </c>
      <c r="I386" s="126">
        <f>IF(I$16=1,IF('Assumptions - Freight'!$E$488&lt;&gt;0,IF(AND('Assumptions - Freight'!$E$496=3,I375&gt;0),Calculations!I383,((I377+I385)/2)*I376),0),0)</f>
        <v>1.25</v>
      </c>
      <c r="J386" s="126">
        <f>IF(J$16=1,IF('Assumptions - Freight'!$E$488&lt;&gt;0,IF(AND('Assumptions - Freight'!$E$496=3,J375&gt;0),Calculations!J383,((J377+J385)/2)*J376),0),0)</f>
        <v>1.75</v>
      </c>
      <c r="K386" s="126">
        <f>IF(K$16=1,IF('Assumptions - Freight'!$E$488&lt;&gt;0,IF(AND('Assumptions - Freight'!$E$496=3,K375&gt;0),Calculations!K383,((K377+K385)/2)*K376),0),0)</f>
        <v>2.25</v>
      </c>
      <c r="L386" s="126">
        <f>IF(L$16=1,IF('Assumptions - Freight'!$E$488&lt;&gt;0,IF(AND('Assumptions - Freight'!$E$496=3,L375&gt;0),Calculations!L383,((L377+L385)/2)*L376),0),0)</f>
        <v>2.5</v>
      </c>
      <c r="M386" s="126">
        <f>IF(M$16=1,IF('Assumptions - Freight'!$E$488&lt;&gt;0,IF(AND('Assumptions - Freight'!$E$496=3,M375&gt;0),Calculations!M383,((M377+M385)/2)*M376),0),0)</f>
        <v>2.5</v>
      </c>
      <c r="N386" s="126">
        <f>IF(N$16=1,IF('Assumptions - Freight'!$E$488&lt;&gt;0,IF(AND('Assumptions - Freight'!$E$496=3,N375&gt;0),Calculations!N383,((N377+N385)/2)*N376),0),0)</f>
        <v>2.5</v>
      </c>
      <c r="O386" s="126">
        <f>IF(O$16=1,IF('Assumptions - Freight'!$E$488&lt;&gt;0,IF(AND('Assumptions - Freight'!$E$496=3,O375&gt;0),Calculations!O383,((O377+O385)/2)*O376),0),0)</f>
        <v>2.5</v>
      </c>
      <c r="P386" s="126">
        <f>IF(P$16=1,IF('Assumptions - Freight'!$E$488&lt;&gt;0,IF(AND('Assumptions - Freight'!$E$496=3,P375&gt;0),Calculations!P383,((P377+P385)/2)*P376),0),0)</f>
        <v>2.5</v>
      </c>
      <c r="Q386" s="126">
        <f>IF(Q$16=1,IF('Assumptions - Freight'!$E$488&lt;&gt;0,IF(AND('Assumptions - Freight'!$E$496=3,Q375&gt;0),Calculations!Q383,((Q377+Q385)/2)*Q376),0),0)</f>
        <v>2.5</v>
      </c>
      <c r="R386" s="126">
        <f>IF(R$16=1,IF('Assumptions - Freight'!$E$488&lt;&gt;0,IF(AND('Assumptions - Freight'!$E$496=3,R375&gt;0),Calculations!R383,((R377+R385)/2)*R376),0),0)</f>
        <v>2.5</v>
      </c>
      <c r="S386" s="126">
        <f>IF(S$16=1,IF('Assumptions - Freight'!$E$488&lt;&gt;0,IF(AND('Assumptions - Freight'!$E$496=3,S375&gt;0),Calculations!S383,((S377+S385)/2)*S376),0),0)</f>
        <v>2.5</v>
      </c>
      <c r="T386" s="126">
        <f>IF(T$16=1,IF('Assumptions - Freight'!$E$488&lt;&gt;0,IF(AND('Assumptions - Freight'!$E$496=3,T375&gt;0),Calculations!T383,((T377+T385)/2)*T376),0),0)</f>
        <v>2.5</v>
      </c>
      <c r="U386" s="126">
        <f>IF(U$16=1,IF('Assumptions - Freight'!$E$488&lt;&gt;0,IF(AND('Assumptions - Freight'!$E$496=3,U375&gt;0),Calculations!U383,((U377+U385)/2)*U376),0),0)</f>
        <v>1.25</v>
      </c>
      <c r="V386" s="126">
        <f>IF(V$16=1,IF('Assumptions - Freight'!$E$488&lt;&gt;0,IF(AND('Assumptions - Freight'!$E$496=3,V375&gt;0),Calculations!V383,((V377+V385)/2)*V376),0),0)</f>
        <v>0</v>
      </c>
      <c r="W386" s="126">
        <f>IF(W$16=1,IF('Assumptions - Freight'!$E$488&lt;&gt;0,IF(AND('Assumptions - Freight'!$E$496=3,W375&gt;0),Calculations!W383,((W377+W385)/2)*W376),0),0)</f>
        <v>0</v>
      </c>
      <c r="X386" s="126">
        <f>IF(X$16=1,IF('Assumptions - Freight'!$E$488&lt;&gt;0,IF(AND('Assumptions - Freight'!$E$496=3,X375&gt;0),Calculations!X383,((X377+X385)/2)*X376),0),0)</f>
        <v>0</v>
      </c>
      <c r="Y386" s="126">
        <f>IF(Y$16=1,IF('Assumptions - Freight'!$E$488&lt;&gt;0,IF(AND('Assumptions - Freight'!$E$496=3,Y375&gt;0),Calculations!Y383,((Y377+Y385)/2)*Y376),0),0)</f>
        <v>0</v>
      </c>
      <c r="Z386" s="126">
        <f>IF(Z$16=1,IF('Assumptions - Freight'!$E$488&lt;&gt;0,IF(AND('Assumptions - Freight'!$E$496=3,Z375&gt;0),Calculations!Z383,((Z377+Z385)/2)*Z376),0),0)</f>
        <v>0</v>
      </c>
      <c r="AA386" s="126">
        <f>IF(AA$16=1,IF('Assumptions - Freight'!$E$488&lt;&gt;0,IF(AND('Assumptions - Freight'!$E$496=3,AA375&gt;0),Calculations!AA383,((AA377+AA385)/2)*AA376),0),0)</f>
        <v>0</v>
      </c>
      <c r="AB386" s="126">
        <f>IF(AB$16=1,IF('Assumptions - Freight'!$E$488&lt;&gt;0,IF(AND('Assumptions - Freight'!$E$496=3,AB375&gt;0),Calculations!AB383,((AB377+AB385)/2)*AB376),0),0)</f>
        <v>0</v>
      </c>
      <c r="AC386" s="126">
        <f>IF(AC$16=1,IF('Assumptions - Freight'!$E$488&lt;&gt;0,IF(AND('Assumptions - Freight'!$E$496=3,AC375&gt;0),Calculations!AC383,((AC377+AC385)/2)*AC376),0),0)</f>
        <v>0</v>
      </c>
      <c r="AD386" s="126">
        <f>IF(AD$16=1,IF('Assumptions - Freight'!$E$488&lt;&gt;0,IF(AND('Assumptions - Freight'!$E$496=3,AD375&gt;0),Calculations!AD383,((AD377+AD385)/2)*AD376),0),0)</f>
        <v>0</v>
      </c>
      <c r="AE386" s="126">
        <f>IF(AE$16=1,IF('Assumptions - Freight'!$E$488&lt;&gt;0,IF(AND('Assumptions - Freight'!$E$496=3,AE375&gt;0),Calculations!AE383,((AE377+AE385)/2)*AE376),0),0)</f>
        <v>0</v>
      </c>
      <c r="AF386" s="126">
        <f>IF(AF$16=1,IF('Assumptions - Freight'!$E$488&lt;&gt;0,IF(AND('Assumptions - Freight'!$E$496=3,AF375&gt;0),Calculations!AF383,((AF377+AF385)/2)*AF376),0),0)</f>
        <v>0</v>
      </c>
      <c r="AG386" s="126">
        <f>IF(AG$16=1,IF('Assumptions - Freight'!$E$488&lt;&gt;0,IF(AND('Assumptions - Freight'!$E$496=3,AG375&gt;0),Calculations!AG383,((AG377+AG385)/2)*AG376),0),0)</f>
        <v>0</v>
      </c>
      <c r="AH386" s="126">
        <f>IF(AH$16=1,IF('Assumptions - Freight'!$E$488&lt;&gt;0,IF(AND('Assumptions - Freight'!$E$496=3,AH375&gt;0),Calculations!AH383,((AH377+AH385)/2)*AH376),0),0)</f>
        <v>0</v>
      </c>
    </row>
    <row r="387" spans="1:34" s="20" customFormat="1" ht="14" x14ac:dyDescent="0.2">
      <c r="A387" s="8"/>
      <c r="B387" s="8" t="s">
        <v>53</v>
      </c>
      <c r="C387" s="8"/>
      <c r="D387" s="8" t="str">
        <f t="shared" si="148"/>
        <v>USD millions</v>
      </c>
      <c r="E387" s="126">
        <f>IF(E$16=1,IF('Assumptions - Freight'!$E$485=Calculations!E$4,'Assumptions - Freight'!$E$488*'Assumptions - Freight'!$E$498,0),0)</f>
        <v>0</v>
      </c>
      <c r="F387" s="126">
        <f>IF(F$16=1,IF('Assumptions - Freight'!$E$485=Calculations!F$4,'Assumptions - Freight'!$E$488*'Assumptions - Freight'!$E$498,0),0)</f>
        <v>0</v>
      </c>
      <c r="G387" s="126">
        <f>IF(G$16=1,IF('Assumptions - Freight'!$E$485=Calculations!G$4,'Assumptions - Freight'!$E$488*'Assumptions - Freight'!$E$498,0),0)</f>
        <v>0.125</v>
      </c>
      <c r="H387" s="126">
        <f>IF(H$16=1,IF('Assumptions - Freight'!$E$485=Calculations!H$4,'Assumptions - Freight'!$E$488*'Assumptions - Freight'!$E$498,0),0)</f>
        <v>0</v>
      </c>
      <c r="I387" s="126">
        <f>IF(I$16=1,IF('Assumptions - Freight'!$E$485=Calculations!I$4,'Assumptions - Freight'!$E$488*'Assumptions - Freight'!$E$498,0),0)</f>
        <v>0</v>
      </c>
      <c r="J387" s="126">
        <f>IF(J$16=1,IF('Assumptions - Freight'!$E$485=Calculations!J$4,'Assumptions - Freight'!$E$488*'Assumptions - Freight'!$E$498,0),0)</f>
        <v>0</v>
      </c>
      <c r="K387" s="126">
        <f>IF(K$16=1,IF('Assumptions - Freight'!$E$485=Calculations!K$4,'Assumptions - Freight'!$E$488*'Assumptions - Freight'!$E$498,0),0)</f>
        <v>0</v>
      </c>
      <c r="L387" s="126">
        <f>IF(L$16=1,IF('Assumptions - Freight'!$E$485=Calculations!L$4,'Assumptions - Freight'!$E$488*'Assumptions - Freight'!$E$498,0),0)</f>
        <v>0</v>
      </c>
      <c r="M387" s="126">
        <f>IF(M$16=1,IF('Assumptions - Freight'!$E$485=Calculations!M$4,'Assumptions - Freight'!$E$488*'Assumptions - Freight'!$E$498,0),0)</f>
        <v>0</v>
      </c>
      <c r="N387" s="126">
        <f>IF(N$16=1,IF('Assumptions - Freight'!$E$485=Calculations!N$4,'Assumptions - Freight'!$E$488*'Assumptions - Freight'!$E$498,0),0)</f>
        <v>0</v>
      </c>
      <c r="O387" s="126">
        <f>IF(O$16=1,IF('Assumptions - Freight'!$E$485=Calculations!O$4,'Assumptions - Freight'!$E$488*'Assumptions - Freight'!$E$498,0),0)</f>
        <v>0</v>
      </c>
      <c r="P387" s="126">
        <f>IF(P$16=1,IF('Assumptions - Freight'!$E$485=Calculations!P$4,'Assumptions - Freight'!$E$488*'Assumptions - Freight'!$E$498,0),0)</f>
        <v>0</v>
      </c>
      <c r="Q387" s="126">
        <f>IF(Q$16=1,IF('Assumptions - Freight'!$E$485=Calculations!Q$4,'Assumptions - Freight'!$E$488*'Assumptions - Freight'!$E$498,0),0)</f>
        <v>0</v>
      </c>
      <c r="R387" s="126">
        <f>IF(R$16=1,IF('Assumptions - Freight'!$E$485=Calculations!R$4,'Assumptions - Freight'!$E$488*'Assumptions - Freight'!$E$498,0),0)</f>
        <v>0</v>
      </c>
      <c r="S387" s="126">
        <f>IF(S$16=1,IF('Assumptions - Freight'!$E$485=Calculations!S$4,'Assumptions - Freight'!$E$488*'Assumptions - Freight'!$E$498,0),0)</f>
        <v>0</v>
      </c>
      <c r="T387" s="126">
        <f>IF(T$16=1,IF('Assumptions - Freight'!$E$485=Calculations!T$4,'Assumptions - Freight'!$E$488*'Assumptions - Freight'!$E$498,0),0)</f>
        <v>0</v>
      </c>
      <c r="U387" s="126">
        <f>IF(U$16=1,IF('Assumptions - Freight'!$E$485=Calculations!U$4,'Assumptions - Freight'!$E$488*'Assumptions - Freight'!$E$498,0),0)</f>
        <v>0</v>
      </c>
      <c r="V387" s="126">
        <f>IF(V$16=1,IF('Assumptions - Freight'!$E$485=Calculations!V$4,'Assumptions - Freight'!$E$488*'Assumptions - Freight'!$E$498,0),0)</f>
        <v>0</v>
      </c>
      <c r="W387" s="126">
        <f>IF(W$16=1,IF('Assumptions - Freight'!$E$485=Calculations!W$4,'Assumptions - Freight'!$E$488*'Assumptions - Freight'!$E$498,0),0)</f>
        <v>0</v>
      </c>
      <c r="X387" s="126">
        <f>IF(X$16=1,IF('Assumptions - Freight'!$E$485=Calculations!X$4,'Assumptions - Freight'!$E$488*'Assumptions - Freight'!$E$498,0),0)</f>
        <v>0</v>
      </c>
      <c r="Y387" s="126">
        <f>IF(Y$16=1,IF('Assumptions - Freight'!$E$485=Calculations!Y$4,'Assumptions - Freight'!$E$488*'Assumptions - Freight'!$E$498,0),0)</f>
        <v>0</v>
      </c>
      <c r="Z387" s="126">
        <f>IF(Z$16=1,IF('Assumptions - Freight'!$E$485=Calculations!Z$4,'Assumptions - Freight'!$E$488*'Assumptions - Freight'!$E$498,0),0)</f>
        <v>0</v>
      </c>
      <c r="AA387" s="126">
        <f>IF(AA$16=1,IF('Assumptions - Freight'!$E$485=Calculations!AA$4,'Assumptions - Freight'!$E$488*'Assumptions - Freight'!$E$498,0),0)</f>
        <v>0</v>
      </c>
      <c r="AB387" s="126">
        <f>IF(AB$16=1,IF('Assumptions - Freight'!$E$485=Calculations!AB$4,'Assumptions - Freight'!$E$488*'Assumptions - Freight'!$E$498,0),0)</f>
        <v>0</v>
      </c>
      <c r="AC387" s="126">
        <f>IF(AC$16=1,IF('Assumptions - Freight'!$E$485=Calculations!AC$4,'Assumptions - Freight'!$E$488*'Assumptions - Freight'!$E$498,0),0)</f>
        <v>0</v>
      </c>
      <c r="AD387" s="126">
        <f>IF(AD$16=1,IF('Assumptions - Freight'!$E$485=Calculations!AD$4,'Assumptions - Freight'!$E$488*'Assumptions - Freight'!$E$498,0),0)</f>
        <v>0</v>
      </c>
      <c r="AE387" s="126">
        <f>IF(AE$16=1,IF('Assumptions - Freight'!$E$485=Calculations!AE$4,'Assumptions - Freight'!$E$488*'Assumptions - Freight'!$E$498,0),0)</f>
        <v>0</v>
      </c>
      <c r="AF387" s="126">
        <f>IF(AF$16=1,IF('Assumptions - Freight'!$E$485=Calculations!AF$4,'Assumptions - Freight'!$E$488*'Assumptions - Freight'!$E$498,0),0)</f>
        <v>0</v>
      </c>
      <c r="AG387" s="126">
        <f>IF(AG$16=1,IF('Assumptions - Freight'!$E$485=Calculations!AG$4,'Assumptions - Freight'!$E$488*'Assumptions - Freight'!$E$498,0),0)</f>
        <v>0</v>
      </c>
      <c r="AH387" s="126">
        <f>IF(AH$16=1,IF('Assumptions - Freight'!$E$485=Calculations!AH$4,'Assumptions - Freight'!$E$488*'Assumptions - Freight'!$E$498,0),0)</f>
        <v>0</v>
      </c>
    </row>
    <row r="388" spans="1:34" s="20" customFormat="1" ht="14" x14ac:dyDescent="0.2">
      <c r="A388" s="8"/>
      <c r="B388" s="8" t="s">
        <v>142</v>
      </c>
      <c r="C388" s="8"/>
      <c r="D388" s="8" t="str">
        <f>D387</f>
        <v>USD millions</v>
      </c>
      <c r="E388" s="126">
        <f>IF(E$16=1,IF(AND(E$4&lt;=('Assumptions - Freight'!$E$485+'Assumptions - Freight'!$E$495),E$4&gt;='Assumptions - Freight'!$E$485),'Assumptions - Freight'!$E$488-Calculations!E377-E384,0),0)</f>
        <v>0</v>
      </c>
      <c r="F388" s="126">
        <f>IF(F$16=1,IF(AND(F$4&lt;=('Assumptions - Freight'!$E$485+'Assumptions - Freight'!$E$495),F$4&gt;='Assumptions - Freight'!$E$485),'Assumptions - Freight'!$E$488-Calculations!F377-F384,0),0)</f>
        <v>0</v>
      </c>
      <c r="G388" s="126">
        <f>IF(G$16=1,IF(AND(G$4&lt;=('Assumptions - Freight'!$E$485+'Assumptions - Freight'!$E$495),G$4&gt;='Assumptions - Freight'!$E$485),'Assumptions - Freight'!$E$488-Calculations!G377-G384,0),0)</f>
        <v>40</v>
      </c>
      <c r="H388" s="126">
        <f>IF(H$16=1,IF(AND(H$4&lt;=('Assumptions - Freight'!$E$485+'Assumptions - Freight'!$E$495),H$4&gt;='Assumptions - Freight'!$E$485),'Assumptions - Freight'!$E$488-Calculations!H377-H384,0),0)</f>
        <v>30</v>
      </c>
      <c r="I388" s="126">
        <f>IF(I$16=1,IF(AND(I$4&lt;=('Assumptions - Freight'!$E$485+'Assumptions - Freight'!$E$495),I$4&gt;='Assumptions - Freight'!$E$485),'Assumptions - Freight'!$E$488-Calculations!I377-I384,0),0)</f>
        <v>20</v>
      </c>
      <c r="J388" s="126">
        <f>IF(J$16=1,IF(AND(J$4&lt;=('Assumptions - Freight'!$E$485+'Assumptions - Freight'!$E$495),J$4&gt;='Assumptions - Freight'!$E$485),'Assumptions - Freight'!$E$488-Calculations!J377-J384,0),0)</f>
        <v>10</v>
      </c>
      <c r="K388" s="126">
        <f>IF(K$16=1,IF(AND(K$4&lt;=('Assumptions - Freight'!$E$485+'Assumptions - Freight'!$E$495),K$4&gt;='Assumptions - Freight'!$E$485),'Assumptions - Freight'!$E$488-Calculations!K377-K384,0),0)</f>
        <v>0</v>
      </c>
      <c r="L388" s="126">
        <f>IF(L$16=1,IF(AND(L$4&lt;=('Assumptions - Freight'!$E$485+'Assumptions - Freight'!$E$495),L$4&gt;='Assumptions - Freight'!$E$485),'Assumptions - Freight'!$E$488-Calculations!L377-L384,0),0)</f>
        <v>0</v>
      </c>
      <c r="M388" s="126">
        <f>IF(M$16=1,IF(AND(M$4&lt;=('Assumptions - Freight'!$E$485+'Assumptions - Freight'!$E$495),M$4&gt;='Assumptions - Freight'!$E$485),'Assumptions - Freight'!$E$488-Calculations!M377-M384,0),0)</f>
        <v>0</v>
      </c>
      <c r="N388" s="126">
        <f>IF(N$16=1,IF(AND(N$4&lt;=('Assumptions - Freight'!$E$485+'Assumptions - Freight'!$E$495),N$4&gt;='Assumptions - Freight'!$E$485),'Assumptions - Freight'!$E$488-Calculations!N377-N384,0),0)</f>
        <v>0</v>
      </c>
      <c r="O388" s="126">
        <f>IF(O$16=1,IF(AND(O$4&lt;=('Assumptions - Freight'!$E$485+'Assumptions - Freight'!$E$495),O$4&gt;='Assumptions - Freight'!$E$485),'Assumptions - Freight'!$E$488-Calculations!O377-O384,0),0)</f>
        <v>0</v>
      </c>
      <c r="P388" s="126">
        <f>IF(P$16=1,IF(AND(P$4&lt;=('Assumptions - Freight'!$E$485+'Assumptions - Freight'!$E$495),P$4&gt;='Assumptions - Freight'!$E$485),'Assumptions - Freight'!$E$488-Calculations!P377-P384,0),0)</f>
        <v>0</v>
      </c>
      <c r="Q388" s="126">
        <f>IF(Q$16=1,IF(AND(Q$4&lt;=('Assumptions - Freight'!$E$485+'Assumptions - Freight'!$E$495),Q$4&gt;='Assumptions - Freight'!$E$485),'Assumptions - Freight'!$E$488-Calculations!Q377-Q384,0),0)</f>
        <v>0</v>
      </c>
      <c r="R388" s="126">
        <f>IF(R$16=1,IF(AND(R$4&lt;=('Assumptions - Freight'!$E$485+'Assumptions - Freight'!$E$495),R$4&gt;='Assumptions - Freight'!$E$485),'Assumptions - Freight'!$E$488-Calculations!R377-R384,0),0)</f>
        <v>0</v>
      </c>
      <c r="S388" s="126">
        <f>IF(S$16=1,IF(AND(S$4&lt;=('Assumptions - Freight'!$E$485+'Assumptions - Freight'!$E$495),S$4&gt;='Assumptions - Freight'!$E$485),'Assumptions - Freight'!$E$488-Calculations!S377-S384,0),0)</f>
        <v>0</v>
      </c>
      <c r="T388" s="126">
        <f>IF(T$16=1,IF(AND(T$4&lt;=('Assumptions - Freight'!$E$485+'Assumptions - Freight'!$E$495),T$4&gt;='Assumptions - Freight'!$E$485),'Assumptions - Freight'!$E$488-Calculations!T377-T384,0),0)</f>
        <v>0</v>
      </c>
      <c r="U388" s="126">
        <f>IF(U$16=1,IF(AND(U$4&lt;=('Assumptions - Freight'!$E$485+'Assumptions - Freight'!$E$495),U$4&gt;='Assumptions - Freight'!$E$485),'Assumptions - Freight'!$E$488-Calculations!U377-U384,0),0)</f>
        <v>0</v>
      </c>
      <c r="V388" s="126">
        <f>IF(V$16=1,IF(AND(V$4&lt;=('Assumptions - Freight'!$E$485+'Assumptions - Freight'!$E$495),V$4&gt;='Assumptions - Freight'!$E$485),'Assumptions - Freight'!$E$488-Calculations!V377-V384,0),0)</f>
        <v>0</v>
      </c>
      <c r="W388" s="126">
        <f>IF(W$16=1,IF(AND(W$4&lt;=('Assumptions - Freight'!$E$485+'Assumptions - Freight'!$E$495),W$4&gt;='Assumptions - Freight'!$E$485),'Assumptions - Freight'!$E$488-Calculations!W377-W384,0),0)</f>
        <v>0</v>
      </c>
      <c r="X388" s="126">
        <f>IF(X$16=1,IF(AND(X$4&lt;=('Assumptions - Freight'!$E$485+'Assumptions - Freight'!$E$495),X$4&gt;='Assumptions - Freight'!$E$485),'Assumptions - Freight'!$E$488-Calculations!X377-X384,0),0)</f>
        <v>0</v>
      </c>
      <c r="Y388" s="126">
        <f>IF(Y$16=1,IF(AND(Y$4&lt;=('Assumptions - Freight'!$E$485+'Assumptions - Freight'!$E$495),Y$4&gt;='Assumptions - Freight'!$E$485),'Assumptions - Freight'!$E$488-Calculations!Y377-Y384,0),0)</f>
        <v>0</v>
      </c>
      <c r="Z388" s="126">
        <f>IF(Z$16=1,IF(AND(Z$4&lt;=('Assumptions - Freight'!$E$485+'Assumptions - Freight'!$E$495),Z$4&gt;='Assumptions - Freight'!$E$485),'Assumptions - Freight'!$E$488-Calculations!Z377-Z384,0),0)</f>
        <v>0</v>
      </c>
      <c r="AA388" s="126">
        <f>IF(AA$16=1,IF(AND(AA$4&lt;=('Assumptions - Freight'!$E$485+'Assumptions - Freight'!$E$495),AA$4&gt;='Assumptions - Freight'!$E$485),'Assumptions - Freight'!$E$488-Calculations!AA377-AA384,0),0)</f>
        <v>0</v>
      </c>
      <c r="AB388" s="126">
        <f>IF(AB$16=1,IF(AND(AB$4&lt;=('Assumptions - Freight'!$E$485+'Assumptions - Freight'!$E$495),AB$4&gt;='Assumptions - Freight'!$E$485),'Assumptions - Freight'!$E$488-Calculations!AB377-AB384,0),0)</f>
        <v>0</v>
      </c>
      <c r="AC388" s="126">
        <f>IF(AC$16=1,IF(AND(AC$4&lt;=('Assumptions - Freight'!$E$485+'Assumptions - Freight'!$E$495),AC$4&gt;='Assumptions - Freight'!$E$485),'Assumptions - Freight'!$E$488-Calculations!AC377-AC384,0),0)</f>
        <v>0</v>
      </c>
      <c r="AD388" s="126">
        <f>IF(AD$16=1,IF(AND(AD$4&lt;=('Assumptions - Freight'!$E$485+'Assumptions - Freight'!$E$495),AD$4&gt;='Assumptions - Freight'!$E$485),'Assumptions - Freight'!$E$488-Calculations!AD377-AD384,0),0)</f>
        <v>0</v>
      </c>
      <c r="AE388" s="126">
        <f>IF(AE$16=1,IF(AND(AE$4&lt;=('Assumptions - Freight'!$E$485+'Assumptions - Freight'!$E$495),AE$4&gt;='Assumptions - Freight'!$E$485),'Assumptions - Freight'!$E$488-Calculations!AE377-AE384,0),0)</f>
        <v>0</v>
      </c>
      <c r="AF388" s="126">
        <f>IF(AF$16=1,IF(AND(AF$4&lt;=('Assumptions - Freight'!$E$485+'Assumptions - Freight'!$E$495),AF$4&gt;='Assumptions - Freight'!$E$485),'Assumptions - Freight'!$E$488-Calculations!AF377-AF384,0),0)</f>
        <v>0</v>
      </c>
      <c r="AG388" s="126">
        <f>IF(AG$16=1,IF(AND(AG$4&lt;=('Assumptions - Freight'!$E$485+'Assumptions - Freight'!$E$495),AG$4&gt;='Assumptions - Freight'!$E$485),'Assumptions - Freight'!$E$488-Calculations!AG377-AG384,0),0)</f>
        <v>0</v>
      </c>
      <c r="AH388" s="126">
        <f>IF(AH$16=1,IF(AND(AH$4&lt;=('Assumptions - Freight'!$E$485+'Assumptions - Freight'!$E$495),AH$4&gt;='Assumptions - Freight'!$E$485),'Assumptions - Freight'!$E$488-Calculations!AH377-AH384,0),0)</f>
        <v>0</v>
      </c>
    </row>
    <row r="389" spans="1:34" s="20" customFormat="1" ht="14" x14ac:dyDescent="0.2">
      <c r="A389" s="8"/>
      <c r="B389" s="8" t="s">
        <v>55</v>
      </c>
      <c r="C389" s="8"/>
      <c r="D389" s="8" t="str">
        <f>D388</f>
        <v>USD millions</v>
      </c>
      <c r="E389" s="126">
        <f>IF(E$16=1,'Assumptions - Freight'!$E$499*Calculations!E388,0)</f>
        <v>0</v>
      </c>
      <c r="F389" s="126">
        <f>IF(F$16=1,'Assumptions - Freight'!$E$499*Calculations!F388,0)</f>
        <v>0</v>
      </c>
      <c r="G389" s="126">
        <f>IF(G$16=1,'Assumptions - Freight'!$E$499*Calculations!G388,0)</f>
        <v>0</v>
      </c>
      <c r="H389" s="126">
        <f>IF(H$16=1,'Assumptions - Freight'!$E$499*Calculations!H388,0)</f>
        <v>0</v>
      </c>
      <c r="I389" s="126">
        <f>IF(I$16=1,'Assumptions - Freight'!$E$499*Calculations!I388,0)</f>
        <v>0</v>
      </c>
      <c r="J389" s="126">
        <f>IF(J$16=1,'Assumptions - Freight'!$E$499*Calculations!J388,0)</f>
        <v>0</v>
      </c>
      <c r="K389" s="126">
        <f>IF(K$16=1,'Assumptions - Freight'!$E$499*Calculations!K388,0)</f>
        <v>0</v>
      </c>
      <c r="L389" s="126">
        <f>IF(L$16=1,'Assumptions - Freight'!$E$499*Calculations!L388,0)</f>
        <v>0</v>
      </c>
      <c r="M389" s="126">
        <f>IF(M$16=1,'Assumptions - Freight'!$E$499*Calculations!M388,0)</f>
        <v>0</v>
      </c>
      <c r="N389" s="126">
        <f>IF(N$16=1,'Assumptions - Freight'!$E$499*Calculations!N388,0)</f>
        <v>0</v>
      </c>
      <c r="O389" s="126">
        <f>IF(O$16=1,'Assumptions - Freight'!$E$499*Calculations!O388,0)</f>
        <v>0</v>
      </c>
      <c r="P389" s="126">
        <f>IF(P$16=1,'Assumptions - Freight'!$E$499*Calculations!P388,0)</f>
        <v>0</v>
      </c>
      <c r="Q389" s="126">
        <f>IF(Q$16=1,'Assumptions - Freight'!$E$499*Calculations!Q388,0)</f>
        <v>0</v>
      </c>
      <c r="R389" s="126">
        <f>IF(R$16=1,'Assumptions - Freight'!$E$499*Calculations!R388,0)</f>
        <v>0</v>
      </c>
      <c r="S389" s="126">
        <f>IF(S$16=1,'Assumptions - Freight'!$E$499*Calculations!S388,0)</f>
        <v>0</v>
      </c>
      <c r="T389" s="126">
        <f>IF(T$16=1,'Assumptions - Freight'!$E$499*Calculations!T388,0)</f>
        <v>0</v>
      </c>
      <c r="U389" s="126">
        <f>IF(U$16=1,'Assumptions - Freight'!$E$499*Calculations!U388,0)</f>
        <v>0</v>
      </c>
      <c r="V389" s="126">
        <f>IF(V$16=1,'Assumptions - Freight'!$E$499*Calculations!V388,0)</f>
        <v>0</v>
      </c>
      <c r="W389" s="126">
        <f>IF(W$16=1,'Assumptions - Freight'!$E$499*Calculations!W388,0)</f>
        <v>0</v>
      </c>
      <c r="X389" s="126">
        <f>IF(X$16=1,'Assumptions - Freight'!$E$499*Calculations!X388,0)</f>
        <v>0</v>
      </c>
      <c r="Y389" s="126">
        <f>IF(Y$16=1,'Assumptions - Freight'!$E$499*Calculations!Y388,0)</f>
        <v>0</v>
      </c>
      <c r="Z389" s="126">
        <f>IF(Z$16=1,'Assumptions - Freight'!$E$499*Calculations!Z388,0)</f>
        <v>0</v>
      </c>
      <c r="AA389" s="126">
        <f>IF(AA$16=1,'Assumptions - Freight'!$E$499*Calculations!AA388,0)</f>
        <v>0</v>
      </c>
      <c r="AB389" s="126">
        <f>IF(AB$16=1,'Assumptions - Freight'!$E$499*Calculations!AB388,0)</f>
        <v>0</v>
      </c>
      <c r="AC389" s="126">
        <f>IF(AC$16=1,'Assumptions - Freight'!$E$499*Calculations!AC388,0)</f>
        <v>0</v>
      </c>
      <c r="AD389" s="126">
        <f>IF(AD$16=1,'Assumptions - Freight'!$E$499*Calculations!AD388,0)</f>
        <v>0</v>
      </c>
      <c r="AE389" s="126">
        <f>IF(AE$16=1,'Assumptions - Freight'!$E$499*Calculations!AE388,0)</f>
        <v>0</v>
      </c>
      <c r="AF389" s="126">
        <f>IF(AF$16=1,'Assumptions - Freight'!$E$499*Calculations!AF388,0)</f>
        <v>0</v>
      </c>
      <c r="AG389" s="126">
        <f>IF(AG$16=1,'Assumptions - Freight'!$E$499*Calculations!AG388,0)</f>
        <v>0</v>
      </c>
      <c r="AH389" s="126">
        <f>IF(AH$16=1,'Assumptions - Freight'!$E$499*Calculations!AH388,0)</f>
        <v>0</v>
      </c>
    </row>
    <row r="390" spans="1:34" s="20" customFormat="1" ht="14" x14ac:dyDescent="0.2">
      <c r="A390" s="8"/>
      <c r="B390" s="8" t="s">
        <v>140</v>
      </c>
      <c r="C390" s="8"/>
      <c r="D390" s="8" t="str">
        <f>D389</f>
        <v>USD millions</v>
      </c>
      <c r="E390" s="126">
        <f t="shared" ref="E390:F390" si="149">E378+E386+E387+E389</f>
        <v>0</v>
      </c>
      <c r="F390" s="126">
        <f t="shared" si="149"/>
        <v>0</v>
      </c>
      <c r="G390" s="126">
        <f t="shared" ref="G390:AH390" si="150">G378+G386+G387+G389</f>
        <v>0.375</v>
      </c>
      <c r="H390" s="126">
        <f t="shared" si="150"/>
        <v>0.75</v>
      </c>
      <c r="I390" s="126">
        <f t="shared" si="150"/>
        <v>1.25</v>
      </c>
      <c r="J390" s="126">
        <f t="shared" si="150"/>
        <v>1.75</v>
      </c>
      <c r="K390" s="126">
        <f t="shared" si="150"/>
        <v>2.25</v>
      </c>
      <c r="L390" s="126">
        <f t="shared" si="150"/>
        <v>2.5</v>
      </c>
      <c r="M390" s="126">
        <f t="shared" si="150"/>
        <v>2.5</v>
      </c>
      <c r="N390" s="126">
        <f t="shared" si="150"/>
        <v>2.5</v>
      </c>
      <c r="O390" s="126">
        <f t="shared" si="150"/>
        <v>2.5</v>
      </c>
      <c r="P390" s="126">
        <f t="shared" si="150"/>
        <v>2.5</v>
      </c>
      <c r="Q390" s="126">
        <f t="shared" si="150"/>
        <v>2.5</v>
      </c>
      <c r="R390" s="126">
        <f t="shared" si="150"/>
        <v>2.5</v>
      </c>
      <c r="S390" s="126">
        <f t="shared" si="150"/>
        <v>2.5</v>
      </c>
      <c r="T390" s="126">
        <f t="shared" si="150"/>
        <v>2.5</v>
      </c>
      <c r="U390" s="126">
        <f t="shared" si="150"/>
        <v>51.25</v>
      </c>
      <c r="V390" s="126">
        <f t="shared" si="150"/>
        <v>0</v>
      </c>
      <c r="W390" s="126">
        <f t="shared" si="150"/>
        <v>0</v>
      </c>
      <c r="X390" s="126">
        <f t="shared" si="150"/>
        <v>0</v>
      </c>
      <c r="Y390" s="126">
        <f t="shared" si="150"/>
        <v>0</v>
      </c>
      <c r="Z390" s="126">
        <f t="shared" si="150"/>
        <v>0</v>
      </c>
      <c r="AA390" s="126">
        <f t="shared" si="150"/>
        <v>0</v>
      </c>
      <c r="AB390" s="126">
        <f t="shared" si="150"/>
        <v>0</v>
      </c>
      <c r="AC390" s="126">
        <f t="shared" si="150"/>
        <v>0</v>
      </c>
      <c r="AD390" s="126">
        <f t="shared" si="150"/>
        <v>0</v>
      </c>
      <c r="AE390" s="126">
        <f t="shared" si="150"/>
        <v>0</v>
      </c>
      <c r="AF390" s="126">
        <f t="shared" si="150"/>
        <v>0</v>
      </c>
      <c r="AG390" s="126">
        <f t="shared" si="150"/>
        <v>0</v>
      </c>
      <c r="AH390" s="126">
        <f t="shared" si="150"/>
        <v>0</v>
      </c>
    </row>
    <row r="391" spans="1:34" s="20" customFormat="1" ht="14" x14ac:dyDescent="0.2">
      <c r="A391" s="8"/>
      <c r="B391" s="8"/>
      <c r="C391" s="8"/>
      <c r="D391" s="8"/>
      <c r="E391" s="16"/>
      <c r="F391" s="16"/>
      <c r="G391" s="16"/>
      <c r="H391" s="16"/>
      <c r="I391" s="16"/>
      <c r="J391" s="16"/>
      <c r="K391" s="8"/>
      <c r="L391" s="8"/>
      <c r="M391" s="8"/>
      <c r="N391" s="8"/>
      <c r="O391" s="8"/>
      <c r="P391" s="8"/>
      <c r="Q391" s="8"/>
      <c r="R391" s="8"/>
      <c r="S391" s="8"/>
      <c r="T391" s="8"/>
      <c r="U391" s="8"/>
      <c r="V391" s="8"/>
      <c r="W391" s="8"/>
      <c r="X391" s="8"/>
      <c r="Y391" s="8"/>
      <c r="Z391" s="8"/>
      <c r="AA391" s="8"/>
      <c r="AB391" s="8"/>
      <c r="AC391" s="8"/>
      <c r="AD391" s="8"/>
      <c r="AE391" s="8"/>
      <c r="AF391" s="8"/>
      <c r="AG391" s="8"/>
      <c r="AH391" s="8"/>
    </row>
    <row r="392" spans="1:34" s="20" customFormat="1" ht="14" x14ac:dyDescent="0.2">
      <c r="A392" s="8"/>
      <c r="B392" s="21" t="str">
        <f>B374</f>
        <v>New loan from Local bank</v>
      </c>
      <c r="C392" s="8"/>
      <c r="D392" s="8"/>
      <c r="E392" s="8"/>
      <c r="F392" s="8"/>
      <c r="G392" s="8"/>
      <c r="H392" s="8"/>
      <c r="I392" s="8"/>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row>
    <row r="393" spans="1:34" s="20" customFormat="1" ht="14" x14ac:dyDescent="0.2">
      <c r="A393" s="8"/>
      <c r="B393" s="8" t="s">
        <v>334</v>
      </c>
      <c r="C393" s="8"/>
      <c r="D393" s="8" t="str">
        <f>IF('Assumptions - Freight'!$E$486=1,"Same as above",IF('Assumptions - Freight'!$E$486=2,"Local currency/"&amp;'Assumptions - General'!$E$39,"Local currency/"&amp;'Assumptions - General'!$E$40))</f>
        <v>Local currency/USD</v>
      </c>
      <c r="E393" s="124">
        <f>IF('Assumptions - Freight'!$E$486=1,1,IF('Assumptions - Freight'!$E$486=2,'Assumptions - General'!E$41,'Assumptions - General'!E$42))</f>
        <v>2.5</v>
      </c>
      <c r="F393" s="124">
        <f>IF('Assumptions - Freight'!$E$486=1,1,IF('Assumptions - Freight'!$E$486=2,'Assumptions - General'!F$41,'Assumptions - General'!F$42))</f>
        <v>2.5</v>
      </c>
      <c r="G393" s="124">
        <f>IF('Assumptions - Freight'!$E$486=1,1,IF('Assumptions - Freight'!$E$486=2,'Assumptions - General'!G$41,'Assumptions - General'!G$42))</f>
        <v>2.5</v>
      </c>
      <c r="H393" s="124">
        <f>IF('Assumptions - Freight'!$E$486=1,1,IF('Assumptions - Freight'!$E$486=2,'Assumptions - General'!H$41,'Assumptions - General'!H$42))</f>
        <v>2.5</v>
      </c>
      <c r="I393" s="124">
        <f>IF('Assumptions - Freight'!$E$486=1,1,IF('Assumptions - Freight'!$E$486=2,'Assumptions - General'!I$41,'Assumptions - General'!I$42))</f>
        <v>2.5</v>
      </c>
      <c r="J393" s="124">
        <f>IF('Assumptions - Freight'!$E$486=1,1,IF('Assumptions - Freight'!$E$486=2,'Assumptions - General'!J$41,'Assumptions - General'!J$42))</f>
        <v>2.5</v>
      </c>
      <c r="K393" s="124">
        <f>IF('Assumptions - Freight'!$E$486=1,1,IF('Assumptions - Freight'!$E$486=2,'Assumptions - General'!K$41,'Assumptions - General'!K$42))</f>
        <v>2.5</v>
      </c>
      <c r="L393" s="124">
        <f>IF('Assumptions - Freight'!$E$486=1,1,IF('Assumptions - Freight'!$E$486=2,'Assumptions - General'!L$41,'Assumptions - General'!L$42))</f>
        <v>2.5</v>
      </c>
      <c r="M393" s="124">
        <f>IF('Assumptions - Freight'!$E$486=1,1,IF('Assumptions - Freight'!$E$486=2,'Assumptions - General'!M$41,'Assumptions - General'!M$42))</f>
        <v>2.5</v>
      </c>
      <c r="N393" s="124">
        <f>IF('Assumptions - Freight'!$E$486=1,1,IF('Assumptions - Freight'!$E$486=2,'Assumptions - General'!N$41,'Assumptions - General'!N$42))</f>
        <v>2.5</v>
      </c>
      <c r="O393" s="124">
        <f>IF('Assumptions - Freight'!$E$486=1,1,IF('Assumptions - Freight'!$E$486=2,'Assumptions - General'!O$41,'Assumptions - General'!O$42))</f>
        <v>2.5</v>
      </c>
      <c r="P393" s="124">
        <f>IF('Assumptions - Freight'!$E$486=1,1,IF('Assumptions - Freight'!$E$486=2,'Assumptions - General'!P$41,'Assumptions - General'!P$42))</f>
        <v>2.5</v>
      </c>
      <c r="Q393" s="124">
        <f>IF('Assumptions - Freight'!$E$486=1,1,IF('Assumptions - Freight'!$E$486=2,'Assumptions - General'!Q$41,'Assumptions - General'!Q$42))</f>
        <v>2.5</v>
      </c>
      <c r="R393" s="124">
        <f>IF('Assumptions - Freight'!$E$486=1,1,IF('Assumptions - Freight'!$E$486=2,'Assumptions - General'!R$41,'Assumptions - General'!R$42))</f>
        <v>2.5</v>
      </c>
      <c r="S393" s="124">
        <f>IF('Assumptions - Freight'!$E$486=1,1,IF('Assumptions - Freight'!$E$486=2,'Assumptions - General'!S$41,'Assumptions - General'!S$42))</f>
        <v>2.5</v>
      </c>
      <c r="T393" s="124">
        <f>IF('Assumptions - Freight'!$E$486=1,1,IF('Assumptions - Freight'!$E$486=2,'Assumptions - General'!T$41,'Assumptions - General'!T$42))</f>
        <v>2.5</v>
      </c>
      <c r="U393" s="124">
        <f>IF('Assumptions - Freight'!$E$486=1,1,IF('Assumptions - Freight'!$E$486=2,'Assumptions - General'!U$41,'Assumptions - General'!U$42))</f>
        <v>2.5</v>
      </c>
      <c r="V393" s="124">
        <f>IF('Assumptions - Freight'!$E$486=1,1,IF('Assumptions - Freight'!$E$486=2,'Assumptions - General'!V$41,'Assumptions - General'!V$42))</f>
        <v>2.5</v>
      </c>
      <c r="W393" s="124">
        <f>IF('Assumptions - Freight'!$E$486=1,1,IF('Assumptions - Freight'!$E$486=2,'Assumptions - General'!W$41,'Assumptions - General'!W$42))</f>
        <v>2.5</v>
      </c>
      <c r="X393" s="124">
        <f>IF('Assumptions - Freight'!$E$486=1,1,IF('Assumptions - Freight'!$E$486=2,'Assumptions - General'!X$41,'Assumptions - General'!X$42))</f>
        <v>2.5</v>
      </c>
      <c r="Y393" s="124">
        <f>IF('Assumptions - Freight'!$E$486=1,1,IF('Assumptions - Freight'!$E$486=2,'Assumptions - General'!Y$41,'Assumptions - General'!Y$42))</f>
        <v>2.5</v>
      </c>
      <c r="Z393" s="124">
        <f>IF('Assumptions - Freight'!$E$486=1,1,IF('Assumptions - Freight'!$E$486=2,'Assumptions - General'!Z$41,'Assumptions - General'!Z$42))</f>
        <v>2.5</v>
      </c>
      <c r="AA393" s="124">
        <f>IF('Assumptions - Freight'!$E$486=1,1,IF('Assumptions - Freight'!$E$486=2,'Assumptions - General'!AA$41,'Assumptions - General'!AA$42))</f>
        <v>2.5</v>
      </c>
      <c r="AB393" s="124">
        <f>IF('Assumptions - Freight'!$E$486=1,1,IF('Assumptions - Freight'!$E$486=2,'Assumptions - General'!AB$41,'Assumptions - General'!AB$42))</f>
        <v>2.5</v>
      </c>
      <c r="AC393" s="124">
        <f>IF('Assumptions - Freight'!$E$486=1,1,IF('Assumptions - Freight'!$E$486=2,'Assumptions - General'!AC$41,'Assumptions - General'!AC$42))</f>
        <v>2.5</v>
      </c>
      <c r="AD393" s="124">
        <f>IF('Assumptions - Freight'!$E$486=1,1,IF('Assumptions - Freight'!$E$486=2,'Assumptions - General'!AD$41,'Assumptions - General'!AD$42))</f>
        <v>2.5</v>
      </c>
      <c r="AE393" s="124">
        <f>IF('Assumptions - Freight'!$E$486=1,1,IF('Assumptions - Freight'!$E$486=2,'Assumptions - General'!AE$41,'Assumptions - General'!AE$42))</f>
        <v>2.5</v>
      </c>
      <c r="AF393" s="124">
        <f>IF('Assumptions - Freight'!$E$486=1,1,IF('Assumptions - Freight'!$E$486=2,'Assumptions - General'!AF$41,'Assumptions - General'!AF$42))</f>
        <v>2.5</v>
      </c>
      <c r="AG393" s="124">
        <f>IF('Assumptions - Freight'!$E$486=1,1,IF('Assumptions - Freight'!$E$486=2,'Assumptions - General'!AG$41,'Assumptions - General'!AG$42))</f>
        <v>2.5</v>
      </c>
      <c r="AH393" s="124">
        <f>IF('Assumptions - Freight'!$E$486=1,1,IF('Assumptions - Freight'!$E$486=2,'Assumptions - General'!AH$41,'Assumptions - General'!AH$42))</f>
        <v>2.5</v>
      </c>
    </row>
    <row r="394" spans="1:34" s="20" customFormat="1" ht="14" x14ac:dyDescent="0.2">
      <c r="A394" s="8"/>
      <c r="B394" s="8" t="s">
        <v>136</v>
      </c>
      <c r="C394" s="8"/>
      <c r="D394" s="8" t="str">
        <f>'Assumptions - General'!$E$27 &amp;" millions"</f>
        <v>R$ millions</v>
      </c>
      <c r="E394" s="126">
        <f t="shared" ref="E394:F395" si="151">E377*E$393</f>
        <v>0</v>
      </c>
      <c r="F394" s="126">
        <f t="shared" si="151"/>
        <v>0</v>
      </c>
      <c r="G394" s="126">
        <f t="shared" ref="G394:AH394" si="152">G377*G$393</f>
        <v>0</v>
      </c>
      <c r="H394" s="126">
        <f t="shared" si="152"/>
        <v>25</v>
      </c>
      <c r="I394" s="126">
        <f t="shared" si="152"/>
        <v>50</v>
      </c>
      <c r="J394" s="126">
        <f t="shared" si="152"/>
        <v>75</v>
      </c>
      <c r="K394" s="126">
        <f t="shared" si="152"/>
        <v>100</v>
      </c>
      <c r="L394" s="126">
        <f t="shared" si="152"/>
        <v>125</v>
      </c>
      <c r="M394" s="126">
        <f t="shared" si="152"/>
        <v>125</v>
      </c>
      <c r="N394" s="126">
        <f t="shared" si="152"/>
        <v>125</v>
      </c>
      <c r="O394" s="126">
        <f t="shared" si="152"/>
        <v>125</v>
      </c>
      <c r="P394" s="126">
        <f t="shared" si="152"/>
        <v>125</v>
      </c>
      <c r="Q394" s="126">
        <f t="shared" si="152"/>
        <v>125</v>
      </c>
      <c r="R394" s="126">
        <f t="shared" si="152"/>
        <v>125</v>
      </c>
      <c r="S394" s="126">
        <f t="shared" si="152"/>
        <v>125</v>
      </c>
      <c r="T394" s="126">
        <f t="shared" si="152"/>
        <v>125</v>
      </c>
      <c r="U394" s="126">
        <f t="shared" si="152"/>
        <v>125</v>
      </c>
      <c r="V394" s="126">
        <f t="shared" si="152"/>
        <v>0</v>
      </c>
      <c r="W394" s="126">
        <f t="shared" si="152"/>
        <v>0</v>
      </c>
      <c r="X394" s="126">
        <f t="shared" si="152"/>
        <v>0</v>
      </c>
      <c r="Y394" s="126">
        <f t="shared" si="152"/>
        <v>0</v>
      </c>
      <c r="Z394" s="126">
        <f t="shared" si="152"/>
        <v>0</v>
      </c>
      <c r="AA394" s="126">
        <f t="shared" si="152"/>
        <v>0</v>
      </c>
      <c r="AB394" s="126">
        <f t="shared" si="152"/>
        <v>0</v>
      </c>
      <c r="AC394" s="126">
        <f t="shared" si="152"/>
        <v>0</v>
      </c>
      <c r="AD394" s="126">
        <f t="shared" si="152"/>
        <v>0</v>
      </c>
      <c r="AE394" s="126">
        <f t="shared" si="152"/>
        <v>0</v>
      </c>
      <c r="AF394" s="126">
        <f t="shared" si="152"/>
        <v>0</v>
      </c>
      <c r="AG394" s="126">
        <f t="shared" si="152"/>
        <v>0</v>
      </c>
      <c r="AH394" s="126">
        <f t="shared" si="152"/>
        <v>0</v>
      </c>
    </row>
    <row r="395" spans="1:34" s="20" customFormat="1" ht="14" x14ac:dyDescent="0.2">
      <c r="A395" s="8"/>
      <c r="B395" s="8" t="s">
        <v>410</v>
      </c>
      <c r="C395" s="8"/>
      <c r="D395" s="8" t="str">
        <f>'Assumptions - General'!$E$27 &amp;" millions"</f>
        <v>R$ millions</v>
      </c>
      <c r="E395" s="126">
        <f t="shared" si="151"/>
        <v>0</v>
      </c>
      <c r="F395" s="126">
        <f t="shared" si="151"/>
        <v>0</v>
      </c>
      <c r="G395" s="126">
        <f t="shared" ref="G395:AH395" si="153">G378*G$393</f>
        <v>0</v>
      </c>
      <c r="H395" s="126">
        <f t="shared" si="153"/>
        <v>0</v>
      </c>
      <c r="I395" s="126">
        <f t="shared" si="153"/>
        <v>0</v>
      </c>
      <c r="J395" s="126">
        <f t="shared" si="153"/>
        <v>0</v>
      </c>
      <c r="K395" s="126">
        <f t="shared" si="153"/>
        <v>0</v>
      </c>
      <c r="L395" s="126">
        <f t="shared" si="153"/>
        <v>0</v>
      </c>
      <c r="M395" s="126">
        <f t="shared" si="153"/>
        <v>0</v>
      </c>
      <c r="N395" s="126">
        <f t="shared" si="153"/>
        <v>0</v>
      </c>
      <c r="O395" s="126">
        <f t="shared" si="153"/>
        <v>0</v>
      </c>
      <c r="P395" s="126">
        <f t="shared" si="153"/>
        <v>0</v>
      </c>
      <c r="Q395" s="126">
        <f t="shared" si="153"/>
        <v>0</v>
      </c>
      <c r="R395" s="126">
        <f t="shared" si="153"/>
        <v>0</v>
      </c>
      <c r="S395" s="126">
        <f t="shared" si="153"/>
        <v>0</v>
      </c>
      <c r="T395" s="126">
        <f t="shared" si="153"/>
        <v>0</v>
      </c>
      <c r="U395" s="126">
        <f t="shared" si="153"/>
        <v>125</v>
      </c>
      <c r="V395" s="126">
        <f t="shared" si="153"/>
        <v>0</v>
      </c>
      <c r="W395" s="126">
        <f t="shared" si="153"/>
        <v>0</v>
      </c>
      <c r="X395" s="126">
        <f t="shared" si="153"/>
        <v>0</v>
      </c>
      <c r="Y395" s="126">
        <f t="shared" si="153"/>
        <v>0</v>
      </c>
      <c r="Z395" s="126">
        <f t="shared" si="153"/>
        <v>0</v>
      </c>
      <c r="AA395" s="126">
        <f t="shared" si="153"/>
        <v>0</v>
      </c>
      <c r="AB395" s="126">
        <f t="shared" si="153"/>
        <v>0</v>
      </c>
      <c r="AC395" s="126">
        <f t="shared" si="153"/>
        <v>0</v>
      </c>
      <c r="AD395" s="126">
        <f t="shared" si="153"/>
        <v>0</v>
      </c>
      <c r="AE395" s="126">
        <f t="shared" si="153"/>
        <v>0</v>
      </c>
      <c r="AF395" s="126">
        <f t="shared" si="153"/>
        <v>0</v>
      </c>
      <c r="AG395" s="126">
        <f t="shared" si="153"/>
        <v>0</v>
      </c>
      <c r="AH395" s="126">
        <f t="shared" si="153"/>
        <v>0</v>
      </c>
    </row>
    <row r="396" spans="1:34" s="20" customFormat="1" ht="14" x14ac:dyDescent="0.2">
      <c r="A396" s="8"/>
      <c r="B396" s="8" t="s">
        <v>137</v>
      </c>
      <c r="C396" s="8"/>
      <c r="D396" s="8" t="str">
        <f>'Assumptions - General'!$E$27 &amp;" millions"</f>
        <v>R$ millions</v>
      </c>
      <c r="E396" s="126">
        <f t="shared" ref="E396:F402" si="154">E384*E$393</f>
        <v>0</v>
      </c>
      <c r="F396" s="126">
        <f t="shared" si="154"/>
        <v>0</v>
      </c>
      <c r="G396" s="126">
        <f t="shared" ref="G396:AH396" si="155">G384*G$393</f>
        <v>25</v>
      </c>
      <c r="H396" s="126">
        <f t="shared" si="155"/>
        <v>25</v>
      </c>
      <c r="I396" s="126">
        <f t="shared" si="155"/>
        <v>25</v>
      </c>
      <c r="J396" s="126">
        <f t="shared" si="155"/>
        <v>25</v>
      </c>
      <c r="K396" s="126">
        <f t="shared" si="155"/>
        <v>25</v>
      </c>
      <c r="L396" s="126">
        <f t="shared" si="155"/>
        <v>0</v>
      </c>
      <c r="M396" s="126">
        <f t="shared" si="155"/>
        <v>0</v>
      </c>
      <c r="N396" s="126">
        <f t="shared" si="155"/>
        <v>0</v>
      </c>
      <c r="O396" s="126">
        <f t="shared" si="155"/>
        <v>0</v>
      </c>
      <c r="P396" s="126">
        <f t="shared" si="155"/>
        <v>0</v>
      </c>
      <c r="Q396" s="126">
        <f t="shared" si="155"/>
        <v>0</v>
      </c>
      <c r="R396" s="126">
        <f t="shared" si="155"/>
        <v>0</v>
      </c>
      <c r="S396" s="126">
        <f t="shared" si="155"/>
        <v>0</v>
      </c>
      <c r="T396" s="126">
        <f t="shared" si="155"/>
        <v>0</v>
      </c>
      <c r="U396" s="126">
        <f t="shared" si="155"/>
        <v>0</v>
      </c>
      <c r="V396" s="126">
        <f t="shared" si="155"/>
        <v>0</v>
      </c>
      <c r="W396" s="126">
        <f t="shared" si="155"/>
        <v>0</v>
      </c>
      <c r="X396" s="126">
        <f t="shared" si="155"/>
        <v>0</v>
      </c>
      <c r="Y396" s="126">
        <f t="shared" si="155"/>
        <v>0</v>
      </c>
      <c r="Z396" s="126">
        <f t="shared" si="155"/>
        <v>0</v>
      </c>
      <c r="AA396" s="126">
        <f t="shared" si="155"/>
        <v>0</v>
      </c>
      <c r="AB396" s="126">
        <f t="shared" si="155"/>
        <v>0</v>
      </c>
      <c r="AC396" s="126">
        <f t="shared" si="155"/>
        <v>0</v>
      </c>
      <c r="AD396" s="126">
        <f t="shared" si="155"/>
        <v>0</v>
      </c>
      <c r="AE396" s="126">
        <f t="shared" si="155"/>
        <v>0</v>
      </c>
      <c r="AF396" s="126">
        <f t="shared" si="155"/>
        <v>0</v>
      </c>
      <c r="AG396" s="126">
        <f t="shared" si="155"/>
        <v>0</v>
      </c>
      <c r="AH396" s="126">
        <f t="shared" si="155"/>
        <v>0</v>
      </c>
    </row>
    <row r="397" spans="1:34" s="20" customFormat="1" ht="14" x14ac:dyDescent="0.2">
      <c r="A397" s="8"/>
      <c r="B397" s="8" t="s">
        <v>138</v>
      </c>
      <c r="C397" s="8"/>
      <c r="D397" s="8" t="str">
        <f>'Assumptions - General'!$E$27 &amp;" millions"</f>
        <v>R$ millions</v>
      </c>
      <c r="E397" s="126">
        <f t="shared" si="154"/>
        <v>0</v>
      </c>
      <c r="F397" s="126">
        <f t="shared" si="154"/>
        <v>0</v>
      </c>
      <c r="G397" s="126">
        <f t="shared" ref="G397:AH397" si="156">G385*G$393</f>
        <v>25</v>
      </c>
      <c r="H397" s="126">
        <f t="shared" si="156"/>
        <v>50</v>
      </c>
      <c r="I397" s="126">
        <f t="shared" si="156"/>
        <v>75</v>
      </c>
      <c r="J397" s="126">
        <f t="shared" si="156"/>
        <v>100</v>
      </c>
      <c r="K397" s="126">
        <f t="shared" si="156"/>
        <v>125</v>
      </c>
      <c r="L397" s="126">
        <f t="shared" si="156"/>
        <v>125</v>
      </c>
      <c r="M397" s="126">
        <f t="shared" si="156"/>
        <v>125</v>
      </c>
      <c r="N397" s="126">
        <f t="shared" si="156"/>
        <v>125</v>
      </c>
      <c r="O397" s="126">
        <f t="shared" si="156"/>
        <v>125</v>
      </c>
      <c r="P397" s="126">
        <f t="shared" si="156"/>
        <v>125</v>
      </c>
      <c r="Q397" s="126">
        <f t="shared" si="156"/>
        <v>125</v>
      </c>
      <c r="R397" s="126">
        <f t="shared" si="156"/>
        <v>125</v>
      </c>
      <c r="S397" s="126">
        <f t="shared" si="156"/>
        <v>125</v>
      </c>
      <c r="T397" s="126">
        <f t="shared" si="156"/>
        <v>125</v>
      </c>
      <c r="U397" s="126">
        <f t="shared" si="156"/>
        <v>0</v>
      </c>
      <c r="V397" s="126">
        <f t="shared" si="156"/>
        <v>0</v>
      </c>
      <c r="W397" s="126">
        <f t="shared" si="156"/>
        <v>0</v>
      </c>
      <c r="X397" s="126">
        <f t="shared" si="156"/>
        <v>0</v>
      </c>
      <c r="Y397" s="126">
        <f t="shared" si="156"/>
        <v>0</v>
      </c>
      <c r="Z397" s="126">
        <f t="shared" si="156"/>
        <v>0</v>
      </c>
      <c r="AA397" s="126">
        <f t="shared" si="156"/>
        <v>0</v>
      </c>
      <c r="AB397" s="126">
        <f t="shared" si="156"/>
        <v>0</v>
      </c>
      <c r="AC397" s="126">
        <f t="shared" si="156"/>
        <v>0</v>
      </c>
      <c r="AD397" s="126">
        <f t="shared" si="156"/>
        <v>0</v>
      </c>
      <c r="AE397" s="126">
        <f t="shared" si="156"/>
        <v>0</v>
      </c>
      <c r="AF397" s="126">
        <f t="shared" si="156"/>
        <v>0</v>
      </c>
      <c r="AG397" s="126">
        <f t="shared" si="156"/>
        <v>0</v>
      </c>
      <c r="AH397" s="126">
        <f t="shared" si="156"/>
        <v>0</v>
      </c>
    </row>
    <row r="398" spans="1:34" s="20" customFormat="1" ht="14" x14ac:dyDescent="0.2">
      <c r="A398" s="8"/>
      <c r="B398" s="8" t="s">
        <v>139</v>
      </c>
      <c r="C398" s="8"/>
      <c r="D398" s="8" t="str">
        <f>'Assumptions - General'!$E$27 &amp;" millions"</f>
        <v>R$ millions</v>
      </c>
      <c r="E398" s="126">
        <f t="shared" si="154"/>
        <v>0</v>
      </c>
      <c r="F398" s="126">
        <f t="shared" si="154"/>
        <v>0</v>
      </c>
      <c r="G398" s="126">
        <f t="shared" ref="G398:AH398" si="157">G386*G$393</f>
        <v>0.625</v>
      </c>
      <c r="H398" s="126">
        <f t="shared" si="157"/>
        <v>1.875</v>
      </c>
      <c r="I398" s="126">
        <f t="shared" si="157"/>
        <v>3.125</v>
      </c>
      <c r="J398" s="126">
        <f t="shared" si="157"/>
        <v>4.375</v>
      </c>
      <c r="K398" s="126">
        <f t="shared" si="157"/>
        <v>5.625</v>
      </c>
      <c r="L398" s="126">
        <f t="shared" si="157"/>
        <v>6.25</v>
      </c>
      <c r="M398" s="126">
        <f t="shared" si="157"/>
        <v>6.25</v>
      </c>
      <c r="N398" s="126">
        <f t="shared" si="157"/>
        <v>6.25</v>
      </c>
      <c r="O398" s="126">
        <f t="shared" si="157"/>
        <v>6.25</v>
      </c>
      <c r="P398" s="126">
        <f t="shared" si="157"/>
        <v>6.25</v>
      </c>
      <c r="Q398" s="126">
        <f t="shared" si="157"/>
        <v>6.25</v>
      </c>
      <c r="R398" s="126">
        <f t="shared" si="157"/>
        <v>6.25</v>
      </c>
      <c r="S398" s="126">
        <f t="shared" si="157"/>
        <v>6.25</v>
      </c>
      <c r="T398" s="126">
        <f t="shared" si="157"/>
        <v>6.25</v>
      </c>
      <c r="U398" s="126">
        <f t="shared" si="157"/>
        <v>3.125</v>
      </c>
      <c r="V398" s="126">
        <f t="shared" si="157"/>
        <v>0</v>
      </c>
      <c r="W398" s="126">
        <f t="shared" si="157"/>
        <v>0</v>
      </c>
      <c r="X398" s="126">
        <f t="shared" si="157"/>
        <v>0</v>
      </c>
      <c r="Y398" s="126">
        <f t="shared" si="157"/>
        <v>0</v>
      </c>
      <c r="Z398" s="126">
        <f t="shared" si="157"/>
        <v>0</v>
      </c>
      <c r="AA398" s="126">
        <f t="shared" si="157"/>
        <v>0</v>
      </c>
      <c r="AB398" s="126">
        <f t="shared" si="157"/>
        <v>0</v>
      </c>
      <c r="AC398" s="126">
        <f t="shared" si="157"/>
        <v>0</v>
      </c>
      <c r="AD398" s="126">
        <f t="shared" si="157"/>
        <v>0</v>
      </c>
      <c r="AE398" s="126">
        <f t="shared" si="157"/>
        <v>0</v>
      </c>
      <c r="AF398" s="126">
        <f t="shared" si="157"/>
        <v>0</v>
      </c>
      <c r="AG398" s="126">
        <f t="shared" si="157"/>
        <v>0</v>
      </c>
      <c r="AH398" s="126">
        <f t="shared" si="157"/>
        <v>0</v>
      </c>
    </row>
    <row r="399" spans="1:34" s="20" customFormat="1" ht="14" x14ac:dyDescent="0.2">
      <c r="A399" s="8"/>
      <c r="B399" s="8" t="s">
        <v>53</v>
      </c>
      <c r="C399" s="8"/>
      <c r="D399" s="8" t="str">
        <f>'Assumptions - General'!$E$27 &amp;" millions"</f>
        <v>R$ millions</v>
      </c>
      <c r="E399" s="126">
        <f t="shared" si="154"/>
        <v>0</v>
      </c>
      <c r="F399" s="126">
        <f t="shared" si="154"/>
        <v>0</v>
      </c>
      <c r="G399" s="126">
        <f t="shared" ref="G399:AH399" si="158">G387*G$393</f>
        <v>0.3125</v>
      </c>
      <c r="H399" s="126">
        <f t="shared" si="158"/>
        <v>0</v>
      </c>
      <c r="I399" s="126">
        <f t="shared" si="158"/>
        <v>0</v>
      </c>
      <c r="J399" s="126">
        <f t="shared" si="158"/>
        <v>0</v>
      </c>
      <c r="K399" s="126">
        <f t="shared" si="158"/>
        <v>0</v>
      </c>
      <c r="L399" s="126">
        <f t="shared" si="158"/>
        <v>0</v>
      </c>
      <c r="M399" s="126">
        <f t="shared" si="158"/>
        <v>0</v>
      </c>
      <c r="N399" s="126">
        <f t="shared" si="158"/>
        <v>0</v>
      </c>
      <c r="O399" s="126">
        <f t="shared" si="158"/>
        <v>0</v>
      </c>
      <c r="P399" s="126">
        <f t="shared" si="158"/>
        <v>0</v>
      </c>
      <c r="Q399" s="126">
        <f t="shared" si="158"/>
        <v>0</v>
      </c>
      <c r="R399" s="126">
        <f t="shared" si="158"/>
        <v>0</v>
      </c>
      <c r="S399" s="126">
        <f t="shared" si="158"/>
        <v>0</v>
      </c>
      <c r="T399" s="126">
        <f t="shared" si="158"/>
        <v>0</v>
      </c>
      <c r="U399" s="126">
        <f t="shared" si="158"/>
        <v>0</v>
      </c>
      <c r="V399" s="126">
        <f t="shared" si="158"/>
        <v>0</v>
      </c>
      <c r="W399" s="126">
        <f t="shared" si="158"/>
        <v>0</v>
      </c>
      <c r="X399" s="126">
        <f t="shared" si="158"/>
        <v>0</v>
      </c>
      <c r="Y399" s="126">
        <f t="shared" si="158"/>
        <v>0</v>
      </c>
      <c r="Z399" s="126">
        <f t="shared" si="158"/>
        <v>0</v>
      </c>
      <c r="AA399" s="126">
        <f t="shared" si="158"/>
        <v>0</v>
      </c>
      <c r="AB399" s="126">
        <f t="shared" si="158"/>
        <v>0</v>
      </c>
      <c r="AC399" s="126">
        <f t="shared" si="158"/>
        <v>0</v>
      </c>
      <c r="AD399" s="126">
        <f t="shared" si="158"/>
        <v>0</v>
      </c>
      <c r="AE399" s="126">
        <f t="shared" si="158"/>
        <v>0</v>
      </c>
      <c r="AF399" s="126">
        <f t="shared" si="158"/>
        <v>0</v>
      </c>
      <c r="AG399" s="126">
        <f t="shared" si="158"/>
        <v>0</v>
      </c>
      <c r="AH399" s="126">
        <f t="shared" si="158"/>
        <v>0</v>
      </c>
    </row>
    <row r="400" spans="1:34" s="20" customFormat="1" ht="14" x14ac:dyDescent="0.2">
      <c r="A400" s="8"/>
      <c r="B400" s="8" t="s">
        <v>142</v>
      </c>
      <c r="C400" s="8"/>
      <c r="D400" s="8" t="str">
        <f>'Assumptions - General'!$E$27 &amp;" millions"</f>
        <v>R$ millions</v>
      </c>
      <c r="E400" s="126">
        <f t="shared" si="154"/>
        <v>0</v>
      </c>
      <c r="F400" s="126">
        <f t="shared" si="154"/>
        <v>0</v>
      </c>
      <c r="G400" s="126">
        <f t="shared" ref="G400:AH400" si="159">G388*G$393</f>
        <v>100</v>
      </c>
      <c r="H400" s="126">
        <f t="shared" si="159"/>
        <v>75</v>
      </c>
      <c r="I400" s="126">
        <f t="shared" si="159"/>
        <v>50</v>
      </c>
      <c r="J400" s="126">
        <f t="shared" si="159"/>
        <v>25</v>
      </c>
      <c r="K400" s="126">
        <f t="shared" si="159"/>
        <v>0</v>
      </c>
      <c r="L400" s="126">
        <f t="shared" si="159"/>
        <v>0</v>
      </c>
      <c r="M400" s="126">
        <f t="shared" si="159"/>
        <v>0</v>
      </c>
      <c r="N400" s="126">
        <f t="shared" si="159"/>
        <v>0</v>
      </c>
      <c r="O400" s="126">
        <f t="shared" si="159"/>
        <v>0</v>
      </c>
      <c r="P400" s="126">
        <f t="shared" si="159"/>
        <v>0</v>
      </c>
      <c r="Q400" s="126">
        <f t="shared" si="159"/>
        <v>0</v>
      </c>
      <c r="R400" s="126">
        <f t="shared" si="159"/>
        <v>0</v>
      </c>
      <c r="S400" s="126">
        <f t="shared" si="159"/>
        <v>0</v>
      </c>
      <c r="T400" s="126">
        <f t="shared" si="159"/>
        <v>0</v>
      </c>
      <c r="U400" s="126">
        <f t="shared" si="159"/>
        <v>0</v>
      </c>
      <c r="V400" s="126">
        <f t="shared" si="159"/>
        <v>0</v>
      </c>
      <c r="W400" s="126">
        <f t="shared" si="159"/>
        <v>0</v>
      </c>
      <c r="X400" s="126">
        <f t="shared" si="159"/>
        <v>0</v>
      </c>
      <c r="Y400" s="126">
        <f t="shared" si="159"/>
        <v>0</v>
      </c>
      <c r="Z400" s="126">
        <f t="shared" si="159"/>
        <v>0</v>
      </c>
      <c r="AA400" s="126">
        <f t="shared" si="159"/>
        <v>0</v>
      </c>
      <c r="AB400" s="126">
        <f t="shared" si="159"/>
        <v>0</v>
      </c>
      <c r="AC400" s="126">
        <f t="shared" si="159"/>
        <v>0</v>
      </c>
      <c r="AD400" s="126">
        <f t="shared" si="159"/>
        <v>0</v>
      </c>
      <c r="AE400" s="126">
        <f t="shared" si="159"/>
        <v>0</v>
      </c>
      <c r="AF400" s="126">
        <f t="shared" si="159"/>
        <v>0</v>
      </c>
      <c r="AG400" s="126">
        <f t="shared" si="159"/>
        <v>0</v>
      </c>
      <c r="AH400" s="126">
        <f t="shared" si="159"/>
        <v>0</v>
      </c>
    </row>
    <row r="401" spans="1:34" s="20" customFormat="1" ht="14" x14ac:dyDescent="0.2">
      <c r="A401" s="8"/>
      <c r="B401" s="8" t="s">
        <v>55</v>
      </c>
      <c r="C401" s="8"/>
      <c r="D401" s="8" t="str">
        <f>'Assumptions - General'!$E$27 &amp;" millions"</f>
        <v>R$ millions</v>
      </c>
      <c r="E401" s="126">
        <f t="shared" si="154"/>
        <v>0</v>
      </c>
      <c r="F401" s="126">
        <f t="shared" si="154"/>
        <v>0</v>
      </c>
      <c r="G401" s="126">
        <f t="shared" ref="G401:AH401" si="160">G389*G$393</f>
        <v>0</v>
      </c>
      <c r="H401" s="126">
        <f t="shared" si="160"/>
        <v>0</v>
      </c>
      <c r="I401" s="126">
        <f t="shared" si="160"/>
        <v>0</v>
      </c>
      <c r="J401" s="126">
        <f t="shared" si="160"/>
        <v>0</v>
      </c>
      <c r="K401" s="126">
        <f t="shared" si="160"/>
        <v>0</v>
      </c>
      <c r="L401" s="126">
        <f t="shared" si="160"/>
        <v>0</v>
      </c>
      <c r="M401" s="126">
        <f t="shared" si="160"/>
        <v>0</v>
      </c>
      <c r="N401" s="126">
        <f t="shared" si="160"/>
        <v>0</v>
      </c>
      <c r="O401" s="126">
        <f t="shared" si="160"/>
        <v>0</v>
      </c>
      <c r="P401" s="126">
        <f t="shared" si="160"/>
        <v>0</v>
      </c>
      <c r="Q401" s="126">
        <f t="shared" si="160"/>
        <v>0</v>
      </c>
      <c r="R401" s="126">
        <f t="shared" si="160"/>
        <v>0</v>
      </c>
      <c r="S401" s="126">
        <f t="shared" si="160"/>
        <v>0</v>
      </c>
      <c r="T401" s="126">
        <f t="shared" si="160"/>
        <v>0</v>
      </c>
      <c r="U401" s="126">
        <f t="shared" si="160"/>
        <v>0</v>
      </c>
      <c r="V401" s="126">
        <f t="shared" si="160"/>
        <v>0</v>
      </c>
      <c r="W401" s="126">
        <f t="shared" si="160"/>
        <v>0</v>
      </c>
      <c r="X401" s="126">
        <f t="shared" si="160"/>
        <v>0</v>
      </c>
      <c r="Y401" s="126">
        <f t="shared" si="160"/>
        <v>0</v>
      </c>
      <c r="Z401" s="126">
        <f t="shared" si="160"/>
        <v>0</v>
      </c>
      <c r="AA401" s="126">
        <f t="shared" si="160"/>
        <v>0</v>
      </c>
      <c r="AB401" s="126">
        <f t="shared" si="160"/>
        <v>0</v>
      </c>
      <c r="AC401" s="126">
        <f t="shared" si="160"/>
        <v>0</v>
      </c>
      <c r="AD401" s="126">
        <f t="shared" si="160"/>
        <v>0</v>
      </c>
      <c r="AE401" s="126">
        <f t="shared" si="160"/>
        <v>0</v>
      </c>
      <c r="AF401" s="126">
        <f t="shared" si="160"/>
        <v>0</v>
      </c>
      <c r="AG401" s="126">
        <f t="shared" si="160"/>
        <v>0</v>
      </c>
      <c r="AH401" s="126">
        <f t="shared" si="160"/>
        <v>0</v>
      </c>
    </row>
    <row r="402" spans="1:34" s="20" customFormat="1" ht="14" x14ac:dyDescent="0.2">
      <c r="A402" s="8"/>
      <c r="B402" s="8" t="s">
        <v>140</v>
      </c>
      <c r="C402" s="8"/>
      <c r="D402" s="8" t="str">
        <f>'Assumptions - General'!$E$27 &amp;" millions"</f>
        <v>R$ millions</v>
      </c>
      <c r="E402" s="126">
        <f t="shared" si="154"/>
        <v>0</v>
      </c>
      <c r="F402" s="126">
        <f t="shared" si="154"/>
        <v>0</v>
      </c>
      <c r="G402" s="126">
        <f t="shared" ref="G402:AH402" si="161">G390*G$393</f>
        <v>0.9375</v>
      </c>
      <c r="H402" s="126">
        <f t="shared" si="161"/>
        <v>1.875</v>
      </c>
      <c r="I402" s="126">
        <f t="shared" si="161"/>
        <v>3.125</v>
      </c>
      <c r="J402" s="126">
        <f t="shared" si="161"/>
        <v>4.375</v>
      </c>
      <c r="K402" s="126">
        <f t="shared" si="161"/>
        <v>5.625</v>
      </c>
      <c r="L402" s="126">
        <f t="shared" si="161"/>
        <v>6.25</v>
      </c>
      <c r="M402" s="126">
        <f t="shared" si="161"/>
        <v>6.25</v>
      </c>
      <c r="N402" s="126">
        <f t="shared" si="161"/>
        <v>6.25</v>
      </c>
      <c r="O402" s="126">
        <f t="shared" si="161"/>
        <v>6.25</v>
      </c>
      <c r="P402" s="126">
        <f t="shared" si="161"/>
        <v>6.25</v>
      </c>
      <c r="Q402" s="126">
        <f t="shared" si="161"/>
        <v>6.25</v>
      </c>
      <c r="R402" s="126">
        <f t="shared" si="161"/>
        <v>6.25</v>
      </c>
      <c r="S402" s="126">
        <f t="shared" si="161"/>
        <v>6.25</v>
      </c>
      <c r="T402" s="126">
        <f t="shared" si="161"/>
        <v>6.25</v>
      </c>
      <c r="U402" s="126">
        <f t="shared" si="161"/>
        <v>128.125</v>
      </c>
      <c r="V402" s="126">
        <f t="shared" si="161"/>
        <v>0</v>
      </c>
      <c r="W402" s="126">
        <f t="shared" si="161"/>
        <v>0</v>
      </c>
      <c r="X402" s="126">
        <f t="shared" si="161"/>
        <v>0</v>
      </c>
      <c r="Y402" s="126">
        <f t="shared" si="161"/>
        <v>0</v>
      </c>
      <c r="Z402" s="126">
        <f t="shared" si="161"/>
        <v>0</v>
      </c>
      <c r="AA402" s="126">
        <f t="shared" si="161"/>
        <v>0</v>
      </c>
      <c r="AB402" s="126">
        <f t="shared" si="161"/>
        <v>0</v>
      </c>
      <c r="AC402" s="126">
        <f t="shared" si="161"/>
        <v>0</v>
      </c>
      <c r="AD402" s="126">
        <f t="shared" si="161"/>
        <v>0</v>
      </c>
      <c r="AE402" s="126">
        <f t="shared" si="161"/>
        <v>0</v>
      </c>
      <c r="AF402" s="126">
        <f t="shared" si="161"/>
        <v>0</v>
      </c>
      <c r="AG402" s="126">
        <f t="shared" si="161"/>
        <v>0</v>
      </c>
      <c r="AH402" s="126">
        <f t="shared" si="161"/>
        <v>0</v>
      </c>
    </row>
    <row r="403" spans="1:34" s="20" customFormat="1" ht="14" x14ac:dyDescent="0.2">
      <c r="A403" s="8"/>
      <c r="B403" s="8"/>
      <c r="C403" s="8"/>
      <c r="D403" s="8"/>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row>
    <row r="404" spans="1:34" s="20" customFormat="1" ht="14" x14ac:dyDescent="0.2">
      <c r="A404" s="8"/>
      <c r="B404" s="21" t="str">
        <f>"New loan from " &amp; 'Assumptions - Freight'!E502</f>
        <v>New loan from International bank</v>
      </c>
      <c r="C404" s="8"/>
      <c r="D404" s="8"/>
      <c r="E404" s="8"/>
      <c r="F404" s="8"/>
      <c r="G404" s="8"/>
      <c r="H404" s="8"/>
      <c r="I404" s="8"/>
      <c r="J404" s="8"/>
      <c r="K404" s="8"/>
      <c r="L404" s="8"/>
      <c r="M404" s="8"/>
      <c r="N404" s="8"/>
      <c r="O404" s="8"/>
      <c r="P404" s="8"/>
      <c r="Q404" s="8"/>
      <c r="R404" s="8"/>
      <c r="S404" s="8"/>
      <c r="T404" s="8"/>
      <c r="U404" s="8"/>
      <c r="V404" s="8"/>
      <c r="W404" s="8"/>
      <c r="X404" s="8"/>
      <c r="Y404" s="8"/>
      <c r="Z404" s="8"/>
      <c r="AA404" s="8"/>
      <c r="AB404" s="8"/>
      <c r="AC404" s="8"/>
      <c r="AD404" s="8"/>
      <c r="AE404" s="8"/>
      <c r="AF404" s="8"/>
      <c r="AG404" s="8"/>
      <c r="AH404" s="8"/>
    </row>
    <row r="405" spans="1:34" s="20" customFormat="1" ht="14" x14ac:dyDescent="0.2">
      <c r="A405" s="8"/>
      <c r="B405" s="8" t="s">
        <v>293</v>
      </c>
      <c r="C405" s="8"/>
      <c r="D405" s="8" t="s">
        <v>99</v>
      </c>
      <c r="E405" s="8"/>
      <c r="F405" s="8">
        <f>IF('Assumptions - Freight'!$E$506&lt;&gt;0,IF(F$4&lt;'Assumptions - Freight'!$E$503+'Assumptions - Freight'!$E$513,0,E405+1),0)</f>
        <v>0</v>
      </c>
      <c r="G405" s="8">
        <f>IF('Assumptions - Freight'!$E$506&lt;&gt;0,IF(G$4&lt;'Assumptions - Freight'!$E$503+'Assumptions - Freight'!$E$513,0,F405+1),0)</f>
        <v>0</v>
      </c>
      <c r="H405" s="8">
        <f>IF('Assumptions - Freight'!$E$506&lt;&gt;0,IF(H$4&lt;'Assumptions - Freight'!$E$503+'Assumptions - Freight'!$E$513,0,G405+1),0)</f>
        <v>0</v>
      </c>
      <c r="I405" s="8">
        <f>IF('Assumptions - Freight'!$E$506&lt;&gt;0,IF(I$4&lt;'Assumptions - Freight'!$E$503+'Assumptions - Freight'!$E$513,0,H405+1),0)</f>
        <v>0</v>
      </c>
      <c r="J405" s="8">
        <f>IF('Assumptions - Freight'!$E$506&lt;&gt;0,IF(J$4&lt;'Assumptions - Freight'!$E$503+'Assumptions - Freight'!$E$513,0,I405+1),0)</f>
        <v>0</v>
      </c>
      <c r="K405" s="8">
        <f>IF('Assumptions - Freight'!$E$506&lt;&gt;0,IF(K$4&lt;'Assumptions - Freight'!$E$503+'Assumptions - Freight'!$E$513,0,J405+1),0)</f>
        <v>0</v>
      </c>
      <c r="L405" s="8">
        <f>IF('Assumptions - Freight'!$E$506&lt;&gt;0,IF(L$4&lt;'Assumptions - Freight'!$E$503+'Assumptions - Freight'!$E$513,0,K405+1),0)</f>
        <v>1</v>
      </c>
      <c r="M405" s="8">
        <f>IF('Assumptions - Freight'!$E$506&lt;&gt;0,IF(M$4&lt;'Assumptions - Freight'!$E$503+'Assumptions - Freight'!$E$513,0,L405+1),0)</f>
        <v>2</v>
      </c>
      <c r="N405" s="8">
        <f>IF('Assumptions - Freight'!$E$506&lt;&gt;0,IF(N$4&lt;'Assumptions - Freight'!$E$503+'Assumptions - Freight'!$E$513,0,M405+1),0)</f>
        <v>3</v>
      </c>
      <c r="O405" s="8">
        <f>IF('Assumptions - Freight'!$E$506&lt;&gt;0,IF(O$4&lt;'Assumptions - Freight'!$E$503+'Assumptions - Freight'!$E$513,0,N405+1),0)</f>
        <v>4</v>
      </c>
      <c r="P405" s="8">
        <f>IF('Assumptions - Freight'!$E$506&lt;&gt;0,IF(P$4&lt;'Assumptions - Freight'!$E$503+'Assumptions - Freight'!$E$513,0,O405+1),0)</f>
        <v>5</v>
      </c>
      <c r="Q405" s="8">
        <f>IF('Assumptions - Freight'!$E$506&lt;&gt;0,IF(Q$4&lt;'Assumptions - Freight'!$E$503+'Assumptions - Freight'!$E$513,0,P405+1),0)</f>
        <v>6</v>
      </c>
      <c r="R405" s="8">
        <f>IF('Assumptions - Freight'!$E$506&lt;&gt;0,IF(R$4&lt;'Assumptions - Freight'!$E$503+'Assumptions - Freight'!$E$513,0,Q405+1),0)</f>
        <v>7</v>
      </c>
      <c r="S405" s="8">
        <f>IF('Assumptions - Freight'!$E$506&lt;&gt;0,IF(S$4&lt;'Assumptions - Freight'!$E$503+'Assumptions - Freight'!$E$513,0,R405+1),0)</f>
        <v>8</v>
      </c>
      <c r="T405" s="8">
        <f>IF('Assumptions - Freight'!$E$506&lt;&gt;0,IF(T$4&lt;'Assumptions - Freight'!$E$503+'Assumptions - Freight'!$E$513,0,S405+1),0)</f>
        <v>9</v>
      </c>
      <c r="U405" s="8">
        <f>IF('Assumptions - Freight'!$E$506&lt;&gt;0,IF(U$4&lt;'Assumptions - Freight'!$E$503+'Assumptions - Freight'!$E$513,0,T405+1),0)</f>
        <v>10</v>
      </c>
      <c r="V405" s="8">
        <f>IF('Assumptions - Freight'!$E$506&lt;&gt;0,IF(V$4&lt;'Assumptions - Freight'!$E$503+'Assumptions - Freight'!$E$513,0,U405+1),0)</f>
        <v>11</v>
      </c>
      <c r="W405" s="8">
        <f>IF('Assumptions - Freight'!$E$506&lt;&gt;0,IF(W$4&lt;'Assumptions - Freight'!$E$503+'Assumptions - Freight'!$E$513,0,V405+1),0)</f>
        <v>12</v>
      </c>
      <c r="X405" s="8">
        <f>IF('Assumptions - Freight'!$E$506&lt;&gt;0,IF(X$4&lt;'Assumptions - Freight'!$E$503+'Assumptions - Freight'!$E$513,0,W405+1),0)</f>
        <v>13</v>
      </c>
      <c r="Y405" s="8">
        <f>IF('Assumptions - Freight'!$E$506&lt;&gt;0,IF(Y$4&lt;'Assumptions - Freight'!$E$503+'Assumptions - Freight'!$E$513,0,X405+1),0)</f>
        <v>14</v>
      </c>
      <c r="Z405" s="8">
        <f>IF('Assumptions - Freight'!$E$506&lt;&gt;0,IF(Z$4&lt;'Assumptions - Freight'!$E$503+'Assumptions - Freight'!$E$513,0,Y405+1),0)</f>
        <v>15</v>
      </c>
      <c r="AA405" s="8">
        <f>IF('Assumptions - Freight'!$E$506&lt;&gt;0,IF(AA$4&lt;'Assumptions - Freight'!$E$503+'Assumptions - Freight'!$E$513,0,Z405+1),0)</f>
        <v>16</v>
      </c>
      <c r="AB405" s="8">
        <f>IF('Assumptions - Freight'!$E$506&lt;&gt;0,IF(AB$4&lt;'Assumptions - Freight'!$E$503+'Assumptions - Freight'!$E$513,0,AA405+1),0)</f>
        <v>17</v>
      </c>
      <c r="AC405" s="8">
        <f>IF('Assumptions - Freight'!$E$506&lt;&gt;0,IF(AC$4&lt;'Assumptions - Freight'!$E$503+'Assumptions - Freight'!$E$513,0,AB405+1),0)</f>
        <v>18</v>
      </c>
      <c r="AD405" s="8">
        <f>IF('Assumptions - Freight'!$E$506&lt;&gt;0,IF(AD$4&lt;'Assumptions - Freight'!$E$503+'Assumptions - Freight'!$E$513,0,AC405+1),0)</f>
        <v>19</v>
      </c>
      <c r="AE405" s="8">
        <f>IF('Assumptions - Freight'!$E$506&lt;&gt;0,IF(AE$4&lt;'Assumptions - Freight'!$E$503+'Assumptions - Freight'!$E$513,0,AD405+1),0)</f>
        <v>20</v>
      </c>
      <c r="AF405" s="8">
        <f>IF('Assumptions - Freight'!$E$506&lt;&gt;0,IF(AF$4&lt;'Assumptions - Freight'!$E$503+'Assumptions - Freight'!$E$513,0,AE405+1),0)</f>
        <v>21</v>
      </c>
      <c r="AG405" s="8">
        <f>IF('Assumptions - Freight'!$E$506&lt;&gt;0,IF(AG$4&lt;'Assumptions - Freight'!$E$503+'Assumptions - Freight'!$E$513,0,AF405+1),0)</f>
        <v>22</v>
      </c>
      <c r="AH405" s="8">
        <f>IF('Assumptions - Freight'!$E$506&lt;&gt;0,IF(AH$4&lt;'Assumptions - Freight'!$E$503+'Assumptions - Freight'!$E$513,0,AG405+1),0)</f>
        <v>23</v>
      </c>
    </row>
    <row r="406" spans="1:34" s="20" customFormat="1" ht="14" x14ac:dyDescent="0.2">
      <c r="A406" s="8"/>
      <c r="B406" s="8" t="s">
        <v>135</v>
      </c>
      <c r="C406" s="8"/>
      <c r="D406" s="8" t="s">
        <v>15</v>
      </c>
      <c r="E406" s="47">
        <f>IF(E$16=1,IF('Assumptions - Freight'!$E508=1,'Assumptions - Freight'!$E510,'Assumptions - General'!E$38+'Assumptions - Freight'!$E511),0)</f>
        <v>2.4E-2</v>
      </c>
      <c r="F406" s="47">
        <f>IF(F$16=1,IF('Assumptions - Freight'!$E508=1,'Assumptions - Freight'!$E510,'Assumptions - General'!F$38+'Assumptions - Freight'!$E511),0)</f>
        <v>3.6299999999999999E-2</v>
      </c>
      <c r="G406" s="47">
        <f>IF(G$16=1,IF('Assumptions - Freight'!$E508=1,'Assumptions - Freight'!$E510,'Assumptions - General'!G$38+'Assumptions - Freight'!$E511),0)</f>
        <v>4.9700000000000001E-2</v>
      </c>
      <c r="H406" s="47">
        <f>IF(H$16=1,IF('Assumptions - Freight'!$E508=1,'Assumptions - Freight'!$E510,'Assumptions - General'!H$38+'Assumptions - Freight'!$E511),0)</f>
        <v>5.9399999999999994E-2</v>
      </c>
      <c r="I406" s="47">
        <f>IF(I$16=1,IF('Assumptions - Freight'!$E508=1,'Assumptions - Freight'!$E510,'Assumptions - General'!I$38+'Assumptions - Freight'!$E511),0)</f>
        <v>6.6299999999999998E-2</v>
      </c>
      <c r="J406" s="47">
        <f>IF(J$16=1,IF('Assumptions - Freight'!$E508=1,'Assumptions - Freight'!$E510,'Assumptions - General'!J$38+'Assumptions - Freight'!$E511),0)</f>
        <v>7.0800000000000002E-2</v>
      </c>
      <c r="K406" s="47">
        <f>IF(K$16=1,IF('Assumptions - Freight'!$E508=1,'Assumptions - Freight'!$E510,'Assumptions - General'!K$38+'Assumptions - Freight'!$E511),0)</f>
        <v>7.3800000000000004E-2</v>
      </c>
      <c r="L406" s="47">
        <f>IF(L$16=1,IF('Assumptions - Freight'!$E508=1,'Assumptions - Freight'!$E510,'Assumptions - General'!L$38+'Assumptions - Freight'!$E511),0)</f>
        <v>7.5700000000000003E-2</v>
      </c>
      <c r="M406" s="47">
        <f>IF(M$16=1,IF('Assumptions - Freight'!$E508=1,'Assumptions - Freight'!$E510,'Assumptions - General'!M$38+'Assumptions - Freight'!$E511),0)</f>
        <v>7.7700000000000005E-2</v>
      </c>
      <c r="N406" s="47">
        <f>IF(N$16=1,IF('Assumptions - Freight'!$E508=1,'Assumptions - Freight'!$E510,'Assumptions - General'!N$38+'Assumptions - Freight'!$E511),0)</f>
        <v>7.9100000000000004E-2</v>
      </c>
      <c r="O406" s="47">
        <f>IF(O$16=1,IF('Assumptions - Freight'!$E508=1,'Assumptions - Freight'!$E510,'Assumptions - General'!O$38+'Assumptions - Freight'!$E511),0)</f>
        <v>7.0599999999999996E-2</v>
      </c>
      <c r="P406" s="47">
        <f>IF(P$16=1,IF('Assumptions - Freight'!$E508=1,'Assumptions - Freight'!$E510,'Assumptions - General'!P$38+'Assumptions - Freight'!$E511),0)</f>
        <v>7.0000000000000007E-2</v>
      </c>
      <c r="Q406" s="47">
        <f>IF(Q$16=1,IF('Assumptions - Freight'!$E508=1,'Assumptions - Freight'!$E510,'Assumptions - General'!Q$38+'Assumptions - Freight'!$E511),0)</f>
        <v>7.0000000000000007E-2</v>
      </c>
      <c r="R406" s="47">
        <f>IF(R$16=1,IF('Assumptions - Freight'!$E508=1,'Assumptions - Freight'!$E510,'Assumptions - General'!R$38+'Assumptions - Freight'!$E511),0)</f>
        <v>7.0000000000000007E-2</v>
      </c>
      <c r="S406" s="47">
        <f>IF(S$16=1,IF('Assumptions - Freight'!$E508=1,'Assumptions - Freight'!$E510,'Assumptions - General'!S$38+'Assumptions - Freight'!$E511),0)</f>
        <v>7.0000000000000007E-2</v>
      </c>
      <c r="T406" s="47">
        <f>IF(T$16=1,IF('Assumptions - Freight'!$E508=1,'Assumptions - Freight'!$E510,'Assumptions - General'!T$38+'Assumptions - Freight'!$E511),0)</f>
        <v>7.0000000000000007E-2</v>
      </c>
      <c r="U406" s="47">
        <f>IF(U$16=1,IF('Assumptions - Freight'!$E508=1,'Assumptions - Freight'!$E510,'Assumptions - General'!U$38+'Assumptions - Freight'!$E511),0)</f>
        <v>7.0000000000000007E-2</v>
      </c>
      <c r="V406" s="47">
        <f>IF(V$16=1,IF('Assumptions - Freight'!$E508=1,'Assumptions - Freight'!$E510,'Assumptions - General'!V$38+'Assumptions - Freight'!$E511),0)</f>
        <v>7.0000000000000007E-2</v>
      </c>
      <c r="W406" s="47">
        <f>IF(W$16=1,IF('Assumptions - Freight'!$E508=1,'Assumptions - Freight'!$E510,'Assumptions - General'!W$38+'Assumptions - Freight'!$E511),0)</f>
        <v>7.0000000000000007E-2</v>
      </c>
      <c r="X406" s="47">
        <f>IF(X$16=1,IF('Assumptions - Freight'!$E508=1,'Assumptions - Freight'!$E510,'Assumptions - General'!X$38+'Assumptions - Freight'!$E511),0)</f>
        <v>7.0000000000000007E-2</v>
      </c>
      <c r="Y406" s="47">
        <f>IF(Y$16=1,IF('Assumptions - Freight'!$E508=1,'Assumptions - Freight'!$E510,'Assumptions - General'!Y$38+'Assumptions - Freight'!$E511),0)</f>
        <v>7.0000000000000007E-2</v>
      </c>
      <c r="Z406" s="47">
        <f>IF(Z$16=1,IF('Assumptions - Freight'!$E508=1,'Assumptions - Freight'!$E510,'Assumptions - General'!Z$38+'Assumptions - Freight'!$E511),0)</f>
        <v>7.0000000000000007E-2</v>
      </c>
      <c r="AA406" s="47">
        <f>IF(AA$16=1,IF('Assumptions - Freight'!$E508=1,'Assumptions - Freight'!$E510,'Assumptions - General'!AA$38+'Assumptions - Freight'!$E511),0)</f>
        <v>7.0000000000000007E-2</v>
      </c>
      <c r="AB406" s="47">
        <f>IF(AB$16=1,IF('Assumptions - Freight'!$E508=1,'Assumptions - Freight'!$E510,'Assumptions - General'!AB$38+'Assumptions - Freight'!$E511),0)</f>
        <v>7.0000000000000007E-2</v>
      </c>
      <c r="AC406" s="47">
        <f>IF(AC$16=1,IF('Assumptions - Freight'!$E508=1,'Assumptions - Freight'!$E510,'Assumptions - General'!AC$38+'Assumptions - Freight'!$E511),0)</f>
        <v>7.0000000000000007E-2</v>
      </c>
      <c r="AD406" s="47">
        <f>IF(AD$16=1,IF('Assumptions - Freight'!$E508=1,'Assumptions - Freight'!$E510,'Assumptions - General'!AD$38+'Assumptions - Freight'!$E511),0)</f>
        <v>7.0000000000000007E-2</v>
      </c>
      <c r="AE406" s="47">
        <f>IF(AE$16=1,IF('Assumptions - Freight'!$E508=1,'Assumptions - Freight'!$E510,'Assumptions - General'!AE$38+'Assumptions - Freight'!$E511),0)</f>
        <v>7.0000000000000007E-2</v>
      </c>
      <c r="AF406" s="47">
        <f>IF(AF$16=1,IF('Assumptions - Freight'!$E508=1,'Assumptions - Freight'!$E510,'Assumptions - General'!AF$38+'Assumptions - Freight'!$E511),0)</f>
        <v>7.0000000000000007E-2</v>
      </c>
      <c r="AG406" s="47">
        <f>IF(AG$16=1,IF('Assumptions - Freight'!$E508=1,'Assumptions - Freight'!$E510,'Assumptions - General'!AG$38+'Assumptions - Freight'!$E511),0)</f>
        <v>7.0000000000000007E-2</v>
      </c>
      <c r="AH406" s="47">
        <f>IF(AH$16=1,IF('Assumptions - Freight'!$E508=1,'Assumptions - Freight'!$E510,'Assumptions - General'!AH$38+'Assumptions - Freight'!$E511),0)</f>
        <v>7.0000000000000007E-2</v>
      </c>
    </row>
    <row r="407" spans="1:34" s="20" customFormat="1" ht="14" x14ac:dyDescent="0.2">
      <c r="A407" s="8"/>
      <c r="B407" s="8" t="s">
        <v>136</v>
      </c>
      <c r="C407" s="8"/>
      <c r="D407" s="8" t="str">
        <f>'Assumptions - Freight'!D506</f>
        <v>EUR millions</v>
      </c>
      <c r="E407" s="463">
        <v>0</v>
      </c>
      <c r="F407" s="126">
        <f>E415</f>
        <v>0</v>
      </c>
      <c r="G407" s="126">
        <f t="shared" ref="G407:AH407" si="162">F415</f>
        <v>0</v>
      </c>
      <c r="H407" s="126">
        <f t="shared" si="162"/>
        <v>10</v>
      </c>
      <c r="I407" s="126">
        <f t="shared" si="162"/>
        <v>20</v>
      </c>
      <c r="J407" s="126">
        <f t="shared" si="162"/>
        <v>30</v>
      </c>
      <c r="K407" s="126">
        <f t="shared" si="162"/>
        <v>40</v>
      </c>
      <c r="L407" s="126">
        <f t="shared" si="162"/>
        <v>50</v>
      </c>
      <c r="M407" s="126">
        <f t="shared" si="162"/>
        <v>50</v>
      </c>
      <c r="N407" s="126">
        <f t="shared" si="162"/>
        <v>50</v>
      </c>
      <c r="O407" s="126">
        <f t="shared" si="162"/>
        <v>50</v>
      </c>
      <c r="P407" s="126">
        <f t="shared" si="162"/>
        <v>50</v>
      </c>
      <c r="Q407" s="126">
        <f t="shared" si="162"/>
        <v>50</v>
      </c>
      <c r="R407" s="126">
        <f t="shared" si="162"/>
        <v>50</v>
      </c>
      <c r="S407" s="126">
        <f t="shared" si="162"/>
        <v>50</v>
      </c>
      <c r="T407" s="126">
        <f t="shared" si="162"/>
        <v>50</v>
      </c>
      <c r="U407" s="126">
        <f t="shared" si="162"/>
        <v>50</v>
      </c>
      <c r="V407" s="126">
        <f t="shared" si="162"/>
        <v>0</v>
      </c>
      <c r="W407" s="126">
        <f t="shared" si="162"/>
        <v>0</v>
      </c>
      <c r="X407" s="126">
        <f t="shared" si="162"/>
        <v>0</v>
      </c>
      <c r="Y407" s="126">
        <f t="shared" si="162"/>
        <v>0</v>
      </c>
      <c r="Z407" s="126">
        <f t="shared" si="162"/>
        <v>0</v>
      </c>
      <c r="AA407" s="126">
        <f t="shared" si="162"/>
        <v>0</v>
      </c>
      <c r="AB407" s="126">
        <f t="shared" si="162"/>
        <v>0</v>
      </c>
      <c r="AC407" s="126">
        <f t="shared" si="162"/>
        <v>0</v>
      </c>
      <c r="AD407" s="126">
        <f t="shared" si="162"/>
        <v>0</v>
      </c>
      <c r="AE407" s="126">
        <f t="shared" si="162"/>
        <v>0</v>
      </c>
      <c r="AF407" s="126">
        <f t="shared" si="162"/>
        <v>0</v>
      </c>
      <c r="AG407" s="126">
        <f t="shared" si="162"/>
        <v>0</v>
      </c>
      <c r="AH407" s="126">
        <f t="shared" si="162"/>
        <v>0</v>
      </c>
    </row>
    <row r="408" spans="1:34" s="20" customFormat="1" ht="14" x14ac:dyDescent="0.2">
      <c r="A408" s="8"/>
      <c r="B408" s="8" t="s">
        <v>410</v>
      </c>
      <c r="C408" s="8"/>
      <c r="D408" s="8" t="str">
        <f>D407</f>
        <v>EUR millions</v>
      </c>
      <c r="E408" s="126">
        <f>IF(E$16=1,IF('Assumptions - Freight'!$E$506&lt;&gt;0,IF('Assumptions - Freight'!$E$514=1,Calculations!E409,IF('Assumptions - Freight'!$E$514=2,Calculations!E410,IF('Assumptions - Freight'!$E$514=3,IF(E405=('Assumptions - Freight'!$E$512-'Assumptions - Freight'!$E$513),Calculations!D415,Calculations!E411),0))),0),0)</f>
        <v>0</v>
      </c>
      <c r="F408" s="126">
        <f>IF(F$16=1,IF('Assumptions - Freight'!$E$506&lt;&gt;0,IF('Assumptions - Freight'!$E$514=1,Calculations!F409,IF('Assumptions - Freight'!$E$514=2,Calculations!F410,IF('Assumptions - Freight'!$E$514=3,IF(F405=('Assumptions - Freight'!$E$512-'Assumptions - Freight'!$E$513),Calculations!E415,Calculations!F411),0))),0),0)</f>
        <v>0</v>
      </c>
      <c r="G408" s="126">
        <f>IF(G$16=1,IF('Assumptions - Freight'!$E$506&lt;&gt;0,IF('Assumptions - Freight'!$E$514=1,Calculations!G409,IF('Assumptions - Freight'!$E$514=2,Calculations!G410,IF('Assumptions - Freight'!$E$514=3,IF(G405=('Assumptions - Freight'!$E$512-'Assumptions - Freight'!$E$513),Calculations!F415,Calculations!G411),0))),0),0)</f>
        <v>0</v>
      </c>
      <c r="H408" s="126">
        <f>IF(H$16=1,IF('Assumptions - Freight'!$E$506&lt;&gt;0,IF('Assumptions - Freight'!$E$514=1,Calculations!H409,IF('Assumptions - Freight'!$E$514=2,Calculations!H410,IF('Assumptions - Freight'!$E$514=3,IF(H405=('Assumptions - Freight'!$E$512-'Assumptions - Freight'!$E$513),Calculations!G415,Calculations!H411),0))),0),0)</f>
        <v>0</v>
      </c>
      <c r="I408" s="126">
        <f>IF(I$16=1,IF('Assumptions - Freight'!$E$506&lt;&gt;0,IF('Assumptions - Freight'!$E$514=1,Calculations!I409,IF('Assumptions - Freight'!$E$514=2,Calculations!I410,IF('Assumptions - Freight'!$E$514=3,IF(I405=('Assumptions - Freight'!$E$512-'Assumptions - Freight'!$E$513),Calculations!H415,Calculations!I411),0))),0),0)</f>
        <v>0</v>
      </c>
      <c r="J408" s="126">
        <f>IF(J$16=1,IF('Assumptions - Freight'!$E$506&lt;&gt;0,IF('Assumptions - Freight'!$E$514=1,Calculations!J409,IF('Assumptions - Freight'!$E$514=2,Calculations!J410,IF('Assumptions - Freight'!$E$514=3,IF(J405=('Assumptions - Freight'!$E$512-'Assumptions - Freight'!$E$513),Calculations!I415,Calculations!J411),0))),0),0)</f>
        <v>0</v>
      </c>
      <c r="K408" s="126">
        <f>IF(K$16=1,IF('Assumptions - Freight'!$E$506&lt;&gt;0,IF('Assumptions - Freight'!$E$514=1,Calculations!K409,IF('Assumptions - Freight'!$E$514=2,Calculations!K410,IF('Assumptions - Freight'!$E$514=3,IF(K405=('Assumptions - Freight'!$E$512-'Assumptions - Freight'!$E$513),Calculations!J415,Calculations!K411),0))),0),0)</f>
        <v>0</v>
      </c>
      <c r="L408" s="126">
        <f>IF(L$16=1,IF('Assumptions - Freight'!$E$506&lt;&gt;0,IF('Assumptions - Freight'!$E$514=1,Calculations!L409,IF('Assumptions - Freight'!$E$514=2,Calculations!L410,IF('Assumptions - Freight'!$E$514=3,IF(L405=('Assumptions - Freight'!$E$512-'Assumptions - Freight'!$E$513),Calculations!K415,Calculations!L411),0))),0),0)</f>
        <v>0</v>
      </c>
      <c r="M408" s="126">
        <f>IF(M$16=1,IF('Assumptions - Freight'!$E$506&lt;&gt;0,IF('Assumptions - Freight'!$E$514=1,Calculations!M409,IF('Assumptions - Freight'!$E$514=2,Calculations!M410,IF('Assumptions - Freight'!$E$514=3,IF(M405=('Assumptions - Freight'!$E$512-'Assumptions - Freight'!$E$513),Calculations!L415,Calculations!M411),0))),0),0)</f>
        <v>0</v>
      </c>
      <c r="N408" s="126">
        <f>IF(N$16=1,IF('Assumptions - Freight'!$E$506&lt;&gt;0,IF('Assumptions - Freight'!$E$514=1,Calculations!N409,IF('Assumptions - Freight'!$E$514=2,Calculations!N410,IF('Assumptions - Freight'!$E$514=3,IF(N405=('Assumptions - Freight'!$E$512-'Assumptions - Freight'!$E$513),Calculations!M415,Calculations!N411),0))),0),0)</f>
        <v>0</v>
      </c>
      <c r="O408" s="126">
        <f>IF(O$16=1,IF('Assumptions - Freight'!$E$506&lt;&gt;0,IF('Assumptions - Freight'!$E$514=1,Calculations!O409,IF('Assumptions - Freight'!$E$514=2,Calculations!O410,IF('Assumptions - Freight'!$E$514=3,IF(O405=('Assumptions - Freight'!$E$512-'Assumptions - Freight'!$E$513),Calculations!N415,Calculations!O411),0))),0),0)</f>
        <v>0</v>
      </c>
      <c r="P408" s="126">
        <f>IF(P$16=1,IF('Assumptions - Freight'!$E$506&lt;&gt;0,IF('Assumptions - Freight'!$E$514=1,Calculations!P409,IF('Assumptions - Freight'!$E$514=2,Calculations!P410,IF('Assumptions - Freight'!$E$514=3,IF(P405=('Assumptions - Freight'!$E$512-'Assumptions - Freight'!$E$513),Calculations!O415,Calculations!P411),0))),0),0)</f>
        <v>0</v>
      </c>
      <c r="Q408" s="126">
        <f>IF(Q$16=1,IF('Assumptions - Freight'!$E$506&lt;&gt;0,IF('Assumptions - Freight'!$E$514=1,Calculations!Q409,IF('Assumptions - Freight'!$E$514=2,Calculations!Q410,IF('Assumptions - Freight'!$E$514=3,IF(Q405=('Assumptions - Freight'!$E$512-'Assumptions - Freight'!$E$513),Calculations!P415,Calculations!Q411),0))),0),0)</f>
        <v>0</v>
      </c>
      <c r="R408" s="126">
        <f>IF(R$16=1,IF('Assumptions - Freight'!$E$506&lt;&gt;0,IF('Assumptions - Freight'!$E$514=1,Calculations!R409,IF('Assumptions - Freight'!$E$514=2,Calculations!R410,IF('Assumptions - Freight'!$E$514=3,IF(R405=('Assumptions - Freight'!$E$512-'Assumptions - Freight'!$E$513),Calculations!Q415,Calculations!R411),0))),0),0)</f>
        <v>0</v>
      </c>
      <c r="S408" s="126">
        <f>IF(S$16=1,IF('Assumptions - Freight'!$E$506&lt;&gt;0,IF('Assumptions - Freight'!$E$514=1,Calculations!S409,IF('Assumptions - Freight'!$E$514=2,Calculations!S410,IF('Assumptions - Freight'!$E$514=3,IF(S405=('Assumptions - Freight'!$E$512-'Assumptions - Freight'!$E$513),Calculations!R415,Calculations!S411),0))),0),0)</f>
        <v>0</v>
      </c>
      <c r="T408" s="126">
        <f>IF(T$16=1,IF('Assumptions - Freight'!$E$506&lt;&gt;0,IF('Assumptions - Freight'!$E$514=1,Calculations!T409,IF('Assumptions - Freight'!$E$514=2,Calculations!T410,IF('Assumptions - Freight'!$E$514=3,IF(T405=('Assumptions - Freight'!$E$512-'Assumptions - Freight'!$E$513),Calculations!S415,Calculations!T411),0))),0),0)</f>
        <v>0</v>
      </c>
      <c r="U408" s="126">
        <f>IF(U$16=1,IF('Assumptions - Freight'!$E$506&lt;&gt;0,IF('Assumptions - Freight'!$E$514=1,Calculations!U409,IF('Assumptions - Freight'!$E$514=2,Calculations!U410,IF('Assumptions - Freight'!$E$514=3,IF(U405=('Assumptions - Freight'!$E$512-'Assumptions - Freight'!$E$513),Calculations!T415,Calculations!U411),0))),0),0)</f>
        <v>50</v>
      </c>
      <c r="V408" s="126">
        <f>IF(V$16=1,IF('Assumptions - Freight'!$E$506&lt;&gt;0,IF('Assumptions - Freight'!$E$514=1,Calculations!V409,IF('Assumptions - Freight'!$E$514=2,Calculations!V410,IF('Assumptions - Freight'!$E$514=3,IF(V405=('Assumptions - Freight'!$E$512-'Assumptions - Freight'!$E$513),Calculations!U415,Calculations!V411),0))),0),0)</f>
        <v>0</v>
      </c>
      <c r="W408" s="126">
        <f>IF(W$16=1,IF('Assumptions - Freight'!$E$506&lt;&gt;0,IF('Assumptions - Freight'!$E$514=1,Calculations!W409,IF('Assumptions - Freight'!$E$514=2,Calculations!W410,IF('Assumptions - Freight'!$E$514=3,IF(W405=('Assumptions - Freight'!$E$512-'Assumptions - Freight'!$E$513),Calculations!V415,Calculations!W411),0))),0),0)</f>
        <v>0</v>
      </c>
      <c r="X408" s="126">
        <f>IF(X$16=1,IF('Assumptions - Freight'!$E$506&lt;&gt;0,IF('Assumptions - Freight'!$E$514=1,Calculations!X409,IF('Assumptions - Freight'!$E$514=2,Calculations!X410,IF('Assumptions - Freight'!$E$514=3,IF(X405=('Assumptions - Freight'!$E$512-'Assumptions - Freight'!$E$513),Calculations!W415,Calculations!X411),0))),0),0)</f>
        <v>0</v>
      </c>
      <c r="Y408" s="126">
        <f>IF(Y$16=1,IF('Assumptions - Freight'!$E$506&lt;&gt;0,IF('Assumptions - Freight'!$E$514=1,Calculations!Y409,IF('Assumptions - Freight'!$E$514=2,Calculations!Y410,IF('Assumptions - Freight'!$E$514=3,IF(Y405=('Assumptions - Freight'!$E$512-'Assumptions - Freight'!$E$513),Calculations!X415,Calculations!Y411),0))),0),0)</f>
        <v>0</v>
      </c>
      <c r="Z408" s="126">
        <f>IF(Z$16=1,IF('Assumptions - Freight'!$E$506&lt;&gt;0,IF('Assumptions - Freight'!$E$514=1,Calculations!Z409,IF('Assumptions - Freight'!$E$514=2,Calculations!Z410,IF('Assumptions - Freight'!$E$514=3,IF(Z405=('Assumptions - Freight'!$E$512-'Assumptions - Freight'!$E$513),Calculations!Y415,Calculations!Z411),0))),0),0)</f>
        <v>0</v>
      </c>
      <c r="AA408" s="126">
        <f>IF(AA$16=1,IF('Assumptions - Freight'!$E$506&lt;&gt;0,IF('Assumptions - Freight'!$E$514=1,Calculations!AA409,IF('Assumptions - Freight'!$E$514=2,Calculations!AA410,IF('Assumptions - Freight'!$E$514=3,IF(AA405=('Assumptions - Freight'!$E$512-'Assumptions - Freight'!$E$513),Calculations!Z415,Calculations!AA411),0))),0),0)</f>
        <v>0</v>
      </c>
      <c r="AB408" s="126">
        <f>IF(AB$16=1,IF('Assumptions - Freight'!$E$506&lt;&gt;0,IF('Assumptions - Freight'!$E$514=1,Calculations!AB409,IF('Assumptions - Freight'!$E$514=2,Calculations!AB410,IF('Assumptions - Freight'!$E$514=3,IF(AB405=('Assumptions - Freight'!$E$512-'Assumptions - Freight'!$E$513),Calculations!AA415,Calculations!AB411),0))),0),0)</f>
        <v>0</v>
      </c>
      <c r="AC408" s="126">
        <f>IF(AC$16=1,IF('Assumptions - Freight'!$E$506&lt;&gt;0,IF('Assumptions - Freight'!$E$514=1,Calculations!AC409,IF('Assumptions - Freight'!$E$514=2,Calculations!AC410,IF('Assumptions - Freight'!$E$514=3,IF(AC405=('Assumptions - Freight'!$E$512-'Assumptions - Freight'!$E$513),Calculations!AB415,Calculations!AC411),0))),0),0)</f>
        <v>0</v>
      </c>
      <c r="AD408" s="126">
        <f>IF(AD$16=1,IF('Assumptions - Freight'!$E$506&lt;&gt;0,IF('Assumptions - Freight'!$E$514=1,Calculations!AD409,IF('Assumptions - Freight'!$E$514=2,Calculations!AD410,IF('Assumptions - Freight'!$E$514=3,IF(AD405=('Assumptions - Freight'!$E$512-'Assumptions - Freight'!$E$513),Calculations!AC415,Calculations!AD411),0))),0),0)</f>
        <v>0</v>
      </c>
      <c r="AE408" s="126">
        <f>IF(AE$16=1,IF('Assumptions - Freight'!$E$506&lt;&gt;0,IF('Assumptions - Freight'!$E$514=1,Calculations!AE409,IF('Assumptions - Freight'!$E$514=2,Calculations!AE410,IF('Assumptions - Freight'!$E$514=3,IF(AE405=('Assumptions - Freight'!$E$512-'Assumptions - Freight'!$E$513),Calculations!AD415,Calculations!AE411),0))),0),0)</f>
        <v>0</v>
      </c>
      <c r="AF408" s="126">
        <f>IF(AF$16=1,IF('Assumptions - Freight'!$E$506&lt;&gt;0,IF('Assumptions - Freight'!$E$514=1,Calculations!AF409,IF('Assumptions - Freight'!$E$514=2,Calculations!AF410,IF('Assumptions - Freight'!$E$514=3,IF(AF405=('Assumptions - Freight'!$E$512-'Assumptions - Freight'!$E$513),Calculations!AE415,Calculations!AF411),0))),0),0)</f>
        <v>0</v>
      </c>
      <c r="AG408" s="126">
        <f>IF(AG$16=1,IF('Assumptions - Freight'!$E$506&lt;&gt;0,IF('Assumptions - Freight'!$E$514=1,Calculations!AG409,IF('Assumptions - Freight'!$E$514=2,Calculations!AG410,IF('Assumptions - Freight'!$E$514=3,IF(AG405=('Assumptions - Freight'!$E$512-'Assumptions - Freight'!$E$513),Calculations!AF415,Calculations!AG411),0))),0),0)</f>
        <v>0</v>
      </c>
      <c r="AH408" s="126">
        <f>IF(AH$16=1,IF('Assumptions - Freight'!$E$506&lt;&gt;0,IF('Assumptions - Freight'!$E$514=1,Calculations!AH409,IF('Assumptions - Freight'!$E$514=2,Calculations!AH410,IF('Assumptions - Freight'!$E$514=3,IF(AH405=('Assumptions - Freight'!$E$512-'Assumptions - Freight'!$E$513),Calculations!AG415,Calculations!AH411),0))),0),0)</f>
        <v>0</v>
      </c>
    </row>
    <row r="409" spans="1:34" s="20" customFormat="1" ht="14" x14ac:dyDescent="0.2">
      <c r="A409" s="8"/>
      <c r="B409" s="125" t="s">
        <v>295</v>
      </c>
      <c r="C409" s="8"/>
      <c r="D409" s="8" t="str">
        <f t="shared" ref="D409:D420" si="163">D408</f>
        <v>EUR millions</v>
      </c>
      <c r="E409" s="126">
        <f>IF('Assumptions - Freight'!$E$506&lt;&gt;0,IF(AND('Assumptions - Freight'!$E$514=1,E$405=('Assumptions - Freight'!$E$512-'Assumptions - Freight'!$E$513)),'Assumptions - Freight'!$E$506,0),0)</f>
        <v>0</v>
      </c>
      <c r="F409" s="126">
        <f>IF('Assumptions - Freight'!$E$506&lt;&gt;0,IF(AND('Assumptions - Freight'!$E$514=1,F$405=('Assumptions - Freight'!$E$512-'Assumptions - Freight'!$E$513)),'Assumptions - Freight'!$E$506,0),0)</f>
        <v>0</v>
      </c>
      <c r="G409" s="126">
        <f>IF('Assumptions - Freight'!$E$506&lt;&gt;0,IF(AND('Assumptions - Freight'!$E$514=1,G$405=('Assumptions - Freight'!$E$512-'Assumptions - Freight'!$E$513)),'Assumptions - Freight'!$E$506,0),0)</f>
        <v>0</v>
      </c>
      <c r="H409" s="126">
        <f>IF('Assumptions - Freight'!$E$506&lt;&gt;0,IF(AND('Assumptions - Freight'!$E$514=1,H$405=('Assumptions - Freight'!$E$512-'Assumptions - Freight'!$E$513)),'Assumptions - Freight'!$E$506,0),0)</f>
        <v>0</v>
      </c>
      <c r="I409" s="126">
        <f>IF('Assumptions - Freight'!$E$506&lt;&gt;0,IF(AND('Assumptions - Freight'!$E$514=1,I$405=('Assumptions - Freight'!$E$512-'Assumptions - Freight'!$E$513)),'Assumptions - Freight'!$E$506,0),0)</f>
        <v>0</v>
      </c>
      <c r="J409" s="126">
        <f>IF('Assumptions - Freight'!$E$506&lt;&gt;0,IF(AND('Assumptions - Freight'!$E$514=1,J$405=('Assumptions - Freight'!$E$512-'Assumptions - Freight'!$E$513)),'Assumptions - Freight'!$E$506,0),0)</f>
        <v>0</v>
      </c>
      <c r="K409" s="126">
        <f>IF('Assumptions - Freight'!$E$506&lt;&gt;0,IF(AND('Assumptions - Freight'!$E$514=1,K$405=('Assumptions - Freight'!$E$512-'Assumptions - Freight'!$E$513)),'Assumptions - Freight'!$E$506,0),0)</f>
        <v>0</v>
      </c>
      <c r="L409" s="126">
        <f>IF('Assumptions - Freight'!$E$506&lt;&gt;0,IF(AND('Assumptions - Freight'!$E$514=1,L$405=('Assumptions - Freight'!$E$512-'Assumptions - Freight'!$E$513)),'Assumptions - Freight'!$E$506,0),0)</f>
        <v>0</v>
      </c>
      <c r="M409" s="126">
        <f>IF('Assumptions - Freight'!$E$506&lt;&gt;0,IF(AND('Assumptions - Freight'!$E$514=1,M$405=('Assumptions - Freight'!$E$512-'Assumptions - Freight'!$E$513)),'Assumptions - Freight'!$E$506,0),0)</f>
        <v>0</v>
      </c>
      <c r="N409" s="126">
        <f>IF('Assumptions - Freight'!$E$506&lt;&gt;0,IF(AND('Assumptions - Freight'!$E$514=1,N$405=('Assumptions - Freight'!$E$512-'Assumptions - Freight'!$E$513)),'Assumptions - Freight'!$E$506,0),0)</f>
        <v>0</v>
      </c>
      <c r="O409" s="126">
        <f>IF('Assumptions - Freight'!$E$506&lt;&gt;0,IF(AND('Assumptions - Freight'!$E$514=1,O$405=('Assumptions - Freight'!$E$512-'Assumptions - Freight'!$E$513)),'Assumptions - Freight'!$E$506,0),0)</f>
        <v>0</v>
      </c>
      <c r="P409" s="126">
        <f>IF('Assumptions - Freight'!$E$506&lt;&gt;0,IF(AND('Assumptions - Freight'!$E$514=1,P$405=('Assumptions - Freight'!$E$512-'Assumptions - Freight'!$E$513)),'Assumptions - Freight'!$E$506,0),0)</f>
        <v>0</v>
      </c>
      <c r="Q409" s="126">
        <f>IF('Assumptions - Freight'!$E$506&lt;&gt;0,IF(AND('Assumptions - Freight'!$E$514=1,Q$405=('Assumptions - Freight'!$E$512-'Assumptions - Freight'!$E$513)),'Assumptions - Freight'!$E$506,0),0)</f>
        <v>0</v>
      </c>
      <c r="R409" s="126">
        <f>IF('Assumptions - Freight'!$E$506&lt;&gt;0,IF(AND('Assumptions - Freight'!$E$514=1,R$405=('Assumptions - Freight'!$E$512-'Assumptions - Freight'!$E$513)),'Assumptions - Freight'!$E$506,0),0)</f>
        <v>0</v>
      </c>
      <c r="S409" s="126">
        <f>IF('Assumptions - Freight'!$E$506&lt;&gt;0,IF(AND('Assumptions - Freight'!$E$514=1,S$405=('Assumptions - Freight'!$E$512-'Assumptions - Freight'!$E$513)),'Assumptions - Freight'!$E$506,0),0)</f>
        <v>0</v>
      </c>
      <c r="T409" s="126">
        <f>IF('Assumptions - Freight'!$E$506&lt;&gt;0,IF(AND('Assumptions - Freight'!$E$514=1,T$405=('Assumptions - Freight'!$E$512-'Assumptions - Freight'!$E$513)),'Assumptions - Freight'!$E$506,0),0)</f>
        <v>0</v>
      </c>
      <c r="U409" s="126">
        <f>IF('Assumptions - Freight'!$E$506&lt;&gt;0,IF(AND('Assumptions - Freight'!$E$514=1,U$405=('Assumptions - Freight'!$E$512-'Assumptions - Freight'!$E$513)),'Assumptions - Freight'!$E$506,0),0)</f>
        <v>50</v>
      </c>
      <c r="V409" s="126">
        <f>IF('Assumptions - Freight'!$E$506&lt;&gt;0,IF(AND('Assumptions - Freight'!$E$514=1,V$405=('Assumptions - Freight'!$E$512-'Assumptions - Freight'!$E$513)),'Assumptions - Freight'!$E$506,0),0)</f>
        <v>0</v>
      </c>
      <c r="W409" s="126">
        <f>IF('Assumptions - Freight'!$E$506&lt;&gt;0,IF(AND('Assumptions - Freight'!$E$514=1,W$405=('Assumptions - Freight'!$E$512-'Assumptions - Freight'!$E$513)),'Assumptions - Freight'!$E$506,0),0)</f>
        <v>0</v>
      </c>
      <c r="X409" s="126">
        <f>IF('Assumptions - Freight'!$E$506&lt;&gt;0,IF(AND('Assumptions - Freight'!$E$514=1,X$405=('Assumptions - Freight'!$E$512-'Assumptions - Freight'!$E$513)),'Assumptions - Freight'!$E$506,0),0)</f>
        <v>0</v>
      </c>
      <c r="Y409" s="126">
        <f>IF('Assumptions - Freight'!$E$506&lt;&gt;0,IF(AND('Assumptions - Freight'!$E$514=1,Y$405=('Assumptions - Freight'!$E$512-'Assumptions - Freight'!$E$513)),'Assumptions - Freight'!$E$506,0),0)</f>
        <v>0</v>
      </c>
      <c r="Z409" s="126">
        <f>IF('Assumptions - Freight'!$E$506&lt;&gt;0,IF(AND('Assumptions - Freight'!$E$514=1,Z$405=('Assumptions - Freight'!$E$512-'Assumptions - Freight'!$E$513)),'Assumptions - Freight'!$E$506,0),0)</f>
        <v>0</v>
      </c>
      <c r="AA409" s="126">
        <f>IF('Assumptions - Freight'!$E$506&lt;&gt;0,IF(AND('Assumptions - Freight'!$E$514=1,AA$405=('Assumptions - Freight'!$E$512-'Assumptions - Freight'!$E$513)),'Assumptions - Freight'!$E$506,0),0)</f>
        <v>0</v>
      </c>
      <c r="AB409" s="126">
        <f>IF('Assumptions - Freight'!$E$506&lt;&gt;0,IF(AND('Assumptions - Freight'!$E$514=1,AB$405=('Assumptions - Freight'!$E$512-'Assumptions - Freight'!$E$513)),'Assumptions - Freight'!$E$506,0),0)</f>
        <v>0</v>
      </c>
      <c r="AC409" s="126">
        <f>IF('Assumptions - Freight'!$E$506&lt;&gt;0,IF(AND('Assumptions - Freight'!$E$514=1,AC$405=('Assumptions - Freight'!$E$512-'Assumptions - Freight'!$E$513)),'Assumptions - Freight'!$E$506,0),0)</f>
        <v>0</v>
      </c>
      <c r="AD409" s="126">
        <f>IF('Assumptions - Freight'!$E$506&lt;&gt;0,IF(AND('Assumptions - Freight'!$E$514=1,AD$405=('Assumptions - Freight'!$E$512-'Assumptions - Freight'!$E$513)),'Assumptions - Freight'!$E$506,0),0)</f>
        <v>0</v>
      </c>
      <c r="AE409" s="126">
        <f>IF('Assumptions - Freight'!$E$506&lt;&gt;0,IF(AND('Assumptions - Freight'!$E$514=1,AE$405=('Assumptions - Freight'!$E$512-'Assumptions - Freight'!$E$513)),'Assumptions - Freight'!$E$506,0),0)</f>
        <v>0</v>
      </c>
      <c r="AF409" s="126">
        <f>IF('Assumptions - Freight'!$E$506&lt;&gt;0,IF(AND('Assumptions - Freight'!$E$514=1,AF$405=('Assumptions - Freight'!$E$512-'Assumptions - Freight'!$E$513)),'Assumptions - Freight'!$E$506,0),0)</f>
        <v>0</v>
      </c>
      <c r="AG409" s="126">
        <f>IF('Assumptions - Freight'!$E$506&lt;&gt;0,IF(AND('Assumptions - Freight'!$E$514=1,AG$405=('Assumptions - Freight'!$E$512-'Assumptions - Freight'!$E$513)),'Assumptions - Freight'!$E$506,0),0)</f>
        <v>0</v>
      </c>
      <c r="AH409" s="126">
        <f>IF('Assumptions - Freight'!$E$506&lt;&gt;0,IF(AND('Assumptions - Freight'!$E$514=1,AH$405=('Assumptions - Freight'!$E$512-'Assumptions - Freight'!$E$513)),'Assumptions - Freight'!$E$506,0),0)</f>
        <v>0</v>
      </c>
    </row>
    <row r="410" spans="1:34" s="20" customFormat="1" ht="14" x14ac:dyDescent="0.2">
      <c r="A410" s="8"/>
      <c r="B410" s="125" t="s">
        <v>294</v>
      </c>
      <c r="C410" s="8"/>
      <c r="D410" s="8" t="str">
        <f t="shared" si="163"/>
        <v>EUR millions</v>
      </c>
      <c r="E410" s="126">
        <f>IF('Assumptions - Freight'!$E$506&lt;&gt;0,IF(AND('Assumptions - Freight'!$E$514=2,Calculations!E$405&gt;0,Calculations!E$405&lt;=('Assumptions - Freight'!$E$512-'Assumptions - Freight'!$E$513)),'Assumptions - Freight'!$E$506/('Assumptions - Freight'!$E$512-'Assumptions - Freight'!$E$513),0),0)</f>
        <v>0</v>
      </c>
      <c r="F410" s="126">
        <f>IF('Assumptions - Freight'!$E$506&lt;&gt;0,IF(AND('Assumptions - Freight'!$E$514=2,Calculations!F$405&gt;0,Calculations!F$405&lt;=('Assumptions - Freight'!$E$512-'Assumptions - Freight'!$E$513)),'Assumptions - Freight'!$E$506/('Assumptions - Freight'!$E$512-'Assumptions - Freight'!$E$513),0),0)</f>
        <v>0</v>
      </c>
      <c r="G410" s="126">
        <f>IF('Assumptions - Freight'!$E$506&lt;&gt;0,IF(AND('Assumptions - Freight'!$E$514=2,Calculations!G$405&gt;0,Calculations!G$405&lt;=('Assumptions - Freight'!$E$512-'Assumptions - Freight'!$E$513)),'Assumptions - Freight'!$E$506/('Assumptions - Freight'!$E$512-'Assumptions - Freight'!$E$513),0),0)</f>
        <v>0</v>
      </c>
      <c r="H410" s="126">
        <f>IF('Assumptions - Freight'!$E$506&lt;&gt;0,IF(AND('Assumptions - Freight'!$E$514=2,Calculations!H$405&gt;0,Calculations!H$405&lt;=('Assumptions - Freight'!$E$512-'Assumptions - Freight'!$E$513)),'Assumptions - Freight'!$E$506/('Assumptions - Freight'!$E$512-'Assumptions - Freight'!$E$513),0),0)</f>
        <v>0</v>
      </c>
      <c r="I410" s="126">
        <f>IF('Assumptions - Freight'!$E$506&lt;&gt;0,IF(AND('Assumptions - Freight'!$E$514=2,Calculations!I$405&gt;0,Calculations!I$405&lt;=('Assumptions - Freight'!$E$512-'Assumptions - Freight'!$E$513)),'Assumptions - Freight'!$E$506/('Assumptions - Freight'!$E$512-'Assumptions - Freight'!$E$513),0),0)</f>
        <v>0</v>
      </c>
      <c r="J410" s="126">
        <f>IF('Assumptions - Freight'!$E$506&lt;&gt;0,IF(AND('Assumptions - Freight'!$E$514=2,Calculations!J$405&gt;0,Calculations!J$405&lt;=('Assumptions - Freight'!$E$512-'Assumptions - Freight'!$E$513)),'Assumptions - Freight'!$E$506/('Assumptions - Freight'!$E$512-'Assumptions - Freight'!$E$513),0),0)</f>
        <v>0</v>
      </c>
      <c r="K410" s="126">
        <f>IF('Assumptions - Freight'!$E$506&lt;&gt;0,IF(AND('Assumptions - Freight'!$E$514=2,Calculations!K$405&gt;0,Calculations!K$405&lt;=('Assumptions - Freight'!$E$512-'Assumptions - Freight'!$E$513)),'Assumptions - Freight'!$E$506/('Assumptions - Freight'!$E$512-'Assumptions - Freight'!$E$513),0),0)</f>
        <v>0</v>
      </c>
      <c r="L410" s="126">
        <f>IF('Assumptions - Freight'!$E$506&lt;&gt;0,IF(AND('Assumptions - Freight'!$E$514=2,Calculations!L$405&gt;0,Calculations!L$405&lt;=('Assumptions - Freight'!$E$512-'Assumptions - Freight'!$E$513)),'Assumptions - Freight'!$E$506/('Assumptions - Freight'!$E$512-'Assumptions - Freight'!$E$513),0),0)</f>
        <v>0</v>
      </c>
      <c r="M410" s="126">
        <f>IF('Assumptions - Freight'!$E$506&lt;&gt;0,IF(AND('Assumptions - Freight'!$E$514=2,Calculations!M$405&gt;0,Calculations!M$405&lt;=('Assumptions - Freight'!$E$512-'Assumptions - Freight'!$E$513)),'Assumptions - Freight'!$E$506/('Assumptions - Freight'!$E$512-'Assumptions - Freight'!$E$513),0),0)</f>
        <v>0</v>
      </c>
      <c r="N410" s="126">
        <f>IF('Assumptions - Freight'!$E$506&lt;&gt;0,IF(AND('Assumptions - Freight'!$E$514=2,Calculations!N$405&gt;0,Calculations!N$405&lt;=('Assumptions - Freight'!$E$512-'Assumptions - Freight'!$E$513)),'Assumptions - Freight'!$E$506/('Assumptions - Freight'!$E$512-'Assumptions - Freight'!$E$513),0),0)</f>
        <v>0</v>
      </c>
      <c r="O410" s="126">
        <f>IF('Assumptions - Freight'!$E$506&lt;&gt;0,IF(AND('Assumptions - Freight'!$E$514=2,Calculations!O$405&gt;0,Calculations!O$405&lt;=('Assumptions - Freight'!$E$512-'Assumptions - Freight'!$E$513)),'Assumptions - Freight'!$E$506/('Assumptions - Freight'!$E$512-'Assumptions - Freight'!$E$513),0),0)</f>
        <v>0</v>
      </c>
      <c r="P410" s="126">
        <f>IF('Assumptions - Freight'!$E$506&lt;&gt;0,IF(AND('Assumptions - Freight'!$E$514=2,Calculations!P$405&gt;0,Calculations!P$405&lt;=('Assumptions - Freight'!$E$512-'Assumptions - Freight'!$E$513)),'Assumptions - Freight'!$E$506/('Assumptions - Freight'!$E$512-'Assumptions - Freight'!$E$513),0),0)</f>
        <v>0</v>
      </c>
      <c r="Q410" s="126">
        <f>IF('Assumptions - Freight'!$E$506&lt;&gt;0,IF(AND('Assumptions - Freight'!$E$514=2,Calculations!Q$405&gt;0,Calculations!Q$405&lt;=('Assumptions - Freight'!$E$512-'Assumptions - Freight'!$E$513)),'Assumptions - Freight'!$E$506/('Assumptions - Freight'!$E$512-'Assumptions - Freight'!$E$513),0),0)</f>
        <v>0</v>
      </c>
      <c r="R410" s="126">
        <f>IF('Assumptions - Freight'!$E$506&lt;&gt;0,IF(AND('Assumptions - Freight'!$E$514=2,Calculations!R$405&gt;0,Calculations!R$405&lt;=('Assumptions - Freight'!$E$512-'Assumptions - Freight'!$E$513)),'Assumptions - Freight'!$E$506/('Assumptions - Freight'!$E$512-'Assumptions - Freight'!$E$513),0),0)</f>
        <v>0</v>
      </c>
      <c r="S410" s="126">
        <f>IF('Assumptions - Freight'!$E$506&lt;&gt;0,IF(AND('Assumptions - Freight'!$E$514=2,Calculations!S$405&gt;0,Calculations!S$405&lt;=('Assumptions - Freight'!$E$512-'Assumptions - Freight'!$E$513)),'Assumptions - Freight'!$E$506/('Assumptions - Freight'!$E$512-'Assumptions - Freight'!$E$513),0),0)</f>
        <v>0</v>
      </c>
      <c r="T410" s="126">
        <f>IF('Assumptions - Freight'!$E$506&lt;&gt;0,IF(AND('Assumptions - Freight'!$E$514=2,Calculations!T$405&gt;0,Calculations!T$405&lt;=('Assumptions - Freight'!$E$512-'Assumptions - Freight'!$E$513)),'Assumptions - Freight'!$E$506/('Assumptions - Freight'!$E$512-'Assumptions - Freight'!$E$513),0),0)</f>
        <v>0</v>
      </c>
      <c r="U410" s="126">
        <f>IF('Assumptions - Freight'!$E$506&lt;&gt;0,IF(AND('Assumptions - Freight'!$E$514=2,Calculations!U$405&gt;0,Calculations!U$405&lt;=('Assumptions - Freight'!$E$512-'Assumptions - Freight'!$E$513)),'Assumptions - Freight'!$E$506/('Assumptions - Freight'!$E$512-'Assumptions - Freight'!$E$513),0),0)</f>
        <v>0</v>
      </c>
      <c r="V410" s="126">
        <f>IF('Assumptions - Freight'!$E$506&lt;&gt;0,IF(AND('Assumptions - Freight'!$E$514=2,Calculations!V$405&gt;0,Calculations!V$405&lt;=('Assumptions - Freight'!$E$512-'Assumptions - Freight'!$E$513)),'Assumptions - Freight'!$E$506/('Assumptions - Freight'!$E$512-'Assumptions - Freight'!$E$513),0),0)</f>
        <v>0</v>
      </c>
      <c r="W410" s="126">
        <f>IF('Assumptions - Freight'!$E$506&lt;&gt;0,IF(AND('Assumptions - Freight'!$E$514=2,Calculations!W$405&gt;0,Calculations!W$405&lt;=('Assumptions - Freight'!$E$512-'Assumptions - Freight'!$E$513)),'Assumptions - Freight'!$E$506/('Assumptions - Freight'!$E$512-'Assumptions - Freight'!$E$513),0),0)</f>
        <v>0</v>
      </c>
      <c r="X410" s="126">
        <f>IF('Assumptions - Freight'!$E$506&lt;&gt;0,IF(AND('Assumptions - Freight'!$E$514=2,Calculations!X$405&gt;0,Calculations!X$405&lt;=('Assumptions - Freight'!$E$512-'Assumptions - Freight'!$E$513)),'Assumptions - Freight'!$E$506/('Assumptions - Freight'!$E$512-'Assumptions - Freight'!$E$513),0),0)</f>
        <v>0</v>
      </c>
      <c r="Y410" s="126">
        <f>IF('Assumptions - Freight'!$E$506&lt;&gt;0,IF(AND('Assumptions - Freight'!$E$514=2,Calculations!Y$405&gt;0,Calculations!Y$405&lt;=('Assumptions - Freight'!$E$512-'Assumptions - Freight'!$E$513)),'Assumptions - Freight'!$E$506/('Assumptions - Freight'!$E$512-'Assumptions - Freight'!$E$513),0),0)</f>
        <v>0</v>
      </c>
      <c r="Z410" s="126">
        <f>IF('Assumptions - Freight'!$E$506&lt;&gt;0,IF(AND('Assumptions - Freight'!$E$514=2,Calculations!Z$405&gt;0,Calculations!Z$405&lt;=('Assumptions - Freight'!$E$512-'Assumptions - Freight'!$E$513)),'Assumptions - Freight'!$E$506/('Assumptions - Freight'!$E$512-'Assumptions - Freight'!$E$513),0),0)</f>
        <v>0</v>
      </c>
      <c r="AA410" s="126">
        <f>IF('Assumptions - Freight'!$E$506&lt;&gt;0,IF(AND('Assumptions - Freight'!$E$514=2,Calculations!AA$405&gt;0,Calculations!AA$405&lt;=('Assumptions - Freight'!$E$512-'Assumptions - Freight'!$E$513)),'Assumptions - Freight'!$E$506/('Assumptions - Freight'!$E$512-'Assumptions - Freight'!$E$513),0),0)</f>
        <v>0</v>
      </c>
      <c r="AB410" s="126">
        <f>IF('Assumptions - Freight'!$E$506&lt;&gt;0,IF(AND('Assumptions - Freight'!$E$514=2,Calculations!AB$405&gt;0,Calculations!AB$405&lt;=('Assumptions - Freight'!$E$512-'Assumptions - Freight'!$E$513)),'Assumptions - Freight'!$E$506/('Assumptions - Freight'!$E$512-'Assumptions - Freight'!$E$513),0),0)</f>
        <v>0</v>
      </c>
      <c r="AC410" s="126">
        <f>IF('Assumptions - Freight'!$E$506&lt;&gt;0,IF(AND('Assumptions - Freight'!$E$514=2,Calculations!AC$405&gt;0,Calculations!AC$405&lt;=('Assumptions - Freight'!$E$512-'Assumptions - Freight'!$E$513)),'Assumptions - Freight'!$E$506/('Assumptions - Freight'!$E$512-'Assumptions - Freight'!$E$513),0),0)</f>
        <v>0</v>
      </c>
      <c r="AD410" s="126">
        <f>IF('Assumptions - Freight'!$E$506&lt;&gt;0,IF(AND('Assumptions - Freight'!$E$514=2,Calculations!AD$405&gt;0,Calculations!AD$405&lt;=('Assumptions - Freight'!$E$512-'Assumptions - Freight'!$E$513)),'Assumptions - Freight'!$E$506/('Assumptions - Freight'!$E$512-'Assumptions - Freight'!$E$513),0),0)</f>
        <v>0</v>
      </c>
      <c r="AE410" s="126">
        <f>IF('Assumptions - Freight'!$E$506&lt;&gt;0,IF(AND('Assumptions - Freight'!$E$514=2,Calculations!AE$405&gt;0,Calculations!AE$405&lt;=('Assumptions - Freight'!$E$512-'Assumptions - Freight'!$E$513)),'Assumptions - Freight'!$E$506/('Assumptions - Freight'!$E$512-'Assumptions - Freight'!$E$513),0),0)</f>
        <v>0</v>
      </c>
      <c r="AF410" s="126">
        <f>IF('Assumptions - Freight'!$E$506&lt;&gt;0,IF(AND('Assumptions - Freight'!$E$514=2,Calculations!AF$405&gt;0,Calculations!AF$405&lt;=('Assumptions - Freight'!$E$512-'Assumptions - Freight'!$E$513)),'Assumptions - Freight'!$E$506/('Assumptions - Freight'!$E$512-'Assumptions - Freight'!$E$513),0),0)</f>
        <v>0</v>
      </c>
      <c r="AG410" s="126">
        <f>IF('Assumptions - Freight'!$E$506&lt;&gt;0,IF(AND('Assumptions - Freight'!$E$514=2,Calculations!AG$405&gt;0,Calculations!AG$405&lt;=('Assumptions - Freight'!$E$512-'Assumptions - Freight'!$E$513)),'Assumptions - Freight'!$E$506/('Assumptions - Freight'!$E$512-'Assumptions - Freight'!$E$513),0),0)</f>
        <v>0</v>
      </c>
      <c r="AH410" s="126">
        <f>IF('Assumptions - Freight'!$E$506&lt;&gt;0,IF(AND('Assumptions - Freight'!$E$514=2,Calculations!AH$405&gt;0,Calculations!AH$405&lt;=('Assumptions - Freight'!$E$512-'Assumptions - Freight'!$E$513)),'Assumptions - Freight'!$E$506/('Assumptions - Freight'!$E$512-'Assumptions - Freight'!$E$513),0),0)</f>
        <v>0</v>
      </c>
    </row>
    <row r="411" spans="1:34" s="20" customFormat="1" ht="14" x14ac:dyDescent="0.2">
      <c r="A411" s="8"/>
      <c r="B411" s="125" t="s">
        <v>678</v>
      </c>
      <c r="C411" s="8"/>
      <c r="D411" s="8" t="str">
        <f t="shared" si="163"/>
        <v>EUR millions</v>
      </c>
      <c r="E411" s="126">
        <f>IF('Assumptions - Freight'!$E$506&lt;&gt;0,IF(AND('Assumptions - Freight'!$E514=3,E405&gt;0,E405&lt;=('Assumptions - Freight'!$E$512-'Assumptions - Freight'!$E$513)),E407*D412/SUM(E412:$AH412)-E413,0),0)</f>
        <v>0</v>
      </c>
      <c r="F411" s="126">
        <f>IF('Assumptions - Freight'!$E$506&lt;&gt;0,IF(AND('Assumptions - Freight'!$E514=3,F405&gt;0,F405&lt;=('Assumptions - Freight'!$E$512-'Assumptions - Freight'!$E$513)),F407*E412/SUM(F412:$AH412)-F413,0),0)</f>
        <v>0</v>
      </c>
      <c r="G411" s="126">
        <f>IF('Assumptions - Freight'!$E$506&lt;&gt;0,IF(AND('Assumptions - Freight'!$E514=3,G405&gt;0,G405&lt;=('Assumptions - Freight'!$E$512-'Assumptions - Freight'!$E$513)),G407*F412/SUM(G412:$AH412)-G413,0),0)</f>
        <v>0</v>
      </c>
      <c r="H411" s="126">
        <f>IF('Assumptions - Freight'!$E$506&lt;&gt;0,IF(AND('Assumptions - Freight'!$E514=3,H405&gt;0,H405&lt;=('Assumptions - Freight'!$E$512-'Assumptions - Freight'!$E$513)),H407*G412/SUM(H412:$AH412)-H413,0),0)</f>
        <v>0</v>
      </c>
      <c r="I411" s="126">
        <f>IF('Assumptions - Freight'!$E$506&lt;&gt;0,IF(AND('Assumptions - Freight'!$E514=3,I405&gt;0,I405&lt;=('Assumptions - Freight'!$E$512-'Assumptions - Freight'!$E$513)),I407*H412/SUM(I412:$AH412)-I413,0),0)</f>
        <v>0</v>
      </c>
      <c r="J411" s="126">
        <f>IF('Assumptions - Freight'!$E$506&lt;&gt;0,IF(AND('Assumptions - Freight'!$E514=3,J405&gt;0,J405&lt;=('Assumptions - Freight'!$E$512-'Assumptions - Freight'!$E$513)),J407*I412/SUM(J412:$AH412)-J413,0),0)</f>
        <v>0</v>
      </c>
      <c r="K411" s="126">
        <f>IF('Assumptions - Freight'!$E$506&lt;&gt;0,IF(AND('Assumptions - Freight'!$E514=3,K405&gt;0,K405&lt;=('Assumptions - Freight'!$E$512-'Assumptions - Freight'!$E$513)),K407*J412/SUM(K412:$AH412)-K413,0),0)</f>
        <v>0</v>
      </c>
      <c r="L411" s="126">
        <f>IF('Assumptions - Freight'!$E$506&lt;&gt;0,IF(AND('Assumptions - Freight'!$E514=3,L405&gt;0,L405&lt;=('Assumptions - Freight'!$E$512-'Assumptions - Freight'!$E$513)),L407*K412/SUM(L412:$AH412)-L413,0),0)</f>
        <v>0</v>
      </c>
      <c r="M411" s="126">
        <f>IF('Assumptions - Freight'!$E$506&lt;&gt;0,IF(AND('Assumptions - Freight'!$E514=3,M405&gt;0,M405&lt;=('Assumptions - Freight'!$E$512-'Assumptions - Freight'!$E$513)),M407*L412/SUM(M412:$AH412)-M413,0),0)</f>
        <v>0</v>
      </c>
      <c r="N411" s="126">
        <f>IF('Assumptions - Freight'!$E$506&lt;&gt;0,IF(AND('Assumptions - Freight'!$E514=3,N405&gt;0,N405&lt;=('Assumptions - Freight'!$E$512-'Assumptions - Freight'!$E$513)),N407*M412/SUM(N412:$AH412)-N413,0),0)</f>
        <v>0</v>
      </c>
      <c r="O411" s="126">
        <f>IF('Assumptions - Freight'!$E$506&lt;&gt;0,IF(AND('Assumptions - Freight'!$E514=3,O405&gt;0,O405&lt;=('Assumptions - Freight'!$E$512-'Assumptions - Freight'!$E$513)),O407*N412/SUM(O412:$AH412)-O413,0),0)</f>
        <v>0</v>
      </c>
      <c r="P411" s="126">
        <f>IF('Assumptions - Freight'!$E$506&lt;&gt;0,IF(AND('Assumptions - Freight'!$E514=3,P405&gt;0,P405&lt;=('Assumptions - Freight'!$E$512-'Assumptions - Freight'!$E$513)),P407*O412/SUM(P412:$AH412)-P413,0),0)</f>
        <v>0</v>
      </c>
      <c r="Q411" s="126">
        <f>IF('Assumptions - Freight'!$E$506&lt;&gt;0,IF(AND('Assumptions - Freight'!$E514=3,Q405&gt;0,Q405&lt;=('Assumptions - Freight'!$E$512-'Assumptions - Freight'!$E$513)),Q407*P412/SUM(Q412:$AH412)-Q413,0),0)</f>
        <v>0</v>
      </c>
      <c r="R411" s="126">
        <f>IF('Assumptions - Freight'!$E$506&lt;&gt;0,IF(AND('Assumptions - Freight'!$E514=3,R405&gt;0,R405&lt;=('Assumptions - Freight'!$E$512-'Assumptions - Freight'!$E$513)),R407*Q412/SUM(R412:$AH412)-R413,0),0)</f>
        <v>0</v>
      </c>
      <c r="S411" s="126">
        <f>IF('Assumptions - Freight'!$E$506&lt;&gt;0,IF(AND('Assumptions - Freight'!$E514=3,S405&gt;0,S405&lt;=('Assumptions - Freight'!$E$512-'Assumptions - Freight'!$E$513)),S407*R412/SUM(S412:$AH412)-S413,0),0)</f>
        <v>0</v>
      </c>
      <c r="T411" s="126">
        <f>IF('Assumptions - Freight'!$E$506&lt;&gt;0,IF(AND('Assumptions - Freight'!$E514=3,T405&gt;0,T405&lt;=('Assumptions - Freight'!$E$512-'Assumptions - Freight'!$E$513)),T407*S412/SUM(T412:$AH412)-T413,0),0)</f>
        <v>0</v>
      </c>
      <c r="U411" s="126">
        <f>IF('Assumptions - Freight'!$E$506&lt;&gt;0,IF(AND('Assumptions - Freight'!$E514=3,U405&gt;0,U405&lt;=('Assumptions - Freight'!$E$512-'Assumptions - Freight'!$E$513)),U407*T412/SUM(U412:$AH412)-U413,0),0)</f>
        <v>0</v>
      </c>
      <c r="V411" s="126">
        <f>IF('Assumptions - Freight'!$E$506&lt;&gt;0,IF(AND('Assumptions - Freight'!$E514=3,V405&gt;0,V405&lt;=('Assumptions - Freight'!$E$512-'Assumptions - Freight'!$E$513)),V407*U412/SUM(V412:$AH412)-V413,0),0)</f>
        <v>0</v>
      </c>
      <c r="W411" s="126">
        <f>IF('Assumptions - Freight'!$E$506&lt;&gt;0,IF(AND('Assumptions - Freight'!$E514=3,W405&gt;0,W405&lt;=('Assumptions - Freight'!$E$512-'Assumptions - Freight'!$E$513)),W407*V412/SUM(W412:$AH412)-W413,0),0)</f>
        <v>0</v>
      </c>
      <c r="X411" s="126">
        <f>IF('Assumptions - Freight'!$E$506&lt;&gt;0,IF(AND('Assumptions - Freight'!$E514=3,X405&gt;0,X405&lt;=('Assumptions - Freight'!$E$512-'Assumptions - Freight'!$E$513)),X407*W412/SUM(X412:$AH412)-X413,0),0)</f>
        <v>0</v>
      </c>
      <c r="Y411" s="126">
        <f>IF('Assumptions - Freight'!$E$506&lt;&gt;0,IF(AND('Assumptions - Freight'!$E514=3,Y405&gt;0,Y405&lt;=('Assumptions - Freight'!$E$512-'Assumptions - Freight'!$E$513)),Y407*X412/SUM(Y412:$AH412)-Y413,0),0)</f>
        <v>0</v>
      </c>
      <c r="Z411" s="126">
        <f>IF('Assumptions - Freight'!$E$506&lt;&gt;0,IF(AND('Assumptions - Freight'!$E514=3,Z405&gt;0,Z405&lt;=('Assumptions - Freight'!$E$512-'Assumptions - Freight'!$E$513)),Z407*Y412/SUM(Z412:$AH412)-Z413,0),0)</f>
        <v>0</v>
      </c>
      <c r="AA411" s="126">
        <f>IF('Assumptions - Freight'!$E$506&lt;&gt;0,IF(AND('Assumptions - Freight'!$E514=3,AA405&gt;0,AA405&lt;=('Assumptions - Freight'!$E$512-'Assumptions - Freight'!$E$513)),AA407*Z412/SUM(AA412:$AH412)-AA413,0),0)</f>
        <v>0</v>
      </c>
      <c r="AB411" s="126">
        <f>IF('Assumptions - Freight'!$E$506&lt;&gt;0,IF(AND('Assumptions - Freight'!$E514=3,AB405&gt;0,AB405&lt;=('Assumptions - Freight'!$E$512-'Assumptions - Freight'!$E$513)),AB407*AA412/SUM(AB412:$AH412)-AB413,0),0)</f>
        <v>0</v>
      </c>
      <c r="AC411" s="126">
        <f>IF('Assumptions - Freight'!$E$506&lt;&gt;0,IF(AND('Assumptions - Freight'!$E514=3,AC405&gt;0,AC405&lt;=('Assumptions - Freight'!$E$512-'Assumptions - Freight'!$E$513)),AC407*AB412/SUM(AC412:$AH412)-AC413,0),0)</f>
        <v>0</v>
      </c>
      <c r="AD411" s="126">
        <f>IF('Assumptions - Freight'!$E$506&lt;&gt;0,IF(AND('Assumptions - Freight'!$E514=3,AD405&gt;0,AD405&lt;=('Assumptions - Freight'!$E$512-'Assumptions - Freight'!$E$513)),AD407*AC412/SUM(AD412:$AH412)-AD413,0),0)</f>
        <v>0</v>
      </c>
      <c r="AE411" s="126">
        <f>IF('Assumptions - Freight'!$E$506&lt;&gt;0,IF(AND('Assumptions - Freight'!$E514=3,AE405&gt;0,AE405&lt;=('Assumptions - Freight'!$E$512-'Assumptions - Freight'!$E$513)),AE407*AD412/SUM(AE412:$AH412)-AE413,0),0)</f>
        <v>0</v>
      </c>
      <c r="AF411" s="126">
        <f>IF('Assumptions - Freight'!$E$506&lt;&gt;0,IF(AND('Assumptions - Freight'!$E514=3,AF405&gt;0,AF405&lt;=('Assumptions - Freight'!$E$512-'Assumptions - Freight'!$E$513)),AF407*AE412/SUM(AF412:$AH412)-AF413,0),0)</f>
        <v>0</v>
      </c>
      <c r="AG411" s="126">
        <f>IF('Assumptions - Freight'!$E$506&lt;&gt;0,IF(AND('Assumptions - Freight'!$E514=3,AG405&gt;0,AG405&lt;=('Assumptions - Freight'!$E$512-'Assumptions - Freight'!$E$513)),AG407*AF412/SUM(AG412:$AH412)-AG413,0),0)</f>
        <v>0</v>
      </c>
      <c r="AH411" s="126">
        <f>IF('Assumptions - Freight'!$E$506&lt;&gt;0,IF(AND('Assumptions - Freight'!$E514=3,AH405&gt;0,AH405&lt;=('Assumptions - Freight'!$E$512-'Assumptions - Freight'!$E$513)),AH407*AG412/SUM(AH412:$AH412)-AH413,0),0)</f>
        <v>0</v>
      </c>
    </row>
    <row r="412" spans="1:34" s="20" customFormat="1" ht="14" x14ac:dyDescent="0.2">
      <c r="B412" s="127" t="s">
        <v>677</v>
      </c>
      <c r="D412" s="87">
        <v>1</v>
      </c>
      <c r="E412" s="126">
        <f>IF('Assumptions - Freight'!$E$506&lt;&gt;0,IF(AND('Assumptions - Freight'!$E514=3,E405&lt;=('Assumptions - Freight'!$E$512-'Assumptions - Freight'!$E$513)),D412/(1+E406),0),0)</f>
        <v>0</v>
      </c>
      <c r="F412" s="126">
        <f>IF('Assumptions - Freight'!$E$506&lt;&gt;0,IF(AND('Assumptions - Freight'!$E514=3,F405&lt;=('Assumptions - Freight'!$E$512-'Assumptions - Freight'!$E$513)),E412/(1+F406),0),0)</f>
        <v>0</v>
      </c>
      <c r="G412" s="126">
        <f>IF('Assumptions - Freight'!$E$506&lt;&gt;0,IF(AND('Assumptions - Freight'!$E514=3,G405&lt;=('Assumptions - Freight'!$E$512-'Assumptions - Freight'!$E$513)),F412/(1+G406),0),0)</f>
        <v>0</v>
      </c>
      <c r="H412" s="126">
        <f>IF('Assumptions - Freight'!$E$506&lt;&gt;0,IF(AND('Assumptions - Freight'!$E514=3,H405&lt;=('Assumptions - Freight'!$E$512-'Assumptions - Freight'!$E$513)),G412/(1+H406),0),0)</f>
        <v>0</v>
      </c>
      <c r="I412" s="126">
        <f>IF('Assumptions - Freight'!$E$506&lt;&gt;0,IF(AND('Assumptions - Freight'!$E514=3,I405&lt;=('Assumptions - Freight'!$E$512-'Assumptions - Freight'!$E$513)),H412/(1+I406),0),0)</f>
        <v>0</v>
      </c>
      <c r="J412" s="126">
        <f>IF('Assumptions - Freight'!$E$506&lt;&gt;0,IF(AND('Assumptions - Freight'!$E514=3,J405&lt;=('Assumptions - Freight'!$E$512-'Assumptions - Freight'!$E$513)),I412/(1+J406),0),0)</f>
        <v>0</v>
      </c>
      <c r="K412" s="126">
        <f>IF('Assumptions - Freight'!$E$506&lt;&gt;0,IF(AND('Assumptions - Freight'!$E514=3,K405&lt;=('Assumptions - Freight'!$E$512-'Assumptions - Freight'!$E$513)),J412/(1+K406),0),0)</f>
        <v>0</v>
      </c>
      <c r="L412" s="126">
        <f>IF('Assumptions - Freight'!$E$506&lt;&gt;0,IF(AND('Assumptions - Freight'!$E514=3,L405&lt;=('Assumptions - Freight'!$E$512-'Assumptions - Freight'!$E$513)),K412/(1+L406),0),0)</f>
        <v>0</v>
      </c>
      <c r="M412" s="126">
        <f>IF('Assumptions - Freight'!$E$506&lt;&gt;0,IF(AND('Assumptions - Freight'!$E514=3,M405&lt;=('Assumptions - Freight'!$E$512-'Assumptions - Freight'!$E$513)),L412/(1+M406),0),0)</f>
        <v>0</v>
      </c>
      <c r="N412" s="126">
        <f>IF('Assumptions - Freight'!$E$506&lt;&gt;0,IF(AND('Assumptions - Freight'!$E514=3,N405&lt;=('Assumptions - Freight'!$E$512-'Assumptions - Freight'!$E$513)),M412/(1+N406),0),0)</f>
        <v>0</v>
      </c>
      <c r="O412" s="126">
        <f>IF('Assumptions - Freight'!$E$506&lt;&gt;0,IF(AND('Assumptions - Freight'!$E514=3,O405&lt;=('Assumptions - Freight'!$E$512-'Assumptions - Freight'!$E$513)),N412/(1+O406),0),0)</f>
        <v>0</v>
      </c>
      <c r="P412" s="126">
        <f>IF('Assumptions - Freight'!$E$506&lt;&gt;0,IF(AND('Assumptions - Freight'!$E514=3,P405&lt;=('Assumptions - Freight'!$E$512-'Assumptions - Freight'!$E$513)),O412/(1+P406),0),0)</f>
        <v>0</v>
      </c>
      <c r="Q412" s="126">
        <f>IF('Assumptions - Freight'!$E$506&lt;&gt;0,IF(AND('Assumptions - Freight'!$E514=3,Q405&lt;=('Assumptions - Freight'!$E$512-'Assumptions - Freight'!$E$513)),P412/(1+Q406),0),0)</f>
        <v>0</v>
      </c>
      <c r="R412" s="126">
        <f>IF('Assumptions - Freight'!$E$506&lt;&gt;0,IF(AND('Assumptions - Freight'!$E514=3,R405&lt;=('Assumptions - Freight'!$E$512-'Assumptions - Freight'!$E$513)),Q412/(1+R406),0),0)</f>
        <v>0</v>
      </c>
      <c r="S412" s="126">
        <f>IF('Assumptions - Freight'!$E$506&lt;&gt;0,IF(AND('Assumptions - Freight'!$E514=3,S405&lt;=('Assumptions - Freight'!$E$512-'Assumptions - Freight'!$E$513)),R412/(1+S406),0),0)</f>
        <v>0</v>
      </c>
      <c r="T412" s="126">
        <f>IF('Assumptions - Freight'!$E$506&lt;&gt;0,IF(AND('Assumptions - Freight'!$E514=3,T405&lt;=('Assumptions - Freight'!$E$512-'Assumptions - Freight'!$E$513)),S412/(1+T406),0),0)</f>
        <v>0</v>
      </c>
      <c r="U412" s="126">
        <f>IF('Assumptions - Freight'!$E$506&lt;&gt;0,IF(AND('Assumptions - Freight'!$E514=3,U405&lt;=('Assumptions - Freight'!$E$512-'Assumptions - Freight'!$E$513)),T412/(1+U406),0),0)</f>
        <v>0</v>
      </c>
      <c r="V412" s="126">
        <f>IF('Assumptions - Freight'!$E$506&lt;&gt;0,IF(AND('Assumptions - Freight'!$E514=3,V405&lt;=('Assumptions - Freight'!$E$512-'Assumptions - Freight'!$E$513)),U412/(1+V406),0),0)</f>
        <v>0</v>
      </c>
      <c r="W412" s="126">
        <f>IF('Assumptions - Freight'!$E$506&lt;&gt;0,IF(AND('Assumptions - Freight'!$E514=3,W405&lt;=('Assumptions - Freight'!$E$512-'Assumptions - Freight'!$E$513)),V412/(1+W406),0),0)</f>
        <v>0</v>
      </c>
      <c r="X412" s="126">
        <f>IF('Assumptions - Freight'!$E$506&lt;&gt;0,IF(AND('Assumptions - Freight'!$E514=3,X405&lt;=('Assumptions - Freight'!$E$512-'Assumptions - Freight'!$E$513)),W412/(1+X406),0),0)</f>
        <v>0</v>
      </c>
      <c r="Y412" s="126">
        <f>IF('Assumptions - Freight'!$E$506&lt;&gt;0,IF(AND('Assumptions - Freight'!$E514=3,Y405&lt;=('Assumptions - Freight'!$E$512-'Assumptions - Freight'!$E$513)),X412/(1+Y406),0),0)</f>
        <v>0</v>
      </c>
      <c r="Z412" s="126">
        <f>IF('Assumptions - Freight'!$E$506&lt;&gt;0,IF(AND('Assumptions - Freight'!$E514=3,Z405&lt;=('Assumptions - Freight'!$E$512-'Assumptions - Freight'!$E$513)),Y412/(1+Z406),0),0)</f>
        <v>0</v>
      </c>
      <c r="AA412" s="126">
        <f>IF('Assumptions - Freight'!$E$506&lt;&gt;0,IF(AND('Assumptions - Freight'!$E514=3,AA405&lt;=('Assumptions - Freight'!$E$512-'Assumptions - Freight'!$E$513)),Z412/(1+AA406),0),0)</f>
        <v>0</v>
      </c>
      <c r="AB412" s="126">
        <f>IF('Assumptions - Freight'!$E$506&lt;&gt;0,IF(AND('Assumptions - Freight'!$E514=3,AB405&lt;=('Assumptions - Freight'!$E$512-'Assumptions - Freight'!$E$513)),AA412/(1+AB406),0),0)</f>
        <v>0</v>
      </c>
      <c r="AC412" s="126">
        <f>IF('Assumptions - Freight'!$E$506&lt;&gt;0,IF(AND('Assumptions - Freight'!$E514=3,AC405&lt;=('Assumptions - Freight'!$E$512-'Assumptions - Freight'!$E$513)),AB412/(1+AC406),0),0)</f>
        <v>0</v>
      </c>
      <c r="AD412" s="126">
        <f>IF('Assumptions - Freight'!$E$506&lt;&gt;0,IF(AND('Assumptions - Freight'!$E514=3,AD405&lt;=('Assumptions - Freight'!$E$512-'Assumptions - Freight'!$E$513)),AC412/(1+AD406),0),0)</f>
        <v>0</v>
      </c>
      <c r="AE412" s="126">
        <f>IF('Assumptions - Freight'!$E$506&lt;&gt;0,IF(AND('Assumptions - Freight'!$E514=3,AE405&lt;=('Assumptions - Freight'!$E$512-'Assumptions - Freight'!$E$513)),AD412/(1+AE406),0),0)</f>
        <v>0</v>
      </c>
      <c r="AF412" s="126">
        <f>IF('Assumptions - Freight'!$E$506&lt;&gt;0,IF(AND('Assumptions - Freight'!$E514=3,AF405&lt;=('Assumptions - Freight'!$E$512-'Assumptions - Freight'!$E$513)),AE412/(1+AF406),0),0)</f>
        <v>0</v>
      </c>
      <c r="AG412" s="126">
        <f>IF('Assumptions - Freight'!$E$506&lt;&gt;0,IF(AND('Assumptions - Freight'!$E514=3,AG405&lt;=('Assumptions - Freight'!$E$512-'Assumptions - Freight'!$E$513)),AF412/(1+AG406),0),0)</f>
        <v>0</v>
      </c>
      <c r="AH412" s="126">
        <f>IF('Assumptions - Freight'!$E$506&lt;&gt;0,IF(AND('Assumptions - Freight'!$E514=3,AH405&lt;=('Assumptions - Freight'!$E$512-'Assumptions - Freight'!$E$513)),AG412/(1+AH406),0),0)</f>
        <v>0</v>
      </c>
    </row>
    <row r="413" spans="1:34" s="20" customFormat="1" ht="14" x14ac:dyDescent="0.2">
      <c r="A413" s="8"/>
      <c r="B413" s="125" t="s">
        <v>679</v>
      </c>
      <c r="C413" s="8"/>
      <c r="D413" s="8" t="str">
        <f>D410</f>
        <v>EUR millions</v>
      </c>
      <c r="E413" s="126">
        <f>IF('Assumptions - Freight'!$E$506&lt;&gt;0,IF('Assumptions - Freight'!$E$514=3,E406*E407,0),0)</f>
        <v>0</v>
      </c>
      <c r="F413" s="126">
        <f>IF('Assumptions - Freight'!$E$506&lt;&gt;0,IF('Assumptions - Freight'!$E$514=3,F406*F407,0),0)</f>
        <v>0</v>
      </c>
      <c r="G413" s="126">
        <f>IF('Assumptions - Freight'!$E$506&lt;&gt;0,IF('Assumptions - Freight'!$E$514=3,G406*G407,0),0)</f>
        <v>0</v>
      </c>
      <c r="H413" s="126">
        <f>IF('Assumptions - Freight'!$E$506&lt;&gt;0,IF('Assumptions - Freight'!$E$514=3,H406*H407,0),0)</f>
        <v>0</v>
      </c>
      <c r="I413" s="126">
        <f>IF('Assumptions - Freight'!$E$506&lt;&gt;0,IF('Assumptions - Freight'!$E$514=3,I406*I407,0),0)</f>
        <v>0</v>
      </c>
      <c r="J413" s="126">
        <f>IF('Assumptions - Freight'!$E$506&lt;&gt;0,IF('Assumptions - Freight'!$E$514=3,J406*J407,0),0)</f>
        <v>0</v>
      </c>
      <c r="K413" s="126">
        <f>IF('Assumptions - Freight'!$E$506&lt;&gt;0,IF('Assumptions - Freight'!$E$514=3,K406*K407,0),0)</f>
        <v>0</v>
      </c>
      <c r="L413" s="126">
        <f>IF('Assumptions - Freight'!$E$506&lt;&gt;0,IF('Assumptions - Freight'!$E$514=3,L406*L407,0),0)</f>
        <v>0</v>
      </c>
      <c r="M413" s="126">
        <f>IF('Assumptions - Freight'!$E$506&lt;&gt;0,IF('Assumptions - Freight'!$E$514=3,M406*M407,0),0)</f>
        <v>0</v>
      </c>
      <c r="N413" s="126">
        <f>IF('Assumptions - Freight'!$E$506&lt;&gt;0,IF('Assumptions - Freight'!$E$514=3,N406*N407,0),0)</f>
        <v>0</v>
      </c>
      <c r="O413" s="126">
        <f>IF('Assumptions - Freight'!$E$506&lt;&gt;0,IF('Assumptions - Freight'!$E$514=3,O406*O407,0),0)</f>
        <v>0</v>
      </c>
      <c r="P413" s="126">
        <f>IF('Assumptions - Freight'!$E$506&lt;&gt;0,IF('Assumptions - Freight'!$E$514=3,P406*P407,0),0)</f>
        <v>0</v>
      </c>
      <c r="Q413" s="126">
        <f>IF('Assumptions - Freight'!$E$506&lt;&gt;0,IF('Assumptions - Freight'!$E$514=3,Q406*Q407,0),0)</f>
        <v>0</v>
      </c>
      <c r="R413" s="126">
        <f>IF('Assumptions - Freight'!$E$506&lt;&gt;0,IF('Assumptions - Freight'!$E$514=3,R406*R407,0),0)</f>
        <v>0</v>
      </c>
      <c r="S413" s="126">
        <f>IF('Assumptions - Freight'!$E$506&lt;&gt;0,IF('Assumptions - Freight'!$E$514=3,S406*S407,0),0)</f>
        <v>0</v>
      </c>
      <c r="T413" s="126">
        <f>IF('Assumptions - Freight'!$E$506&lt;&gt;0,IF('Assumptions - Freight'!$E$514=3,T406*T407,0),0)</f>
        <v>0</v>
      </c>
      <c r="U413" s="126">
        <f>IF('Assumptions - Freight'!$E$506&lt;&gt;0,IF('Assumptions - Freight'!$E$514=3,U406*U407,0),0)</f>
        <v>0</v>
      </c>
      <c r="V413" s="126">
        <f>IF('Assumptions - Freight'!$E$506&lt;&gt;0,IF('Assumptions - Freight'!$E$514=3,V406*V407,0),0)</f>
        <v>0</v>
      </c>
      <c r="W413" s="126">
        <f>IF('Assumptions - Freight'!$E$506&lt;&gt;0,IF('Assumptions - Freight'!$E$514=3,W406*W407,0),0)</f>
        <v>0</v>
      </c>
      <c r="X413" s="126">
        <f>IF('Assumptions - Freight'!$E$506&lt;&gt;0,IF('Assumptions - Freight'!$E$514=3,X406*X407,0),0)</f>
        <v>0</v>
      </c>
      <c r="Y413" s="126">
        <f>IF('Assumptions - Freight'!$E$506&lt;&gt;0,IF('Assumptions - Freight'!$E$514=3,Y406*Y407,0),0)</f>
        <v>0</v>
      </c>
      <c r="Z413" s="126">
        <f>IF('Assumptions - Freight'!$E$506&lt;&gt;0,IF('Assumptions - Freight'!$E$514=3,Z406*Z407,0),0)</f>
        <v>0</v>
      </c>
      <c r="AA413" s="126">
        <f>IF('Assumptions - Freight'!$E$506&lt;&gt;0,IF('Assumptions - Freight'!$E$514=3,AA406*AA407,0),0)</f>
        <v>0</v>
      </c>
      <c r="AB413" s="126">
        <f>IF('Assumptions - Freight'!$E$506&lt;&gt;0,IF('Assumptions - Freight'!$E$514=3,AB406*AB407,0),0)</f>
        <v>0</v>
      </c>
      <c r="AC413" s="126">
        <f>IF('Assumptions - Freight'!$E$506&lt;&gt;0,IF('Assumptions - Freight'!$E$514=3,AC406*AC407,0),0)</f>
        <v>0</v>
      </c>
      <c r="AD413" s="126">
        <f>IF('Assumptions - Freight'!$E$506&lt;&gt;0,IF('Assumptions - Freight'!$E$514=3,AD406*AD407,0),0)</f>
        <v>0</v>
      </c>
      <c r="AE413" s="126">
        <f>IF('Assumptions - Freight'!$E$506&lt;&gt;0,IF('Assumptions - Freight'!$E$514=3,AE406*AE407,0),0)</f>
        <v>0</v>
      </c>
      <c r="AF413" s="126">
        <f>IF('Assumptions - Freight'!$E$506&lt;&gt;0,IF('Assumptions - Freight'!$E$514=3,AF406*AF407,0),0)</f>
        <v>0</v>
      </c>
      <c r="AG413" s="126">
        <f>IF('Assumptions - Freight'!$E$506&lt;&gt;0,IF('Assumptions - Freight'!$E$514=3,AG406*AG407,0),0)</f>
        <v>0</v>
      </c>
      <c r="AH413" s="126">
        <f>IF('Assumptions - Freight'!$E$506&lt;&gt;0,IF('Assumptions - Freight'!$E$514=3,AH406*AH407,0),0)</f>
        <v>0</v>
      </c>
    </row>
    <row r="414" spans="1:34" s="20" customFormat="1" ht="14" x14ac:dyDescent="0.2">
      <c r="A414" s="8"/>
      <c r="B414" s="8" t="s">
        <v>137</v>
      </c>
      <c r="C414" s="8"/>
      <c r="D414" s="8" t="str">
        <f>D413</f>
        <v>EUR millions</v>
      </c>
      <c r="E414" s="126">
        <f>IF(E$16=1,IF('Assumptions - Freight'!$E$506&gt;0,'Assumptions - Freight'!E507,0),0)</f>
        <v>0</v>
      </c>
      <c r="F414" s="126">
        <f>IF(F$16=1,IF('Assumptions - Freight'!$E$506&gt;0,'Assumptions - Freight'!F507,0),0)</f>
        <v>0</v>
      </c>
      <c r="G414" s="126">
        <f>IF(G$16=1,IF('Assumptions - Freight'!$E$506&gt;0,'Assumptions - Freight'!G507,0),0)</f>
        <v>10</v>
      </c>
      <c r="H414" s="126">
        <f>IF(H$16=1,IF('Assumptions - Freight'!$E$506&gt;0,'Assumptions - Freight'!H507,0),0)</f>
        <v>10</v>
      </c>
      <c r="I414" s="126">
        <f>IF(I$16=1,IF('Assumptions - Freight'!$E$506&gt;0,'Assumptions - Freight'!I507,0),0)</f>
        <v>10</v>
      </c>
      <c r="J414" s="126">
        <f>IF(J$16=1,IF('Assumptions - Freight'!$E$506&gt;0,'Assumptions - Freight'!J507,0),0)</f>
        <v>10</v>
      </c>
      <c r="K414" s="126">
        <f>IF(K$16=1,IF('Assumptions - Freight'!$E$506&gt;0,'Assumptions - Freight'!K507,0),0)</f>
        <v>10</v>
      </c>
      <c r="L414" s="126">
        <f>IF(L$16=1,IF('Assumptions - Freight'!$E$506&gt;0,'Assumptions - Freight'!L507,0),0)</f>
        <v>0</v>
      </c>
      <c r="M414" s="126">
        <f>IF(M$16=1,IF('Assumptions - Freight'!$E$506&gt;0,'Assumptions - Freight'!M507,0),0)</f>
        <v>0</v>
      </c>
      <c r="N414" s="126">
        <f>IF(N$16=1,IF('Assumptions - Freight'!$E$506&gt;0,'Assumptions - Freight'!N507,0),0)</f>
        <v>0</v>
      </c>
      <c r="O414" s="126">
        <f>IF(O$16=1,IF('Assumptions - Freight'!$E$506&gt;0,'Assumptions - Freight'!O507,0),0)</f>
        <v>0</v>
      </c>
      <c r="P414" s="126">
        <f>IF(P$16=1,IF('Assumptions - Freight'!$E$506&gt;0,'Assumptions - Freight'!P507,0),0)</f>
        <v>0</v>
      </c>
      <c r="Q414" s="126">
        <f>IF(Q$16=1,IF('Assumptions - Freight'!$E$506&gt;0,'Assumptions - Freight'!Q507,0),0)</f>
        <v>0</v>
      </c>
      <c r="R414" s="126">
        <f>IF(R$16=1,IF('Assumptions - Freight'!$E$506&gt;0,'Assumptions - Freight'!R507,0),0)</f>
        <v>0</v>
      </c>
      <c r="S414" s="126">
        <f>IF(S$16=1,IF('Assumptions - Freight'!$E$506&gt;0,'Assumptions - Freight'!S507,0),0)</f>
        <v>0</v>
      </c>
      <c r="T414" s="126">
        <f>IF(T$16=1,IF('Assumptions - Freight'!$E$506&gt;0,'Assumptions - Freight'!T507,0),0)</f>
        <v>0</v>
      </c>
      <c r="U414" s="126">
        <f>IF(U$16=1,IF('Assumptions - Freight'!$E$506&gt;0,'Assumptions - Freight'!U507,0),0)</f>
        <v>0</v>
      </c>
      <c r="V414" s="126">
        <f>IF(V$16=1,IF('Assumptions - Freight'!$E$506&gt;0,'Assumptions - Freight'!V507,0),0)</f>
        <v>0</v>
      </c>
      <c r="W414" s="126">
        <f>IF(W$16=1,IF('Assumptions - Freight'!$E$506&gt;0,'Assumptions - Freight'!W507,0),0)</f>
        <v>0</v>
      </c>
      <c r="X414" s="126">
        <f>IF(X$16=1,IF('Assumptions - Freight'!$E$506&gt;0,'Assumptions - Freight'!X507,0),0)</f>
        <v>0</v>
      </c>
      <c r="Y414" s="126">
        <f>IF(Y$16=1,IF('Assumptions - Freight'!$E$506&gt;0,'Assumptions - Freight'!Y507,0),0)</f>
        <v>0</v>
      </c>
      <c r="Z414" s="126">
        <f>IF(Z$16=1,IF('Assumptions - Freight'!$E$506&gt;0,'Assumptions - Freight'!Z507,0),0)</f>
        <v>0</v>
      </c>
      <c r="AA414" s="126">
        <f>IF(AA$16=1,IF('Assumptions - Freight'!$E$506&gt;0,'Assumptions - Freight'!AA507,0),0)</f>
        <v>0</v>
      </c>
      <c r="AB414" s="126">
        <f>IF(AB$16=1,IF('Assumptions - Freight'!$E$506&gt;0,'Assumptions - Freight'!AB507,0),0)</f>
        <v>0</v>
      </c>
      <c r="AC414" s="126">
        <f>IF(AC$16=1,IF('Assumptions - Freight'!$E$506&gt;0,'Assumptions - Freight'!AC507,0),0)</f>
        <v>0</v>
      </c>
      <c r="AD414" s="126">
        <f>IF(AD$16=1,IF('Assumptions - Freight'!$E$506&gt;0,'Assumptions - Freight'!AD507,0),0)</f>
        <v>0</v>
      </c>
      <c r="AE414" s="126">
        <f>IF(AE$16=1,IF('Assumptions - Freight'!$E$506&gt;0,'Assumptions - Freight'!AE507,0),0)</f>
        <v>0</v>
      </c>
      <c r="AF414" s="126">
        <f>IF(AF$16=1,IF('Assumptions - Freight'!$E$506&gt;0,'Assumptions - Freight'!AF507,0),0)</f>
        <v>0</v>
      </c>
      <c r="AG414" s="126">
        <f>IF(AG$16=1,IF('Assumptions - Freight'!$E$506&gt;0,'Assumptions - Freight'!AG507,0),0)</f>
        <v>0</v>
      </c>
      <c r="AH414" s="126">
        <f>IF(AH$16=1,IF('Assumptions - Freight'!$E$506&gt;0,'Assumptions - Freight'!AH507,0),0)</f>
        <v>0</v>
      </c>
    </row>
    <row r="415" spans="1:34" s="20" customFormat="1" ht="14" x14ac:dyDescent="0.2">
      <c r="A415" s="8"/>
      <c r="B415" s="8" t="s">
        <v>138</v>
      </c>
      <c r="C415" s="8"/>
      <c r="D415" s="8" t="str">
        <f t="shared" si="163"/>
        <v>EUR millions</v>
      </c>
      <c r="E415" s="126">
        <f>IF(E$16=1,IF('Assumptions - Freight'!$E$506&lt;&gt;0,E407-E408+E414,0),0)</f>
        <v>0</v>
      </c>
      <c r="F415" s="126">
        <f>IF(F$16=1,IF('Assumptions - Freight'!$E$506&lt;&gt;0,F407-F408+F414,0),0)</f>
        <v>0</v>
      </c>
      <c r="G415" s="126">
        <f>IF(G$16=1,IF('Assumptions - Freight'!$E$506&lt;&gt;0,G407-G408+G414,0),0)</f>
        <v>10</v>
      </c>
      <c r="H415" s="126">
        <f>IF(H$16=1,IF('Assumptions - Freight'!$E$506&lt;&gt;0,H407-H408+H414,0),0)</f>
        <v>20</v>
      </c>
      <c r="I415" s="126">
        <f>IF(I$16=1,IF('Assumptions - Freight'!$E$506&lt;&gt;0,I407-I408+I414,0),0)</f>
        <v>30</v>
      </c>
      <c r="J415" s="126">
        <f>IF(J$16=1,IF('Assumptions - Freight'!$E$506&lt;&gt;0,J407-J408+J414,0),0)</f>
        <v>40</v>
      </c>
      <c r="K415" s="126">
        <f>IF(K$16=1,IF('Assumptions - Freight'!$E$506&lt;&gt;0,K407-K408+K414,0),0)</f>
        <v>50</v>
      </c>
      <c r="L415" s="126">
        <f>IF(L$16=1,IF('Assumptions - Freight'!$E$506&lt;&gt;0,L407-L408+L414,0),0)</f>
        <v>50</v>
      </c>
      <c r="M415" s="126">
        <f>IF(M$16=1,IF('Assumptions - Freight'!$E$506&lt;&gt;0,M407-M408+M414,0),0)</f>
        <v>50</v>
      </c>
      <c r="N415" s="126">
        <f>IF(N$16=1,IF('Assumptions - Freight'!$E$506&lt;&gt;0,N407-N408+N414,0),0)</f>
        <v>50</v>
      </c>
      <c r="O415" s="126">
        <f>IF(O$16=1,IF('Assumptions - Freight'!$E$506&lt;&gt;0,O407-O408+O414,0),0)</f>
        <v>50</v>
      </c>
      <c r="P415" s="126">
        <f>IF(P$16=1,IF('Assumptions - Freight'!$E$506&lt;&gt;0,P407-P408+P414,0),0)</f>
        <v>50</v>
      </c>
      <c r="Q415" s="126">
        <f>IF(Q$16=1,IF('Assumptions - Freight'!$E$506&lt;&gt;0,Q407-Q408+Q414,0),0)</f>
        <v>50</v>
      </c>
      <c r="R415" s="126">
        <f>IF(R$16=1,IF('Assumptions - Freight'!$E$506&lt;&gt;0,R407-R408+R414,0),0)</f>
        <v>50</v>
      </c>
      <c r="S415" s="126">
        <f>IF(S$16=1,IF('Assumptions - Freight'!$E$506&lt;&gt;0,S407-S408+S414,0),0)</f>
        <v>50</v>
      </c>
      <c r="T415" s="126">
        <f>IF(T$16=1,IF('Assumptions - Freight'!$E$506&lt;&gt;0,T407-T408+T414,0),0)</f>
        <v>50</v>
      </c>
      <c r="U415" s="126">
        <f>IF(U$16=1,IF('Assumptions - Freight'!$E$506&lt;&gt;0,U407-U408+U414,0),0)</f>
        <v>0</v>
      </c>
      <c r="V415" s="126">
        <f>IF(V$16=1,IF('Assumptions - Freight'!$E$506&lt;&gt;0,V407-V408+V414,0),0)</f>
        <v>0</v>
      </c>
      <c r="W415" s="126">
        <f>IF(W$16=1,IF('Assumptions - Freight'!$E$506&lt;&gt;0,W407-W408+W414,0),0)</f>
        <v>0</v>
      </c>
      <c r="X415" s="126">
        <f>IF(X$16=1,IF('Assumptions - Freight'!$E$506&lt;&gt;0,X407-X408+X414,0),0)</f>
        <v>0</v>
      </c>
      <c r="Y415" s="126">
        <f>IF(Y$16=1,IF('Assumptions - Freight'!$E$506&lt;&gt;0,Y407-Y408+Y414,0),0)</f>
        <v>0</v>
      </c>
      <c r="Z415" s="126">
        <f>IF(Z$16=1,IF('Assumptions - Freight'!$E$506&lt;&gt;0,Z407-Z408+Z414,0),0)</f>
        <v>0</v>
      </c>
      <c r="AA415" s="126">
        <f>IF(AA$16=1,IF('Assumptions - Freight'!$E$506&lt;&gt;0,AA407-AA408+AA414,0),0)</f>
        <v>0</v>
      </c>
      <c r="AB415" s="126">
        <f>IF(AB$16=1,IF('Assumptions - Freight'!$E$506&lt;&gt;0,AB407-AB408+AB414,0),0)</f>
        <v>0</v>
      </c>
      <c r="AC415" s="126">
        <f>IF(AC$16=1,IF('Assumptions - Freight'!$E$506&lt;&gt;0,AC407-AC408+AC414,0),0)</f>
        <v>0</v>
      </c>
      <c r="AD415" s="126">
        <f>IF(AD$16=1,IF('Assumptions - Freight'!$E$506&lt;&gt;0,AD407-AD408+AD414,0),0)</f>
        <v>0</v>
      </c>
      <c r="AE415" s="126">
        <f>IF(AE$16=1,IF('Assumptions - Freight'!$E$506&lt;&gt;0,AE407-AE408+AE414,0),0)</f>
        <v>0</v>
      </c>
      <c r="AF415" s="126">
        <f>IF(AF$16=1,IF('Assumptions - Freight'!$E$506&lt;&gt;0,AF407-AF408+AF414,0),0)</f>
        <v>0</v>
      </c>
      <c r="AG415" s="126">
        <f>IF(AG$16=1,IF('Assumptions - Freight'!$E$506&lt;&gt;0,AG407-AG408+AG414,0),0)</f>
        <v>0</v>
      </c>
      <c r="AH415" s="126">
        <f>IF(AH$16=1,IF('Assumptions - Freight'!$E$506&lt;&gt;0,AH407-AH408+AH414,0),0)</f>
        <v>0</v>
      </c>
    </row>
    <row r="416" spans="1:34" s="20" customFormat="1" ht="14" x14ac:dyDescent="0.2">
      <c r="A416" s="8"/>
      <c r="B416" s="8" t="s">
        <v>139</v>
      </c>
      <c r="C416" s="8"/>
      <c r="D416" s="8" t="str">
        <f t="shared" si="163"/>
        <v>EUR millions</v>
      </c>
      <c r="E416" s="126">
        <f>IF(E$16=1,IF('Assumptions - Freight'!$E$506&lt;&gt;0,IF(AND('Assumptions - Freight'!$E$514=3,E405&gt;0),Calculations!E413,((E407+E415)/2)*E406),0),0)</f>
        <v>0</v>
      </c>
      <c r="F416" s="126">
        <f>IF(F$16=1,IF('Assumptions - Freight'!$E$506&lt;&gt;0,IF(AND('Assumptions - Freight'!$E$514=3,F405&gt;0),Calculations!F413,((F407+F415)/2)*F406),0),0)</f>
        <v>0</v>
      </c>
      <c r="G416" s="126">
        <f>IF(G$16=1,IF('Assumptions - Freight'!$E$506&lt;&gt;0,IF(AND('Assumptions - Freight'!$E$514=3,G405&gt;0),Calculations!G413,((G407+G415)/2)*G406),0),0)</f>
        <v>0.2485</v>
      </c>
      <c r="H416" s="126">
        <f>IF(H$16=1,IF('Assumptions - Freight'!$E$506&lt;&gt;0,IF(AND('Assumptions - Freight'!$E$514=3,H405&gt;0),Calculations!H413,((H407+H415)/2)*H406),0),0)</f>
        <v>0.8909999999999999</v>
      </c>
      <c r="I416" s="126">
        <f>IF(I$16=1,IF('Assumptions - Freight'!$E$506&lt;&gt;0,IF(AND('Assumptions - Freight'!$E$514=3,I405&gt;0),Calculations!I413,((I407+I415)/2)*I406),0),0)</f>
        <v>1.6575</v>
      </c>
      <c r="J416" s="126">
        <f>IF(J$16=1,IF('Assumptions - Freight'!$E$506&lt;&gt;0,IF(AND('Assumptions - Freight'!$E$514=3,J405&gt;0),Calculations!J413,((J407+J415)/2)*J406),0),0)</f>
        <v>2.4780000000000002</v>
      </c>
      <c r="K416" s="126">
        <f>IF(K$16=1,IF('Assumptions - Freight'!$E$506&lt;&gt;0,IF(AND('Assumptions - Freight'!$E$514=3,K405&gt;0),Calculations!K413,((K407+K415)/2)*K406),0),0)</f>
        <v>3.3210000000000002</v>
      </c>
      <c r="L416" s="126">
        <f>IF(L$16=1,IF('Assumptions - Freight'!$E$506&lt;&gt;0,IF(AND('Assumptions - Freight'!$E$514=3,L405&gt;0),Calculations!L413,((L407+L415)/2)*L406),0),0)</f>
        <v>3.7850000000000001</v>
      </c>
      <c r="M416" s="126">
        <f>IF(M$16=1,IF('Assumptions - Freight'!$E$506&lt;&gt;0,IF(AND('Assumptions - Freight'!$E$514=3,M405&gt;0),Calculations!M413,((M407+M415)/2)*M406),0),0)</f>
        <v>3.8850000000000002</v>
      </c>
      <c r="N416" s="126">
        <f>IF(N$16=1,IF('Assumptions - Freight'!$E$506&lt;&gt;0,IF(AND('Assumptions - Freight'!$E$514=3,N405&gt;0),Calculations!N413,((N407+N415)/2)*N406),0),0)</f>
        <v>3.9550000000000001</v>
      </c>
      <c r="O416" s="126">
        <f>IF(O$16=1,IF('Assumptions - Freight'!$E$506&lt;&gt;0,IF(AND('Assumptions - Freight'!$E$514=3,O405&gt;0),Calculations!O413,((O407+O415)/2)*O406),0),0)</f>
        <v>3.53</v>
      </c>
      <c r="P416" s="126">
        <f>IF(P$16=1,IF('Assumptions - Freight'!$E$506&lt;&gt;0,IF(AND('Assumptions - Freight'!$E$514=3,P405&gt;0),Calculations!P413,((P407+P415)/2)*P406),0),0)</f>
        <v>3.5000000000000004</v>
      </c>
      <c r="Q416" s="126">
        <f>IF(Q$16=1,IF('Assumptions - Freight'!$E$506&lt;&gt;0,IF(AND('Assumptions - Freight'!$E$514=3,Q405&gt;0),Calculations!Q413,((Q407+Q415)/2)*Q406),0),0)</f>
        <v>3.5000000000000004</v>
      </c>
      <c r="R416" s="126">
        <f>IF(R$16=1,IF('Assumptions - Freight'!$E$506&lt;&gt;0,IF(AND('Assumptions - Freight'!$E$514=3,R405&gt;0),Calculations!R413,((R407+R415)/2)*R406),0),0)</f>
        <v>3.5000000000000004</v>
      </c>
      <c r="S416" s="126">
        <f>IF(S$16=1,IF('Assumptions - Freight'!$E$506&lt;&gt;0,IF(AND('Assumptions - Freight'!$E$514=3,S405&gt;0),Calculations!S413,((S407+S415)/2)*S406),0),0)</f>
        <v>3.5000000000000004</v>
      </c>
      <c r="T416" s="126">
        <f>IF(T$16=1,IF('Assumptions - Freight'!$E$506&lt;&gt;0,IF(AND('Assumptions - Freight'!$E$514=3,T405&gt;0),Calculations!T413,((T407+T415)/2)*T406),0),0)</f>
        <v>3.5000000000000004</v>
      </c>
      <c r="U416" s="126">
        <f>IF(U$16=1,IF('Assumptions - Freight'!$E$506&lt;&gt;0,IF(AND('Assumptions - Freight'!$E$514=3,U405&gt;0),Calculations!U413,((U407+U415)/2)*U406),0),0)</f>
        <v>1.7500000000000002</v>
      </c>
      <c r="V416" s="126">
        <f>IF(V$16=1,IF('Assumptions - Freight'!$E$506&lt;&gt;0,IF(AND('Assumptions - Freight'!$E$514=3,V405&gt;0),Calculations!V413,((V407+V415)/2)*V406),0),0)</f>
        <v>0</v>
      </c>
      <c r="W416" s="126">
        <f>IF(W$16=1,IF('Assumptions - Freight'!$E$506&lt;&gt;0,IF(AND('Assumptions - Freight'!$E$514=3,W405&gt;0),Calculations!W413,((W407+W415)/2)*W406),0),0)</f>
        <v>0</v>
      </c>
      <c r="X416" s="126">
        <f>IF(X$16=1,IF('Assumptions - Freight'!$E$506&lt;&gt;0,IF(AND('Assumptions - Freight'!$E$514=3,X405&gt;0),Calculations!X413,((X407+X415)/2)*X406),0),0)</f>
        <v>0</v>
      </c>
      <c r="Y416" s="126">
        <f>IF(Y$16=1,IF('Assumptions - Freight'!$E$506&lt;&gt;0,IF(AND('Assumptions - Freight'!$E$514=3,Y405&gt;0),Calculations!Y413,((Y407+Y415)/2)*Y406),0),0)</f>
        <v>0</v>
      </c>
      <c r="Z416" s="126">
        <f>IF(Z$16=1,IF('Assumptions - Freight'!$E$506&lt;&gt;0,IF(AND('Assumptions - Freight'!$E$514=3,Z405&gt;0),Calculations!Z413,((Z407+Z415)/2)*Z406),0),0)</f>
        <v>0</v>
      </c>
      <c r="AA416" s="126">
        <f>IF(AA$16=1,IF('Assumptions - Freight'!$E$506&lt;&gt;0,IF(AND('Assumptions - Freight'!$E$514=3,AA405&gt;0),Calculations!AA413,((AA407+AA415)/2)*AA406),0),0)</f>
        <v>0</v>
      </c>
      <c r="AB416" s="126">
        <f>IF(AB$16=1,IF('Assumptions - Freight'!$E$506&lt;&gt;0,IF(AND('Assumptions - Freight'!$E$514=3,AB405&gt;0),Calculations!AB413,((AB407+AB415)/2)*AB406),0),0)</f>
        <v>0</v>
      </c>
      <c r="AC416" s="126">
        <f>IF(AC$16=1,IF('Assumptions - Freight'!$E$506&lt;&gt;0,IF(AND('Assumptions - Freight'!$E$514=3,AC405&gt;0),Calculations!AC413,((AC407+AC415)/2)*AC406),0),0)</f>
        <v>0</v>
      </c>
      <c r="AD416" s="126">
        <f>IF(AD$16=1,IF('Assumptions - Freight'!$E$506&lt;&gt;0,IF(AND('Assumptions - Freight'!$E$514=3,AD405&gt;0),Calculations!AD413,((AD407+AD415)/2)*AD406),0),0)</f>
        <v>0</v>
      </c>
      <c r="AE416" s="126">
        <f>IF(AE$16=1,IF('Assumptions - Freight'!$E$506&lt;&gt;0,IF(AND('Assumptions - Freight'!$E$514=3,AE405&gt;0),Calculations!AE413,((AE407+AE415)/2)*AE406),0),0)</f>
        <v>0</v>
      </c>
      <c r="AF416" s="126">
        <f>IF(AF$16=1,IF('Assumptions - Freight'!$E$506&lt;&gt;0,IF(AND('Assumptions - Freight'!$E$514=3,AF405&gt;0),Calculations!AF413,((AF407+AF415)/2)*AF406),0),0)</f>
        <v>0</v>
      </c>
      <c r="AG416" s="126">
        <f>IF(AG$16=1,IF('Assumptions - Freight'!$E$506&lt;&gt;0,IF(AND('Assumptions - Freight'!$E$514=3,AG405&gt;0),Calculations!AG413,((AG407+AG415)/2)*AG406),0),0)</f>
        <v>0</v>
      </c>
      <c r="AH416" s="126">
        <f>IF(AH$16=1,IF('Assumptions - Freight'!$E$506&lt;&gt;0,IF(AND('Assumptions - Freight'!$E$514=3,AH405&gt;0),Calculations!AH413,((AH407+AH415)/2)*AH406),0),0)</f>
        <v>0</v>
      </c>
    </row>
    <row r="417" spans="1:34" s="20" customFormat="1" ht="14" x14ac:dyDescent="0.2">
      <c r="A417" s="8"/>
      <c r="B417" s="8" t="s">
        <v>53</v>
      </c>
      <c r="C417" s="8"/>
      <c r="D417" s="8" t="str">
        <f t="shared" si="163"/>
        <v>EUR millions</v>
      </c>
      <c r="E417" s="126">
        <f>IF(E$16=1,IF('Assumptions - Freight'!$E$503=Calculations!E$4,'Assumptions - Freight'!$E$506*'Assumptions - Freight'!$E$516,0),0)</f>
        <v>0</v>
      </c>
      <c r="F417" s="126">
        <f>IF(F$16=1,IF('Assumptions - Freight'!$E$503=Calculations!F$4,'Assumptions - Freight'!$E$506*'Assumptions - Freight'!$E$516,0),0)</f>
        <v>0</v>
      </c>
      <c r="G417" s="126">
        <f>IF(G$16=1,IF('Assumptions - Freight'!$E$503=Calculations!G$4,'Assumptions - Freight'!$E$506*'Assumptions - Freight'!$E$516,0),0)</f>
        <v>0.125</v>
      </c>
      <c r="H417" s="126">
        <f>IF(H$16=1,IF('Assumptions - Freight'!$E$503=Calculations!H$4,'Assumptions - Freight'!$E$506*'Assumptions - Freight'!$E$516,0),0)</f>
        <v>0</v>
      </c>
      <c r="I417" s="126">
        <f>IF(I$16=1,IF('Assumptions - Freight'!$E$503=Calculations!I$4,'Assumptions - Freight'!$E$506*'Assumptions - Freight'!$E$516,0),0)</f>
        <v>0</v>
      </c>
      <c r="J417" s="126">
        <f>IF(J$16=1,IF('Assumptions - Freight'!$E$503=Calculations!J$4,'Assumptions - Freight'!$E$506*'Assumptions - Freight'!$E$516,0),0)</f>
        <v>0</v>
      </c>
      <c r="K417" s="126">
        <f>IF(K$16=1,IF('Assumptions - Freight'!$E$503=Calculations!K$4,'Assumptions - Freight'!$E$506*'Assumptions - Freight'!$E$516,0),0)</f>
        <v>0</v>
      </c>
      <c r="L417" s="126">
        <f>IF(L$16=1,IF('Assumptions - Freight'!$E$503=Calculations!L$4,'Assumptions - Freight'!$E$506*'Assumptions - Freight'!$E$516,0),0)</f>
        <v>0</v>
      </c>
      <c r="M417" s="126">
        <f>IF(M$16=1,IF('Assumptions - Freight'!$E$503=Calculations!M$4,'Assumptions - Freight'!$E$506*'Assumptions - Freight'!$E$516,0),0)</f>
        <v>0</v>
      </c>
      <c r="N417" s="126">
        <f>IF(N$16=1,IF('Assumptions - Freight'!$E$503=Calculations!N$4,'Assumptions - Freight'!$E$506*'Assumptions - Freight'!$E$516,0),0)</f>
        <v>0</v>
      </c>
      <c r="O417" s="126">
        <f>IF(O$16=1,IF('Assumptions - Freight'!$E$503=Calculations!O$4,'Assumptions - Freight'!$E$506*'Assumptions - Freight'!$E$516,0),0)</f>
        <v>0</v>
      </c>
      <c r="P417" s="126">
        <f>IF(P$16=1,IF('Assumptions - Freight'!$E$503=Calculations!P$4,'Assumptions - Freight'!$E$506*'Assumptions - Freight'!$E$516,0),0)</f>
        <v>0</v>
      </c>
      <c r="Q417" s="126">
        <f>IF(Q$16=1,IF('Assumptions - Freight'!$E$503=Calculations!Q$4,'Assumptions - Freight'!$E$506*'Assumptions - Freight'!$E$516,0),0)</f>
        <v>0</v>
      </c>
      <c r="R417" s="126">
        <f>IF(R$16=1,IF('Assumptions - Freight'!$E$503=Calculations!R$4,'Assumptions - Freight'!$E$506*'Assumptions - Freight'!$E$516,0),0)</f>
        <v>0</v>
      </c>
      <c r="S417" s="126">
        <f>IF(S$16=1,IF('Assumptions - Freight'!$E$503=Calculations!S$4,'Assumptions - Freight'!$E$506*'Assumptions - Freight'!$E$516,0),0)</f>
        <v>0</v>
      </c>
      <c r="T417" s="126">
        <f>IF(T$16=1,IF('Assumptions - Freight'!$E$503=Calculations!T$4,'Assumptions - Freight'!$E$506*'Assumptions - Freight'!$E$516,0),0)</f>
        <v>0</v>
      </c>
      <c r="U417" s="126">
        <f>IF(U$16=1,IF('Assumptions - Freight'!$E$503=Calculations!U$4,'Assumptions - Freight'!$E$506*'Assumptions - Freight'!$E$516,0),0)</f>
        <v>0</v>
      </c>
      <c r="V417" s="126">
        <f>IF(V$16=1,IF('Assumptions - Freight'!$E$503=Calculations!V$4,'Assumptions - Freight'!$E$506*'Assumptions - Freight'!$E$516,0),0)</f>
        <v>0</v>
      </c>
      <c r="W417" s="126">
        <f>IF(W$16=1,IF('Assumptions - Freight'!$E$503=Calculations!W$4,'Assumptions - Freight'!$E$506*'Assumptions - Freight'!$E$516,0),0)</f>
        <v>0</v>
      </c>
      <c r="X417" s="126">
        <f>IF(X$16=1,IF('Assumptions - Freight'!$E$503=Calculations!X$4,'Assumptions - Freight'!$E$506*'Assumptions - Freight'!$E$516,0),0)</f>
        <v>0</v>
      </c>
      <c r="Y417" s="126">
        <f>IF(Y$16=1,IF('Assumptions - Freight'!$E$503=Calculations!Y$4,'Assumptions - Freight'!$E$506*'Assumptions - Freight'!$E$516,0),0)</f>
        <v>0</v>
      </c>
      <c r="Z417" s="126">
        <f>IF(Z$16=1,IF('Assumptions - Freight'!$E$503=Calculations!Z$4,'Assumptions - Freight'!$E$506*'Assumptions - Freight'!$E$516,0),0)</f>
        <v>0</v>
      </c>
      <c r="AA417" s="126">
        <f>IF(AA$16=1,IF('Assumptions - Freight'!$E$503=Calculations!AA$4,'Assumptions - Freight'!$E$506*'Assumptions - Freight'!$E$516,0),0)</f>
        <v>0</v>
      </c>
      <c r="AB417" s="126">
        <f>IF(AB$16=1,IF('Assumptions - Freight'!$E$503=Calculations!AB$4,'Assumptions - Freight'!$E$506*'Assumptions - Freight'!$E$516,0),0)</f>
        <v>0</v>
      </c>
      <c r="AC417" s="126">
        <f>IF(AC$16=1,IF('Assumptions - Freight'!$E$503=Calculations!AC$4,'Assumptions - Freight'!$E$506*'Assumptions - Freight'!$E$516,0),0)</f>
        <v>0</v>
      </c>
      <c r="AD417" s="126">
        <f>IF(AD$16=1,IF('Assumptions - Freight'!$E$503=Calculations!AD$4,'Assumptions - Freight'!$E$506*'Assumptions - Freight'!$E$516,0),0)</f>
        <v>0</v>
      </c>
      <c r="AE417" s="126">
        <f>IF(AE$16=1,IF('Assumptions - Freight'!$E$503=Calculations!AE$4,'Assumptions - Freight'!$E$506*'Assumptions - Freight'!$E$516,0),0)</f>
        <v>0</v>
      </c>
      <c r="AF417" s="126">
        <f>IF(AF$16=1,IF('Assumptions - Freight'!$E$503=Calculations!AF$4,'Assumptions - Freight'!$E$506*'Assumptions - Freight'!$E$516,0),0)</f>
        <v>0</v>
      </c>
      <c r="AG417" s="126">
        <f>IF(AG$16=1,IF('Assumptions - Freight'!$E$503=Calculations!AG$4,'Assumptions - Freight'!$E$506*'Assumptions - Freight'!$E$516,0),0)</f>
        <v>0</v>
      </c>
      <c r="AH417" s="126">
        <f>IF(AH$16=1,IF('Assumptions - Freight'!$E$503=Calculations!AH$4,'Assumptions - Freight'!$E$506*'Assumptions - Freight'!$E$516,0),0)</f>
        <v>0</v>
      </c>
    </row>
    <row r="418" spans="1:34" s="20" customFormat="1" ht="14" x14ac:dyDescent="0.2">
      <c r="A418" s="8"/>
      <c r="B418" s="8" t="s">
        <v>142</v>
      </c>
      <c r="C418" s="8"/>
      <c r="D418" s="8" t="str">
        <f t="shared" si="163"/>
        <v>EUR millions</v>
      </c>
      <c r="E418" s="126">
        <f>IF(E$16=1,IF(AND(E$4&lt;=('Assumptions - Freight'!$E$503+'Assumptions - Freight'!$E$513),E$4&gt;='Assumptions - Freight'!$E$503),'Assumptions - Freight'!$E$506-Calculations!E407-E414,0),0)</f>
        <v>0</v>
      </c>
      <c r="F418" s="126">
        <f>IF(F$16=1,IF(AND(F$4&lt;=('Assumptions - Freight'!$E$503+'Assumptions - Freight'!$E$513),F$4&gt;='Assumptions - Freight'!$E$503),'Assumptions - Freight'!$E$506-Calculations!F407-F414,0),0)</f>
        <v>0</v>
      </c>
      <c r="G418" s="126">
        <f>IF(G$16=1,IF(AND(G$4&lt;=('Assumptions - Freight'!$E$503+'Assumptions - Freight'!$E$513),G$4&gt;='Assumptions - Freight'!$E$503),'Assumptions - Freight'!$E$506-Calculations!G407-G414,0),0)</f>
        <v>40</v>
      </c>
      <c r="H418" s="126">
        <f>IF(H$16=1,IF(AND(H$4&lt;=('Assumptions - Freight'!$E$503+'Assumptions - Freight'!$E$513),H$4&gt;='Assumptions - Freight'!$E$503),'Assumptions - Freight'!$E$506-Calculations!H407-H414,0),0)</f>
        <v>30</v>
      </c>
      <c r="I418" s="126">
        <f>IF(I$16=1,IF(AND(I$4&lt;=('Assumptions - Freight'!$E$503+'Assumptions - Freight'!$E$513),I$4&gt;='Assumptions - Freight'!$E$503),'Assumptions - Freight'!$E$506-Calculations!I407-I414,0),0)</f>
        <v>20</v>
      </c>
      <c r="J418" s="126">
        <f>IF(J$16=1,IF(AND(J$4&lt;=('Assumptions - Freight'!$E$503+'Assumptions - Freight'!$E$513),J$4&gt;='Assumptions - Freight'!$E$503),'Assumptions - Freight'!$E$506-Calculations!J407-J414,0),0)</f>
        <v>10</v>
      </c>
      <c r="K418" s="126">
        <f>IF(K$16=1,IF(AND(K$4&lt;=('Assumptions - Freight'!$E$503+'Assumptions - Freight'!$E$513),K$4&gt;='Assumptions - Freight'!$E$503),'Assumptions - Freight'!$E$506-Calculations!K407-K414,0),0)</f>
        <v>0</v>
      </c>
      <c r="L418" s="126">
        <f>IF(L$16=1,IF(AND(L$4&lt;=('Assumptions - Freight'!$E$503+'Assumptions - Freight'!$E$513),L$4&gt;='Assumptions - Freight'!$E$503),'Assumptions - Freight'!$E$506-Calculations!L407-L414,0),0)</f>
        <v>0</v>
      </c>
      <c r="M418" s="126">
        <f>IF(M$16=1,IF(AND(M$4&lt;=('Assumptions - Freight'!$E$503+'Assumptions - Freight'!$E$513),M$4&gt;='Assumptions - Freight'!$E$503),'Assumptions - Freight'!$E$506-Calculations!M407-M414,0),0)</f>
        <v>0</v>
      </c>
      <c r="N418" s="126">
        <f>IF(N$16=1,IF(AND(N$4&lt;=('Assumptions - Freight'!$E$503+'Assumptions - Freight'!$E$513),N$4&gt;='Assumptions - Freight'!$E$503),'Assumptions - Freight'!$E$506-Calculations!N407-N414,0),0)</f>
        <v>0</v>
      </c>
      <c r="O418" s="126">
        <f>IF(O$16=1,IF(AND(O$4&lt;=('Assumptions - Freight'!$E$503+'Assumptions - Freight'!$E$513),O$4&gt;='Assumptions - Freight'!$E$503),'Assumptions - Freight'!$E$506-Calculations!O407-O414,0),0)</f>
        <v>0</v>
      </c>
      <c r="P418" s="126">
        <f>IF(P$16=1,IF(AND(P$4&lt;=('Assumptions - Freight'!$E$503+'Assumptions - Freight'!$E$513),P$4&gt;='Assumptions - Freight'!$E$503),'Assumptions - Freight'!$E$506-Calculations!P407-P414,0),0)</f>
        <v>0</v>
      </c>
      <c r="Q418" s="126">
        <f>IF(Q$16=1,IF(AND(Q$4&lt;=('Assumptions - Freight'!$E$503+'Assumptions - Freight'!$E$513),Q$4&gt;='Assumptions - Freight'!$E$503),'Assumptions - Freight'!$E$506-Calculations!Q407-Q414,0),0)</f>
        <v>0</v>
      </c>
      <c r="R418" s="126">
        <f>IF(R$16=1,IF(AND(R$4&lt;=('Assumptions - Freight'!$E$503+'Assumptions - Freight'!$E$513),R$4&gt;='Assumptions - Freight'!$E$503),'Assumptions - Freight'!$E$506-Calculations!R407-R414,0),0)</f>
        <v>0</v>
      </c>
      <c r="S418" s="126">
        <f>IF(S$16=1,IF(AND(S$4&lt;=('Assumptions - Freight'!$E$503+'Assumptions - Freight'!$E$513),S$4&gt;='Assumptions - Freight'!$E$503),'Assumptions - Freight'!$E$506-Calculations!S407-S414,0),0)</f>
        <v>0</v>
      </c>
      <c r="T418" s="126">
        <f>IF(T$16=1,IF(AND(T$4&lt;=('Assumptions - Freight'!$E$503+'Assumptions - Freight'!$E$513),T$4&gt;='Assumptions - Freight'!$E$503),'Assumptions - Freight'!$E$506-Calculations!T407-T414,0),0)</f>
        <v>0</v>
      </c>
      <c r="U418" s="126">
        <f>IF(U$16=1,IF(AND(U$4&lt;=('Assumptions - Freight'!$E$503+'Assumptions - Freight'!$E$513),U$4&gt;='Assumptions - Freight'!$E$503),'Assumptions - Freight'!$E$506-Calculations!U407-U414,0),0)</f>
        <v>0</v>
      </c>
      <c r="V418" s="126">
        <f>IF(V$16=1,IF(AND(V$4&lt;=('Assumptions - Freight'!$E$503+'Assumptions - Freight'!$E$513),V$4&gt;='Assumptions - Freight'!$E$503),'Assumptions - Freight'!$E$506-Calculations!V407-V414,0),0)</f>
        <v>0</v>
      </c>
      <c r="W418" s="126">
        <f>IF(W$16=1,IF(AND(W$4&lt;=('Assumptions - Freight'!$E$503+'Assumptions - Freight'!$E$513),W$4&gt;='Assumptions - Freight'!$E$503),'Assumptions - Freight'!$E$506-Calculations!W407-W414,0),0)</f>
        <v>0</v>
      </c>
      <c r="X418" s="126">
        <f>IF(X$16=1,IF(AND(X$4&lt;=('Assumptions - Freight'!$E$503+'Assumptions - Freight'!$E$513),X$4&gt;='Assumptions - Freight'!$E$503),'Assumptions - Freight'!$E$506-Calculations!X407-X414,0),0)</f>
        <v>0</v>
      </c>
      <c r="Y418" s="126">
        <f>IF(Y$16=1,IF(AND(Y$4&lt;=('Assumptions - Freight'!$E$503+'Assumptions - Freight'!$E$513),Y$4&gt;='Assumptions - Freight'!$E$503),'Assumptions - Freight'!$E$506-Calculations!Y407-Y414,0),0)</f>
        <v>0</v>
      </c>
      <c r="Z418" s="126">
        <f>IF(Z$16=1,IF(AND(Z$4&lt;=('Assumptions - Freight'!$E$503+'Assumptions - Freight'!$E$513),Z$4&gt;='Assumptions - Freight'!$E$503),'Assumptions - Freight'!$E$506-Calculations!Z407-Z414,0),0)</f>
        <v>0</v>
      </c>
      <c r="AA418" s="126">
        <f>IF(AA$16=1,IF(AND(AA$4&lt;=('Assumptions - Freight'!$E$503+'Assumptions - Freight'!$E$513),AA$4&gt;='Assumptions - Freight'!$E$503),'Assumptions - Freight'!$E$506-Calculations!AA407-AA414,0),0)</f>
        <v>0</v>
      </c>
      <c r="AB418" s="126">
        <f>IF(AB$16=1,IF(AND(AB$4&lt;=('Assumptions - Freight'!$E$503+'Assumptions - Freight'!$E$513),AB$4&gt;='Assumptions - Freight'!$E$503),'Assumptions - Freight'!$E$506-Calculations!AB407-AB414,0),0)</f>
        <v>0</v>
      </c>
      <c r="AC418" s="126">
        <f>IF(AC$16=1,IF(AND(AC$4&lt;=('Assumptions - Freight'!$E$503+'Assumptions - Freight'!$E$513),AC$4&gt;='Assumptions - Freight'!$E$503),'Assumptions - Freight'!$E$506-Calculations!AC407-AC414,0),0)</f>
        <v>0</v>
      </c>
      <c r="AD418" s="126">
        <f>IF(AD$16=1,IF(AND(AD$4&lt;=('Assumptions - Freight'!$E$503+'Assumptions - Freight'!$E$513),AD$4&gt;='Assumptions - Freight'!$E$503),'Assumptions - Freight'!$E$506-Calculations!AD407-AD414,0),0)</f>
        <v>0</v>
      </c>
      <c r="AE418" s="126">
        <f>IF(AE$16=1,IF(AND(AE$4&lt;=('Assumptions - Freight'!$E$503+'Assumptions - Freight'!$E$513),AE$4&gt;='Assumptions - Freight'!$E$503),'Assumptions - Freight'!$E$506-Calculations!AE407-AE414,0),0)</f>
        <v>0</v>
      </c>
      <c r="AF418" s="126">
        <f>IF(AF$16=1,IF(AND(AF$4&lt;=('Assumptions - Freight'!$E$503+'Assumptions - Freight'!$E$513),AF$4&gt;='Assumptions - Freight'!$E$503),'Assumptions - Freight'!$E$506-Calculations!AF407-AF414,0),0)</f>
        <v>0</v>
      </c>
      <c r="AG418" s="126">
        <f>IF(AG$16=1,IF(AND(AG$4&lt;=('Assumptions - Freight'!$E$503+'Assumptions - Freight'!$E$513),AG$4&gt;='Assumptions - Freight'!$E$503),'Assumptions - Freight'!$E$506-Calculations!AG407-AG414,0),0)</f>
        <v>0</v>
      </c>
      <c r="AH418" s="126">
        <f>IF(AH$16=1,IF(AND(AH$4&lt;=('Assumptions - Freight'!$E$503+'Assumptions - Freight'!$E$513),AH$4&gt;='Assumptions - Freight'!$E$503),'Assumptions - Freight'!$E$506-Calculations!AH407-AH414,0),0)</f>
        <v>0</v>
      </c>
    </row>
    <row r="419" spans="1:34" s="20" customFormat="1" ht="14" x14ac:dyDescent="0.2">
      <c r="A419" s="8"/>
      <c r="B419" s="8" t="s">
        <v>55</v>
      </c>
      <c r="C419" s="8"/>
      <c r="D419" s="8" t="str">
        <f t="shared" si="163"/>
        <v>EUR millions</v>
      </c>
      <c r="E419" s="126">
        <f>IF(E$16=1,'Assumptions - Freight'!$E$517*Calculations!E418,0)</f>
        <v>0</v>
      </c>
      <c r="F419" s="126">
        <f>IF(F$16=1,'Assumptions - Freight'!$E$517*Calculations!F418,0)</f>
        <v>0</v>
      </c>
      <c r="G419" s="126">
        <f>IF(G$16=1,'Assumptions - Freight'!$E$517*Calculations!G418,0)</f>
        <v>0</v>
      </c>
      <c r="H419" s="126">
        <f>IF(H$16=1,'Assumptions - Freight'!$E$517*Calculations!H418,0)</f>
        <v>0</v>
      </c>
      <c r="I419" s="126">
        <f>IF(I$16=1,'Assumptions - Freight'!$E$517*Calculations!I418,0)</f>
        <v>0</v>
      </c>
      <c r="J419" s="126">
        <f>IF(J$16=1,'Assumptions - Freight'!$E$517*Calculations!J418,0)</f>
        <v>0</v>
      </c>
      <c r="K419" s="126">
        <f>IF(K$16=1,'Assumptions - Freight'!$E$517*Calculations!K418,0)</f>
        <v>0</v>
      </c>
      <c r="L419" s="126">
        <f>IF(L$16=1,'Assumptions - Freight'!$E$517*Calculations!L418,0)</f>
        <v>0</v>
      </c>
      <c r="M419" s="126">
        <f>IF(M$16=1,'Assumptions - Freight'!$E$517*Calculations!M418,0)</f>
        <v>0</v>
      </c>
      <c r="N419" s="126">
        <f>IF(N$16=1,'Assumptions - Freight'!$E$517*Calculations!N418,0)</f>
        <v>0</v>
      </c>
      <c r="O419" s="126">
        <f>IF(O$16=1,'Assumptions - Freight'!$E$517*Calculations!O418,0)</f>
        <v>0</v>
      </c>
      <c r="P419" s="126">
        <f>IF(P$16=1,'Assumptions - Freight'!$E$517*Calculations!P418,0)</f>
        <v>0</v>
      </c>
      <c r="Q419" s="126">
        <f>IF(Q$16=1,'Assumptions - Freight'!$E$517*Calculations!Q418,0)</f>
        <v>0</v>
      </c>
      <c r="R419" s="126">
        <f>IF(R$16=1,'Assumptions - Freight'!$E$517*Calculations!R418,0)</f>
        <v>0</v>
      </c>
      <c r="S419" s="126">
        <f>IF(S$16=1,'Assumptions - Freight'!$E$517*Calculations!S418,0)</f>
        <v>0</v>
      </c>
      <c r="T419" s="126">
        <f>IF(T$16=1,'Assumptions - Freight'!$E$517*Calculations!T418,0)</f>
        <v>0</v>
      </c>
      <c r="U419" s="126">
        <f>IF(U$16=1,'Assumptions - Freight'!$E$517*Calculations!U418,0)</f>
        <v>0</v>
      </c>
      <c r="V419" s="126">
        <f>IF(V$16=1,'Assumptions - Freight'!$E$517*Calculations!V418,0)</f>
        <v>0</v>
      </c>
      <c r="W419" s="126">
        <f>IF(W$16=1,'Assumptions - Freight'!$E$517*Calculations!W418,0)</f>
        <v>0</v>
      </c>
      <c r="X419" s="126">
        <f>IF(X$16=1,'Assumptions - Freight'!$E$517*Calculations!X418,0)</f>
        <v>0</v>
      </c>
      <c r="Y419" s="126">
        <f>IF(Y$16=1,'Assumptions - Freight'!$E$517*Calculations!Y418,0)</f>
        <v>0</v>
      </c>
      <c r="Z419" s="126">
        <f>IF(Z$16=1,'Assumptions - Freight'!$E$517*Calculations!Z418,0)</f>
        <v>0</v>
      </c>
      <c r="AA419" s="126">
        <f>IF(AA$16=1,'Assumptions - Freight'!$E$517*Calculations!AA418,0)</f>
        <v>0</v>
      </c>
      <c r="AB419" s="126">
        <f>IF(AB$16=1,'Assumptions - Freight'!$E$517*Calculations!AB418,0)</f>
        <v>0</v>
      </c>
      <c r="AC419" s="126">
        <f>IF(AC$16=1,'Assumptions - Freight'!$E$517*Calculations!AC418,0)</f>
        <v>0</v>
      </c>
      <c r="AD419" s="126">
        <f>IF(AD$16=1,'Assumptions - Freight'!$E$517*Calculations!AD418,0)</f>
        <v>0</v>
      </c>
      <c r="AE419" s="126">
        <f>IF(AE$16=1,'Assumptions - Freight'!$E$517*Calculations!AE418,0)</f>
        <v>0</v>
      </c>
      <c r="AF419" s="126">
        <f>IF(AF$16=1,'Assumptions - Freight'!$E$517*Calculations!AF418,0)</f>
        <v>0</v>
      </c>
      <c r="AG419" s="126">
        <f>IF(AG$16=1,'Assumptions - Freight'!$E$517*Calculations!AG418,0)</f>
        <v>0</v>
      </c>
      <c r="AH419" s="126">
        <f>IF(AH$16=1,'Assumptions - Freight'!$E$517*Calculations!AH418,0)</f>
        <v>0</v>
      </c>
    </row>
    <row r="420" spans="1:34" s="20" customFormat="1" ht="14" x14ac:dyDescent="0.2">
      <c r="A420" s="8"/>
      <c r="B420" s="8" t="s">
        <v>140</v>
      </c>
      <c r="C420" s="8"/>
      <c r="D420" s="8" t="str">
        <f t="shared" si="163"/>
        <v>EUR millions</v>
      </c>
      <c r="E420" s="126">
        <f t="shared" ref="E420:F420" si="164">E408+E416+E417+E419</f>
        <v>0</v>
      </c>
      <c r="F420" s="126">
        <f t="shared" si="164"/>
        <v>0</v>
      </c>
      <c r="G420" s="126">
        <f t="shared" ref="G420:AH420" si="165">G408+G416+G417+G419</f>
        <v>0.3735</v>
      </c>
      <c r="H420" s="126">
        <f t="shared" si="165"/>
        <v>0.8909999999999999</v>
      </c>
      <c r="I420" s="126">
        <f t="shared" si="165"/>
        <v>1.6575</v>
      </c>
      <c r="J420" s="126">
        <f t="shared" si="165"/>
        <v>2.4780000000000002</v>
      </c>
      <c r="K420" s="126">
        <f t="shared" si="165"/>
        <v>3.3210000000000002</v>
      </c>
      <c r="L420" s="126">
        <f t="shared" si="165"/>
        <v>3.7850000000000001</v>
      </c>
      <c r="M420" s="126">
        <f t="shared" si="165"/>
        <v>3.8850000000000002</v>
      </c>
      <c r="N420" s="126">
        <f t="shared" si="165"/>
        <v>3.9550000000000001</v>
      </c>
      <c r="O420" s="126">
        <f t="shared" si="165"/>
        <v>3.53</v>
      </c>
      <c r="P420" s="126">
        <f t="shared" si="165"/>
        <v>3.5000000000000004</v>
      </c>
      <c r="Q420" s="126">
        <f t="shared" si="165"/>
        <v>3.5000000000000004</v>
      </c>
      <c r="R420" s="126">
        <f t="shared" si="165"/>
        <v>3.5000000000000004</v>
      </c>
      <c r="S420" s="126">
        <f t="shared" si="165"/>
        <v>3.5000000000000004</v>
      </c>
      <c r="T420" s="126">
        <f t="shared" si="165"/>
        <v>3.5000000000000004</v>
      </c>
      <c r="U420" s="126">
        <f t="shared" si="165"/>
        <v>51.75</v>
      </c>
      <c r="V420" s="126">
        <f t="shared" si="165"/>
        <v>0</v>
      </c>
      <c r="W420" s="126">
        <f t="shared" si="165"/>
        <v>0</v>
      </c>
      <c r="X420" s="126">
        <f t="shared" si="165"/>
        <v>0</v>
      </c>
      <c r="Y420" s="126">
        <f t="shared" si="165"/>
        <v>0</v>
      </c>
      <c r="Z420" s="126">
        <f t="shared" si="165"/>
        <v>0</v>
      </c>
      <c r="AA420" s="126">
        <f t="shared" si="165"/>
        <v>0</v>
      </c>
      <c r="AB420" s="126">
        <f t="shared" si="165"/>
        <v>0</v>
      </c>
      <c r="AC420" s="126">
        <f t="shared" si="165"/>
        <v>0</v>
      </c>
      <c r="AD420" s="126">
        <f t="shared" si="165"/>
        <v>0</v>
      </c>
      <c r="AE420" s="126">
        <f t="shared" si="165"/>
        <v>0</v>
      </c>
      <c r="AF420" s="126">
        <f t="shared" si="165"/>
        <v>0</v>
      </c>
      <c r="AG420" s="126">
        <f t="shared" si="165"/>
        <v>0</v>
      </c>
      <c r="AH420" s="126">
        <f t="shared" si="165"/>
        <v>0</v>
      </c>
    </row>
    <row r="421" spans="1:34" s="20" customFormat="1" ht="14" x14ac:dyDescent="0.2">
      <c r="A421" s="8"/>
      <c r="B421" s="8"/>
      <c r="C421" s="8"/>
      <c r="D421" s="8"/>
      <c r="E421" s="16"/>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row>
    <row r="422" spans="1:34" s="20" customFormat="1" ht="14" x14ac:dyDescent="0.2">
      <c r="A422" s="8"/>
      <c r="B422" s="21" t="str">
        <f>B404</f>
        <v>New loan from International bank</v>
      </c>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row>
    <row r="423" spans="1:34" s="20" customFormat="1" ht="14" x14ac:dyDescent="0.2">
      <c r="A423" s="8"/>
      <c r="B423" s="8" t="s">
        <v>334</v>
      </c>
      <c r="C423" s="8"/>
      <c r="D423" s="8" t="str">
        <f>IF('Assumptions - Freight'!$E$504=1,"Same as above",IF('Assumptions - Freight'!$E$504=2,"Local currency/"&amp;'Assumptions - General'!$E$39,"Local currency/"&amp;'Assumptions - General'!$E$40))</f>
        <v>Local currency/EUR</v>
      </c>
      <c r="E423" s="124">
        <f>IF('Assumptions - Freight'!$E$504=1,1,IF('Assumptions - Freight'!$E$504=2,'Assumptions - General'!E$41,'Assumptions - General'!E$42))</f>
        <v>3</v>
      </c>
      <c r="F423" s="124">
        <f>IF('Assumptions - Freight'!$E$504=1,1,IF('Assumptions - Freight'!$E$504=2,'Assumptions - General'!F$41,'Assumptions - General'!F$42))</f>
        <v>3</v>
      </c>
      <c r="G423" s="124">
        <f>IF('Assumptions - Freight'!$E$504=1,1,IF('Assumptions - Freight'!$E$504=2,'Assumptions - General'!G$41,'Assumptions - General'!G$42))</f>
        <v>3</v>
      </c>
      <c r="H423" s="124">
        <f>IF('Assumptions - Freight'!$E$504=1,1,IF('Assumptions - Freight'!$E$504=2,'Assumptions - General'!H$41,'Assumptions - General'!H$42))</f>
        <v>3</v>
      </c>
      <c r="I423" s="124">
        <f>IF('Assumptions - Freight'!$E$504=1,1,IF('Assumptions - Freight'!$E$504=2,'Assumptions - General'!I$41,'Assumptions - General'!I$42))</f>
        <v>3</v>
      </c>
      <c r="J423" s="124">
        <f>IF('Assumptions - Freight'!$E$504=1,1,IF('Assumptions - Freight'!$E$504=2,'Assumptions - General'!J$41,'Assumptions - General'!J$42))</f>
        <v>3</v>
      </c>
      <c r="K423" s="124">
        <f>IF('Assumptions - Freight'!$E$504=1,1,IF('Assumptions - Freight'!$E$504=2,'Assumptions - General'!K$41,'Assumptions - General'!K$42))</f>
        <v>3</v>
      </c>
      <c r="L423" s="124">
        <f>IF('Assumptions - Freight'!$E$504=1,1,IF('Assumptions - Freight'!$E$504=2,'Assumptions - General'!L$41,'Assumptions - General'!L$42))</f>
        <v>3</v>
      </c>
      <c r="M423" s="124">
        <f>IF('Assumptions - Freight'!$E$504=1,1,IF('Assumptions - Freight'!$E$504=2,'Assumptions - General'!M$41,'Assumptions - General'!M$42))</f>
        <v>3</v>
      </c>
      <c r="N423" s="124">
        <f>IF('Assumptions - Freight'!$E$504=1,1,IF('Assumptions - Freight'!$E$504=2,'Assumptions - General'!N$41,'Assumptions - General'!N$42))</f>
        <v>3</v>
      </c>
      <c r="O423" s="124">
        <f>IF('Assumptions - Freight'!$E$504=1,1,IF('Assumptions - Freight'!$E$504=2,'Assumptions - General'!O$41,'Assumptions - General'!O$42))</f>
        <v>3</v>
      </c>
      <c r="P423" s="124">
        <f>IF('Assumptions - Freight'!$E$504=1,1,IF('Assumptions - Freight'!$E$504=2,'Assumptions - General'!P$41,'Assumptions - General'!P$42))</f>
        <v>3</v>
      </c>
      <c r="Q423" s="124">
        <f>IF('Assumptions - Freight'!$E$504=1,1,IF('Assumptions - Freight'!$E$504=2,'Assumptions - General'!Q$41,'Assumptions - General'!Q$42))</f>
        <v>3</v>
      </c>
      <c r="R423" s="124">
        <f>IF('Assumptions - Freight'!$E$504=1,1,IF('Assumptions - Freight'!$E$504=2,'Assumptions - General'!R$41,'Assumptions - General'!R$42))</f>
        <v>3</v>
      </c>
      <c r="S423" s="124">
        <f>IF('Assumptions - Freight'!$E$504=1,1,IF('Assumptions - Freight'!$E$504=2,'Assumptions - General'!S$41,'Assumptions - General'!S$42))</f>
        <v>3</v>
      </c>
      <c r="T423" s="124">
        <f>IF('Assumptions - Freight'!$E$504=1,1,IF('Assumptions - Freight'!$E$504=2,'Assumptions - General'!T$41,'Assumptions - General'!T$42))</f>
        <v>3</v>
      </c>
      <c r="U423" s="124">
        <f>IF('Assumptions - Freight'!$E$504=1,1,IF('Assumptions - Freight'!$E$504=2,'Assumptions - General'!U$41,'Assumptions - General'!U$42))</f>
        <v>3</v>
      </c>
      <c r="V423" s="124">
        <f>IF('Assumptions - Freight'!$E$504=1,1,IF('Assumptions - Freight'!$E$504=2,'Assumptions - General'!V$41,'Assumptions - General'!V$42))</f>
        <v>3</v>
      </c>
      <c r="W423" s="124">
        <f>IF('Assumptions - Freight'!$E$504=1,1,IF('Assumptions - Freight'!$E$504=2,'Assumptions - General'!W$41,'Assumptions - General'!W$42))</f>
        <v>3</v>
      </c>
      <c r="X423" s="124">
        <f>IF('Assumptions - Freight'!$E$504=1,1,IF('Assumptions - Freight'!$E$504=2,'Assumptions - General'!X$41,'Assumptions - General'!X$42))</f>
        <v>3</v>
      </c>
      <c r="Y423" s="124">
        <f>IF('Assumptions - Freight'!$E$504=1,1,IF('Assumptions - Freight'!$E$504=2,'Assumptions - General'!Y$41,'Assumptions - General'!Y$42))</f>
        <v>3</v>
      </c>
      <c r="Z423" s="124">
        <f>IF('Assumptions - Freight'!$E$504=1,1,IF('Assumptions - Freight'!$E$504=2,'Assumptions - General'!Z$41,'Assumptions - General'!Z$42))</f>
        <v>3</v>
      </c>
      <c r="AA423" s="124">
        <f>IF('Assumptions - Freight'!$E$504=1,1,IF('Assumptions - Freight'!$E$504=2,'Assumptions - General'!AA$41,'Assumptions - General'!AA$42))</f>
        <v>3</v>
      </c>
      <c r="AB423" s="124">
        <f>IF('Assumptions - Freight'!$E$504=1,1,IF('Assumptions - Freight'!$E$504=2,'Assumptions - General'!AB$41,'Assumptions - General'!AB$42))</f>
        <v>3</v>
      </c>
      <c r="AC423" s="124">
        <f>IF('Assumptions - Freight'!$E$504=1,1,IF('Assumptions - Freight'!$E$504=2,'Assumptions - General'!AC$41,'Assumptions - General'!AC$42))</f>
        <v>3</v>
      </c>
      <c r="AD423" s="124">
        <f>IF('Assumptions - Freight'!$E$504=1,1,IF('Assumptions - Freight'!$E$504=2,'Assumptions - General'!AD$41,'Assumptions - General'!AD$42))</f>
        <v>3</v>
      </c>
      <c r="AE423" s="124">
        <f>IF('Assumptions - Freight'!$E$504=1,1,IF('Assumptions - Freight'!$E$504=2,'Assumptions - General'!AE$41,'Assumptions - General'!AE$42))</f>
        <v>3</v>
      </c>
      <c r="AF423" s="124">
        <f>IF('Assumptions - Freight'!$E$504=1,1,IF('Assumptions - Freight'!$E$504=2,'Assumptions - General'!AF$41,'Assumptions - General'!AF$42))</f>
        <v>3</v>
      </c>
      <c r="AG423" s="124">
        <f>IF('Assumptions - Freight'!$E$504=1,1,IF('Assumptions - Freight'!$E$504=2,'Assumptions - General'!AG$41,'Assumptions - General'!AG$42))</f>
        <v>3</v>
      </c>
      <c r="AH423" s="124">
        <f>IF('Assumptions - Freight'!$E$504=1,1,IF('Assumptions - Freight'!$E$504=2,'Assumptions - General'!AH$41,'Assumptions - General'!AH$42))</f>
        <v>3</v>
      </c>
    </row>
    <row r="424" spans="1:34" s="20" customFormat="1" ht="14" x14ac:dyDescent="0.2">
      <c r="A424" s="8"/>
      <c r="B424" s="8" t="s">
        <v>136</v>
      </c>
      <c r="C424" s="8"/>
      <c r="D424" s="8" t="str">
        <f>'Assumptions - General'!$E$27 &amp;" millions"</f>
        <v>R$ millions</v>
      </c>
      <c r="E424" s="126">
        <f t="shared" ref="E424:F425" si="166">E407*E$423</f>
        <v>0</v>
      </c>
      <c r="F424" s="126">
        <f t="shared" si="166"/>
        <v>0</v>
      </c>
      <c r="G424" s="126">
        <f t="shared" ref="G424:AH424" si="167">G407*G$423</f>
        <v>0</v>
      </c>
      <c r="H424" s="126">
        <f t="shared" si="167"/>
        <v>30</v>
      </c>
      <c r="I424" s="126">
        <f t="shared" si="167"/>
        <v>60</v>
      </c>
      <c r="J424" s="126">
        <f t="shared" si="167"/>
        <v>90</v>
      </c>
      <c r="K424" s="126">
        <f t="shared" si="167"/>
        <v>120</v>
      </c>
      <c r="L424" s="126">
        <f t="shared" si="167"/>
        <v>150</v>
      </c>
      <c r="M424" s="126">
        <f t="shared" si="167"/>
        <v>150</v>
      </c>
      <c r="N424" s="126">
        <f t="shared" si="167"/>
        <v>150</v>
      </c>
      <c r="O424" s="126">
        <f t="shared" si="167"/>
        <v>150</v>
      </c>
      <c r="P424" s="126">
        <f t="shared" si="167"/>
        <v>150</v>
      </c>
      <c r="Q424" s="126">
        <f t="shared" si="167"/>
        <v>150</v>
      </c>
      <c r="R424" s="126">
        <f t="shared" si="167"/>
        <v>150</v>
      </c>
      <c r="S424" s="126">
        <f t="shared" si="167"/>
        <v>150</v>
      </c>
      <c r="T424" s="126">
        <f t="shared" si="167"/>
        <v>150</v>
      </c>
      <c r="U424" s="126">
        <f t="shared" si="167"/>
        <v>150</v>
      </c>
      <c r="V424" s="126">
        <f t="shared" si="167"/>
        <v>0</v>
      </c>
      <c r="W424" s="126">
        <f t="shared" si="167"/>
        <v>0</v>
      </c>
      <c r="X424" s="126">
        <f t="shared" si="167"/>
        <v>0</v>
      </c>
      <c r="Y424" s="126">
        <f t="shared" si="167"/>
        <v>0</v>
      </c>
      <c r="Z424" s="126">
        <f t="shared" si="167"/>
        <v>0</v>
      </c>
      <c r="AA424" s="126">
        <f t="shared" si="167"/>
        <v>0</v>
      </c>
      <c r="AB424" s="126">
        <f t="shared" si="167"/>
        <v>0</v>
      </c>
      <c r="AC424" s="126">
        <f t="shared" si="167"/>
        <v>0</v>
      </c>
      <c r="AD424" s="126">
        <f t="shared" si="167"/>
        <v>0</v>
      </c>
      <c r="AE424" s="126">
        <f t="shared" si="167"/>
        <v>0</v>
      </c>
      <c r="AF424" s="126">
        <f t="shared" si="167"/>
        <v>0</v>
      </c>
      <c r="AG424" s="126">
        <f t="shared" si="167"/>
        <v>0</v>
      </c>
      <c r="AH424" s="126">
        <f t="shared" si="167"/>
        <v>0</v>
      </c>
    </row>
    <row r="425" spans="1:34" s="20" customFormat="1" ht="14" x14ac:dyDescent="0.2">
      <c r="A425" s="8"/>
      <c r="B425" s="8" t="s">
        <v>410</v>
      </c>
      <c r="C425" s="8"/>
      <c r="D425" s="8" t="str">
        <f>'Assumptions - General'!$E$27 &amp;" millions"</f>
        <v>R$ millions</v>
      </c>
      <c r="E425" s="126">
        <f t="shared" si="166"/>
        <v>0</v>
      </c>
      <c r="F425" s="126">
        <f t="shared" si="166"/>
        <v>0</v>
      </c>
      <c r="G425" s="126">
        <f t="shared" ref="G425:AH425" si="168">G408*G$423</f>
        <v>0</v>
      </c>
      <c r="H425" s="126">
        <f t="shared" si="168"/>
        <v>0</v>
      </c>
      <c r="I425" s="126">
        <f t="shared" si="168"/>
        <v>0</v>
      </c>
      <c r="J425" s="126">
        <f t="shared" si="168"/>
        <v>0</v>
      </c>
      <c r="K425" s="126">
        <f t="shared" si="168"/>
        <v>0</v>
      </c>
      <c r="L425" s="126">
        <f t="shared" si="168"/>
        <v>0</v>
      </c>
      <c r="M425" s="126">
        <f t="shared" si="168"/>
        <v>0</v>
      </c>
      <c r="N425" s="126">
        <f t="shared" si="168"/>
        <v>0</v>
      </c>
      <c r="O425" s="126">
        <f t="shared" si="168"/>
        <v>0</v>
      </c>
      <c r="P425" s="126">
        <f t="shared" si="168"/>
        <v>0</v>
      </c>
      <c r="Q425" s="126">
        <f t="shared" si="168"/>
        <v>0</v>
      </c>
      <c r="R425" s="126">
        <f t="shared" si="168"/>
        <v>0</v>
      </c>
      <c r="S425" s="126">
        <f t="shared" si="168"/>
        <v>0</v>
      </c>
      <c r="T425" s="126">
        <f t="shared" si="168"/>
        <v>0</v>
      </c>
      <c r="U425" s="126">
        <f t="shared" si="168"/>
        <v>150</v>
      </c>
      <c r="V425" s="126">
        <f t="shared" si="168"/>
        <v>0</v>
      </c>
      <c r="W425" s="126">
        <f t="shared" si="168"/>
        <v>0</v>
      </c>
      <c r="X425" s="126">
        <f t="shared" si="168"/>
        <v>0</v>
      </c>
      <c r="Y425" s="126">
        <f t="shared" si="168"/>
        <v>0</v>
      </c>
      <c r="Z425" s="126">
        <f t="shared" si="168"/>
        <v>0</v>
      </c>
      <c r="AA425" s="126">
        <f t="shared" si="168"/>
        <v>0</v>
      </c>
      <c r="AB425" s="126">
        <f t="shared" si="168"/>
        <v>0</v>
      </c>
      <c r="AC425" s="126">
        <f t="shared" si="168"/>
        <v>0</v>
      </c>
      <c r="AD425" s="126">
        <f t="shared" si="168"/>
        <v>0</v>
      </c>
      <c r="AE425" s="126">
        <f t="shared" si="168"/>
        <v>0</v>
      </c>
      <c r="AF425" s="126">
        <f t="shared" si="168"/>
        <v>0</v>
      </c>
      <c r="AG425" s="126">
        <f t="shared" si="168"/>
        <v>0</v>
      </c>
      <c r="AH425" s="126">
        <f t="shared" si="168"/>
        <v>0</v>
      </c>
    </row>
    <row r="426" spans="1:34" s="20" customFormat="1" ht="14" x14ac:dyDescent="0.2">
      <c r="A426" s="8"/>
      <c r="B426" s="8" t="s">
        <v>137</v>
      </c>
      <c r="C426" s="8"/>
      <c r="D426" s="8" t="str">
        <f>'Assumptions - General'!$E$27 &amp;" millions"</f>
        <v>R$ millions</v>
      </c>
      <c r="E426" s="126">
        <f t="shared" ref="E426:F429" si="169">E414*E$423</f>
        <v>0</v>
      </c>
      <c r="F426" s="126">
        <f t="shared" si="169"/>
        <v>0</v>
      </c>
      <c r="G426" s="126">
        <f t="shared" ref="G426:AH426" si="170">G414*G$423</f>
        <v>30</v>
      </c>
      <c r="H426" s="126">
        <f t="shared" si="170"/>
        <v>30</v>
      </c>
      <c r="I426" s="126">
        <f t="shared" si="170"/>
        <v>30</v>
      </c>
      <c r="J426" s="126">
        <f t="shared" si="170"/>
        <v>30</v>
      </c>
      <c r="K426" s="126">
        <f t="shared" si="170"/>
        <v>30</v>
      </c>
      <c r="L426" s="126">
        <f t="shared" si="170"/>
        <v>0</v>
      </c>
      <c r="M426" s="126">
        <f t="shared" si="170"/>
        <v>0</v>
      </c>
      <c r="N426" s="126">
        <f t="shared" si="170"/>
        <v>0</v>
      </c>
      <c r="O426" s="126">
        <f t="shared" si="170"/>
        <v>0</v>
      </c>
      <c r="P426" s="126">
        <f t="shared" si="170"/>
        <v>0</v>
      </c>
      <c r="Q426" s="126">
        <f t="shared" si="170"/>
        <v>0</v>
      </c>
      <c r="R426" s="126">
        <f t="shared" si="170"/>
        <v>0</v>
      </c>
      <c r="S426" s="126">
        <f t="shared" si="170"/>
        <v>0</v>
      </c>
      <c r="T426" s="126">
        <f t="shared" si="170"/>
        <v>0</v>
      </c>
      <c r="U426" s="126">
        <f t="shared" si="170"/>
        <v>0</v>
      </c>
      <c r="V426" s="126">
        <f t="shared" si="170"/>
        <v>0</v>
      </c>
      <c r="W426" s="126">
        <f t="shared" si="170"/>
        <v>0</v>
      </c>
      <c r="X426" s="126">
        <f t="shared" si="170"/>
        <v>0</v>
      </c>
      <c r="Y426" s="126">
        <f t="shared" si="170"/>
        <v>0</v>
      </c>
      <c r="Z426" s="126">
        <f t="shared" si="170"/>
        <v>0</v>
      </c>
      <c r="AA426" s="126">
        <f t="shared" si="170"/>
        <v>0</v>
      </c>
      <c r="AB426" s="126">
        <f t="shared" si="170"/>
        <v>0</v>
      </c>
      <c r="AC426" s="126">
        <f t="shared" si="170"/>
        <v>0</v>
      </c>
      <c r="AD426" s="126">
        <f t="shared" si="170"/>
        <v>0</v>
      </c>
      <c r="AE426" s="126">
        <f t="shared" si="170"/>
        <v>0</v>
      </c>
      <c r="AF426" s="126">
        <f t="shared" si="170"/>
        <v>0</v>
      </c>
      <c r="AG426" s="126">
        <f t="shared" si="170"/>
        <v>0</v>
      </c>
      <c r="AH426" s="126">
        <f t="shared" si="170"/>
        <v>0</v>
      </c>
    </row>
    <row r="427" spans="1:34" s="20" customFormat="1" ht="14" x14ac:dyDescent="0.2">
      <c r="A427" s="8"/>
      <c r="B427" s="8" t="s">
        <v>138</v>
      </c>
      <c r="C427" s="8"/>
      <c r="D427" s="8" t="str">
        <f>'Assumptions - General'!$E$27 &amp;" millions"</f>
        <v>R$ millions</v>
      </c>
      <c r="E427" s="126">
        <f t="shared" si="169"/>
        <v>0</v>
      </c>
      <c r="F427" s="126">
        <f t="shared" si="169"/>
        <v>0</v>
      </c>
      <c r="G427" s="126">
        <f t="shared" ref="G427:AH427" si="171">G415*G$423</f>
        <v>30</v>
      </c>
      <c r="H427" s="126">
        <f t="shared" si="171"/>
        <v>60</v>
      </c>
      <c r="I427" s="126">
        <f t="shared" si="171"/>
        <v>90</v>
      </c>
      <c r="J427" s="126">
        <f t="shared" si="171"/>
        <v>120</v>
      </c>
      <c r="K427" s="126">
        <f t="shared" si="171"/>
        <v>150</v>
      </c>
      <c r="L427" s="126">
        <f t="shared" si="171"/>
        <v>150</v>
      </c>
      <c r="M427" s="126">
        <f t="shared" si="171"/>
        <v>150</v>
      </c>
      <c r="N427" s="126">
        <f t="shared" si="171"/>
        <v>150</v>
      </c>
      <c r="O427" s="126">
        <f t="shared" si="171"/>
        <v>150</v>
      </c>
      <c r="P427" s="126">
        <f t="shared" si="171"/>
        <v>150</v>
      </c>
      <c r="Q427" s="126">
        <f t="shared" si="171"/>
        <v>150</v>
      </c>
      <c r="R427" s="126">
        <f t="shared" si="171"/>
        <v>150</v>
      </c>
      <c r="S427" s="126">
        <f t="shared" si="171"/>
        <v>150</v>
      </c>
      <c r="T427" s="126">
        <f t="shared" si="171"/>
        <v>150</v>
      </c>
      <c r="U427" s="126">
        <f t="shared" si="171"/>
        <v>0</v>
      </c>
      <c r="V427" s="126">
        <f t="shared" si="171"/>
        <v>0</v>
      </c>
      <c r="W427" s="126">
        <f t="shared" si="171"/>
        <v>0</v>
      </c>
      <c r="X427" s="126">
        <f t="shared" si="171"/>
        <v>0</v>
      </c>
      <c r="Y427" s="126">
        <f t="shared" si="171"/>
        <v>0</v>
      </c>
      <c r="Z427" s="126">
        <f t="shared" si="171"/>
        <v>0</v>
      </c>
      <c r="AA427" s="126">
        <f t="shared" si="171"/>
        <v>0</v>
      </c>
      <c r="AB427" s="126">
        <f t="shared" si="171"/>
        <v>0</v>
      </c>
      <c r="AC427" s="126">
        <f t="shared" si="171"/>
        <v>0</v>
      </c>
      <c r="AD427" s="126">
        <f t="shared" si="171"/>
        <v>0</v>
      </c>
      <c r="AE427" s="126">
        <f t="shared" si="171"/>
        <v>0</v>
      </c>
      <c r="AF427" s="126">
        <f t="shared" si="171"/>
        <v>0</v>
      </c>
      <c r="AG427" s="126">
        <f t="shared" si="171"/>
        <v>0</v>
      </c>
      <c r="AH427" s="126">
        <f t="shared" si="171"/>
        <v>0</v>
      </c>
    </row>
    <row r="428" spans="1:34" s="20" customFormat="1" ht="14" x14ac:dyDescent="0.2">
      <c r="A428" s="8"/>
      <c r="B428" s="8" t="s">
        <v>139</v>
      </c>
      <c r="C428" s="8"/>
      <c r="D428" s="8" t="str">
        <f>'Assumptions - General'!$E$27 &amp;" millions"</f>
        <v>R$ millions</v>
      </c>
      <c r="E428" s="126">
        <f t="shared" si="169"/>
        <v>0</v>
      </c>
      <c r="F428" s="126">
        <f t="shared" si="169"/>
        <v>0</v>
      </c>
      <c r="G428" s="126">
        <f t="shared" ref="G428:AH428" si="172">G416*G$423</f>
        <v>0.74550000000000005</v>
      </c>
      <c r="H428" s="126">
        <f t="shared" si="172"/>
        <v>2.6729999999999996</v>
      </c>
      <c r="I428" s="126">
        <f t="shared" si="172"/>
        <v>4.9725000000000001</v>
      </c>
      <c r="J428" s="126">
        <f t="shared" si="172"/>
        <v>7.4340000000000011</v>
      </c>
      <c r="K428" s="126">
        <f t="shared" si="172"/>
        <v>9.963000000000001</v>
      </c>
      <c r="L428" s="126">
        <f t="shared" si="172"/>
        <v>11.355</v>
      </c>
      <c r="M428" s="126">
        <f t="shared" si="172"/>
        <v>11.655000000000001</v>
      </c>
      <c r="N428" s="126">
        <f t="shared" si="172"/>
        <v>11.865</v>
      </c>
      <c r="O428" s="126">
        <f t="shared" si="172"/>
        <v>10.59</v>
      </c>
      <c r="P428" s="126">
        <f t="shared" si="172"/>
        <v>10.500000000000002</v>
      </c>
      <c r="Q428" s="126">
        <f t="shared" si="172"/>
        <v>10.500000000000002</v>
      </c>
      <c r="R428" s="126">
        <f t="shared" si="172"/>
        <v>10.500000000000002</v>
      </c>
      <c r="S428" s="126">
        <f t="shared" si="172"/>
        <v>10.500000000000002</v>
      </c>
      <c r="T428" s="126">
        <f t="shared" si="172"/>
        <v>10.500000000000002</v>
      </c>
      <c r="U428" s="126">
        <f t="shared" si="172"/>
        <v>5.2500000000000009</v>
      </c>
      <c r="V428" s="126">
        <f t="shared" si="172"/>
        <v>0</v>
      </c>
      <c r="W428" s="126">
        <f t="shared" si="172"/>
        <v>0</v>
      </c>
      <c r="X428" s="126">
        <f t="shared" si="172"/>
        <v>0</v>
      </c>
      <c r="Y428" s="126">
        <f t="shared" si="172"/>
        <v>0</v>
      </c>
      <c r="Z428" s="126">
        <f t="shared" si="172"/>
        <v>0</v>
      </c>
      <c r="AA428" s="126">
        <f t="shared" si="172"/>
        <v>0</v>
      </c>
      <c r="AB428" s="126">
        <f t="shared" si="172"/>
        <v>0</v>
      </c>
      <c r="AC428" s="126">
        <f t="shared" si="172"/>
        <v>0</v>
      </c>
      <c r="AD428" s="126">
        <f t="shared" si="172"/>
        <v>0</v>
      </c>
      <c r="AE428" s="126">
        <f t="shared" si="172"/>
        <v>0</v>
      </c>
      <c r="AF428" s="126">
        <f t="shared" si="172"/>
        <v>0</v>
      </c>
      <c r="AG428" s="126">
        <f t="shared" si="172"/>
        <v>0</v>
      </c>
      <c r="AH428" s="126">
        <f t="shared" si="172"/>
        <v>0</v>
      </c>
    </row>
    <row r="429" spans="1:34" s="20" customFormat="1" ht="14" x14ac:dyDescent="0.2">
      <c r="A429" s="8"/>
      <c r="B429" s="8" t="s">
        <v>53</v>
      </c>
      <c r="C429" s="8"/>
      <c r="D429" s="8" t="str">
        <f>'Assumptions - General'!$E$27 &amp;" millions"</f>
        <v>R$ millions</v>
      </c>
      <c r="E429" s="126">
        <f>E417*E$423</f>
        <v>0</v>
      </c>
      <c r="F429" s="126">
        <f t="shared" si="169"/>
        <v>0</v>
      </c>
      <c r="G429" s="126">
        <f t="shared" ref="G429:AH429" si="173">G417*G$423</f>
        <v>0.375</v>
      </c>
      <c r="H429" s="126">
        <f t="shared" si="173"/>
        <v>0</v>
      </c>
      <c r="I429" s="126">
        <f t="shared" si="173"/>
        <v>0</v>
      </c>
      <c r="J429" s="126">
        <f t="shared" si="173"/>
        <v>0</v>
      </c>
      <c r="K429" s="126">
        <f t="shared" si="173"/>
        <v>0</v>
      </c>
      <c r="L429" s="126">
        <f t="shared" si="173"/>
        <v>0</v>
      </c>
      <c r="M429" s="126">
        <f t="shared" si="173"/>
        <v>0</v>
      </c>
      <c r="N429" s="126">
        <f t="shared" si="173"/>
        <v>0</v>
      </c>
      <c r="O429" s="126">
        <f t="shared" si="173"/>
        <v>0</v>
      </c>
      <c r="P429" s="126">
        <f t="shared" si="173"/>
        <v>0</v>
      </c>
      <c r="Q429" s="126">
        <f t="shared" si="173"/>
        <v>0</v>
      </c>
      <c r="R429" s="126">
        <f t="shared" si="173"/>
        <v>0</v>
      </c>
      <c r="S429" s="126">
        <f t="shared" si="173"/>
        <v>0</v>
      </c>
      <c r="T429" s="126">
        <f t="shared" si="173"/>
        <v>0</v>
      </c>
      <c r="U429" s="126">
        <f t="shared" si="173"/>
        <v>0</v>
      </c>
      <c r="V429" s="126">
        <f t="shared" si="173"/>
        <v>0</v>
      </c>
      <c r="W429" s="126">
        <f t="shared" si="173"/>
        <v>0</v>
      </c>
      <c r="X429" s="126">
        <f t="shared" si="173"/>
        <v>0</v>
      </c>
      <c r="Y429" s="126">
        <f t="shared" si="173"/>
        <v>0</v>
      </c>
      <c r="Z429" s="126">
        <f t="shared" si="173"/>
        <v>0</v>
      </c>
      <c r="AA429" s="126">
        <f t="shared" si="173"/>
        <v>0</v>
      </c>
      <c r="AB429" s="126">
        <f t="shared" si="173"/>
        <v>0</v>
      </c>
      <c r="AC429" s="126">
        <f t="shared" si="173"/>
        <v>0</v>
      </c>
      <c r="AD429" s="126">
        <f t="shared" si="173"/>
        <v>0</v>
      </c>
      <c r="AE429" s="126">
        <f t="shared" si="173"/>
        <v>0</v>
      </c>
      <c r="AF429" s="126">
        <f t="shared" si="173"/>
        <v>0</v>
      </c>
      <c r="AG429" s="126">
        <f t="shared" si="173"/>
        <v>0</v>
      </c>
      <c r="AH429" s="126">
        <f t="shared" si="173"/>
        <v>0</v>
      </c>
    </row>
    <row r="430" spans="1:34" s="20" customFormat="1" ht="14" x14ac:dyDescent="0.2">
      <c r="A430" s="8"/>
      <c r="B430" s="8" t="s">
        <v>142</v>
      </c>
      <c r="C430" s="8"/>
      <c r="D430" s="8" t="str">
        <f>'Assumptions - General'!$E$27 &amp;" millions"</f>
        <v>R$ millions</v>
      </c>
      <c r="E430" s="126">
        <f t="shared" ref="E430:F432" si="174">E418*E$423</f>
        <v>0</v>
      </c>
      <c r="F430" s="126">
        <f t="shared" si="174"/>
        <v>0</v>
      </c>
      <c r="G430" s="126">
        <f t="shared" ref="G430:AH430" si="175">G418*G$423</f>
        <v>120</v>
      </c>
      <c r="H430" s="126">
        <f t="shared" si="175"/>
        <v>90</v>
      </c>
      <c r="I430" s="126">
        <f t="shared" si="175"/>
        <v>60</v>
      </c>
      <c r="J430" s="126">
        <f t="shared" si="175"/>
        <v>30</v>
      </c>
      <c r="K430" s="126">
        <f t="shared" si="175"/>
        <v>0</v>
      </c>
      <c r="L430" s="126">
        <f t="shared" si="175"/>
        <v>0</v>
      </c>
      <c r="M430" s="126">
        <f t="shared" si="175"/>
        <v>0</v>
      </c>
      <c r="N430" s="126">
        <f t="shared" si="175"/>
        <v>0</v>
      </c>
      <c r="O430" s="126">
        <f t="shared" si="175"/>
        <v>0</v>
      </c>
      <c r="P430" s="126">
        <f t="shared" si="175"/>
        <v>0</v>
      </c>
      <c r="Q430" s="126">
        <f t="shared" si="175"/>
        <v>0</v>
      </c>
      <c r="R430" s="126">
        <f t="shared" si="175"/>
        <v>0</v>
      </c>
      <c r="S430" s="126">
        <f t="shared" si="175"/>
        <v>0</v>
      </c>
      <c r="T430" s="126">
        <f t="shared" si="175"/>
        <v>0</v>
      </c>
      <c r="U430" s="126">
        <f t="shared" si="175"/>
        <v>0</v>
      </c>
      <c r="V430" s="126">
        <f t="shared" si="175"/>
        <v>0</v>
      </c>
      <c r="W430" s="126">
        <f t="shared" si="175"/>
        <v>0</v>
      </c>
      <c r="X430" s="126">
        <f t="shared" si="175"/>
        <v>0</v>
      </c>
      <c r="Y430" s="126">
        <f t="shared" si="175"/>
        <v>0</v>
      </c>
      <c r="Z430" s="126">
        <f t="shared" si="175"/>
        <v>0</v>
      </c>
      <c r="AA430" s="126">
        <f t="shared" si="175"/>
        <v>0</v>
      </c>
      <c r="AB430" s="126">
        <f t="shared" si="175"/>
        <v>0</v>
      </c>
      <c r="AC430" s="126">
        <f t="shared" si="175"/>
        <v>0</v>
      </c>
      <c r="AD430" s="126">
        <f t="shared" si="175"/>
        <v>0</v>
      </c>
      <c r="AE430" s="126">
        <f t="shared" si="175"/>
        <v>0</v>
      </c>
      <c r="AF430" s="126">
        <f t="shared" si="175"/>
        <v>0</v>
      </c>
      <c r="AG430" s="126">
        <f t="shared" si="175"/>
        <v>0</v>
      </c>
      <c r="AH430" s="126">
        <f t="shared" si="175"/>
        <v>0</v>
      </c>
    </row>
    <row r="431" spans="1:34" s="20" customFormat="1" ht="14" x14ac:dyDescent="0.2">
      <c r="A431" s="8"/>
      <c r="B431" s="8" t="s">
        <v>55</v>
      </c>
      <c r="C431" s="8"/>
      <c r="D431" s="8" t="str">
        <f>'Assumptions - General'!$E$27 &amp;" millions"</f>
        <v>R$ millions</v>
      </c>
      <c r="E431" s="126">
        <f t="shared" si="174"/>
        <v>0</v>
      </c>
      <c r="F431" s="126">
        <f t="shared" si="174"/>
        <v>0</v>
      </c>
      <c r="G431" s="126">
        <f t="shared" ref="G431:AH431" si="176">G419*G$423</f>
        <v>0</v>
      </c>
      <c r="H431" s="126">
        <f t="shared" si="176"/>
        <v>0</v>
      </c>
      <c r="I431" s="126">
        <f t="shared" si="176"/>
        <v>0</v>
      </c>
      <c r="J431" s="126">
        <f t="shared" si="176"/>
        <v>0</v>
      </c>
      <c r="K431" s="126">
        <f t="shared" si="176"/>
        <v>0</v>
      </c>
      <c r="L431" s="126">
        <f t="shared" si="176"/>
        <v>0</v>
      </c>
      <c r="M431" s="126">
        <f t="shared" si="176"/>
        <v>0</v>
      </c>
      <c r="N431" s="126">
        <f t="shared" si="176"/>
        <v>0</v>
      </c>
      <c r="O431" s="126">
        <f t="shared" si="176"/>
        <v>0</v>
      </c>
      <c r="P431" s="126">
        <f t="shared" si="176"/>
        <v>0</v>
      </c>
      <c r="Q431" s="126">
        <f t="shared" si="176"/>
        <v>0</v>
      </c>
      <c r="R431" s="126">
        <f t="shared" si="176"/>
        <v>0</v>
      </c>
      <c r="S431" s="126">
        <f t="shared" si="176"/>
        <v>0</v>
      </c>
      <c r="T431" s="126">
        <f t="shared" si="176"/>
        <v>0</v>
      </c>
      <c r="U431" s="126">
        <f t="shared" si="176"/>
        <v>0</v>
      </c>
      <c r="V431" s="126">
        <f t="shared" si="176"/>
        <v>0</v>
      </c>
      <c r="W431" s="126">
        <f t="shared" si="176"/>
        <v>0</v>
      </c>
      <c r="X431" s="126">
        <f t="shared" si="176"/>
        <v>0</v>
      </c>
      <c r="Y431" s="126">
        <f t="shared" si="176"/>
        <v>0</v>
      </c>
      <c r="Z431" s="126">
        <f t="shared" si="176"/>
        <v>0</v>
      </c>
      <c r="AA431" s="126">
        <f t="shared" si="176"/>
        <v>0</v>
      </c>
      <c r="AB431" s="126">
        <f t="shared" si="176"/>
        <v>0</v>
      </c>
      <c r="AC431" s="126">
        <f t="shared" si="176"/>
        <v>0</v>
      </c>
      <c r="AD431" s="126">
        <f t="shared" si="176"/>
        <v>0</v>
      </c>
      <c r="AE431" s="126">
        <f t="shared" si="176"/>
        <v>0</v>
      </c>
      <c r="AF431" s="126">
        <f t="shared" si="176"/>
        <v>0</v>
      </c>
      <c r="AG431" s="126">
        <f t="shared" si="176"/>
        <v>0</v>
      </c>
      <c r="AH431" s="126">
        <f t="shared" si="176"/>
        <v>0</v>
      </c>
    </row>
    <row r="432" spans="1:34" s="20" customFormat="1" ht="14" x14ac:dyDescent="0.2">
      <c r="A432" s="8"/>
      <c r="B432" s="8" t="s">
        <v>140</v>
      </c>
      <c r="C432" s="8"/>
      <c r="D432" s="8" t="str">
        <f>'Assumptions - General'!$E$27 &amp;" millions"</f>
        <v>R$ millions</v>
      </c>
      <c r="E432" s="126">
        <f t="shared" si="174"/>
        <v>0</v>
      </c>
      <c r="F432" s="126">
        <f t="shared" si="174"/>
        <v>0</v>
      </c>
      <c r="G432" s="126">
        <f t="shared" ref="G432:AH432" si="177">G420*G$423</f>
        <v>1.1205000000000001</v>
      </c>
      <c r="H432" s="126">
        <f t="shared" si="177"/>
        <v>2.6729999999999996</v>
      </c>
      <c r="I432" s="126">
        <f t="shared" si="177"/>
        <v>4.9725000000000001</v>
      </c>
      <c r="J432" s="126">
        <f t="shared" si="177"/>
        <v>7.4340000000000011</v>
      </c>
      <c r="K432" s="126">
        <f t="shared" si="177"/>
        <v>9.963000000000001</v>
      </c>
      <c r="L432" s="126">
        <f t="shared" si="177"/>
        <v>11.355</v>
      </c>
      <c r="M432" s="126">
        <f t="shared" si="177"/>
        <v>11.655000000000001</v>
      </c>
      <c r="N432" s="126">
        <f t="shared" si="177"/>
        <v>11.865</v>
      </c>
      <c r="O432" s="126">
        <f t="shared" si="177"/>
        <v>10.59</v>
      </c>
      <c r="P432" s="126">
        <f t="shared" si="177"/>
        <v>10.500000000000002</v>
      </c>
      <c r="Q432" s="126">
        <f t="shared" si="177"/>
        <v>10.500000000000002</v>
      </c>
      <c r="R432" s="126">
        <f t="shared" si="177"/>
        <v>10.500000000000002</v>
      </c>
      <c r="S432" s="126">
        <f t="shared" si="177"/>
        <v>10.500000000000002</v>
      </c>
      <c r="T432" s="126">
        <f t="shared" si="177"/>
        <v>10.500000000000002</v>
      </c>
      <c r="U432" s="126">
        <f t="shared" si="177"/>
        <v>155.25</v>
      </c>
      <c r="V432" s="126">
        <f t="shared" si="177"/>
        <v>0</v>
      </c>
      <c r="W432" s="126">
        <f t="shared" si="177"/>
        <v>0</v>
      </c>
      <c r="X432" s="126">
        <f t="shared" si="177"/>
        <v>0</v>
      </c>
      <c r="Y432" s="126">
        <f t="shared" si="177"/>
        <v>0</v>
      </c>
      <c r="Z432" s="126">
        <f t="shared" si="177"/>
        <v>0</v>
      </c>
      <c r="AA432" s="126">
        <f t="shared" si="177"/>
        <v>0</v>
      </c>
      <c r="AB432" s="126">
        <f t="shared" si="177"/>
        <v>0</v>
      </c>
      <c r="AC432" s="126">
        <f t="shared" si="177"/>
        <v>0</v>
      </c>
      <c r="AD432" s="126">
        <f t="shared" si="177"/>
        <v>0</v>
      </c>
      <c r="AE432" s="126">
        <f t="shared" si="177"/>
        <v>0</v>
      </c>
      <c r="AF432" s="126">
        <f t="shared" si="177"/>
        <v>0</v>
      </c>
      <c r="AG432" s="126">
        <f t="shared" si="177"/>
        <v>0</v>
      </c>
      <c r="AH432" s="126">
        <f t="shared" si="177"/>
        <v>0</v>
      </c>
    </row>
    <row r="433" spans="1:34" s="20" customFormat="1" ht="14" x14ac:dyDescent="0.2">
      <c r="A433" s="8"/>
      <c r="B433" s="8"/>
      <c r="C433" s="8"/>
      <c r="D433" s="8"/>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c r="AA433" s="126"/>
      <c r="AB433" s="126"/>
      <c r="AC433" s="126"/>
      <c r="AD433" s="126"/>
      <c r="AE433" s="126"/>
      <c r="AF433" s="126"/>
      <c r="AG433" s="126"/>
      <c r="AH433" s="126"/>
    </row>
    <row r="434" spans="1:34" s="20" customFormat="1" ht="14" x14ac:dyDescent="0.2">
      <c r="A434" s="8"/>
      <c r="B434" s="21" t="str">
        <f>"New loan from " &amp; 'Assumptions - Freight'!E520</f>
        <v>New loan from Multilateral bank</v>
      </c>
      <c r="C434" s="8"/>
      <c r="D434" s="8"/>
      <c r="E434" s="8"/>
      <c r="F434" s="8"/>
      <c r="G434" s="8"/>
      <c r="H434" s="8"/>
      <c r="I434" s="8"/>
      <c r="J434" s="8"/>
      <c r="K434" s="8"/>
      <c r="L434" s="8"/>
      <c r="M434" s="8"/>
      <c r="N434" s="8"/>
      <c r="O434" s="8"/>
      <c r="P434" s="8"/>
      <c r="Q434" s="8"/>
      <c r="R434" s="8"/>
      <c r="S434" s="8"/>
      <c r="T434" s="8"/>
      <c r="U434" s="8"/>
      <c r="V434" s="8"/>
      <c r="W434" s="8"/>
      <c r="X434" s="8"/>
      <c r="Y434" s="8"/>
      <c r="Z434" s="8"/>
      <c r="AA434" s="8"/>
      <c r="AB434" s="8"/>
      <c r="AC434" s="8"/>
      <c r="AD434" s="8"/>
      <c r="AE434" s="8"/>
      <c r="AF434" s="8"/>
      <c r="AG434" s="8"/>
      <c r="AH434" s="8"/>
    </row>
    <row r="435" spans="1:34" s="20" customFormat="1" ht="14" x14ac:dyDescent="0.2">
      <c r="A435" s="8"/>
      <c r="B435" s="8" t="s">
        <v>293</v>
      </c>
      <c r="C435" s="8"/>
      <c r="D435" s="8" t="s">
        <v>99</v>
      </c>
      <c r="E435" s="8"/>
      <c r="F435" s="8">
        <f>IF('Assumptions - Freight'!$E$524&lt;&gt;0,IF(F$4&lt;'Assumptions - Freight'!$E$521+'Assumptions - Freight'!$E$531,0,E435+1),0)</f>
        <v>0</v>
      </c>
      <c r="G435" s="8">
        <f>IF('Assumptions - Freight'!$E$524&lt;&gt;0,IF(G$4&lt;'Assumptions - Freight'!$E$521+'Assumptions - Freight'!$E$531,0,F435+1),0)</f>
        <v>0</v>
      </c>
      <c r="H435" s="8">
        <f>IF('Assumptions - Freight'!$E$524&lt;&gt;0,IF(H$4&lt;'Assumptions - Freight'!$E$521+'Assumptions - Freight'!$E$531,0,G435+1),0)</f>
        <v>0</v>
      </c>
      <c r="I435" s="8">
        <f>IF('Assumptions - Freight'!$E$524&lt;&gt;0,IF(I$4&lt;'Assumptions - Freight'!$E$521+'Assumptions - Freight'!$E$531,0,H435+1),0)</f>
        <v>0</v>
      </c>
      <c r="J435" s="8">
        <f>IF('Assumptions - Freight'!$E$524&lt;&gt;0,IF(J$4&lt;'Assumptions - Freight'!$E$521+'Assumptions - Freight'!$E$531,0,I435+1),0)</f>
        <v>0</v>
      </c>
      <c r="K435" s="8">
        <f>IF('Assumptions - Freight'!$E$524&lt;&gt;0,IF(K$4&lt;'Assumptions - Freight'!$E$521+'Assumptions - Freight'!$E$531,0,J435+1),0)</f>
        <v>0</v>
      </c>
      <c r="L435" s="8">
        <f>IF('Assumptions - Freight'!$E$524&lt;&gt;0,IF(L$4&lt;'Assumptions - Freight'!$E$521+'Assumptions - Freight'!$E$531,0,K435+1),0)</f>
        <v>1</v>
      </c>
      <c r="M435" s="8">
        <f>IF('Assumptions - Freight'!$E$524&lt;&gt;0,IF(M$4&lt;'Assumptions - Freight'!$E$521+'Assumptions - Freight'!$E$531,0,L435+1),0)</f>
        <v>2</v>
      </c>
      <c r="N435" s="8">
        <f>IF('Assumptions - Freight'!$E$524&lt;&gt;0,IF(N$4&lt;'Assumptions - Freight'!$E$521+'Assumptions - Freight'!$E$531,0,M435+1),0)</f>
        <v>3</v>
      </c>
      <c r="O435" s="8">
        <f>IF('Assumptions - Freight'!$E$524&lt;&gt;0,IF(O$4&lt;'Assumptions - Freight'!$E$521+'Assumptions - Freight'!$E$531,0,N435+1),0)</f>
        <v>4</v>
      </c>
      <c r="P435" s="8">
        <f>IF('Assumptions - Freight'!$E$524&lt;&gt;0,IF(P$4&lt;'Assumptions - Freight'!$E$521+'Assumptions - Freight'!$E$531,0,O435+1),0)</f>
        <v>5</v>
      </c>
      <c r="Q435" s="8">
        <f>IF('Assumptions - Freight'!$E$524&lt;&gt;0,IF(Q$4&lt;'Assumptions - Freight'!$E$521+'Assumptions - Freight'!$E$531,0,P435+1),0)</f>
        <v>6</v>
      </c>
      <c r="R435" s="8">
        <f>IF('Assumptions - Freight'!$E$524&lt;&gt;0,IF(R$4&lt;'Assumptions - Freight'!$E$521+'Assumptions - Freight'!$E$531,0,Q435+1),0)</f>
        <v>7</v>
      </c>
      <c r="S435" s="8">
        <f>IF('Assumptions - Freight'!$E$524&lt;&gt;0,IF(S$4&lt;'Assumptions - Freight'!$E$521+'Assumptions - Freight'!$E$531,0,R435+1),0)</f>
        <v>8</v>
      </c>
      <c r="T435" s="8">
        <f>IF('Assumptions - Freight'!$E$524&lt;&gt;0,IF(T$4&lt;'Assumptions - Freight'!$E$521+'Assumptions - Freight'!$E$531,0,S435+1),0)</f>
        <v>9</v>
      </c>
      <c r="U435" s="8">
        <f>IF('Assumptions - Freight'!$E$524&lt;&gt;0,IF(U$4&lt;'Assumptions - Freight'!$E$521+'Assumptions - Freight'!$E$531,0,T435+1),0)</f>
        <v>10</v>
      </c>
      <c r="V435" s="8">
        <f>IF('Assumptions - Freight'!$E$524&lt;&gt;0,IF(V$4&lt;'Assumptions - Freight'!$E$521+'Assumptions - Freight'!$E$531,0,U435+1),0)</f>
        <v>11</v>
      </c>
      <c r="W435" s="8">
        <f>IF('Assumptions - Freight'!$E$524&lt;&gt;0,IF(W$4&lt;'Assumptions - Freight'!$E$521+'Assumptions - Freight'!$E$531,0,V435+1),0)</f>
        <v>12</v>
      </c>
      <c r="X435" s="8">
        <f>IF('Assumptions - Freight'!$E$524&lt;&gt;0,IF(X$4&lt;'Assumptions - Freight'!$E$521+'Assumptions - Freight'!$E$531,0,W435+1),0)</f>
        <v>13</v>
      </c>
      <c r="Y435" s="8">
        <f>IF('Assumptions - Freight'!$E$524&lt;&gt;0,IF(Y$4&lt;'Assumptions - Freight'!$E$521+'Assumptions - Freight'!$E$531,0,X435+1),0)</f>
        <v>14</v>
      </c>
      <c r="Z435" s="8">
        <f>IF('Assumptions - Freight'!$E$524&lt;&gt;0,IF(Z$4&lt;'Assumptions - Freight'!$E$521+'Assumptions - Freight'!$E$531,0,Y435+1),0)</f>
        <v>15</v>
      </c>
      <c r="AA435" s="8">
        <f>IF('Assumptions - Freight'!$E$524&lt;&gt;0,IF(AA$4&lt;'Assumptions - Freight'!$E$521+'Assumptions - Freight'!$E$531,0,Z435+1),0)</f>
        <v>16</v>
      </c>
      <c r="AB435" s="8">
        <f>IF('Assumptions - Freight'!$E$524&lt;&gt;0,IF(AB$4&lt;'Assumptions - Freight'!$E$521+'Assumptions - Freight'!$E$531,0,AA435+1),0)</f>
        <v>17</v>
      </c>
      <c r="AC435" s="8">
        <f>IF('Assumptions - Freight'!$E$524&lt;&gt;0,IF(AC$4&lt;'Assumptions - Freight'!$E$521+'Assumptions - Freight'!$E$531,0,AB435+1),0)</f>
        <v>18</v>
      </c>
      <c r="AD435" s="8">
        <f>IF('Assumptions - Freight'!$E$524&lt;&gt;0,IF(AD$4&lt;'Assumptions - Freight'!$E$521+'Assumptions - Freight'!$E$531,0,AC435+1),0)</f>
        <v>19</v>
      </c>
      <c r="AE435" s="8">
        <f>IF('Assumptions - Freight'!$E$524&lt;&gt;0,IF(AE$4&lt;'Assumptions - Freight'!$E$521+'Assumptions - Freight'!$E$531,0,AD435+1),0)</f>
        <v>20</v>
      </c>
      <c r="AF435" s="8">
        <f>IF('Assumptions - Freight'!$E$524&lt;&gt;0,IF(AF$4&lt;'Assumptions - Freight'!$E$521+'Assumptions - Freight'!$E$531,0,AE435+1),0)</f>
        <v>21</v>
      </c>
      <c r="AG435" s="8">
        <f>IF('Assumptions - Freight'!$E$524&lt;&gt;0,IF(AG$4&lt;'Assumptions - Freight'!$E$521+'Assumptions - Freight'!$E$531,0,AF435+1),0)</f>
        <v>22</v>
      </c>
      <c r="AH435" s="8">
        <f>IF('Assumptions - Freight'!$E$524&lt;&gt;0,IF(AH$4&lt;'Assumptions - Freight'!$E$521+'Assumptions - Freight'!$E$531,0,AG435+1),0)</f>
        <v>23</v>
      </c>
    </row>
    <row r="436" spans="1:34" s="20" customFormat="1" ht="14" x14ac:dyDescent="0.2">
      <c r="A436" s="8"/>
      <c r="B436" s="8" t="s">
        <v>135</v>
      </c>
      <c r="C436" s="8"/>
      <c r="D436" s="8" t="s">
        <v>15</v>
      </c>
      <c r="E436" s="47">
        <f>IF(E$16=1,IF('Assumptions - Freight'!$E526=1,'Assumptions - Freight'!$E528,'Assumptions - General'!E$38+'Assumptions - Freight'!$E529),0)</f>
        <v>0.02</v>
      </c>
      <c r="F436" s="47">
        <f>IF(F$16=1,IF('Assumptions - Freight'!$E526=1,'Assumptions - Freight'!$E528,'Assumptions - General'!F$38+'Assumptions - Freight'!$E529),0)</f>
        <v>0.02</v>
      </c>
      <c r="G436" s="47">
        <f>IF(G$16=1,IF('Assumptions - Freight'!$E526=1,'Assumptions - Freight'!$E528,'Assumptions - General'!G$38+'Assumptions - Freight'!$E529),0)</f>
        <v>0.02</v>
      </c>
      <c r="H436" s="47">
        <f>IF(H$16=1,IF('Assumptions - Freight'!$E526=1,'Assumptions - Freight'!$E528,'Assumptions - General'!H$38+'Assumptions - Freight'!$E529),0)</f>
        <v>0.02</v>
      </c>
      <c r="I436" s="47">
        <f>IF(I$16=1,IF('Assumptions - Freight'!$E526=1,'Assumptions - Freight'!$E528,'Assumptions - General'!I$38+'Assumptions - Freight'!$E529),0)</f>
        <v>0.02</v>
      </c>
      <c r="J436" s="47">
        <f>IF(J$16=1,IF('Assumptions - Freight'!$E526=1,'Assumptions - Freight'!$E528,'Assumptions - General'!J$38+'Assumptions - Freight'!$E529),0)</f>
        <v>0.02</v>
      </c>
      <c r="K436" s="47">
        <f>IF(K$16=1,IF('Assumptions - Freight'!$E526=1,'Assumptions - Freight'!$E528,'Assumptions - General'!K$38+'Assumptions - Freight'!$E529),0)</f>
        <v>0.02</v>
      </c>
      <c r="L436" s="47">
        <f>IF(L$16=1,IF('Assumptions - Freight'!$E526=1,'Assumptions - Freight'!$E528,'Assumptions - General'!L$38+'Assumptions - Freight'!$E529),0)</f>
        <v>0.02</v>
      </c>
      <c r="M436" s="47">
        <f>IF(M$16=1,IF('Assumptions - Freight'!$E526=1,'Assumptions - Freight'!$E528,'Assumptions - General'!M$38+'Assumptions - Freight'!$E529),0)</f>
        <v>0.02</v>
      </c>
      <c r="N436" s="47">
        <f>IF(N$16=1,IF('Assumptions - Freight'!$E526=1,'Assumptions - Freight'!$E528,'Assumptions - General'!N$38+'Assumptions - Freight'!$E529),0)</f>
        <v>0.02</v>
      </c>
      <c r="O436" s="47">
        <f>IF(O$16=1,IF('Assumptions - Freight'!$E526=1,'Assumptions - Freight'!$E528,'Assumptions - General'!O$38+'Assumptions - Freight'!$E529),0)</f>
        <v>0.02</v>
      </c>
      <c r="P436" s="47">
        <f>IF(P$16=1,IF('Assumptions - Freight'!$E526=1,'Assumptions - Freight'!$E528,'Assumptions - General'!P$38+'Assumptions - Freight'!$E529),0)</f>
        <v>0.02</v>
      </c>
      <c r="Q436" s="47">
        <f>IF(Q$16=1,IF('Assumptions - Freight'!$E526=1,'Assumptions - Freight'!$E528,'Assumptions - General'!Q$38+'Assumptions - Freight'!$E529),0)</f>
        <v>0.02</v>
      </c>
      <c r="R436" s="47">
        <f>IF(R$16=1,IF('Assumptions - Freight'!$E526=1,'Assumptions - Freight'!$E528,'Assumptions - General'!R$38+'Assumptions - Freight'!$E529),0)</f>
        <v>0.02</v>
      </c>
      <c r="S436" s="47">
        <f>IF(S$16=1,IF('Assumptions - Freight'!$E526=1,'Assumptions - Freight'!$E528,'Assumptions - General'!S$38+'Assumptions - Freight'!$E529),0)</f>
        <v>0.02</v>
      </c>
      <c r="T436" s="47">
        <f>IF(T$16=1,IF('Assumptions - Freight'!$E526=1,'Assumptions - Freight'!$E528,'Assumptions - General'!T$38+'Assumptions - Freight'!$E529),0)</f>
        <v>0.02</v>
      </c>
      <c r="U436" s="47">
        <f>IF(U$16=1,IF('Assumptions - Freight'!$E526=1,'Assumptions - Freight'!$E528,'Assumptions - General'!U$38+'Assumptions - Freight'!$E529),0)</f>
        <v>0.02</v>
      </c>
      <c r="V436" s="47">
        <f>IF(V$16=1,IF('Assumptions - Freight'!$E526=1,'Assumptions - Freight'!$E528,'Assumptions - General'!V$38+'Assumptions - Freight'!$E529),0)</f>
        <v>0.02</v>
      </c>
      <c r="W436" s="47">
        <f>IF(W$16=1,IF('Assumptions - Freight'!$E526=1,'Assumptions - Freight'!$E528,'Assumptions - General'!W$38+'Assumptions - Freight'!$E529),0)</f>
        <v>0.02</v>
      </c>
      <c r="X436" s="47">
        <f>IF(X$16=1,IF('Assumptions - Freight'!$E526=1,'Assumptions - Freight'!$E528,'Assumptions - General'!X$38+'Assumptions - Freight'!$E529),0)</f>
        <v>0.02</v>
      </c>
      <c r="Y436" s="47">
        <f>IF(Y$16=1,IF('Assumptions - Freight'!$E526=1,'Assumptions - Freight'!$E528,'Assumptions - General'!Y$38+'Assumptions - Freight'!$E529),0)</f>
        <v>0.02</v>
      </c>
      <c r="Z436" s="47">
        <f>IF(Z$16=1,IF('Assumptions - Freight'!$E526=1,'Assumptions - Freight'!$E528,'Assumptions - General'!Z$38+'Assumptions - Freight'!$E529),0)</f>
        <v>0.02</v>
      </c>
      <c r="AA436" s="47">
        <f>IF(AA$16=1,IF('Assumptions - Freight'!$E526=1,'Assumptions - Freight'!$E528,'Assumptions - General'!AA$38+'Assumptions - Freight'!$E529),0)</f>
        <v>0.02</v>
      </c>
      <c r="AB436" s="47">
        <f>IF(AB$16=1,IF('Assumptions - Freight'!$E526=1,'Assumptions - Freight'!$E528,'Assumptions - General'!AB$38+'Assumptions - Freight'!$E529),0)</f>
        <v>0.02</v>
      </c>
      <c r="AC436" s="47">
        <f>IF(AC$16=1,IF('Assumptions - Freight'!$E526=1,'Assumptions - Freight'!$E528,'Assumptions - General'!AC$38+'Assumptions - Freight'!$E529),0)</f>
        <v>0.02</v>
      </c>
      <c r="AD436" s="47">
        <f>IF(AD$16=1,IF('Assumptions - Freight'!$E526=1,'Assumptions - Freight'!$E528,'Assumptions - General'!AD$38+'Assumptions - Freight'!$E529),0)</f>
        <v>0.02</v>
      </c>
      <c r="AE436" s="47">
        <f>IF(AE$16=1,IF('Assumptions - Freight'!$E526=1,'Assumptions - Freight'!$E528,'Assumptions - General'!AE$38+'Assumptions - Freight'!$E529),0)</f>
        <v>0.02</v>
      </c>
      <c r="AF436" s="47">
        <f>IF(AF$16=1,IF('Assumptions - Freight'!$E526=1,'Assumptions - Freight'!$E528,'Assumptions - General'!AF$38+'Assumptions - Freight'!$E529),0)</f>
        <v>0.02</v>
      </c>
      <c r="AG436" s="47">
        <f>IF(AG$16=1,IF('Assumptions - Freight'!$E526=1,'Assumptions - Freight'!$E528,'Assumptions - General'!AG$38+'Assumptions - Freight'!$E529),0)</f>
        <v>0.02</v>
      </c>
      <c r="AH436" s="47">
        <f>IF(AH$16=1,IF('Assumptions - Freight'!$E526=1,'Assumptions - Freight'!$E528,'Assumptions - General'!AH$38+'Assumptions - Freight'!$E529),0)</f>
        <v>0.02</v>
      </c>
    </row>
    <row r="437" spans="1:34" s="20" customFormat="1" ht="14" x14ac:dyDescent="0.2">
      <c r="A437" s="8"/>
      <c r="B437" s="8" t="s">
        <v>136</v>
      </c>
      <c r="C437" s="8"/>
      <c r="D437" s="8" t="str">
        <f>'Assumptions - Freight'!D524</f>
        <v>R$ millions</v>
      </c>
      <c r="E437" s="463">
        <v>0</v>
      </c>
      <c r="F437" s="126">
        <f>E445</f>
        <v>0</v>
      </c>
      <c r="G437" s="126">
        <f t="shared" ref="G437:AH437" si="178">F445</f>
        <v>0</v>
      </c>
      <c r="H437" s="126">
        <f t="shared" si="178"/>
        <v>10</v>
      </c>
      <c r="I437" s="126">
        <f t="shared" si="178"/>
        <v>20</v>
      </c>
      <c r="J437" s="126">
        <f t="shared" si="178"/>
        <v>30</v>
      </c>
      <c r="K437" s="126">
        <f t="shared" si="178"/>
        <v>40</v>
      </c>
      <c r="L437" s="126">
        <f t="shared" si="178"/>
        <v>50</v>
      </c>
      <c r="M437" s="126">
        <f t="shared" si="178"/>
        <v>50</v>
      </c>
      <c r="N437" s="126">
        <f t="shared" si="178"/>
        <v>50</v>
      </c>
      <c r="O437" s="126">
        <f t="shared" si="178"/>
        <v>50</v>
      </c>
      <c r="P437" s="126">
        <f t="shared" si="178"/>
        <v>50</v>
      </c>
      <c r="Q437" s="126">
        <f t="shared" si="178"/>
        <v>50</v>
      </c>
      <c r="R437" s="126">
        <f t="shared" si="178"/>
        <v>50</v>
      </c>
      <c r="S437" s="126">
        <f t="shared" si="178"/>
        <v>50</v>
      </c>
      <c r="T437" s="126">
        <f t="shared" si="178"/>
        <v>50</v>
      </c>
      <c r="U437" s="126">
        <f t="shared" si="178"/>
        <v>50</v>
      </c>
      <c r="V437" s="126">
        <f t="shared" si="178"/>
        <v>50</v>
      </c>
      <c r="W437" s="126">
        <f t="shared" si="178"/>
        <v>50</v>
      </c>
      <c r="X437" s="126">
        <f t="shared" si="178"/>
        <v>50</v>
      </c>
      <c r="Y437" s="126">
        <f t="shared" si="178"/>
        <v>50</v>
      </c>
      <c r="Z437" s="126">
        <f t="shared" si="178"/>
        <v>50</v>
      </c>
      <c r="AA437" s="126">
        <f t="shared" si="178"/>
        <v>50</v>
      </c>
      <c r="AB437" s="126">
        <f t="shared" si="178"/>
        <v>50</v>
      </c>
      <c r="AC437" s="126">
        <f t="shared" si="178"/>
        <v>50</v>
      </c>
      <c r="AD437" s="126">
        <f t="shared" si="178"/>
        <v>50</v>
      </c>
      <c r="AE437" s="126">
        <f t="shared" si="178"/>
        <v>50</v>
      </c>
      <c r="AF437" s="126">
        <f t="shared" si="178"/>
        <v>50</v>
      </c>
      <c r="AG437" s="126">
        <f t="shared" si="178"/>
        <v>50</v>
      </c>
      <c r="AH437" s="126">
        <f t="shared" si="178"/>
        <v>50</v>
      </c>
    </row>
    <row r="438" spans="1:34" s="20" customFormat="1" ht="14" x14ac:dyDescent="0.2">
      <c r="A438" s="8"/>
      <c r="B438" s="8" t="s">
        <v>410</v>
      </c>
      <c r="C438" s="8"/>
      <c r="D438" s="8" t="str">
        <f>D437</f>
        <v>R$ millions</v>
      </c>
      <c r="E438" s="126">
        <f>IF(E$16=1,IF('Assumptions - Freight'!$E$524&lt;&gt;0,IF('Assumptions - Freight'!$E$532=1,Calculations!E439,IF('Assumptions - Freight'!$E$532=2,Calculations!E440,IF('Assumptions - Freight'!$E$532=3,IF(E435=('Assumptions - Freight'!$E$530-'Assumptions - Freight'!$E$531),Calculations!D445,Calculations!E441),0))),0),0)</f>
        <v>0</v>
      </c>
      <c r="F438" s="126">
        <f>IF(F$16=1,IF('Assumptions - Freight'!$E$524&lt;&gt;0,IF('Assumptions - Freight'!$E$532=1,Calculations!F439,IF('Assumptions - Freight'!$E$532=2,Calculations!F440,IF('Assumptions - Freight'!$E$532=3,IF(F435=('Assumptions - Freight'!$E$530-'Assumptions - Freight'!$E$531),Calculations!E445,Calculations!F441),0))),0),0)</f>
        <v>0</v>
      </c>
      <c r="G438" s="126">
        <f>IF(G$16=1,IF('Assumptions - Freight'!$E$524&lt;&gt;0,IF('Assumptions - Freight'!$E$532=1,Calculations!G439,IF('Assumptions - Freight'!$E$532=2,Calculations!G440,IF('Assumptions - Freight'!$E$532=3,IF(G435=('Assumptions - Freight'!$E$530-'Assumptions - Freight'!$E$531),Calculations!F445,Calculations!G441),0))),0),0)</f>
        <v>0</v>
      </c>
      <c r="H438" s="126">
        <f>IF(H$16=1,IF('Assumptions - Freight'!$E$524&lt;&gt;0,IF('Assumptions - Freight'!$E$532=1,Calculations!H439,IF('Assumptions - Freight'!$E$532=2,Calculations!H440,IF('Assumptions - Freight'!$E$532=3,IF(H435=('Assumptions - Freight'!$E$530-'Assumptions - Freight'!$E$531),Calculations!G445,Calculations!H441),0))),0),0)</f>
        <v>0</v>
      </c>
      <c r="I438" s="126">
        <f>IF(I$16=1,IF('Assumptions - Freight'!$E$524&lt;&gt;0,IF('Assumptions - Freight'!$E$532=1,Calculations!I439,IF('Assumptions - Freight'!$E$532=2,Calculations!I440,IF('Assumptions - Freight'!$E$532=3,IF(I435=('Assumptions - Freight'!$E$530-'Assumptions - Freight'!$E$531),Calculations!H445,Calculations!I441),0))),0),0)</f>
        <v>0</v>
      </c>
      <c r="J438" s="126">
        <f>IF('Assumptions - Freight'!$E$524&lt;&gt;0,IF('Assumptions - Freight'!$E$532=1,Calculations!J439,IF('Assumptions - Freight'!$E$532=2,Calculations!J440,IF('Assumptions - Freight'!$E$532=3,IF(J435=('Assumptions - Freight'!$E$530-'Assumptions - Freight'!$E$531),Calculations!I445,Calculations!J441),0))),0)</f>
        <v>0</v>
      </c>
      <c r="K438" s="126">
        <f>IF('Assumptions - Freight'!$E$524&lt;&gt;0,IF('Assumptions - Freight'!$E$532=1,Calculations!K439,IF('Assumptions - Freight'!$E$532=2,Calculations!K440,IF('Assumptions - Freight'!$E$532=3,IF(K435=('Assumptions - Freight'!$E$530-'Assumptions - Freight'!$E$531),Calculations!J445,Calculations!K441),0))),0)</f>
        <v>0</v>
      </c>
      <c r="L438" s="126">
        <f>IF('Assumptions - Freight'!$E$524&lt;&gt;0,IF('Assumptions - Freight'!$E$532=1,Calculations!L439,IF('Assumptions - Freight'!$E$532=2,Calculations!L440,IF('Assumptions - Freight'!$E$532=3,IF(L435=('Assumptions - Freight'!$E$530-'Assumptions - Freight'!$E$531),Calculations!K445,Calculations!L441),0))),0)</f>
        <v>0</v>
      </c>
      <c r="M438" s="126">
        <f>IF('Assumptions - Freight'!$E$524&lt;&gt;0,IF('Assumptions - Freight'!$E$532=1,Calculations!M439,IF('Assumptions - Freight'!$E$532=2,Calculations!M440,IF('Assumptions - Freight'!$E$532=3,IF(M435=('Assumptions - Freight'!$E$530-'Assumptions - Freight'!$E$531),Calculations!L445,Calculations!M441),0))),0)</f>
        <v>0</v>
      </c>
      <c r="N438" s="126">
        <f>IF('Assumptions - Freight'!$E$524&lt;&gt;0,IF('Assumptions - Freight'!$E$532=1,Calculations!N439,IF('Assumptions - Freight'!$E$532=2,Calculations!N440,IF('Assumptions - Freight'!$E$532=3,IF(N435=('Assumptions - Freight'!$E$530-'Assumptions - Freight'!$E$531),Calculations!M445,Calculations!N441),0))),0)</f>
        <v>0</v>
      </c>
      <c r="O438" s="126">
        <f>IF('Assumptions - Freight'!$E$524&lt;&gt;0,IF('Assumptions - Freight'!$E$532=1,Calculations!O439,IF('Assumptions - Freight'!$E$532=2,Calculations!O440,IF('Assumptions - Freight'!$E$532=3,IF(O435=('Assumptions - Freight'!$E$530-'Assumptions - Freight'!$E$531),Calculations!N445,Calculations!O441),0))),0)</f>
        <v>0</v>
      </c>
      <c r="P438" s="126">
        <f>IF('Assumptions - Freight'!$E$524&lt;&gt;0,IF('Assumptions - Freight'!$E$532=1,Calculations!P439,IF('Assumptions - Freight'!$E$532=2,Calculations!P440,IF('Assumptions - Freight'!$E$532=3,IF(P435=('Assumptions - Freight'!$E$530-'Assumptions - Freight'!$E$531),Calculations!O445,Calculations!P441),0))),0)</f>
        <v>0</v>
      </c>
      <c r="Q438" s="126">
        <f>IF('Assumptions - Freight'!$E$524&lt;&gt;0,IF('Assumptions - Freight'!$E$532=1,Calculations!Q439,IF('Assumptions - Freight'!$E$532=2,Calculations!Q440,IF('Assumptions - Freight'!$E$532=3,IF(Q435=('Assumptions - Freight'!$E$530-'Assumptions - Freight'!$E$531),Calculations!P445,Calculations!Q441),0))),0)</f>
        <v>0</v>
      </c>
      <c r="R438" s="126">
        <f>IF('Assumptions - Freight'!$E$524&lt;&gt;0,IF('Assumptions - Freight'!$E$532=1,Calculations!R439,IF('Assumptions - Freight'!$E$532=2,Calculations!R440,IF('Assumptions - Freight'!$E$532=3,IF(R435=('Assumptions - Freight'!$E$530-'Assumptions - Freight'!$E$531),Calculations!Q445,Calculations!R441),0))),0)</f>
        <v>0</v>
      </c>
      <c r="S438" s="126">
        <f>IF('Assumptions - Freight'!$E$524&lt;&gt;0,IF('Assumptions - Freight'!$E$532=1,Calculations!S439,IF('Assumptions - Freight'!$E$532=2,Calculations!S440,IF('Assumptions - Freight'!$E$532=3,IF(S435=('Assumptions - Freight'!$E$530-'Assumptions - Freight'!$E$531),Calculations!R445,Calculations!S441),0))),0)</f>
        <v>0</v>
      </c>
      <c r="T438" s="126">
        <f>IF('Assumptions - Freight'!$E$524&lt;&gt;0,IF('Assumptions - Freight'!$E$532=1,Calculations!T439,IF('Assumptions - Freight'!$E$532=2,Calculations!T440,IF('Assumptions - Freight'!$E$532=3,IF(T435=('Assumptions - Freight'!$E$530-'Assumptions - Freight'!$E$531),Calculations!S445,Calculations!T441),0))),0)</f>
        <v>0</v>
      </c>
      <c r="U438" s="126">
        <f>IF('Assumptions - Freight'!$E$524&lt;&gt;0,IF('Assumptions - Freight'!$E$532=1,Calculations!U439,IF('Assumptions - Freight'!$E$532=2,Calculations!U440,IF('Assumptions - Freight'!$E$532=3,IF(U435=('Assumptions - Freight'!$E$530-'Assumptions - Freight'!$E$531),Calculations!T445,Calculations!U441),0))),0)</f>
        <v>0</v>
      </c>
      <c r="V438" s="126">
        <f>IF('Assumptions - Freight'!$E$524&lt;&gt;0,IF('Assumptions - Freight'!$E$532=1,Calculations!V439,IF('Assumptions - Freight'!$E$532=2,Calculations!V440,IF('Assumptions - Freight'!$E$532=3,IF(V435=('Assumptions - Freight'!$E$530-'Assumptions - Freight'!$E$531),Calculations!U445,Calculations!V441),0))),0)</f>
        <v>0</v>
      </c>
      <c r="W438" s="126">
        <f>IF('Assumptions - Freight'!$E$524&lt;&gt;0,IF('Assumptions - Freight'!$E$532=1,Calculations!W439,IF('Assumptions - Freight'!$E$532=2,Calculations!W440,IF('Assumptions - Freight'!$E$532=3,IF(W435=('Assumptions - Freight'!$E$530-'Assumptions - Freight'!$E$531),Calculations!V445,Calculations!W441),0))),0)</f>
        <v>0</v>
      </c>
      <c r="X438" s="126">
        <f>IF('Assumptions - Freight'!$E$524&lt;&gt;0,IF('Assumptions - Freight'!$E$532=1,Calculations!X439,IF('Assumptions - Freight'!$E$532=2,Calculations!X440,IF('Assumptions - Freight'!$E$532=3,IF(X435=('Assumptions - Freight'!$E$530-'Assumptions - Freight'!$E$531),Calculations!W445,Calculations!X441),0))),0)</f>
        <v>0</v>
      </c>
      <c r="Y438" s="126">
        <f>IF('Assumptions - Freight'!$E$524&lt;&gt;0,IF('Assumptions - Freight'!$E$532=1,Calculations!Y439,IF('Assumptions - Freight'!$E$532=2,Calculations!Y440,IF('Assumptions - Freight'!$E$532=3,IF(Y435=('Assumptions - Freight'!$E$530-'Assumptions - Freight'!$E$531),Calculations!X445,Calculations!Y441),0))),0)</f>
        <v>0</v>
      </c>
      <c r="Z438" s="126">
        <f>IF('Assumptions - Freight'!$E$524&lt;&gt;0,IF('Assumptions - Freight'!$E$532=1,Calculations!Z439,IF('Assumptions - Freight'!$E$532=2,Calculations!Z440,IF('Assumptions - Freight'!$E$532=3,IF(Z435=('Assumptions - Freight'!$E$530-'Assumptions - Freight'!$E$531),Calculations!Y445,Calculations!Z441),0))),0)</f>
        <v>0</v>
      </c>
      <c r="AA438" s="126">
        <f>IF('Assumptions - Freight'!$E$524&lt;&gt;0,IF('Assumptions - Freight'!$E$532=1,Calculations!AA439,IF('Assumptions - Freight'!$E$532=2,Calculations!AA440,IF('Assumptions - Freight'!$E$532=3,IF(AA435=('Assumptions - Freight'!$E$530-'Assumptions - Freight'!$E$531),Calculations!Z445,Calculations!AA441),0))),0)</f>
        <v>0</v>
      </c>
      <c r="AB438" s="126">
        <f>IF('Assumptions - Freight'!$E$524&lt;&gt;0,IF('Assumptions - Freight'!$E$532=1,Calculations!AB439,IF('Assumptions - Freight'!$E$532=2,Calculations!AB440,IF('Assumptions - Freight'!$E$532=3,IF(AB435=('Assumptions - Freight'!$E$530-'Assumptions - Freight'!$E$531),Calculations!AA445,Calculations!AB441),0))),0)</f>
        <v>0</v>
      </c>
      <c r="AC438" s="126">
        <f>IF('Assumptions - Freight'!$E$524&lt;&gt;0,IF('Assumptions - Freight'!$E$532=1,Calculations!AC439,IF('Assumptions - Freight'!$E$532=2,Calculations!AC440,IF('Assumptions - Freight'!$E$532=3,IF(AC435=('Assumptions - Freight'!$E$530-'Assumptions - Freight'!$E$531),Calculations!AB445,Calculations!AC441),0))),0)</f>
        <v>0</v>
      </c>
      <c r="AD438" s="126">
        <f>IF('Assumptions - Freight'!$E$524&lt;&gt;0,IF('Assumptions - Freight'!$E$532=1,Calculations!AD439,IF('Assumptions - Freight'!$E$532=2,Calculations!AD440,IF('Assumptions - Freight'!$E$532=3,IF(AD435=('Assumptions - Freight'!$E$530-'Assumptions - Freight'!$E$531),Calculations!AC445,Calculations!AD441),0))),0)</f>
        <v>0</v>
      </c>
      <c r="AE438" s="126">
        <f>IF('Assumptions - Freight'!$E$524&lt;&gt;0,IF('Assumptions - Freight'!$E$532=1,Calculations!AE439,IF('Assumptions - Freight'!$E$532=2,Calculations!AE440,IF('Assumptions - Freight'!$E$532=3,IF(AE435=('Assumptions - Freight'!$E$530-'Assumptions - Freight'!$E$531),Calculations!AD445,Calculations!AE441),0))),0)</f>
        <v>0</v>
      </c>
      <c r="AF438" s="126">
        <f>IF('Assumptions - Freight'!$E$524&lt;&gt;0,IF('Assumptions - Freight'!$E$532=1,Calculations!AF439,IF('Assumptions - Freight'!$E$532=2,Calculations!AF440,IF('Assumptions - Freight'!$E$532=3,IF(AF435=('Assumptions - Freight'!$E$530-'Assumptions - Freight'!$E$531),Calculations!AE445,Calculations!AF441),0))),0)</f>
        <v>0</v>
      </c>
      <c r="AG438" s="126">
        <f>IF('Assumptions - Freight'!$E$524&lt;&gt;0,IF('Assumptions - Freight'!$E$532=1,Calculations!AG439,IF('Assumptions - Freight'!$E$532=2,Calculations!AG440,IF('Assumptions - Freight'!$E$532=3,IF(AG435=('Assumptions - Freight'!$E$530-'Assumptions - Freight'!$E$531),Calculations!AF445,Calculations!AG441),0))),0)</f>
        <v>0</v>
      </c>
      <c r="AH438" s="126">
        <f>IF('Assumptions - Freight'!$E$524&lt;&gt;0,IF('Assumptions - Freight'!$E$532=1,Calculations!AH439,IF('Assumptions - Freight'!$E$532=2,Calculations!AH440,IF('Assumptions - Freight'!$E$532=3,IF(AH435=('Assumptions - Freight'!$E$530-'Assumptions - Freight'!$E$531),Calculations!AG445,Calculations!AH441),0))),0)</f>
        <v>0</v>
      </c>
    </row>
    <row r="439" spans="1:34" s="20" customFormat="1" ht="14" x14ac:dyDescent="0.2">
      <c r="A439" s="8"/>
      <c r="B439" s="125" t="s">
        <v>295</v>
      </c>
      <c r="C439" s="8"/>
      <c r="D439" s="8" t="str">
        <f t="shared" ref="D439:D450" si="179">D438</f>
        <v>R$ millions</v>
      </c>
      <c r="E439" s="126">
        <f>IF('Assumptions - Freight'!$E$524&lt;&gt;0,IF(AND('Assumptions - Freight'!$E$532=1,E$435=('Assumptions - Freight'!$E$530-'Assumptions - Freight'!$E$531)),'Assumptions - Freight'!$E$524,0),0)</f>
        <v>0</v>
      </c>
      <c r="F439" s="126">
        <f>IF('Assumptions - Freight'!$E$524&lt;&gt;0,IF(AND('Assumptions - Freight'!$E$532=1,F$435=('Assumptions - Freight'!$E$530-'Assumptions - Freight'!$E$531)),'Assumptions - Freight'!$E$524,0),0)</f>
        <v>0</v>
      </c>
      <c r="G439" s="126">
        <f>IF('Assumptions - Freight'!$E$524&lt;&gt;0,IF(AND('Assumptions - Freight'!$E$532=1,G$435=('Assumptions - Freight'!$E$530-'Assumptions - Freight'!$E$531)),'Assumptions - Freight'!$E$524,0),0)</f>
        <v>0</v>
      </c>
      <c r="H439" s="126">
        <f>IF('Assumptions - Freight'!$E$524&lt;&gt;0,IF(AND('Assumptions - Freight'!$E$532=1,H$435=('Assumptions - Freight'!$E$530-'Assumptions - Freight'!$E$531)),'Assumptions - Freight'!$E$524,0),0)</f>
        <v>0</v>
      </c>
      <c r="I439" s="126">
        <f>IF('Assumptions - Freight'!$E$524&lt;&gt;0,IF(AND('Assumptions - Freight'!$E$532=1,I$435=('Assumptions - Freight'!$E$530-'Assumptions - Freight'!$E$531)),'Assumptions - Freight'!$E$524,0),0)</f>
        <v>0</v>
      </c>
      <c r="J439" s="126">
        <f>IF('Assumptions - Freight'!$E$524&lt;&gt;0,IF(AND('Assumptions - Freight'!$E$532=1,J$435=('Assumptions - Freight'!$E$530-'Assumptions - Freight'!$E$531)),'Assumptions - Freight'!$E$524,0),0)</f>
        <v>0</v>
      </c>
      <c r="K439" s="126">
        <f>IF('Assumptions - Freight'!$E$524&lt;&gt;0,IF(AND('Assumptions - Freight'!$E$532=1,K$435=('Assumptions - Freight'!$E$530-'Assumptions - Freight'!$E$531)),'Assumptions - Freight'!$E$524,0),0)</f>
        <v>0</v>
      </c>
      <c r="L439" s="126">
        <f>IF('Assumptions - Freight'!$E$524&lt;&gt;0,IF(AND('Assumptions - Freight'!$E$532=1,L$435=('Assumptions - Freight'!$E$530-'Assumptions - Freight'!$E$531)),'Assumptions - Freight'!$E$524,0),0)</f>
        <v>0</v>
      </c>
      <c r="M439" s="126">
        <f>IF('Assumptions - Freight'!$E$524&lt;&gt;0,IF(AND('Assumptions - Freight'!$E$532=1,M$435=('Assumptions - Freight'!$E$530-'Assumptions - Freight'!$E$531)),'Assumptions - Freight'!$E$524,0),0)</f>
        <v>0</v>
      </c>
      <c r="N439" s="126">
        <f>IF('Assumptions - Freight'!$E$524&lt;&gt;0,IF(AND('Assumptions - Freight'!$E$532=1,N$435=('Assumptions - Freight'!$E$530-'Assumptions - Freight'!$E$531)),'Assumptions - Freight'!$E$524,0),0)</f>
        <v>0</v>
      </c>
      <c r="O439" s="126">
        <f>IF('Assumptions - Freight'!$E$524&lt;&gt;0,IF(AND('Assumptions - Freight'!$E$532=1,O$435=('Assumptions - Freight'!$E$530-'Assumptions - Freight'!$E$531)),'Assumptions - Freight'!$E$524,0),0)</f>
        <v>0</v>
      </c>
      <c r="P439" s="126">
        <f>IF('Assumptions - Freight'!$E$524&lt;&gt;0,IF(AND('Assumptions - Freight'!$E$532=1,P$435=('Assumptions - Freight'!$E$530-'Assumptions - Freight'!$E$531)),'Assumptions - Freight'!$E$524,0),0)</f>
        <v>0</v>
      </c>
      <c r="Q439" s="126">
        <f>IF('Assumptions - Freight'!$E$524&lt;&gt;0,IF(AND('Assumptions - Freight'!$E$532=1,Q$435=('Assumptions - Freight'!$E$530-'Assumptions - Freight'!$E$531)),'Assumptions - Freight'!$E$524,0),0)</f>
        <v>0</v>
      </c>
      <c r="R439" s="126">
        <f>IF('Assumptions - Freight'!$E$524&lt;&gt;0,IF(AND('Assumptions - Freight'!$E$532=1,R$435=('Assumptions - Freight'!$E$530-'Assumptions - Freight'!$E$531)),'Assumptions - Freight'!$E$524,0),0)</f>
        <v>0</v>
      </c>
      <c r="S439" s="126">
        <f>IF('Assumptions - Freight'!$E$524&lt;&gt;0,IF(AND('Assumptions - Freight'!$E$532=1,S$435=('Assumptions - Freight'!$E$530-'Assumptions - Freight'!$E$531)),'Assumptions - Freight'!$E$524,0),0)</f>
        <v>0</v>
      </c>
      <c r="T439" s="126">
        <f>IF('Assumptions - Freight'!$E$524&lt;&gt;0,IF(AND('Assumptions - Freight'!$E$532=1,T$435=('Assumptions - Freight'!$E$530-'Assumptions - Freight'!$E$531)),'Assumptions - Freight'!$E$524,0),0)</f>
        <v>0</v>
      </c>
      <c r="U439" s="126">
        <f>IF('Assumptions - Freight'!$E$524&lt;&gt;0,IF(AND('Assumptions - Freight'!$E$532=1,U$435=('Assumptions - Freight'!$E$530-'Assumptions - Freight'!$E$531)),'Assumptions - Freight'!$E$524,0),0)</f>
        <v>0</v>
      </c>
      <c r="V439" s="126">
        <f>IF('Assumptions - Freight'!$E$524&lt;&gt;0,IF(AND('Assumptions - Freight'!$E$532=1,V$435=('Assumptions - Freight'!$E$530-'Assumptions - Freight'!$E$531)),'Assumptions - Freight'!$E$524,0),0)</f>
        <v>0</v>
      </c>
      <c r="W439" s="126">
        <f>IF('Assumptions - Freight'!$E$524&lt;&gt;0,IF(AND('Assumptions - Freight'!$E$532=1,W$435=('Assumptions - Freight'!$E$530-'Assumptions - Freight'!$E$531)),'Assumptions - Freight'!$E$524,0),0)</f>
        <v>0</v>
      </c>
      <c r="X439" s="126">
        <f>IF('Assumptions - Freight'!$E$524&lt;&gt;0,IF(AND('Assumptions - Freight'!$E$532=1,X$435=('Assumptions - Freight'!$E$530-'Assumptions - Freight'!$E$531)),'Assumptions - Freight'!$E$524,0),0)</f>
        <v>0</v>
      </c>
      <c r="Y439" s="126">
        <f>IF('Assumptions - Freight'!$E$524&lt;&gt;0,IF(AND('Assumptions - Freight'!$E$532=1,Y$435=('Assumptions - Freight'!$E$530-'Assumptions - Freight'!$E$531)),'Assumptions - Freight'!$E$524,0),0)</f>
        <v>0</v>
      </c>
      <c r="Z439" s="126">
        <f>IF('Assumptions - Freight'!$E$524&lt;&gt;0,IF(AND('Assumptions - Freight'!$E$532=1,Z$435=('Assumptions - Freight'!$E$530-'Assumptions - Freight'!$E$531)),'Assumptions - Freight'!$E$524,0),0)</f>
        <v>0</v>
      </c>
      <c r="AA439" s="126">
        <f>IF('Assumptions - Freight'!$E$524&lt;&gt;0,IF(AND('Assumptions - Freight'!$E$532=1,AA$435=('Assumptions - Freight'!$E$530-'Assumptions - Freight'!$E$531)),'Assumptions - Freight'!$E$524,0),0)</f>
        <v>0</v>
      </c>
      <c r="AB439" s="126">
        <f>IF('Assumptions - Freight'!$E$524&lt;&gt;0,IF(AND('Assumptions - Freight'!$E$532=1,AB$435=('Assumptions - Freight'!$E$530-'Assumptions - Freight'!$E$531)),'Assumptions - Freight'!$E$524,0),0)</f>
        <v>0</v>
      </c>
      <c r="AC439" s="126">
        <f>IF('Assumptions - Freight'!$E$524&lt;&gt;0,IF(AND('Assumptions - Freight'!$E$532=1,AC$435=('Assumptions - Freight'!$E$530-'Assumptions - Freight'!$E$531)),'Assumptions - Freight'!$E$524,0),0)</f>
        <v>0</v>
      </c>
      <c r="AD439" s="126">
        <f>IF('Assumptions - Freight'!$E$524&lt;&gt;0,IF(AND('Assumptions - Freight'!$E$532=1,AD$435=('Assumptions - Freight'!$E$530-'Assumptions - Freight'!$E$531)),'Assumptions - Freight'!$E$524,0),0)</f>
        <v>0</v>
      </c>
      <c r="AE439" s="126">
        <f>IF('Assumptions - Freight'!$E$524&lt;&gt;0,IF(AND('Assumptions - Freight'!$E$532=1,AE$435=('Assumptions - Freight'!$E$530-'Assumptions - Freight'!$E$531)),'Assumptions - Freight'!$E$524,0),0)</f>
        <v>0</v>
      </c>
      <c r="AF439" s="126">
        <f>IF('Assumptions - Freight'!$E$524&lt;&gt;0,IF(AND('Assumptions - Freight'!$E$532=1,AF$435=('Assumptions - Freight'!$E$530-'Assumptions - Freight'!$E$531)),'Assumptions - Freight'!$E$524,0),0)</f>
        <v>0</v>
      </c>
      <c r="AG439" s="126">
        <f>IF('Assumptions - Freight'!$E$524&lt;&gt;0,IF(AND('Assumptions - Freight'!$E$532=1,AG$435=('Assumptions - Freight'!$E$530-'Assumptions - Freight'!$E$531)),'Assumptions - Freight'!$E$524,0),0)</f>
        <v>0</v>
      </c>
      <c r="AH439" s="126">
        <f>IF('Assumptions - Freight'!$E$524&lt;&gt;0,IF(AND('Assumptions - Freight'!$E$532=1,AH$435=('Assumptions - Freight'!$E$530-'Assumptions - Freight'!$E$531)),'Assumptions - Freight'!$E$524,0),0)</f>
        <v>0</v>
      </c>
    </row>
    <row r="440" spans="1:34" s="20" customFormat="1" ht="14" x14ac:dyDescent="0.2">
      <c r="A440" s="8"/>
      <c r="B440" s="125" t="s">
        <v>294</v>
      </c>
      <c r="C440" s="8"/>
      <c r="D440" s="8" t="str">
        <f t="shared" si="179"/>
        <v>R$ millions</v>
      </c>
      <c r="E440" s="126">
        <f>IF('Assumptions - Freight'!$E$524&lt;&gt;0,IF(AND('Assumptions - Freight'!$E$532=2,Calculations!E$435&gt;0,Calculations!E$435&lt;=('Assumptions - Freight'!$E$530-'Assumptions - Freight'!$E$531)),'Assumptions - Freight'!$E$524/('Assumptions - Freight'!$E$530-'Assumptions - Freight'!$E$531),0),0)</f>
        <v>0</v>
      </c>
      <c r="F440" s="126">
        <f>IF('Assumptions - Freight'!$E$524&lt;&gt;0,IF(AND('Assumptions - Freight'!$E$532=2,Calculations!F$435&gt;0,Calculations!F$435&lt;=('Assumptions - Freight'!$E$530-'Assumptions - Freight'!$E$531)),'Assumptions - Freight'!$E$524/('Assumptions - Freight'!$E$530-'Assumptions - Freight'!$E$531),0),0)</f>
        <v>0</v>
      </c>
      <c r="G440" s="126">
        <f>IF('Assumptions - Freight'!$E$524&lt;&gt;0,IF(AND('Assumptions - Freight'!$E$532=2,Calculations!G$435&gt;0,Calculations!G$435&lt;=('Assumptions - Freight'!$E$530-'Assumptions - Freight'!$E$531)),'Assumptions - Freight'!$E$524/('Assumptions - Freight'!$E$530-'Assumptions - Freight'!$E$531),0),0)</f>
        <v>0</v>
      </c>
      <c r="H440" s="126">
        <f>IF('Assumptions - Freight'!$E$524&lt;&gt;0,IF(AND('Assumptions - Freight'!$E$532=2,Calculations!H$435&gt;0,Calculations!H$435&lt;=('Assumptions - Freight'!$E$530-'Assumptions - Freight'!$E$531)),'Assumptions - Freight'!$E$524/('Assumptions - Freight'!$E$530-'Assumptions - Freight'!$E$531),0),0)</f>
        <v>0</v>
      </c>
      <c r="I440" s="126">
        <f>IF('Assumptions - Freight'!$E$524&lt;&gt;0,IF(AND('Assumptions - Freight'!$E$532=2,Calculations!I$435&gt;0,Calculations!I$435&lt;=('Assumptions - Freight'!$E$530-'Assumptions - Freight'!$E$531)),'Assumptions - Freight'!$E$524/('Assumptions - Freight'!$E$530-'Assumptions - Freight'!$E$531),0),0)</f>
        <v>0</v>
      </c>
      <c r="J440" s="126">
        <f>IF('Assumptions - Freight'!$E$524&lt;&gt;0,IF(AND('Assumptions - Freight'!$E$532=2,Calculations!J$435&gt;0,Calculations!J$435&lt;=('Assumptions - Freight'!$E$530-'Assumptions - Freight'!$E$531)),'Assumptions - Freight'!$E$524/('Assumptions - Freight'!$E$530-'Assumptions - Freight'!$E$531),0),0)</f>
        <v>0</v>
      </c>
      <c r="K440" s="126">
        <f>IF('Assumptions - Freight'!$E$524&lt;&gt;0,IF(AND('Assumptions - Freight'!$E$532=2,Calculations!K$435&gt;0,Calculations!K$435&lt;=('Assumptions - Freight'!$E$530-'Assumptions - Freight'!$E$531)),'Assumptions - Freight'!$E$524/('Assumptions - Freight'!$E$530-'Assumptions - Freight'!$E$531),0),0)</f>
        <v>0</v>
      </c>
      <c r="L440" s="126">
        <f>IF('Assumptions - Freight'!$E$524&lt;&gt;0,IF(AND('Assumptions - Freight'!$E$532=2,Calculations!L$435&gt;0,Calculations!L$435&lt;=('Assumptions - Freight'!$E$530-'Assumptions - Freight'!$E$531)),'Assumptions - Freight'!$E$524/('Assumptions - Freight'!$E$530-'Assumptions - Freight'!$E$531),0),0)</f>
        <v>0</v>
      </c>
      <c r="M440" s="126">
        <f>IF('Assumptions - Freight'!$E$524&lt;&gt;0,IF(AND('Assumptions - Freight'!$E$532=2,Calculations!M$435&gt;0,Calculations!M$435&lt;=('Assumptions - Freight'!$E$530-'Assumptions - Freight'!$E$531)),'Assumptions - Freight'!$E$524/('Assumptions - Freight'!$E$530-'Assumptions - Freight'!$E$531),0),0)</f>
        <v>0</v>
      </c>
      <c r="N440" s="126">
        <f>IF('Assumptions - Freight'!$E$524&lt;&gt;0,IF(AND('Assumptions - Freight'!$E$532=2,Calculations!N$435&gt;0,Calculations!N$435&lt;=('Assumptions - Freight'!$E$530-'Assumptions - Freight'!$E$531)),'Assumptions - Freight'!$E$524/('Assumptions - Freight'!$E$530-'Assumptions - Freight'!$E$531),0),0)</f>
        <v>0</v>
      </c>
      <c r="O440" s="126">
        <f>IF('Assumptions - Freight'!$E$524&lt;&gt;0,IF(AND('Assumptions - Freight'!$E$532=2,Calculations!O$435&gt;0,Calculations!O$435&lt;=('Assumptions - Freight'!$E$530-'Assumptions - Freight'!$E$531)),'Assumptions - Freight'!$E$524/('Assumptions - Freight'!$E$530-'Assumptions - Freight'!$E$531),0),0)</f>
        <v>0</v>
      </c>
      <c r="P440" s="126">
        <f>IF('Assumptions - Freight'!$E$524&lt;&gt;0,IF(AND('Assumptions - Freight'!$E$532=2,Calculations!P$435&gt;0,Calculations!P$435&lt;=('Assumptions - Freight'!$E$530-'Assumptions - Freight'!$E$531)),'Assumptions - Freight'!$E$524/('Assumptions - Freight'!$E$530-'Assumptions - Freight'!$E$531),0),0)</f>
        <v>0</v>
      </c>
      <c r="Q440" s="126">
        <f>IF('Assumptions - Freight'!$E$524&lt;&gt;0,IF(AND('Assumptions - Freight'!$E$532=2,Calculations!Q$435&gt;0,Calculations!Q$435&lt;=('Assumptions - Freight'!$E$530-'Assumptions - Freight'!$E$531)),'Assumptions - Freight'!$E$524/('Assumptions - Freight'!$E$530-'Assumptions - Freight'!$E$531),0),0)</f>
        <v>0</v>
      </c>
      <c r="R440" s="126">
        <f>IF('Assumptions - Freight'!$E$524&lt;&gt;0,IF(AND('Assumptions - Freight'!$E$532=2,Calculations!R$435&gt;0,Calculations!R$435&lt;=('Assumptions - Freight'!$E$530-'Assumptions - Freight'!$E$531)),'Assumptions - Freight'!$E$524/('Assumptions - Freight'!$E$530-'Assumptions - Freight'!$E$531),0),0)</f>
        <v>0</v>
      </c>
      <c r="S440" s="126">
        <f>IF('Assumptions - Freight'!$E$524&lt;&gt;0,IF(AND('Assumptions - Freight'!$E$532=2,Calculations!S$435&gt;0,Calculations!S$435&lt;=('Assumptions - Freight'!$E$530-'Assumptions - Freight'!$E$531)),'Assumptions - Freight'!$E$524/('Assumptions - Freight'!$E$530-'Assumptions - Freight'!$E$531),0),0)</f>
        <v>0</v>
      </c>
      <c r="T440" s="126">
        <f>IF('Assumptions - Freight'!$E$524&lt;&gt;0,IF(AND('Assumptions - Freight'!$E$532=2,Calculations!T$435&gt;0,Calculations!T$435&lt;=('Assumptions - Freight'!$E$530-'Assumptions - Freight'!$E$531)),'Assumptions - Freight'!$E$524/('Assumptions - Freight'!$E$530-'Assumptions - Freight'!$E$531),0),0)</f>
        <v>0</v>
      </c>
      <c r="U440" s="126">
        <f>IF('Assumptions - Freight'!$E$524&lt;&gt;0,IF(AND('Assumptions - Freight'!$E$532=2,Calculations!U$435&gt;0,Calculations!U$435&lt;=('Assumptions - Freight'!$E$530-'Assumptions - Freight'!$E$531)),'Assumptions - Freight'!$E$524/('Assumptions - Freight'!$E$530-'Assumptions - Freight'!$E$531),0),0)</f>
        <v>0</v>
      </c>
      <c r="V440" s="126">
        <f>IF('Assumptions - Freight'!$E$524&lt;&gt;0,IF(AND('Assumptions - Freight'!$E$532=2,Calculations!V$435&gt;0,Calculations!V$435&lt;=('Assumptions - Freight'!$E$530-'Assumptions - Freight'!$E$531)),'Assumptions - Freight'!$E$524/('Assumptions - Freight'!$E$530-'Assumptions - Freight'!$E$531),0),0)</f>
        <v>0</v>
      </c>
      <c r="W440" s="126">
        <f>IF('Assumptions - Freight'!$E$524&lt;&gt;0,IF(AND('Assumptions - Freight'!$E$532=2,Calculations!W$435&gt;0,Calculations!W$435&lt;=('Assumptions - Freight'!$E$530-'Assumptions - Freight'!$E$531)),'Assumptions - Freight'!$E$524/('Assumptions - Freight'!$E$530-'Assumptions - Freight'!$E$531),0),0)</f>
        <v>0</v>
      </c>
      <c r="X440" s="126">
        <f>IF('Assumptions - Freight'!$E$524&lt;&gt;0,IF(AND('Assumptions - Freight'!$E$532=2,Calculations!X$435&gt;0,Calculations!X$435&lt;=('Assumptions - Freight'!$E$530-'Assumptions - Freight'!$E$531)),'Assumptions - Freight'!$E$524/('Assumptions - Freight'!$E$530-'Assumptions - Freight'!$E$531),0),0)</f>
        <v>0</v>
      </c>
      <c r="Y440" s="126">
        <f>IF('Assumptions - Freight'!$E$524&lt;&gt;0,IF(AND('Assumptions - Freight'!$E$532=2,Calculations!Y$435&gt;0,Calculations!Y$435&lt;=('Assumptions - Freight'!$E$530-'Assumptions - Freight'!$E$531)),'Assumptions - Freight'!$E$524/('Assumptions - Freight'!$E$530-'Assumptions - Freight'!$E$531),0),0)</f>
        <v>0</v>
      </c>
      <c r="Z440" s="126">
        <f>IF('Assumptions - Freight'!$E$524&lt;&gt;0,IF(AND('Assumptions - Freight'!$E$532=2,Calculations!Z$435&gt;0,Calculations!Z$435&lt;=('Assumptions - Freight'!$E$530-'Assumptions - Freight'!$E$531)),'Assumptions - Freight'!$E$524/('Assumptions - Freight'!$E$530-'Assumptions - Freight'!$E$531),0),0)</f>
        <v>0</v>
      </c>
      <c r="AA440" s="126">
        <f>IF('Assumptions - Freight'!$E$524&lt;&gt;0,IF(AND('Assumptions - Freight'!$E$532=2,Calculations!AA$435&gt;0,Calculations!AA$435&lt;=('Assumptions - Freight'!$E$530-'Assumptions - Freight'!$E$531)),'Assumptions - Freight'!$E$524/('Assumptions - Freight'!$E$530-'Assumptions - Freight'!$E$531),0),0)</f>
        <v>0</v>
      </c>
      <c r="AB440" s="126">
        <f>IF('Assumptions - Freight'!$E$524&lt;&gt;0,IF(AND('Assumptions - Freight'!$E$532=2,Calculations!AB$435&gt;0,Calculations!AB$435&lt;=('Assumptions - Freight'!$E$530-'Assumptions - Freight'!$E$531)),'Assumptions - Freight'!$E$524/('Assumptions - Freight'!$E$530-'Assumptions - Freight'!$E$531),0),0)</f>
        <v>0</v>
      </c>
      <c r="AC440" s="126">
        <f>IF('Assumptions - Freight'!$E$524&lt;&gt;0,IF(AND('Assumptions - Freight'!$E$532=2,Calculations!AC$435&gt;0,Calculations!AC$435&lt;=('Assumptions - Freight'!$E$530-'Assumptions - Freight'!$E$531)),'Assumptions - Freight'!$E$524/('Assumptions - Freight'!$E$530-'Assumptions - Freight'!$E$531),0),0)</f>
        <v>0</v>
      </c>
      <c r="AD440" s="126">
        <f>IF('Assumptions - Freight'!$E$524&lt;&gt;0,IF(AND('Assumptions - Freight'!$E$532=2,Calculations!AD$435&gt;0,Calculations!AD$435&lt;=('Assumptions - Freight'!$E$530-'Assumptions - Freight'!$E$531)),'Assumptions - Freight'!$E$524/('Assumptions - Freight'!$E$530-'Assumptions - Freight'!$E$531),0),0)</f>
        <v>0</v>
      </c>
      <c r="AE440" s="126">
        <f>IF('Assumptions - Freight'!$E$524&lt;&gt;0,IF(AND('Assumptions - Freight'!$E$532=2,Calculations!AE$435&gt;0,Calculations!AE$435&lt;=('Assumptions - Freight'!$E$530-'Assumptions - Freight'!$E$531)),'Assumptions - Freight'!$E$524/('Assumptions - Freight'!$E$530-'Assumptions - Freight'!$E$531),0),0)</f>
        <v>0</v>
      </c>
      <c r="AF440" s="126">
        <f>IF('Assumptions - Freight'!$E$524&lt;&gt;0,IF(AND('Assumptions - Freight'!$E$532=2,Calculations!AF$435&gt;0,Calculations!AF$435&lt;=('Assumptions - Freight'!$E$530-'Assumptions - Freight'!$E$531)),'Assumptions - Freight'!$E$524/('Assumptions - Freight'!$E$530-'Assumptions - Freight'!$E$531),0),0)</f>
        <v>0</v>
      </c>
      <c r="AG440" s="126">
        <f>IF('Assumptions - Freight'!$E$524&lt;&gt;0,IF(AND('Assumptions - Freight'!$E$532=2,Calculations!AG$435&gt;0,Calculations!AG$435&lt;=('Assumptions - Freight'!$E$530-'Assumptions - Freight'!$E$531)),'Assumptions - Freight'!$E$524/('Assumptions - Freight'!$E$530-'Assumptions - Freight'!$E$531),0),0)</f>
        <v>0</v>
      </c>
      <c r="AH440" s="126">
        <f>IF('Assumptions - Freight'!$E$524&lt;&gt;0,IF(AND('Assumptions - Freight'!$E$532=2,Calculations!AH$435&gt;0,Calculations!AH$435&lt;=('Assumptions - Freight'!$E$530-'Assumptions - Freight'!$E$531)),'Assumptions - Freight'!$E$524/('Assumptions - Freight'!$E$530-'Assumptions - Freight'!$E$531),0),0)</f>
        <v>0</v>
      </c>
    </row>
    <row r="441" spans="1:34" s="20" customFormat="1" ht="14" x14ac:dyDescent="0.2">
      <c r="A441" s="8"/>
      <c r="B441" s="125" t="s">
        <v>678</v>
      </c>
      <c r="C441" s="8"/>
      <c r="D441" s="8" t="str">
        <f t="shared" si="179"/>
        <v>R$ millions</v>
      </c>
      <c r="E441" s="126">
        <f>IF('Assumptions - Freight'!$E$524&lt;&gt;0,IF(AND('Assumptions - Freight'!$E532=3,E435&gt;0,E435&lt;=('Assumptions - Freight'!$E$530-'Assumptions - Freight'!$E$531)),E437*D442/SUM(E442:$AH442)-E443,0),0)</f>
        <v>0</v>
      </c>
      <c r="F441" s="126">
        <f>IF('Assumptions - Freight'!$E$524&lt;&gt;0,IF(AND('Assumptions - Freight'!$E532=3,F435&gt;0,F435&lt;=('Assumptions - Freight'!$E$530-'Assumptions - Freight'!$E$531)),F437*E442/SUM(F442:$AH442)-F443,0),0)</f>
        <v>0</v>
      </c>
      <c r="G441" s="126">
        <f>IF('Assumptions - Freight'!$E$524&lt;&gt;0,IF(AND('Assumptions - Freight'!$E532=3,G435&gt;0,G435&lt;=('Assumptions - Freight'!$E$530-'Assumptions - Freight'!$E$531)),G437*F442/SUM(G442:$AH442)-G443,0),0)</f>
        <v>0</v>
      </c>
      <c r="H441" s="126">
        <f>IF('Assumptions - Freight'!$E$524&lt;&gt;0,IF(AND('Assumptions - Freight'!$E532=3,H435&gt;0,H435&lt;=('Assumptions - Freight'!$E$530-'Assumptions - Freight'!$E$531)),H437*G442/SUM(H442:$AH442)-H443,0),0)</f>
        <v>0</v>
      </c>
      <c r="I441" s="126">
        <f>IF('Assumptions - Freight'!$E$524&lt;&gt;0,IF(AND('Assumptions - Freight'!$E532=3,I435&gt;0,I435&lt;=('Assumptions - Freight'!$E$530-'Assumptions - Freight'!$E$531)),I437*H442/SUM(I442:$AH442)-I443,0),0)</f>
        <v>0</v>
      </c>
      <c r="J441" s="126">
        <f>IF('Assumptions - Freight'!$E$524&lt;&gt;0,IF(AND('Assumptions - Freight'!$E532=3,J435&gt;0,J435&lt;=('Assumptions - Freight'!$E$530-'Assumptions - Freight'!$E$531)),J437*I442/SUM(J442:$AH442)-J443,0),0)</f>
        <v>0</v>
      </c>
      <c r="K441" s="126">
        <f>IF('Assumptions - Freight'!$E$524&lt;&gt;0,IF(AND('Assumptions - Freight'!$E532=3,K435&gt;0,K435&lt;=('Assumptions - Freight'!$E$530-'Assumptions - Freight'!$E$531)),K437*J442/SUM(K442:$AH442)-K443,0),0)</f>
        <v>0</v>
      </c>
      <c r="L441" s="126">
        <f>IF('Assumptions - Freight'!$E$524&lt;&gt;0,IF(AND('Assumptions - Freight'!$E532=3,L435&gt;0,L435&lt;=('Assumptions - Freight'!$E$530-'Assumptions - Freight'!$E$531)),L437*K442/SUM(L442:$AH442)-L443,0),0)</f>
        <v>0</v>
      </c>
      <c r="M441" s="126">
        <f>IF('Assumptions - Freight'!$E$524&lt;&gt;0,IF(AND('Assumptions - Freight'!$E532=3,M435&gt;0,M435&lt;=('Assumptions - Freight'!$E$530-'Assumptions - Freight'!$E$531)),M437*L442/SUM(M442:$AH442)-M443,0),0)</f>
        <v>0</v>
      </c>
      <c r="N441" s="126">
        <f>IF('Assumptions - Freight'!$E$524&lt;&gt;0,IF(AND('Assumptions - Freight'!$E532=3,N435&gt;0,N435&lt;=('Assumptions - Freight'!$E$530-'Assumptions - Freight'!$E$531)),N437*M442/SUM(N442:$AH442)-N443,0),0)</f>
        <v>0</v>
      </c>
      <c r="O441" s="126">
        <f>IF('Assumptions - Freight'!$E$524&lt;&gt;0,IF(AND('Assumptions - Freight'!$E532=3,O435&gt;0,O435&lt;=('Assumptions - Freight'!$E$530-'Assumptions - Freight'!$E$531)),O437*N442/SUM(O442:$AH442)-O443,0),0)</f>
        <v>0</v>
      </c>
      <c r="P441" s="126">
        <f>IF('Assumptions - Freight'!$E$524&lt;&gt;0,IF(AND('Assumptions - Freight'!$E532=3,P435&gt;0,P435&lt;=('Assumptions - Freight'!$E$530-'Assumptions - Freight'!$E$531)),P437*O442/SUM(P442:$AH442)-P443,0),0)</f>
        <v>0</v>
      </c>
      <c r="Q441" s="126">
        <f>IF('Assumptions - Freight'!$E$524&lt;&gt;0,IF(AND('Assumptions - Freight'!$E532=3,Q435&gt;0,Q435&lt;=('Assumptions - Freight'!$E$530-'Assumptions - Freight'!$E$531)),Q437*P442/SUM(Q442:$AH442)-Q443,0),0)</f>
        <v>0</v>
      </c>
      <c r="R441" s="126">
        <f>IF('Assumptions - Freight'!$E$524&lt;&gt;0,IF(AND('Assumptions - Freight'!$E532=3,R435&gt;0,R435&lt;=('Assumptions - Freight'!$E$530-'Assumptions - Freight'!$E$531)),R437*Q442/SUM(R442:$AH442)-R443,0),0)</f>
        <v>0</v>
      </c>
      <c r="S441" s="126">
        <f>IF('Assumptions - Freight'!$E$524&lt;&gt;0,IF(AND('Assumptions - Freight'!$E532=3,S435&gt;0,S435&lt;=('Assumptions - Freight'!$E$530-'Assumptions - Freight'!$E$531)),S437*R442/SUM(S442:$AH442)-S443,0),0)</f>
        <v>0</v>
      </c>
      <c r="T441" s="126">
        <f>IF('Assumptions - Freight'!$E$524&lt;&gt;0,IF(AND('Assumptions - Freight'!$E532=3,T435&gt;0,T435&lt;=('Assumptions - Freight'!$E$530-'Assumptions - Freight'!$E$531)),T437*S442/SUM(T442:$AH442)-T443,0),0)</f>
        <v>0</v>
      </c>
      <c r="U441" s="126">
        <f>IF('Assumptions - Freight'!$E$524&lt;&gt;0,IF(AND('Assumptions - Freight'!$E532=3,U435&gt;0,U435&lt;=('Assumptions - Freight'!$E$530-'Assumptions - Freight'!$E$531)),U437*T442/SUM(U442:$AH442)-U443,0),0)</f>
        <v>0</v>
      </c>
      <c r="V441" s="126">
        <f>IF('Assumptions - Freight'!$E$524&lt;&gt;0,IF(AND('Assumptions - Freight'!$E532=3,V435&gt;0,V435&lt;=('Assumptions - Freight'!$E$530-'Assumptions - Freight'!$E$531)),V437*U442/SUM(V442:$AH442)-V443,0),0)</f>
        <v>0</v>
      </c>
      <c r="W441" s="126">
        <f>IF('Assumptions - Freight'!$E$524&lt;&gt;0,IF(AND('Assumptions - Freight'!$E532=3,W435&gt;0,W435&lt;=('Assumptions - Freight'!$E$530-'Assumptions - Freight'!$E$531)),W437*V442/SUM(W442:$AH442)-W443,0),0)</f>
        <v>0</v>
      </c>
      <c r="X441" s="126">
        <f>IF('Assumptions - Freight'!$E$524&lt;&gt;0,IF(AND('Assumptions - Freight'!$E532=3,X435&gt;0,X435&lt;=('Assumptions - Freight'!$E$530-'Assumptions - Freight'!$E$531)),X437*W442/SUM(X442:$AH442)-X443,0),0)</f>
        <v>0</v>
      </c>
      <c r="Y441" s="126">
        <f>IF('Assumptions - Freight'!$E$524&lt;&gt;0,IF(AND('Assumptions - Freight'!$E532=3,Y435&gt;0,Y435&lt;=('Assumptions - Freight'!$E$530-'Assumptions - Freight'!$E$531)),Y437*X442/SUM(Y442:$AH442)-Y443,0),0)</f>
        <v>0</v>
      </c>
      <c r="Z441" s="126">
        <f>IF('Assumptions - Freight'!$E$524&lt;&gt;0,IF(AND('Assumptions - Freight'!$E532=3,Z435&gt;0,Z435&lt;=('Assumptions - Freight'!$E$530-'Assumptions - Freight'!$E$531)),Z437*Y442/SUM(Z442:$AH442)-Z443,0),0)</f>
        <v>0</v>
      </c>
      <c r="AA441" s="126">
        <f>IF('Assumptions - Freight'!$E$524&lt;&gt;0,IF(AND('Assumptions - Freight'!$E532=3,AA435&gt;0,AA435&lt;=('Assumptions - Freight'!$E$530-'Assumptions - Freight'!$E$531)),AA437*Z442/SUM(AA442:$AH442)-AA443,0),0)</f>
        <v>0</v>
      </c>
      <c r="AB441" s="126">
        <f>IF('Assumptions - Freight'!$E$524&lt;&gt;0,IF(AND('Assumptions - Freight'!$E532=3,AB435&gt;0,AB435&lt;=('Assumptions - Freight'!$E$530-'Assumptions - Freight'!$E$531)),AB437*AA442/SUM(AB442:$AH442)-AB443,0),0)</f>
        <v>0</v>
      </c>
      <c r="AC441" s="126">
        <f>IF('Assumptions - Freight'!$E$524&lt;&gt;0,IF(AND('Assumptions - Freight'!$E532=3,AC435&gt;0,AC435&lt;=('Assumptions - Freight'!$E$530-'Assumptions - Freight'!$E$531)),AC437*AB442/SUM(AC442:$AH442)-AC443,0),0)</f>
        <v>0</v>
      </c>
      <c r="AD441" s="126">
        <f>IF('Assumptions - Freight'!$E$524&lt;&gt;0,IF(AND('Assumptions - Freight'!$E532=3,AD435&gt;0,AD435&lt;=('Assumptions - Freight'!$E$530-'Assumptions - Freight'!$E$531)),AD437*AC442/SUM(AD442:$AH442)-AD443,0),0)</f>
        <v>0</v>
      </c>
      <c r="AE441" s="126">
        <f>IF('Assumptions - Freight'!$E$524&lt;&gt;0,IF(AND('Assumptions - Freight'!$E532=3,AE435&gt;0,AE435&lt;=('Assumptions - Freight'!$E$530-'Assumptions - Freight'!$E$531)),AE437*AD442/SUM(AE442:$AH442)-AE443,0),0)</f>
        <v>0</v>
      </c>
      <c r="AF441" s="126">
        <f>IF('Assumptions - Freight'!$E$524&lt;&gt;0,IF(AND('Assumptions - Freight'!$E532=3,AF435&gt;0,AF435&lt;=('Assumptions - Freight'!$E$530-'Assumptions - Freight'!$E$531)),AF437*AE442/SUM(AF442:$AH442)-AF443,0),0)</f>
        <v>0</v>
      </c>
      <c r="AG441" s="126">
        <f>IF('Assumptions - Freight'!$E$524&lt;&gt;0,IF(AND('Assumptions - Freight'!$E532=3,AG435&gt;0,AG435&lt;=('Assumptions - Freight'!$E$530-'Assumptions - Freight'!$E$531)),AG437*AF442/SUM(AG442:$AH442)-AG443,0),0)</f>
        <v>0</v>
      </c>
      <c r="AH441" s="126">
        <f>IF('Assumptions - Freight'!$E$524&lt;&gt;0,IF(AND('Assumptions - Freight'!$E532=3,AH435&gt;0,AH435&lt;=('Assumptions - Freight'!$E$530-'Assumptions - Freight'!$E$531)),AH437*AG442/SUM(AH442:$AH442)-AH443,0),0)</f>
        <v>0</v>
      </c>
    </row>
    <row r="442" spans="1:34" s="20" customFormat="1" ht="14" x14ac:dyDescent="0.2">
      <c r="B442" s="127" t="s">
        <v>677</v>
      </c>
      <c r="D442" s="87">
        <v>1</v>
      </c>
      <c r="E442" s="126">
        <f>IF('Assumptions - Freight'!$E$524&lt;&gt;0,IF(AND('Assumptions - Freight'!$E532=3,E435&lt;=('Assumptions - Freight'!$E$530-'Assumptions - Freight'!$E$531)),D442/(1+E436),0),0)</f>
        <v>0</v>
      </c>
      <c r="F442" s="126">
        <f>IF('Assumptions - Freight'!$E$524&lt;&gt;0,IF(AND('Assumptions - Freight'!$E532=3,F435&lt;=('Assumptions - Freight'!$E$530-'Assumptions - Freight'!$E$531)),E442/(1+F436),0),0)</f>
        <v>0</v>
      </c>
      <c r="G442" s="126">
        <f>IF('Assumptions - Freight'!$E$524&lt;&gt;0,IF(AND('Assumptions - Freight'!$E532=3,G435&lt;=('Assumptions - Freight'!$E$530-'Assumptions - Freight'!$E$531)),F442/(1+G436),0),0)</f>
        <v>0</v>
      </c>
      <c r="H442" s="126">
        <f>IF('Assumptions - Freight'!$E$524&lt;&gt;0,IF(AND('Assumptions - Freight'!$E532=3,H435&lt;=('Assumptions - Freight'!$E$530-'Assumptions - Freight'!$E$531)),G442/(1+H436),0),0)</f>
        <v>0</v>
      </c>
      <c r="I442" s="126">
        <f>IF('Assumptions - Freight'!$E$524&lt;&gt;0,IF(AND('Assumptions - Freight'!$E532=3,I435&lt;=('Assumptions - Freight'!$E$530-'Assumptions - Freight'!$E$531)),H442/(1+I436),0),0)</f>
        <v>0</v>
      </c>
      <c r="J442" s="126">
        <f>IF('Assumptions - Freight'!$E$524&lt;&gt;0,IF(AND('Assumptions - Freight'!$E532=3,J435&lt;=('Assumptions - Freight'!$E$530-'Assumptions - Freight'!$E$531)),I442/(1+J436),0),0)</f>
        <v>0</v>
      </c>
      <c r="K442" s="126">
        <f>IF('Assumptions - Freight'!$E$524&lt;&gt;0,IF(AND('Assumptions - Freight'!$E532=3,K435&lt;=('Assumptions - Freight'!$E$530-'Assumptions - Freight'!$E$531)),J442/(1+K436),0),0)</f>
        <v>0</v>
      </c>
      <c r="L442" s="126">
        <f>IF('Assumptions - Freight'!$E$524&lt;&gt;0,IF(AND('Assumptions - Freight'!$E532=3,L435&lt;=('Assumptions - Freight'!$E$530-'Assumptions - Freight'!$E$531)),K442/(1+L436),0),0)</f>
        <v>0</v>
      </c>
      <c r="M442" s="126">
        <f>IF('Assumptions - Freight'!$E$524&lt;&gt;0,IF(AND('Assumptions - Freight'!$E532=3,M435&lt;=('Assumptions - Freight'!$E$530-'Assumptions - Freight'!$E$531)),L442/(1+M436),0),0)</f>
        <v>0</v>
      </c>
      <c r="N442" s="126">
        <f>IF('Assumptions - Freight'!$E$524&lt;&gt;0,IF(AND('Assumptions - Freight'!$E532=3,N435&lt;=('Assumptions - Freight'!$E$530-'Assumptions - Freight'!$E$531)),M442/(1+N436),0),0)</f>
        <v>0</v>
      </c>
      <c r="O442" s="126">
        <f>IF('Assumptions - Freight'!$E$524&lt;&gt;0,IF(AND('Assumptions - Freight'!$E532=3,O435&lt;=('Assumptions - Freight'!$E$530-'Assumptions - Freight'!$E$531)),N442/(1+O436),0),0)</f>
        <v>0</v>
      </c>
      <c r="P442" s="126">
        <f>IF('Assumptions - Freight'!$E$524&lt;&gt;0,IF(AND('Assumptions - Freight'!$E532=3,P435&lt;=('Assumptions - Freight'!$E$530-'Assumptions - Freight'!$E$531)),O442/(1+P436),0),0)</f>
        <v>0</v>
      </c>
      <c r="Q442" s="126">
        <f>IF('Assumptions - Freight'!$E$524&lt;&gt;0,IF(AND('Assumptions - Freight'!$E532=3,Q435&lt;=('Assumptions - Freight'!$E$530-'Assumptions - Freight'!$E$531)),P442/(1+Q436),0),0)</f>
        <v>0</v>
      </c>
      <c r="R442" s="126">
        <f>IF('Assumptions - Freight'!$E$524&lt;&gt;0,IF(AND('Assumptions - Freight'!$E532=3,R435&lt;=('Assumptions - Freight'!$E$530-'Assumptions - Freight'!$E$531)),Q442/(1+R436),0),0)</f>
        <v>0</v>
      </c>
      <c r="S442" s="126">
        <f>IF('Assumptions - Freight'!$E$524&lt;&gt;0,IF(AND('Assumptions - Freight'!$E532=3,S435&lt;=('Assumptions - Freight'!$E$530-'Assumptions - Freight'!$E$531)),R442/(1+S436),0),0)</f>
        <v>0</v>
      </c>
      <c r="T442" s="126">
        <f>IF('Assumptions - Freight'!$E$524&lt;&gt;0,IF(AND('Assumptions - Freight'!$E532=3,T435&lt;=('Assumptions - Freight'!$E$530-'Assumptions - Freight'!$E$531)),S442/(1+T436),0),0)</f>
        <v>0</v>
      </c>
      <c r="U442" s="126">
        <f>IF('Assumptions - Freight'!$E$524&lt;&gt;0,IF(AND('Assumptions - Freight'!$E532=3,U435&lt;=('Assumptions - Freight'!$E$530-'Assumptions - Freight'!$E$531)),T442/(1+U436),0),0)</f>
        <v>0</v>
      </c>
      <c r="V442" s="126">
        <f>IF('Assumptions - Freight'!$E$524&lt;&gt;0,IF(AND('Assumptions - Freight'!$E532=3,V435&lt;=('Assumptions - Freight'!$E$530-'Assumptions - Freight'!$E$531)),U442/(1+V436),0),0)</f>
        <v>0</v>
      </c>
      <c r="W442" s="126">
        <f>IF('Assumptions - Freight'!$E$524&lt;&gt;0,IF(AND('Assumptions - Freight'!$E532=3,W435&lt;=('Assumptions - Freight'!$E$530-'Assumptions - Freight'!$E$531)),V442/(1+W436),0),0)</f>
        <v>0</v>
      </c>
      <c r="X442" s="126">
        <f>IF('Assumptions - Freight'!$E$524&lt;&gt;0,IF(AND('Assumptions - Freight'!$E532=3,X435&lt;=('Assumptions - Freight'!$E$530-'Assumptions - Freight'!$E$531)),W442/(1+X436),0),0)</f>
        <v>0</v>
      </c>
      <c r="Y442" s="126">
        <f>IF('Assumptions - Freight'!$E$524&lt;&gt;0,IF(AND('Assumptions - Freight'!$E532=3,Y435&lt;=('Assumptions - Freight'!$E$530-'Assumptions - Freight'!$E$531)),X442/(1+Y436),0),0)</f>
        <v>0</v>
      </c>
      <c r="Z442" s="126">
        <f>IF('Assumptions - Freight'!$E$524&lt;&gt;0,IF(AND('Assumptions - Freight'!$E532=3,Z435&lt;=('Assumptions - Freight'!$E$530-'Assumptions - Freight'!$E$531)),Y442/(1+Z436),0),0)</f>
        <v>0</v>
      </c>
      <c r="AA442" s="126">
        <f>IF('Assumptions - Freight'!$E$524&lt;&gt;0,IF(AND('Assumptions - Freight'!$E532=3,AA435&lt;=('Assumptions - Freight'!$E$530-'Assumptions - Freight'!$E$531)),Z442/(1+AA436),0),0)</f>
        <v>0</v>
      </c>
      <c r="AB442" s="126">
        <f>IF('Assumptions - Freight'!$E$524&lt;&gt;0,IF(AND('Assumptions - Freight'!$E532=3,AB435&lt;=('Assumptions - Freight'!$E$530-'Assumptions - Freight'!$E$531)),AA442/(1+AB436),0),0)</f>
        <v>0</v>
      </c>
      <c r="AC442" s="126">
        <f>IF('Assumptions - Freight'!$E$524&lt;&gt;0,IF(AND('Assumptions - Freight'!$E532=3,AC435&lt;=('Assumptions - Freight'!$E$530-'Assumptions - Freight'!$E$531)),AB442/(1+AC436),0),0)</f>
        <v>0</v>
      </c>
      <c r="AD442" s="126">
        <f>IF('Assumptions - Freight'!$E$524&lt;&gt;0,IF(AND('Assumptions - Freight'!$E532=3,AD435&lt;=('Assumptions - Freight'!$E$530-'Assumptions - Freight'!$E$531)),AC442/(1+AD436),0),0)</f>
        <v>0</v>
      </c>
      <c r="AE442" s="126">
        <f>IF('Assumptions - Freight'!$E$524&lt;&gt;0,IF(AND('Assumptions - Freight'!$E532=3,AE435&lt;=('Assumptions - Freight'!$E$530-'Assumptions - Freight'!$E$531)),AD442/(1+AE436),0),0)</f>
        <v>0</v>
      </c>
      <c r="AF442" s="126">
        <f>IF('Assumptions - Freight'!$E$524&lt;&gt;0,IF(AND('Assumptions - Freight'!$E532=3,AF435&lt;=('Assumptions - Freight'!$E$530-'Assumptions - Freight'!$E$531)),AE442/(1+AF436),0),0)</f>
        <v>0</v>
      </c>
      <c r="AG442" s="126">
        <f>IF('Assumptions - Freight'!$E$524&lt;&gt;0,IF(AND('Assumptions - Freight'!$E532=3,AG435&lt;=('Assumptions - Freight'!$E$530-'Assumptions - Freight'!$E$531)),AF442/(1+AG436),0),0)</f>
        <v>0</v>
      </c>
      <c r="AH442" s="126">
        <f>IF('Assumptions - Freight'!$E$524&lt;&gt;0,IF(AND('Assumptions - Freight'!$E532=3,AH435&lt;=('Assumptions - Freight'!$E$530-'Assumptions - Freight'!$E$531)),AG442/(1+AH436),0),0)</f>
        <v>0</v>
      </c>
    </row>
    <row r="443" spans="1:34" s="20" customFormat="1" ht="14" x14ac:dyDescent="0.2">
      <c r="A443" s="8"/>
      <c r="B443" s="125" t="s">
        <v>679</v>
      </c>
      <c r="C443" s="8"/>
      <c r="D443" s="8" t="str">
        <f>D440</f>
        <v>R$ millions</v>
      </c>
      <c r="E443" s="126">
        <f>IF('Assumptions - Freight'!$E$524&lt;&gt;0,IF('Assumptions - Freight'!$E$532=3,E436*E437,0),0)</f>
        <v>0</v>
      </c>
      <c r="F443" s="126">
        <f>IF('Assumptions - Freight'!$E$524&lt;&gt;0,IF('Assumptions - Freight'!$E$532=3,F436*F437,0),0)</f>
        <v>0</v>
      </c>
      <c r="G443" s="126">
        <f>IF('Assumptions - Freight'!$E$524&lt;&gt;0,IF('Assumptions - Freight'!$E$532=3,G436*G437,0),0)</f>
        <v>0</v>
      </c>
      <c r="H443" s="126">
        <f>IF('Assumptions - Freight'!$E$524&lt;&gt;0,IF('Assumptions - Freight'!$E$532=3,H436*H437,0),0)</f>
        <v>0</v>
      </c>
      <c r="I443" s="126">
        <f>IF('Assumptions - Freight'!$E$524&lt;&gt;0,IF('Assumptions - Freight'!$E$532=3,I436*I437,0),0)</f>
        <v>0</v>
      </c>
      <c r="J443" s="126">
        <f>IF('Assumptions - Freight'!$E$524&lt;&gt;0,IF('Assumptions - Freight'!$E$532=3,J436*J437,0),0)</f>
        <v>0</v>
      </c>
      <c r="K443" s="126">
        <f>IF('Assumptions - Freight'!$E$524&lt;&gt;0,IF('Assumptions - Freight'!$E$532=3,K436*K437,0),0)</f>
        <v>0</v>
      </c>
      <c r="L443" s="126">
        <f>IF('Assumptions - Freight'!$E$524&lt;&gt;0,IF('Assumptions - Freight'!$E$532=3,L436*L437,0),0)</f>
        <v>0</v>
      </c>
      <c r="M443" s="126">
        <f>IF('Assumptions - Freight'!$E$524&lt;&gt;0,IF('Assumptions - Freight'!$E$532=3,M436*M437,0),0)</f>
        <v>0</v>
      </c>
      <c r="N443" s="126">
        <f>IF('Assumptions - Freight'!$E$524&lt;&gt;0,IF('Assumptions - Freight'!$E$532=3,N436*N437,0),0)</f>
        <v>0</v>
      </c>
      <c r="O443" s="126">
        <f>IF('Assumptions - Freight'!$E$524&lt;&gt;0,IF('Assumptions - Freight'!$E$532=3,O436*O437,0),0)</f>
        <v>0</v>
      </c>
      <c r="P443" s="126">
        <f>IF('Assumptions - Freight'!$E$524&lt;&gt;0,IF('Assumptions - Freight'!$E$532=3,P436*P437,0),0)</f>
        <v>0</v>
      </c>
      <c r="Q443" s="126">
        <f>IF('Assumptions - Freight'!$E$524&lt;&gt;0,IF('Assumptions - Freight'!$E$532=3,Q436*Q437,0),0)</f>
        <v>0</v>
      </c>
      <c r="R443" s="126">
        <f>IF('Assumptions - Freight'!$E$524&lt;&gt;0,IF('Assumptions - Freight'!$E$532=3,R436*R437,0),0)</f>
        <v>0</v>
      </c>
      <c r="S443" s="126">
        <f>IF('Assumptions - Freight'!$E$524&lt;&gt;0,IF('Assumptions - Freight'!$E$532=3,S436*S437,0),0)</f>
        <v>0</v>
      </c>
      <c r="T443" s="126">
        <f>IF('Assumptions - Freight'!$E$524&lt;&gt;0,IF('Assumptions - Freight'!$E$532=3,T436*T437,0),0)</f>
        <v>0</v>
      </c>
      <c r="U443" s="126">
        <f>IF('Assumptions - Freight'!$E$524&lt;&gt;0,IF('Assumptions - Freight'!$E$532=3,U436*U437,0),0)</f>
        <v>0</v>
      </c>
      <c r="V443" s="126">
        <f>IF('Assumptions - Freight'!$E$524&lt;&gt;0,IF('Assumptions - Freight'!$E$532=3,V436*V437,0),0)</f>
        <v>0</v>
      </c>
      <c r="W443" s="126">
        <f>IF('Assumptions - Freight'!$E$524&lt;&gt;0,IF('Assumptions - Freight'!$E$532=3,W436*W437,0),0)</f>
        <v>0</v>
      </c>
      <c r="X443" s="126">
        <f>IF('Assumptions - Freight'!$E$524&lt;&gt;0,IF('Assumptions - Freight'!$E$532=3,X436*X437,0),0)</f>
        <v>0</v>
      </c>
      <c r="Y443" s="126">
        <f>IF('Assumptions - Freight'!$E$524&lt;&gt;0,IF('Assumptions - Freight'!$E$532=3,Y436*Y437,0),0)</f>
        <v>0</v>
      </c>
      <c r="Z443" s="126">
        <f>IF('Assumptions - Freight'!$E$524&lt;&gt;0,IF('Assumptions - Freight'!$E$532=3,Z436*Z437,0),0)</f>
        <v>0</v>
      </c>
      <c r="AA443" s="126">
        <f>IF('Assumptions - Freight'!$E$524&lt;&gt;0,IF('Assumptions - Freight'!$E$532=3,AA436*AA437,0),0)</f>
        <v>0</v>
      </c>
      <c r="AB443" s="126">
        <f>IF('Assumptions - Freight'!$E$524&lt;&gt;0,IF('Assumptions - Freight'!$E$532=3,AB436*AB437,0),0)</f>
        <v>0</v>
      </c>
      <c r="AC443" s="126">
        <f>IF('Assumptions - Freight'!$E$524&lt;&gt;0,IF('Assumptions - Freight'!$E$532=3,AC436*AC437,0),0)</f>
        <v>0</v>
      </c>
      <c r="AD443" s="126">
        <f>IF('Assumptions - Freight'!$E$524&lt;&gt;0,IF('Assumptions - Freight'!$E$532=3,AD436*AD437,0),0)</f>
        <v>0</v>
      </c>
      <c r="AE443" s="126">
        <f>IF('Assumptions - Freight'!$E$524&lt;&gt;0,IF('Assumptions - Freight'!$E$532=3,AE436*AE437,0),0)</f>
        <v>0</v>
      </c>
      <c r="AF443" s="126">
        <f>IF('Assumptions - Freight'!$E$524&lt;&gt;0,IF('Assumptions - Freight'!$E$532=3,AF436*AF437,0),0)</f>
        <v>0</v>
      </c>
      <c r="AG443" s="126">
        <f>IF('Assumptions - Freight'!$E$524&lt;&gt;0,IF('Assumptions - Freight'!$E$532=3,AG436*AG437,0),0)</f>
        <v>0</v>
      </c>
      <c r="AH443" s="126">
        <f>IF('Assumptions - Freight'!$E$524&lt;&gt;0,IF('Assumptions - Freight'!$E$532=3,AH436*AH437,0),0)</f>
        <v>0</v>
      </c>
    </row>
    <row r="444" spans="1:34" s="20" customFormat="1" ht="14" x14ac:dyDescent="0.2">
      <c r="A444" s="8"/>
      <c r="B444" s="8" t="s">
        <v>137</v>
      </c>
      <c r="C444" s="8"/>
      <c r="D444" s="8" t="str">
        <f t="shared" si="179"/>
        <v>R$ millions</v>
      </c>
      <c r="E444" s="126">
        <f>IF(E$16=1,IF('Assumptions - Freight'!$E$524&gt;0,'Assumptions - Freight'!E525,0),0)</f>
        <v>0</v>
      </c>
      <c r="F444" s="126">
        <f>IF(F$16=1,IF('Assumptions - Freight'!$E$524&gt;0,'Assumptions - Freight'!F525,0),0)</f>
        <v>0</v>
      </c>
      <c r="G444" s="126">
        <f>IF(G$16=1,IF('Assumptions - Freight'!$E$524&gt;0,'Assumptions - Freight'!G525,0),0)</f>
        <v>10</v>
      </c>
      <c r="H444" s="126">
        <f>IF(H$16=1,IF('Assumptions - Freight'!$E$524&gt;0,'Assumptions - Freight'!H525,0),0)</f>
        <v>10</v>
      </c>
      <c r="I444" s="126">
        <f>IF(I$16=1,IF('Assumptions - Freight'!$E$524&gt;0,'Assumptions - Freight'!I525,0),0)</f>
        <v>10</v>
      </c>
      <c r="J444" s="126">
        <f>IF(J$16=1,IF('Assumptions - Freight'!$E$524&gt;0,'Assumptions - Freight'!J525,0),0)</f>
        <v>10</v>
      </c>
      <c r="K444" s="126">
        <f>IF(K$16=1,IF('Assumptions - Freight'!$E$524&gt;0,'Assumptions - Freight'!K525,0),0)</f>
        <v>10</v>
      </c>
      <c r="L444" s="126">
        <f>IF(L$16=1,IF('Assumptions - Freight'!$E$524&gt;0,'Assumptions - Freight'!L525,0),0)</f>
        <v>0</v>
      </c>
      <c r="M444" s="126">
        <f>IF(M$16=1,IF('Assumptions - Freight'!$E$524&gt;0,'Assumptions - Freight'!M525,0),0)</f>
        <v>0</v>
      </c>
      <c r="N444" s="126">
        <f>IF(N$16=1,IF('Assumptions - Freight'!$E$524&gt;0,'Assumptions - Freight'!N525,0),0)</f>
        <v>0</v>
      </c>
      <c r="O444" s="126">
        <f>IF(O$16=1,IF('Assumptions - Freight'!$E$524&gt;0,'Assumptions - Freight'!O525,0),0)</f>
        <v>0</v>
      </c>
      <c r="P444" s="126">
        <f>IF(P$16=1,IF('Assumptions - Freight'!$E$524&gt;0,'Assumptions - Freight'!P525,0),0)</f>
        <v>0</v>
      </c>
      <c r="Q444" s="126">
        <f>IF(Q$16=1,IF('Assumptions - Freight'!$E$524&gt;0,'Assumptions - Freight'!Q525,0),0)</f>
        <v>0</v>
      </c>
      <c r="R444" s="126">
        <f>IF(R$16=1,IF('Assumptions - Freight'!$E$524&gt;0,'Assumptions - Freight'!R525,0),0)</f>
        <v>0</v>
      </c>
      <c r="S444" s="126">
        <f>IF(S$16=1,IF('Assumptions - Freight'!$E$524&gt;0,'Assumptions - Freight'!S525,0),0)</f>
        <v>0</v>
      </c>
      <c r="T444" s="126">
        <f>IF(T$16=1,IF('Assumptions - Freight'!$E$524&gt;0,'Assumptions - Freight'!T525,0),0)</f>
        <v>0</v>
      </c>
      <c r="U444" s="126">
        <f>IF(U$16=1,IF('Assumptions - Freight'!$E$524&gt;0,'Assumptions - Freight'!U525,0),0)</f>
        <v>0</v>
      </c>
      <c r="V444" s="126">
        <f>IF(V$16=1,IF('Assumptions - Freight'!$E$524&gt;0,'Assumptions - Freight'!V525,0),0)</f>
        <v>0</v>
      </c>
      <c r="W444" s="126">
        <f>IF(W$16=1,IF('Assumptions - Freight'!$E$524&gt;0,'Assumptions - Freight'!W525,0),0)</f>
        <v>0</v>
      </c>
      <c r="X444" s="126">
        <f>IF(X$16=1,IF('Assumptions - Freight'!$E$524&gt;0,'Assumptions - Freight'!X525,0),0)</f>
        <v>0</v>
      </c>
      <c r="Y444" s="126">
        <f>IF(Y$16=1,IF('Assumptions - Freight'!$E$524&gt;0,'Assumptions - Freight'!Y525,0),0)</f>
        <v>0</v>
      </c>
      <c r="Z444" s="126">
        <f>IF(Z$16=1,IF('Assumptions - Freight'!$E$524&gt;0,'Assumptions - Freight'!Z525,0),0)</f>
        <v>0</v>
      </c>
      <c r="AA444" s="126">
        <f>IF(AA$16=1,IF('Assumptions - Freight'!$E$524&gt;0,'Assumptions - Freight'!AA525,0),0)</f>
        <v>0</v>
      </c>
      <c r="AB444" s="126">
        <f>IF(AB$16=1,IF('Assumptions - Freight'!$E$524&gt;0,'Assumptions - Freight'!AB525,0),0)</f>
        <v>0</v>
      </c>
      <c r="AC444" s="126">
        <f>IF(AC$16=1,IF('Assumptions - Freight'!$E$524&gt;0,'Assumptions - Freight'!AC525,0),0)</f>
        <v>0</v>
      </c>
      <c r="AD444" s="126">
        <f>IF(AD$16=1,IF('Assumptions - Freight'!$E$524&gt;0,'Assumptions - Freight'!AD525,0),0)</f>
        <v>0</v>
      </c>
      <c r="AE444" s="126">
        <f>IF(AE$16=1,IF('Assumptions - Freight'!$E$524&gt;0,'Assumptions - Freight'!AE525,0),0)</f>
        <v>0</v>
      </c>
      <c r="AF444" s="126">
        <f>IF(AF$16=1,IF('Assumptions - Freight'!$E$524&gt;0,'Assumptions - Freight'!AF525,0),0)</f>
        <v>0</v>
      </c>
      <c r="AG444" s="126">
        <f>IF(AG$16=1,IF('Assumptions - Freight'!$E$524&gt;0,'Assumptions - Freight'!AG525,0),0)</f>
        <v>0</v>
      </c>
      <c r="AH444" s="126">
        <f>IF(AH$16=1,IF('Assumptions - Freight'!$E$524&gt;0,'Assumptions - Freight'!AH525,0),0)</f>
        <v>0</v>
      </c>
    </row>
    <row r="445" spans="1:34" s="20" customFormat="1" ht="14" x14ac:dyDescent="0.2">
      <c r="A445" s="8"/>
      <c r="B445" s="8" t="s">
        <v>138</v>
      </c>
      <c r="C445" s="8"/>
      <c r="D445" s="8" t="str">
        <f t="shared" si="179"/>
        <v>R$ millions</v>
      </c>
      <c r="E445" s="126">
        <f>IF(E$16=1,IF('Assumptions - Freight'!$E$524&lt;&gt;0,E437-E438+E444,0),0)</f>
        <v>0</v>
      </c>
      <c r="F445" s="126">
        <f>IF(F$16=1,IF('Assumptions - Freight'!$E$524&lt;&gt;0,F437-F438+F444,0),0)</f>
        <v>0</v>
      </c>
      <c r="G445" s="126">
        <f>IF(G$16=1,IF('Assumptions - Freight'!$E$524&lt;&gt;0,G437-G438+G444,0),0)</f>
        <v>10</v>
      </c>
      <c r="H445" s="126">
        <f>IF(H$16=1,IF('Assumptions - Freight'!$E$524&lt;&gt;0,H437-H438+H444,0),0)</f>
        <v>20</v>
      </c>
      <c r="I445" s="126">
        <f>IF(I$16=1,IF('Assumptions - Freight'!$E$524&lt;&gt;0,I437-I438+I444,0),0)</f>
        <v>30</v>
      </c>
      <c r="J445" s="126">
        <f>IF(J$16=1,IF('Assumptions - Freight'!$E$524&lt;&gt;0,J437-J438+J444,0),0)</f>
        <v>40</v>
      </c>
      <c r="K445" s="126">
        <f>IF(K$16=1,IF('Assumptions - Freight'!$E$524&lt;&gt;0,K437-K438+K444,0),0)</f>
        <v>50</v>
      </c>
      <c r="L445" s="126">
        <f>IF(L$16=1,IF('Assumptions - Freight'!$E$524&lt;&gt;0,L437-L438+L444,0),0)</f>
        <v>50</v>
      </c>
      <c r="M445" s="126">
        <f>IF(M$16=1,IF('Assumptions - Freight'!$E$524&lt;&gt;0,M437-M438+M444,0),0)</f>
        <v>50</v>
      </c>
      <c r="N445" s="126">
        <f>IF(N$16=1,IF('Assumptions - Freight'!$E$524&lt;&gt;0,N437-N438+N444,0),0)</f>
        <v>50</v>
      </c>
      <c r="O445" s="126">
        <f>IF(O$16=1,IF('Assumptions - Freight'!$E$524&lt;&gt;0,O437-O438+O444,0),0)</f>
        <v>50</v>
      </c>
      <c r="P445" s="126">
        <f>IF(P$16=1,IF('Assumptions - Freight'!$E$524&lt;&gt;0,P437-P438+P444,0),0)</f>
        <v>50</v>
      </c>
      <c r="Q445" s="126">
        <f>IF(Q$16=1,IF('Assumptions - Freight'!$E$524&lt;&gt;0,Q437-Q438+Q444,0),0)</f>
        <v>50</v>
      </c>
      <c r="R445" s="126">
        <f>IF(R$16=1,IF('Assumptions - Freight'!$E$524&lt;&gt;0,R437-R438+R444,0),0)</f>
        <v>50</v>
      </c>
      <c r="S445" s="126">
        <f>IF(S$16=1,IF('Assumptions - Freight'!$E$524&lt;&gt;0,S437-S438+S444,0),0)</f>
        <v>50</v>
      </c>
      <c r="T445" s="126">
        <f>IF(T$16=1,IF('Assumptions - Freight'!$E$524&lt;&gt;0,T437-T438+T444,0),0)</f>
        <v>50</v>
      </c>
      <c r="U445" s="126">
        <f>IF(U$16=1,IF('Assumptions - Freight'!$E$524&lt;&gt;0,U437-U438+U444,0),0)</f>
        <v>50</v>
      </c>
      <c r="V445" s="126">
        <f>IF(V$16=1,IF('Assumptions - Freight'!$E$524&lt;&gt;0,V437-V438+V444,0),0)</f>
        <v>50</v>
      </c>
      <c r="W445" s="126">
        <f>IF(W$16=1,IF('Assumptions - Freight'!$E$524&lt;&gt;0,W437-W438+W444,0),0)</f>
        <v>50</v>
      </c>
      <c r="X445" s="126">
        <f>IF(X$16=1,IF('Assumptions - Freight'!$E$524&lt;&gt;0,X437-X438+X444,0),0)</f>
        <v>50</v>
      </c>
      <c r="Y445" s="126">
        <f>IF(Y$16=1,IF('Assumptions - Freight'!$E$524&lt;&gt;0,Y437-Y438+Y444,0),0)</f>
        <v>50</v>
      </c>
      <c r="Z445" s="126">
        <f>IF(Z$16=1,IF('Assumptions - Freight'!$E$524&lt;&gt;0,Z437-Z438+Z444,0),0)</f>
        <v>50</v>
      </c>
      <c r="AA445" s="126">
        <f>IF(AA$16=1,IF('Assumptions - Freight'!$E$524&lt;&gt;0,AA437-AA438+AA444,0),0)</f>
        <v>50</v>
      </c>
      <c r="AB445" s="126">
        <f>IF(AB$16=1,IF('Assumptions - Freight'!$E$524&lt;&gt;0,AB437-AB438+AB444,0),0)</f>
        <v>50</v>
      </c>
      <c r="AC445" s="126">
        <f>IF(AC$16=1,IF('Assumptions - Freight'!$E$524&lt;&gt;0,AC437-AC438+AC444,0),0)</f>
        <v>50</v>
      </c>
      <c r="AD445" s="126">
        <f>IF(AD$16=1,IF('Assumptions - Freight'!$E$524&lt;&gt;0,AD437-AD438+AD444,0),0)</f>
        <v>50</v>
      </c>
      <c r="AE445" s="126">
        <f>IF(AE$16=1,IF('Assumptions - Freight'!$E$524&lt;&gt;0,AE437-AE438+AE444,0),0)</f>
        <v>50</v>
      </c>
      <c r="AF445" s="126">
        <f>IF(AF$16=1,IF('Assumptions - Freight'!$E$524&lt;&gt;0,AF437-AF438+AF444,0),0)</f>
        <v>50</v>
      </c>
      <c r="AG445" s="126">
        <f>IF(AG$16=1,IF('Assumptions - Freight'!$E$524&lt;&gt;0,AG437-AG438+AG444,0),0)</f>
        <v>50</v>
      </c>
      <c r="AH445" s="126">
        <f>IF(AH$16=1,IF('Assumptions - Freight'!$E$524&lt;&gt;0,AH437-AH438+AH444,0),0)</f>
        <v>50</v>
      </c>
    </row>
    <row r="446" spans="1:34" s="20" customFormat="1" ht="14" x14ac:dyDescent="0.2">
      <c r="A446" s="8"/>
      <c r="B446" s="8" t="s">
        <v>139</v>
      </c>
      <c r="C446" s="8"/>
      <c r="D446" s="8" t="str">
        <f t="shared" si="179"/>
        <v>R$ millions</v>
      </c>
      <c r="E446" s="126">
        <f>IF(E$16=1,IF('Assumptions - Freight'!$E$524&lt;&gt;0,IF(AND('Assumptions - Freight'!$E$532=3,E435&gt;0),Calculations!E443,((E437+E445)/2)*E436),0),0)</f>
        <v>0</v>
      </c>
      <c r="F446" s="126">
        <f>IF(F$16=1,IF('Assumptions - Freight'!$E$524&lt;&gt;0,IF(AND('Assumptions - Freight'!$E$532=3,F435&gt;0),Calculations!F443,((F437+F445)/2)*F436),0),0)</f>
        <v>0</v>
      </c>
      <c r="G446" s="126">
        <f>IF(G$16=1,IF('Assumptions - Freight'!$E$524&lt;&gt;0,IF(AND('Assumptions - Freight'!$E$532=3,G435&gt;0),Calculations!G443,((G437+G445)/2)*G436),0),0)</f>
        <v>0.1</v>
      </c>
      <c r="H446" s="126">
        <f>IF(H$16=1,IF('Assumptions - Freight'!$E$524&lt;&gt;0,IF(AND('Assumptions - Freight'!$E$532=3,H435&gt;0),Calculations!H443,((H437+H445)/2)*H436),0),0)</f>
        <v>0.3</v>
      </c>
      <c r="I446" s="126">
        <f>IF(I$16=1,IF('Assumptions - Freight'!$E$524&lt;&gt;0,IF(AND('Assumptions - Freight'!$E$532=3,I435&gt;0),Calculations!I443,((I437+I445)/2)*I436),0),0)</f>
        <v>0.5</v>
      </c>
      <c r="J446" s="126">
        <f>IF('Assumptions - Freight'!$E$524&lt;&gt;0,IF(AND('Assumptions - Freight'!$E$532=3,J435&gt;0),Calculations!J443,((J437+J445)/2)*J436),0)</f>
        <v>0.70000000000000007</v>
      </c>
      <c r="K446" s="126">
        <f>IF('Assumptions - Freight'!$E$524&lt;&gt;0,IF(AND('Assumptions - Freight'!$E$532=3,K435&gt;0),Calculations!K443,((K437+K445)/2)*K436),0)</f>
        <v>0.9</v>
      </c>
      <c r="L446" s="126">
        <f>IF('Assumptions - Freight'!$E$524&lt;&gt;0,IF(AND('Assumptions - Freight'!$E$532=3,L435&gt;0),Calculations!L443,((L437+L445)/2)*L436),0)</f>
        <v>1</v>
      </c>
      <c r="M446" s="126">
        <f>IF('Assumptions - Freight'!$E$524&lt;&gt;0,IF(AND('Assumptions - Freight'!$E$532=3,M435&gt;0),Calculations!M443,((M437+M445)/2)*M436),0)</f>
        <v>1</v>
      </c>
      <c r="N446" s="126">
        <f>IF('Assumptions - Freight'!$E$524&lt;&gt;0,IF(AND('Assumptions - Freight'!$E$532=3,N435&gt;0),Calculations!N443,((N437+N445)/2)*N436),0)</f>
        <v>1</v>
      </c>
      <c r="O446" s="126">
        <f>IF('Assumptions - Freight'!$E$524&lt;&gt;0,IF(AND('Assumptions - Freight'!$E$532=3,O435&gt;0),Calculations!O443,((O437+O445)/2)*O436),0)</f>
        <v>1</v>
      </c>
      <c r="P446" s="126">
        <f>IF('Assumptions - Freight'!$E$524&lt;&gt;0,IF(AND('Assumptions - Freight'!$E$532=3,P435&gt;0),Calculations!P443,((P437+P445)/2)*P436),0)</f>
        <v>1</v>
      </c>
      <c r="Q446" s="126">
        <f>IF('Assumptions - Freight'!$E$524&lt;&gt;0,IF(AND('Assumptions - Freight'!$E$532=3,Q435&gt;0),Calculations!Q443,((Q437+Q445)/2)*Q436),0)</f>
        <v>1</v>
      </c>
      <c r="R446" s="126">
        <f>IF('Assumptions - Freight'!$E$524&lt;&gt;0,IF(AND('Assumptions - Freight'!$E$532=3,R435&gt;0),Calculations!R443,((R437+R445)/2)*R436),0)</f>
        <v>1</v>
      </c>
      <c r="S446" s="126">
        <f>IF('Assumptions - Freight'!$E$524&lt;&gt;0,IF(AND('Assumptions - Freight'!$E$532=3,S435&gt;0),Calculations!S443,((S437+S445)/2)*S436),0)</f>
        <v>1</v>
      </c>
      <c r="T446" s="126">
        <f>IF('Assumptions - Freight'!$E$524&lt;&gt;0,IF(AND('Assumptions - Freight'!$E$532=3,T435&gt;0),Calculations!T443,((T437+T445)/2)*T436),0)</f>
        <v>1</v>
      </c>
      <c r="U446" s="126">
        <f>IF('Assumptions - Freight'!$E$524&lt;&gt;0,IF(AND('Assumptions - Freight'!$E$532=3,U435&gt;0),Calculations!U443,((U437+U445)/2)*U436),0)</f>
        <v>1</v>
      </c>
      <c r="V446" s="126">
        <f>IF('Assumptions - Freight'!$E$524&lt;&gt;0,IF(AND('Assumptions - Freight'!$E$532=3,V435&gt;0),Calculations!V443,((V437+V445)/2)*V436),0)</f>
        <v>1</v>
      </c>
      <c r="W446" s="126">
        <f>IF('Assumptions - Freight'!$E$524&lt;&gt;0,IF(AND('Assumptions - Freight'!$E$532=3,W435&gt;0),Calculations!W443,((W437+W445)/2)*W436),0)</f>
        <v>1</v>
      </c>
      <c r="X446" s="126">
        <f>IF('Assumptions - Freight'!$E$524&lt;&gt;0,IF(AND('Assumptions - Freight'!$E$532=3,X435&gt;0),Calculations!X443,((X437+X445)/2)*X436),0)</f>
        <v>1</v>
      </c>
      <c r="Y446" s="126">
        <f>IF('Assumptions - Freight'!$E$524&lt;&gt;0,IF(AND('Assumptions - Freight'!$E$532=3,Y435&gt;0),Calculations!Y443,((Y437+Y445)/2)*Y436),0)</f>
        <v>1</v>
      </c>
      <c r="Z446" s="126">
        <f>IF('Assumptions - Freight'!$E$524&lt;&gt;0,IF(AND('Assumptions - Freight'!$E$532=3,Z435&gt;0),Calculations!Z443,((Z437+Z445)/2)*Z436),0)</f>
        <v>1</v>
      </c>
      <c r="AA446" s="126">
        <f>IF('Assumptions - Freight'!$E$524&lt;&gt;0,IF(AND('Assumptions - Freight'!$E$532=3,AA435&gt;0),Calculations!AA443,((AA437+AA445)/2)*AA436),0)</f>
        <v>1</v>
      </c>
      <c r="AB446" s="126">
        <f>IF('Assumptions - Freight'!$E$524&lt;&gt;0,IF(AND('Assumptions - Freight'!$E$532=3,AB435&gt;0),Calculations!AB443,((AB437+AB445)/2)*AB436),0)</f>
        <v>1</v>
      </c>
      <c r="AC446" s="126">
        <f>IF('Assumptions - Freight'!$E$524&lt;&gt;0,IF(AND('Assumptions - Freight'!$E$532=3,AC435&gt;0),Calculations!AC443,((AC437+AC445)/2)*AC436),0)</f>
        <v>1</v>
      </c>
      <c r="AD446" s="126">
        <f>IF('Assumptions - Freight'!$E$524&lt;&gt;0,IF(AND('Assumptions - Freight'!$E$532=3,AD435&gt;0),Calculations!AD443,((AD437+AD445)/2)*AD436),0)</f>
        <v>1</v>
      </c>
      <c r="AE446" s="126">
        <f>IF('Assumptions - Freight'!$E$524&lt;&gt;0,IF(AND('Assumptions - Freight'!$E$532=3,AE435&gt;0),Calculations!AE443,((AE437+AE445)/2)*AE436),0)</f>
        <v>1</v>
      </c>
      <c r="AF446" s="126">
        <f>IF('Assumptions - Freight'!$E$524&lt;&gt;0,IF(AND('Assumptions - Freight'!$E$532=3,AF435&gt;0),Calculations!AF443,((AF437+AF445)/2)*AF436),0)</f>
        <v>1</v>
      </c>
      <c r="AG446" s="126">
        <f>IF('Assumptions - Freight'!$E$524&lt;&gt;0,IF(AND('Assumptions - Freight'!$E$532=3,AG435&gt;0),Calculations!AG443,((AG437+AG445)/2)*AG436),0)</f>
        <v>1</v>
      </c>
      <c r="AH446" s="126">
        <f>IF('Assumptions - Freight'!$E$524&lt;&gt;0,IF(AND('Assumptions - Freight'!$E$532=3,AH435&gt;0),Calculations!AH443,((AH437+AH445)/2)*AH436),0)</f>
        <v>1</v>
      </c>
    </row>
    <row r="447" spans="1:34" s="20" customFormat="1" ht="14" x14ac:dyDescent="0.2">
      <c r="A447" s="8"/>
      <c r="B447" s="8" t="s">
        <v>53</v>
      </c>
      <c r="C447" s="8"/>
      <c r="D447" s="8" t="str">
        <f t="shared" si="179"/>
        <v>R$ millions</v>
      </c>
      <c r="E447" s="126">
        <f>IF(E$16=1,IF('Assumptions - Freight'!$E$521=Calculations!E$4,'Assumptions - Freight'!$E$524*'Assumptions - Freight'!$E$534,0),0)</f>
        <v>0</v>
      </c>
      <c r="F447" s="126">
        <f>IF(F$16=1,IF('Assumptions - Freight'!$E$521=Calculations!F$4,'Assumptions - Freight'!$E$524*'Assumptions - Freight'!$E$534,0),0)</f>
        <v>0</v>
      </c>
      <c r="G447" s="126">
        <f>IF(G$16=1,IF('Assumptions - Freight'!$E$521=Calculations!G$4,'Assumptions - Freight'!$E$524*'Assumptions - Freight'!$E$534,0),0)</f>
        <v>0.125</v>
      </c>
      <c r="H447" s="126">
        <f>IF(H$16=1,IF('Assumptions - Freight'!$E$521=Calculations!H$4,'Assumptions - Freight'!$E$524*'Assumptions - Freight'!$E$534,0),0)</f>
        <v>0</v>
      </c>
      <c r="I447" s="126">
        <f>IF(I$16=1,IF('Assumptions - Freight'!$E$521=Calculations!I$4,'Assumptions - Freight'!$E$524*'Assumptions - Freight'!$E$534,0),0)</f>
        <v>0</v>
      </c>
      <c r="J447" s="126">
        <f>IF('Assumptions - Freight'!$E$521=Calculations!J$4,'Assumptions - Freight'!$E$524*'Assumptions - Freight'!$E$534,0)</f>
        <v>0</v>
      </c>
      <c r="K447" s="126">
        <f>IF('Assumptions - Freight'!$E$521=Calculations!K$4,'Assumptions - Freight'!$E$524*'Assumptions - Freight'!$E$534,0)</f>
        <v>0</v>
      </c>
      <c r="L447" s="126">
        <f>IF('Assumptions - Freight'!$E$521=Calculations!L$4,'Assumptions - Freight'!$E$524*'Assumptions - Freight'!$E$534,0)</f>
        <v>0</v>
      </c>
      <c r="M447" s="126">
        <f>IF('Assumptions - Freight'!$E$521=Calculations!M$4,'Assumptions - Freight'!$E$524*'Assumptions - Freight'!$E$534,0)</f>
        <v>0</v>
      </c>
      <c r="N447" s="126">
        <f>IF('Assumptions - Freight'!$E$521=Calculations!N$4,'Assumptions - Freight'!$E$524*'Assumptions - Freight'!$E$534,0)</f>
        <v>0</v>
      </c>
      <c r="O447" s="126">
        <f>IF('Assumptions - Freight'!$E$521=Calculations!O$4,'Assumptions - Freight'!$E$524*'Assumptions - Freight'!$E$534,0)</f>
        <v>0</v>
      </c>
      <c r="P447" s="126">
        <f>IF('Assumptions - Freight'!$E$521=Calculations!P$4,'Assumptions - Freight'!$E$524*'Assumptions - Freight'!$E$534,0)</f>
        <v>0</v>
      </c>
      <c r="Q447" s="126">
        <f>IF('Assumptions - Freight'!$E$521=Calculations!Q$4,'Assumptions - Freight'!$E$524*'Assumptions - Freight'!$E$534,0)</f>
        <v>0</v>
      </c>
      <c r="R447" s="126">
        <f>IF('Assumptions - Freight'!$E$521=Calculations!R$4,'Assumptions - Freight'!$E$524*'Assumptions - Freight'!$E$534,0)</f>
        <v>0</v>
      </c>
      <c r="S447" s="126">
        <f>IF('Assumptions - Freight'!$E$521=Calculations!S$4,'Assumptions - Freight'!$E$524*'Assumptions - Freight'!$E$534,0)</f>
        <v>0</v>
      </c>
      <c r="T447" s="126">
        <f>IF('Assumptions - Freight'!$E$521=Calculations!T$4,'Assumptions - Freight'!$E$524*'Assumptions - Freight'!$E$534,0)</f>
        <v>0</v>
      </c>
      <c r="U447" s="126">
        <f>IF('Assumptions - Freight'!$E$521=Calculations!U$4,'Assumptions - Freight'!$E$524*'Assumptions - Freight'!$E$534,0)</f>
        <v>0</v>
      </c>
      <c r="V447" s="126">
        <f>IF('Assumptions - Freight'!$E$521=Calculations!V$4,'Assumptions - Freight'!$E$524*'Assumptions - Freight'!$E$534,0)</f>
        <v>0</v>
      </c>
      <c r="W447" s="126">
        <f>IF('Assumptions - Freight'!$E$521=Calculations!W$4,'Assumptions - Freight'!$E$524*'Assumptions - Freight'!$E$534,0)</f>
        <v>0</v>
      </c>
      <c r="X447" s="126">
        <f>IF('Assumptions - Freight'!$E$521=Calculations!X$4,'Assumptions - Freight'!$E$524*'Assumptions - Freight'!$E$534,0)</f>
        <v>0</v>
      </c>
      <c r="Y447" s="126">
        <f>IF('Assumptions - Freight'!$E$521=Calculations!Y$4,'Assumptions - Freight'!$E$524*'Assumptions - Freight'!$E$534,0)</f>
        <v>0</v>
      </c>
      <c r="Z447" s="126">
        <f>IF('Assumptions - Freight'!$E$521=Calculations!Z$4,'Assumptions - Freight'!$E$524*'Assumptions - Freight'!$E$534,0)</f>
        <v>0</v>
      </c>
      <c r="AA447" s="126">
        <f>IF('Assumptions - Freight'!$E$521=Calculations!AA$4,'Assumptions - Freight'!$E$524*'Assumptions - Freight'!$E$534,0)</f>
        <v>0</v>
      </c>
      <c r="AB447" s="126">
        <f>IF('Assumptions - Freight'!$E$521=Calculations!AB$4,'Assumptions - Freight'!$E$524*'Assumptions - Freight'!$E$534,0)</f>
        <v>0</v>
      </c>
      <c r="AC447" s="126">
        <f>IF('Assumptions - Freight'!$E$521=Calculations!AC$4,'Assumptions - Freight'!$E$524*'Assumptions - Freight'!$E$534,0)</f>
        <v>0</v>
      </c>
      <c r="AD447" s="126">
        <f>IF('Assumptions - Freight'!$E$521=Calculations!AD$4,'Assumptions - Freight'!$E$524*'Assumptions - Freight'!$E$534,0)</f>
        <v>0</v>
      </c>
      <c r="AE447" s="126">
        <f>IF('Assumptions - Freight'!$E$521=Calculations!AE$4,'Assumptions - Freight'!$E$524*'Assumptions - Freight'!$E$534,0)</f>
        <v>0</v>
      </c>
      <c r="AF447" s="126">
        <f>IF('Assumptions - Freight'!$E$521=Calculations!AF$4,'Assumptions - Freight'!$E$524*'Assumptions - Freight'!$E$534,0)</f>
        <v>0</v>
      </c>
      <c r="AG447" s="126">
        <f>IF('Assumptions - Freight'!$E$521=Calculations!AG$4,'Assumptions - Freight'!$E$524*'Assumptions - Freight'!$E$534,0)</f>
        <v>0</v>
      </c>
      <c r="AH447" s="126">
        <f>IF('Assumptions - Freight'!$E$521=Calculations!AH$4,'Assumptions - Freight'!$E$524*'Assumptions - Freight'!$E$534,0)</f>
        <v>0</v>
      </c>
    </row>
    <row r="448" spans="1:34" s="20" customFormat="1" ht="14" x14ac:dyDescent="0.2">
      <c r="A448" s="8"/>
      <c r="B448" s="8" t="s">
        <v>142</v>
      </c>
      <c r="C448" s="8"/>
      <c r="D448" s="8" t="str">
        <f t="shared" si="179"/>
        <v>R$ millions</v>
      </c>
      <c r="E448" s="126">
        <f>IF(E$16=1,IF(AND(E$4&lt;=('Assumptions - Freight'!$E$521+'Assumptions - Freight'!$E$531),E$4&gt;='Assumptions - Freight'!$E$521),'Assumptions - Freight'!$E$524-Calculations!E437-E444,0),0)</f>
        <v>0</v>
      </c>
      <c r="F448" s="126">
        <f>IF(F$16=1,IF(AND(F$4&lt;=('Assumptions - Freight'!$E$521+'Assumptions - Freight'!$E$531),F$4&gt;='Assumptions - Freight'!$E$521),'Assumptions - Freight'!$E$524-Calculations!F437-F444,0),0)</f>
        <v>0</v>
      </c>
      <c r="G448" s="126">
        <f>IF(G$16=1,IF(AND(G$4&lt;=('Assumptions - Freight'!$E$521+'Assumptions - Freight'!$E$531),G$4&gt;='Assumptions - Freight'!$E$521),'Assumptions - Freight'!$E$524-Calculations!G437-G444,0),0)</f>
        <v>40</v>
      </c>
      <c r="H448" s="126">
        <f>IF(H$16=1,IF(AND(H$4&lt;=('Assumptions - Freight'!$E$521+'Assumptions - Freight'!$E$531),H$4&gt;='Assumptions - Freight'!$E$521),'Assumptions - Freight'!$E$524-Calculations!H437-H444,0),0)</f>
        <v>30</v>
      </c>
      <c r="I448" s="126">
        <f>IF(I$16=1,IF(AND(I$4&lt;=('Assumptions - Freight'!$E$521+'Assumptions - Freight'!$E$531),I$4&gt;='Assumptions - Freight'!$E$521),'Assumptions - Freight'!$E$524-Calculations!I437-I444,0),0)</f>
        <v>20</v>
      </c>
      <c r="J448" s="126">
        <f>IF(J$16=1,IF(AND(J$4&lt;=('Assumptions - Freight'!$E$521+'Assumptions - Freight'!$E$531),J$4&gt;='Assumptions - Freight'!$E$521),'Assumptions - Freight'!$E$524-Calculations!J437-J444,0),0)</f>
        <v>10</v>
      </c>
      <c r="K448" s="126">
        <f>IF(K$16=1,IF(AND(K$4&lt;=('Assumptions - Freight'!$E$521+'Assumptions - Freight'!$E$531),K$4&gt;='Assumptions - Freight'!$E$521),'Assumptions - Freight'!$E$524-Calculations!K437-K444,0),0)</f>
        <v>0</v>
      </c>
      <c r="L448" s="126">
        <f>IF(L$16=1,IF(AND(L$4&lt;=('Assumptions - Freight'!$E$521+'Assumptions - Freight'!$E$531),L$4&gt;='Assumptions - Freight'!$E$521),'Assumptions - Freight'!$E$524-Calculations!L437-L444,0),0)</f>
        <v>0</v>
      </c>
      <c r="M448" s="126">
        <f>IF(M$16=1,IF(AND(M$4&lt;=('Assumptions - Freight'!$E$521+'Assumptions - Freight'!$E$531),M$4&gt;='Assumptions - Freight'!$E$521),'Assumptions - Freight'!$E$524-Calculations!M437-M444,0),0)</f>
        <v>0</v>
      </c>
      <c r="N448" s="126">
        <f>IF(N$16=1,IF(AND(N$4&lt;=('Assumptions - Freight'!$E$521+'Assumptions - Freight'!$E$531),N$4&gt;='Assumptions - Freight'!$E$521),'Assumptions - Freight'!$E$524-Calculations!N437-N444,0),0)</f>
        <v>0</v>
      </c>
      <c r="O448" s="126">
        <f>IF(O$16=1,IF(AND(O$4&lt;=('Assumptions - Freight'!$E$521+'Assumptions - Freight'!$E$531),O$4&gt;='Assumptions - Freight'!$E$521),'Assumptions - Freight'!$E$524-Calculations!O437-O444,0),0)</f>
        <v>0</v>
      </c>
      <c r="P448" s="126">
        <f>IF(P$16=1,IF(AND(P$4&lt;=('Assumptions - Freight'!$E$521+'Assumptions - Freight'!$E$531),P$4&gt;='Assumptions - Freight'!$E$521),'Assumptions - Freight'!$E$524-Calculations!P437-P444,0),0)</f>
        <v>0</v>
      </c>
      <c r="Q448" s="126">
        <f>IF(Q$16=1,IF(AND(Q$4&lt;=('Assumptions - Freight'!$E$521+'Assumptions - Freight'!$E$531),Q$4&gt;='Assumptions - Freight'!$E$521),'Assumptions - Freight'!$E$524-Calculations!Q437-Q444,0),0)</f>
        <v>0</v>
      </c>
      <c r="R448" s="126">
        <f>IF(R$16=1,IF(AND(R$4&lt;=('Assumptions - Freight'!$E$521+'Assumptions - Freight'!$E$531),R$4&gt;='Assumptions - Freight'!$E$521),'Assumptions - Freight'!$E$524-Calculations!R437-R444,0),0)</f>
        <v>0</v>
      </c>
      <c r="S448" s="126">
        <f>IF(S$16=1,IF(AND(S$4&lt;=('Assumptions - Freight'!$E$521+'Assumptions - Freight'!$E$531),S$4&gt;='Assumptions - Freight'!$E$521),'Assumptions - Freight'!$E$524-Calculations!S437-S444,0),0)</f>
        <v>0</v>
      </c>
      <c r="T448" s="126">
        <f>IF(T$16=1,IF(AND(T$4&lt;=('Assumptions - Freight'!$E$521+'Assumptions - Freight'!$E$531),T$4&gt;='Assumptions - Freight'!$E$521),'Assumptions - Freight'!$E$524-Calculations!T437-T444,0),0)</f>
        <v>0</v>
      </c>
      <c r="U448" s="126">
        <f>IF(U$16=1,IF(AND(U$4&lt;=('Assumptions - Freight'!$E$521+'Assumptions - Freight'!$E$531),U$4&gt;='Assumptions - Freight'!$E$521),'Assumptions - Freight'!$E$524-Calculations!U437-U444,0),0)</f>
        <v>0</v>
      </c>
      <c r="V448" s="126">
        <f>IF(V$16=1,IF(AND(V$4&lt;=('Assumptions - Freight'!$E$521+'Assumptions - Freight'!$E$531),V$4&gt;='Assumptions - Freight'!$E$521),'Assumptions - Freight'!$E$524-Calculations!V437-V444,0),0)</f>
        <v>0</v>
      </c>
      <c r="W448" s="126">
        <f>IF(W$16=1,IF(AND(W$4&lt;=('Assumptions - Freight'!$E$521+'Assumptions - Freight'!$E$531),W$4&gt;='Assumptions - Freight'!$E$521),'Assumptions - Freight'!$E$524-Calculations!W437-W444,0),0)</f>
        <v>0</v>
      </c>
      <c r="X448" s="126">
        <f>IF(X$16=1,IF(AND(X$4&lt;=('Assumptions - Freight'!$E$521+'Assumptions - Freight'!$E$531),X$4&gt;='Assumptions - Freight'!$E$521),'Assumptions - Freight'!$E$524-Calculations!X437-X444,0),0)</f>
        <v>0</v>
      </c>
      <c r="Y448" s="126">
        <f>IF(Y$16=1,IF(AND(Y$4&lt;=('Assumptions - Freight'!$E$521+'Assumptions - Freight'!$E$531),Y$4&gt;='Assumptions - Freight'!$E$521),'Assumptions - Freight'!$E$524-Calculations!Y437-Y444,0),0)</f>
        <v>0</v>
      </c>
      <c r="Z448" s="126">
        <f>IF(Z$16=1,IF(AND(Z$4&lt;=('Assumptions - Freight'!$E$521+'Assumptions - Freight'!$E$531),Z$4&gt;='Assumptions - Freight'!$E$521),'Assumptions - Freight'!$E$524-Calculations!Z437-Z444,0),0)</f>
        <v>0</v>
      </c>
      <c r="AA448" s="126">
        <f>IF(AA$16=1,IF(AND(AA$4&lt;=('Assumptions - Freight'!$E$521+'Assumptions - Freight'!$E$531),AA$4&gt;='Assumptions - Freight'!$E$521),'Assumptions - Freight'!$E$524-Calculations!AA437-AA444,0),0)</f>
        <v>0</v>
      </c>
      <c r="AB448" s="126">
        <f>IF(AB$16=1,IF(AND(AB$4&lt;=('Assumptions - Freight'!$E$521+'Assumptions - Freight'!$E$531),AB$4&gt;='Assumptions - Freight'!$E$521),'Assumptions - Freight'!$E$524-Calculations!AB437-AB444,0),0)</f>
        <v>0</v>
      </c>
      <c r="AC448" s="126">
        <f>IF(AC$16=1,IF(AND(AC$4&lt;=('Assumptions - Freight'!$E$521+'Assumptions - Freight'!$E$531),AC$4&gt;='Assumptions - Freight'!$E$521),'Assumptions - Freight'!$E$524-Calculations!AC437-AC444,0),0)</f>
        <v>0</v>
      </c>
      <c r="AD448" s="126">
        <f>IF(AD$16=1,IF(AND(AD$4&lt;=('Assumptions - Freight'!$E$521+'Assumptions - Freight'!$E$531),AD$4&gt;='Assumptions - Freight'!$E$521),'Assumptions - Freight'!$E$524-Calculations!AD437-AD444,0),0)</f>
        <v>0</v>
      </c>
      <c r="AE448" s="126">
        <f>IF(AE$16=1,IF(AND(AE$4&lt;=('Assumptions - Freight'!$E$521+'Assumptions - Freight'!$E$531),AE$4&gt;='Assumptions - Freight'!$E$521),'Assumptions - Freight'!$E$524-Calculations!AE437-AE444,0),0)</f>
        <v>0</v>
      </c>
      <c r="AF448" s="126">
        <f>IF(AF$16=1,IF(AND(AF$4&lt;=('Assumptions - Freight'!$E$521+'Assumptions - Freight'!$E$531),AF$4&gt;='Assumptions - Freight'!$E$521),'Assumptions - Freight'!$E$524-Calculations!AF437-AF444,0),0)</f>
        <v>0</v>
      </c>
      <c r="AG448" s="126">
        <f>IF(AG$16=1,IF(AND(AG$4&lt;=('Assumptions - Freight'!$E$521+'Assumptions - Freight'!$E$531),AG$4&gt;='Assumptions - Freight'!$E$521),'Assumptions - Freight'!$E$524-Calculations!AG437-AG444,0),0)</f>
        <v>0</v>
      </c>
      <c r="AH448" s="126">
        <f>IF(AH$16=1,IF(AND(AH$4&lt;=('Assumptions - Freight'!$E$521+'Assumptions - Freight'!$E$531),AH$4&gt;='Assumptions - Freight'!$E$521),'Assumptions - Freight'!$E$524-Calculations!AH437-AH444,0),0)</f>
        <v>0</v>
      </c>
    </row>
    <row r="449" spans="1:34" s="20" customFormat="1" ht="14" x14ac:dyDescent="0.2">
      <c r="A449" s="8"/>
      <c r="B449" s="8" t="s">
        <v>55</v>
      </c>
      <c r="C449" s="8"/>
      <c r="D449" s="8" t="str">
        <f t="shared" si="179"/>
        <v>R$ millions</v>
      </c>
      <c r="E449" s="126">
        <f>IF(E$16=1,'Assumptions - Freight'!$E$535*Calculations!E448,0)</f>
        <v>0</v>
      </c>
      <c r="F449" s="126">
        <f>IF(F$16=1,'Assumptions - Freight'!$E$535*Calculations!F448,0)</f>
        <v>0</v>
      </c>
      <c r="G449" s="126">
        <f>IF(G$16=1,'Assumptions - Freight'!$E$535*Calculations!G448,0)</f>
        <v>0</v>
      </c>
      <c r="H449" s="126">
        <f>IF(H$16=1,'Assumptions - Freight'!$E$535*Calculations!H448,0)</f>
        <v>0</v>
      </c>
      <c r="I449" s="126">
        <f>IF(I$16=1,'Assumptions - Freight'!$E$535*Calculations!I448,0)</f>
        <v>0</v>
      </c>
      <c r="J449" s="126">
        <f>'Assumptions - Freight'!$E$535*Calculations!J448</f>
        <v>0</v>
      </c>
      <c r="K449" s="126">
        <f>'Assumptions - Freight'!$E$535*Calculations!K448</f>
        <v>0</v>
      </c>
      <c r="L449" s="126">
        <f>'Assumptions - Freight'!$E$535*Calculations!L448</f>
        <v>0</v>
      </c>
      <c r="M449" s="126">
        <f>'Assumptions - Freight'!$E$535*Calculations!M448</f>
        <v>0</v>
      </c>
      <c r="N449" s="126">
        <f>'Assumptions - Freight'!$E$535*Calculations!N448</f>
        <v>0</v>
      </c>
      <c r="O449" s="126">
        <f>'Assumptions - Freight'!$E$535*Calculations!O448</f>
        <v>0</v>
      </c>
      <c r="P449" s="126">
        <f>'Assumptions - Freight'!$E$535*Calculations!P448</f>
        <v>0</v>
      </c>
      <c r="Q449" s="126">
        <f>'Assumptions - Freight'!$E$535*Calculations!Q448</f>
        <v>0</v>
      </c>
      <c r="R449" s="126">
        <f>'Assumptions - Freight'!$E$535*Calculations!R448</f>
        <v>0</v>
      </c>
      <c r="S449" s="126">
        <f>'Assumptions - Freight'!$E$535*Calculations!S448</f>
        <v>0</v>
      </c>
      <c r="T449" s="126">
        <f>'Assumptions - Freight'!$E$535*Calculations!T448</f>
        <v>0</v>
      </c>
      <c r="U449" s="126">
        <f>'Assumptions - Freight'!$E$535*Calculations!U448</f>
        <v>0</v>
      </c>
      <c r="V449" s="126">
        <f>'Assumptions - Freight'!$E$535*Calculations!V448</f>
        <v>0</v>
      </c>
      <c r="W449" s="126">
        <f>'Assumptions - Freight'!$E$535*Calculations!W448</f>
        <v>0</v>
      </c>
      <c r="X449" s="126">
        <f>'Assumptions - Freight'!$E$535*Calculations!X448</f>
        <v>0</v>
      </c>
      <c r="Y449" s="126">
        <f>'Assumptions - Freight'!$E$535*Calculations!Y448</f>
        <v>0</v>
      </c>
      <c r="Z449" s="126">
        <f>'Assumptions - Freight'!$E$535*Calculations!Z448</f>
        <v>0</v>
      </c>
      <c r="AA449" s="126">
        <f>'Assumptions - Freight'!$E$535*Calculations!AA448</f>
        <v>0</v>
      </c>
      <c r="AB449" s="126">
        <f>'Assumptions - Freight'!$E$535*Calculations!AB448</f>
        <v>0</v>
      </c>
      <c r="AC449" s="126">
        <f>'Assumptions - Freight'!$E$535*Calculations!AC448</f>
        <v>0</v>
      </c>
      <c r="AD449" s="126">
        <f>'Assumptions - Freight'!$E$535*Calculations!AD448</f>
        <v>0</v>
      </c>
      <c r="AE449" s="126">
        <f>'Assumptions - Freight'!$E$535*Calculations!AE448</f>
        <v>0</v>
      </c>
      <c r="AF449" s="126">
        <f>'Assumptions - Freight'!$E$535*Calculations!AF448</f>
        <v>0</v>
      </c>
      <c r="AG449" s="126">
        <f>'Assumptions - Freight'!$E$535*Calculations!AG448</f>
        <v>0</v>
      </c>
      <c r="AH449" s="126">
        <f>'Assumptions - Freight'!$E$535*Calculations!AH448</f>
        <v>0</v>
      </c>
    </row>
    <row r="450" spans="1:34" s="20" customFormat="1" ht="14" x14ac:dyDescent="0.2">
      <c r="A450" s="8"/>
      <c r="B450" s="8" t="s">
        <v>140</v>
      </c>
      <c r="C450" s="8"/>
      <c r="D450" s="8" t="str">
        <f t="shared" si="179"/>
        <v>R$ millions</v>
      </c>
      <c r="E450" s="126">
        <f>E438+E446+E447+E449</f>
        <v>0</v>
      </c>
      <c r="F450" s="126">
        <f>F438+F446+F447+F449</f>
        <v>0</v>
      </c>
      <c r="G450" s="126">
        <f t="shared" ref="G450:I450" si="180">G438+G446+G447+G449</f>
        <v>0.22500000000000001</v>
      </c>
      <c r="H450" s="126">
        <f t="shared" si="180"/>
        <v>0.3</v>
      </c>
      <c r="I450" s="126">
        <f t="shared" si="180"/>
        <v>0.5</v>
      </c>
      <c r="J450" s="126">
        <f t="shared" ref="J450:AH450" si="181">J438+J446+J447+J449</f>
        <v>0.70000000000000007</v>
      </c>
      <c r="K450" s="126">
        <f t="shared" si="181"/>
        <v>0.9</v>
      </c>
      <c r="L450" s="126">
        <f t="shared" si="181"/>
        <v>1</v>
      </c>
      <c r="M450" s="126">
        <f t="shared" si="181"/>
        <v>1</v>
      </c>
      <c r="N450" s="126">
        <f t="shared" si="181"/>
        <v>1</v>
      </c>
      <c r="O450" s="126">
        <f t="shared" si="181"/>
        <v>1</v>
      </c>
      <c r="P450" s="126">
        <f t="shared" si="181"/>
        <v>1</v>
      </c>
      <c r="Q450" s="126">
        <f t="shared" si="181"/>
        <v>1</v>
      </c>
      <c r="R450" s="126">
        <f t="shared" si="181"/>
        <v>1</v>
      </c>
      <c r="S450" s="126">
        <f t="shared" si="181"/>
        <v>1</v>
      </c>
      <c r="T450" s="126">
        <f t="shared" si="181"/>
        <v>1</v>
      </c>
      <c r="U450" s="126">
        <f t="shared" si="181"/>
        <v>1</v>
      </c>
      <c r="V450" s="126">
        <f t="shared" si="181"/>
        <v>1</v>
      </c>
      <c r="W450" s="126">
        <f t="shared" si="181"/>
        <v>1</v>
      </c>
      <c r="X450" s="126">
        <f t="shared" si="181"/>
        <v>1</v>
      </c>
      <c r="Y450" s="126">
        <f t="shared" si="181"/>
        <v>1</v>
      </c>
      <c r="Z450" s="126">
        <f t="shared" si="181"/>
        <v>1</v>
      </c>
      <c r="AA450" s="126">
        <f t="shared" si="181"/>
        <v>1</v>
      </c>
      <c r="AB450" s="126">
        <f t="shared" si="181"/>
        <v>1</v>
      </c>
      <c r="AC450" s="126">
        <f t="shared" si="181"/>
        <v>1</v>
      </c>
      <c r="AD450" s="126">
        <f t="shared" si="181"/>
        <v>1</v>
      </c>
      <c r="AE450" s="126">
        <f t="shared" si="181"/>
        <v>1</v>
      </c>
      <c r="AF450" s="126">
        <f t="shared" si="181"/>
        <v>1</v>
      </c>
      <c r="AG450" s="126">
        <f t="shared" si="181"/>
        <v>1</v>
      </c>
      <c r="AH450" s="126">
        <f t="shared" si="181"/>
        <v>1</v>
      </c>
    </row>
    <row r="451" spans="1:34" s="20" customFormat="1" ht="14" x14ac:dyDescent="0.2">
      <c r="A451" s="8"/>
      <c r="B451" s="8"/>
      <c r="C451" s="8"/>
      <c r="D451" s="8"/>
      <c r="E451" s="16"/>
      <c r="F451" s="8"/>
      <c r="G451" s="8"/>
      <c r="H451" s="8"/>
      <c r="I451" s="8"/>
      <c r="J451" s="8"/>
      <c r="K451" s="8"/>
      <c r="L451" s="8"/>
      <c r="M451" s="8"/>
      <c r="N451" s="8"/>
      <c r="O451" s="8"/>
      <c r="P451" s="8"/>
      <c r="Q451" s="8"/>
      <c r="R451" s="8"/>
      <c r="S451" s="8"/>
      <c r="T451" s="8"/>
      <c r="U451" s="8"/>
      <c r="V451" s="8"/>
      <c r="W451" s="8"/>
      <c r="X451" s="8"/>
      <c r="Y451" s="8"/>
      <c r="Z451" s="8"/>
      <c r="AA451" s="8"/>
      <c r="AB451" s="8"/>
      <c r="AC451" s="8"/>
      <c r="AD451" s="8"/>
      <c r="AE451" s="8"/>
      <c r="AF451" s="8"/>
      <c r="AG451" s="8"/>
      <c r="AH451" s="8"/>
    </row>
    <row r="452" spans="1:34" s="20" customFormat="1" ht="14" x14ac:dyDescent="0.2">
      <c r="A452" s="8"/>
      <c r="B452" s="21" t="str">
        <f>B434</f>
        <v>New loan from Multilateral bank</v>
      </c>
      <c r="C452" s="8"/>
      <c r="D452" s="8"/>
      <c r="E452" s="8"/>
      <c r="F452" s="8"/>
      <c r="G452" s="8"/>
      <c r="H452" s="8"/>
      <c r="I452" s="8"/>
      <c r="J452" s="8"/>
      <c r="K452" s="8"/>
      <c r="L452" s="8"/>
      <c r="M452" s="8"/>
      <c r="N452" s="8"/>
      <c r="O452" s="8"/>
      <c r="P452" s="8"/>
      <c r="Q452" s="8"/>
      <c r="R452" s="8"/>
      <c r="S452" s="8"/>
      <c r="T452" s="8"/>
      <c r="U452" s="8"/>
      <c r="V452" s="8"/>
      <c r="W452" s="8"/>
      <c r="X452" s="8"/>
      <c r="Y452" s="8"/>
      <c r="Z452" s="8"/>
      <c r="AA452" s="8"/>
      <c r="AB452" s="8"/>
      <c r="AC452" s="8"/>
      <c r="AD452" s="8"/>
      <c r="AE452" s="8"/>
      <c r="AF452" s="8"/>
      <c r="AG452" s="8"/>
      <c r="AH452" s="8"/>
    </row>
    <row r="453" spans="1:34" s="20" customFormat="1" ht="14" x14ac:dyDescent="0.2">
      <c r="A453" s="8"/>
      <c r="B453" s="8" t="s">
        <v>334</v>
      </c>
      <c r="C453" s="8"/>
      <c r="D453" s="8" t="str">
        <f>IF('Assumptions - Freight'!$E$522=1,"Same as above",IF('Assumptions - Freight'!$E$522=2,"Local currency/"&amp;'Assumptions - General'!$E$39,"Local currency/"&amp;'Assumptions - General'!$E$40))</f>
        <v>Same as above</v>
      </c>
      <c r="E453" s="124">
        <f>IF('Assumptions - Freight'!$E$522=1,1,IF('Assumptions - Freight'!$E$522=2,'Assumptions - General'!E$41,'Assumptions - General'!E$42))</f>
        <v>1</v>
      </c>
      <c r="F453" s="124">
        <f>IF('Assumptions - Freight'!$E$522=1,1,IF('Assumptions - Freight'!$E$522=2,'Assumptions - General'!F$41,'Assumptions - General'!F$42))</f>
        <v>1</v>
      </c>
      <c r="G453" s="124">
        <f>IF('Assumptions - Freight'!$E$522=1,1,IF('Assumptions - Freight'!$E$522=2,'Assumptions - General'!G$41,'Assumptions - General'!G$42))</f>
        <v>1</v>
      </c>
      <c r="H453" s="124">
        <f>IF('Assumptions - Freight'!$E$522=1,1,IF('Assumptions - Freight'!$E$522=2,'Assumptions - General'!H$41,'Assumptions - General'!H$42))</f>
        <v>1</v>
      </c>
      <c r="I453" s="124">
        <f>IF('Assumptions - Freight'!$E$522=1,1,IF('Assumptions - Freight'!$E$522=2,'Assumptions - General'!I$41,'Assumptions - General'!I$42))</f>
        <v>1</v>
      </c>
      <c r="J453" s="124">
        <f>IF('Assumptions - Freight'!$E$522=1,1,IF('Assumptions - Freight'!$E$522=2,'Assumptions - General'!J$41,'Assumptions - General'!J$42))</f>
        <v>1</v>
      </c>
      <c r="K453" s="124">
        <f>IF('Assumptions - Freight'!$E$522=1,1,IF('Assumptions - Freight'!$E$522=2,'Assumptions - General'!K$41,'Assumptions - General'!K$42))</f>
        <v>1</v>
      </c>
      <c r="L453" s="124">
        <f>IF('Assumptions - Freight'!$E$522=1,1,IF('Assumptions - Freight'!$E$522=2,'Assumptions - General'!L$41,'Assumptions - General'!L$42))</f>
        <v>1</v>
      </c>
      <c r="M453" s="124">
        <f>IF('Assumptions - Freight'!$E$522=1,1,IF('Assumptions - Freight'!$E$522=2,'Assumptions - General'!M$41,'Assumptions - General'!M$42))</f>
        <v>1</v>
      </c>
      <c r="N453" s="124">
        <f>IF('Assumptions - Freight'!$E$522=1,1,IF('Assumptions - Freight'!$E$522=2,'Assumptions - General'!N$41,'Assumptions - General'!N$42))</f>
        <v>1</v>
      </c>
      <c r="O453" s="124">
        <f>IF('Assumptions - Freight'!$E$522=1,1,IF('Assumptions - Freight'!$E$522=2,'Assumptions - General'!O$41,'Assumptions - General'!O$42))</f>
        <v>1</v>
      </c>
      <c r="P453" s="124">
        <f>IF('Assumptions - Freight'!$E$522=1,1,IF('Assumptions - Freight'!$E$522=2,'Assumptions - General'!P$41,'Assumptions - General'!P$42))</f>
        <v>1</v>
      </c>
      <c r="Q453" s="124">
        <f>IF('Assumptions - Freight'!$E$522=1,1,IF('Assumptions - Freight'!$E$522=2,'Assumptions - General'!Q$41,'Assumptions - General'!Q$42))</f>
        <v>1</v>
      </c>
      <c r="R453" s="124">
        <f>IF('Assumptions - Freight'!$E$522=1,1,IF('Assumptions - Freight'!$E$522=2,'Assumptions - General'!R$41,'Assumptions - General'!R$42))</f>
        <v>1</v>
      </c>
      <c r="S453" s="124">
        <f>IF('Assumptions - Freight'!$E$522=1,1,IF('Assumptions - Freight'!$E$522=2,'Assumptions - General'!S$41,'Assumptions - General'!S$42))</f>
        <v>1</v>
      </c>
      <c r="T453" s="124">
        <f>IF('Assumptions - Freight'!$E$522=1,1,IF('Assumptions - Freight'!$E$522=2,'Assumptions - General'!T$41,'Assumptions - General'!T$42))</f>
        <v>1</v>
      </c>
      <c r="U453" s="124">
        <f>IF('Assumptions - Freight'!$E$522=1,1,IF('Assumptions - Freight'!$E$522=2,'Assumptions - General'!U$41,'Assumptions - General'!U$42))</f>
        <v>1</v>
      </c>
      <c r="V453" s="124">
        <f>IF('Assumptions - Freight'!$E$522=1,1,IF('Assumptions - Freight'!$E$522=2,'Assumptions - General'!V$41,'Assumptions - General'!V$42))</f>
        <v>1</v>
      </c>
      <c r="W453" s="124">
        <f>IF('Assumptions - Freight'!$E$522=1,1,IF('Assumptions - Freight'!$E$522=2,'Assumptions - General'!W$41,'Assumptions - General'!W$42))</f>
        <v>1</v>
      </c>
      <c r="X453" s="124">
        <f>IF('Assumptions - Freight'!$E$522=1,1,IF('Assumptions - Freight'!$E$522=2,'Assumptions - General'!X$41,'Assumptions - General'!X$42))</f>
        <v>1</v>
      </c>
      <c r="Y453" s="124">
        <f>IF('Assumptions - Freight'!$E$522=1,1,IF('Assumptions - Freight'!$E$522=2,'Assumptions - General'!Y$41,'Assumptions - General'!Y$42))</f>
        <v>1</v>
      </c>
      <c r="Z453" s="124">
        <f>IF('Assumptions - Freight'!$E$522=1,1,IF('Assumptions - Freight'!$E$522=2,'Assumptions - General'!Z$41,'Assumptions - General'!Z$42))</f>
        <v>1</v>
      </c>
      <c r="AA453" s="124">
        <f>IF('Assumptions - Freight'!$E$522=1,1,IF('Assumptions - Freight'!$E$522=2,'Assumptions - General'!AA$41,'Assumptions - General'!AA$42))</f>
        <v>1</v>
      </c>
      <c r="AB453" s="124">
        <f>IF('Assumptions - Freight'!$E$522=1,1,IF('Assumptions - Freight'!$E$522=2,'Assumptions - General'!AB$41,'Assumptions - General'!AB$42))</f>
        <v>1</v>
      </c>
      <c r="AC453" s="124">
        <f>IF('Assumptions - Freight'!$E$522=1,1,IF('Assumptions - Freight'!$E$522=2,'Assumptions - General'!AC$41,'Assumptions - General'!AC$42))</f>
        <v>1</v>
      </c>
      <c r="AD453" s="124">
        <f>IF('Assumptions - Freight'!$E$522=1,1,IF('Assumptions - Freight'!$E$522=2,'Assumptions - General'!AD$41,'Assumptions - General'!AD$42))</f>
        <v>1</v>
      </c>
      <c r="AE453" s="124">
        <f>IF('Assumptions - Freight'!$E$522=1,1,IF('Assumptions - Freight'!$E$522=2,'Assumptions - General'!AE$41,'Assumptions - General'!AE$42))</f>
        <v>1</v>
      </c>
      <c r="AF453" s="124">
        <f>IF('Assumptions - Freight'!$E$522=1,1,IF('Assumptions - Freight'!$E$522=2,'Assumptions - General'!AF$41,'Assumptions - General'!AF$42))</f>
        <v>1</v>
      </c>
      <c r="AG453" s="124">
        <f>IF('Assumptions - Freight'!$E$522=1,1,IF('Assumptions - Freight'!$E$522=2,'Assumptions - General'!AG$41,'Assumptions - General'!AG$42))</f>
        <v>1</v>
      </c>
      <c r="AH453" s="124">
        <f>IF('Assumptions - Freight'!$E$522=1,1,IF('Assumptions - Freight'!$E$522=2,'Assumptions - General'!AH$41,'Assumptions - General'!AH$42))</f>
        <v>1</v>
      </c>
    </row>
    <row r="454" spans="1:34" s="20" customFormat="1" ht="14" x14ac:dyDescent="0.2">
      <c r="A454" s="8"/>
      <c r="B454" s="8" t="s">
        <v>136</v>
      </c>
      <c r="C454" s="8"/>
      <c r="D454" s="8" t="str">
        <f>'Assumptions - General'!$E$27 &amp;" millions"</f>
        <v>R$ millions</v>
      </c>
      <c r="E454" s="126">
        <f t="shared" ref="E454:F455" si="182">E437*E$453</f>
        <v>0</v>
      </c>
      <c r="F454" s="126">
        <f t="shared" si="182"/>
        <v>0</v>
      </c>
      <c r="G454" s="126">
        <f t="shared" ref="G454:AH454" si="183">G437*G$453</f>
        <v>0</v>
      </c>
      <c r="H454" s="126">
        <f t="shared" si="183"/>
        <v>10</v>
      </c>
      <c r="I454" s="126">
        <f t="shared" si="183"/>
        <v>20</v>
      </c>
      <c r="J454" s="126">
        <f t="shared" si="183"/>
        <v>30</v>
      </c>
      <c r="K454" s="126">
        <f t="shared" si="183"/>
        <v>40</v>
      </c>
      <c r="L454" s="126">
        <f t="shared" si="183"/>
        <v>50</v>
      </c>
      <c r="M454" s="126">
        <f t="shared" si="183"/>
        <v>50</v>
      </c>
      <c r="N454" s="126">
        <f t="shared" si="183"/>
        <v>50</v>
      </c>
      <c r="O454" s="126">
        <f t="shared" si="183"/>
        <v>50</v>
      </c>
      <c r="P454" s="126">
        <f t="shared" si="183"/>
        <v>50</v>
      </c>
      <c r="Q454" s="126">
        <f t="shared" si="183"/>
        <v>50</v>
      </c>
      <c r="R454" s="126">
        <f t="shared" si="183"/>
        <v>50</v>
      </c>
      <c r="S454" s="126">
        <f t="shared" si="183"/>
        <v>50</v>
      </c>
      <c r="T454" s="126">
        <f t="shared" si="183"/>
        <v>50</v>
      </c>
      <c r="U454" s="126">
        <f t="shared" si="183"/>
        <v>50</v>
      </c>
      <c r="V454" s="126">
        <f t="shared" si="183"/>
        <v>50</v>
      </c>
      <c r="W454" s="126">
        <f t="shared" si="183"/>
        <v>50</v>
      </c>
      <c r="X454" s="126">
        <f t="shared" si="183"/>
        <v>50</v>
      </c>
      <c r="Y454" s="126">
        <f t="shared" si="183"/>
        <v>50</v>
      </c>
      <c r="Z454" s="126">
        <f t="shared" si="183"/>
        <v>50</v>
      </c>
      <c r="AA454" s="126">
        <f t="shared" si="183"/>
        <v>50</v>
      </c>
      <c r="AB454" s="126">
        <f t="shared" si="183"/>
        <v>50</v>
      </c>
      <c r="AC454" s="126">
        <f t="shared" si="183"/>
        <v>50</v>
      </c>
      <c r="AD454" s="126">
        <f t="shared" si="183"/>
        <v>50</v>
      </c>
      <c r="AE454" s="126">
        <f t="shared" si="183"/>
        <v>50</v>
      </c>
      <c r="AF454" s="126">
        <f t="shared" si="183"/>
        <v>50</v>
      </c>
      <c r="AG454" s="126">
        <f t="shared" si="183"/>
        <v>50</v>
      </c>
      <c r="AH454" s="126">
        <f t="shared" si="183"/>
        <v>50</v>
      </c>
    </row>
    <row r="455" spans="1:34" s="20" customFormat="1" ht="14" x14ac:dyDescent="0.2">
      <c r="A455" s="8"/>
      <c r="B455" s="8" t="s">
        <v>410</v>
      </c>
      <c r="C455" s="8"/>
      <c r="D455" s="8" t="str">
        <f>'Assumptions - General'!$E$27 &amp;" millions"</f>
        <v>R$ millions</v>
      </c>
      <c r="E455" s="126">
        <f t="shared" si="182"/>
        <v>0</v>
      </c>
      <c r="F455" s="126">
        <f t="shared" si="182"/>
        <v>0</v>
      </c>
      <c r="G455" s="126">
        <f t="shared" ref="G455:AH455" si="184">G438*G$453</f>
        <v>0</v>
      </c>
      <c r="H455" s="126">
        <f t="shared" si="184"/>
        <v>0</v>
      </c>
      <c r="I455" s="126">
        <f t="shared" si="184"/>
        <v>0</v>
      </c>
      <c r="J455" s="126">
        <f t="shared" si="184"/>
        <v>0</v>
      </c>
      <c r="K455" s="126">
        <f t="shared" si="184"/>
        <v>0</v>
      </c>
      <c r="L455" s="126">
        <f t="shared" si="184"/>
        <v>0</v>
      </c>
      <c r="M455" s="126">
        <f t="shared" si="184"/>
        <v>0</v>
      </c>
      <c r="N455" s="126">
        <f t="shared" si="184"/>
        <v>0</v>
      </c>
      <c r="O455" s="126">
        <f t="shared" si="184"/>
        <v>0</v>
      </c>
      <c r="P455" s="126">
        <f t="shared" si="184"/>
        <v>0</v>
      </c>
      <c r="Q455" s="126">
        <f t="shared" si="184"/>
        <v>0</v>
      </c>
      <c r="R455" s="126">
        <f t="shared" si="184"/>
        <v>0</v>
      </c>
      <c r="S455" s="126">
        <f t="shared" si="184"/>
        <v>0</v>
      </c>
      <c r="T455" s="126">
        <f t="shared" si="184"/>
        <v>0</v>
      </c>
      <c r="U455" s="126">
        <f t="shared" si="184"/>
        <v>0</v>
      </c>
      <c r="V455" s="126">
        <f t="shared" si="184"/>
        <v>0</v>
      </c>
      <c r="W455" s="126">
        <f t="shared" si="184"/>
        <v>0</v>
      </c>
      <c r="X455" s="126">
        <f t="shared" si="184"/>
        <v>0</v>
      </c>
      <c r="Y455" s="126">
        <f t="shared" si="184"/>
        <v>0</v>
      </c>
      <c r="Z455" s="126">
        <f t="shared" si="184"/>
        <v>0</v>
      </c>
      <c r="AA455" s="126">
        <f t="shared" si="184"/>
        <v>0</v>
      </c>
      <c r="AB455" s="126">
        <f t="shared" si="184"/>
        <v>0</v>
      </c>
      <c r="AC455" s="126">
        <f t="shared" si="184"/>
        <v>0</v>
      </c>
      <c r="AD455" s="126">
        <f t="shared" si="184"/>
        <v>0</v>
      </c>
      <c r="AE455" s="126">
        <f t="shared" si="184"/>
        <v>0</v>
      </c>
      <c r="AF455" s="126">
        <f t="shared" si="184"/>
        <v>0</v>
      </c>
      <c r="AG455" s="126">
        <f t="shared" si="184"/>
        <v>0</v>
      </c>
      <c r="AH455" s="126">
        <f t="shared" si="184"/>
        <v>0</v>
      </c>
    </row>
    <row r="456" spans="1:34" s="20" customFormat="1" ht="14" x14ac:dyDescent="0.2">
      <c r="A456" s="8"/>
      <c r="B456" s="8" t="s">
        <v>137</v>
      </c>
      <c r="C456" s="8"/>
      <c r="D456" s="8" t="str">
        <f>'Assumptions - General'!$E$27 &amp;" millions"</f>
        <v>R$ millions</v>
      </c>
      <c r="E456" s="126">
        <f t="shared" ref="E456:F462" si="185">E444*E$453</f>
        <v>0</v>
      </c>
      <c r="F456" s="126">
        <f t="shared" si="185"/>
        <v>0</v>
      </c>
      <c r="G456" s="126">
        <f t="shared" ref="G456:AH456" si="186">G444*G$453</f>
        <v>10</v>
      </c>
      <c r="H456" s="126">
        <f t="shared" si="186"/>
        <v>10</v>
      </c>
      <c r="I456" s="126">
        <f t="shared" si="186"/>
        <v>10</v>
      </c>
      <c r="J456" s="126">
        <f t="shared" si="186"/>
        <v>10</v>
      </c>
      <c r="K456" s="126">
        <f t="shared" si="186"/>
        <v>10</v>
      </c>
      <c r="L456" s="126">
        <f t="shared" si="186"/>
        <v>0</v>
      </c>
      <c r="M456" s="126">
        <f t="shared" si="186"/>
        <v>0</v>
      </c>
      <c r="N456" s="126">
        <f t="shared" si="186"/>
        <v>0</v>
      </c>
      <c r="O456" s="126">
        <f t="shared" si="186"/>
        <v>0</v>
      </c>
      <c r="P456" s="126">
        <f t="shared" si="186"/>
        <v>0</v>
      </c>
      <c r="Q456" s="126">
        <f t="shared" si="186"/>
        <v>0</v>
      </c>
      <c r="R456" s="126">
        <f t="shared" si="186"/>
        <v>0</v>
      </c>
      <c r="S456" s="126">
        <f t="shared" si="186"/>
        <v>0</v>
      </c>
      <c r="T456" s="126">
        <f t="shared" si="186"/>
        <v>0</v>
      </c>
      <c r="U456" s="126">
        <f t="shared" si="186"/>
        <v>0</v>
      </c>
      <c r="V456" s="126">
        <f t="shared" si="186"/>
        <v>0</v>
      </c>
      <c r="W456" s="126">
        <f t="shared" si="186"/>
        <v>0</v>
      </c>
      <c r="X456" s="126">
        <f t="shared" si="186"/>
        <v>0</v>
      </c>
      <c r="Y456" s="126">
        <f t="shared" si="186"/>
        <v>0</v>
      </c>
      <c r="Z456" s="126">
        <f t="shared" si="186"/>
        <v>0</v>
      </c>
      <c r="AA456" s="126">
        <f t="shared" si="186"/>
        <v>0</v>
      </c>
      <c r="AB456" s="126">
        <f t="shared" si="186"/>
        <v>0</v>
      </c>
      <c r="AC456" s="126">
        <f t="shared" si="186"/>
        <v>0</v>
      </c>
      <c r="AD456" s="126">
        <f t="shared" si="186"/>
        <v>0</v>
      </c>
      <c r="AE456" s="126">
        <f t="shared" si="186"/>
        <v>0</v>
      </c>
      <c r="AF456" s="126">
        <f t="shared" si="186"/>
        <v>0</v>
      </c>
      <c r="AG456" s="126">
        <f t="shared" si="186"/>
        <v>0</v>
      </c>
      <c r="AH456" s="126">
        <f t="shared" si="186"/>
        <v>0</v>
      </c>
    </row>
    <row r="457" spans="1:34" s="20" customFormat="1" ht="14" x14ac:dyDescent="0.2">
      <c r="A457" s="8"/>
      <c r="B457" s="8" t="s">
        <v>138</v>
      </c>
      <c r="C457" s="8"/>
      <c r="D457" s="8" t="str">
        <f>'Assumptions - General'!$E$27 &amp;" millions"</f>
        <v>R$ millions</v>
      </c>
      <c r="E457" s="126">
        <f t="shared" si="185"/>
        <v>0</v>
      </c>
      <c r="F457" s="126">
        <f t="shared" si="185"/>
        <v>0</v>
      </c>
      <c r="G457" s="126">
        <f t="shared" ref="G457:AH457" si="187">G445*G$453</f>
        <v>10</v>
      </c>
      <c r="H457" s="126">
        <f t="shared" si="187"/>
        <v>20</v>
      </c>
      <c r="I457" s="126">
        <f t="shared" si="187"/>
        <v>30</v>
      </c>
      <c r="J457" s="126">
        <f t="shared" si="187"/>
        <v>40</v>
      </c>
      <c r="K457" s="126">
        <f t="shared" si="187"/>
        <v>50</v>
      </c>
      <c r="L457" s="126">
        <f t="shared" si="187"/>
        <v>50</v>
      </c>
      <c r="M457" s="126">
        <f t="shared" si="187"/>
        <v>50</v>
      </c>
      <c r="N457" s="126">
        <f t="shared" si="187"/>
        <v>50</v>
      </c>
      <c r="O457" s="126">
        <f t="shared" si="187"/>
        <v>50</v>
      </c>
      <c r="P457" s="126">
        <f t="shared" si="187"/>
        <v>50</v>
      </c>
      <c r="Q457" s="126">
        <f t="shared" si="187"/>
        <v>50</v>
      </c>
      <c r="R457" s="126">
        <f t="shared" si="187"/>
        <v>50</v>
      </c>
      <c r="S457" s="126">
        <f t="shared" si="187"/>
        <v>50</v>
      </c>
      <c r="T457" s="126">
        <f t="shared" si="187"/>
        <v>50</v>
      </c>
      <c r="U457" s="126">
        <f t="shared" si="187"/>
        <v>50</v>
      </c>
      <c r="V457" s="126">
        <f t="shared" si="187"/>
        <v>50</v>
      </c>
      <c r="W457" s="126">
        <f t="shared" si="187"/>
        <v>50</v>
      </c>
      <c r="X457" s="126">
        <f t="shared" si="187"/>
        <v>50</v>
      </c>
      <c r="Y457" s="126">
        <f t="shared" si="187"/>
        <v>50</v>
      </c>
      <c r="Z457" s="126">
        <f t="shared" si="187"/>
        <v>50</v>
      </c>
      <c r="AA457" s="126">
        <f t="shared" si="187"/>
        <v>50</v>
      </c>
      <c r="AB457" s="126">
        <f t="shared" si="187"/>
        <v>50</v>
      </c>
      <c r="AC457" s="126">
        <f t="shared" si="187"/>
        <v>50</v>
      </c>
      <c r="AD457" s="126">
        <f t="shared" si="187"/>
        <v>50</v>
      </c>
      <c r="AE457" s="126">
        <f t="shared" si="187"/>
        <v>50</v>
      </c>
      <c r="AF457" s="126">
        <f t="shared" si="187"/>
        <v>50</v>
      </c>
      <c r="AG457" s="126">
        <f t="shared" si="187"/>
        <v>50</v>
      </c>
      <c r="AH457" s="126">
        <f t="shared" si="187"/>
        <v>50</v>
      </c>
    </row>
    <row r="458" spans="1:34" s="20" customFormat="1" ht="14" x14ac:dyDescent="0.2">
      <c r="A458" s="8"/>
      <c r="B458" s="8" t="s">
        <v>139</v>
      </c>
      <c r="C458" s="8"/>
      <c r="D458" s="8" t="str">
        <f>'Assumptions - General'!$E$27 &amp;" millions"</f>
        <v>R$ millions</v>
      </c>
      <c r="E458" s="126">
        <f t="shared" si="185"/>
        <v>0</v>
      </c>
      <c r="F458" s="126">
        <f t="shared" si="185"/>
        <v>0</v>
      </c>
      <c r="G458" s="126">
        <f t="shared" ref="G458:AH458" si="188">G446*G$453</f>
        <v>0.1</v>
      </c>
      <c r="H458" s="126">
        <f t="shared" si="188"/>
        <v>0.3</v>
      </c>
      <c r="I458" s="126">
        <f t="shared" si="188"/>
        <v>0.5</v>
      </c>
      <c r="J458" s="126">
        <f t="shared" si="188"/>
        <v>0.70000000000000007</v>
      </c>
      <c r="K458" s="126">
        <f t="shared" si="188"/>
        <v>0.9</v>
      </c>
      <c r="L458" s="126">
        <f t="shared" si="188"/>
        <v>1</v>
      </c>
      <c r="M458" s="126">
        <f t="shared" si="188"/>
        <v>1</v>
      </c>
      <c r="N458" s="126">
        <f t="shared" si="188"/>
        <v>1</v>
      </c>
      <c r="O458" s="126">
        <f t="shared" si="188"/>
        <v>1</v>
      </c>
      <c r="P458" s="126">
        <f t="shared" si="188"/>
        <v>1</v>
      </c>
      <c r="Q458" s="126">
        <f t="shared" si="188"/>
        <v>1</v>
      </c>
      <c r="R458" s="126">
        <f t="shared" si="188"/>
        <v>1</v>
      </c>
      <c r="S458" s="126">
        <f t="shared" si="188"/>
        <v>1</v>
      </c>
      <c r="T458" s="126">
        <f t="shared" si="188"/>
        <v>1</v>
      </c>
      <c r="U458" s="126">
        <f t="shared" si="188"/>
        <v>1</v>
      </c>
      <c r="V458" s="126">
        <f t="shared" si="188"/>
        <v>1</v>
      </c>
      <c r="W458" s="126">
        <f t="shared" si="188"/>
        <v>1</v>
      </c>
      <c r="X458" s="126">
        <f t="shared" si="188"/>
        <v>1</v>
      </c>
      <c r="Y458" s="126">
        <f t="shared" si="188"/>
        <v>1</v>
      </c>
      <c r="Z458" s="126">
        <f t="shared" si="188"/>
        <v>1</v>
      </c>
      <c r="AA458" s="126">
        <f t="shared" si="188"/>
        <v>1</v>
      </c>
      <c r="AB458" s="126">
        <f t="shared" si="188"/>
        <v>1</v>
      </c>
      <c r="AC458" s="126">
        <f t="shared" si="188"/>
        <v>1</v>
      </c>
      <c r="AD458" s="126">
        <f t="shared" si="188"/>
        <v>1</v>
      </c>
      <c r="AE458" s="126">
        <f t="shared" si="188"/>
        <v>1</v>
      </c>
      <c r="AF458" s="126">
        <f t="shared" si="188"/>
        <v>1</v>
      </c>
      <c r="AG458" s="126">
        <f t="shared" si="188"/>
        <v>1</v>
      </c>
      <c r="AH458" s="126">
        <f t="shared" si="188"/>
        <v>1</v>
      </c>
    </row>
    <row r="459" spans="1:34" s="20" customFormat="1" ht="14" x14ac:dyDescent="0.2">
      <c r="A459" s="8"/>
      <c r="B459" s="8" t="s">
        <v>53</v>
      </c>
      <c r="C459" s="8"/>
      <c r="D459" s="8" t="str">
        <f>'Assumptions - General'!$E$27 &amp;" millions"</f>
        <v>R$ millions</v>
      </c>
      <c r="E459" s="126">
        <f t="shared" si="185"/>
        <v>0</v>
      </c>
      <c r="F459" s="126">
        <f t="shared" si="185"/>
        <v>0</v>
      </c>
      <c r="G459" s="126">
        <f t="shared" ref="G459:AH459" si="189">G447*G$453</f>
        <v>0.125</v>
      </c>
      <c r="H459" s="126">
        <f t="shared" si="189"/>
        <v>0</v>
      </c>
      <c r="I459" s="126">
        <f t="shared" si="189"/>
        <v>0</v>
      </c>
      <c r="J459" s="126">
        <f t="shared" si="189"/>
        <v>0</v>
      </c>
      <c r="K459" s="126">
        <f t="shared" si="189"/>
        <v>0</v>
      </c>
      <c r="L459" s="126">
        <f t="shared" si="189"/>
        <v>0</v>
      </c>
      <c r="M459" s="126">
        <f t="shared" si="189"/>
        <v>0</v>
      </c>
      <c r="N459" s="126">
        <f t="shared" si="189"/>
        <v>0</v>
      </c>
      <c r="O459" s="126">
        <f t="shared" si="189"/>
        <v>0</v>
      </c>
      <c r="P459" s="126">
        <f t="shared" si="189"/>
        <v>0</v>
      </c>
      <c r="Q459" s="126">
        <f t="shared" si="189"/>
        <v>0</v>
      </c>
      <c r="R459" s="126">
        <f t="shared" si="189"/>
        <v>0</v>
      </c>
      <c r="S459" s="126">
        <f t="shared" si="189"/>
        <v>0</v>
      </c>
      <c r="T459" s="126">
        <f t="shared" si="189"/>
        <v>0</v>
      </c>
      <c r="U459" s="126">
        <f t="shared" si="189"/>
        <v>0</v>
      </c>
      <c r="V459" s="126">
        <f t="shared" si="189"/>
        <v>0</v>
      </c>
      <c r="W459" s="126">
        <f t="shared" si="189"/>
        <v>0</v>
      </c>
      <c r="X459" s="126">
        <f t="shared" si="189"/>
        <v>0</v>
      </c>
      <c r="Y459" s="126">
        <f t="shared" si="189"/>
        <v>0</v>
      </c>
      <c r="Z459" s="126">
        <f t="shared" si="189"/>
        <v>0</v>
      </c>
      <c r="AA459" s="126">
        <f t="shared" si="189"/>
        <v>0</v>
      </c>
      <c r="AB459" s="126">
        <f t="shared" si="189"/>
        <v>0</v>
      </c>
      <c r="AC459" s="126">
        <f t="shared" si="189"/>
        <v>0</v>
      </c>
      <c r="AD459" s="126">
        <f t="shared" si="189"/>
        <v>0</v>
      </c>
      <c r="AE459" s="126">
        <f t="shared" si="189"/>
        <v>0</v>
      </c>
      <c r="AF459" s="126">
        <f t="shared" si="189"/>
        <v>0</v>
      </c>
      <c r="AG459" s="126">
        <f t="shared" si="189"/>
        <v>0</v>
      </c>
      <c r="AH459" s="126">
        <f t="shared" si="189"/>
        <v>0</v>
      </c>
    </row>
    <row r="460" spans="1:34" s="20" customFormat="1" ht="14" x14ac:dyDescent="0.2">
      <c r="A460" s="8"/>
      <c r="B460" s="8" t="s">
        <v>142</v>
      </c>
      <c r="C460" s="8"/>
      <c r="D460" s="8" t="str">
        <f>'Assumptions - General'!$E$27 &amp;" millions"</f>
        <v>R$ millions</v>
      </c>
      <c r="E460" s="126">
        <f t="shared" si="185"/>
        <v>0</v>
      </c>
      <c r="F460" s="126">
        <f t="shared" si="185"/>
        <v>0</v>
      </c>
      <c r="G460" s="126">
        <f t="shared" ref="G460:AH460" si="190">G448*G$453</f>
        <v>40</v>
      </c>
      <c r="H460" s="126">
        <f t="shared" si="190"/>
        <v>30</v>
      </c>
      <c r="I460" s="126">
        <f t="shared" si="190"/>
        <v>20</v>
      </c>
      <c r="J460" s="126">
        <f t="shared" si="190"/>
        <v>10</v>
      </c>
      <c r="K460" s="126">
        <f t="shared" si="190"/>
        <v>0</v>
      </c>
      <c r="L460" s="126">
        <f t="shared" si="190"/>
        <v>0</v>
      </c>
      <c r="M460" s="126">
        <f t="shared" si="190"/>
        <v>0</v>
      </c>
      <c r="N460" s="126">
        <f t="shared" si="190"/>
        <v>0</v>
      </c>
      <c r="O460" s="126">
        <f t="shared" si="190"/>
        <v>0</v>
      </c>
      <c r="P460" s="126">
        <f t="shared" si="190"/>
        <v>0</v>
      </c>
      <c r="Q460" s="126">
        <f t="shared" si="190"/>
        <v>0</v>
      </c>
      <c r="R460" s="126">
        <f t="shared" si="190"/>
        <v>0</v>
      </c>
      <c r="S460" s="126">
        <f t="shared" si="190"/>
        <v>0</v>
      </c>
      <c r="T460" s="126">
        <f t="shared" si="190"/>
        <v>0</v>
      </c>
      <c r="U460" s="126">
        <f t="shared" si="190"/>
        <v>0</v>
      </c>
      <c r="V460" s="126">
        <f t="shared" si="190"/>
        <v>0</v>
      </c>
      <c r="W460" s="126">
        <f t="shared" si="190"/>
        <v>0</v>
      </c>
      <c r="X460" s="126">
        <f t="shared" si="190"/>
        <v>0</v>
      </c>
      <c r="Y460" s="126">
        <f t="shared" si="190"/>
        <v>0</v>
      </c>
      <c r="Z460" s="126">
        <f t="shared" si="190"/>
        <v>0</v>
      </c>
      <c r="AA460" s="126">
        <f t="shared" si="190"/>
        <v>0</v>
      </c>
      <c r="AB460" s="126">
        <f t="shared" si="190"/>
        <v>0</v>
      </c>
      <c r="AC460" s="126">
        <f t="shared" si="190"/>
        <v>0</v>
      </c>
      <c r="AD460" s="126">
        <f t="shared" si="190"/>
        <v>0</v>
      </c>
      <c r="AE460" s="126">
        <f t="shared" si="190"/>
        <v>0</v>
      </c>
      <c r="AF460" s="126">
        <f t="shared" si="190"/>
        <v>0</v>
      </c>
      <c r="AG460" s="126">
        <f t="shared" si="190"/>
        <v>0</v>
      </c>
      <c r="AH460" s="126">
        <f t="shared" si="190"/>
        <v>0</v>
      </c>
    </row>
    <row r="461" spans="1:34" s="20" customFormat="1" ht="14" x14ac:dyDescent="0.2">
      <c r="A461" s="8"/>
      <c r="B461" s="8" t="s">
        <v>55</v>
      </c>
      <c r="C461" s="8"/>
      <c r="D461" s="8" t="str">
        <f>'Assumptions - General'!$E$27 &amp;" millions"</f>
        <v>R$ millions</v>
      </c>
      <c r="E461" s="126">
        <f t="shared" si="185"/>
        <v>0</v>
      </c>
      <c r="F461" s="126">
        <f t="shared" si="185"/>
        <v>0</v>
      </c>
      <c r="G461" s="126">
        <f t="shared" ref="G461:AH461" si="191">G449*G$453</f>
        <v>0</v>
      </c>
      <c r="H461" s="126">
        <f t="shared" si="191"/>
        <v>0</v>
      </c>
      <c r="I461" s="126">
        <f t="shared" si="191"/>
        <v>0</v>
      </c>
      <c r="J461" s="126">
        <f t="shared" si="191"/>
        <v>0</v>
      </c>
      <c r="K461" s="126">
        <f t="shared" si="191"/>
        <v>0</v>
      </c>
      <c r="L461" s="126">
        <f t="shared" si="191"/>
        <v>0</v>
      </c>
      <c r="M461" s="126">
        <f t="shared" si="191"/>
        <v>0</v>
      </c>
      <c r="N461" s="126">
        <f t="shared" si="191"/>
        <v>0</v>
      </c>
      <c r="O461" s="126">
        <f t="shared" si="191"/>
        <v>0</v>
      </c>
      <c r="P461" s="126">
        <f t="shared" si="191"/>
        <v>0</v>
      </c>
      <c r="Q461" s="126">
        <f t="shared" si="191"/>
        <v>0</v>
      </c>
      <c r="R461" s="126">
        <f t="shared" si="191"/>
        <v>0</v>
      </c>
      <c r="S461" s="126">
        <f t="shared" si="191"/>
        <v>0</v>
      </c>
      <c r="T461" s="126">
        <f t="shared" si="191"/>
        <v>0</v>
      </c>
      <c r="U461" s="126">
        <f t="shared" si="191"/>
        <v>0</v>
      </c>
      <c r="V461" s="126">
        <f t="shared" si="191"/>
        <v>0</v>
      </c>
      <c r="W461" s="126">
        <f t="shared" si="191"/>
        <v>0</v>
      </c>
      <c r="X461" s="126">
        <f t="shared" si="191"/>
        <v>0</v>
      </c>
      <c r="Y461" s="126">
        <f t="shared" si="191"/>
        <v>0</v>
      </c>
      <c r="Z461" s="126">
        <f t="shared" si="191"/>
        <v>0</v>
      </c>
      <c r="AA461" s="126">
        <f t="shared" si="191"/>
        <v>0</v>
      </c>
      <c r="AB461" s="126">
        <f t="shared" si="191"/>
        <v>0</v>
      </c>
      <c r="AC461" s="126">
        <f t="shared" si="191"/>
        <v>0</v>
      </c>
      <c r="AD461" s="126">
        <f t="shared" si="191"/>
        <v>0</v>
      </c>
      <c r="AE461" s="126">
        <f t="shared" si="191"/>
        <v>0</v>
      </c>
      <c r="AF461" s="126">
        <f t="shared" si="191"/>
        <v>0</v>
      </c>
      <c r="AG461" s="126">
        <f t="shared" si="191"/>
        <v>0</v>
      </c>
      <c r="AH461" s="126">
        <f t="shared" si="191"/>
        <v>0</v>
      </c>
    </row>
    <row r="462" spans="1:34" s="20" customFormat="1" ht="14" x14ac:dyDescent="0.2">
      <c r="A462" s="8"/>
      <c r="B462" s="8" t="s">
        <v>140</v>
      </c>
      <c r="C462" s="8"/>
      <c r="D462" s="8" t="str">
        <f>'Assumptions - General'!$E$27 &amp;" millions"</f>
        <v>R$ millions</v>
      </c>
      <c r="E462" s="126">
        <f t="shared" si="185"/>
        <v>0</v>
      </c>
      <c r="F462" s="126">
        <f t="shared" si="185"/>
        <v>0</v>
      </c>
      <c r="G462" s="126">
        <f t="shared" ref="G462:AH462" si="192">G450*G$453</f>
        <v>0.22500000000000001</v>
      </c>
      <c r="H462" s="126">
        <f t="shared" si="192"/>
        <v>0.3</v>
      </c>
      <c r="I462" s="126">
        <f t="shared" si="192"/>
        <v>0.5</v>
      </c>
      <c r="J462" s="126">
        <f t="shared" si="192"/>
        <v>0.70000000000000007</v>
      </c>
      <c r="K462" s="126">
        <f t="shared" si="192"/>
        <v>0.9</v>
      </c>
      <c r="L462" s="126">
        <f t="shared" si="192"/>
        <v>1</v>
      </c>
      <c r="M462" s="126">
        <f t="shared" si="192"/>
        <v>1</v>
      </c>
      <c r="N462" s="126">
        <f t="shared" si="192"/>
        <v>1</v>
      </c>
      <c r="O462" s="126">
        <f t="shared" si="192"/>
        <v>1</v>
      </c>
      <c r="P462" s="126">
        <f t="shared" si="192"/>
        <v>1</v>
      </c>
      <c r="Q462" s="126">
        <f t="shared" si="192"/>
        <v>1</v>
      </c>
      <c r="R462" s="126">
        <f t="shared" si="192"/>
        <v>1</v>
      </c>
      <c r="S462" s="126">
        <f t="shared" si="192"/>
        <v>1</v>
      </c>
      <c r="T462" s="126">
        <f t="shared" si="192"/>
        <v>1</v>
      </c>
      <c r="U462" s="126">
        <f t="shared" si="192"/>
        <v>1</v>
      </c>
      <c r="V462" s="126">
        <f t="shared" si="192"/>
        <v>1</v>
      </c>
      <c r="W462" s="126">
        <f t="shared" si="192"/>
        <v>1</v>
      </c>
      <c r="X462" s="126">
        <f t="shared" si="192"/>
        <v>1</v>
      </c>
      <c r="Y462" s="126">
        <f t="shared" si="192"/>
        <v>1</v>
      </c>
      <c r="Z462" s="126">
        <f t="shared" si="192"/>
        <v>1</v>
      </c>
      <c r="AA462" s="126">
        <f t="shared" si="192"/>
        <v>1</v>
      </c>
      <c r="AB462" s="126">
        <f t="shared" si="192"/>
        <v>1</v>
      </c>
      <c r="AC462" s="126">
        <f t="shared" si="192"/>
        <v>1</v>
      </c>
      <c r="AD462" s="126">
        <f t="shared" si="192"/>
        <v>1</v>
      </c>
      <c r="AE462" s="126">
        <f t="shared" si="192"/>
        <v>1</v>
      </c>
      <c r="AF462" s="126">
        <f t="shared" si="192"/>
        <v>1</v>
      </c>
      <c r="AG462" s="126">
        <f t="shared" si="192"/>
        <v>1</v>
      </c>
      <c r="AH462" s="126">
        <f t="shared" si="192"/>
        <v>1</v>
      </c>
    </row>
    <row r="463" spans="1:34" s="20" customFormat="1" ht="14" x14ac:dyDescent="0.2">
      <c r="A463" s="8"/>
      <c r="B463" s="8"/>
      <c r="C463" s="8"/>
      <c r="D463" s="8"/>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c r="AA463" s="126"/>
      <c r="AB463" s="126"/>
      <c r="AC463" s="126"/>
      <c r="AD463" s="126"/>
      <c r="AE463" s="126"/>
      <c r="AF463" s="126"/>
      <c r="AG463" s="126"/>
      <c r="AH463" s="126"/>
    </row>
    <row r="464" spans="1:34" s="20" customFormat="1" ht="14" x14ac:dyDescent="0.2">
      <c r="A464" s="8"/>
      <c r="B464" s="21" t="str">
        <f>"New loan from " &amp; 'Assumptions - Freight'!E538</f>
        <v>New loan from Regional bank</v>
      </c>
      <c r="C464" s="8"/>
      <c r="D464" s="8"/>
      <c r="E464" s="8"/>
      <c r="F464" s="8"/>
      <c r="G464" s="8"/>
      <c r="H464" s="8"/>
      <c r="I464" s="8"/>
      <c r="J464" s="8"/>
      <c r="K464" s="8"/>
      <c r="L464" s="8"/>
      <c r="M464" s="8"/>
      <c r="N464" s="8"/>
      <c r="O464" s="8"/>
      <c r="P464" s="8"/>
      <c r="Q464" s="8"/>
      <c r="R464" s="8"/>
      <c r="S464" s="8"/>
      <c r="T464" s="8"/>
      <c r="U464" s="8"/>
      <c r="V464" s="8"/>
      <c r="W464" s="8"/>
      <c r="X464" s="8"/>
      <c r="Y464" s="8"/>
      <c r="Z464" s="8"/>
      <c r="AA464" s="8"/>
      <c r="AB464" s="8"/>
      <c r="AC464" s="8"/>
      <c r="AD464" s="8"/>
      <c r="AE464" s="8"/>
      <c r="AF464" s="8"/>
      <c r="AG464" s="8"/>
      <c r="AH464" s="8"/>
    </row>
    <row r="465" spans="1:34" s="20" customFormat="1" ht="14" x14ac:dyDescent="0.2">
      <c r="A465" s="8"/>
      <c r="B465" s="8" t="s">
        <v>293</v>
      </c>
      <c r="C465" s="8"/>
      <c r="D465" s="8" t="s">
        <v>99</v>
      </c>
      <c r="E465" s="8"/>
      <c r="F465" s="8">
        <f>IF('[1]Assumptions - Freight'!$E$542&lt;&gt;0,IF(F$4&lt;'[1]Assumptions - Freight'!$E$539+'[1]Assumptions - Freight'!$E$549,0,E465+1),0)</f>
        <v>0</v>
      </c>
      <c r="G465" s="8">
        <f>IF('Assumptions - Freight'!$E$542&lt;&gt;0,IF(G$4&lt;'Assumptions - Freight'!$E$539+'Assumptions - Freight'!$E$549,0,F465+1),0)</f>
        <v>0</v>
      </c>
      <c r="H465" s="8">
        <f>IF('Assumptions - Freight'!$E$542&lt;&gt;0,IF(H$4&lt;'Assumptions - Freight'!$E$539+'Assumptions - Freight'!$E$549,0,G465+1),0)</f>
        <v>1</v>
      </c>
      <c r="I465" s="8">
        <f>IF('Assumptions - Freight'!$E$542&lt;&gt;0,IF(I$4&lt;'Assumptions - Freight'!$E$539+'Assumptions - Freight'!$E$549,0,H465+1),0)</f>
        <v>2</v>
      </c>
      <c r="J465" s="8">
        <f>IF('Assumptions - Freight'!$E$542&lt;&gt;0,IF(J$4&lt;'Assumptions - Freight'!$E$539+'Assumptions - Freight'!$E$549,0,I465+1),0)</f>
        <v>3</v>
      </c>
      <c r="K465" s="8">
        <f>IF('Assumptions - Freight'!$E$542&lt;&gt;0,IF(K$4&lt;'Assumptions - Freight'!$E$539+'Assumptions - Freight'!$E$549,0,J465+1),0)</f>
        <v>4</v>
      </c>
      <c r="L465" s="8">
        <f>IF('Assumptions - Freight'!$E$542&lt;&gt;0,IF(L$4&lt;'Assumptions - Freight'!$E$539+'Assumptions - Freight'!$E$549,0,K465+1),0)</f>
        <v>5</v>
      </c>
      <c r="M465" s="8">
        <f>IF('Assumptions - Freight'!$E$542&lt;&gt;0,IF(M$4&lt;'Assumptions - Freight'!$E$539+'Assumptions - Freight'!$E$549,0,L465+1),0)</f>
        <v>6</v>
      </c>
      <c r="N465" s="8">
        <f>IF('Assumptions - Freight'!$E$542&lt;&gt;0,IF(N$4&lt;'Assumptions - Freight'!$E$539+'Assumptions - Freight'!$E$549,0,M465+1),0)</f>
        <v>7</v>
      </c>
      <c r="O465" s="8">
        <f>IF('Assumptions - Freight'!$E$542&lt;&gt;0,IF(O$4&lt;'Assumptions - Freight'!$E$539+'Assumptions - Freight'!$E$549,0,N465+1),0)</f>
        <v>8</v>
      </c>
      <c r="P465" s="8">
        <f>IF('Assumptions - Freight'!$E$542&lt;&gt;0,IF(P$4&lt;'Assumptions - Freight'!$E$539+'Assumptions - Freight'!$E$549,0,O465+1),0)</f>
        <v>9</v>
      </c>
      <c r="Q465" s="8">
        <f>IF('Assumptions - Freight'!$E$542&lt;&gt;0,IF(Q$4&lt;'Assumptions - Freight'!$E$539+'Assumptions - Freight'!$E$549,0,P465+1),0)</f>
        <v>10</v>
      </c>
      <c r="R465" s="8">
        <f>IF('Assumptions - Freight'!$E$542&lt;&gt;0,IF(R$4&lt;'Assumptions - Freight'!$E$539+'Assumptions - Freight'!$E$549,0,Q465+1),0)</f>
        <v>11</v>
      </c>
      <c r="S465" s="8">
        <f>IF('Assumptions - Freight'!$E$542&lt;&gt;0,IF(S$4&lt;'Assumptions - Freight'!$E$539+'Assumptions - Freight'!$E$549,0,R465+1),0)</f>
        <v>12</v>
      </c>
      <c r="T465" s="8">
        <f>IF('Assumptions - Freight'!$E$542&lt;&gt;0,IF(T$4&lt;'Assumptions - Freight'!$E$539+'Assumptions - Freight'!$E$549,0,S465+1),0)</f>
        <v>13</v>
      </c>
      <c r="U465" s="8">
        <f>IF('Assumptions - Freight'!$E$542&lt;&gt;0,IF(U$4&lt;'Assumptions - Freight'!$E$539+'Assumptions - Freight'!$E$549,0,T465+1),0)</f>
        <v>14</v>
      </c>
      <c r="V465" s="8">
        <f>IF('Assumptions - Freight'!$E$542&lt;&gt;0,IF(V$4&lt;'Assumptions - Freight'!$E$539+'Assumptions - Freight'!$E$549,0,U465+1),0)</f>
        <v>15</v>
      </c>
      <c r="W465" s="8">
        <f>IF('Assumptions - Freight'!$E$542&lt;&gt;0,IF(W$4&lt;'Assumptions - Freight'!$E$539+'Assumptions - Freight'!$E$549,0,V465+1),0)</f>
        <v>16</v>
      </c>
      <c r="X465" s="8">
        <f>IF('Assumptions - Freight'!$E$542&lt;&gt;0,IF(X$4&lt;'Assumptions - Freight'!$E$539+'Assumptions - Freight'!$E$549,0,W465+1),0)</f>
        <v>17</v>
      </c>
      <c r="Y465" s="8">
        <f>IF('Assumptions - Freight'!$E$542&lt;&gt;0,IF(Y$4&lt;'Assumptions - Freight'!$E$539+'Assumptions - Freight'!$E$549,0,X465+1),0)</f>
        <v>18</v>
      </c>
      <c r="Z465" s="8">
        <f>IF('Assumptions - Freight'!$E$542&lt;&gt;0,IF(Z$4&lt;'Assumptions - Freight'!$E$539+'Assumptions - Freight'!$E$549,0,Y465+1),0)</f>
        <v>19</v>
      </c>
      <c r="AA465" s="8">
        <f>IF('Assumptions - Freight'!$E$542&lt;&gt;0,IF(AA$4&lt;'Assumptions - Freight'!$E$539+'Assumptions - Freight'!$E$549,0,Z465+1),0)</f>
        <v>20</v>
      </c>
      <c r="AB465" s="8">
        <f>IF('Assumptions - Freight'!$E$542&lt;&gt;0,IF(AB$4&lt;'Assumptions - Freight'!$E$539+'Assumptions - Freight'!$E$549,0,AA465+1),0)</f>
        <v>21</v>
      </c>
      <c r="AC465" s="8">
        <f>IF('Assumptions - Freight'!$E$542&lt;&gt;0,IF(AC$4&lt;'Assumptions - Freight'!$E$539+'Assumptions - Freight'!$E$549,0,AB465+1),0)</f>
        <v>22</v>
      </c>
      <c r="AD465" s="8">
        <f>IF('Assumptions - Freight'!$E$542&lt;&gt;0,IF(AD$4&lt;'Assumptions - Freight'!$E$539+'Assumptions - Freight'!$E$549,0,AC465+1),0)</f>
        <v>23</v>
      </c>
      <c r="AE465" s="8">
        <f>IF('Assumptions - Freight'!$E$542&lt;&gt;0,IF(AE$4&lt;'Assumptions - Freight'!$E$539+'Assumptions - Freight'!$E$549,0,AD465+1),0)</f>
        <v>24</v>
      </c>
      <c r="AF465" s="8">
        <f>IF('Assumptions - Freight'!$E$542&lt;&gt;0,IF(AF$4&lt;'Assumptions - Freight'!$E$539+'Assumptions - Freight'!$E$549,0,AE465+1),0)</f>
        <v>25</v>
      </c>
      <c r="AG465" s="8">
        <f>IF('Assumptions - Freight'!$E$542&lt;&gt;0,IF(AG$4&lt;'Assumptions - Freight'!$E$539+'Assumptions - Freight'!$E$549,0,AF465+1),0)</f>
        <v>26</v>
      </c>
      <c r="AH465" s="8">
        <f>IF('Assumptions - Freight'!$E$542&lt;&gt;0,IF(AH$4&lt;'Assumptions - Freight'!$E$539+'Assumptions - Freight'!$E$549,0,AG465+1),0)</f>
        <v>27</v>
      </c>
    </row>
    <row r="466" spans="1:34" s="20" customFormat="1" ht="14" x14ac:dyDescent="0.2">
      <c r="A466" s="8"/>
      <c r="B466" s="8" t="s">
        <v>135</v>
      </c>
      <c r="C466" s="8"/>
      <c r="D466" s="8" t="s">
        <v>15</v>
      </c>
      <c r="E466" s="47">
        <f>IF(E$16=1,IF('Assumptions - Freight'!$E544=1,'Assumptions - Freight'!$E546,'Assumptions - General'!E$38+'Assumptions - Freight'!$E547),0)</f>
        <v>0.05</v>
      </c>
      <c r="F466" s="47">
        <f>IF(F$16=1,IF('Assumptions - Freight'!$E544=1,'Assumptions - Freight'!$E546,'Assumptions - General'!F$38+'Assumptions - Freight'!$E547),0)</f>
        <v>0.05</v>
      </c>
      <c r="G466" s="47">
        <f>IF(G$16=1,IF('Assumptions - Freight'!$E544=1,'Assumptions - Freight'!$E546,'Assumptions - General'!G$38+'Assumptions - Freight'!$E547),0)</f>
        <v>0.05</v>
      </c>
      <c r="H466" s="47">
        <f>IF(H$16=1,IF('Assumptions - Freight'!$E544=1,'Assumptions - Freight'!$E546,'Assumptions - General'!H$38+'Assumptions - Freight'!$E547),0)</f>
        <v>0.05</v>
      </c>
      <c r="I466" s="47">
        <f>IF(I$16=1,IF('Assumptions - Freight'!$E544=1,'Assumptions - Freight'!$E546,'Assumptions - General'!I$38+'Assumptions - Freight'!$E547),0)</f>
        <v>0.05</v>
      </c>
      <c r="J466" s="47">
        <f>IF(J$16=1,IF('Assumptions - Freight'!$E544=1,'Assumptions - Freight'!$E546,'Assumptions - General'!J$38+'Assumptions - Freight'!$E547),0)</f>
        <v>0.05</v>
      </c>
      <c r="K466" s="47">
        <f>IF(K$16=1,IF('Assumptions - Freight'!$E544=1,'Assumptions - Freight'!$E546,'Assumptions - General'!K$38+'Assumptions - Freight'!$E547),0)</f>
        <v>0.05</v>
      </c>
      <c r="L466" s="47">
        <f>IF(L$16=1,IF('Assumptions - Freight'!$E544=1,'Assumptions - Freight'!$E546,'Assumptions - General'!L$38+'Assumptions - Freight'!$E547),0)</f>
        <v>0.05</v>
      </c>
      <c r="M466" s="47">
        <f>IF(M$16=1,IF('Assumptions - Freight'!$E544=1,'Assumptions - Freight'!$E546,'Assumptions - General'!M$38+'Assumptions - Freight'!$E547),0)</f>
        <v>0.05</v>
      </c>
      <c r="N466" s="47">
        <f>IF(N$16=1,IF('Assumptions - Freight'!$E544=1,'Assumptions - Freight'!$E546,'Assumptions - General'!N$38+'Assumptions - Freight'!$E547),0)</f>
        <v>0.05</v>
      </c>
      <c r="O466" s="47">
        <f>IF(O$16=1,IF('Assumptions - Freight'!$E544=1,'Assumptions - Freight'!$E546,'Assumptions - General'!O$38+'Assumptions - Freight'!$E547),0)</f>
        <v>0.05</v>
      </c>
      <c r="P466" s="47">
        <f>IF(P$16=1,IF('Assumptions - Freight'!$E544=1,'Assumptions - Freight'!$E546,'Assumptions - General'!P$38+'Assumptions - Freight'!$E547),0)</f>
        <v>0.05</v>
      </c>
      <c r="Q466" s="47">
        <f>IF(Q$16=1,IF('Assumptions - Freight'!$E544=1,'Assumptions - Freight'!$E546,'Assumptions - General'!Q$38+'Assumptions - Freight'!$E547),0)</f>
        <v>0.05</v>
      </c>
      <c r="R466" s="47">
        <f>IF(R$16=1,IF('Assumptions - Freight'!$E544=1,'Assumptions - Freight'!$E546,'Assumptions - General'!R$38+'Assumptions - Freight'!$E547),0)</f>
        <v>0.05</v>
      </c>
      <c r="S466" s="47">
        <f>IF(S$16=1,IF('Assumptions - Freight'!$E544=1,'Assumptions - Freight'!$E546,'Assumptions - General'!S$38+'Assumptions - Freight'!$E547),0)</f>
        <v>0.05</v>
      </c>
      <c r="T466" s="47">
        <f>IF(T$16=1,IF('Assumptions - Freight'!$E544=1,'Assumptions - Freight'!$E546,'Assumptions - General'!T$38+'Assumptions - Freight'!$E547),0)</f>
        <v>0.05</v>
      </c>
      <c r="U466" s="47">
        <f>IF(U$16=1,IF('Assumptions - Freight'!$E544=1,'Assumptions - Freight'!$E546,'Assumptions - General'!U$38+'Assumptions - Freight'!$E547),0)</f>
        <v>0.05</v>
      </c>
      <c r="V466" s="47">
        <f>IF(V$16=1,IF('Assumptions - Freight'!$E544=1,'Assumptions - Freight'!$E546,'Assumptions - General'!V$38+'Assumptions - Freight'!$E547),0)</f>
        <v>0.05</v>
      </c>
      <c r="W466" s="47">
        <f>IF(W$16=1,IF('Assumptions - Freight'!$E544=1,'Assumptions - Freight'!$E546,'Assumptions - General'!W$38+'Assumptions - Freight'!$E547),0)</f>
        <v>0.05</v>
      </c>
      <c r="X466" s="47">
        <f>IF(X$16=1,IF('Assumptions - Freight'!$E544=1,'Assumptions - Freight'!$E546,'Assumptions - General'!X$38+'Assumptions - Freight'!$E547),0)</f>
        <v>0.05</v>
      </c>
      <c r="Y466" s="47">
        <f>IF(Y$16=1,IF('Assumptions - Freight'!$E544=1,'Assumptions - Freight'!$E546,'Assumptions - General'!Y$38+'Assumptions - Freight'!$E547),0)</f>
        <v>0.05</v>
      </c>
      <c r="Z466" s="47">
        <f>IF(Z$16=1,IF('Assumptions - Freight'!$E544=1,'Assumptions - Freight'!$E546,'Assumptions - General'!Z$38+'Assumptions - Freight'!$E547),0)</f>
        <v>0.05</v>
      </c>
      <c r="AA466" s="47">
        <f>IF(AA$16=1,IF('Assumptions - Freight'!$E544=1,'Assumptions - Freight'!$E546,'Assumptions - General'!AA$38+'Assumptions - Freight'!$E547),0)</f>
        <v>0.05</v>
      </c>
      <c r="AB466" s="47">
        <f>IF(AB$16=1,IF('Assumptions - Freight'!$E544=1,'Assumptions - Freight'!$E546,'Assumptions - General'!AB$38+'Assumptions - Freight'!$E547),0)</f>
        <v>0.05</v>
      </c>
      <c r="AC466" s="47">
        <f>IF(AC$16=1,IF('Assumptions - Freight'!$E544=1,'Assumptions - Freight'!$E546,'Assumptions - General'!AC$38+'Assumptions - Freight'!$E547),0)</f>
        <v>0.05</v>
      </c>
      <c r="AD466" s="47">
        <f>IF(AD$16=1,IF('Assumptions - Freight'!$E544=1,'Assumptions - Freight'!$E546,'Assumptions - General'!AD$38+'Assumptions - Freight'!$E547),0)</f>
        <v>0.05</v>
      </c>
      <c r="AE466" s="47">
        <f>IF(AE$16=1,IF('Assumptions - Freight'!$E544=1,'Assumptions - Freight'!$E546,'Assumptions - General'!AE$38+'Assumptions - Freight'!$E547),0)</f>
        <v>0.05</v>
      </c>
      <c r="AF466" s="47">
        <f>IF(AF$16=1,IF('Assumptions - Freight'!$E544=1,'Assumptions - Freight'!$E546,'Assumptions - General'!AF$38+'Assumptions - Freight'!$E547),0)</f>
        <v>0.05</v>
      </c>
      <c r="AG466" s="47">
        <f>IF(AG$16=1,IF('Assumptions - Freight'!$E544=1,'Assumptions - Freight'!$E546,'Assumptions - General'!AG$38+'Assumptions - Freight'!$E547),0)</f>
        <v>0.05</v>
      </c>
      <c r="AH466" s="47">
        <f>IF(AH$16=1,IF('Assumptions - Freight'!$E544=1,'Assumptions - Freight'!$E546,'Assumptions - General'!AH$38+'Assumptions - Freight'!$E547),0)</f>
        <v>0.05</v>
      </c>
    </row>
    <row r="467" spans="1:34" s="20" customFormat="1" ht="14" x14ac:dyDescent="0.2">
      <c r="A467" s="8"/>
      <c r="B467" s="8" t="s">
        <v>136</v>
      </c>
      <c r="C467" s="8"/>
      <c r="D467" s="8" t="str">
        <f>'Assumptions - Freight'!D542</f>
        <v>EUR millions</v>
      </c>
      <c r="E467" s="463">
        <v>0</v>
      </c>
      <c r="F467" s="126">
        <f>E475</f>
        <v>0</v>
      </c>
      <c r="G467" s="126">
        <f t="shared" ref="G467:AH467" si="193">F475</f>
        <v>0</v>
      </c>
      <c r="H467" s="126">
        <f t="shared" si="193"/>
        <v>10</v>
      </c>
      <c r="I467" s="126">
        <f t="shared" si="193"/>
        <v>20</v>
      </c>
      <c r="J467" s="126">
        <f t="shared" si="193"/>
        <v>30</v>
      </c>
      <c r="K467" s="126">
        <f t="shared" si="193"/>
        <v>40</v>
      </c>
      <c r="L467" s="126">
        <f t="shared" si="193"/>
        <v>50</v>
      </c>
      <c r="M467" s="126">
        <f t="shared" si="193"/>
        <v>50</v>
      </c>
      <c r="N467" s="126">
        <f t="shared" si="193"/>
        <v>50</v>
      </c>
      <c r="O467" s="126">
        <f t="shared" si="193"/>
        <v>50</v>
      </c>
      <c r="P467" s="126">
        <f t="shared" si="193"/>
        <v>50</v>
      </c>
      <c r="Q467" s="126">
        <f t="shared" si="193"/>
        <v>50</v>
      </c>
      <c r="R467" s="126">
        <f t="shared" si="193"/>
        <v>50</v>
      </c>
      <c r="S467" s="126">
        <f t="shared" si="193"/>
        <v>50</v>
      </c>
      <c r="T467" s="126">
        <f t="shared" si="193"/>
        <v>50</v>
      </c>
      <c r="U467" s="126">
        <f t="shared" si="193"/>
        <v>50</v>
      </c>
      <c r="V467" s="126">
        <f t="shared" si="193"/>
        <v>0</v>
      </c>
      <c r="W467" s="126">
        <f t="shared" si="193"/>
        <v>0</v>
      </c>
      <c r="X467" s="126">
        <f t="shared" si="193"/>
        <v>0</v>
      </c>
      <c r="Y467" s="126">
        <f t="shared" si="193"/>
        <v>0</v>
      </c>
      <c r="Z467" s="126">
        <f t="shared" si="193"/>
        <v>0</v>
      </c>
      <c r="AA467" s="126">
        <f t="shared" si="193"/>
        <v>0</v>
      </c>
      <c r="AB467" s="126">
        <f t="shared" si="193"/>
        <v>0</v>
      </c>
      <c r="AC467" s="126">
        <f t="shared" si="193"/>
        <v>0</v>
      </c>
      <c r="AD467" s="126">
        <f t="shared" si="193"/>
        <v>0</v>
      </c>
      <c r="AE467" s="126">
        <f t="shared" si="193"/>
        <v>0</v>
      </c>
      <c r="AF467" s="126">
        <f t="shared" si="193"/>
        <v>0</v>
      </c>
      <c r="AG467" s="126">
        <f t="shared" si="193"/>
        <v>0</v>
      </c>
      <c r="AH467" s="126">
        <f t="shared" si="193"/>
        <v>0</v>
      </c>
    </row>
    <row r="468" spans="1:34" s="20" customFormat="1" ht="14" x14ac:dyDescent="0.2">
      <c r="A468" s="8"/>
      <c r="B468" s="8" t="s">
        <v>410</v>
      </c>
      <c r="C468" s="8"/>
      <c r="D468" s="8" t="str">
        <f>D467</f>
        <v>EUR millions</v>
      </c>
      <c r="E468" s="126">
        <f>IF(E$16=1,IF('Assumptions - Freight'!$E$542&lt;&gt;0,IF('Assumptions - Freight'!$E$550=1,Calculations!E469,IF('Assumptions - Freight'!$E$550=2,Calculations!E470,IF('Assumptions - Freight'!$E$550=3,IF(E465=('Assumptions - Freight'!$E$548-'Assumptions - Freight'!$E$549),Calculations!D475,Calculations!E471),0))),0),0)</f>
        <v>0</v>
      </c>
      <c r="F468" s="126">
        <f>IF(F$16=1,IF('Assumptions - Freight'!$E$542&lt;&gt;0,IF('Assumptions - Freight'!$E$550=1,Calculations!F469,IF('Assumptions - Freight'!$E$550=2,Calculations!F470,IF('Assumptions - Freight'!$E$550=3,IF(F465=('Assumptions - Freight'!$E$548-'Assumptions - Freight'!$E$549),Calculations!E475,Calculations!F471),0))),0),0)</f>
        <v>0</v>
      </c>
      <c r="G468" s="126">
        <f>IF(G$16=1,IF('Assumptions - Freight'!$E$542&lt;&gt;0,IF('Assumptions - Freight'!$E$550=1,Calculations!G469,IF('Assumptions - Freight'!$E$550=2,Calculations!G470,IF('Assumptions - Freight'!$E$550=3,IF(G465=('Assumptions - Freight'!$E$548-'Assumptions - Freight'!$E$549),Calculations!F475,Calculations!G471),0))),0),0)</f>
        <v>0</v>
      </c>
      <c r="H468" s="126">
        <f>IF(H$16=1,IF('Assumptions - Freight'!$E$542&lt;&gt;0,IF('Assumptions - Freight'!$E$550=1,Calculations!H469,IF('Assumptions - Freight'!$E$550=2,Calculations!H470,IF('Assumptions - Freight'!$E$550=3,IF(H465=('Assumptions - Freight'!$E$548-'Assumptions - Freight'!$E$549),Calculations!G475,Calculations!H471),0))),0),0)</f>
        <v>0</v>
      </c>
      <c r="I468" s="126">
        <f>IF(I$16=1,IF('Assumptions - Freight'!$E$542&lt;&gt;0,IF('Assumptions - Freight'!$E$550=1,Calculations!I469,IF('Assumptions - Freight'!$E$550=2,Calculations!I470,IF('Assumptions - Freight'!$E$550=3,IF(I465=('Assumptions - Freight'!$E$548-'Assumptions - Freight'!$E$549),Calculations!H475,Calculations!I471),0))),0),0)</f>
        <v>0</v>
      </c>
      <c r="J468" s="126">
        <f>IF(J$16=1,IF('Assumptions - Freight'!$E$542&lt;&gt;0,IF('Assumptions - Freight'!$E$550=1,Calculations!J469,IF('Assumptions - Freight'!$E$550=2,Calculations!J470,IF('Assumptions - Freight'!$E$550=3,IF(J465=('Assumptions - Freight'!$E$548-'Assumptions - Freight'!$E$549),Calculations!I475,Calculations!J471),0))),0),0)</f>
        <v>0</v>
      </c>
      <c r="K468" s="126">
        <f>IF(K$16=1,IF('Assumptions - Freight'!$E$542&lt;&gt;0,IF('Assumptions - Freight'!$E$550=1,Calculations!K469,IF('Assumptions - Freight'!$E$550=2,Calculations!K470,IF('Assumptions - Freight'!$E$550=3,IF(K465=('Assumptions - Freight'!$E$548-'Assumptions - Freight'!$E$549),Calculations!J475,Calculations!K471),0))),0),0)</f>
        <v>0</v>
      </c>
      <c r="L468" s="126">
        <f>IF(L$16=1,IF('Assumptions - Freight'!$E$542&lt;&gt;0,IF('Assumptions - Freight'!$E$550=1,Calculations!L469,IF('Assumptions - Freight'!$E$550=2,Calculations!L470,IF('Assumptions - Freight'!$E$550=3,IF(L465=('Assumptions - Freight'!$E$548-'Assumptions - Freight'!$E$549),Calculations!K475,Calculations!L471),0))),0),0)</f>
        <v>0</v>
      </c>
      <c r="M468" s="126">
        <f>IF(M$16=1,IF('Assumptions - Freight'!$E$542&lt;&gt;0,IF('Assumptions - Freight'!$E$550=1,Calculations!M469,IF('Assumptions - Freight'!$E$550=2,Calculations!M470,IF('Assumptions - Freight'!$E$550=3,IF(M465=('Assumptions - Freight'!$E$548-'Assumptions - Freight'!$E$549),Calculations!L475,Calculations!M471),0))),0),0)</f>
        <v>0</v>
      </c>
      <c r="N468" s="126">
        <f>IF(N$16=1,IF('Assumptions - Freight'!$E$542&lt;&gt;0,IF('Assumptions - Freight'!$E$550=1,Calculations!N469,IF('Assumptions - Freight'!$E$550=2,Calculations!N470,IF('Assumptions - Freight'!$E$550=3,IF(N465=('Assumptions - Freight'!$E$548-'Assumptions - Freight'!$E$549),Calculations!M475,Calculations!N471),0))),0),0)</f>
        <v>0</v>
      </c>
      <c r="O468" s="126">
        <f>IF(O$16=1,IF('Assumptions - Freight'!$E$542&lt;&gt;0,IF('Assumptions - Freight'!$E$550=1,Calculations!O469,IF('Assumptions - Freight'!$E$550=2,Calculations!O470,IF('Assumptions - Freight'!$E$550=3,IF(O465=('Assumptions - Freight'!$E$548-'Assumptions - Freight'!$E$549),Calculations!N475,Calculations!O471),0))),0),0)</f>
        <v>0</v>
      </c>
      <c r="P468" s="126">
        <f>IF(P$16=1,IF('Assumptions - Freight'!$E$542&lt;&gt;0,IF('Assumptions - Freight'!$E$550=1,Calculations!P469,IF('Assumptions - Freight'!$E$550=2,Calculations!P470,IF('Assumptions - Freight'!$E$550=3,IF(P465=('Assumptions - Freight'!$E$548-'Assumptions - Freight'!$E$549),Calculations!O475,Calculations!P471),0))),0),0)</f>
        <v>0</v>
      </c>
      <c r="Q468" s="126">
        <f>IF(Q$16=1,IF('Assumptions - Freight'!$E$542&lt;&gt;0,IF('Assumptions - Freight'!$E$550=1,Calculations!Q469,IF('Assumptions - Freight'!$E$550=2,Calculations!Q470,IF('Assumptions - Freight'!$E$550=3,IF(Q465=('Assumptions - Freight'!$E$548-'Assumptions - Freight'!$E$549),Calculations!P475,Calculations!Q471),0))),0),0)</f>
        <v>0</v>
      </c>
      <c r="R468" s="126">
        <f>IF(R$16=1,IF('Assumptions - Freight'!$E$542&lt;&gt;0,IF('Assumptions - Freight'!$E$550=1,Calculations!R469,IF('Assumptions - Freight'!$E$550=2,Calculations!R470,IF('Assumptions - Freight'!$E$550=3,IF(R465=('Assumptions - Freight'!$E$548-'Assumptions - Freight'!$E$549),Calculations!Q475,Calculations!R471),0))),0),0)</f>
        <v>0</v>
      </c>
      <c r="S468" s="126">
        <f>IF(S$16=1,IF('Assumptions - Freight'!$E$542&lt;&gt;0,IF('Assumptions - Freight'!$E$550=1,Calculations!S469,IF('Assumptions - Freight'!$E$550=2,Calculations!S470,IF('Assumptions - Freight'!$E$550=3,IF(S465=('Assumptions - Freight'!$E$548-'Assumptions - Freight'!$E$549),Calculations!R475,Calculations!S471),0))),0),0)</f>
        <v>0</v>
      </c>
      <c r="T468" s="126">
        <f>IF(T$16=1,IF('Assumptions - Freight'!$E$542&lt;&gt;0,IF('Assumptions - Freight'!$E$550=1,Calculations!T469,IF('Assumptions - Freight'!$E$550=2,Calculations!T470,IF('Assumptions - Freight'!$E$550=3,IF(T465=('Assumptions - Freight'!$E$548-'Assumptions - Freight'!$E$549),Calculations!S475,Calculations!T471),0))),0),0)</f>
        <v>0</v>
      </c>
      <c r="U468" s="126">
        <f>IF(U$16=1,IF('Assumptions - Freight'!$E$542&lt;&gt;0,IF('Assumptions - Freight'!$E$550=1,Calculations!U469,IF('Assumptions - Freight'!$E$550=2,Calculations!U470,IF('Assumptions - Freight'!$E$550=3,IF(U465=('Assumptions - Freight'!$E$548-'Assumptions - Freight'!$E$549),Calculations!T475,Calculations!U471),0))),0),0)</f>
        <v>50</v>
      </c>
      <c r="V468" s="126">
        <f>IF(V$16=1,IF('Assumptions - Freight'!$E$542&lt;&gt;0,IF('Assumptions - Freight'!$E$550=1,Calculations!V469,IF('Assumptions - Freight'!$E$550=2,Calculations!V470,IF('Assumptions - Freight'!$E$550=3,IF(V465=('Assumptions - Freight'!$E$548-'Assumptions - Freight'!$E$549),Calculations!U475,Calculations!V471),0))),0),0)</f>
        <v>0</v>
      </c>
      <c r="W468" s="126">
        <f>IF(W$16=1,IF('Assumptions - Freight'!$E$542&lt;&gt;0,IF('Assumptions - Freight'!$E$550=1,Calculations!W469,IF('Assumptions - Freight'!$E$550=2,Calculations!W470,IF('Assumptions - Freight'!$E$550=3,IF(W465=('Assumptions - Freight'!$E$548-'Assumptions - Freight'!$E$549),Calculations!V475,Calculations!W471),0))),0),0)</f>
        <v>0</v>
      </c>
      <c r="X468" s="126">
        <f>IF(X$16=1,IF('Assumptions - Freight'!$E$542&lt;&gt;0,IF('Assumptions - Freight'!$E$550=1,Calculations!X469,IF('Assumptions - Freight'!$E$550=2,Calculations!X470,IF('Assumptions - Freight'!$E$550=3,IF(X465=('Assumptions - Freight'!$E$548-'Assumptions - Freight'!$E$549),Calculations!W475,Calculations!X471),0))),0),0)</f>
        <v>0</v>
      </c>
      <c r="Y468" s="126">
        <f>IF(Y$16=1,IF('Assumptions - Freight'!$E$542&lt;&gt;0,IF('Assumptions - Freight'!$E$550=1,Calculations!Y469,IF('Assumptions - Freight'!$E$550=2,Calculations!Y470,IF('Assumptions - Freight'!$E$550=3,IF(Y465=('Assumptions - Freight'!$E$548-'Assumptions - Freight'!$E$549),Calculations!X475,Calculations!Y471),0))),0),0)</f>
        <v>0</v>
      </c>
      <c r="Z468" s="126">
        <f>IF(Z$16=1,IF('Assumptions - Freight'!$E$542&lt;&gt;0,IF('Assumptions - Freight'!$E$550=1,Calculations!Z469,IF('Assumptions - Freight'!$E$550=2,Calculations!Z470,IF('Assumptions - Freight'!$E$550=3,IF(Z465=('Assumptions - Freight'!$E$548-'Assumptions - Freight'!$E$549),Calculations!Y475,Calculations!Z471),0))),0),0)</f>
        <v>0</v>
      </c>
      <c r="AA468" s="126">
        <f>IF(AA$16=1,IF('Assumptions - Freight'!$E$542&lt;&gt;0,IF('Assumptions - Freight'!$E$550=1,Calculations!AA469,IF('Assumptions - Freight'!$E$550=2,Calculations!AA470,IF('Assumptions - Freight'!$E$550=3,IF(AA465=('Assumptions - Freight'!$E$548-'Assumptions - Freight'!$E$549),Calculations!Z475,Calculations!AA471),0))),0),0)</f>
        <v>0</v>
      </c>
      <c r="AB468" s="126">
        <f>IF(AB$16=1,IF('Assumptions - Freight'!$E$542&lt;&gt;0,IF('Assumptions - Freight'!$E$550=1,Calculations!AB469,IF('Assumptions - Freight'!$E$550=2,Calculations!AB470,IF('Assumptions - Freight'!$E$550=3,IF(AB465=('Assumptions - Freight'!$E$548-'Assumptions - Freight'!$E$549),Calculations!AA475,Calculations!AB471),0))),0),0)</f>
        <v>0</v>
      </c>
      <c r="AC468" s="126">
        <f>IF(AC$16=1,IF('Assumptions - Freight'!$E$542&lt;&gt;0,IF('Assumptions - Freight'!$E$550=1,Calculations!AC469,IF('Assumptions - Freight'!$E$550=2,Calculations!AC470,IF('Assumptions - Freight'!$E$550=3,IF(AC465=('Assumptions - Freight'!$E$548-'Assumptions - Freight'!$E$549),Calculations!AB475,Calculations!AC471),0))),0),0)</f>
        <v>0</v>
      </c>
      <c r="AD468" s="126">
        <f>IF(AD$16=1,IF('Assumptions - Freight'!$E$542&lt;&gt;0,IF('Assumptions - Freight'!$E$550=1,Calculations!AD469,IF('Assumptions - Freight'!$E$550=2,Calculations!AD470,IF('Assumptions - Freight'!$E$550=3,IF(AD465=('Assumptions - Freight'!$E$548-'Assumptions - Freight'!$E$549),Calculations!AC475,Calculations!AD471),0))),0),0)</f>
        <v>0</v>
      </c>
      <c r="AE468" s="126">
        <f>IF(AE$16=1,IF('Assumptions - Freight'!$E$542&lt;&gt;0,IF('Assumptions - Freight'!$E$550=1,Calculations!AE469,IF('Assumptions - Freight'!$E$550=2,Calculations!AE470,IF('Assumptions - Freight'!$E$550=3,IF(AE465=('Assumptions - Freight'!$E$548-'Assumptions - Freight'!$E$549),Calculations!AD475,Calculations!AE471),0))),0),0)</f>
        <v>0</v>
      </c>
      <c r="AF468" s="126">
        <f>IF(AF$16=1,IF('Assumptions - Freight'!$E$542&lt;&gt;0,IF('Assumptions - Freight'!$E$550=1,Calculations!AF469,IF('Assumptions - Freight'!$E$550=2,Calculations!AF470,IF('Assumptions - Freight'!$E$550=3,IF(AF465=('Assumptions - Freight'!$E$548-'Assumptions - Freight'!$E$549),Calculations!AE475,Calculations!AF471),0))),0),0)</f>
        <v>0</v>
      </c>
      <c r="AG468" s="126">
        <f>IF(AG$16=1,IF('Assumptions - Freight'!$E$542&lt;&gt;0,IF('Assumptions - Freight'!$E$550=1,Calculations!AG469,IF('Assumptions - Freight'!$E$550=2,Calculations!AG470,IF('Assumptions - Freight'!$E$550=3,IF(AG465=('Assumptions - Freight'!$E$548-'Assumptions - Freight'!$E$549),Calculations!AF475,Calculations!AG471),0))),0),0)</f>
        <v>0</v>
      </c>
      <c r="AH468" s="126">
        <f>IF(AH$16=1,IF('Assumptions - Freight'!$E$542&lt;&gt;0,IF('Assumptions - Freight'!$E$550=1,Calculations!AH469,IF('Assumptions - Freight'!$E$550=2,Calculations!AH470,IF('Assumptions - Freight'!$E$550=3,IF(AH465=('Assumptions - Freight'!$E$548-'Assumptions - Freight'!$E$549),Calculations!AG475,Calculations!AH471),0))),0),0)</f>
        <v>0</v>
      </c>
    </row>
    <row r="469" spans="1:34" s="20" customFormat="1" ht="14" x14ac:dyDescent="0.2">
      <c r="A469" s="8"/>
      <c r="B469" s="125" t="s">
        <v>295</v>
      </c>
      <c r="C469" s="8"/>
      <c r="D469" s="8" t="str">
        <f t="shared" ref="D469:D480" si="194">D468</f>
        <v>EUR millions</v>
      </c>
      <c r="E469" s="126">
        <f>IF('Assumptions - Freight'!$E$542&lt;&gt;0,IF(AND('Assumptions - Freight'!$E$550=1,E$465=('Assumptions - Freight'!$E$548-'Assumptions - Freight'!$E$549)),'Assumptions - Freight'!$E$542,0),0)</f>
        <v>0</v>
      </c>
      <c r="F469" s="126">
        <f>IF('Assumptions - Freight'!$E$542&lt;&gt;0,IF(AND('Assumptions - Freight'!$E$550=1,F$465=('Assumptions - Freight'!$E$548-'Assumptions - Freight'!$E$549)),'Assumptions - Freight'!$E$542,0),0)</f>
        <v>0</v>
      </c>
      <c r="G469" s="126">
        <f>IF('Assumptions - Freight'!$E$542&lt;&gt;0,IF(AND('Assumptions - Freight'!$E$550=1,G$465=('Assumptions - Freight'!$E$548-'Assumptions - Freight'!$E$549)),'Assumptions - Freight'!$E$542,0),0)</f>
        <v>0</v>
      </c>
      <c r="H469" s="126">
        <f>IF('Assumptions - Freight'!$E$542&lt;&gt;0,IF(AND('Assumptions - Freight'!$E$550=1,H$465=('Assumptions - Freight'!$E$548-'Assumptions - Freight'!$E$549)),'Assumptions - Freight'!$E$542,0),0)</f>
        <v>0</v>
      </c>
      <c r="I469" s="126">
        <f>IF('Assumptions - Freight'!$E$542&lt;&gt;0,IF(AND('Assumptions - Freight'!$E$550=1,I$465=('Assumptions - Freight'!$E$548-'Assumptions - Freight'!$E$549)),'Assumptions - Freight'!$E$542,0),0)</f>
        <v>0</v>
      </c>
      <c r="J469" s="126">
        <f>IF('Assumptions - Freight'!$E$542&lt;&gt;0,IF(AND('Assumptions - Freight'!$E$550=1,J$465=('Assumptions - Freight'!$E$548-'Assumptions - Freight'!$E$549)),'Assumptions - Freight'!$E$542,0),0)</f>
        <v>0</v>
      </c>
      <c r="K469" s="126">
        <f>IF('Assumptions - Freight'!$E$542&lt;&gt;0,IF(AND('Assumptions - Freight'!$E$550=1,K$465=('Assumptions - Freight'!$E$548-'Assumptions - Freight'!$E$549)),'Assumptions - Freight'!$E$542,0),0)</f>
        <v>0</v>
      </c>
      <c r="L469" s="126">
        <f>IF('Assumptions - Freight'!$E$542&lt;&gt;0,IF(AND('Assumptions - Freight'!$E$550=1,L$465=('Assumptions - Freight'!$E$548-'Assumptions - Freight'!$E$549)),'Assumptions - Freight'!$E$542,0),0)</f>
        <v>0</v>
      </c>
      <c r="M469" s="126">
        <f>IF('Assumptions - Freight'!$E$542&lt;&gt;0,IF(AND('Assumptions - Freight'!$E$550=1,M$465=('Assumptions - Freight'!$E$548-'Assumptions - Freight'!$E$549)),'Assumptions - Freight'!$E$542,0),0)</f>
        <v>0</v>
      </c>
      <c r="N469" s="126">
        <f>IF('Assumptions - Freight'!$E$542&lt;&gt;0,IF(AND('Assumptions - Freight'!$E$550=1,N$465=('Assumptions - Freight'!$E$548-'Assumptions - Freight'!$E$549)),'Assumptions - Freight'!$E$542,0),0)</f>
        <v>0</v>
      </c>
      <c r="O469" s="126">
        <f>IF('Assumptions - Freight'!$E$542&lt;&gt;0,IF(AND('Assumptions - Freight'!$E$550=1,O$465=('Assumptions - Freight'!$E$548-'Assumptions - Freight'!$E$549)),'Assumptions - Freight'!$E$542,0),0)</f>
        <v>0</v>
      </c>
      <c r="P469" s="126">
        <f>IF('Assumptions - Freight'!$E$542&lt;&gt;0,IF(AND('Assumptions - Freight'!$E$550=1,P$465=('Assumptions - Freight'!$E$548-'Assumptions - Freight'!$E$549)),'Assumptions - Freight'!$E$542,0),0)</f>
        <v>0</v>
      </c>
      <c r="Q469" s="126">
        <f>IF('Assumptions - Freight'!$E$542&lt;&gt;0,IF(AND('Assumptions - Freight'!$E$550=1,Q$465=('Assumptions - Freight'!$E$548-'Assumptions - Freight'!$E$549)),'Assumptions - Freight'!$E$542,0),0)</f>
        <v>0</v>
      </c>
      <c r="R469" s="126">
        <f>IF('Assumptions - Freight'!$E$542&lt;&gt;0,IF(AND('Assumptions - Freight'!$E$550=1,R$465=('Assumptions - Freight'!$E$548-'Assumptions - Freight'!$E$549)),'Assumptions - Freight'!$E$542,0),0)</f>
        <v>0</v>
      </c>
      <c r="S469" s="126">
        <f>IF('Assumptions - Freight'!$E$542&lt;&gt;0,IF(AND('Assumptions - Freight'!$E$550=1,S$465=('Assumptions - Freight'!$E$548-'Assumptions - Freight'!$E$549)),'Assumptions - Freight'!$E$542,0),0)</f>
        <v>0</v>
      </c>
      <c r="T469" s="126">
        <f>IF('Assumptions - Freight'!$E$542&lt;&gt;0,IF(AND('Assumptions - Freight'!$E$550=1,T$465=('Assumptions - Freight'!$E$548-'Assumptions - Freight'!$E$549)),'Assumptions - Freight'!$E$542,0),0)</f>
        <v>0</v>
      </c>
      <c r="U469" s="126">
        <f>IF('Assumptions - Freight'!$E$542&lt;&gt;0,IF(AND('Assumptions - Freight'!$E$550=1,U$465=('Assumptions - Freight'!$E$548-'Assumptions - Freight'!$E$549)),'Assumptions - Freight'!$E$542,0),0)</f>
        <v>50</v>
      </c>
      <c r="V469" s="126">
        <f>IF('Assumptions - Freight'!$E$542&lt;&gt;0,IF(AND('Assumptions - Freight'!$E$550=1,V$465=('Assumptions - Freight'!$E$548-'Assumptions - Freight'!$E$549)),'Assumptions - Freight'!$E$542,0),0)</f>
        <v>0</v>
      </c>
      <c r="W469" s="126">
        <f>IF('Assumptions - Freight'!$E$542&lt;&gt;0,IF(AND('Assumptions - Freight'!$E$550=1,W$465=('Assumptions - Freight'!$E$548-'Assumptions - Freight'!$E$549)),'Assumptions - Freight'!$E$542,0),0)</f>
        <v>0</v>
      </c>
      <c r="X469" s="126">
        <f>IF('Assumptions - Freight'!$E$542&lt;&gt;0,IF(AND('Assumptions - Freight'!$E$550=1,X$465=('Assumptions - Freight'!$E$548-'Assumptions - Freight'!$E$549)),'Assumptions - Freight'!$E$542,0),0)</f>
        <v>0</v>
      </c>
      <c r="Y469" s="126">
        <f>IF('Assumptions - Freight'!$E$542&lt;&gt;0,IF(AND('Assumptions - Freight'!$E$550=1,Y$465=('Assumptions - Freight'!$E$548-'Assumptions - Freight'!$E$549)),'Assumptions - Freight'!$E$542,0),0)</f>
        <v>0</v>
      </c>
      <c r="Z469" s="126">
        <f>IF('Assumptions - Freight'!$E$542&lt;&gt;0,IF(AND('Assumptions - Freight'!$E$550=1,Z$465=('Assumptions - Freight'!$E$548-'Assumptions - Freight'!$E$549)),'Assumptions - Freight'!$E$542,0),0)</f>
        <v>0</v>
      </c>
      <c r="AA469" s="126">
        <f>IF('Assumptions - Freight'!$E$542&lt;&gt;0,IF(AND('Assumptions - Freight'!$E$550=1,AA$465=('Assumptions - Freight'!$E$548-'Assumptions - Freight'!$E$549)),'Assumptions - Freight'!$E$542,0),0)</f>
        <v>0</v>
      </c>
      <c r="AB469" s="126">
        <f>IF('Assumptions - Freight'!$E$542&lt;&gt;0,IF(AND('Assumptions - Freight'!$E$550=1,AB$465=('Assumptions - Freight'!$E$548-'Assumptions - Freight'!$E$549)),'Assumptions - Freight'!$E$542,0),0)</f>
        <v>0</v>
      </c>
      <c r="AC469" s="126">
        <f>IF('Assumptions - Freight'!$E$542&lt;&gt;0,IF(AND('Assumptions - Freight'!$E$550=1,AC$465=('Assumptions - Freight'!$E$548-'Assumptions - Freight'!$E$549)),'Assumptions - Freight'!$E$542,0),0)</f>
        <v>0</v>
      </c>
      <c r="AD469" s="126">
        <f>IF('Assumptions - Freight'!$E$542&lt;&gt;0,IF(AND('Assumptions - Freight'!$E$550=1,AD$465=('Assumptions - Freight'!$E$548-'Assumptions - Freight'!$E$549)),'Assumptions - Freight'!$E$542,0),0)</f>
        <v>0</v>
      </c>
      <c r="AE469" s="126">
        <f>IF('Assumptions - Freight'!$E$542&lt;&gt;0,IF(AND('Assumptions - Freight'!$E$550=1,AE$465=('Assumptions - Freight'!$E$548-'Assumptions - Freight'!$E$549)),'Assumptions - Freight'!$E$542,0),0)</f>
        <v>0</v>
      </c>
      <c r="AF469" s="126">
        <f>IF('Assumptions - Freight'!$E$542&lt;&gt;0,IF(AND('Assumptions - Freight'!$E$550=1,AF$465=('Assumptions - Freight'!$E$548-'Assumptions - Freight'!$E$549)),'Assumptions - Freight'!$E$542,0),0)</f>
        <v>0</v>
      </c>
      <c r="AG469" s="126">
        <f>IF('Assumptions - Freight'!$E$542&lt;&gt;0,IF(AND('Assumptions - Freight'!$E$550=1,AG$465=('Assumptions - Freight'!$E$548-'Assumptions - Freight'!$E$549)),'Assumptions - Freight'!$E$542,0),0)</f>
        <v>0</v>
      </c>
      <c r="AH469" s="126">
        <f>IF('Assumptions - Freight'!$E$542&lt;&gt;0,IF(AND('Assumptions - Freight'!$E$550=1,AH$465=('Assumptions - Freight'!$E$548-'Assumptions - Freight'!$E$549)),'Assumptions - Freight'!$E$542,0),0)</f>
        <v>0</v>
      </c>
    </row>
    <row r="470" spans="1:34" s="20" customFormat="1" ht="14" x14ac:dyDescent="0.2">
      <c r="A470" s="8"/>
      <c r="B470" s="125" t="s">
        <v>294</v>
      </c>
      <c r="C470" s="8"/>
      <c r="D470" s="8" t="str">
        <f t="shared" si="194"/>
        <v>EUR millions</v>
      </c>
      <c r="E470" s="126">
        <f>IF('Assumptions - Freight'!$E$542&lt;&gt;0,IF(AND('Assumptions - Freight'!$E$550=2,Calculations!E$465&gt;0,Calculations!E$465&lt;=('Assumptions - Freight'!$E$548-'Assumptions - Freight'!$E$549)),'Assumptions - Freight'!$E$542/('Assumptions - Freight'!$E$548-'Assumptions - Freight'!$E$549),0),0)</f>
        <v>0</v>
      </c>
      <c r="F470" s="126">
        <f>IF('Assumptions - Freight'!$E$542&lt;&gt;0,IF(AND('Assumptions - Freight'!$E$550=2,Calculations!F$465&gt;0,Calculations!F$465&lt;=('Assumptions - Freight'!$E$548-'Assumptions - Freight'!$E$549)),'Assumptions - Freight'!$E$542/('Assumptions - Freight'!$E$548-'Assumptions - Freight'!$E$549),0),0)</f>
        <v>0</v>
      </c>
      <c r="G470" s="126">
        <f>IF('Assumptions - Freight'!$E$542&lt;&gt;0,IF(AND('Assumptions - Freight'!$E$550=2,Calculations!G$465&gt;0,Calculations!G$465&lt;=('Assumptions - Freight'!$E$548-'Assumptions - Freight'!$E$549)),'Assumptions - Freight'!$E$542/('Assumptions - Freight'!$E$548-'Assumptions - Freight'!$E$549),0),0)</f>
        <v>0</v>
      </c>
      <c r="H470" s="126">
        <f>IF('Assumptions - Freight'!$E$542&lt;&gt;0,IF(AND('Assumptions - Freight'!$E$550=2,Calculations!H$465&gt;0,Calculations!H$465&lt;=('Assumptions - Freight'!$E$548-'Assumptions - Freight'!$E$549)),'Assumptions - Freight'!$E$542/('Assumptions - Freight'!$E$548-'Assumptions - Freight'!$E$549),0),0)</f>
        <v>0</v>
      </c>
      <c r="I470" s="126">
        <f>IF('Assumptions - Freight'!$E$542&lt;&gt;0,IF(AND('Assumptions - Freight'!$E$550=2,Calculations!I$465&gt;0,Calculations!I$465&lt;=('Assumptions - Freight'!$E$548-'Assumptions - Freight'!$E$549)),'Assumptions - Freight'!$E$542/('Assumptions - Freight'!$E$548-'Assumptions - Freight'!$E$549),0),0)</f>
        <v>0</v>
      </c>
      <c r="J470" s="126">
        <f>IF('Assumptions - Freight'!$E$542&lt;&gt;0,IF(AND('Assumptions - Freight'!$E$550=2,Calculations!J$465&gt;0,Calculations!J$465&lt;=('Assumptions - Freight'!$E$548-'Assumptions - Freight'!$E$549)),'Assumptions - Freight'!$E$542/('Assumptions - Freight'!$E$548-'Assumptions - Freight'!$E$549),0),0)</f>
        <v>0</v>
      </c>
      <c r="K470" s="126">
        <f>IF('Assumptions - Freight'!$E$542&lt;&gt;0,IF(AND('Assumptions - Freight'!$E$550=2,Calculations!K$465&gt;0,Calculations!K$465&lt;=('Assumptions - Freight'!$E$548-'Assumptions - Freight'!$E$549)),'Assumptions - Freight'!$E$542/('Assumptions - Freight'!$E$548-'Assumptions - Freight'!$E$549),0),0)</f>
        <v>0</v>
      </c>
      <c r="L470" s="126">
        <f>IF('Assumptions - Freight'!$E$542&lt;&gt;0,IF(AND('Assumptions - Freight'!$E$550=2,Calculations!L$465&gt;0,Calculations!L$465&lt;=('Assumptions - Freight'!$E$548-'Assumptions - Freight'!$E$549)),'Assumptions - Freight'!$E$542/('Assumptions - Freight'!$E$548-'Assumptions - Freight'!$E$549),0),0)</f>
        <v>0</v>
      </c>
      <c r="M470" s="126">
        <f>IF('Assumptions - Freight'!$E$542&lt;&gt;0,IF(AND('Assumptions - Freight'!$E$550=2,Calculations!M$465&gt;0,Calculations!M$465&lt;=('Assumptions - Freight'!$E$548-'Assumptions - Freight'!$E$549)),'Assumptions - Freight'!$E$542/('Assumptions - Freight'!$E$548-'Assumptions - Freight'!$E$549),0),0)</f>
        <v>0</v>
      </c>
      <c r="N470" s="126">
        <f>IF('Assumptions - Freight'!$E$542&lt;&gt;0,IF(AND('Assumptions - Freight'!$E$550=2,Calculations!N$465&gt;0,Calculations!N$465&lt;=('Assumptions - Freight'!$E$548-'Assumptions - Freight'!$E$549)),'Assumptions - Freight'!$E$542/('Assumptions - Freight'!$E$548-'Assumptions - Freight'!$E$549),0),0)</f>
        <v>0</v>
      </c>
      <c r="O470" s="126">
        <f>IF('Assumptions - Freight'!$E$542&lt;&gt;0,IF(AND('Assumptions - Freight'!$E$550=2,Calculations!O$465&gt;0,Calculations!O$465&lt;=('Assumptions - Freight'!$E$548-'Assumptions - Freight'!$E$549)),'Assumptions - Freight'!$E$542/('Assumptions - Freight'!$E$548-'Assumptions - Freight'!$E$549),0),0)</f>
        <v>0</v>
      </c>
      <c r="P470" s="126">
        <f>IF('Assumptions - Freight'!$E$542&lt;&gt;0,IF(AND('Assumptions - Freight'!$E$550=2,Calculations!P$465&gt;0,Calculations!P$465&lt;=('Assumptions - Freight'!$E$548-'Assumptions - Freight'!$E$549)),'Assumptions - Freight'!$E$542/('Assumptions - Freight'!$E$548-'Assumptions - Freight'!$E$549),0),0)</f>
        <v>0</v>
      </c>
      <c r="Q470" s="126">
        <f>IF('Assumptions - Freight'!$E$542&lt;&gt;0,IF(AND('Assumptions - Freight'!$E$550=2,Calculations!Q$465&gt;0,Calculations!Q$465&lt;=('Assumptions - Freight'!$E$548-'Assumptions - Freight'!$E$549)),'Assumptions - Freight'!$E$542/('Assumptions - Freight'!$E$548-'Assumptions - Freight'!$E$549),0),0)</f>
        <v>0</v>
      </c>
      <c r="R470" s="126">
        <f>IF('Assumptions - Freight'!$E$542&lt;&gt;0,IF(AND('Assumptions - Freight'!$E$550=2,Calculations!R$465&gt;0,Calculations!R$465&lt;=('Assumptions - Freight'!$E$548-'Assumptions - Freight'!$E$549)),'Assumptions - Freight'!$E$542/('Assumptions - Freight'!$E$548-'Assumptions - Freight'!$E$549),0),0)</f>
        <v>0</v>
      </c>
      <c r="S470" s="126">
        <f>IF('Assumptions - Freight'!$E$542&lt;&gt;0,IF(AND('Assumptions - Freight'!$E$550=2,Calculations!S$465&gt;0,Calculations!S$465&lt;=('Assumptions - Freight'!$E$548-'Assumptions - Freight'!$E$549)),'Assumptions - Freight'!$E$542/('Assumptions - Freight'!$E$548-'Assumptions - Freight'!$E$549),0),0)</f>
        <v>0</v>
      </c>
      <c r="T470" s="126">
        <f>IF('Assumptions - Freight'!$E$542&lt;&gt;0,IF(AND('Assumptions - Freight'!$E$550=2,Calculations!T$465&gt;0,Calculations!T$465&lt;=('Assumptions - Freight'!$E$548-'Assumptions - Freight'!$E$549)),'Assumptions - Freight'!$E$542/('Assumptions - Freight'!$E$548-'Assumptions - Freight'!$E$549),0),0)</f>
        <v>0</v>
      </c>
      <c r="U470" s="126">
        <f>IF('Assumptions - Freight'!$E$542&lt;&gt;0,IF(AND('Assumptions - Freight'!$E$550=2,Calculations!U$465&gt;0,Calculations!U$465&lt;=('Assumptions - Freight'!$E$548-'Assumptions - Freight'!$E$549)),'Assumptions - Freight'!$E$542/('Assumptions - Freight'!$E$548-'Assumptions - Freight'!$E$549),0),0)</f>
        <v>0</v>
      </c>
      <c r="V470" s="126">
        <f>IF('Assumptions - Freight'!$E$542&lt;&gt;0,IF(AND('Assumptions - Freight'!$E$550=2,Calculations!V$465&gt;0,Calculations!V$465&lt;=('Assumptions - Freight'!$E$548-'Assumptions - Freight'!$E$549)),'Assumptions - Freight'!$E$542/('Assumptions - Freight'!$E$548-'Assumptions - Freight'!$E$549),0),0)</f>
        <v>0</v>
      </c>
      <c r="W470" s="126">
        <f>IF('Assumptions - Freight'!$E$542&lt;&gt;0,IF(AND('Assumptions - Freight'!$E$550=2,Calculations!W$465&gt;0,Calculations!W$465&lt;=('Assumptions - Freight'!$E$548-'Assumptions - Freight'!$E$549)),'Assumptions - Freight'!$E$542/('Assumptions - Freight'!$E$548-'Assumptions - Freight'!$E$549),0),0)</f>
        <v>0</v>
      </c>
      <c r="X470" s="126">
        <f>IF('Assumptions - Freight'!$E$542&lt;&gt;0,IF(AND('Assumptions - Freight'!$E$550=2,Calculations!X$465&gt;0,Calculations!X$465&lt;=('Assumptions - Freight'!$E$548-'Assumptions - Freight'!$E$549)),'Assumptions - Freight'!$E$542/('Assumptions - Freight'!$E$548-'Assumptions - Freight'!$E$549),0),0)</f>
        <v>0</v>
      </c>
      <c r="Y470" s="126">
        <f>IF('Assumptions - Freight'!$E$542&lt;&gt;0,IF(AND('Assumptions - Freight'!$E$550=2,Calculations!Y$465&gt;0,Calculations!Y$465&lt;=('Assumptions - Freight'!$E$548-'Assumptions - Freight'!$E$549)),'Assumptions - Freight'!$E$542/('Assumptions - Freight'!$E$548-'Assumptions - Freight'!$E$549),0),0)</f>
        <v>0</v>
      </c>
      <c r="Z470" s="126">
        <f>IF('Assumptions - Freight'!$E$542&lt;&gt;0,IF(AND('Assumptions - Freight'!$E$550=2,Calculations!Z$465&gt;0,Calculations!Z$465&lt;=('Assumptions - Freight'!$E$548-'Assumptions - Freight'!$E$549)),'Assumptions - Freight'!$E$542/('Assumptions - Freight'!$E$548-'Assumptions - Freight'!$E$549),0),0)</f>
        <v>0</v>
      </c>
      <c r="AA470" s="126">
        <f>IF('Assumptions - Freight'!$E$542&lt;&gt;0,IF(AND('Assumptions - Freight'!$E$550=2,Calculations!AA$465&gt;0,Calculations!AA$465&lt;=('Assumptions - Freight'!$E$548-'Assumptions - Freight'!$E$549)),'Assumptions - Freight'!$E$542/('Assumptions - Freight'!$E$548-'Assumptions - Freight'!$E$549),0),0)</f>
        <v>0</v>
      </c>
      <c r="AB470" s="126">
        <f>IF('Assumptions - Freight'!$E$542&lt;&gt;0,IF(AND('Assumptions - Freight'!$E$550=2,Calculations!AB$465&gt;0,Calculations!AB$465&lt;=('Assumptions - Freight'!$E$548-'Assumptions - Freight'!$E$549)),'Assumptions - Freight'!$E$542/('Assumptions - Freight'!$E$548-'Assumptions - Freight'!$E$549),0),0)</f>
        <v>0</v>
      </c>
      <c r="AC470" s="126">
        <f>IF('Assumptions - Freight'!$E$542&lt;&gt;0,IF(AND('Assumptions - Freight'!$E$550=2,Calculations!AC$465&gt;0,Calculations!AC$465&lt;=('Assumptions - Freight'!$E$548-'Assumptions - Freight'!$E$549)),'Assumptions - Freight'!$E$542/('Assumptions - Freight'!$E$548-'Assumptions - Freight'!$E$549),0),0)</f>
        <v>0</v>
      </c>
      <c r="AD470" s="126">
        <f>IF('Assumptions - Freight'!$E$542&lt;&gt;0,IF(AND('Assumptions - Freight'!$E$550=2,Calculations!AD$465&gt;0,Calculations!AD$465&lt;=('Assumptions - Freight'!$E$548-'Assumptions - Freight'!$E$549)),'Assumptions - Freight'!$E$542/('Assumptions - Freight'!$E$548-'Assumptions - Freight'!$E$549),0),0)</f>
        <v>0</v>
      </c>
      <c r="AE470" s="126">
        <f>IF('Assumptions - Freight'!$E$542&lt;&gt;0,IF(AND('Assumptions - Freight'!$E$550=2,Calculations!AE$465&gt;0,Calculations!AE$465&lt;=('Assumptions - Freight'!$E$548-'Assumptions - Freight'!$E$549)),'Assumptions - Freight'!$E$542/('Assumptions - Freight'!$E$548-'Assumptions - Freight'!$E$549),0),0)</f>
        <v>0</v>
      </c>
      <c r="AF470" s="126">
        <f>IF('Assumptions - Freight'!$E$542&lt;&gt;0,IF(AND('Assumptions - Freight'!$E$550=2,Calculations!AF$465&gt;0,Calculations!AF$465&lt;=('Assumptions - Freight'!$E$548-'Assumptions - Freight'!$E$549)),'Assumptions - Freight'!$E$542/('Assumptions - Freight'!$E$548-'Assumptions - Freight'!$E$549),0),0)</f>
        <v>0</v>
      </c>
      <c r="AG470" s="126">
        <f>IF('Assumptions - Freight'!$E$542&lt;&gt;0,IF(AND('Assumptions - Freight'!$E$550=2,Calculations!AG$465&gt;0,Calculations!AG$465&lt;=('Assumptions - Freight'!$E$548-'Assumptions - Freight'!$E$549)),'Assumptions - Freight'!$E$542/('Assumptions - Freight'!$E$548-'Assumptions - Freight'!$E$549),0),0)</f>
        <v>0</v>
      </c>
      <c r="AH470" s="126">
        <f>IF('Assumptions - Freight'!$E$542&lt;&gt;0,IF(AND('Assumptions - Freight'!$E$550=2,Calculations!AH$465&gt;0,Calculations!AH$465&lt;=('Assumptions - Freight'!$E$548-'Assumptions - Freight'!$E$549)),'Assumptions - Freight'!$E$542/('Assumptions - Freight'!$E$548-'Assumptions - Freight'!$E$549),0),0)</f>
        <v>0</v>
      </c>
    </row>
    <row r="471" spans="1:34" s="20" customFormat="1" ht="14" x14ac:dyDescent="0.2">
      <c r="A471" s="8"/>
      <c r="B471" s="125" t="s">
        <v>678</v>
      </c>
      <c r="C471" s="8"/>
      <c r="D471" s="8" t="str">
        <f t="shared" si="194"/>
        <v>EUR millions</v>
      </c>
      <c r="E471" s="126">
        <f>IF('Assumptions - Freight'!$E$542&lt;&gt;0,IF(AND('Assumptions - Freight'!$E5550=3,E465&gt;0,E465&lt;=('Assumptions - Freight'!$E$548-'Assumptions - Freight'!$E$549)),E467*D472/SUM(E472:$AH472)-E473,0),0)</f>
        <v>0</v>
      </c>
      <c r="F471" s="126">
        <f>IF('Assumptions - Freight'!$E$542&lt;&gt;0,IF(AND('Assumptions - Freight'!$E5550=3,F465&gt;0,F465&lt;=('Assumptions - Freight'!$E$548-'Assumptions - Freight'!$E$549)),F467*E472/SUM(F472:$AH472)-F473,0),0)</f>
        <v>0</v>
      </c>
      <c r="G471" s="126">
        <f>IF('Assumptions - Freight'!$E$542&lt;&gt;0,IF(AND('Assumptions - Freight'!$E5550=3,G465&gt;0,G465&lt;=('Assumptions - Freight'!$E$548-'Assumptions - Freight'!$E$549)),G467*F472/SUM(G472:$AH472)-G473,0),0)</f>
        <v>0</v>
      </c>
      <c r="H471" s="126">
        <f>IF('Assumptions - Freight'!$E$542&lt;&gt;0,IF(AND('Assumptions - Freight'!$E5550=3,H465&gt;0,H465&lt;=('Assumptions - Freight'!$E$548-'Assumptions - Freight'!$E$549)),H467*G472/SUM(H472:$AH472)-H473,0),0)</f>
        <v>0</v>
      </c>
      <c r="I471" s="126">
        <f>IF('Assumptions - Freight'!$E$542&lt;&gt;0,IF(AND('Assumptions - Freight'!$E5550=3,I465&gt;0,I465&lt;=('Assumptions - Freight'!$E$548-'Assumptions - Freight'!$E$549)),I467*H472/SUM(I472:$AH472)-I473,0),0)</f>
        <v>0</v>
      </c>
      <c r="J471" s="126">
        <f>IF('Assumptions - Freight'!$E$542&lt;&gt;0,IF(AND('Assumptions - Freight'!$E5550=3,J465&gt;0,J465&lt;=('Assumptions - Freight'!$E$548-'Assumptions - Freight'!$E$549)),J467*I472/SUM(J472:$AH472)-J473,0),0)</f>
        <v>0</v>
      </c>
      <c r="K471" s="126">
        <f>IF('Assumptions - Freight'!$E$542&lt;&gt;0,IF(AND('Assumptions - Freight'!$E5550=3,K465&gt;0,K465&lt;=('Assumptions - Freight'!$E$548-'Assumptions - Freight'!$E$549)),K467*J472/SUM(K472:$AH472)-K473,0),0)</f>
        <v>0</v>
      </c>
      <c r="L471" s="126">
        <f>IF('Assumptions - Freight'!$E$542&lt;&gt;0,IF(AND('Assumptions - Freight'!$E5550=3,L465&gt;0,L465&lt;=('Assumptions - Freight'!$E$548-'Assumptions - Freight'!$E$549)),L467*K472/SUM(L472:$AH472)-L473,0),0)</f>
        <v>0</v>
      </c>
      <c r="M471" s="126">
        <f>IF('Assumptions - Freight'!$E$542&lt;&gt;0,IF(AND('Assumptions - Freight'!$E5550=3,M465&gt;0,M465&lt;=('Assumptions - Freight'!$E$548-'Assumptions - Freight'!$E$549)),M467*L472/SUM(M472:$AH472)-M473,0),0)</f>
        <v>0</v>
      </c>
      <c r="N471" s="126">
        <f>IF('Assumptions - Freight'!$E$542&lt;&gt;0,IF(AND('Assumptions - Freight'!$E5550=3,N465&gt;0,N465&lt;=('Assumptions - Freight'!$E$548-'Assumptions - Freight'!$E$549)),N467*M472/SUM(N472:$AH472)-N473,0),0)</f>
        <v>0</v>
      </c>
      <c r="O471" s="126">
        <f>IF('Assumptions - Freight'!$E$542&lt;&gt;0,IF(AND('Assumptions - Freight'!$E5550=3,O465&gt;0,O465&lt;=('Assumptions - Freight'!$E$548-'Assumptions - Freight'!$E$549)),O467*N472/SUM(O472:$AH472)-O473,0),0)</f>
        <v>0</v>
      </c>
      <c r="P471" s="126">
        <f>IF('Assumptions - Freight'!$E$542&lt;&gt;0,IF(AND('Assumptions - Freight'!$E5550=3,P465&gt;0,P465&lt;=('Assumptions - Freight'!$E$548-'Assumptions - Freight'!$E$549)),P467*O472/SUM(P472:$AH472)-P473,0),0)</f>
        <v>0</v>
      </c>
      <c r="Q471" s="126">
        <f>IF('Assumptions - Freight'!$E$542&lt;&gt;0,IF(AND('Assumptions - Freight'!$E5550=3,Q465&gt;0,Q465&lt;=('Assumptions - Freight'!$E$548-'Assumptions - Freight'!$E$549)),Q467*P472/SUM(Q472:$AH472)-Q473,0),0)</f>
        <v>0</v>
      </c>
      <c r="R471" s="126">
        <f>IF('Assumptions - Freight'!$E$542&lt;&gt;0,IF(AND('Assumptions - Freight'!$E5550=3,R465&gt;0,R465&lt;=('Assumptions - Freight'!$E$548-'Assumptions - Freight'!$E$549)),R467*Q472/SUM(R472:$AH472)-R473,0),0)</f>
        <v>0</v>
      </c>
      <c r="S471" s="126">
        <f>IF('Assumptions - Freight'!$E$542&lt;&gt;0,IF(AND('Assumptions - Freight'!$E5550=3,S465&gt;0,S465&lt;=('Assumptions - Freight'!$E$548-'Assumptions - Freight'!$E$549)),S467*R472/SUM(S472:$AH472)-S473,0),0)</f>
        <v>0</v>
      </c>
      <c r="T471" s="126">
        <f>IF('Assumptions - Freight'!$E$542&lt;&gt;0,IF(AND('Assumptions - Freight'!$E5550=3,T465&gt;0,T465&lt;=('Assumptions - Freight'!$E$548-'Assumptions - Freight'!$E$549)),T467*S472/SUM(T472:$AH472)-T473,0),0)</f>
        <v>0</v>
      </c>
      <c r="U471" s="126">
        <f>IF('Assumptions - Freight'!$E$542&lt;&gt;0,IF(AND('Assumptions - Freight'!$E5550=3,U465&gt;0,U465&lt;=('Assumptions - Freight'!$E$548-'Assumptions - Freight'!$E$549)),U467*T472/SUM(U472:$AH472)-U473,0),0)</f>
        <v>0</v>
      </c>
      <c r="V471" s="126">
        <f>IF('Assumptions - Freight'!$E$542&lt;&gt;0,IF(AND('Assumptions - Freight'!$E5550=3,V465&gt;0,V465&lt;=('Assumptions - Freight'!$E$548-'Assumptions - Freight'!$E$549)),V467*U472/SUM(V472:$AH472)-V473,0),0)</f>
        <v>0</v>
      </c>
      <c r="W471" s="126">
        <f>IF('Assumptions - Freight'!$E$542&lt;&gt;0,IF(AND('Assumptions - Freight'!$E5550=3,W465&gt;0,W465&lt;=('Assumptions - Freight'!$E$548-'Assumptions - Freight'!$E$549)),W467*V472/SUM(W472:$AH472)-W473,0),0)</f>
        <v>0</v>
      </c>
      <c r="X471" s="126">
        <f>IF('Assumptions - Freight'!$E$542&lt;&gt;0,IF(AND('Assumptions - Freight'!$E5550=3,X465&gt;0,X465&lt;=('Assumptions - Freight'!$E$548-'Assumptions - Freight'!$E$549)),X467*W472/SUM(X472:$AH472)-X473,0),0)</f>
        <v>0</v>
      </c>
      <c r="Y471" s="126">
        <f>IF('Assumptions - Freight'!$E$542&lt;&gt;0,IF(AND('Assumptions - Freight'!$E5550=3,Y465&gt;0,Y465&lt;=('Assumptions - Freight'!$E$548-'Assumptions - Freight'!$E$549)),Y467*X472/SUM(Y472:$AH472)-Y473,0),0)</f>
        <v>0</v>
      </c>
      <c r="Z471" s="126">
        <f>IF('Assumptions - Freight'!$E$542&lt;&gt;0,IF(AND('Assumptions - Freight'!$E5550=3,Z465&gt;0,Z465&lt;=('Assumptions - Freight'!$E$548-'Assumptions - Freight'!$E$549)),Z467*Y472/SUM(Z472:$AH472)-Z473,0),0)</f>
        <v>0</v>
      </c>
      <c r="AA471" s="126">
        <f>IF('Assumptions - Freight'!$E$542&lt;&gt;0,IF(AND('Assumptions - Freight'!$E5550=3,AA465&gt;0,AA465&lt;=('Assumptions - Freight'!$E$548-'Assumptions - Freight'!$E$549)),AA467*Z472/SUM(AA472:$AH472)-AA473,0),0)</f>
        <v>0</v>
      </c>
      <c r="AB471" s="126">
        <f>IF('Assumptions - Freight'!$E$542&lt;&gt;0,IF(AND('Assumptions - Freight'!$E5550=3,AB465&gt;0,AB465&lt;=('Assumptions - Freight'!$E$548-'Assumptions - Freight'!$E$549)),AB467*AA472/SUM(AB472:$AH472)-AB473,0),0)</f>
        <v>0</v>
      </c>
      <c r="AC471" s="126">
        <f>IF('Assumptions - Freight'!$E$542&lt;&gt;0,IF(AND('Assumptions - Freight'!$E5550=3,AC465&gt;0,AC465&lt;=('Assumptions - Freight'!$E$548-'Assumptions - Freight'!$E$549)),AC467*AB472/SUM(AC472:$AH472)-AC473,0),0)</f>
        <v>0</v>
      </c>
      <c r="AD471" s="126">
        <f>IF('Assumptions - Freight'!$E$542&lt;&gt;0,IF(AND('Assumptions - Freight'!$E5550=3,AD465&gt;0,AD465&lt;=('Assumptions - Freight'!$E$548-'Assumptions - Freight'!$E$549)),AD467*AC472/SUM(AD472:$AH472)-AD473,0),0)</f>
        <v>0</v>
      </c>
      <c r="AE471" s="126">
        <f>IF('Assumptions - Freight'!$E$542&lt;&gt;0,IF(AND('Assumptions - Freight'!$E5550=3,AE465&gt;0,AE465&lt;=('Assumptions - Freight'!$E$548-'Assumptions - Freight'!$E$549)),AE467*AD472/SUM(AE472:$AH472)-AE473,0),0)</f>
        <v>0</v>
      </c>
      <c r="AF471" s="126">
        <f>IF('Assumptions - Freight'!$E$542&lt;&gt;0,IF(AND('Assumptions - Freight'!$E5550=3,AF465&gt;0,AF465&lt;=('Assumptions - Freight'!$E$548-'Assumptions - Freight'!$E$549)),AF467*AE472/SUM(AF472:$AH472)-AF473,0),0)</f>
        <v>0</v>
      </c>
      <c r="AG471" s="126">
        <f>IF('Assumptions - Freight'!$E$542&lt;&gt;0,IF(AND('Assumptions - Freight'!$E5550=3,AG465&gt;0,AG465&lt;=('Assumptions - Freight'!$E$548-'Assumptions - Freight'!$E$549)),AG467*AF472/SUM(AG472:$AH472)-AG473,0),0)</f>
        <v>0</v>
      </c>
      <c r="AH471" s="126">
        <f>IF('Assumptions - Freight'!$E$542&lt;&gt;0,IF(AND('Assumptions - Freight'!$E5550=3,AH465&gt;0,AH465&lt;=('Assumptions - Freight'!$E$548-'Assumptions - Freight'!$E$549)),AH467*AG472/SUM(AH472:$AH472)-AH473,0),0)</f>
        <v>0</v>
      </c>
    </row>
    <row r="472" spans="1:34" s="20" customFormat="1" ht="14" x14ac:dyDescent="0.2">
      <c r="B472" s="127" t="s">
        <v>677</v>
      </c>
      <c r="D472" s="87">
        <v>1</v>
      </c>
      <c r="E472" s="126">
        <f>IF('Assumptions - Freight'!$E$542&lt;&gt;0,IF(AND('Assumptions - Freight'!$E550=3,E465&lt;=('Assumptions - Freight'!$E$548-'Assumptions - Freight'!$E$549)),D472/(1+E466),0),0)</f>
        <v>0</v>
      </c>
      <c r="F472" s="126">
        <f>IF('Assumptions - Freight'!$E$542&lt;&gt;0,IF(AND('Assumptions - Freight'!$E550=3,F465&lt;=('Assumptions - Freight'!$E$548-'Assumptions - Freight'!$E$549)),E472/(1+F466),0),0)</f>
        <v>0</v>
      </c>
      <c r="G472" s="126">
        <f>IF('Assumptions - Freight'!$E$542&lt;&gt;0,IF(AND('Assumptions - Freight'!$E550=3,G465&lt;=('Assumptions - Freight'!$E$548-'Assumptions - Freight'!$E$549)),F472/(1+G466),0),0)</f>
        <v>0</v>
      </c>
      <c r="H472" s="126">
        <f>IF('Assumptions - Freight'!$E$542&lt;&gt;0,IF(AND('Assumptions - Freight'!$E550=3,H465&lt;=('Assumptions - Freight'!$E$548-'Assumptions - Freight'!$E$549)),G472/(1+H466),0),0)</f>
        <v>0</v>
      </c>
      <c r="I472" s="126">
        <f>IF('Assumptions - Freight'!$E$542&lt;&gt;0,IF(AND('Assumptions - Freight'!$E550=3,I465&lt;=('Assumptions - Freight'!$E$548-'Assumptions - Freight'!$E$549)),H472/(1+I466),0),0)</f>
        <v>0</v>
      </c>
      <c r="J472" s="126">
        <f>IF('Assumptions - Freight'!$E$542&lt;&gt;0,IF(AND('Assumptions - Freight'!$E550=3,J465&lt;=('Assumptions - Freight'!$E$548-'Assumptions - Freight'!$E$549)),I472/(1+J466),0),0)</f>
        <v>0</v>
      </c>
      <c r="K472" s="126">
        <f>IF('Assumptions - Freight'!$E$542&lt;&gt;0,IF(AND('Assumptions - Freight'!$E550=3,K465&lt;=('Assumptions - Freight'!$E$548-'Assumptions - Freight'!$E$549)),J472/(1+K466),0),0)</f>
        <v>0</v>
      </c>
      <c r="L472" s="126">
        <f>IF('Assumptions - Freight'!$E$542&lt;&gt;0,IF(AND('Assumptions - Freight'!$E550=3,L465&lt;=('Assumptions - Freight'!$E$548-'Assumptions - Freight'!$E$549)),K472/(1+L466),0),0)</f>
        <v>0</v>
      </c>
      <c r="M472" s="126">
        <f>IF('Assumptions - Freight'!$E$542&lt;&gt;0,IF(AND('Assumptions - Freight'!$E550=3,M465&lt;=('Assumptions - Freight'!$E$548-'Assumptions - Freight'!$E$549)),L472/(1+M466),0),0)</f>
        <v>0</v>
      </c>
      <c r="N472" s="126">
        <f>IF('Assumptions - Freight'!$E$542&lt;&gt;0,IF(AND('Assumptions - Freight'!$E550=3,N465&lt;=('Assumptions - Freight'!$E$548-'Assumptions - Freight'!$E$549)),M472/(1+N466),0),0)</f>
        <v>0</v>
      </c>
      <c r="O472" s="126">
        <f>IF('Assumptions - Freight'!$E$542&lt;&gt;0,IF(AND('Assumptions - Freight'!$E550=3,O465&lt;=('Assumptions - Freight'!$E$548-'Assumptions - Freight'!$E$549)),N472/(1+O466),0),0)</f>
        <v>0</v>
      </c>
      <c r="P472" s="126">
        <f>IF('Assumptions - Freight'!$E$542&lt;&gt;0,IF(AND('Assumptions - Freight'!$E550=3,P465&lt;=('Assumptions - Freight'!$E$548-'Assumptions - Freight'!$E$549)),O472/(1+P466),0),0)</f>
        <v>0</v>
      </c>
      <c r="Q472" s="126">
        <f>IF('Assumptions - Freight'!$E$542&lt;&gt;0,IF(AND('Assumptions - Freight'!$E550=3,Q465&lt;=('Assumptions - Freight'!$E$548-'Assumptions - Freight'!$E$549)),P472/(1+Q466),0),0)</f>
        <v>0</v>
      </c>
      <c r="R472" s="126">
        <f>IF('Assumptions - Freight'!$E$542&lt;&gt;0,IF(AND('Assumptions - Freight'!$E550=3,R465&lt;=('Assumptions - Freight'!$E$548-'Assumptions - Freight'!$E$549)),Q472/(1+R466),0),0)</f>
        <v>0</v>
      </c>
      <c r="S472" s="126">
        <f>IF('Assumptions - Freight'!$E$542&lt;&gt;0,IF(AND('Assumptions - Freight'!$E550=3,S465&lt;=('Assumptions - Freight'!$E$548-'Assumptions - Freight'!$E$549)),R472/(1+S466),0),0)</f>
        <v>0</v>
      </c>
      <c r="T472" s="126">
        <f>IF('Assumptions - Freight'!$E$542&lt;&gt;0,IF(AND('Assumptions - Freight'!$E550=3,T465&lt;=('Assumptions - Freight'!$E$548-'Assumptions - Freight'!$E$549)),S472/(1+T466),0),0)</f>
        <v>0</v>
      </c>
      <c r="U472" s="126">
        <f>IF('Assumptions - Freight'!$E$542&lt;&gt;0,IF(AND('Assumptions - Freight'!$E550=3,U465&lt;=('Assumptions - Freight'!$E$548-'Assumptions - Freight'!$E$549)),T472/(1+U466),0),0)</f>
        <v>0</v>
      </c>
      <c r="V472" s="126">
        <f>IF('Assumptions - Freight'!$E$542&lt;&gt;0,IF(AND('Assumptions - Freight'!$E550=3,V465&lt;=('Assumptions - Freight'!$E$548-'Assumptions - Freight'!$E$549)),U472/(1+V466),0),0)</f>
        <v>0</v>
      </c>
      <c r="W472" s="126">
        <f>IF('Assumptions - Freight'!$E$542&lt;&gt;0,IF(AND('Assumptions - Freight'!$E550=3,W465&lt;=('Assumptions - Freight'!$E$548-'Assumptions - Freight'!$E$549)),V472/(1+W466),0),0)</f>
        <v>0</v>
      </c>
      <c r="X472" s="126">
        <f>IF('Assumptions - Freight'!$E$542&lt;&gt;0,IF(AND('Assumptions - Freight'!$E550=3,X465&lt;=('Assumptions - Freight'!$E$548-'Assumptions - Freight'!$E$549)),W472/(1+X466),0),0)</f>
        <v>0</v>
      </c>
      <c r="Y472" s="126">
        <f>IF('Assumptions - Freight'!$E$542&lt;&gt;0,IF(AND('Assumptions - Freight'!$E550=3,Y465&lt;=('Assumptions - Freight'!$E$548-'Assumptions - Freight'!$E$549)),X472/(1+Y466),0),0)</f>
        <v>0</v>
      </c>
      <c r="Z472" s="126">
        <f>IF('Assumptions - Freight'!$E$542&lt;&gt;0,IF(AND('Assumptions - Freight'!$E550=3,Z465&lt;=('Assumptions - Freight'!$E$548-'Assumptions - Freight'!$E$549)),Y472/(1+Z466),0),0)</f>
        <v>0</v>
      </c>
      <c r="AA472" s="126">
        <f>IF('Assumptions - Freight'!$E$542&lt;&gt;0,IF(AND('Assumptions - Freight'!$E550=3,AA465&lt;=('Assumptions - Freight'!$E$548-'Assumptions - Freight'!$E$549)),Z472/(1+AA466),0),0)</f>
        <v>0</v>
      </c>
      <c r="AB472" s="126">
        <f>IF('Assumptions - Freight'!$E$542&lt;&gt;0,IF(AND('Assumptions - Freight'!$E550=3,AB465&lt;=('Assumptions - Freight'!$E$548-'Assumptions - Freight'!$E$549)),AA472/(1+AB466),0),0)</f>
        <v>0</v>
      </c>
      <c r="AC472" s="126">
        <f>IF('Assumptions - Freight'!$E$542&lt;&gt;0,IF(AND('Assumptions - Freight'!$E550=3,AC465&lt;=('Assumptions - Freight'!$E$548-'Assumptions - Freight'!$E$549)),AB472/(1+AC466),0),0)</f>
        <v>0</v>
      </c>
      <c r="AD472" s="126">
        <f>IF('Assumptions - Freight'!$E$542&lt;&gt;0,IF(AND('Assumptions - Freight'!$E550=3,AD465&lt;=('Assumptions - Freight'!$E$548-'Assumptions - Freight'!$E$549)),AC472/(1+AD466),0),0)</f>
        <v>0</v>
      </c>
      <c r="AE472" s="126">
        <f>IF('Assumptions - Freight'!$E$542&lt;&gt;0,IF(AND('Assumptions - Freight'!$E550=3,AE465&lt;=('Assumptions - Freight'!$E$548-'Assumptions - Freight'!$E$549)),AD472/(1+AE466),0),0)</f>
        <v>0</v>
      </c>
      <c r="AF472" s="126">
        <f>IF('Assumptions - Freight'!$E$542&lt;&gt;0,IF(AND('Assumptions - Freight'!$E550=3,AF465&lt;=('Assumptions - Freight'!$E$548-'Assumptions - Freight'!$E$549)),AE472/(1+AF466),0),0)</f>
        <v>0</v>
      </c>
      <c r="AG472" s="126">
        <f>IF('Assumptions - Freight'!$E$542&lt;&gt;0,IF(AND('Assumptions - Freight'!$E550=3,AG465&lt;=('Assumptions - Freight'!$E$548-'Assumptions - Freight'!$E$549)),AF472/(1+AG466),0),0)</f>
        <v>0</v>
      </c>
      <c r="AH472" s="126">
        <f>IF('Assumptions - Freight'!$E$542&lt;&gt;0,IF(AND('Assumptions - Freight'!$E550=3,AH465&lt;=('Assumptions - Freight'!$E$548-'Assumptions - Freight'!$E$549)),AG472/(1+AH466),0),0)</f>
        <v>0</v>
      </c>
    </row>
    <row r="473" spans="1:34" s="20" customFormat="1" ht="14" x14ac:dyDescent="0.2">
      <c r="A473" s="8"/>
      <c r="B473" s="125" t="s">
        <v>679</v>
      </c>
      <c r="C473" s="8"/>
      <c r="D473" s="8" t="str">
        <f>D470</f>
        <v>EUR millions</v>
      </c>
      <c r="E473" s="126">
        <f>IF('Assumptions - Freight'!$E$542&lt;&gt;0,IF('Assumptions - Freight'!$E$550=3,E466*E467,0),0)</f>
        <v>0</v>
      </c>
      <c r="F473" s="126">
        <f>IF('Assumptions - Freight'!$E$542&lt;&gt;0,IF('Assumptions - Freight'!$E$550=3,F466*F467,0),0)</f>
        <v>0</v>
      </c>
      <c r="G473" s="126">
        <f>IF('Assumptions - Freight'!$E$542&lt;&gt;0,IF('Assumptions - Freight'!$E$550=3,G466*G467,0),0)</f>
        <v>0</v>
      </c>
      <c r="H473" s="126">
        <f>IF('Assumptions - Freight'!$E$542&lt;&gt;0,IF('Assumptions - Freight'!$E$550=3,H466*H467,0),0)</f>
        <v>0</v>
      </c>
      <c r="I473" s="126">
        <f>IF('Assumptions - Freight'!$E$542&lt;&gt;0,IF('Assumptions - Freight'!$E$550=3,I466*I467,0),0)</f>
        <v>0</v>
      </c>
      <c r="J473" s="126">
        <f>IF('Assumptions - Freight'!$E$542&lt;&gt;0,IF('Assumptions - Freight'!$E$550=3,J466*J467,0),0)</f>
        <v>0</v>
      </c>
      <c r="K473" s="126">
        <f>IF('Assumptions - Freight'!$E$542&lt;&gt;0,IF('Assumptions - Freight'!$E$550=3,K466*K467,0),0)</f>
        <v>0</v>
      </c>
      <c r="L473" s="126">
        <f>IF('Assumptions - Freight'!$E$542&lt;&gt;0,IF('Assumptions - Freight'!$E$550=3,L466*L467,0),0)</f>
        <v>0</v>
      </c>
      <c r="M473" s="126">
        <f>IF('Assumptions - Freight'!$E$542&lt;&gt;0,IF('Assumptions - Freight'!$E$550=3,M466*M467,0),0)</f>
        <v>0</v>
      </c>
      <c r="N473" s="126">
        <f>IF('Assumptions - Freight'!$E$542&lt;&gt;0,IF('Assumptions - Freight'!$E$550=3,N466*N467,0),0)</f>
        <v>0</v>
      </c>
      <c r="O473" s="126">
        <f>IF('Assumptions - Freight'!$E$542&lt;&gt;0,IF('Assumptions - Freight'!$E$550=3,O466*O467,0),0)</f>
        <v>0</v>
      </c>
      <c r="P473" s="126">
        <f>IF('Assumptions - Freight'!$E$542&lt;&gt;0,IF('Assumptions - Freight'!$E$550=3,P466*P467,0),0)</f>
        <v>0</v>
      </c>
      <c r="Q473" s="126">
        <f>IF('Assumptions - Freight'!$E$542&lt;&gt;0,IF('Assumptions - Freight'!$E$550=3,Q466*Q467,0),0)</f>
        <v>0</v>
      </c>
      <c r="R473" s="126">
        <f>IF('Assumptions - Freight'!$E$542&lt;&gt;0,IF('Assumptions - Freight'!$E$550=3,R466*R467,0),0)</f>
        <v>0</v>
      </c>
      <c r="S473" s="126">
        <f>IF('Assumptions - Freight'!$E$542&lt;&gt;0,IF('Assumptions - Freight'!$E$550=3,S466*S467,0),0)</f>
        <v>0</v>
      </c>
      <c r="T473" s="126">
        <f>IF('Assumptions - Freight'!$E$542&lt;&gt;0,IF('Assumptions - Freight'!$E$550=3,T466*T467,0),0)</f>
        <v>0</v>
      </c>
      <c r="U473" s="126">
        <f>IF('Assumptions - Freight'!$E$542&lt;&gt;0,IF('Assumptions - Freight'!$E$550=3,U466*U467,0),0)</f>
        <v>0</v>
      </c>
      <c r="V473" s="126">
        <f>IF('Assumptions - Freight'!$E$542&lt;&gt;0,IF('Assumptions - Freight'!$E$550=3,V466*V467,0),0)</f>
        <v>0</v>
      </c>
      <c r="W473" s="126">
        <f>IF('Assumptions - Freight'!$E$542&lt;&gt;0,IF('Assumptions - Freight'!$E$550=3,W466*W467,0),0)</f>
        <v>0</v>
      </c>
      <c r="X473" s="126">
        <f>IF('Assumptions - Freight'!$E$542&lt;&gt;0,IF('Assumptions - Freight'!$E$550=3,X466*X467,0),0)</f>
        <v>0</v>
      </c>
      <c r="Y473" s="126">
        <f>IF('Assumptions - Freight'!$E$542&lt;&gt;0,IF('Assumptions - Freight'!$E$550=3,Y466*Y467,0),0)</f>
        <v>0</v>
      </c>
      <c r="Z473" s="126">
        <f>IF('Assumptions - Freight'!$E$542&lt;&gt;0,IF('Assumptions - Freight'!$E$550=3,Z466*Z467,0),0)</f>
        <v>0</v>
      </c>
      <c r="AA473" s="126">
        <f>IF('Assumptions - Freight'!$E$542&lt;&gt;0,IF('Assumptions - Freight'!$E$550=3,AA466*AA467,0),0)</f>
        <v>0</v>
      </c>
      <c r="AB473" s="126">
        <f>IF('Assumptions - Freight'!$E$542&lt;&gt;0,IF('Assumptions - Freight'!$E$550=3,AB466*AB467,0),0)</f>
        <v>0</v>
      </c>
      <c r="AC473" s="126">
        <f>IF('Assumptions - Freight'!$E$542&lt;&gt;0,IF('Assumptions - Freight'!$E$550=3,AC466*AC467,0),0)</f>
        <v>0</v>
      </c>
      <c r="AD473" s="126">
        <f>IF('Assumptions - Freight'!$E$542&lt;&gt;0,IF('Assumptions - Freight'!$E$550=3,AD466*AD467,0),0)</f>
        <v>0</v>
      </c>
      <c r="AE473" s="126">
        <f>IF('Assumptions - Freight'!$E$542&lt;&gt;0,IF('Assumptions - Freight'!$E$550=3,AE466*AE467,0),0)</f>
        <v>0</v>
      </c>
      <c r="AF473" s="126">
        <f>IF('Assumptions - Freight'!$E$542&lt;&gt;0,IF('Assumptions - Freight'!$E$550=3,AF466*AF467,0),0)</f>
        <v>0</v>
      </c>
      <c r="AG473" s="126">
        <f>IF('Assumptions - Freight'!$E$542&lt;&gt;0,IF('Assumptions - Freight'!$E$550=3,AG466*AG467,0),0)</f>
        <v>0</v>
      </c>
      <c r="AH473" s="126">
        <f>IF('Assumptions - Freight'!$E$542&lt;&gt;0,IF('Assumptions - Freight'!$E$550=3,AH466*AH467,0),0)</f>
        <v>0</v>
      </c>
    </row>
    <row r="474" spans="1:34" s="20" customFormat="1" ht="14" x14ac:dyDescent="0.2">
      <c r="A474" s="8"/>
      <c r="B474" s="8" t="s">
        <v>137</v>
      </c>
      <c r="C474" s="8"/>
      <c r="D474" s="8" t="str">
        <f t="shared" si="194"/>
        <v>EUR millions</v>
      </c>
      <c r="E474" s="126">
        <f>IF(E$16=1,IF('Assumptions - Freight'!$E$542&gt;0,'Assumptions - Freight'!E543,0),0)</f>
        <v>0</v>
      </c>
      <c r="F474" s="126">
        <f>IF(F$16=1,IF('Assumptions - Freight'!$E$542&gt;0,'Assumptions - Freight'!F543,0),0)</f>
        <v>0</v>
      </c>
      <c r="G474" s="126">
        <f>IF(G$16=1,IF('Assumptions - Freight'!$E$542&gt;0,'Assumptions - Freight'!G543,0),0)</f>
        <v>10</v>
      </c>
      <c r="H474" s="126">
        <f>IF(H$16=1,IF('Assumptions - Freight'!$E$542&gt;0,'Assumptions - Freight'!H543,0),0)</f>
        <v>10</v>
      </c>
      <c r="I474" s="126">
        <f>IF(I$16=1,IF('Assumptions - Freight'!$E$542&gt;0,'Assumptions - Freight'!I543,0),0)</f>
        <v>10</v>
      </c>
      <c r="J474" s="126">
        <f>IF(J$16=1,IF('Assumptions - Freight'!$E$542&gt;0,'Assumptions - Freight'!J543,0),0)</f>
        <v>10</v>
      </c>
      <c r="K474" s="126">
        <f>IF(K$16=1,IF('Assumptions - Freight'!$E$542&gt;0,'Assumptions - Freight'!K543,0),0)</f>
        <v>10</v>
      </c>
      <c r="L474" s="126">
        <f>IF(L$16=1,IF('Assumptions - Freight'!$E$542&gt;0,'Assumptions - Freight'!L543,0),0)</f>
        <v>0</v>
      </c>
      <c r="M474" s="126">
        <f>IF(M$16=1,IF('Assumptions - Freight'!$E$542&gt;0,'Assumptions - Freight'!M543,0),0)</f>
        <v>0</v>
      </c>
      <c r="N474" s="126">
        <f>IF(N$16=1,IF('Assumptions - Freight'!$E$542&gt;0,'Assumptions - Freight'!N543,0),0)</f>
        <v>0</v>
      </c>
      <c r="O474" s="126">
        <f>IF(O$16=1,IF('Assumptions - Freight'!$E$542&gt;0,'Assumptions - Freight'!O543,0),0)</f>
        <v>0</v>
      </c>
      <c r="P474" s="126">
        <f>IF(P$16=1,IF('Assumptions - Freight'!$E$542&gt;0,'Assumptions - Freight'!P543,0),0)</f>
        <v>0</v>
      </c>
      <c r="Q474" s="126">
        <f>IF(Q$16=1,IF('Assumptions - Freight'!$E$542&gt;0,'Assumptions - Freight'!Q543,0),0)</f>
        <v>0</v>
      </c>
      <c r="R474" s="126">
        <f>IF(R$16=1,IF('Assumptions - Freight'!$E$542&gt;0,'Assumptions - Freight'!R543,0),0)</f>
        <v>0</v>
      </c>
      <c r="S474" s="126">
        <f>IF(S$16=1,IF('Assumptions - Freight'!$E$542&gt;0,'Assumptions - Freight'!S543,0),0)</f>
        <v>0</v>
      </c>
      <c r="T474" s="126">
        <f>IF(T$16=1,IF('Assumptions - Freight'!$E$542&gt;0,'Assumptions - Freight'!T543,0),0)</f>
        <v>0</v>
      </c>
      <c r="U474" s="126">
        <f>IF(U$16=1,IF('Assumptions - Freight'!$E$542&gt;0,'Assumptions - Freight'!U543,0),0)</f>
        <v>0</v>
      </c>
      <c r="V474" s="126">
        <f>IF(V$16=1,IF('Assumptions - Freight'!$E$542&gt;0,'Assumptions - Freight'!V543,0),0)</f>
        <v>0</v>
      </c>
      <c r="W474" s="126">
        <f>IF(W$16=1,IF('Assumptions - Freight'!$E$542&gt;0,'Assumptions - Freight'!W543,0),0)</f>
        <v>0</v>
      </c>
      <c r="X474" s="126">
        <f>IF(X$16=1,IF('Assumptions - Freight'!$E$542&gt;0,'Assumptions - Freight'!X543,0),0)</f>
        <v>0</v>
      </c>
      <c r="Y474" s="126">
        <f>IF(Y$16=1,IF('Assumptions - Freight'!$E$542&gt;0,'Assumptions - Freight'!Y543,0),0)</f>
        <v>0</v>
      </c>
      <c r="Z474" s="126">
        <f>IF(Z$16=1,IF('Assumptions - Freight'!$E$542&gt;0,'Assumptions - Freight'!Z543,0),0)</f>
        <v>0</v>
      </c>
      <c r="AA474" s="126">
        <f>IF(AA$16=1,IF('Assumptions - Freight'!$E$542&gt;0,'Assumptions - Freight'!AA543,0),0)</f>
        <v>0</v>
      </c>
      <c r="AB474" s="126">
        <f>IF(AB$16=1,IF('Assumptions - Freight'!$E$542&gt;0,'Assumptions - Freight'!AB543,0),0)</f>
        <v>0</v>
      </c>
      <c r="AC474" s="126">
        <f>IF(AC$16=1,IF('Assumptions - Freight'!$E$542&gt;0,'Assumptions - Freight'!AC543,0),0)</f>
        <v>0</v>
      </c>
      <c r="AD474" s="126">
        <f>IF(AD$16=1,IF('Assumptions - Freight'!$E$542&gt;0,'Assumptions - Freight'!AD543,0),0)</f>
        <v>0</v>
      </c>
      <c r="AE474" s="126">
        <f>IF(AE$16=1,IF('Assumptions - Freight'!$E$542&gt;0,'Assumptions - Freight'!AE543,0),0)</f>
        <v>0</v>
      </c>
      <c r="AF474" s="126">
        <f>IF(AF$16=1,IF('Assumptions - Freight'!$E$542&gt;0,'Assumptions - Freight'!AF543,0),0)</f>
        <v>0</v>
      </c>
      <c r="AG474" s="126">
        <f>IF(AG$16=1,IF('Assumptions - Freight'!$E$542&gt;0,'Assumptions - Freight'!AG543,0),0)</f>
        <v>0</v>
      </c>
      <c r="AH474" s="126">
        <f>IF(AH$16=1,IF('Assumptions - Freight'!$E$542&gt;0,'Assumptions - Freight'!AH543,0),0)</f>
        <v>0</v>
      </c>
    </row>
    <row r="475" spans="1:34" s="20" customFormat="1" ht="14" x14ac:dyDescent="0.2">
      <c r="A475" s="8"/>
      <c r="B475" s="8" t="s">
        <v>138</v>
      </c>
      <c r="C475" s="8"/>
      <c r="D475" s="8" t="str">
        <f t="shared" si="194"/>
        <v>EUR millions</v>
      </c>
      <c r="E475" s="126">
        <f>IF('Assumptions - Freight'!$E$542&lt;&gt;0,E467-E468+E474,0)</f>
        <v>0</v>
      </c>
      <c r="F475" s="126">
        <f>IF('Assumptions - Freight'!$E$542&lt;&gt;0,F467-F468+F474,0)</f>
        <v>0</v>
      </c>
      <c r="G475" s="126">
        <f>IF('Assumptions - Freight'!$E$542&lt;&gt;0,G467-G468+G474,0)</f>
        <v>10</v>
      </c>
      <c r="H475" s="126">
        <f>IF('Assumptions - Freight'!$E$542&lt;&gt;0,H467-H468+H474,0)</f>
        <v>20</v>
      </c>
      <c r="I475" s="126">
        <f>IF('Assumptions - Freight'!$E$542&lt;&gt;0,I467-I468+I474,0)</f>
        <v>30</v>
      </c>
      <c r="J475" s="126">
        <f>IF('Assumptions - Freight'!$E$542&lt;&gt;0,J467-J468+J474,0)</f>
        <v>40</v>
      </c>
      <c r="K475" s="126">
        <f>IF('Assumptions - Freight'!$E$542&lt;&gt;0,K467-K468+K474,0)</f>
        <v>50</v>
      </c>
      <c r="L475" s="126">
        <f>IF('Assumptions - Freight'!$E$542&lt;&gt;0,L467-L468+L474,0)</f>
        <v>50</v>
      </c>
      <c r="M475" s="126">
        <f>IF('Assumptions - Freight'!$E$542&lt;&gt;0,M467-M468+M474,0)</f>
        <v>50</v>
      </c>
      <c r="N475" s="126">
        <f>IF('Assumptions - Freight'!$E$542&lt;&gt;0,N467-N468+N474,0)</f>
        <v>50</v>
      </c>
      <c r="O475" s="126">
        <f>IF('Assumptions - Freight'!$E$542&lt;&gt;0,O467-O468+O474,0)</f>
        <v>50</v>
      </c>
      <c r="P475" s="126">
        <f>IF('Assumptions - Freight'!$E$542&lt;&gt;0,P467-P468+P474,0)</f>
        <v>50</v>
      </c>
      <c r="Q475" s="126">
        <f>IF('Assumptions - Freight'!$E$542&lt;&gt;0,Q467-Q468+Q474,0)</f>
        <v>50</v>
      </c>
      <c r="R475" s="126">
        <f>IF('Assumptions - Freight'!$E$542&lt;&gt;0,R467-R468+R474,0)</f>
        <v>50</v>
      </c>
      <c r="S475" s="126">
        <f>IF('Assumptions - Freight'!$E$542&lt;&gt;0,S467-S468+S474,0)</f>
        <v>50</v>
      </c>
      <c r="T475" s="126">
        <f>IF('Assumptions - Freight'!$E$542&lt;&gt;0,T467-T468+T474,0)</f>
        <v>50</v>
      </c>
      <c r="U475" s="126">
        <f>IF('Assumptions - Freight'!$E$542&lt;&gt;0,U467-U468+U474,0)</f>
        <v>0</v>
      </c>
      <c r="V475" s="126">
        <f>IF('Assumptions - Freight'!$E$542&lt;&gt;0,V467-V468+V474,0)</f>
        <v>0</v>
      </c>
      <c r="W475" s="126">
        <f>IF('Assumptions - Freight'!$E$542&lt;&gt;0,W467-W468+W474,0)</f>
        <v>0</v>
      </c>
      <c r="X475" s="126">
        <f>IF('Assumptions - Freight'!$E$542&lt;&gt;0,X467-X468+X474,0)</f>
        <v>0</v>
      </c>
      <c r="Y475" s="126">
        <f>IF('Assumptions - Freight'!$E$542&lt;&gt;0,Y467-Y468+Y474,0)</f>
        <v>0</v>
      </c>
      <c r="Z475" s="126">
        <f>IF('Assumptions - Freight'!$E$542&lt;&gt;0,Z467-Z468+Z474,0)</f>
        <v>0</v>
      </c>
      <c r="AA475" s="126">
        <f>IF('Assumptions - Freight'!$E$542&lt;&gt;0,AA467-AA468+AA474,0)</f>
        <v>0</v>
      </c>
      <c r="AB475" s="126">
        <f>IF('Assumptions - Freight'!$E$542&lt;&gt;0,AB467-AB468+AB474,0)</f>
        <v>0</v>
      </c>
      <c r="AC475" s="126">
        <f>IF('Assumptions - Freight'!$E$542&lt;&gt;0,AC467-AC468+AC474,0)</f>
        <v>0</v>
      </c>
      <c r="AD475" s="126">
        <f>IF('Assumptions - Freight'!$E$542&lt;&gt;0,AD467-AD468+AD474,0)</f>
        <v>0</v>
      </c>
      <c r="AE475" s="126">
        <f>IF('Assumptions - Freight'!$E$542&lt;&gt;0,AE467-AE468+AE474,0)</f>
        <v>0</v>
      </c>
      <c r="AF475" s="126">
        <f>IF('Assumptions - Freight'!$E$542&lt;&gt;0,AF467-AF468+AF474,0)</f>
        <v>0</v>
      </c>
      <c r="AG475" s="126">
        <f>IF('Assumptions - Freight'!$E$542&lt;&gt;0,AG467-AG468+AG474,0)</f>
        <v>0</v>
      </c>
      <c r="AH475" s="126">
        <f>IF('Assumptions - Freight'!$E$542&lt;&gt;0,AH467-AH468+AH474,0)</f>
        <v>0</v>
      </c>
    </row>
    <row r="476" spans="1:34" s="20" customFormat="1" ht="14" x14ac:dyDescent="0.2">
      <c r="A476" s="8"/>
      <c r="B476" s="8" t="s">
        <v>139</v>
      </c>
      <c r="C476" s="8"/>
      <c r="D476" s="8" t="str">
        <f t="shared" si="194"/>
        <v>EUR millions</v>
      </c>
      <c r="E476" s="126">
        <f>IF(E$16=1,IF('Assumptions - Freight'!$E$542&lt;&gt;0,IF(AND('Assumptions - Freight'!$E$550=3,E465&gt;0),Calculations!E473,((E467+E475)/2)*E466),0),0)</f>
        <v>0</v>
      </c>
      <c r="F476" s="126">
        <f>IF(F$16=1,IF('Assumptions - Freight'!$E$542&lt;&gt;0,IF(AND('Assumptions - Freight'!$E$550=3,F465&gt;0),Calculations!F473,((F467+F475)/2)*F466),0),0)</f>
        <v>0</v>
      </c>
      <c r="G476" s="126">
        <f>IF(G$16=1,IF('Assumptions - Freight'!$E$542&lt;&gt;0,IF(AND('Assumptions - Freight'!$E$550=3,G465&gt;0),Calculations!G473,((G467+G475)/2)*G466),0),0)</f>
        <v>0.25</v>
      </c>
      <c r="H476" s="126">
        <f>IF(H$16=1,IF('Assumptions - Freight'!$E$542&lt;&gt;0,IF(AND('Assumptions - Freight'!$E$550=3,H465&gt;0),Calculations!H473,((H467+H475)/2)*H466),0),0)</f>
        <v>0.75</v>
      </c>
      <c r="I476" s="126">
        <f>IF(I$16=1,IF('Assumptions - Freight'!$E$542&lt;&gt;0,IF(AND('Assumptions - Freight'!$E$550=3,I465&gt;0),Calculations!I473,((I467+I475)/2)*I466),0),0)</f>
        <v>1.25</v>
      </c>
      <c r="J476" s="126">
        <f>IF(J$16=1,IF('Assumptions - Freight'!$E$542&lt;&gt;0,IF(AND('Assumptions - Freight'!$E$550=3,J465&gt;0),Calculations!J473,((J467+J475)/2)*J466),0),0)</f>
        <v>1.75</v>
      </c>
      <c r="K476" s="126">
        <f>IF(K$16=1,IF('Assumptions - Freight'!$E$542&lt;&gt;0,IF(AND('Assumptions - Freight'!$E$550=3,K465&gt;0),Calculations!K473,((K467+K475)/2)*K466),0),0)</f>
        <v>2.25</v>
      </c>
      <c r="L476" s="126">
        <f>IF(L$16=1,IF('Assumptions - Freight'!$E$542&lt;&gt;0,IF(AND('Assumptions - Freight'!$E$550=3,L465&gt;0),Calculations!L473,((L467+L475)/2)*L466),0),0)</f>
        <v>2.5</v>
      </c>
      <c r="M476" s="126">
        <f>IF(M$16=1,IF('Assumptions - Freight'!$E$542&lt;&gt;0,IF(AND('Assumptions - Freight'!$E$550=3,M465&gt;0),Calculations!M473,((M467+M475)/2)*M466),0),0)</f>
        <v>2.5</v>
      </c>
      <c r="N476" s="126">
        <f>IF(N$16=1,IF('Assumptions - Freight'!$E$542&lt;&gt;0,IF(AND('Assumptions - Freight'!$E$550=3,N465&gt;0),Calculations!N473,((N467+N475)/2)*N466),0),0)</f>
        <v>2.5</v>
      </c>
      <c r="O476" s="126">
        <f>IF(O$16=1,IF('Assumptions - Freight'!$E$542&lt;&gt;0,IF(AND('Assumptions - Freight'!$E$550=3,O465&gt;0),Calculations!O473,((O467+O475)/2)*O466),0),0)</f>
        <v>2.5</v>
      </c>
      <c r="P476" s="126">
        <f>IF(P$16=1,IF('Assumptions - Freight'!$E$542&lt;&gt;0,IF(AND('Assumptions - Freight'!$E$550=3,P465&gt;0),Calculations!P473,((P467+P475)/2)*P466),0),0)</f>
        <v>2.5</v>
      </c>
      <c r="Q476" s="126">
        <f>IF(Q$16=1,IF('Assumptions - Freight'!$E$542&lt;&gt;0,IF(AND('Assumptions - Freight'!$E$550=3,Q465&gt;0),Calculations!Q473,((Q467+Q475)/2)*Q466),0),0)</f>
        <v>2.5</v>
      </c>
      <c r="R476" s="126">
        <f>IF(R$16=1,IF('Assumptions - Freight'!$E$542&lt;&gt;0,IF(AND('Assumptions - Freight'!$E$550=3,R465&gt;0),Calculations!R473,((R467+R475)/2)*R466),0),0)</f>
        <v>2.5</v>
      </c>
      <c r="S476" s="126">
        <f>IF(S$16=1,IF('Assumptions - Freight'!$E$542&lt;&gt;0,IF(AND('Assumptions - Freight'!$E$550=3,S465&gt;0),Calculations!S473,((S467+S475)/2)*S466),0),0)</f>
        <v>2.5</v>
      </c>
      <c r="T476" s="126">
        <f>IF(T$16=1,IF('Assumptions - Freight'!$E$542&lt;&gt;0,IF(AND('Assumptions - Freight'!$E$550=3,T465&gt;0),Calculations!T473,((T467+T475)/2)*T466),0),0)</f>
        <v>2.5</v>
      </c>
      <c r="U476" s="126">
        <f>IF(U$16=1,IF('Assumptions - Freight'!$E$542&lt;&gt;0,IF(AND('Assumptions - Freight'!$E$550=3,U465&gt;0),Calculations!U473,((U467+U475)/2)*U466),0),0)</f>
        <v>1.25</v>
      </c>
      <c r="V476" s="126">
        <f>IF(V$16=1,IF('Assumptions - Freight'!$E$542&lt;&gt;0,IF(AND('Assumptions - Freight'!$E$550=3,V465&gt;0),Calculations!V473,((V467+V475)/2)*V466),0),0)</f>
        <v>0</v>
      </c>
      <c r="W476" s="126">
        <f>IF(W$16=1,IF('Assumptions - Freight'!$E$542&lt;&gt;0,IF(AND('Assumptions - Freight'!$E$550=3,W465&gt;0),Calculations!W473,((W467+W475)/2)*W466),0),0)</f>
        <v>0</v>
      </c>
      <c r="X476" s="126">
        <f>IF(X$16=1,IF('Assumptions - Freight'!$E$542&lt;&gt;0,IF(AND('Assumptions - Freight'!$E$550=3,X465&gt;0),Calculations!X473,((X467+X475)/2)*X466),0),0)</f>
        <v>0</v>
      </c>
      <c r="Y476" s="126">
        <f>IF(Y$16=1,IF('Assumptions - Freight'!$E$542&lt;&gt;0,IF(AND('Assumptions - Freight'!$E$550=3,Y465&gt;0),Calculations!Y473,((Y467+Y475)/2)*Y466),0),0)</f>
        <v>0</v>
      </c>
      <c r="Z476" s="126">
        <f>IF(Z$16=1,IF('Assumptions - Freight'!$E$542&lt;&gt;0,IF(AND('Assumptions - Freight'!$E$550=3,Z465&gt;0),Calculations!Z473,((Z467+Z475)/2)*Z466),0),0)</f>
        <v>0</v>
      </c>
      <c r="AA476" s="126">
        <f>IF(AA$16=1,IF('Assumptions - Freight'!$E$542&lt;&gt;0,IF(AND('Assumptions - Freight'!$E$550=3,AA465&gt;0),Calculations!AA473,((AA467+AA475)/2)*AA466),0),0)</f>
        <v>0</v>
      </c>
      <c r="AB476" s="126">
        <f>IF(AB$16=1,IF('Assumptions - Freight'!$E$542&lt;&gt;0,IF(AND('Assumptions - Freight'!$E$550=3,AB465&gt;0),Calculations!AB473,((AB467+AB475)/2)*AB466),0),0)</f>
        <v>0</v>
      </c>
      <c r="AC476" s="126">
        <f>IF(AC$16=1,IF('Assumptions - Freight'!$E$542&lt;&gt;0,IF(AND('Assumptions - Freight'!$E$550=3,AC465&gt;0),Calculations!AC473,((AC467+AC475)/2)*AC466),0),0)</f>
        <v>0</v>
      </c>
      <c r="AD476" s="126">
        <f>IF(AD$16=1,IF('Assumptions - Freight'!$E$542&lt;&gt;0,IF(AND('Assumptions - Freight'!$E$550=3,AD465&gt;0),Calculations!AD473,((AD467+AD475)/2)*AD466),0),0)</f>
        <v>0</v>
      </c>
      <c r="AE476" s="126">
        <f>IF(AE$16=1,IF('Assumptions - Freight'!$E$542&lt;&gt;0,IF(AND('Assumptions - Freight'!$E$550=3,AE465&gt;0),Calculations!AE473,((AE467+AE475)/2)*AE466),0),0)</f>
        <v>0</v>
      </c>
      <c r="AF476" s="126">
        <f>IF(AF$16=1,IF('Assumptions - Freight'!$E$542&lt;&gt;0,IF(AND('Assumptions - Freight'!$E$550=3,AF465&gt;0),Calculations!AF473,((AF467+AF475)/2)*AF466),0),0)</f>
        <v>0</v>
      </c>
      <c r="AG476" s="126">
        <f>IF(AG$16=1,IF('Assumptions - Freight'!$E$542&lt;&gt;0,IF(AND('Assumptions - Freight'!$E$550=3,AG465&gt;0),Calculations!AG473,((AG467+AG475)/2)*AG466),0),0)</f>
        <v>0</v>
      </c>
      <c r="AH476" s="126">
        <f>IF(AH$16=1,IF('Assumptions - Freight'!$E$542&lt;&gt;0,IF(AND('Assumptions - Freight'!$E$550=3,AH465&gt;0),Calculations!AH473,((AH467+AH475)/2)*AH466),0),0)</f>
        <v>0</v>
      </c>
    </row>
    <row r="477" spans="1:34" s="20" customFormat="1" ht="14" x14ac:dyDescent="0.2">
      <c r="A477" s="8"/>
      <c r="B477" s="8" t="s">
        <v>53</v>
      </c>
      <c r="C477" s="8"/>
      <c r="D477" s="8" t="str">
        <f t="shared" si="194"/>
        <v>EUR millions</v>
      </c>
      <c r="E477" s="126">
        <f>IF(E$16=1,IF('Assumptions - Freight'!$E$539=Calculations!E$4,'Assumptions - Freight'!$E$542*'Assumptions - Freight'!$E$552,0),0)</f>
        <v>0</v>
      </c>
      <c r="F477" s="126">
        <f>IF(F$16=1,IF('Assumptions - Freight'!$E$539=Calculations!F$4,'Assumptions - Freight'!$E$542*'Assumptions - Freight'!$E$552,0),0)</f>
        <v>0</v>
      </c>
      <c r="G477" s="126">
        <f>IF(G$16=1,IF('Assumptions - Freight'!$E$539=Calculations!G$4,'Assumptions - Freight'!$E$542*'Assumptions - Freight'!$E$552,0),0)</f>
        <v>0.125</v>
      </c>
      <c r="H477" s="126">
        <f>IF(H$16=1,IF('Assumptions - Freight'!$E$539=Calculations!H$4,'Assumptions - Freight'!$E$542*'Assumptions - Freight'!$E$552,0),0)</f>
        <v>0</v>
      </c>
      <c r="I477" s="126">
        <f>IF(I$16=1,IF('Assumptions - Freight'!$E$539=Calculations!I$4,'Assumptions - Freight'!$E$542*'Assumptions - Freight'!$E$552,0),0)</f>
        <v>0</v>
      </c>
      <c r="J477" s="126">
        <f>IF(J$16=1,IF('Assumptions - Freight'!$E$539=Calculations!J$4,'Assumptions - Freight'!$E$542*'Assumptions - Freight'!$E$552,0),0)</f>
        <v>0</v>
      </c>
      <c r="K477" s="126">
        <f>IF(K$16=1,IF('Assumptions - Freight'!$E$539=Calculations!K$4,'Assumptions - Freight'!$E$542*'Assumptions - Freight'!$E$552,0),0)</f>
        <v>0</v>
      </c>
      <c r="L477" s="126">
        <f>IF(L$16=1,IF('Assumptions - Freight'!$E$539=Calculations!L$4,'Assumptions - Freight'!$E$542*'Assumptions - Freight'!$E$552,0),0)</f>
        <v>0</v>
      </c>
      <c r="M477" s="126">
        <f>IF(M$16=1,IF('Assumptions - Freight'!$E$539=Calculations!M$4,'Assumptions - Freight'!$E$542*'Assumptions - Freight'!$E$552,0),0)</f>
        <v>0</v>
      </c>
      <c r="N477" s="126">
        <f>IF(N$16=1,IF('Assumptions - Freight'!$E$539=Calculations!N$4,'Assumptions - Freight'!$E$542*'Assumptions - Freight'!$E$552,0),0)</f>
        <v>0</v>
      </c>
      <c r="O477" s="126">
        <f>IF(O$16=1,IF('Assumptions - Freight'!$E$539=Calculations!O$4,'Assumptions - Freight'!$E$542*'Assumptions - Freight'!$E$552,0),0)</f>
        <v>0</v>
      </c>
      <c r="P477" s="126">
        <f>IF(P$16=1,IF('Assumptions - Freight'!$E$539=Calculations!P$4,'Assumptions - Freight'!$E$542*'Assumptions - Freight'!$E$552,0),0)</f>
        <v>0</v>
      </c>
      <c r="Q477" s="126">
        <f>IF(Q$16=1,IF('Assumptions - Freight'!$E$539=Calculations!Q$4,'Assumptions - Freight'!$E$542*'Assumptions - Freight'!$E$552,0),0)</f>
        <v>0</v>
      </c>
      <c r="R477" s="126">
        <f>IF(R$16=1,IF('Assumptions - Freight'!$E$539=Calculations!R$4,'Assumptions - Freight'!$E$542*'Assumptions - Freight'!$E$552,0),0)</f>
        <v>0</v>
      </c>
      <c r="S477" s="126">
        <f>IF(S$16=1,IF('Assumptions - Freight'!$E$539=Calculations!S$4,'Assumptions - Freight'!$E$542*'Assumptions - Freight'!$E$552,0),0)</f>
        <v>0</v>
      </c>
      <c r="T477" s="126">
        <f>IF(T$16=1,IF('Assumptions - Freight'!$E$539=Calculations!T$4,'Assumptions - Freight'!$E$542*'Assumptions - Freight'!$E$552,0),0)</f>
        <v>0</v>
      </c>
      <c r="U477" s="126">
        <f>IF(U$16=1,IF('Assumptions - Freight'!$E$539=Calculations!U$4,'Assumptions - Freight'!$E$542*'Assumptions - Freight'!$E$552,0),0)</f>
        <v>0</v>
      </c>
      <c r="V477" s="126">
        <f>IF(V$16=1,IF('Assumptions - Freight'!$E$539=Calculations!V$4,'Assumptions - Freight'!$E$542*'Assumptions - Freight'!$E$552,0),0)</f>
        <v>0</v>
      </c>
      <c r="W477" s="126">
        <f>IF(W$16=1,IF('Assumptions - Freight'!$E$539=Calculations!W$4,'Assumptions - Freight'!$E$542*'Assumptions - Freight'!$E$552,0),0)</f>
        <v>0</v>
      </c>
      <c r="X477" s="126">
        <f>IF(X$16=1,IF('Assumptions - Freight'!$E$539=Calculations!X$4,'Assumptions - Freight'!$E$542*'Assumptions - Freight'!$E$552,0),0)</f>
        <v>0</v>
      </c>
      <c r="Y477" s="126">
        <f>IF(Y$16=1,IF('Assumptions - Freight'!$E$539=Calculations!Y$4,'Assumptions - Freight'!$E$542*'Assumptions - Freight'!$E$552,0),0)</f>
        <v>0</v>
      </c>
      <c r="Z477" s="126">
        <f>IF(Z$16=1,IF('Assumptions - Freight'!$E$539=Calculations!Z$4,'Assumptions - Freight'!$E$542*'Assumptions - Freight'!$E$552,0),0)</f>
        <v>0</v>
      </c>
      <c r="AA477" s="126">
        <f>IF(AA$16=1,IF('Assumptions - Freight'!$E$539=Calculations!AA$4,'Assumptions - Freight'!$E$542*'Assumptions - Freight'!$E$552,0),0)</f>
        <v>0</v>
      </c>
      <c r="AB477" s="126">
        <f>IF(AB$16=1,IF('Assumptions - Freight'!$E$539=Calculations!AB$4,'Assumptions - Freight'!$E$542*'Assumptions - Freight'!$E$552,0),0)</f>
        <v>0</v>
      </c>
      <c r="AC477" s="126">
        <f>IF(AC$16=1,IF('Assumptions - Freight'!$E$539=Calculations!AC$4,'Assumptions - Freight'!$E$542*'Assumptions - Freight'!$E$552,0),0)</f>
        <v>0</v>
      </c>
      <c r="AD477" s="126">
        <f>IF(AD$16=1,IF('Assumptions - Freight'!$E$539=Calculations!AD$4,'Assumptions - Freight'!$E$542*'Assumptions - Freight'!$E$552,0),0)</f>
        <v>0</v>
      </c>
      <c r="AE477" s="126">
        <f>IF(AE$16=1,IF('Assumptions - Freight'!$E$539=Calculations!AE$4,'Assumptions - Freight'!$E$542*'Assumptions - Freight'!$E$552,0),0)</f>
        <v>0</v>
      </c>
      <c r="AF477" s="126">
        <f>IF(AF$16=1,IF('Assumptions - Freight'!$E$539=Calculations!AF$4,'Assumptions - Freight'!$E$542*'Assumptions - Freight'!$E$552,0),0)</f>
        <v>0</v>
      </c>
      <c r="AG477" s="126">
        <f>IF(AG$16=1,IF('Assumptions - Freight'!$E$539=Calculations!AG$4,'Assumptions - Freight'!$E$542*'Assumptions - Freight'!$E$552,0),0)</f>
        <v>0</v>
      </c>
      <c r="AH477" s="126">
        <f>IF(AH$16=1,IF('Assumptions - Freight'!$E$539=Calculations!AH$4,'Assumptions - Freight'!$E$542*'Assumptions - Freight'!$E$552,0),0)</f>
        <v>0</v>
      </c>
    </row>
    <row r="478" spans="1:34" s="20" customFormat="1" ht="14" x14ac:dyDescent="0.2">
      <c r="A478" s="8"/>
      <c r="B478" s="8" t="s">
        <v>142</v>
      </c>
      <c r="C478" s="8"/>
      <c r="D478" s="8" t="str">
        <f t="shared" si="194"/>
        <v>EUR millions</v>
      </c>
      <c r="E478" s="126">
        <f>IF(E$16=1,IF(AND(E$4&lt;=('Assumptions - Freight'!$E$539+'Assumptions - Freight'!$E$549),E$4&gt;='Assumptions - Freight'!$E$539),'Assumptions - Freight'!$E$542-Calculations!E467-E474,0),0)</f>
        <v>0</v>
      </c>
      <c r="F478" s="126">
        <f>IF(F$16=1,IF(AND(F$4&lt;=('Assumptions - Freight'!$E$539+'Assumptions - Freight'!$E$549),F$4&gt;='Assumptions - Freight'!$E$539),'Assumptions - Freight'!$E$542-Calculations!F467-F474,0),0)</f>
        <v>0</v>
      </c>
      <c r="G478" s="126">
        <f>IF(G$16=1,IF(AND(G$4&lt;=('Assumptions - Freight'!$E$539+'Assumptions - Freight'!$E$549),G$4&gt;='Assumptions - Freight'!$E$539),'Assumptions - Freight'!$E$542-Calculations!G467-G474,0),0)</f>
        <v>40</v>
      </c>
      <c r="H478" s="126">
        <f>IF(H$16=1,IF(AND(H$4&lt;=('Assumptions - Freight'!$E$539+'Assumptions - Freight'!$E$549),H$4&gt;='Assumptions - Freight'!$E$539),'Assumptions - Freight'!$E$542-Calculations!H467-H474,0),0)</f>
        <v>30</v>
      </c>
      <c r="I478" s="126">
        <f>IF(I$16=1,IF(AND(I$4&lt;=('Assumptions - Freight'!$E$539+'Assumptions - Freight'!$E$549),I$4&gt;='Assumptions - Freight'!$E$539),'Assumptions - Freight'!$E$542-Calculations!I467-I474,0),0)</f>
        <v>0</v>
      </c>
      <c r="J478" s="126">
        <f>IF(J$16=1,IF(AND(J$4&lt;=('Assumptions - Freight'!$E$539+'Assumptions - Freight'!$E$549),J$4&gt;='Assumptions - Freight'!$E$539),'Assumptions - Freight'!$E$542-Calculations!J467-J474,0),0)</f>
        <v>0</v>
      </c>
      <c r="K478" s="126">
        <f>IF(K$16=1,IF(AND(K$4&lt;=('Assumptions - Freight'!$E$539+'Assumptions - Freight'!$E$549),K$4&gt;='Assumptions - Freight'!$E$539),'Assumptions - Freight'!$E$542-Calculations!K467-K474,0),0)</f>
        <v>0</v>
      </c>
      <c r="L478" s="126">
        <f>IF(L$16=1,IF(AND(L$4&lt;=('Assumptions - Freight'!$E$539+'Assumptions - Freight'!$E$549),L$4&gt;='Assumptions - Freight'!$E$539),'Assumptions - Freight'!$E$542-Calculations!L467-L474,0),0)</f>
        <v>0</v>
      </c>
      <c r="M478" s="126">
        <f>IF(M$16=1,IF(AND(M$4&lt;=('Assumptions - Freight'!$E$539+'Assumptions - Freight'!$E$549),M$4&gt;='Assumptions - Freight'!$E$539),'Assumptions - Freight'!$E$542-Calculations!M467-M474,0),0)</f>
        <v>0</v>
      </c>
      <c r="N478" s="126">
        <f>IF(N$16=1,IF(AND(N$4&lt;=('Assumptions - Freight'!$E$539+'Assumptions - Freight'!$E$549),N$4&gt;='Assumptions - Freight'!$E$539),'Assumptions - Freight'!$E$542-Calculations!N467-N474,0),0)</f>
        <v>0</v>
      </c>
      <c r="O478" s="126">
        <f>IF(O$16=1,IF(AND(O$4&lt;=('Assumptions - Freight'!$E$539+'Assumptions - Freight'!$E$549),O$4&gt;='Assumptions - Freight'!$E$539),'Assumptions - Freight'!$E$542-Calculations!O467-O474,0),0)</f>
        <v>0</v>
      </c>
      <c r="P478" s="126">
        <f>IF(P$16=1,IF(AND(P$4&lt;=('Assumptions - Freight'!$E$539+'Assumptions - Freight'!$E$549),P$4&gt;='Assumptions - Freight'!$E$539),'Assumptions - Freight'!$E$542-Calculations!P467-P474,0),0)</f>
        <v>0</v>
      </c>
      <c r="Q478" s="126">
        <f>IF(Q$16=1,IF(AND(Q$4&lt;=('Assumptions - Freight'!$E$539+'Assumptions - Freight'!$E$549),Q$4&gt;='Assumptions - Freight'!$E$539),'Assumptions - Freight'!$E$542-Calculations!Q467-Q474,0),0)</f>
        <v>0</v>
      </c>
      <c r="R478" s="126">
        <f>IF(R$16=1,IF(AND(R$4&lt;=('Assumptions - Freight'!$E$539+'Assumptions - Freight'!$E$549),R$4&gt;='Assumptions - Freight'!$E$539),'Assumptions - Freight'!$E$542-Calculations!R467-R474,0),0)</f>
        <v>0</v>
      </c>
      <c r="S478" s="126">
        <f>IF(S$16=1,IF(AND(S$4&lt;=('Assumptions - Freight'!$E$539+'Assumptions - Freight'!$E$549),S$4&gt;='Assumptions - Freight'!$E$539),'Assumptions - Freight'!$E$542-Calculations!S467-S474,0),0)</f>
        <v>0</v>
      </c>
      <c r="T478" s="126">
        <f>IF(T$16=1,IF(AND(T$4&lt;=('Assumptions - Freight'!$E$539+'Assumptions - Freight'!$E$549),T$4&gt;='Assumptions - Freight'!$E$539),'Assumptions - Freight'!$E$542-Calculations!T467-T474,0),0)</f>
        <v>0</v>
      </c>
      <c r="U478" s="126">
        <f>IF(U$16=1,IF(AND(U$4&lt;=('Assumptions - Freight'!$E$539+'Assumptions - Freight'!$E$549),U$4&gt;='Assumptions - Freight'!$E$539),'Assumptions - Freight'!$E$542-Calculations!U467-U474,0),0)</f>
        <v>0</v>
      </c>
      <c r="V478" s="126">
        <f>IF(V$16=1,IF(AND(V$4&lt;=('Assumptions - Freight'!$E$539+'Assumptions - Freight'!$E$549),V$4&gt;='Assumptions - Freight'!$E$539),'Assumptions - Freight'!$E$542-Calculations!V467-V474,0),0)</f>
        <v>0</v>
      </c>
      <c r="W478" s="126">
        <f>IF(W$16=1,IF(AND(W$4&lt;=('Assumptions - Freight'!$E$539+'Assumptions - Freight'!$E$549),W$4&gt;='Assumptions - Freight'!$E$539),'Assumptions - Freight'!$E$542-Calculations!W467-W474,0),0)</f>
        <v>0</v>
      </c>
      <c r="X478" s="126">
        <f>IF(X$16=1,IF(AND(X$4&lt;=('Assumptions - Freight'!$E$539+'Assumptions - Freight'!$E$549),X$4&gt;='Assumptions - Freight'!$E$539),'Assumptions - Freight'!$E$542-Calculations!X467-X474,0),0)</f>
        <v>0</v>
      </c>
      <c r="Y478" s="126">
        <f>IF(Y$16=1,IF(AND(Y$4&lt;=('Assumptions - Freight'!$E$539+'Assumptions - Freight'!$E$549),Y$4&gt;='Assumptions - Freight'!$E$539),'Assumptions - Freight'!$E$542-Calculations!Y467-Y474,0),0)</f>
        <v>0</v>
      </c>
      <c r="Z478" s="126">
        <f>IF(Z$16=1,IF(AND(Z$4&lt;=('Assumptions - Freight'!$E$539+'Assumptions - Freight'!$E$549),Z$4&gt;='Assumptions - Freight'!$E$539),'Assumptions - Freight'!$E$542-Calculations!Z467-Z474,0),0)</f>
        <v>0</v>
      </c>
      <c r="AA478" s="126">
        <f>IF(AA$16=1,IF(AND(AA$4&lt;=('Assumptions - Freight'!$E$539+'Assumptions - Freight'!$E$549),AA$4&gt;='Assumptions - Freight'!$E$539),'Assumptions - Freight'!$E$542-Calculations!AA467-AA474,0),0)</f>
        <v>0</v>
      </c>
      <c r="AB478" s="126">
        <f>IF(AB$16=1,IF(AND(AB$4&lt;=('Assumptions - Freight'!$E$539+'Assumptions - Freight'!$E$549),AB$4&gt;='Assumptions - Freight'!$E$539),'Assumptions - Freight'!$E$542-Calculations!AB467-AB474,0),0)</f>
        <v>0</v>
      </c>
      <c r="AC478" s="126">
        <f>IF(AC$16=1,IF(AND(AC$4&lt;=('Assumptions - Freight'!$E$539+'Assumptions - Freight'!$E$549),AC$4&gt;='Assumptions - Freight'!$E$539),'Assumptions - Freight'!$E$542-Calculations!AC467-AC474,0),0)</f>
        <v>0</v>
      </c>
      <c r="AD478" s="126">
        <f>IF(AD$16=1,IF(AND(AD$4&lt;=('Assumptions - Freight'!$E$539+'Assumptions - Freight'!$E$549),AD$4&gt;='Assumptions - Freight'!$E$539),'Assumptions - Freight'!$E$542-Calculations!AD467-AD474,0),0)</f>
        <v>0</v>
      </c>
      <c r="AE478" s="126">
        <f>IF(AE$16=1,IF(AND(AE$4&lt;=('Assumptions - Freight'!$E$539+'Assumptions - Freight'!$E$549),AE$4&gt;='Assumptions - Freight'!$E$539),'Assumptions - Freight'!$E$542-Calculations!AE467-AE474,0),0)</f>
        <v>0</v>
      </c>
      <c r="AF478" s="126">
        <f>IF(AF$16=1,IF(AND(AF$4&lt;=('Assumptions - Freight'!$E$539+'Assumptions - Freight'!$E$549),AF$4&gt;='Assumptions - Freight'!$E$539),'Assumptions - Freight'!$E$542-Calculations!AF467-AF474,0),0)</f>
        <v>0</v>
      </c>
      <c r="AG478" s="126">
        <f>IF(AG$16=1,IF(AND(AG$4&lt;=('Assumptions - Freight'!$E$539+'Assumptions - Freight'!$E$549),AG$4&gt;='Assumptions - Freight'!$E$539),'Assumptions - Freight'!$E$542-Calculations!AG467-AG474,0),0)</f>
        <v>0</v>
      </c>
      <c r="AH478" s="126">
        <f>IF(AH$16=1,IF(AND(AH$4&lt;=('Assumptions - Freight'!$E$539+'Assumptions - Freight'!$E$549),AH$4&gt;='Assumptions - Freight'!$E$539),'Assumptions - Freight'!$E$542-Calculations!AH467-AH474,0),0)</f>
        <v>0</v>
      </c>
    </row>
    <row r="479" spans="1:34" s="20" customFormat="1" ht="14" x14ac:dyDescent="0.2">
      <c r="A479" s="8"/>
      <c r="B479" s="8" t="s">
        <v>55</v>
      </c>
      <c r="C479" s="8"/>
      <c r="D479" s="8" t="str">
        <f t="shared" si="194"/>
        <v>EUR millions</v>
      </c>
      <c r="E479" s="126">
        <f>IF(E$16=1,'Assumptions - Freight'!$E$553*Calculations!E478,0)</f>
        <v>0</v>
      </c>
      <c r="F479" s="126">
        <f>IF(F$16=1,'Assumptions - Freight'!$E$553*Calculations!F478,0)</f>
        <v>0</v>
      </c>
      <c r="G479" s="126">
        <f>IF(G$16=1,'Assumptions - Freight'!$E$553*Calculations!G478,0)</f>
        <v>0</v>
      </c>
      <c r="H479" s="126">
        <f>IF(H$16=1,'Assumptions - Freight'!$E$553*Calculations!H478,0)</f>
        <v>0</v>
      </c>
      <c r="I479" s="126">
        <f>IF(I$16=1,'Assumptions - Freight'!$E$553*Calculations!I478,0)</f>
        <v>0</v>
      </c>
      <c r="J479" s="126">
        <f>IF(J$16=1,'Assumptions - Freight'!$E$553*Calculations!J478,0)</f>
        <v>0</v>
      </c>
      <c r="K479" s="126">
        <f>IF(K$16=1,'Assumptions - Freight'!$E$553*Calculations!K478,0)</f>
        <v>0</v>
      </c>
      <c r="L479" s="126">
        <f>IF(L$16=1,'Assumptions - Freight'!$E$553*Calculations!L478,0)</f>
        <v>0</v>
      </c>
      <c r="M479" s="126">
        <f>IF(M$16=1,'Assumptions - Freight'!$E$553*Calculations!M478,0)</f>
        <v>0</v>
      </c>
      <c r="N479" s="126">
        <f>IF(N$16=1,'Assumptions - Freight'!$E$553*Calculations!N478,0)</f>
        <v>0</v>
      </c>
      <c r="O479" s="126">
        <f>IF(O$16=1,'Assumptions - Freight'!$E$553*Calculations!O478,0)</f>
        <v>0</v>
      </c>
      <c r="P479" s="126">
        <f>IF(P$16=1,'Assumptions - Freight'!$E$553*Calculations!P478,0)</f>
        <v>0</v>
      </c>
      <c r="Q479" s="126">
        <f>IF(Q$16=1,'Assumptions - Freight'!$E$553*Calculations!Q478,0)</f>
        <v>0</v>
      </c>
      <c r="R479" s="126">
        <f>IF(R$16=1,'Assumptions - Freight'!$E$553*Calculations!R478,0)</f>
        <v>0</v>
      </c>
      <c r="S479" s="126">
        <f>IF(S$16=1,'Assumptions - Freight'!$E$553*Calculations!S478,0)</f>
        <v>0</v>
      </c>
      <c r="T479" s="126">
        <f>IF(T$16=1,'Assumptions - Freight'!$E$553*Calculations!T478,0)</f>
        <v>0</v>
      </c>
      <c r="U479" s="126">
        <f>IF(U$16=1,'Assumptions - Freight'!$E$553*Calculations!U478,0)</f>
        <v>0</v>
      </c>
      <c r="V479" s="126">
        <f>IF(V$16=1,'Assumptions - Freight'!$E$553*Calculations!V478,0)</f>
        <v>0</v>
      </c>
      <c r="W479" s="126">
        <f>IF(W$16=1,'Assumptions - Freight'!$E$553*Calculations!W478,0)</f>
        <v>0</v>
      </c>
      <c r="X479" s="126">
        <f>IF(X$16=1,'Assumptions - Freight'!$E$553*Calculations!X478,0)</f>
        <v>0</v>
      </c>
      <c r="Y479" s="126">
        <f>IF(Y$16=1,'Assumptions - Freight'!$E$553*Calculations!Y478,0)</f>
        <v>0</v>
      </c>
      <c r="Z479" s="126">
        <f>IF(Z$16=1,'Assumptions - Freight'!$E$553*Calculations!Z478,0)</f>
        <v>0</v>
      </c>
      <c r="AA479" s="126">
        <f>IF(AA$16=1,'Assumptions - Freight'!$E$553*Calculations!AA478,0)</f>
        <v>0</v>
      </c>
      <c r="AB479" s="126">
        <f>IF(AB$16=1,'Assumptions - Freight'!$E$553*Calculations!AB478,0)</f>
        <v>0</v>
      </c>
      <c r="AC479" s="126">
        <f>IF(AC$16=1,'Assumptions - Freight'!$E$553*Calculations!AC478,0)</f>
        <v>0</v>
      </c>
      <c r="AD479" s="126">
        <f>IF(AD$16=1,'Assumptions - Freight'!$E$553*Calculations!AD478,0)</f>
        <v>0</v>
      </c>
      <c r="AE479" s="126">
        <f>IF(AE$16=1,'Assumptions - Freight'!$E$553*Calculations!AE478,0)</f>
        <v>0</v>
      </c>
      <c r="AF479" s="126">
        <f>IF(AF$16=1,'Assumptions - Freight'!$E$553*Calculations!AF478,0)</f>
        <v>0</v>
      </c>
      <c r="AG479" s="126">
        <f>IF(AG$16=1,'Assumptions - Freight'!$E$553*Calculations!AG478,0)</f>
        <v>0</v>
      </c>
      <c r="AH479" s="126">
        <f>IF(AH$16=1,'Assumptions - Freight'!$E$553*Calculations!AH478,0)</f>
        <v>0</v>
      </c>
    </row>
    <row r="480" spans="1:34" s="20" customFormat="1" ht="14" x14ac:dyDescent="0.2">
      <c r="A480" s="8"/>
      <c r="B480" s="8" t="s">
        <v>140</v>
      </c>
      <c r="C480" s="8"/>
      <c r="D480" s="8" t="str">
        <f t="shared" si="194"/>
        <v>EUR millions</v>
      </c>
      <c r="E480" s="126">
        <f>E468+E476+E477+E479</f>
        <v>0</v>
      </c>
      <c r="F480" s="126">
        <f t="shared" ref="F480:AH480" si="195">F468+F476+F477+F479</f>
        <v>0</v>
      </c>
      <c r="G480" s="126">
        <f t="shared" si="195"/>
        <v>0.375</v>
      </c>
      <c r="H480" s="126">
        <f t="shared" si="195"/>
        <v>0.75</v>
      </c>
      <c r="I480" s="126">
        <f t="shared" si="195"/>
        <v>1.25</v>
      </c>
      <c r="J480" s="126">
        <f t="shared" si="195"/>
        <v>1.75</v>
      </c>
      <c r="K480" s="126">
        <f t="shared" si="195"/>
        <v>2.25</v>
      </c>
      <c r="L480" s="126">
        <f t="shared" si="195"/>
        <v>2.5</v>
      </c>
      <c r="M480" s="126">
        <f t="shared" si="195"/>
        <v>2.5</v>
      </c>
      <c r="N480" s="126">
        <f t="shared" si="195"/>
        <v>2.5</v>
      </c>
      <c r="O480" s="126">
        <f t="shared" si="195"/>
        <v>2.5</v>
      </c>
      <c r="P480" s="126">
        <f t="shared" si="195"/>
        <v>2.5</v>
      </c>
      <c r="Q480" s="126">
        <f t="shared" si="195"/>
        <v>2.5</v>
      </c>
      <c r="R480" s="126">
        <f t="shared" si="195"/>
        <v>2.5</v>
      </c>
      <c r="S480" s="126">
        <f t="shared" si="195"/>
        <v>2.5</v>
      </c>
      <c r="T480" s="126">
        <f t="shared" si="195"/>
        <v>2.5</v>
      </c>
      <c r="U480" s="126">
        <f t="shared" si="195"/>
        <v>51.25</v>
      </c>
      <c r="V480" s="126">
        <f t="shared" si="195"/>
        <v>0</v>
      </c>
      <c r="W480" s="126">
        <f t="shared" si="195"/>
        <v>0</v>
      </c>
      <c r="X480" s="126">
        <f t="shared" si="195"/>
        <v>0</v>
      </c>
      <c r="Y480" s="126">
        <f t="shared" si="195"/>
        <v>0</v>
      </c>
      <c r="Z480" s="126">
        <f t="shared" si="195"/>
        <v>0</v>
      </c>
      <c r="AA480" s="126">
        <f t="shared" si="195"/>
        <v>0</v>
      </c>
      <c r="AB480" s="126">
        <f t="shared" si="195"/>
        <v>0</v>
      </c>
      <c r="AC480" s="126">
        <f t="shared" si="195"/>
        <v>0</v>
      </c>
      <c r="AD480" s="126">
        <f t="shared" si="195"/>
        <v>0</v>
      </c>
      <c r="AE480" s="126">
        <f t="shared" si="195"/>
        <v>0</v>
      </c>
      <c r="AF480" s="126">
        <f t="shared" si="195"/>
        <v>0</v>
      </c>
      <c r="AG480" s="126">
        <f t="shared" si="195"/>
        <v>0</v>
      </c>
      <c r="AH480" s="126">
        <f t="shared" si="195"/>
        <v>0</v>
      </c>
    </row>
    <row r="481" spans="1:34" s="20" customFormat="1" ht="14" x14ac:dyDescent="0.2">
      <c r="A481" s="8"/>
      <c r="B481" s="8"/>
      <c r="C481" s="8"/>
      <c r="D481" s="8"/>
      <c r="E481" s="16"/>
      <c r="F481" s="8"/>
      <c r="G481" s="8"/>
      <c r="H481" s="8"/>
      <c r="I481" s="8"/>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row>
    <row r="482" spans="1:34" s="20" customFormat="1" ht="14" x14ac:dyDescent="0.2">
      <c r="A482" s="8"/>
      <c r="B482" s="21" t="str">
        <f>B464</f>
        <v>New loan from Regional bank</v>
      </c>
      <c r="C482" s="8"/>
      <c r="D482" s="8"/>
      <c r="E482" s="8"/>
      <c r="F482" s="8"/>
      <c r="G482" s="8"/>
      <c r="H482" s="8"/>
      <c r="I482" s="8"/>
      <c r="J482" s="8"/>
      <c r="K482" s="8"/>
      <c r="L482" s="8"/>
      <c r="M482" s="8"/>
      <c r="N482" s="8"/>
      <c r="O482" s="8"/>
      <c r="P482" s="8"/>
      <c r="Q482" s="8"/>
      <c r="R482" s="8"/>
      <c r="S482" s="8"/>
      <c r="T482" s="8"/>
      <c r="U482" s="8"/>
      <c r="V482" s="8"/>
      <c r="W482" s="8"/>
      <c r="X482" s="8"/>
      <c r="Y482" s="8"/>
      <c r="Z482" s="8"/>
      <c r="AA482" s="8"/>
      <c r="AB482" s="8"/>
      <c r="AC482" s="8"/>
      <c r="AD482" s="8"/>
      <c r="AE482" s="8"/>
      <c r="AF482" s="8"/>
      <c r="AG482" s="8"/>
      <c r="AH482" s="8"/>
    </row>
    <row r="483" spans="1:34" s="20" customFormat="1" ht="14" x14ac:dyDescent="0.2">
      <c r="A483" s="8"/>
      <c r="B483" s="8" t="s">
        <v>334</v>
      </c>
      <c r="C483" s="8"/>
      <c r="D483" s="8" t="str">
        <f>IF('Assumptions - Freight'!$E$540=1,"Same as above",IF('Assumptions - Freight'!$E$540=2,"Local currency/"&amp;'Assumptions - General'!$E$39,"Local currency/"&amp;'Assumptions - General'!$E$40))</f>
        <v>Local currency/EUR</v>
      </c>
      <c r="E483" s="124">
        <f>IF('Assumptions - Freight'!$E$540=1,1,IF('Assumptions - Freight'!$E$540=2,'Assumptions - General'!E$41,'Assumptions - General'!E$42))</f>
        <v>3</v>
      </c>
      <c r="F483" s="124">
        <f>IF('Assumptions - Freight'!$E$540=1,1,IF('Assumptions - Freight'!$E$540=2,'Assumptions - General'!F$41,'Assumptions - General'!F$42))</f>
        <v>3</v>
      </c>
      <c r="G483" s="124">
        <f>IF('Assumptions - Freight'!$E$540=1,1,IF('Assumptions - Freight'!$E$540=2,'Assumptions - General'!G$41,'Assumptions - General'!G$42))</f>
        <v>3</v>
      </c>
      <c r="H483" s="124">
        <f>IF('Assumptions - Freight'!$E$540=1,1,IF('Assumptions - Freight'!$E$540=2,'Assumptions - General'!H$41,'Assumptions - General'!H$42))</f>
        <v>3</v>
      </c>
      <c r="I483" s="124">
        <f>IF('Assumptions - Freight'!$E$540=1,1,IF('Assumptions - Freight'!$E$540=2,'Assumptions - General'!I$41,'Assumptions - General'!I$42))</f>
        <v>3</v>
      </c>
      <c r="J483" s="124">
        <f>IF('Assumptions - Freight'!$E$540=1,1,IF('Assumptions - Freight'!$E$540=2,'Assumptions - General'!J$41,'Assumptions - General'!J$42))</f>
        <v>3</v>
      </c>
      <c r="K483" s="124">
        <f>IF('Assumptions - Freight'!$E$540=1,1,IF('Assumptions - Freight'!$E$540=2,'Assumptions - General'!K$41,'Assumptions - General'!K$42))</f>
        <v>3</v>
      </c>
      <c r="L483" s="124">
        <f>IF('Assumptions - Freight'!$E$540=1,1,IF('Assumptions - Freight'!$E$540=2,'Assumptions - General'!L$41,'Assumptions - General'!L$42))</f>
        <v>3</v>
      </c>
      <c r="M483" s="124">
        <f>IF('Assumptions - Freight'!$E$540=1,1,IF('Assumptions - Freight'!$E$540=2,'Assumptions - General'!M$41,'Assumptions - General'!M$42))</f>
        <v>3</v>
      </c>
      <c r="N483" s="124">
        <f>IF('Assumptions - Freight'!$E$540=1,1,IF('Assumptions - Freight'!$E$540=2,'Assumptions - General'!N$41,'Assumptions - General'!N$42))</f>
        <v>3</v>
      </c>
      <c r="O483" s="124">
        <f>IF('Assumptions - Freight'!$E$540=1,1,IF('Assumptions - Freight'!$E$540=2,'Assumptions - General'!O$41,'Assumptions - General'!O$42))</f>
        <v>3</v>
      </c>
      <c r="P483" s="124">
        <f>IF('Assumptions - Freight'!$E$540=1,1,IF('Assumptions - Freight'!$E$540=2,'Assumptions - General'!P$41,'Assumptions - General'!P$42))</f>
        <v>3</v>
      </c>
      <c r="Q483" s="124">
        <f>IF('Assumptions - Freight'!$E$540=1,1,IF('Assumptions - Freight'!$E$540=2,'Assumptions - General'!Q$41,'Assumptions - General'!Q$42))</f>
        <v>3</v>
      </c>
      <c r="R483" s="124">
        <f>IF('Assumptions - Freight'!$E$540=1,1,IF('Assumptions - Freight'!$E$540=2,'Assumptions - General'!R$41,'Assumptions - General'!R$42))</f>
        <v>3</v>
      </c>
      <c r="S483" s="124">
        <f>IF('Assumptions - Freight'!$E$540=1,1,IF('Assumptions - Freight'!$E$540=2,'Assumptions - General'!S$41,'Assumptions - General'!S$42))</f>
        <v>3</v>
      </c>
      <c r="T483" s="124">
        <f>IF('Assumptions - Freight'!$E$540=1,1,IF('Assumptions - Freight'!$E$540=2,'Assumptions - General'!T$41,'Assumptions - General'!T$42))</f>
        <v>3</v>
      </c>
      <c r="U483" s="124">
        <f>IF('Assumptions - Freight'!$E$540=1,1,IF('Assumptions - Freight'!$E$540=2,'Assumptions - General'!U$41,'Assumptions - General'!U$42))</f>
        <v>3</v>
      </c>
      <c r="V483" s="124">
        <f>IF('Assumptions - Freight'!$E$540=1,1,IF('Assumptions - Freight'!$E$540=2,'Assumptions - General'!V$41,'Assumptions - General'!V$42))</f>
        <v>3</v>
      </c>
      <c r="W483" s="124">
        <f>IF('Assumptions - Freight'!$E$540=1,1,IF('Assumptions - Freight'!$E$540=2,'Assumptions - General'!W$41,'Assumptions - General'!W$42))</f>
        <v>3</v>
      </c>
      <c r="X483" s="124">
        <f>IF('Assumptions - Freight'!$E$540=1,1,IF('Assumptions - Freight'!$E$540=2,'Assumptions - General'!X$41,'Assumptions - General'!X$42))</f>
        <v>3</v>
      </c>
      <c r="Y483" s="124">
        <f>IF('Assumptions - Freight'!$E$540=1,1,IF('Assumptions - Freight'!$E$540=2,'Assumptions - General'!Y$41,'Assumptions - General'!Y$42))</f>
        <v>3</v>
      </c>
      <c r="Z483" s="124">
        <f>IF('Assumptions - Freight'!$E$540=1,1,IF('Assumptions - Freight'!$E$540=2,'Assumptions - General'!Z$41,'Assumptions - General'!Z$42))</f>
        <v>3</v>
      </c>
      <c r="AA483" s="124">
        <f>IF('Assumptions - Freight'!$E$540=1,1,IF('Assumptions - Freight'!$E$540=2,'Assumptions - General'!AA$41,'Assumptions - General'!AA$42))</f>
        <v>3</v>
      </c>
      <c r="AB483" s="124">
        <f>IF('Assumptions - Freight'!$E$540=1,1,IF('Assumptions - Freight'!$E$540=2,'Assumptions - General'!AB$41,'Assumptions - General'!AB$42))</f>
        <v>3</v>
      </c>
      <c r="AC483" s="124">
        <f>IF('Assumptions - Freight'!$E$540=1,1,IF('Assumptions - Freight'!$E$540=2,'Assumptions - General'!AC$41,'Assumptions - General'!AC$42))</f>
        <v>3</v>
      </c>
      <c r="AD483" s="124">
        <f>IF('Assumptions - Freight'!$E$540=1,1,IF('Assumptions - Freight'!$E$540=2,'Assumptions - General'!AD$41,'Assumptions - General'!AD$42))</f>
        <v>3</v>
      </c>
      <c r="AE483" s="124">
        <f>IF('Assumptions - Freight'!$E$540=1,1,IF('Assumptions - Freight'!$E$540=2,'Assumptions - General'!AE$41,'Assumptions - General'!AE$42))</f>
        <v>3</v>
      </c>
      <c r="AF483" s="124">
        <f>IF('Assumptions - Freight'!$E$540=1,1,IF('Assumptions - Freight'!$E$540=2,'Assumptions - General'!AF$41,'Assumptions - General'!AF$42))</f>
        <v>3</v>
      </c>
      <c r="AG483" s="124">
        <f>IF('Assumptions - Freight'!$E$540=1,1,IF('Assumptions - Freight'!$E$540=2,'Assumptions - General'!AG$41,'Assumptions - General'!AG$42))</f>
        <v>3</v>
      </c>
      <c r="AH483" s="124">
        <f>IF('Assumptions - Freight'!$E$540=1,1,IF('Assumptions - Freight'!$E$540=2,'Assumptions - General'!AH$41,'Assumptions - General'!AH$42))</f>
        <v>3</v>
      </c>
    </row>
    <row r="484" spans="1:34" s="20" customFormat="1" ht="14" x14ac:dyDescent="0.2">
      <c r="A484" s="8"/>
      <c r="B484" s="8" t="s">
        <v>136</v>
      </c>
      <c r="C484" s="8"/>
      <c r="D484" s="8" t="str">
        <f>'Assumptions - General'!$E$27 &amp;" millions"</f>
        <v>R$ millions</v>
      </c>
      <c r="E484" s="126">
        <f t="shared" ref="E484:F485" si="196">E467*E$483</f>
        <v>0</v>
      </c>
      <c r="F484" s="126">
        <f t="shared" si="196"/>
        <v>0</v>
      </c>
      <c r="G484" s="126">
        <f t="shared" ref="G484:AH484" si="197">G467*G$483</f>
        <v>0</v>
      </c>
      <c r="H484" s="126">
        <f t="shared" si="197"/>
        <v>30</v>
      </c>
      <c r="I484" s="126">
        <f t="shared" si="197"/>
        <v>60</v>
      </c>
      <c r="J484" s="126">
        <f t="shared" si="197"/>
        <v>90</v>
      </c>
      <c r="K484" s="126">
        <f t="shared" si="197"/>
        <v>120</v>
      </c>
      <c r="L484" s="126">
        <f t="shared" si="197"/>
        <v>150</v>
      </c>
      <c r="M484" s="126">
        <f t="shared" si="197"/>
        <v>150</v>
      </c>
      <c r="N484" s="126">
        <f t="shared" si="197"/>
        <v>150</v>
      </c>
      <c r="O484" s="126">
        <f t="shared" si="197"/>
        <v>150</v>
      </c>
      <c r="P484" s="126">
        <f t="shared" si="197"/>
        <v>150</v>
      </c>
      <c r="Q484" s="126">
        <f t="shared" si="197"/>
        <v>150</v>
      </c>
      <c r="R484" s="126">
        <f t="shared" si="197"/>
        <v>150</v>
      </c>
      <c r="S484" s="126">
        <f t="shared" si="197"/>
        <v>150</v>
      </c>
      <c r="T484" s="126">
        <f t="shared" si="197"/>
        <v>150</v>
      </c>
      <c r="U484" s="126">
        <f t="shared" si="197"/>
        <v>150</v>
      </c>
      <c r="V484" s="126">
        <f t="shared" si="197"/>
        <v>0</v>
      </c>
      <c r="W484" s="126">
        <f t="shared" si="197"/>
        <v>0</v>
      </c>
      <c r="X484" s="126">
        <f t="shared" si="197"/>
        <v>0</v>
      </c>
      <c r="Y484" s="126">
        <f t="shared" si="197"/>
        <v>0</v>
      </c>
      <c r="Z484" s="126">
        <f t="shared" si="197"/>
        <v>0</v>
      </c>
      <c r="AA484" s="126">
        <f t="shared" si="197"/>
        <v>0</v>
      </c>
      <c r="AB484" s="126">
        <f t="shared" si="197"/>
        <v>0</v>
      </c>
      <c r="AC484" s="126">
        <f t="shared" si="197"/>
        <v>0</v>
      </c>
      <c r="AD484" s="126">
        <f t="shared" si="197"/>
        <v>0</v>
      </c>
      <c r="AE484" s="126">
        <f t="shared" si="197"/>
        <v>0</v>
      </c>
      <c r="AF484" s="126">
        <f t="shared" si="197"/>
        <v>0</v>
      </c>
      <c r="AG484" s="126">
        <f t="shared" si="197"/>
        <v>0</v>
      </c>
      <c r="AH484" s="126">
        <f t="shared" si="197"/>
        <v>0</v>
      </c>
    </row>
    <row r="485" spans="1:34" s="20" customFormat="1" ht="14" x14ac:dyDescent="0.2">
      <c r="A485" s="8"/>
      <c r="B485" s="8" t="s">
        <v>410</v>
      </c>
      <c r="C485" s="8"/>
      <c r="D485" s="8" t="str">
        <f>'Assumptions - General'!$E$27 &amp;" millions"</f>
        <v>R$ millions</v>
      </c>
      <c r="E485" s="126">
        <f t="shared" si="196"/>
        <v>0</v>
      </c>
      <c r="F485" s="126">
        <f t="shared" si="196"/>
        <v>0</v>
      </c>
      <c r="G485" s="126">
        <f t="shared" ref="G485:AH485" si="198">G468*G$483</f>
        <v>0</v>
      </c>
      <c r="H485" s="126">
        <f t="shared" si="198"/>
        <v>0</v>
      </c>
      <c r="I485" s="126">
        <f t="shared" si="198"/>
        <v>0</v>
      </c>
      <c r="J485" s="126">
        <f t="shared" si="198"/>
        <v>0</v>
      </c>
      <c r="K485" s="126">
        <f t="shared" si="198"/>
        <v>0</v>
      </c>
      <c r="L485" s="126">
        <f t="shared" si="198"/>
        <v>0</v>
      </c>
      <c r="M485" s="126">
        <f t="shared" si="198"/>
        <v>0</v>
      </c>
      <c r="N485" s="126">
        <f t="shared" si="198"/>
        <v>0</v>
      </c>
      <c r="O485" s="126">
        <f t="shared" si="198"/>
        <v>0</v>
      </c>
      <c r="P485" s="126">
        <f t="shared" si="198"/>
        <v>0</v>
      </c>
      <c r="Q485" s="126">
        <f t="shared" si="198"/>
        <v>0</v>
      </c>
      <c r="R485" s="126">
        <f t="shared" si="198"/>
        <v>0</v>
      </c>
      <c r="S485" s="126">
        <f t="shared" si="198"/>
        <v>0</v>
      </c>
      <c r="T485" s="126">
        <f t="shared" si="198"/>
        <v>0</v>
      </c>
      <c r="U485" s="126">
        <f t="shared" si="198"/>
        <v>150</v>
      </c>
      <c r="V485" s="126">
        <f t="shared" si="198"/>
        <v>0</v>
      </c>
      <c r="W485" s="126">
        <f t="shared" si="198"/>
        <v>0</v>
      </c>
      <c r="X485" s="126">
        <f t="shared" si="198"/>
        <v>0</v>
      </c>
      <c r="Y485" s="126">
        <f t="shared" si="198"/>
        <v>0</v>
      </c>
      <c r="Z485" s="126">
        <f t="shared" si="198"/>
        <v>0</v>
      </c>
      <c r="AA485" s="126">
        <f t="shared" si="198"/>
        <v>0</v>
      </c>
      <c r="AB485" s="126">
        <f t="shared" si="198"/>
        <v>0</v>
      </c>
      <c r="AC485" s="126">
        <f t="shared" si="198"/>
        <v>0</v>
      </c>
      <c r="AD485" s="126">
        <f t="shared" si="198"/>
        <v>0</v>
      </c>
      <c r="AE485" s="126">
        <f t="shared" si="198"/>
        <v>0</v>
      </c>
      <c r="AF485" s="126">
        <f t="shared" si="198"/>
        <v>0</v>
      </c>
      <c r="AG485" s="126">
        <f t="shared" si="198"/>
        <v>0</v>
      </c>
      <c r="AH485" s="126">
        <f t="shared" si="198"/>
        <v>0</v>
      </c>
    </row>
    <row r="486" spans="1:34" s="20" customFormat="1" ht="14" x14ac:dyDescent="0.2">
      <c r="A486" s="8"/>
      <c r="B486" s="8" t="s">
        <v>137</v>
      </c>
      <c r="C486" s="8"/>
      <c r="D486" s="8" t="str">
        <f>'Assumptions - General'!$E$27 &amp;" millions"</f>
        <v>R$ millions</v>
      </c>
      <c r="E486" s="126">
        <f t="shared" ref="E486:F492" si="199">E474*E$483</f>
        <v>0</v>
      </c>
      <c r="F486" s="126">
        <f t="shared" si="199"/>
        <v>0</v>
      </c>
      <c r="G486" s="126">
        <f t="shared" ref="G486:AH486" si="200">G474*G$483</f>
        <v>30</v>
      </c>
      <c r="H486" s="126">
        <f t="shared" si="200"/>
        <v>30</v>
      </c>
      <c r="I486" s="126">
        <f t="shared" si="200"/>
        <v>30</v>
      </c>
      <c r="J486" s="126">
        <f t="shared" si="200"/>
        <v>30</v>
      </c>
      <c r="K486" s="126">
        <f t="shared" si="200"/>
        <v>30</v>
      </c>
      <c r="L486" s="126">
        <f t="shared" si="200"/>
        <v>0</v>
      </c>
      <c r="M486" s="126">
        <f t="shared" si="200"/>
        <v>0</v>
      </c>
      <c r="N486" s="126">
        <f t="shared" si="200"/>
        <v>0</v>
      </c>
      <c r="O486" s="126">
        <f t="shared" si="200"/>
        <v>0</v>
      </c>
      <c r="P486" s="126">
        <f t="shared" si="200"/>
        <v>0</v>
      </c>
      <c r="Q486" s="126">
        <f t="shared" si="200"/>
        <v>0</v>
      </c>
      <c r="R486" s="126">
        <f t="shared" si="200"/>
        <v>0</v>
      </c>
      <c r="S486" s="126">
        <f t="shared" si="200"/>
        <v>0</v>
      </c>
      <c r="T486" s="126">
        <f t="shared" si="200"/>
        <v>0</v>
      </c>
      <c r="U486" s="126">
        <f t="shared" si="200"/>
        <v>0</v>
      </c>
      <c r="V486" s="126">
        <f t="shared" si="200"/>
        <v>0</v>
      </c>
      <c r="W486" s="126">
        <f t="shared" si="200"/>
        <v>0</v>
      </c>
      <c r="X486" s="126">
        <f t="shared" si="200"/>
        <v>0</v>
      </c>
      <c r="Y486" s="126">
        <f t="shared" si="200"/>
        <v>0</v>
      </c>
      <c r="Z486" s="126">
        <f t="shared" si="200"/>
        <v>0</v>
      </c>
      <c r="AA486" s="126">
        <f t="shared" si="200"/>
        <v>0</v>
      </c>
      <c r="AB486" s="126">
        <f t="shared" si="200"/>
        <v>0</v>
      </c>
      <c r="AC486" s="126">
        <f t="shared" si="200"/>
        <v>0</v>
      </c>
      <c r="AD486" s="126">
        <f t="shared" si="200"/>
        <v>0</v>
      </c>
      <c r="AE486" s="126">
        <f t="shared" si="200"/>
        <v>0</v>
      </c>
      <c r="AF486" s="126">
        <f t="shared" si="200"/>
        <v>0</v>
      </c>
      <c r="AG486" s="126">
        <f t="shared" si="200"/>
        <v>0</v>
      </c>
      <c r="AH486" s="126">
        <f t="shared" si="200"/>
        <v>0</v>
      </c>
    </row>
    <row r="487" spans="1:34" s="20" customFormat="1" ht="14" x14ac:dyDescent="0.2">
      <c r="A487" s="8"/>
      <c r="B487" s="8" t="s">
        <v>138</v>
      </c>
      <c r="C487" s="8"/>
      <c r="D487" s="8" t="str">
        <f>'Assumptions - General'!$E$27 &amp;" millions"</f>
        <v>R$ millions</v>
      </c>
      <c r="E487" s="126">
        <f t="shared" si="199"/>
        <v>0</v>
      </c>
      <c r="F487" s="126">
        <f t="shared" si="199"/>
        <v>0</v>
      </c>
      <c r="G487" s="126">
        <f t="shared" ref="G487:AH487" si="201">G475*G$483</f>
        <v>30</v>
      </c>
      <c r="H487" s="126">
        <f t="shared" si="201"/>
        <v>60</v>
      </c>
      <c r="I487" s="126">
        <f t="shared" si="201"/>
        <v>90</v>
      </c>
      <c r="J487" s="126">
        <f t="shared" si="201"/>
        <v>120</v>
      </c>
      <c r="K487" s="126">
        <f t="shared" si="201"/>
        <v>150</v>
      </c>
      <c r="L487" s="126">
        <f t="shared" si="201"/>
        <v>150</v>
      </c>
      <c r="M487" s="126">
        <f t="shared" si="201"/>
        <v>150</v>
      </c>
      <c r="N487" s="126">
        <f t="shared" si="201"/>
        <v>150</v>
      </c>
      <c r="O487" s="126">
        <f t="shared" si="201"/>
        <v>150</v>
      </c>
      <c r="P487" s="126">
        <f t="shared" si="201"/>
        <v>150</v>
      </c>
      <c r="Q487" s="126">
        <f t="shared" si="201"/>
        <v>150</v>
      </c>
      <c r="R487" s="126">
        <f t="shared" si="201"/>
        <v>150</v>
      </c>
      <c r="S487" s="126">
        <f t="shared" si="201"/>
        <v>150</v>
      </c>
      <c r="T487" s="126">
        <f t="shared" si="201"/>
        <v>150</v>
      </c>
      <c r="U487" s="126">
        <f t="shared" si="201"/>
        <v>0</v>
      </c>
      <c r="V487" s="126">
        <f t="shared" si="201"/>
        <v>0</v>
      </c>
      <c r="W487" s="126">
        <f t="shared" si="201"/>
        <v>0</v>
      </c>
      <c r="X487" s="126">
        <f t="shared" si="201"/>
        <v>0</v>
      </c>
      <c r="Y487" s="126">
        <f t="shared" si="201"/>
        <v>0</v>
      </c>
      <c r="Z487" s="126">
        <f t="shared" si="201"/>
        <v>0</v>
      </c>
      <c r="AA487" s="126">
        <f t="shared" si="201"/>
        <v>0</v>
      </c>
      <c r="AB487" s="126">
        <f t="shared" si="201"/>
        <v>0</v>
      </c>
      <c r="AC487" s="126">
        <f t="shared" si="201"/>
        <v>0</v>
      </c>
      <c r="AD487" s="126">
        <f t="shared" si="201"/>
        <v>0</v>
      </c>
      <c r="AE487" s="126">
        <f t="shared" si="201"/>
        <v>0</v>
      </c>
      <c r="AF487" s="126">
        <f t="shared" si="201"/>
        <v>0</v>
      </c>
      <c r="AG487" s="126">
        <f t="shared" si="201"/>
        <v>0</v>
      </c>
      <c r="AH487" s="126">
        <f t="shared" si="201"/>
        <v>0</v>
      </c>
    </row>
    <row r="488" spans="1:34" s="20" customFormat="1" ht="14" x14ac:dyDescent="0.2">
      <c r="A488" s="8"/>
      <c r="B488" s="8" t="s">
        <v>139</v>
      </c>
      <c r="C488" s="8"/>
      <c r="D488" s="8" t="str">
        <f>'Assumptions - General'!$E$27 &amp;" millions"</f>
        <v>R$ millions</v>
      </c>
      <c r="E488" s="126">
        <f t="shared" si="199"/>
        <v>0</v>
      </c>
      <c r="F488" s="126">
        <f t="shared" si="199"/>
        <v>0</v>
      </c>
      <c r="G488" s="126">
        <f t="shared" ref="G488:AH488" si="202">G476*G$483</f>
        <v>0.75</v>
      </c>
      <c r="H488" s="126">
        <f t="shared" si="202"/>
        <v>2.25</v>
      </c>
      <c r="I488" s="126">
        <f t="shared" si="202"/>
        <v>3.75</v>
      </c>
      <c r="J488" s="126">
        <f t="shared" si="202"/>
        <v>5.25</v>
      </c>
      <c r="K488" s="126">
        <f t="shared" si="202"/>
        <v>6.75</v>
      </c>
      <c r="L488" s="126">
        <f t="shared" si="202"/>
        <v>7.5</v>
      </c>
      <c r="M488" s="126">
        <f t="shared" si="202"/>
        <v>7.5</v>
      </c>
      <c r="N488" s="126">
        <f t="shared" si="202"/>
        <v>7.5</v>
      </c>
      <c r="O488" s="126">
        <f t="shared" si="202"/>
        <v>7.5</v>
      </c>
      <c r="P488" s="126">
        <f t="shared" si="202"/>
        <v>7.5</v>
      </c>
      <c r="Q488" s="126">
        <f t="shared" si="202"/>
        <v>7.5</v>
      </c>
      <c r="R488" s="126">
        <f t="shared" si="202"/>
        <v>7.5</v>
      </c>
      <c r="S488" s="126">
        <f t="shared" si="202"/>
        <v>7.5</v>
      </c>
      <c r="T488" s="126">
        <f t="shared" si="202"/>
        <v>7.5</v>
      </c>
      <c r="U488" s="126">
        <f t="shared" si="202"/>
        <v>3.75</v>
      </c>
      <c r="V488" s="126">
        <f t="shared" si="202"/>
        <v>0</v>
      </c>
      <c r="W488" s="126">
        <f t="shared" si="202"/>
        <v>0</v>
      </c>
      <c r="X488" s="126">
        <f t="shared" si="202"/>
        <v>0</v>
      </c>
      <c r="Y488" s="126">
        <f t="shared" si="202"/>
        <v>0</v>
      </c>
      <c r="Z488" s="126">
        <f t="shared" si="202"/>
        <v>0</v>
      </c>
      <c r="AA488" s="126">
        <f t="shared" si="202"/>
        <v>0</v>
      </c>
      <c r="AB488" s="126">
        <f t="shared" si="202"/>
        <v>0</v>
      </c>
      <c r="AC488" s="126">
        <f t="shared" si="202"/>
        <v>0</v>
      </c>
      <c r="AD488" s="126">
        <f t="shared" si="202"/>
        <v>0</v>
      </c>
      <c r="AE488" s="126">
        <f t="shared" si="202"/>
        <v>0</v>
      </c>
      <c r="AF488" s="126">
        <f t="shared" si="202"/>
        <v>0</v>
      </c>
      <c r="AG488" s="126">
        <f t="shared" si="202"/>
        <v>0</v>
      </c>
      <c r="AH488" s="126">
        <f t="shared" si="202"/>
        <v>0</v>
      </c>
    </row>
    <row r="489" spans="1:34" s="20" customFormat="1" ht="14" x14ac:dyDescent="0.2">
      <c r="A489" s="8"/>
      <c r="B489" s="8" t="s">
        <v>53</v>
      </c>
      <c r="C489" s="8"/>
      <c r="D489" s="8" t="str">
        <f>'Assumptions - General'!$E$27 &amp;" millions"</f>
        <v>R$ millions</v>
      </c>
      <c r="E489" s="126">
        <f t="shared" si="199"/>
        <v>0</v>
      </c>
      <c r="F489" s="126">
        <f t="shared" si="199"/>
        <v>0</v>
      </c>
      <c r="G489" s="126">
        <f t="shared" ref="G489:AH489" si="203">G477*G$483</f>
        <v>0.375</v>
      </c>
      <c r="H489" s="126">
        <f t="shared" si="203"/>
        <v>0</v>
      </c>
      <c r="I489" s="126">
        <f t="shared" si="203"/>
        <v>0</v>
      </c>
      <c r="J489" s="126">
        <f t="shared" si="203"/>
        <v>0</v>
      </c>
      <c r="K489" s="126">
        <f t="shared" si="203"/>
        <v>0</v>
      </c>
      <c r="L489" s="126">
        <f t="shared" si="203"/>
        <v>0</v>
      </c>
      <c r="M489" s="126">
        <f t="shared" si="203"/>
        <v>0</v>
      </c>
      <c r="N489" s="126">
        <f t="shared" si="203"/>
        <v>0</v>
      </c>
      <c r="O489" s="126">
        <f t="shared" si="203"/>
        <v>0</v>
      </c>
      <c r="P489" s="126">
        <f t="shared" si="203"/>
        <v>0</v>
      </c>
      <c r="Q489" s="126">
        <f t="shared" si="203"/>
        <v>0</v>
      </c>
      <c r="R489" s="126">
        <f t="shared" si="203"/>
        <v>0</v>
      </c>
      <c r="S489" s="126">
        <f t="shared" si="203"/>
        <v>0</v>
      </c>
      <c r="T489" s="126">
        <f t="shared" si="203"/>
        <v>0</v>
      </c>
      <c r="U489" s="126">
        <f t="shared" si="203"/>
        <v>0</v>
      </c>
      <c r="V489" s="126">
        <f t="shared" si="203"/>
        <v>0</v>
      </c>
      <c r="W489" s="126">
        <f t="shared" si="203"/>
        <v>0</v>
      </c>
      <c r="X489" s="126">
        <f t="shared" si="203"/>
        <v>0</v>
      </c>
      <c r="Y489" s="126">
        <f t="shared" si="203"/>
        <v>0</v>
      </c>
      <c r="Z489" s="126">
        <f t="shared" si="203"/>
        <v>0</v>
      </c>
      <c r="AA489" s="126">
        <f t="shared" si="203"/>
        <v>0</v>
      </c>
      <c r="AB489" s="126">
        <f t="shared" si="203"/>
        <v>0</v>
      </c>
      <c r="AC489" s="126">
        <f t="shared" si="203"/>
        <v>0</v>
      </c>
      <c r="AD489" s="126">
        <f t="shared" si="203"/>
        <v>0</v>
      </c>
      <c r="AE489" s="126">
        <f t="shared" si="203"/>
        <v>0</v>
      </c>
      <c r="AF489" s="126">
        <f t="shared" si="203"/>
        <v>0</v>
      </c>
      <c r="AG489" s="126">
        <f t="shared" si="203"/>
        <v>0</v>
      </c>
      <c r="AH489" s="126">
        <f t="shared" si="203"/>
        <v>0</v>
      </c>
    </row>
    <row r="490" spans="1:34" s="20" customFormat="1" ht="14" x14ac:dyDescent="0.2">
      <c r="A490" s="8"/>
      <c r="B490" s="8" t="s">
        <v>142</v>
      </c>
      <c r="C490" s="8"/>
      <c r="D490" s="8" t="str">
        <f>'Assumptions - General'!$E$27 &amp;" millions"</f>
        <v>R$ millions</v>
      </c>
      <c r="E490" s="126">
        <f t="shared" si="199"/>
        <v>0</v>
      </c>
      <c r="F490" s="126">
        <f t="shared" si="199"/>
        <v>0</v>
      </c>
      <c r="G490" s="126">
        <f t="shared" ref="G490:AH490" si="204">G478*G$483</f>
        <v>120</v>
      </c>
      <c r="H490" s="126">
        <f t="shared" si="204"/>
        <v>90</v>
      </c>
      <c r="I490" s="126">
        <f t="shared" si="204"/>
        <v>0</v>
      </c>
      <c r="J490" s="126">
        <f t="shared" si="204"/>
        <v>0</v>
      </c>
      <c r="K490" s="126">
        <f t="shared" si="204"/>
        <v>0</v>
      </c>
      <c r="L490" s="126">
        <f t="shared" si="204"/>
        <v>0</v>
      </c>
      <c r="M490" s="126">
        <f t="shared" si="204"/>
        <v>0</v>
      </c>
      <c r="N490" s="126">
        <f t="shared" si="204"/>
        <v>0</v>
      </c>
      <c r="O490" s="126">
        <f t="shared" si="204"/>
        <v>0</v>
      </c>
      <c r="P490" s="126">
        <f t="shared" si="204"/>
        <v>0</v>
      </c>
      <c r="Q490" s="126">
        <f t="shared" si="204"/>
        <v>0</v>
      </c>
      <c r="R490" s="126">
        <f t="shared" si="204"/>
        <v>0</v>
      </c>
      <c r="S490" s="126">
        <f t="shared" si="204"/>
        <v>0</v>
      </c>
      <c r="T490" s="126">
        <f t="shared" si="204"/>
        <v>0</v>
      </c>
      <c r="U490" s="126">
        <f t="shared" si="204"/>
        <v>0</v>
      </c>
      <c r="V490" s="126">
        <f t="shared" si="204"/>
        <v>0</v>
      </c>
      <c r="W490" s="126">
        <f t="shared" si="204"/>
        <v>0</v>
      </c>
      <c r="X490" s="126">
        <f t="shared" si="204"/>
        <v>0</v>
      </c>
      <c r="Y490" s="126">
        <f t="shared" si="204"/>
        <v>0</v>
      </c>
      <c r="Z490" s="126">
        <f t="shared" si="204"/>
        <v>0</v>
      </c>
      <c r="AA490" s="126">
        <f t="shared" si="204"/>
        <v>0</v>
      </c>
      <c r="AB490" s="126">
        <f t="shared" si="204"/>
        <v>0</v>
      </c>
      <c r="AC490" s="126">
        <f t="shared" si="204"/>
        <v>0</v>
      </c>
      <c r="AD490" s="126">
        <f t="shared" si="204"/>
        <v>0</v>
      </c>
      <c r="AE490" s="126">
        <f t="shared" si="204"/>
        <v>0</v>
      </c>
      <c r="AF490" s="126">
        <f t="shared" si="204"/>
        <v>0</v>
      </c>
      <c r="AG490" s="126">
        <f t="shared" si="204"/>
        <v>0</v>
      </c>
      <c r="AH490" s="126">
        <f t="shared" si="204"/>
        <v>0</v>
      </c>
    </row>
    <row r="491" spans="1:34" s="20" customFormat="1" ht="14" x14ac:dyDescent="0.2">
      <c r="A491" s="8"/>
      <c r="B491" s="8" t="s">
        <v>55</v>
      </c>
      <c r="C491" s="8"/>
      <c r="D491" s="8" t="str">
        <f>'Assumptions - General'!$E$27 &amp;" millions"</f>
        <v>R$ millions</v>
      </c>
      <c r="E491" s="126">
        <f t="shared" si="199"/>
        <v>0</v>
      </c>
      <c r="F491" s="126">
        <f t="shared" si="199"/>
        <v>0</v>
      </c>
      <c r="G491" s="126">
        <f t="shared" ref="G491:AH491" si="205">G479*G$483</f>
        <v>0</v>
      </c>
      <c r="H491" s="126">
        <f t="shared" si="205"/>
        <v>0</v>
      </c>
      <c r="I491" s="126">
        <f t="shared" si="205"/>
        <v>0</v>
      </c>
      <c r="J491" s="126">
        <f t="shared" si="205"/>
        <v>0</v>
      </c>
      <c r="K491" s="126">
        <f t="shared" si="205"/>
        <v>0</v>
      </c>
      <c r="L491" s="126">
        <f t="shared" si="205"/>
        <v>0</v>
      </c>
      <c r="M491" s="126">
        <f t="shared" si="205"/>
        <v>0</v>
      </c>
      <c r="N491" s="126">
        <f t="shared" si="205"/>
        <v>0</v>
      </c>
      <c r="O491" s="126">
        <f t="shared" si="205"/>
        <v>0</v>
      </c>
      <c r="P491" s="126">
        <f t="shared" si="205"/>
        <v>0</v>
      </c>
      <c r="Q491" s="126">
        <f t="shared" si="205"/>
        <v>0</v>
      </c>
      <c r="R491" s="126">
        <f t="shared" si="205"/>
        <v>0</v>
      </c>
      <c r="S491" s="126">
        <f t="shared" si="205"/>
        <v>0</v>
      </c>
      <c r="T491" s="126">
        <f t="shared" si="205"/>
        <v>0</v>
      </c>
      <c r="U491" s="126">
        <f t="shared" si="205"/>
        <v>0</v>
      </c>
      <c r="V491" s="126">
        <f t="shared" si="205"/>
        <v>0</v>
      </c>
      <c r="W491" s="126">
        <f t="shared" si="205"/>
        <v>0</v>
      </c>
      <c r="X491" s="126">
        <f t="shared" si="205"/>
        <v>0</v>
      </c>
      <c r="Y491" s="126">
        <f t="shared" si="205"/>
        <v>0</v>
      </c>
      <c r="Z491" s="126">
        <f t="shared" si="205"/>
        <v>0</v>
      </c>
      <c r="AA491" s="126">
        <f t="shared" si="205"/>
        <v>0</v>
      </c>
      <c r="AB491" s="126">
        <f t="shared" si="205"/>
        <v>0</v>
      </c>
      <c r="AC491" s="126">
        <f t="shared" si="205"/>
        <v>0</v>
      </c>
      <c r="AD491" s="126">
        <f t="shared" si="205"/>
        <v>0</v>
      </c>
      <c r="AE491" s="126">
        <f t="shared" si="205"/>
        <v>0</v>
      </c>
      <c r="AF491" s="126">
        <f t="shared" si="205"/>
        <v>0</v>
      </c>
      <c r="AG491" s="126">
        <f t="shared" si="205"/>
        <v>0</v>
      </c>
      <c r="AH491" s="126">
        <f t="shared" si="205"/>
        <v>0</v>
      </c>
    </row>
    <row r="492" spans="1:34" s="20" customFormat="1" ht="14" x14ac:dyDescent="0.2">
      <c r="A492" s="8"/>
      <c r="B492" s="8" t="s">
        <v>140</v>
      </c>
      <c r="C492" s="8"/>
      <c r="D492" s="8" t="str">
        <f>'Assumptions - General'!$E$27 &amp;" millions"</f>
        <v>R$ millions</v>
      </c>
      <c r="E492" s="126">
        <f t="shared" si="199"/>
        <v>0</v>
      </c>
      <c r="F492" s="126">
        <f t="shared" si="199"/>
        <v>0</v>
      </c>
      <c r="G492" s="126">
        <f t="shared" ref="G492:AH492" si="206">G480*G$483</f>
        <v>1.125</v>
      </c>
      <c r="H492" s="126">
        <f t="shared" si="206"/>
        <v>2.25</v>
      </c>
      <c r="I492" s="126">
        <f t="shared" si="206"/>
        <v>3.75</v>
      </c>
      <c r="J492" s="126">
        <f t="shared" si="206"/>
        <v>5.25</v>
      </c>
      <c r="K492" s="126">
        <f t="shared" si="206"/>
        <v>6.75</v>
      </c>
      <c r="L492" s="126">
        <f t="shared" si="206"/>
        <v>7.5</v>
      </c>
      <c r="M492" s="126">
        <f t="shared" si="206"/>
        <v>7.5</v>
      </c>
      <c r="N492" s="126">
        <f t="shared" si="206"/>
        <v>7.5</v>
      </c>
      <c r="O492" s="126">
        <f t="shared" si="206"/>
        <v>7.5</v>
      </c>
      <c r="P492" s="126">
        <f t="shared" si="206"/>
        <v>7.5</v>
      </c>
      <c r="Q492" s="126">
        <f t="shared" si="206"/>
        <v>7.5</v>
      </c>
      <c r="R492" s="126">
        <f t="shared" si="206"/>
        <v>7.5</v>
      </c>
      <c r="S492" s="126">
        <f t="shared" si="206"/>
        <v>7.5</v>
      </c>
      <c r="T492" s="126">
        <f t="shared" si="206"/>
        <v>7.5</v>
      </c>
      <c r="U492" s="126">
        <f t="shared" si="206"/>
        <v>153.75</v>
      </c>
      <c r="V492" s="126">
        <f t="shared" si="206"/>
        <v>0</v>
      </c>
      <c r="W492" s="126">
        <f t="shared" si="206"/>
        <v>0</v>
      </c>
      <c r="X492" s="126">
        <f t="shared" si="206"/>
        <v>0</v>
      </c>
      <c r="Y492" s="126">
        <f t="shared" si="206"/>
        <v>0</v>
      </c>
      <c r="Z492" s="126">
        <f t="shared" si="206"/>
        <v>0</v>
      </c>
      <c r="AA492" s="126">
        <f t="shared" si="206"/>
        <v>0</v>
      </c>
      <c r="AB492" s="126">
        <f t="shared" si="206"/>
        <v>0</v>
      </c>
      <c r="AC492" s="126">
        <f t="shared" si="206"/>
        <v>0</v>
      </c>
      <c r="AD492" s="126">
        <f t="shared" si="206"/>
        <v>0</v>
      </c>
      <c r="AE492" s="126">
        <f t="shared" si="206"/>
        <v>0</v>
      </c>
      <c r="AF492" s="126">
        <f t="shared" si="206"/>
        <v>0</v>
      </c>
      <c r="AG492" s="126">
        <f t="shared" si="206"/>
        <v>0</v>
      </c>
      <c r="AH492" s="126">
        <f t="shared" si="206"/>
        <v>0</v>
      </c>
    </row>
    <row r="493" spans="1:34" s="20" customFormat="1" ht="14" x14ac:dyDescent="0.2">
      <c r="A493" s="8"/>
      <c r="B493" s="8"/>
      <c r="C493" s="8"/>
      <c r="D493" s="8"/>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c r="AA493" s="126"/>
      <c r="AB493" s="126"/>
      <c r="AC493" s="126"/>
      <c r="AD493" s="126"/>
      <c r="AE493" s="126"/>
      <c r="AF493" s="126"/>
      <c r="AG493" s="126"/>
      <c r="AH493" s="126"/>
    </row>
    <row r="494" spans="1:34" s="20" customFormat="1" ht="14" x14ac:dyDescent="0.2">
      <c r="A494" s="8"/>
      <c r="B494" s="21" t="str">
        <f>"Existing equity from " &amp;'Assumptions - Freight'!E563</f>
        <v>Existing equity from Government</v>
      </c>
      <c r="C494" s="8"/>
      <c r="D494" s="8"/>
      <c r="E494" s="16"/>
      <c r="F494" s="8"/>
      <c r="G494" s="8"/>
      <c r="H494" s="8"/>
      <c r="I494" s="8"/>
      <c r="J494" s="8"/>
      <c r="K494" s="8"/>
      <c r="L494" s="8"/>
      <c r="M494" s="8"/>
      <c r="N494" s="8"/>
      <c r="O494" s="8"/>
      <c r="P494" s="8"/>
      <c r="Q494" s="8"/>
      <c r="R494" s="8"/>
      <c r="S494" s="8"/>
      <c r="T494" s="8"/>
      <c r="U494" s="8"/>
      <c r="V494" s="8"/>
      <c r="W494" s="8"/>
      <c r="X494" s="8"/>
      <c r="Y494" s="8"/>
      <c r="Z494" s="8"/>
      <c r="AA494" s="8"/>
      <c r="AB494" s="8"/>
      <c r="AC494" s="8"/>
      <c r="AD494" s="8"/>
      <c r="AE494" s="8"/>
      <c r="AF494" s="8"/>
      <c r="AG494" s="8"/>
      <c r="AH494" s="8"/>
    </row>
    <row r="495" spans="1:34" s="20" customFormat="1" ht="14" x14ac:dyDescent="0.2">
      <c r="A495" s="8"/>
      <c r="B495" s="8" t="s">
        <v>161</v>
      </c>
      <c r="C495" s="8"/>
      <c r="D495" s="8" t="str">
        <f>'Assumptions - General'!$E$27 &amp;" millions"</f>
        <v>R$ millions</v>
      </c>
      <c r="E495" s="463"/>
      <c r="F495" s="12">
        <f t="shared" ref="F495" si="207">IF(F16=1,E497,0)</f>
        <v>3800</v>
      </c>
      <c r="G495" s="12">
        <f t="shared" ref="G495:AH495" si="208">IF(G16=1,F497,0)</f>
        <v>3800</v>
      </c>
      <c r="H495" s="12">
        <f t="shared" si="208"/>
        <v>3800</v>
      </c>
      <c r="I495" s="12">
        <f t="shared" si="208"/>
        <v>3800</v>
      </c>
      <c r="J495" s="12">
        <f t="shared" si="208"/>
        <v>3800</v>
      </c>
      <c r="K495" s="12">
        <f t="shared" si="208"/>
        <v>3800</v>
      </c>
      <c r="L495" s="12">
        <f t="shared" si="208"/>
        <v>3800</v>
      </c>
      <c r="M495" s="12">
        <f t="shared" si="208"/>
        <v>3800</v>
      </c>
      <c r="N495" s="12">
        <f t="shared" si="208"/>
        <v>3800</v>
      </c>
      <c r="O495" s="12">
        <f t="shared" si="208"/>
        <v>3800</v>
      </c>
      <c r="P495" s="12">
        <f t="shared" si="208"/>
        <v>3800</v>
      </c>
      <c r="Q495" s="12">
        <f t="shared" si="208"/>
        <v>3800</v>
      </c>
      <c r="R495" s="12">
        <f t="shared" si="208"/>
        <v>3800</v>
      </c>
      <c r="S495" s="12">
        <f t="shared" si="208"/>
        <v>3800</v>
      </c>
      <c r="T495" s="12">
        <f t="shared" si="208"/>
        <v>3800</v>
      </c>
      <c r="U495" s="12">
        <f t="shared" si="208"/>
        <v>3800</v>
      </c>
      <c r="V495" s="12">
        <f t="shared" si="208"/>
        <v>3800</v>
      </c>
      <c r="W495" s="12">
        <f t="shared" si="208"/>
        <v>3800</v>
      </c>
      <c r="X495" s="12">
        <f t="shared" si="208"/>
        <v>3800</v>
      </c>
      <c r="Y495" s="12">
        <f t="shared" si="208"/>
        <v>3800</v>
      </c>
      <c r="Z495" s="12">
        <f t="shared" si="208"/>
        <v>3800</v>
      </c>
      <c r="AA495" s="12">
        <f t="shared" si="208"/>
        <v>3800</v>
      </c>
      <c r="AB495" s="12">
        <f t="shared" si="208"/>
        <v>3800</v>
      </c>
      <c r="AC495" s="12">
        <f t="shared" si="208"/>
        <v>3800</v>
      </c>
      <c r="AD495" s="12">
        <f t="shared" si="208"/>
        <v>3800</v>
      </c>
      <c r="AE495" s="12">
        <f t="shared" si="208"/>
        <v>3800</v>
      </c>
      <c r="AF495" s="12">
        <f t="shared" si="208"/>
        <v>3800</v>
      </c>
      <c r="AG495" s="12">
        <f t="shared" si="208"/>
        <v>3800</v>
      </c>
      <c r="AH495" s="12">
        <f t="shared" si="208"/>
        <v>3800</v>
      </c>
    </row>
    <row r="496" spans="1:34" s="20" customFormat="1" ht="14" x14ac:dyDescent="0.2">
      <c r="A496" s="8"/>
      <c r="B496" s="8" t="s">
        <v>116</v>
      </c>
      <c r="C496" s="8"/>
      <c r="D496" s="8" t="str">
        <f>'Assumptions - General'!$E$27 &amp;" millions"</f>
        <v>R$ millions</v>
      </c>
      <c r="E496" s="463"/>
      <c r="F496" s="12">
        <f>'Assumptions - Freight'!F565</f>
        <v>0</v>
      </c>
      <c r="G496" s="12">
        <f>'Assumptions - Freight'!G565</f>
        <v>0</v>
      </c>
      <c r="H496" s="12">
        <f>'Assumptions - Freight'!H565</f>
        <v>0</v>
      </c>
      <c r="I496" s="12">
        <f>'Assumptions - Freight'!I565</f>
        <v>0</v>
      </c>
      <c r="J496" s="12">
        <f>'Assumptions - Freight'!J565</f>
        <v>0</v>
      </c>
      <c r="K496" s="12">
        <f>'Assumptions - Freight'!K565</f>
        <v>0</v>
      </c>
      <c r="L496" s="12">
        <f>'Assumptions - Freight'!L565</f>
        <v>0</v>
      </c>
      <c r="M496" s="12">
        <f>'Assumptions - Freight'!M565</f>
        <v>0</v>
      </c>
      <c r="N496" s="12">
        <f>'Assumptions - Freight'!N565</f>
        <v>0</v>
      </c>
      <c r="O496" s="12">
        <f>'Assumptions - Freight'!O565</f>
        <v>0</v>
      </c>
      <c r="P496" s="12">
        <f>'Assumptions - Freight'!P565</f>
        <v>0</v>
      </c>
      <c r="Q496" s="12">
        <f>'Assumptions - Freight'!Q565</f>
        <v>0</v>
      </c>
      <c r="R496" s="12">
        <f>'Assumptions - Freight'!R565</f>
        <v>0</v>
      </c>
      <c r="S496" s="12">
        <f>'Assumptions - Freight'!S565</f>
        <v>0</v>
      </c>
      <c r="T496" s="12">
        <f>'Assumptions - Freight'!T565</f>
        <v>0</v>
      </c>
      <c r="U496" s="12">
        <f>'Assumptions - Freight'!U565</f>
        <v>0</v>
      </c>
      <c r="V496" s="12">
        <f>'Assumptions - Freight'!V565</f>
        <v>0</v>
      </c>
      <c r="W496" s="12">
        <f>'Assumptions - Freight'!W565</f>
        <v>0</v>
      </c>
      <c r="X496" s="12">
        <f>'Assumptions - Freight'!X565</f>
        <v>0</v>
      </c>
      <c r="Y496" s="12">
        <f>'Assumptions - Freight'!Y565</f>
        <v>0</v>
      </c>
      <c r="Z496" s="12">
        <f>'Assumptions - Freight'!Z565</f>
        <v>0</v>
      </c>
      <c r="AA496" s="12">
        <f>'Assumptions - Freight'!AA565</f>
        <v>0</v>
      </c>
      <c r="AB496" s="12">
        <f>'Assumptions - Freight'!AB565</f>
        <v>0</v>
      </c>
      <c r="AC496" s="12">
        <f>'Assumptions - Freight'!AC565</f>
        <v>0</v>
      </c>
      <c r="AD496" s="12">
        <f>'Assumptions - Freight'!AD565</f>
        <v>0</v>
      </c>
      <c r="AE496" s="12">
        <f>'Assumptions - Freight'!AE565</f>
        <v>0</v>
      </c>
      <c r="AF496" s="12">
        <f>'Assumptions - Freight'!AF565</f>
        <v>0</v>
      </c>
      <c r="AG496" s="12">
        <f>'Assumptions - Freight'!AG565</f>
        <v>0</v>
      </c>
      <c r="AH496" s="12">
        <f>'Assumptions - Freight'!AH565</f>
        <v>0</v>
      </c>
    </row>
    <row r="497" spans="1:34" s="20" customFormat="1" ht="14" x14ac:dyDescent="0.2">
      <c r="A497" s="8"/>
      <c r="B497" s="8" t="s">
        <v>160</v>
      </c>
      <c r="C497" s="8"/>
      <c r="D497" s="8" t="str">
        <f>'Assumptions - General'!$E$27 &amp;" millions"</f>
        <v>R$ millions</v>
      </c>
      <c r="E497" s="463">
        <f>IF(E16=1,'Assumptions - Freight'!E564,0)</f>
        <v>3800</v>
      </c>
      <c r="F497" s="12">
        <f t="shared" ref="F497" si="209">IF(F16=1,F495+F496,0)</f>
        <v>3800</v>
      </c>
      <c r="G497" s="12">
        <f t="shared" ref="G497:AH497" si="210">IF(G16=1,G495+G496,0)</f>
        <v>3800</v>
      </c>
      <c r="H497" s="12">
        <f t="shared" si="210"/>
        <v>3800</v>
      </c>
      <c r="I497" s="12">
        <f t="shared" si="210"/>
        <v>3800</v>
      </c>
      <c r="J497" s="12">
        <f t="shared" si="210"/>
        <v>3800</v>
      </c>
      <c r="K497" s="12">
        <f t="shared" si="210"/>
        <v>3800</v>
      </c>
      <c r="L497" s="12">
        <f t="shared" si="210"/>
        <v>3800</v>
      </c>
      <c r="M497" s="12">
        <f t="shared" si="210"/>
        <v>3800</v>
      </c>
      <c r="N497" s="12">
        <f t="shared" si="210"/>
        <v>3800</v>
      </c>
      <c r="O497" s="12">
        <f t="shared" si="210"/>
        <v>3800</v>
      </c>
      <c r="P497" s="12">
        <f t="shared" si="210"/>
        <v>3800</v>
      </c>
      <c r="Q497" s="12">
        <f t="shared" si="210"/>
        <v>3800</v>
      </c>
      <c r="R497" s="12">
        <f t="shared" si="210"/>
        <v>3800</v>
      </c>
      <c r="S497" s="12">
        <f t="shared" si="210"/>
        <v>3800</v>
      </c>
      <c r="T497" s="12">
        <f t="shared" si="210"/>
        <v>3800</v>
      </c>
      <c r="U497" s="12">
        <f t="shared" si="210"/>
        <v>3800</v>
      </c>
      <c r="V497" s="12">
        <f t="shared" si="210"/>
        <v>3800</v>
      </c>
      <c r="W497" s="12">
        <f t="shared" si="210"/>
        <v>3800</v>
      </c>
      <c r="X497" s="12">
        <f t="shared" si="210"/>
        <v>3800</v>
      </c>
      <c r="Y497" s="12">
        <f t="shared" si="210"/>
        <v>3800</v>
      </c>
      <c r="Z497" s="12">
        <f t="shared" si="210"/>
        <v>3800</v>
      </c>
      <c r="AA497" s="12">
        <f t="shared" si="210"/>
        <v>3800</v>
      </c>
      <c r="AB497" s="12">
        <f t="shared" si="210"/>
        <v>3800</v>
      </c>
      <c r="AC497" s="12">
        <f t="shared" si="210"/>
        <v>3800</v>
      </c>
      <c r="AD497" s="12">
        <f t="shared" si="210"/>
        <v>3800</v>
      </c>
      <c r="AE497" s="12">
        <f t="shared" si="210"/>
        <v>3800</v>
      </c>
      <c r="AF497" s="12">
        <f t="shared" si="210"/>
        <v>3800</v>
      </c>
      <c r="AG497" s="12">
        <f t="shared" si="210"/>
        <v>3800</v>
      </c>
      <c r="AH497" s="12">
        <f t="shared" si="210"/>
        <v>3800</v>
      </c>
    </row>
    <row r="498" spans="1:34" s="20" customFormat="1" ht="14" x14ac:dyDescent="0.2">
      <c r="A498" s="8"/>
      <c r="B498" s="8" t="s">
        <v>612</v>
      </c>
      <c r="C498" s="8"/>
      <c r="D498" s="8" t="str">
        <f>'Assumptions - General'!$E$27 &amp;" millions"</f>
        <v>R$ millions</v>
      </c>
      <c r="E498" s="463"/>
      <c r="F498" s="12">
        <f t="shared" ref="F498" si="211">IF(F16=1,E500,0)</f>
        <v>10</v>
      </c>
      <c r="G498" s="12">
        <f t="shared" ref="G498:AH498" si="212">IF(G16=1,F500,0)</f>
        <v>17.82</v>
      </c>
      <c r="H498" s="12">
        <f t="shared" si="212"/>
        <v>24.914427416510215</v>
      </c>
      <c r="I498" s="12">
        <f t="shared" si="212"/>
        <v>32.011106493359982</v>
      </c>
      <c r="J498" s="12">
        <f t="shared" si="212"/>
        <v>39.105580833329022</v>
      </c>
      <c r="K498" s="12">
        <f t="shared" si="212"/>
        <v>46.195124957533977</v>
      </c>
      <c r="L498" s="12">
        <f t="shared" si="212"/>
        <v>53.277431573747563</v>
      </c>
      <c r="M498" s="12">
        <f t="shared" si="212"/>
        <v>60.950315718212948</v>
      </c>
      <c r="N498" s="12">
        <f t="shared" si="212"/>
        <v>68.65236898980973</v>
      </c>
      <c r="O498" s="12">
        <f t="shared" si="212"/>
        <v>76.324144422019728</v>
      </c>
      <c r="P498" s="12">
        <f t="shared" si="212"/>
        <v>83.963451200807683</v>
      </c>
      <c r="Q498" s="12">
        <f t="shared" si="212"/>
        <v>91.56814645538735</v>
      </c>
      <c r="R498" s="12">
        <f t="shared" si="212"/>
        <v>99.136097709340987</v>
      </c>
      <c r="S498" s="12">
        <f t="shared" si="212"/>
        <v>106.66515970752472</v>
      </c>
      <c r="T498" s="12">
        <f t="shared" si="212"/>
        <v>114.15315918065467</v>
      </c>
      <c r="U498" s="12">
        <f t="shared" si="212"/>
        <v>121.5978842282865</v>
      </c>
      <c r="V498" s="12">
        <f t="shared" si="212"/>
        <v>128.99707650439998</v>
      </c>
      <c r="W498" s="12">
        <f t="shared" si="212"/>
        <v>136.71567369701506</v>
      </c>
      <c r="X498" s="12">
        <f t="shared" si="212"/>
        <v>145.10005895305019</v>
      </c>
      <c r="Y498" s="12">
        <f t="shared" si="212"/>
        <v>153.4284094838554</v>
      </c>
      <c r="Z498" s="12">
        <f t="shared" si="212"/>
        <v>161.69888737604305</v>
      </c>
      <c r="AA498" s="12">
        <f t="shared" si="212"/>
        <v>170.00963189296476</v>
      </c>
      <c r="AB498" s="12">
        <f t="shared" si="212"/>
        <v>178.2587532032083</v>
      </c>
      <c r="AC498" s="12">
        <f t="shared" si="212"/>
        <v>186.44432714231914</v>
      </c>
      <c r="AD498" s="12">
        <f t="shared" si="212"/>
        <v>194.56439073111412</v>
      </c>
      <c r="AE498" s="12">
        <f t="shared" si="212"/>
        <v>202.61693825276222</v>
      </c>
      <c r="AF498" s="12">
        <f t="shared" si="212"/>
        <v>210.59991774482683</v>
      </c>
      <c r="AG498" s="12">
        <f t="shared" si="212"/>
        <v>218.51122780012841</v>
      </c>
      <c r="AH498" s="12">
        <f t="shared" si="212"/>
        <v>226.34871459696092</v>
      </c>
    </row>
    <row r="499" spans="1:34" s="20" customFormat="1" ht="14" x14ac:dyDescent="0.2">
      <c r="A499" s="8"/>
      <c r="B499" s="8" t="s">
        <v>613</v>
      </c>
      <c r="C499" s="8"/>
      <c r="D499" s="8" t="str">
        <f>'Assumptions - General'!$E$27 &amp;" millions"</f>
        <v>R$ millions</v>
      </c>
      <c r="E499" s="463"/>
      <c r="F499" s="12">
        <f t="shared" ref="F499" si="213">IF(F16=1,F255-F256,0)</f>
        <v>7.82</v>
      </c>
      <c r="G499" s="12">
        <f t="shared" ref="G499:AH499" si="214">IF(G16=1,G255-G256,0)</f>
        <v>7.0944274165102135</v>
      </c>
      <c r="H499" s="12">
        <f t="shared" si="214"/>
        <v>7.0966790768497665</v>
      </c>
      <c r="I499" s="12">
        <f t="shared" si="214"/>
        <v>7.0944743399690404</v>
      </c>
      <c r="J499" s="12">
        <f t="shared" si="214"/>
        <v>7.0895441242049593</v>
      </c>
      <c r="K499" s="12">
        <f t="shared" si="214"/>
        <v>7.082306616213585</v>
      </c>
      <c r="L499" s="12">
        <f t="shared" si="214"/>
        <v>7.6728841444653826</v>
      </c>
      <c r="M499" s="12">
        <f t="shared" si="214"/>
        <v>7.7020532715967782</v>
      </c>
      <c r="N499" s="12">
        <f t="shared" si="214"/>
        <v>7.6717754322100014</v>
      </c>
      <c r="O499" s="12">
        <f t="shared" si="214"/>
        <v>7.6393067787879527</v>
      </c>
      <c r="P499" s="12">
        <f t="shared" si="214"/>
        <v>7.6046952545796715</v>
      </c>
      <c r="Q499" s="12">
        <f t="shared" si="214"/>
        <v>7.5679512539536331</v>
      </c>
      <c r="R499" s="12">
        <f t="shared" si="214"/>
        <v>7.5290619981837343</v>
      </c>
      <c r="S499" s="12">
        <f t="shared" si="214"/>
        <v>7.4879994731299497</v>
      </c>
      <c r="T499" s="12">
        <f t="shared" si="214"/>
        <v>7.4447250476318381</v>
      </c>
      <c r="U499" s="12">
        <f t="shared" si="214"/>
        <v>7.3991922761134727</v>
      </c>
      <c r="V499" s="12">
        <f t="shared" si="214"/>
        <v>7.7185971926150874</v>
      </c>
      <c r="W499" s="12">
        <f t="shared" si="214"/>
        <v>8.384385256035138</v>
      </c>
      <c r="X499" s="12">
        <f t="shared" si="214"/>
        <v>8.3283505308052082</v>
      </c>
      <c r="Y499" s="12">
        <f t="shared" si="214"/>
        <v>8.2704778921876443</v>
      </c>
      <c r="Z499" s="12">
        <f t="shared" si="214"/>
        <v>8.3107445169217229</v>
      </c>
      <c r="AA499" s="12">
        <f t="shared" si="214"/>
        <v>8.249121310243547</v>
      </c>
      <c r="AB499" s="12">
        <f t="shared" si="214"/>
        <v>8.1855739391108475</v>
      </c>
      <c r="AC499" s="12">
        <f t="shared" si="214"/>
        <v>8.1200635887949719</v>
      </c>
      <c r="AD499" s="12">
        <f t="shared" si="214"/>
        <v>8.0525475216481102</v>
      </c>
      <c r="AE499" s="12">
        <f t="shared" si="214"/>
        <v>7.9829794920646151</v>
      </c>
      <c r="AF499" s="12">
        <f t="shared" si="214"/>
        <v>7.9113100553015787</v>
      </c>
      <c r="AG499" s="12">
        <f t="shared" si="214"/>
        <v>7.8374867968324953</v>
      </c>
      <c r="AH499" s="12">
        <f t="shared" si="214"/>
        <v>7.761454501393219</v>
      </c>
    </row>
    <row r="500" spans="1:34" s="20" customFormat="1" ht="14" x14ac:dyDescent="0.2">
      <c r="A500" s="8"/>
      <c r="B500" s="8" t="s">
        <v>614</v>
      </c>
      <c r="C500" s="8"/>
      <c r="D500" s="8" t="str">
        <f>'Assumptions - General'!$E$27 &amp;" millions"</f>
        <v>R$ millions</v>
      </c>
      <c r="E500" s="463">
        <f>IF(E16=1,'Assumptions - Freight'!E264,0)</f>
        <v>10</v>
      </c>
      <c r="F500" s="12">
        <f t="shared" ref="F500" si="215">IF(F16=1,F498+F499,0)</f>
        <v>17.82</v>
      </c>
      <c r="G500" s="12">
        <f t="shared" ref="G500:AH500" si="216">IF(G16=1,G498+G499,0)</f>
        <v>24.914427416510215</v>
      </c>
      <c r="H500" s="12">
        <f t="shared" si="216"/>
        <v>32.011106493359982</v>
      </c>
      <c r="I500" s="12">
        <f t="shared" si="216"/>
        <v>39.105580833329022</v>
      </c>
      <c r="J500" s="12">
        <f t="shared" si="216"/>
        <v>46.195124957533977</v>
      </c>
      <c r="K500" s="12">
        <f t="shared" si="216"/>
        <v>53.277431573747563</v>
      </c>
      <c r="L500" s="12">
        <f t="shared" si="216"/>
        <v>60.950315718212948</v>
      </c>
      <c r="M500" s="12">
        <f t="shared" si="216"/>
        <v>68.65236898980973</v>
      </c>
      <c r="N500" s="12">
        <f t="shared" si="216"/>
        <v>76.324144422019728</v>
      </c>
      <c r="O500" s="12">
        <f t="shared" si="216"/>
        <v>83.963451200807683</v>
      </c>
      <c r="P500" s="12">
        <f t="shared" si="216"/>
        <v>91.56814645538735</v>
      </c>
      <c r="Q500" s="12">
        <f t="shared" si="216"/>
        <v>99.136097709340987</v>
      </c>
      <c r="R500" s="12">
        <f t="shared" si="216"/>
        <v>106.66515970752472</v>
      </c>
      <c r="S500" s="12">
        <f t="shared" si="216"/>
        <v>114.15315918065467</v>
      </c>
      <c r="T500" s="12">
        <f t="shared" si="216"/>
        <v>121.5978842282865</v>
      </c>
      <c r="U500" s="12">
        <f t="shared" si="216"/>
        <v>128.99707650439998</v>
      </c>
      <c r="V500" s="12">
        <f t="shared" si="216"/>
        <v>136.71567369701506</v>
      </c>
      <c r="W500" s="12">
        <f t="shared" si="216"/>
        <v>145.10005895305019</v>
      </c>
      <c r="X500" s="12">
        <f t="shared" si="216"/>
        <v>153.4284094838554</v>
      </c>
      <c r="Y500" s="12">
        <f t="shared" si="216"/>
        <v>161.69888737604305</v>
      </c>
      <c r="Z500" s="12">
        <f t="shared" si="216"/>
        <v>170.00963189296476</v>
      </c>
      <c r="AA500" s="12">
        <f t="shared" si="216"/>
        <v>178.2587532032083</v>
      </c>
      <c r="AB500" s="12">
        <f t="shared" si="216"/>
        <v>186.44432714231914</v>
      </c>
      <c r="AC500" s="12">
        <f t="shared" si="216"/>
        <v>194.56439073111412</v>
      </c>
      <c r="AD500" s="12">
        <f t="shared" si="216"/>
        <v>202.61693825276222</v>
      </c>
      <c r="AE500" s="12">
        <f t="shared" si="216"/>
        <v>210.59991774482683</v>
      </c>
      <c r="AF500" s="12">
        <f t="shared" si="216"/>
        <v>218.51122780012841</v>
      </c>
      <c r="AG500" s="12">
        <f t="shared" si="216"/>
        <v>226.34871459696092</v>
      </c>
      <c r="AH500" s="12">
        <f t="shared" si="216"/>
        <v>234.11016909835413</v>
      </c>
    </row>
    <row r="501" spans="1:34" s="20" customFormat="1" ht="14" x14ac:dyDescent="0.2">
      <c r="A501" s="8"/>
      <c r="B501" s="8" t="s">
        <v>158</v>
      </c>
      <c r="C501" s="8"/>
      <c r="D501" s="8" t="str">
        <f>'Assumptions - General'!$E$27 &amp;" millions"</f>
        <v>R$ millions</v>
      </c>
      <c r="E501" s="463"/>
      <c r="F501" s="12">
        <f t="shared" ref="F501" si="217">IF(F16=1,E503,0)</f>
        <v>180</v>
      </c>
      <c r="G501" s="12">
        <f t="shared" ref="G501:AH501" si="218">IF(G16=1,F503,0)</f>
        <v>5132.1058766566748</v>
      </c>
      <c r="H501" s="12">
        <f t="shared" si="218"/>
        <v>10354.651136056231</v>
      </c>
      <c r="I501" s="12">
        <f t="shared" si="218"/>
        <v>15687.377681394608</v>
      </c>
      <c r="J501" s="12">
        <f t="shared" si="218"/>
        <v>21191.350285882174</v>
      </c>
      <c r="K501" s="12">
        <f t="shared" si="218"/>
        <v>26912.352190947367</v>
      </c>
      <c r="L501" s="12">
        <f t="shared" si="218"/>
        <v>33927.136116153437</v>
      </c>
      <c r="M501" s="12">
        <f t="shared" si="218"/>
        <v>40943.551509748133</v>
      </c>
      <c r="N501" s="12">
        <f t="shared" si="218"/>
        <v>48223.398587041978</v>
      </c>
      <c r="O501" s="12">
        <f t="shared" si="218"/>
        <v>55773.668695833592</v>
      </c>
      <c r="P501" s="12">
        <f t="shared" si="218"/>
        <v>63503.869198050284</v>
      </c>
      <c r="Q501" s="12">
        <f t="shared" si="218"/>
        <v>71469.191331874783</v>
      </c>
      <c r="R501" s="12">
        <f t="shared" si="218"/>
        <v>79704.987937666534</v>
      </c>
      <c r="S501" s="12">
        <f t="shared" si="218"/>
        <v>88219.751125872266</v>
      </c>
      <c r="T501" s="12">
        <f t="shared" si="218"/>
        <v>97022.222351691089</v>
      </c>
      <c r="U501" s="12">
        <f t="shared" si="218"/>
        <v>106121.39969100032</v>
      </c>
      <c r="V501" s="12">
        <f t="shared" si="218"/>
        <v>115826.40970047729</v>
      </c>
      <c r="W501" s="12">
        <f t="shared" si="218"/>
        <v>125558.17164009489</v>
      </c>
      <c r="X501" s="12">
        <f t="shared" si="218"/>
        <v>135630.52827989857</v>
      </c>
      <c r="Y501" s="12">
        <f t="shared" si="218"/>
        <v>146038.09447058314</v>
      </c>
      <c r="Z501" s="12">
        <f t="shared" si="218"/>
        <v>156791.26788454334</v>
      </c>
      <c r="AA501" s="12">
        <f t="shared" si="218"/>
        <v>167902.89907293153</v>
      </c>
      <c r="AB501" s="12">
        <f t="shared" si="218"/>
        <v>179381.85340760322</v>
      </c>
      <c r="AC501" s="12">
        <f t="shared" si="218"/>
        <v>191239.47009177247</v>
      </c>
      <c r="AD501" s="12">
        <f t="shared" si="218"/>
        <v>203487.42065986758</v>
      </c>
      <c r="AE501" s="12">
        <f t="shared" si="218"/>
        <v>216137.71866545675</v>
      </c>
      <c r="AF501" s="12">
        <f t="shared" si="218"/>
        <v>229202.72965107576</v>
      </c>
      <c r="AG501" s="12">
        <f t="shared" si="218"/>
        <v>242695.18140829221</v>
      </c>
      <c r="AH501" s="12">
        <f t="shared" si="218"/>
        <v>256628.17453655807</v>
      </c>
    </row>
    <row r="502" spans="1:34" s="20" customFormat="1" ht="14" x14ac:dyDescent="0.2">
      <c r="A502" s="8"/>
      <c r="B502" s="8" t="s">
        <v>157</v>
      </c>
      <c r="C502" s="8"/>
      <c r="D502" s="8" t="str">
        <f>'Assumptions - General'!$E$27 &amp;" millions"</f>
        <v>R$ millions</v>
      </c>
      <c r="E502" s="467">
        <f>'[1]Cash flow statement'!E87</f>
        <v>0</v>
      </c>
      <c r="F502" s="12">
        <f>IF(F16=1,'Income statement'!F83-'Cash flow statement'!F86,0)</f>
        <v>4952.1058766566748</v>
      </c>
      <c r="G502" s="12">
        <f>IF(G16=1,'Income statement'!G83-'Cash flow statement'!G86,0)</f>
        <v>5222.545259399556</v>
      </c>
      <c r="H502" s="12">
        <f>IF(H16=1,'Income statement'!H83-'Cash flow statement'!H86,0)</f>
        <v>5332.726545338377</v>
      </c>
      <c r="I502" s="12">
        <f>IF(I16=1,'Income statement'!I83-'Cash flow statement'!I86,0)</f>
        <v>5503.9726044875679</v>
      </c>
      <c r="J502" s="12">
        <f>IF(J16=1,'Income statement'!J83-'Cash flow statement'!J86,0)</f>
        <v>5721.0019050651936</v>
      </c>
      <c r="K502" s="12">
        <f>IF(K16=1,'Income statement'!K83-'Cash flow statement'!K86,0)</f>
        <v>7014.7839252060712</v>
      </c>
      <c r="L502" s="12">
        <f>IF(L16=1,'Income statement'!L83-'Cash flow statement'!L86,0)</f>
        <v>7016.4153935946943</v>
      </c>
      <c r="M502" s="12">
        <f>IF(M16=1,'Income statement'!M83-'Cash flow statement'!M86,0)</f>
        <v>7279.8470772938454</v>
      </c>
      <c r="N502" s="12">
        <f>IF(N16=1,'Income statement'!N83-'Cash flow statement'!N86,0)</f>
        <v>7550.2701087916175</v>
      </c>
      <c r="O502" s="12">
        <f>IF(O16=1,'Income statement'!O83-'Cash flow statement'!O86,0)</f>
        <v>7730.2005022166923</v>
      </c>
      <c r="P502" s="12">
        <f>IF(P16=1,'Income statement'!P83-'Cash flow statement'!P86,0)</f>
        <v>7965.3221338244985</v>
      </c>
      <c r="Q502" s="12">
        <f>IF(Q16=1,'Income statement'!Q83-'Cash flow statement'!Q86,0)</f>
        <v>8235.7966057917474</v>
      </c>
      <c r="R502" s="12">
        <f>IF(R16=1,'Income statement'!R83-'Cash flow statement'!R86,0)</f>
        <v>8514.7631882057285</v>
      </c>
      <c r="S502" s="12">
        <f>IF(S16=1,'Income statement'!S83-'Cash flow statement'!S86,0)</f>
        <v>8802.4712258188229</v>
      </c>
      <c r="T502" s="12">
        <f>IF(T16=1,'Income statement'!T83-'Cash flow statement'!T86,0)</f>
        <v>9099.1773393092299</v>
      </c>
      <c r="U502" s="12">
        <f>IF(U16=1,'Income statement'!U83-'Cash flow statement'!U86,0)</f>
        <v>9705.0100094769805</v>
      </c>
      <c r="V502" s="12">
        <f>IF(V16=1,'Income statement'!V83-'Cash flow statement'!V86,0)</f>
        <v>9731.7619396176087</v>
      </c>
      <c r="W502" s="12">
        <f>IF(W16=1,'Income statement'!W83-'Cash flow statement'!W86,0)</f>
        <v>10072.356639803686</v>
      </c>
      <c r="X502" s="12">
        <f>IF(X16=1,'Income statement'!X83-'Cash flow statement'!X86,0)</f>
        <v>10407.566190684553</v>
      </c>
      <c r="Y502" s="12">
        <f>IF(Y16=1,'Income statement'!Y83-'Cash flow statement'!Y86,0)</f>
        <v>10753.173413960219</v>
      </c>
      <c r="Z502" s="12">
        <f>IF(Z16=1,'Income statement'!Z83-'Cash flow statement'!Z86,0)</f>
        <v>11111.631188388183</v>
      </c>
      <c r="AA502" s="12">
        <f>IF(AA16=1,'Income statement'!AA83-'Cash flow statement'!AA86,0)</f>
        <v>11478.954334671693</v>
      </c>
      <c r="AB502" s="12">
        <f>IF(AB16=1,'Income statement'!AB83-'Cash flow statement'!AB86,0)</f>
        <v>11857.616684169257</v>
      </c>
      <c r="AC502" s="12">
        <f>IF(AC16=1,'Income statement'!AC83-'Cash flow statement'!AC86,0)</f>
        <v>12247.950568095104</v>
      </c>
      <c r="AD502" s="12">
        <f>IF(AD16=1,'Income statement'!AD83-'Cash flow statement'!AD86,0)</f>
        <v>12650.298005589171</v>
      </c>
      <c r="AE502" s="12">
        <f>IF(AE16=1,'Income statement'!AE83-'Cash flow statement'!AE86,0)</f>
        <v>13065.01098561901</v>
      </c>
      <c r="AF502" s="12">
        <f>IF(AF16=1,'Income statement'!AF83-'Cash flow statement'!AF86,0)</f>
        <v>13492.451757216459</v>
      </c>
      <c r="AG502" s="12">
        <f>IF(AG16=1,'Income statement'!AG83-'Cash flow statement'!AG86,0)</f>
        <v>13932.993128265862</v>
      </c>
      <c r="AH502" s="12">
        <f>IF(AH16=1,'Income statement'!AH83-'Cash flow statement'!AH86,0)</f>
        <v>14387.018773074604</v>
      </c>
    </row>
    <row r="503" spans="1:34" s="20" customFormat="1" ht="14" x14ac:dyDescent="0.2">
      <c r="A503" s="8"/>
      <c r="B503" s="8" t="s">
        <v>159</v>
      </c>
      <c r="C503" s="8"/>
      <c r="D503" s="8" t="str">
        <f>'Assumptions - General'!$E$27 &amp;" millions"</f>
        <v>R$ millions</v>
      </c>
      <c r="E503" s="463">
        <f>IF(E16=1,'Assumptions - Freight'!E566,0)</f>
        <v>180</v>
      </c>
      <c r="F503" s="13">
        <f t="shared" ref="F503" si="219">IF(F16=1,F502+F501,0)</f>
        <v>5132.1058766566748</v>
      </c>
      <c r="G503" s="13">
        <f t="shared" ref="G503:AH503" si="220">IF(G16=1,G502+G501,0)</f>
        <v>10354.651136056231</v>
      </c>
      <c r="H503" s="13">
        <f t="shared" si="220"/>
        <v>15687.377681394608</v>
      </c>
      <c r="I503" s="13">
        <f t="shared" si="220"/>
        <v>21191.350285882174</v>
      </c>
      <c r="J503" s="13">
        <f t="shared" si="220"/>
        <v>26912.352190947367</v>
      </c>
      <c r="K503" s="13">
        <f t="shared" si="220"/>
        <v>33927.136116153437</v>
      </c>
      <c r="L503" s="13">
        <f t="shared" si="220"/>
        <v>40943.551509748133</v>
      </c>
      <c r="M503" s="13">
        <f t="shared" si="220"/>
        <v>48223.398587041978</v>
      </c>
      <c r="N503" s="13">
        <f t="shared" si="220"/>
        <v>55773.668695833592</v>
      </c>
      <c r="O503" s="13">
        <f t="shared" si="220"/>
        <v>63503.869198050284</v>
      </c>
      <c r="P503" s="13">
        <f t="shared" si="220"/>
        <v>71469.191331874783</v>
      </c>
      <c r="Q503" s="13">
        <f t="shared" si="220"/>
        <v>79704.987937666534</v>
      </c>
      <c r="R503" s="13">
        <f t="shared" si="220"/>
        <v>88219.751125872266</v>
      </c>
      <c r="S503" s="13">
        <f t="shared" si="220"/>
        <v>97022.222351691089</v>
      </c>
      <c r="T503" s="13">
        <f t="shared" si="220"/>
        <v>106121.39969100032</v>
      </c>
      <c r="U503" s="13">
        <f t="shared" si="220"/>
        <v>115826.40970047729</v>
      </c>
      <c r="V503" s="13">
        <f t="shared" si="220"/>
        <v>125558.17164009489</v>
      </c>
      <c r="W503" s="13">
        <f t="shared" si="220"/>
        <v>135630.52827989857</v>
      </c>
      <c r="X503" s="13">
        <f t="shared" si="220"/>
        <v>146038.09447058314</v>
      </c>
      <c r="Y503" s="13">
        <f t="shared" si="220"/>
        <v>156791.26788454334</v>
      </c>
      <c r="Z503" s="13">
        <f t="shared" si="220"/>
        <v>167902.89907293153</v>
      </c>
      <c r="AA503" s="13">
        <f t="shared" si="220"/>
        <v>179381.85340760322</v>
      </c>
      <c r="AB503" s="13">
        <f t="shared" si="220"/>
        <v>191239.47009177247</v>
      </c>
      <c r="AC503" s="13">
        <f t="shared" si="220"/>
        <v>203487.42065986758</v>
      </c>
      <c r="AD503" s="13">
        <f t="shared" si="220"/>
        <v>216137.71866545675</v>
      </c>
      <c r="AE503" s="13">
        <f t="shared" si="220"/>
        <v>229202.72965107576</v>
      </c>
      <c r="AF503" s="13">
        <f t="shared" si="220"/>
        <v>242695.18140829221</v>
      </c>
      <c r="AG503" s="13">
        <f t="shared" si="220"/>
        <v>256628.17453655807</v>
      </c>
      <c r="AH503" s="13">
        <f t="shared" si="220"/>
        <v>271015.19330963265</v>
      </c>
    </row>
    <row r="504" spans="1:34" s="20" customFormat="1" ht="14" x14ac:dyDescent="0.2">
      <c r="B504" s="20" t="s">
        <v>697</v>
      </c>
      <c r="D504" s="20" t="str">
        <f>'Assumptions - General'!$E$27 &amp;" millions"</f>
        <v>R$ millions</v>
      </c>
      <c r="F504" s="38">
        <f>IF(F16=1,E506,0)</f>
        <v>0</v>
      </c>
      <c r="G504" s="38">
        <f t="shared" ref="G504:AH504" si="221">IF(G16=1,F506,0)</f>
        <v>0</v>
      </c>
      <c r="H504" s="38">
        <f t="shared" si="221"/>
        <v>0</v>
      </c>
      <c r="I504" s="38">
        <f t="shared" si="221"/>
        <v>0</v>
      </c>
      <c r="J504" s="38">
        <f t="shared" si="221"/>
        <v>0</v>
      </c>
      <c r="K504" s="38">
        <f t="shared" si="221"/>
        <v>0</v>
      </c>
      <c r="L504" s="38">
        <f t="shared" si="221"/>
        <v>0</v>
      </c>
      <c r="M504" s="38">
        <f t="shared" si="221"/>
        <v>0</v>
      </c>
      <c r="N504" s="38">
        <f t="shared" si="221"/>
        <v>0</v>
      </c>
      <c r="O504" s="38">
        <f t="shared" si="221"/>
        <v>0</v>
      </c>
      <c r="P504" s="38">
        <f t="shared" si="221"/>
        <v>0</v>
      </c>
      <c r="Q504" s="38">
        <f t="shared" si="221"/>
        <v>0</v>
      </c>
      <c r="R504" s="38">
        <f t="shared" si="221"/>
        <v>0</v>
      </c>
      <c r="S504" s="38">
        <f t="shared" si="221"/>
        <v>0</v>
      </c>
      <c r="T504" s="38">
        <f t="shared" si="221"/>
        <v>0</v>
      </c>
      <c r="U504" s="38">
        <f t="shared" si="221"/>
        <v>0</v>
      </c>
      <c r="V504" s="38">
        <f t="shared" si="221"/>
        <v>0</v>
      </c>
      <c r="W504" s="38">
        <f t="shared" si="221"/>
        <v>0</v>
      </c>
      <c r="X504" s="38">
        <f t="shared" si="221"/>
        <v>0</v>
      </c>
      <c r="Y504" s="38">
        <f t="shared" si="221"/>
        <v>0</v>
      </c>
      <c r="Z504" s="38">
        <f t="shared" si="221"/>
        <v>0</v>
      </c>
      <c r="AA504" s="38">
        <f t="shared" si="221"/>
        <v>0</v>
      </c>
      <c r="AB504" s="38">
        <f t="shared" si="221"/>
        <v>0</v>
      </c>
      <c r="AC504" s="38">
        <f t="shared" si="221"/>
        <v>0</v>
      </c>
      <c r="AD504" s="38">
        <f t="shared" si="221"/>
        <v>0</v>
      </c>
      <c r="AE504" s="38">
        <f t="shared" si="221"/>
        <v>0</v>
      </c>
      <c r="AF504" s="38">
        <f t="shared" si="221"/>
        <v>0</v>
      </c>
      <c r="AG504" s="38">
        <f t="shared" si="221"/>
        <v>0</v>
      </c>
      <c r="AH504" s="38">
        <f t="shared" si="221"/>
        <v>0</v>
      </c>
    </row>
    <row r="505" spans="1:34" s="20" customFormat="1" ht="14" x14ac:dyDescent="0.2">
      <c r="B505" s="20" t="s">
        <v>691</v>
      </c>
      <c r="D505" s="20" t="str">
        <f>'Assumptions - General'!$E$27 &amp;" millions"</f>
        <v>R$ millions</v>
      </c>
      <c r="E505" s="38"/>
      <c r="F505" s="38">
        <f>IF(F16=1,IF(F335/E335=1,0,F338/(F335/E335)-F338)+IF(F351/E351=1,0,F354/(F351/E351)-F354)+IF(F367/E367=1,0,F370/(F367/E367)-F370)+IF(F393/E393=1,0,F397/(F393/E393)-F397)+IF(F423/E423=1,0,F427/(F423/E423)-F427)+IF(F453/E453=1,0,F457/(F453/E453)-F457)+IF(F483/E483=1,0,F487/(F483/E483)-F487),0)</f>
        <v>0</v>
      </c>
      <c r="G505" s="38">
        <f>IF(G16=1,IF(G335/F335=1,0,G338/(G335/F335)-G338)+IF(G351/F351=1,0,G354/(G351/F351)-G354)+IF(G367/F367=1,0,G370/(G367/F367)-G370)+IF(G393/F393=1,0,G397/(G393/F393)-G397)+IF(G423/F423=1,0,G427/(G423/F423)-G427)+IF(G453/F453=1,0,G457/(G453/F453)-G457)+IF(G483/F483=1,0,G487/(G483/F483)-G487),0)</f>
        <v>0</v>
      </c>
      <c r="H505" s="38">
        <f t="shared" ref="H505:AH505" si="222">IF(H16=1,IF(H335/G335=1,0,H338/(H335/G335)-H338)+IF(H351/G351=1,0,H354/(H351/G351)-H354)+IF(H367/G367=1,0,H370/(H367/G367)-H370)+IF(H393/G393=1,0,H397/(H393/G393)-H397)+IF(H423/G423=1,0,H427/(H423/G423)-H427)+IF(H453/G453=1,0,H457/(H453/G453)-H457)+IF(H483/G483=1,0,H487/(H483/G483)-H487),0)</f>
        <v>0</v>
      </c>
      <c r="I505" s="38">
        <f t="shared" si="222"/>
        <v>0</v>
      </c>
      <c r="J505" s="38">
        <f t="shared" si="222"/>
        <v>0</v>
      </c>
      <c r="K505" s="38">
        <f t="shared" si="222"/>
        <v>0</v>
      </c>
      <c r="L505" s="38">
        <f t="shared" si="222"/>
        <v>0</v>
      </c>
      <c r="M505" s="38">
        <f t="shared" si="222"/>
        <v>0</v>
      </c>
      <c r="N505" s="38">
        <f t="shared" si="222"/>
        <v>0</v>
      </c>
      <c r="O505" s="38">
        <f t="shared" si="222"/>
        <v>0</v>
      </c>
      <c r="P505" s="38">
        <f t="shared" si="222"/>
        <v>0</v>
      </c>
      <c r="Q505" s="38">
        <f t="shared" si="222"/>
        <v>0</v>
      </c>
      <c r="R505" s="38">
        <f t="shared" si="222"/>
        <v>0</v>
      </c>
      <c r="S505" s="38">
        <f t="shared" si="222"/>
        <v>0</v>
      </c>
      <c r="T505" s="38">
        <f t="shared" si="222"/>
        <v>0</v>
      </c>
      <c r="U505" s="38">
        <f t="shared" si="222"/>
        <v>0</v>
      </c>
      <c r="V505" s="38">
        <f t="shared" si="222"/>
        <v>0</v>
      </c>
      <c r="W505" s="38">
        <f t="shared" si="222"/>
        <v>0</v>
      </c>
      <c r="X505" s="38">
        <f t="shared" si="222"/>
        <v>0</v>
      </c>
      <c r="Y505" s="38">
        <f t="shared" si="222"/>
        <v>0</v>
      </c>
      <c r="Z505" s="38">
        <f t="shared" si="222"/>
        <v>0</v>
      </c>
      <c r="AA505" s="38">
        <f t="shared" si="222"/>
        <v>0</v>
      </c>
      <c r="AB505" s="38">
        <f t="shared" si="222"/>
        <v>0</v>
      </c>
      <c r="AC505" s="38">
        <f t="shared" si="222"/>
        <v>0</v>
      </c>
      <c r="AD505" s="38">
        <f t="shared" si="222"/>
        <v>0</v>
      </c>
      <c r="AE505" s="38">
        <f t="shared" si="222"/>
        <v>0</v>
      </c>
      <c r="AF505" s="38">
        <f t="shared" si="222"/>
        <v>0</v>
      </c>
      <c r="AG505" s="38">
        <f t="shared" si="222"/>
        <v>0</v>
      </c>
      <c r="AH505" s="38">
        <f t="shared" si="222"/>
        <v>0</v>
      </c>
    </row>
    <row r="506" spans="1:34" s="20" customFormat="1" ht="14" x14ac:dyDescent="0.2">
      <c r="B506" s="20" t="s">
        <v>698</v>
      </c>
      <c r="D506" s="20" t="str">
        <f>'Assumptions - General'!$E$27 &amp;" millions"</f>
        <v>R$ millions</v>
      </c>
      <c r="E506" s="20">
        <v>0</v>
      </c>
      <c r="F506" s="53">
        <f>IF(F16=1,F504+F505,0)</f>
        <v>0</v>
      </c>
      <c r="G506" s="53">
        <f t="shared" ref="G506:AH506" si="223">IF(G16=1,G504+G505,0)</f>
        <v>0</v>
      </c>
      <c r="H506" s="53">
        <f t="shared" si="223"/>
        <v>0</v>
      </c>
      <c r="I506" s="53">
        <f t="shared" si="223"/>
        <v>0</v>
      </c>
      <c r="J506" s="53">
        <f t="shared" si="223"/>
        <v>0</v>
      </c>
      <c r="K506" s="53">
        <f t="shared" si="223"/>
        <v>0</v>
      </c>
      <c r="L506" s="53">
        <f t="shared" si="223"/>
        <v>0</v>
      </c>
      <c r="M506" s="53">
        <f t="shared" si="223"/>
        <v>0</v>
      </c>
      <c r="N506" s="53">
        <f t="shared" si="223"/>
        <v>0</v>
      </c>
      <c r="O506" s="53">
        <f t="shared" si="223"/>
        <v>0</v>
      </c>
      <c r="P506" s="53">
        <f t="shared" si="223"/>
        <v>0</v>
      </c>
      <c r="Q506" s="53">
        <f t="shared" si="223"/>
        <v>0</v>
      </c>
      <c r="R506" s="53">
        <f t="shared" si="223"/>
        <v>0</v>
      </c>
      <c r="S506" s="53">
        <f t="shared" si="223"/>
        <v>0</v>
      </c>
      <c r="T506" s="53">
        <f t="shared" si="223"/>
        <v>0</v>
      </c>
      <c r="U506" s="53">
        <f t="shared" si="223"/>
        <v>0</v>
      </c>
      <c r="V506" s="53">
        <f t="shared" si="223"/>
        <v>0</v>
      </c>
      <c r="W506" s="53">
        <f t="shared" si="223"/>
        <v>0</v>
      </c>
      <c r="X506" s="53">
        <f t="shared" si="223"/>
        <v>0</v>
      </c>
      <c r="Y506" s="53">
        <f t="shared" si="223"/>
        <v>0</v>
      </c>
      <c r="Z506" s="53">
        <f t="shared" si="223"/>
        <v>0</v>
      </c>
      <c r="AA506" s="53">
        <f t="shared" si="223"/>
        <v>0</v>
      </c>
      <c r="AB506" s="53">
        <f t="shared" si="223"/>
        <v>0</v>
      </c>
      <c r="AC506" s="53">
        <f t="shared" si="223"/>
        <v>0</v>
      </c>
      <c r="AD506" s="53">
        <f t="shared" si="223"/>
        <v>0</v>
      </c>
      <c r="AE506" s="53">
        <f t="shared" si="223"/>
        <v>0</v>
      </c>
      <c r="AF506" s="53">
        <f t="shared" si="223"/>
        <v>0</v>
      </c>
      <c r="AG506" s="53">
        <f t="shared" si="223"/>
        <v>0</v>
      </c>
      <c r="AH506" s="53">
        <f t="shared" si="223"/>
        <v>0</v>
      </c>
    </row>
    <row r="507" spans="1:34" collapsed="1" x14ac:dyDescent="0.2">
      <c r="D507" s="8"/>
    </row>
    <row r="508" spans="1:34" x14ac:dyDescent="0.2">
      <c r="A508" s="324"/>
      <c r="B508" s="323" t="str">
        <f>"Fixed assets for " &amp;'Assumptions - General'!$E$25</f>
        <v>Fixed assets for Ruritania Passenger Rail Company</v>
      </c>
      <c r="C508" s="324"/>
      <c r="D508" s="324"/>
      <c r="E508" s="324"/>
      <c r="F508" s="324"/>
      <c r="G508" s="324"/>
      <c r="H508" s="324"/>
      <c r="I508" s="324"/>
      <c r="J508" s="324"/>
      <c r="K508" s="324"/>
      <c r="L508" s="324"/>
      <c r="M508" s="324"/>
      <c r="N508" s="324"/>
      <c r="O508" s="324"/>
      <c r="P508" s="324"/>
      <c r="Q508" s="324"/>
      <c r="R508" s="324"/>
      <c r="S508" s="324"/>
      <c r="T508" s="324"/>
      <c r="U508" s="324"/>
      <c r="V508" s="324"/>
      <c r="W508" s="324"/>
      <c r="X508" s="324"/>
      <c r="Y508" s="324"/>
      <c r="Z508" s="324"/>
      <c r="AA508" s="324"/>
      <c r="AB508" s="324"/>
      <c r="AC508" s="324"/>
      <c r="AD508" s="324"/>
      <c r="AE508" s="324"/>
      <c r="AF508" s="324"/>
      <c r="AG508" s="324"/>
      <c r="AH508" s="324"/>
    </row>
    <row r="509" spans="1:34" s="20" customFormat="1" ht="14" x14ac:dyDescent="0.2">
      <c r="A509" s="8"/>
      <c r="B509" s="7"/>
      <c r="C509" s="8"/>
      <c r="D509" s="8"/>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row>
    <row r="510" spans="1:34" outlineLevel="1" x14ac:dyDescent="0.2">
      <c r="B510" s="8" t="s">
        <v>474</v>
      </c>
      <c r="C510" s="8"/>
      <c r="D510" s="287">
        <f>IF('Scenarios - Consolidated'!$F$3=1,1,'Scenarios - Passenger'!$F$3)</f>
        <v>2</v>
      </c>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row>
    <row r="511" spans="1:34" outlineLevel="1" x14ac:dyDescent="0.2">
      <c r="B511" s="8" t="s">
        <v>478</v>
      </c>
      <c r="C511" s="8"/>
      <c r="D511" s="224">
        <f>IF(AND('Scenarios - Consolidated'!$F$3=1,'Scenarios - Consolidated'!$I$20=1),'Scenarios - Consolidated'!$I$25,'Scenarios - Passenger'!$I$25)</f>
        <v>1</v>
      </c>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row>
    <row r="512" spans="1:34" x14ac:dyDescent="0.2">
      <c r="B512" s="7" t="s">
        <v>473</v>
      </c>
      <c r="C512" s="8"/>
      <c r="D512" s="8"/>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row>
    <row r="513" spans="1:34" x14ac:dyDescent="0.2">
      <c r="B513" s="7"/>
      <c r="C513" s="8"/>
      <c r="D513" s="8"/>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row>
    <row r="514" spans="1:34" s="20" customFormat="1" ht="14" x14ac:dyDescent="0.2">
      <c r="A514" s="87">
        <f>'Assumptions - Passenger'!E60</f>
        <v>1</v>
      </c>
      <c r="B514" s="21" t="str">
        <f>'Assumptions - Passenger'!E26</f>
        <v>Land</v>
      </c>
      <c r="C514" s="8"/>
      <c r="D514" s="8"/>
      <c r="E514" s="8"/>
      <c r="F514" s="8"/>
      <c r="G514" s="8"/>
      <c r="H514" s="8"/>
      <c r="I514" s="8"/>
      <c r="J514" s="8"/>
      <c r="K514" s="8"/>
      <c r="L514" s="8"/>
      <c r="M514" s="8"/>
      <c r="N514" s="8"/>
      <c r="O514" s="8"/>
      <c r="P514" s="8"/>
      <c r="Q514" s="8"/>
      <c r="R514" s="8"/>
      <c r="S514" s="8"/>
      <c r="T514" s="8"/>
      <c r="U514" s="8"/>
      <c r="V514" s="8"/>
      <c r="W514" s="8"/>
      <c r="X514" s="8"/>
      <c r="Y514" s="8"/>
      <c r="Z514" s="8"/>
      <c r="AA514" s="8"/>
      <c r="AB514" s="8"/>
      <c r="AC514" s="8"/>
      <c r="AD514" s="8"/>
      <c r="AE514" s="8"/>
      <c r="AF514" s="8"/>
      <c r="AG514" s="8"/>
      <c r="AH514" s="8"/>
    </row>
    <row r="515" spans="1:34" s="20" customFormat="1" ht="14" x14ac:dyDescent="0.2">
      <c r="A515" s="87"/>
      <c r="B515" s="14" t="str">
        <f>"Starting value "</f>
        <v xml:space="preserve">Starting value </v>
      </c>
      <c r="C515" s="8"/>
      <c r="D515" s="8" t="str">
        <f>'Assumptions - General'!$E$27 &amp;" millions"</f>
        <v>R$ millions</v>
      </c>
      <c r="E515" s="29"/>
      <c r="F515" s="31">
        <f t="shared" ref="F515:AH515" si="224">IF(F$17=1,E519," ")</f>
        <v>100</v>
      </c>
      <c r="G515" s="31">
        <f t="shared" si="224"/>
        <v>95</v>
      </c>
      <c r="H515" s="31">
        <f t="shared" si="224"/>
        <v>90</v>
      </c>
      <c r="I515" s="31">
        <f t="shared" si="224"/>
        <v>85</v>
      </c>
      <c r="J515" s="31">
        <f t="shared" si="224"/>
        <v>80</v>
      </c>
      <c r="K515" s="31">
        <f t="shared" si="224"/>
        <v>75</v>
      </c>
      <c r="L515" s="31">
        <f t="shared" si="224"/>
        <v>70</v>
      </c>
      <c r="M515" s="31">
        <f t="shared" si="224"/>
        <v>65</v>
      </c>
      <c r="N515" s="31">
        <f t="shared" si="224"/>
        <v>60</v>
      </c>
      <c r="O515" s="31">
        <f t="shared" si="224"/>
        <v>55</v>
      </c>
      <c r="P515" s="31">
        <f t="shared" si="224"/>
        <v>50</v>
      </c>
      <c r="Q515" s="31">
        <f t="shared" si="224"/>
        <v>45</v>
      </c>
      <c r="R515" s="31">
        <f t="shared" si="224"/>
        <v>40</v>
      </c>
      <c r="S515" s="31">
        <f t="shared" si="224"/>
        <v>35</v>
      </c>
      <c r="T515" s="31">
        <f t="shared" si="224"/>
        <v>30</v>
      </c>
      <c r="U515" s="31">
        <f t="shared" si="224"/>
        <v>25</v>
      </c>
      <c r="V515" s="31">
        <f t="shared" si="224"/>
        <v>20</v>
      </c>
      <c r="W515" s="31">
        <f t="shared" si="224"/>
        <v>15</v>
      </c>
      <c r="X515" s="31">
        <f t="shared" si="224"/>
        <v>10</v>
      </c>
      <c r="Y515" s="31">
        <f t="shared" si="224"/>
        <v>5</v>
      </c>
      <c r="Z515" s="31">
        <f t="shared" si="224"/>
        <v>0</v>
      </c>
      <c r="AA515" s="31">
        <f t="shared" si="224"/>
        <v>0</v>
      </c>
      <c r="AB515" s="31">
        <f t="shared" si="224"/>
        <v>0</v>
      </c>
      <c r="AC515" s="31">
        <f t="shared" si="224"/>
        <v>0</v>
      </c>
      <c r="AD515" s="31">
        <f t="shared" si="224"/>
        <v>0</v>
      </c>
      <c r="AE515" s="31">
        <f t="shared" si="224"/>
        <v>0</v>
      </c>
      <c r="AF515" s="31">
        <f t="shared" si="224"/>
        <v>0</v>
      </c>
      <c r="AG515" s="31">
        <f t="shared" si="224"/>
        <v>0</v>
      </c>
      <c r="AH515" s="31">
        <f t="shared" si="224"/>
        <v>0</v>
      </c>
    </row>
    <row r="516" spans="1:34" s="20" customFormat="1" ht="14" x14ac:dyDescent="0.2">
      <c r="A516" s="87"/>
      <c r="B516" s="30" t="s">
        <v>608</v>
      </c>
      <c r="C516" s="8"/>
      <c r="D516" s="8" t="str">
        <f>'Assumptions - General'!$E$27 &amp;" millions"</f>
        <v>R$ millions</v>
      </c>
      <c r="E516" s="29"/>
      <c r="F516" s="29">
        <f>IF(F$17=1,IF(F515&gt;0,MIN(F515,'Assumptions - Passenger'!F48),0)," ")</f>
        <v>5</v>
      </c>
      <c r="G516" s="29">
        <f>IF(G$17=1,IF(G515&gt;0,MIN(G515,'Assumptions - Passenger'!G48),0)," ")</f>
        <v>5</v>
      </c>
      <c r="H516" s="29">
        <f>IF(H$17=1,IF(H515&gt;0,MIN(H515,'Assumptions - Passenger'!H48),0)," ")</f>
        <v>5</v>
      </c>
      <c r="I516" s="29">
        <f>IF(I$17=1,IF(I515&gt;0,MIN(I515,'Assumptions - Passenger'!I48),0)," ")</f>
        <v>5</v>
      </c>
      <c r="J516" s="29">
        <f>IF(J$17=1,IF(J515&gt;0,MIN(J515,'Assumptions - Passenger'!J48),0)," ")</f>
        <v>5</v>
      </c>
      <c r="K516" s="29">
        <f>IF(K$17=1,IF(K515&gt;0,MIN(K515,'Assumptions - Passenger'!K48),0)," ")</f>
        <v>5</v>
      </c>
      <c r="L516" s="29">
        <f>IF(L$17=1,IF(L515&gt;0,MIN(L515,'Assumptions - Passenger'!L48),0)," ")</f>
        <v>5</v>
      </c>
      <c r="M516" s="29">
        <f>IF(M$17=1,IF(M515&gt;0,MIN(M515,'Assumptions - Passenger'!M48),0)," ")</f>
        <v>5</v>
      </c>
      <c r="N516" s="29">
        <f>IF(N$17=1,IF(N515&gt;0,MIN(N515,'Assumptions - Passenger'!N48),0)," ")</f>
        <v>5</v>
      </c>
      <c r="O516" s="29">
        <f>IF(O$17=1,IF(O515&gt;0,MIN(O515,'Assumptions - Passenger'!O48),0)," ")</f>
        <v>5</v>
      </c>
      <c r="P516" s="29">
        <f>IF(P$17=1,IF(P515&gt;0,MIN(P515,'Assumptions - Passenger'!P48),0)," ")</f>
        <v>5</v>
      </c>
      <c r="Q516" s="29">
        <f>IF(Q$17=1,IF(Q515&gt;0,MIN(Q515,'Assumptions - Passenger'!Q48),0)," ")</f>
        <v>5</v>
      </c>
      <c r="R516" s="29">
        <f>IF(R$17=1,IF(R515&gt;0,MIN(R515,'Assumptions - Passenger'!R48),0)," ")</f>
        <v>5</v>
      </c>
      <c r="S516" s="29">
        <f>IF(S$17=1,IF(S515&gt;0,MIN(S515,'Assumptions - Passenger'!S48),0)," ")</f>
        <v>5</v>
      </c>
      <c r="T516" s="29">
        <f>IF(T$17=1,IF(T515&gt;0,MIN(T515,'Assumptions - Passenger'!T48),0)," ")</f>
        <v>5</v>
      </c>
      <c r="U516" s="29">
        <f>IF(U$17=1,IF(U515&gt;0,MIN(U515,'Assumptions - Passenger'!U48),0)," ")</f>
        <v>5</v>
      </c>
      <c r="V516" s="29">
        <f>IF(V$17=1,IF(V515&gt;0,MIN(V515,'Assumptions - Passenger'!V48),0)," ")</f>
        <v>5</v>
      </c>
      <c r="W516" s="29">
        <f>IF(W$17=1,IF(W515&gt;0,MIN(W515,'Assumptions - Passenger'!W48),0)," ")</f>
        <v>5</v>
      </c>
      <c r="X516" s="29">
        <f>IF(X$17=1,IF(X515&gt;0,MIN(X515,'Assumptions - Passenger'!X48),0)," ")</f>
        <v>5</v>
      </c>
      <c r="Y516" s="29">
        <f>IF(Y$17=1,IF(Y515&gt;0,MIN(Y515,'Assumptions - Passenger'!Y48),0)," ")</f>
        <v>5</v>
      </c>
      <c r="Z516" s="29">
        <f>IF(Z$17=1,IF(Z515&gt;0,MIN(Z515,'Assumptions - Passenger'!Z48),0)," ")</f>
        <v>0</v>
      </c>
      <c r="AA516" s="29">
        <f>IF(AA$17=1,IF(AA515&gt;0,MIN(AA515,'Assumptions - Passenger'!AA48),0)," ")</f>
        <v>0</v>
      </c>
      <c r="AB516" s="29">
        <f>IF(AB$17=1,IF(AB515&gt;0,MIN(AB515,'Assumptions - Passenger'!AB48),0)," ")</f>
        <v>0</v>
      </c>
      <c r="AC516" s="29">
        <f>IF(AC$17=1,IF(AC515&gt;0,MIN(AC515,'Assumptions - Passenger'!AC48),0)," ")</f>
        <v>0</v>
      </c>
      <c r="AD516" s="29">
        <f>IF(AD$17=1,IF(AD515&gt;0,MIN(AD515,'Assumptions - Passenger'!AD48),0)," ")</f>
        <v>0</v>
      </c>
      <c r="AE516" s="29">
        <f>IF(AE$17=1,IF(AE515&gt;0,MIN(AE515,'Assumptions - Passenger'!AE48),0)," ")</f>
        <v>0</v>
      </c>
      <c r="AF516" s="29">
        <f>IF(AF$17=1,IF(AF515&gt;0,MIN(AF515,'Assumptions - Passenger'!AF48),0)," ")</f>
        <v>0</v>
      </c>
      <c r="AG516" s="29">
        <f>IF(AG$17=1,IF(AG515&gt;0,MIN(AG515,'Assumptions - Passenger'!AG48),0)," ")</f>
        <v>0</v>
      </c>
      <c r="AH516" s="29">
        <f>IF(AH$17=1,IF(AH515&gt;0,MIN(AH515,'Assumptions - Passenger'!AH48),0)," ")</f>
        <v>0</v>
      </c>
    </row>
    <row r="517" spans="1:34" s="20" customFormat="1" ht="14" x14ac:dyDescent="0.2">
      <c r="A517" s="87"/>
      <c r="B517" s="30" t="str">
        <f>IF(A514=1,"Less depreciation of existing assets","Less depreciation of assets")</f>
        <v>Less depreciation of existing assets</v>
      </c>
      <c r="C517" s="8"/>
      <c r="D517" s="8" t="str">
        <f>'Assumptions - General'!$E$27 &amp;" millions"</f>
        <v>R$ millions</v>
      </c>
      <c r="E517" s="29"/>
      <c r="F517" s="229">
        <f>IF(F$17=1,IF(F515-F516&gt;0,(MIN((F515-F516),'Assumptions - Passenger'!F59)),0)," ")</f>
        <v>0</v>
      </c>
      <c r="G517" s="229">
        <f>IF(G$17=1,IF(G515-G516&gt;0,(MIN((G515-G516),'Assumptions - Passenger'!G59)),0)," ")</f>
        <v>0</v>
      </c>
      <c r="H517" s="229">
        <f>IF(H$17=1,IF(H515-H516&gt;0,(MIN((H515-H516),'Assumptions - Passenger'!H59)),0)," ")</f>
        <v>0</v>
      </c>
      <c r="I517" s="229">
        <f>IF(I$17=1,IF(I515-I516&gt;0,(MIN((I515-I516),'Assumptions - Passenger'!I59)),0)," ")</f>
        <v>0</v>
      </c>
      <c r="J517" s="229">
        <f>IF(J$17=1,IF(J515-J516&gt;0,(MIN((J515-J516),'Assumptions - Passenger'!J59)),0)," ")</f>
        <v>0</v>
      </c>
      <c r="K517" s="229">
        <f>IF(K$17=1,IF(K515-K516&gt;0,(MIN((K515-K516),'Assumptions - Passenger'!K59)),0)," ")</f>
        <v>0</v>
      </c>
      <c r="L517" s="229">
        <f>IF(L$17=1,IF(L515-L516&gt;0,(MIN((L515-L516),'Assumptions - Passenger'!L59)),0)," ")</f>
        <v>0</v>
      </c>
      <c r="M517" s="229">
        <f>IF(M$17=1,IF(M515-M516&gt;0,(MIN((M515-M516),'Assumptions - Passenger'!M59)),0)," ")</f>
        <v>0</v>
      </c>
      <c r="N517" s="229">
        <f>IF(N$17=1,IF(N515-N516&gt;0,(MIN((N515-N516),'Assumptions - Passenger'!N59)),0)," ")</f>
        <v>0</v>
      </c>
      <c r="O517" s="229">
        <f>IF(O$17=1,IF(O515-O516&gt;0,(MIN((O515-O516),'Assumptions - Passenger'!O59)),0)," ")</f>
        <v>0</v>
      </c>
      <c r="P517" s="229">
        <f>IF(P$17=1,IF(P515-P516&gt;0,(MIN((P515-P516),'Assumptions - Passenger'!P59)),0)," ")</f>
        <v>0</v>
      </c>
      <c r="Q517" s="229">
        <f>IF(Q$17=1,IF(Q515-Q516&gt;0,(MIN((Q515-Q516),'Assumptions - Passenger'!Q59)),0)," ")</f>
        <v>0</v>
      </c>
      <c r="R517" s="229">
        <f>IF(R$17=1,IF(R515-R516&gt;0,(MIN((R515-R516),'Assumptions - Passenger'!R59)),0)," ")</f>
        <v>0</v>
      </c>
      <c r="S517" s="229">
        <f>IF(S$17=1,IF(S515-S516&gt;0,(MIN((S515-S516),'Assumptions - Passenger'!S59)),0)," ")</f>
        <v>0</v>
      </c>
      <c r="T517" s="229">
        <f>IF(T$17=1,IF(T515-T516&gt;0,(MIN((T515-T516),'Assumptions - Passenger'!T59)),0)," ")</f>
        <v>0</v>
      </c>
      <c r="U517" s="229">
        <f>IF(U$17=1,IF(U515-U516&gt;0,(MIN((U515-U516),'Assumptions - Passenger'!U59)),0)," ")</f>
        <v>0</v>
      </c>
      <c r="V517" s="229">
        <f>IF(V$17=1,IF(V515-V516&gt;0,(MIN((V515-V516),'Assumptions - Passenger'!V59)),0)," ")</f>
        <v>0</v>
      </c>
      <c r="W517" s="229">
        <f>IF(W$17=1,IF(W515-W516&gt;0,(MIN((W515-W516),'Assumptions - Passenger'!W59)),0)," ")</f>
        <v>0</v>
      </c>
      <c r="X517" s="229">
        <f>IF(X$17=1,IF(X515-X516&gt;0,(MIN((X515-X516),'Assumptions - Passenger'!X59)),0)," ")</f>
        <v>0</v>
      </c>
      <c r="Y517" s="229">
        <f>IF(Y$17=1,IF(Y515-Y516&gt;0,(MIN((Y515-Y516),'Assumptions - Passenger'!Y59)),0)," ")</f>
        <v>0</v>
      </c>
      <c r="Z517" s="229">
        <f>IF(Z$17=1,IF(Z515-Z516&gt;0,(MIN((Z515-Z516),'Assumptions - Passenger'!Z59)),0)," ")</f>
        <v>0</v>
      </c>
      <c r="AA517" s="229">
        <f>IF(AA$17=1,IF(AA515-AA516&gt;0,(MIN((AA515-AA516),'Assumptions - Passenger'!AA59)),0)," ")</f>
        <v>0</v>
      </c>
      <c r="AB517" s="229">
        <f>IF(AB$17=1,IF(AB515-AB516&gt;0,(MIN((AB515-AB516),'Assumptions - Passenger'!AB59)),0)," ")</f>
        <v>0</v>
      </c>
      <c r="AC517" s="229">
        <f>IF(AC$17=1,IF(AC515-AC516&gt;0,(MIN((AC515-AC516),'Assumptions - Passenger'!AC59)),0)," ")</f>
        <v>0</v>
      </c>
      <c r="AD517" s="229">
        <f>IF(AD$17=1,IF(AD515-AD516&gt;0,(MIN((AD515-AD516),'Assumptions - Passenger'!AD59)),0)," ")</f>
        <v>0</v>
      </c>
      <c r="AE517" s="229">
        <f>IF(AE$17=1,IF(AE515-AE516&gt;0,(MIN((AE515-AE516),'Assumptions - Passenger'!AE59)),0)," ")</f>
        <v>0</v>
      </c>
      <c r="AF517" s="229">
        <f>IF(AF$17=1,IF(AF515-AF516&gt;0,(MIN((AF515-AF516),'Assumptions - Passenger'!AF59)),0)," ")</f>
        <v>0</v>
      </c>
      <c r="AG517" s="229">
        <f>IF(AG$17=1,IF(AG515-AG516&gt;0,(MIN((AG515-AG516),'Assumptions - Passenger'!AG59)),0)," ")</f>
        <v>0</v>
      </c>
      <c r="AH517" s="229">
        <f>IF(AH$17=1,IF(AH515-AH516&gt;0,(MIN((AH515-AH516),'Assumptions - Passenger'!AH59)),0)," ")</f>
        <v>0</v>
      </c>
    </row>
    <row r="518" spans="1:34" s="20" customFormat="1" ht="14" x14ac:dyDescent="0.2">
      <c r="A518" s="87"/>
      <c r="B518" s="30" t="str">
        <f>IF(A514=1,"Accumulated depreciation of existing assets","Accumulated depreciation of assets")</f>
        <v>Accumulated depreciation of existing assets</v>
      </c>
      <c r="C518" s="8"/>
      <c r="D518" s="8" t="str">
        <f>'Assumptions - General'!$E$27 &amp;" millions"</f>
        <v>R$ millions</v>
      </c>
      <c r="E518" s="29"/>
      <c r="F518" s="29">
        <f>IF(F$17=1,SUM($E517:F517)," ")</f>
        <v>0</v>
      </c>
      <c r="G518" s="29">
        <f>IF(G$17=1,SUM($E517:G517)," ")</f>
        <v>0</v>
      </c>
      <c r="H518" s="29">
        <f>IF(H$17=1,SUM($E517:H517)," ")</f>
        <v>0</v>
      </c>
      <c r="I518" s="29">
        <f>IF(I$17=1,SUM($E517:I517)," ")</f>
        <v>0</v>
      </c>
      <c r="J518" s="29">
        <f>IF(J$17=1,SUM($E517:J517)," ")</f>
        <v>0</v>
      </c>
      <c r="K518" s="29">
        <f>IF(K$17=1,SUM($E517:K517)," ")</f>
        <v>0</v>
      </c>
      <c r="L518" s="29">
        <f>IF(L$17=1,SUM($E517:L517)," ")</f>
        <v>0</v>
      </c>
      <c r="M518" s="29">
        <f>IF(M$17=1,SUM($E517:M517)," ")</f>
        <v>0</v>
      </c>
      <c r="N518" s="29">
        <f>IF(N$17=1,SUM($E517:N517)," ")</f>
        <v>0</v>
      </c>
      <c r="O518" s="29">
        <f>IF(O$17=1,SUM($E517:O517)," ")</f>
        <v>0</v>
      </c>
      <c r="P518" s="29">
        <f>IF(P$17=1,SUM($E517:P517)," ")</f>
        <v>0</v>
      </c>
      <c r="Q518" s="29">
        <f>IF(Q$17=1,SUM($E517:Q517)," ")</f>
        <v>0</v>
      </c>
      <c r="R518" s="29">
        <f>IF(R$17=1,SUM($E517:R517)," ")</f>
        <v>0</v>
      </c>
      <c r="S518" s="29">
        <f>IF(S$17=1,SUM($E517:S517)," ")</f>
        <v>0</v>
      </c>
      <c r="T518" s="29">
        <f>IF(T$17=1,SUM($E517:T517)," ")</f>
        <v>0</v>
      </c>
      <c r="U518" s="29">
        <f>IF(U$17=1,SUM($E517:U517)," ")</f>
        <v>0</v>
      </c>
      <c r="V518" s="29">
        <f>IF(V$17=1,SUM($E517:V517)," ")</f>
        <v>0</v>
      </c>
      <c r="W518" s="29">
        <f>IF(W$17=1,SUM($E517:W517)," ")</f>
        <v>0</v>
      </c>
      <c r="X518" s="29">
        <f>IF(X$17=1,SUM($E517:X517)," ")</f>
        <v>0</v>
      </c>
      <c r="Y518" s="29">
        <f>IF(Y$17=1,SUM($E517:Y517)," ")</f>
        <v>0</v>
      </c>
      <c r="Z518" s="29">
        <f>IF(Z$17=1,SUM($E517:Z517)," ")</f>
        <v>0</v>
      </c>
      <c r="AA518" s="29">
        <f>IF(AA$17=1,SUM($E517:AA517)," ")</f>
        <v>0</v>
      </c>
      <c r="AB518" s="29">
        <f>IF(AB$17=1,SUM($E517:AB517)," ")</f>
        <v>0</v>
      </c>
      <c r="AC518" s="29">
        <f>IF(AC$17=1,SUM($E517:AC517)," ")</f>
        <v>0</v>
      </c>
      <c r="AD518" s="29">
        <f>IF(AD$17=1,SUM($E517:AD517)," ")</f>
        <v>0</v>
      </c>
      <c r="AE518" s="29">
        <f>IF(AE$17=1,SUM($E517:AE517)," ")</f>
        <v>0</v>
      </c>
      <c r="AF518" s="29">
        <f>IF(AF$17=1,SUM($E517:AF517)," ")</f>
        <v>0</v>
      </c>
      <c r="AG518" s="29">
        <f>IF(AG$17=1,SUM($E517:AG517)," ")</f>
        <v>0</v>
      </c>
      <c r="AH518" s="29">
        <f>IF(AH$17=1,SUM($E517:AH517)," ")</f>
        <v>0</v>
      </c>
    </row>
    <row r="519" spans="1:34" s="20" customFormat="1" ht="14" x14ac:dyDescent="0.2">
      <c r="A519" s="87"/>
      <c r="B519" s="14" t="str">
        <f>"Ending value "</f>
        <v xml:space="preserve">Ending value </v>
      </c>
      <c r="C519" s="8"/>
      <c r="D519" s="8" t="str">
        <f>'Assumptions - General'!$E$27 &amp;" millions"</f>
        <v>R$ millions</v>
      </c>
      <c r="E519" s="463">
        <f>IF(E$17=1,'Assumptions - Passenger'!E33," ")</f>
        <v>100</v>
      </c>
      <c r="F519" s="29">
        <f>IF(F$17=1,F515-F516-F517," ")</f>
        <v>95</v>
      </c>
      <c r="G519" s="29">
        <f t="shared" ref="G519:AH519" si="225">IF(G$17=1,G515-G516-G517," ")</f>
        <v>90</v>
      </c>
      <c r="H519" s="29">
        <f t="shared" si="225"/>
        <v>85</v>
      </c>
      <c r="I519" s="29">
        <f t="shared" si="225"/>
        <v>80</v>
      </c>
      <c r="J519" s="29">
        <f t="shared" si="225"/>
        <v>75</v>
      </c>
      <c r="K519" s="29">
        <f t="shared" si="225"/>
        <v>70</v>
      </c>
      <c r="L519" s="29">
        <f t="shared" si="225"/>
        <v>65</v>
      </c>
      <c r="M519" s="29">
        <f t="shared" si="225"/>
        <v>60</v>
      </c>
      <c r="N519" s="29">
        <f t="shared" si="225"/>
        <v>55</v>
      </c>
      <c r="O519" s="29">
        <f t="shared" si="225"/>
        <v>50</v>
      </c>
      <c r="P519" s="29">
        <f t="shared" si="225"/>
        <v>45</v>
      </c>
      <c r="Q519" s="29">
        <f t="shared" si="225"/>
        <v>40</v>
      </c>
      <c r="R519" s="29">
        <f t="shared" si="225"/>
        <v>35</v>
      </c>
      <c r="S519" s="29">
        <f t="shared" si="225"/>
        <v>30</v>
      </c>
      <c r="T519" s="29">
        <f t="shared" si="225"/>
        <v>25</v>
      </c>
      <c r="U519" s="29">
        <f t="shared" si="225"/>
        <v>20</v>
      </c>
      <c r="V519" s="29">
        <f t="shared" si="225"/>
        <v>15</v>
      </c>
      <c r="W519" s="29">
        <f t="shared" si="225"/>
        <v>10</v>
      </c>
      <c r="X519" s="29">
        <f t="shared" si="225"/>
        <v>5</v>
      </c>
      <c r="Y519" s="29">
        <f t="shared" si="225"/>
        <v>0</v>
      </c>
      <c r="Z519" s="29">
        <f t="shared" si="225"/>
        <v>0</v>
      </c>
      <c r="AA519" s="29">
        <f t="shared" si="225"/>
        <v>0</v>
      </c>
      <c r="AB519" s="29">
        <f t="shared" si="225"/>
        <v>0</v>
      </c>
      <c r="AC519" s="29">
        <f t="shared" si="225"/>
        <v>0</v>
      </c>
      <c r="AD519" s="29">
        <f t="shared" si="225"/>
        <v>0</v>
      </c>
      <c r="AE519" s="29">
        <f t="shared" si="225"/>
        <v>0</v>
      </c>
      <c r="AF519" s="29">
        <f t="shared" si="225"/>
        <v>0</v>
      </c>
      <c r="AG519" s="29">
        <f t="shared" si="225"/>
        <v>0</v>
      </c>
      <c r="AH519" s="29">
        <f t="shared" si="225"/>
        <v>0</v>
      </c>
    </row>
    <row r="520" spans="1:34" s="20" customFormat="1" ht="14" x14ac:dyDescent="0.2">
      <c r="A520" s="87"/>
      <c r="B520" s="14"/>
      <c r="C520" s="8"/>
      <c r="D520" s="8"/>
      <c r="E520" s="29"/>
      <c r="F520" s="29"/>
      <c r="G520" s="29"/>
      <c r="H520" s="29"/>
      <c r="I520" s="29"/>
      <c r="J520" s="29"/>
      <c r="K520" s="29"/>
      <c r="L520" s="29"/>
      <c r="M520" s="29"/>
      <c r="N520" s="29"/>
      <c r="O520" s="29"/>
      <c r="P520" s="29"/>
      <c r="Q520" s="29"/>
      <c r="R520" s="29"/>
      <c r="S520" s="29"/>
      <c r="T520" s="29"/>
      <c r="U520" s="29"/>
      <c r="V520" s="29"/>
      <c r="W520" s="29"/>
      <c r="X520" s="29"/>
      <c r="Y520" s="29"/>
      <c r="Z520" s="29"/>
      <c r="AA520" s="29"/>
      <c r="AB520" s="29"/>
      <c r="AC520" s="29"/>
      <c r="AD520" s="29"/>
      <c r="AE520" s="29"/>
      <c r="AF520" s="29"/>
      <c r="AG520" s="29"/>
      <c r="AH520" s="29"/>
    </row>
    <row r="521" spans="1:34" s="20" customFormat="1" ht="14" x14ac:dyDescent="0.2">
      <c r="A521" s="87"/>
      <c r="B521" s="14" t="s">
        <v>634</v>
      </c>
      <c r="C521" s="8"/>
      <c r="D521" s="8" t="str">
        <f>'Assumptions - General'!$E$27 &amp;" millions"</f>
        <v>R$ millions</v>
      </c>
      <c r="E521" s="29"/>
      <c r="F521" s="29">
        <f t="shared" ref="F521:AH521" si="226">IF(F17=1,E526," ")</f>
        <v>0</v>
      </c>
      <c r="G521" s="29">
        <f t="shared" si="226"/>
        <v>10</v>
      </c>
      <c r="H521" s="29">
        <f t="shared" si="226"/>
        <v>19.8</v>
      </c>
      <c r="I521" s="29">
        <f t="shared" si="226"/>
        <v>29.5</v>
      </c>
      <c r="J521" s="29">
        <f t="shared" si="226"/>
        <v>39.1</v>
      </c>
      <c r="K521" s="29">
        <f t="shared" si="226"/>
        <v>48.6</v>
      </c>
      <c r="L521" s="29">
        <f t="shared" si="226"/>
        <v>58</v>
      </c>
      <c r="M521" s="29">
        <f t="shared" si="226"/>
        <v>67.3</v>
      </c>
      <c r="N521" s="29">
        <f t="shared" si="226"/>
        <v>76.5</v>
      </c>
      <c r="O521" s="29">
        <f t="shared" si="226"/>
        <v>85.6</v>
      </c>
      <c r="P521" s="29">
        <f t="shared" si="226"/>
        <v>94.6</v>
      </c>
      <c r="Q521" s="29">
        <f t="shared" si="226"/>
        <v>103.5</v>
      </c>
      <c r="R521" s="29">
        <f t="shared" si="226"/>
        <v>112.3</v>
      </c>
      <c r="S521" s="29">
        <f t="shared" si="226"/>
        <v>121</v>
      </c>
      <c r="T521" s="29">
        <f t="shared" si="226"/>
        <v>129.6</v>
      </c>
      <c r="U521" s="29">
        <f t="shared" si="226"/>
        <v>138.1</v>
      </c>
      <c r="V521" s="29">
        <f t="shared" si="226"/>
        <v>146.5</v>
      </c>
      <c r="W521" s="29">
        <f t="shared" si="226"/>
        <v>154.80000000000001</v>
      </c>
      <c r="X521" s="29">
        <f t="shared" si="226"/>
        <v>163</v>
      </c>
      <c r="Y521" s="29">
        <f t="shared" si="226"/>
        <v>171.1</v>
      </c>
      <c r="Z521" s="29">
        <f t="shared" si="226"/>
        <v>179.1</v>
      </c>
      <c r="AA521" s="29">
        <f t="shared" si="226"/>
        <v>187</v>
      </c>
      <c r="AB521" s="29">
        <f t="shared" si="226"/>
        <v>194.8</v>
      </c>
      <c r="AC521" s="29">
        <f t="shared" si="226"/>
        <v>202.5</v>
      </c>
      <c r="AD521" s="29">
        <f t="shared" si="226"/>
        <v>210.1</v>
      </c>
      <c r="AE521" s="29">
        <f t="shared" si="226"/>
        <v>217.6</v>
      </c>
      <c r="AF521" s="29">
        <f t="shared" si="226"/>
        <v>225</v>
      </c>
      <c r="AG521" s="29">
        <f t="shared" si="226"/>
        <v>232.3</v>
      </c>
      <c r="AH521" s="29">
        <f t="shared" si="226"/>
        <v>239.5</v>
      </c>
    </row>
    <row r="522" spans="1:34" s="20" customFormat="1" ht="14" x14ac:dyDescent="0.2">
      <c r="A522" s="87" t="s">
        <v>641</v>
      </c>
      <c r="B522" s="30" t="s">
        <v>130</v>
      </c>
      <c r="C522" s="8"/>
      <c r="D522" s="8" t="str">
        <f>'Assumptions - General'!$E$27 &amp;" millions"</f>
        <v>R$ millions</v>
      </c>
      <c r="E522" s="29"/>
      <c r="F522" s="29">
        <f>IF(F$17=1,IF($D$510=1,$D$511*'Assumptions - Passenger'!F40,'Assumptions - Passenger'!F40)," ")</f>
        <v>10</v>
      </c>
      <c r="G522" s="29">
        <f>IF(G$17=1,IF($D$510=1,$D$511*'Assumptions - Passenger'!G40,'Assumptions - Passenger'!G40)," ")</f>
        <v>10</v>
      </c>
      <c r="H522" s="29">
        <f>IF(H$17=1,IF($D$510=1,$D$511*'Assumptions - Passenger'!H40,'Assumptions - Passenger'!H40)," ")</f>
        <v>10</v>
      </c>
      <c r="I522" s="29">
        <f>IF(I$17=1,IF($D$510=1,$D$511*'Assumptions - Passenger'!I40,'Assumptions - Passenger'!I40)," ")</f>
        <v>10</v>
      </c>
      <c r="J522" s="29">
        <f>IF(J$17=1,IF($D$510=1,$D$511*'Assumptions - Passenger'!J40,'Assumptions - Passenger'!J40)," ")</f>
        <v>10</v>
      </c>
      <c r="K522" s="29">
        <f>IF(K$17=1,IF($D$510=1,$D$511*'Assumptions - Passenger'!K40,'Assumptions - Passenger'!K40)," ")</f>
        <v>10</v>
      </c>
      <c r="L522" s="29">
        <f>IF(L$17=1,IF($D$510=1,$D$511*'Assumptions - Passenger'!L40,'Assumptions - Passenger'!L40)," ")</f>
        <v>10</v>
      </c>
      <c r="M522" s="29">
        <f>IF(M$17=1,IF($D$510=1,$D$511*'Assumptions - Passenger'!M40,'Assumptions - Passenger'!M40)," ")</f>
        <v>10</v>
      </c>
      <c r="N522" s="29">
        <f>IF(N$17=1,IF($D$510=1,$D$511*'Assumptions - Passenger'!N40,'Assumptions - Passenger'!N40)," ")</f>
        <v>10</v>
      </c>
      <c r="O522" s="29">
        <f>IF(O$17=1,IF($D$510=1,$D$511*'Assumptions - Passenger'!O40,'Assumptions - Passenger'!O40)," ")</f>
        <v>10</v>
      </c>
      <c r="P522" s="29">
        <f>IF(P$17=1,IF($D$510=1,$D$511*'Assumptions - Passenger'!P40,'Assumptions - Passenger'!P40)," ")</f>
        <v>10</v>
      </c>
      <c r="Q522" s="29">
        <f>IF(Q$17=1,IF($D$510=1,$D$511*'Assumptions - Passenger'!Q40,'Assumptions - Passenger'!Q40)," ")</f>
        <v>10</v>
      </c>
      <c r="R522" s="29">
        <f>IF(R$17=1,IF($D$510=1,$D$511*'Assumptions - Passenger'!R40,'Assumptions - Passenger'!R40)," ")</f>
        <v>10</v>
      </c>
      <c r="S522" s="29">
        <f>IF(S$17=1,IF($D$510=1,$D$511*'Assumptions - Passenger'!S40,'Assumptions - Passenger'!S40)," ")</f>
        <v>10</v>
      </c>
      <c r="T522" s="29">
        <f>IF(T$17=1,IF($D$510=1,$D$511*'Assumptions - Passenger'!T40,'Assumptions - Passenger'!T40)," ")</f>
        <v>10</v>
      </c>
      <c r="U522" s="29">
        <f>IF(U$17=1,IF($D$510=1,$D$511*'Assumptions - Passenger'!U40,'Assumptions - Passenger'!U40)," ")</f>
        <v>10</v>
      </c>
      <c r="V522" s="29">
        <f>IF(V$17=1,IF($D$510=1,$D$511*'Assumptions - Passenger'!V40,'Assumptions - Passenger'!V40)," ")</f>
        <v>10</v>
      </c>
      <c r="W522" s="29">
        <f>IF(W$17=1,IF($D$510=1,$D$511*'Assumptions - Passenger'!W40,'Assumptions - Passenger'!W40)," ")</f>
        <v>10</v>
      </c>
      <c r="X522" s="29">
        <f>IF(X$17=1,IF($D$510=1,$D$511*'Assumptions - Passenger'!X40,'Assumptions - Passenger'!X40)," ")</f>
        <v>10</v>
      </c>
      <c r="Y522" s="29">
        <f>IF(Y$17=1,IF($D$510=1,$D$511*'Assumptions - Passenger'!Y40,'Assumptions - Passenger'!Y40)," ")</f>
        <v>10</v>
      </c>
      <c r="Z522" s="29">
        <f>IF(Z$17=1,IF($D$510=1,$D$511*'Assumptions - Passenger'!Z40,'Assumptions - Passenger'!Z40)," ")</f>
        <v>10</v>
      </c>
      <c r="AA522" s="29">
        <f>IF(AA$17=1,IF($D$510=1,$D$511*'Assumptions - Passenger'!AA40,'Assumptions - Passenger'!AA40)," ")</f>
        <v>10</v>
      </c>
      <c r="AB522" s="29">
        <f>IF(AB$17=1,IF($D$510=1,$D$511*'Assumptions - Passenger'!AB40,'Assumptions - Passenger'!AB40)," ")</f>
        <v>10</v>
      </c>
      <c r="AC522" s="29">
        <f>IF(AC$17=1,IF($D$510=1,$D$511*'Assumptions - Passenger'!AC40,'Assumptions - Passenger'!AC40)," ")</f>
        <v>10</v>
      </c>
      <c r="AD522" s="29">
        <f>IF(AD$17=1,IF($D$510=1,$D$511*'Assumptions - Passenger'!AD40,'Assumptions - Passenger'!AD40)," ")</f>
        <v>10</v>
      </c>
      <c r="AE522" s="29">
        <f>IF(AE$17=1,IF($D$510=1,$D$511*'Assumptions - Passenger'!AE40,'Assumptions - Passenger'!AE40)," ")</f>
        <v>10</v>
      </c>
      <c r="AF522" s="29">
        <f>IF(AF$17=1,IF($D$510=1,$D$511*'Assumptions - Passenger'!AF40,'Assumptions - Passenger'!AF40)," ")</f>
        <v>10</v>
      </c>
      <c r="AG522" s="29">
        <f>IF(AG$17=1,IF($D$510=1,$D$511*'Assumptions - Passenger'!AG40,'Assumptions - Passenger'!AG40)," ")</f>
        <v>10</v>
      </c>
      <c r="AH522" s="29">
        <f>IF(AH$17=1,IF($D$510=1,$D$511*'Assumptions - Passenger'!AH40,'Assumptions - Passenger'!AH40)," ")</f>
        <v>10</v>
      </c>
    </row>
    <row r="523" spans="1:34" s="20" customFormat="1" ht="14" x14ac:dyDescent="0.2">
      <c r="A523" s="87"/>
      <c r="B523" s="30" t="s">
        <v>608</v>
      </c>
      <c r="C523" s="8"/>
      <c r="D523" s="8" t="str">
        <f>'Assumptions - General'!$E$27 &amp;" millions"</f>
        <v>R$ millions</v>
      </c>
      <c r="E523" s="29"/>
      <c r="F523" s="29">
        <f>IF(F$17=1,'Assumptions - Passenger'!F48-Calculations!F516," ")</f>
        <v>0</v>
      </c>
      <c r="G523" s="29">
        <f>IF(G$17=1,'Assumptions - Passenger'!G48-Calculations!G516," ")</f>
        <v>0</v>
      </c>
      <c r="H523" s="29">
        <f>IF(H$17=1,'Assumptions - Passenger'!H48-Calculations!H516," ")</f>
        <v>0</v>
      </c>
      <c r="I523" s="29">
        <f>IF(I$17=1,'Assumptions - Passenger'!I48-Calculations!I516," ")</f>
        <v>0</v>
      </c>
      <c r="J523" s="29">
        <f>IF(J$17=1,'Assumptions - Passenger'!J48-Calculations!J516," ")</f>
        <v>0</v>
      </c>
      <c r="K523" s="29">
        <f>IF(K$17=1,'Assumptions - Passenger'!K48-Calculations!K516," ")</f>
        <v>0</v>
      </c>
      <c r="L523" s="29">
        <f>IF(L$17=1,'Assumptions - Passenger'!L48-Calculations!L516," ")</f>
        <v>0</v>
      </c>
      <c r="M523" s="29">
        <f>IF(M$17=1,'Assumptions - Passenger'!M48-Calculations!M516," ")</f>
        <v>0</v>
      </c>
      <c r="N523" s="29">
        <f>IF(N$17=1,'Assumptions - Passenger'!N48-Calculations!N516," ")</f>
        <v>0</v>
      </c>
      <c r="O523" s="29">
        <f>IF(O$17=1,'Assumptions - Passenger'!O48-Calculations!O516," ")</f>
        <v>0</v>
      </c>
      <c r="P523" s="29">
        <f>IF(P$17=1,'Assumptions - Passenger'!P48-Calculations!P516," ")</f>
        <v>0</v>
      </c>
      <c r="Q523" s="29">
        <f>IF(Q$17=1,'Assumptions - Passenger'!Q48-Calculations!Q516," ")</f>
        <v>0</v>
      </c>
      <c r="R523" s="29">
        <f>IF(R$17=1,'Assumptions - Passenger'!R48-Calculations!R516," ")</f>
        <v>0</v>
      </c>
      <c r="S523" s="29">
        <f>IF(S$17=1,'Assumptions - Passenger'!S48-Calculations!S516," ")</f>
        <v>0</v>
      </c>
      <c r="T523" s="29">
        <f>IF(T$17=1,'Assumptions - Passenger'!T48-Calculations!T516," ")</f>
        <v>0</v>
      </c>
      <c r="U523" s="29">
        <f>IF(U$17=1,'Assumptions - Passenger'!U48-Calculations!U516," ")</f>
        <v>0</v>
      </c>
      <c r="V523" s="29">
        <f>IF(V$17=1,'Assumptions - Passenger'!V48-Calculations!V516," ")</f>
        <v>0</v>
      </c>
      <c r="W523" s="29">
        <f>IF(W$17=1,'Assumptions - Passenger'!W48-Calculations!W516," ")</f>
        <v>0</v>
      </c>
      <c r="X523" s="29">
        <f>IF(X$17=1,'Assumptions - Passenger'!X48-Calculations!X516," ")</f>
        <v>0</v>
      </c>
      <c r="Y523" s="29">
        <f>IF(Y$17=1,'Assumptions - Passenger'!Y48-Calculations!Y516," ")</f>
        <v>0</v>
      </c>
      <c r="Z523" s="29">
        <f>IF(Z$17=1,'Assumptions - Passenger'!Z48-Calculations!Z516," ")</f>
        <v>0</v>
      </c>
      <c r="AA523" s="29">
        <f>IF(AA$17=1,'Assumptions - Passenger'!AA48-Calculations!AA516," ")</f>
        <v>0</v>
      </c>
      <c r="AB523" s="29">
        <f>IF(AB$17=1,'Assumptions - Passenger'!AB48-Calculations!AB516," ")</f>
        <v>0</v>
      </c>
      <c r="AC523" s="29">
        <f>IF(AC$17=1,'Assumptions - Passenger'!AC48-Calculations!AC516," ")</f>
        <v>0</v>
      </c>
      <c r="AD523" s="29">
        <f>IF(AD$17=1,'Assumptions - Passenger'!AD48-Calculations!AD516," ")</f>
        <v>0</v>
      </c>
      <c r="AE523" s="29">
        <f>IF(AE$17=1,'Assumptions - Passenger'!AE48-Calculations!AE516," ")</f>
        <v>0</v>
      </c>
      <c r="AF523" s="29">
        <f>IF(AF$17=1,'Assumptions - Passenger'!AF48-Calculations!AF516," ")</f>
        <v>0</v>
      </c>
      <c r="AG523" s="29">
        <f>IF(AG$17=1,'Assumptions - Passenger'!AG48-Calculations!AG516," ")</f>
        <v>0</v>
      </c>
      <c r="AH523" s="29">
        <f>IF(AH$17=1,'Assumptions - Passenger'!AH48-Calculations!AH516," ")</f>
        <v>0</v>
      </c>
    </row>
    <row r="524" spans="1:34" s="20" customFormat="1" ht="14" x14ac:dyDescent="0.2">
      <c r="A524" s="87"/>
      <c r="B524" s="30" t="s">
        <v>635</v>
      </c>
      <c r="C524" s="8"/>
      <c r="D524" s="8" t="str">
        <f>'Assumptions - General'!$E$27 &amp;" millions"</f>
        <v>R$ millions</v>
      </c>
      <c r="E524" s="29"/>
      <c r="F524" s="29">
        <f>IF(F$17=1,(IF($A$514=1,IF(F521-F523&gt;0,(MIN((F521-F523),(SUM($E522:F522)-SUM($E523:F523))/'Assumptions - Passenger'!$E$62)),0),'Assumptions - Passenger'!F$63))," ")</f>
        <v>0</v>
      </c>
      <c r="G524" s="29">
        <f>IF(G$17=1,(IF($A$514=1,IF(G521-G523&gt;0,(MIN((G521-G523),(SUM($E522:G522)-SUM($E523:G523))/'Assumptions - Passenger'!$E$62)),0),'Assumptions - Passenger'!G$63))," ")</f>
        <v>0.2</v>
      </c>
      <c r="H524" s="29">
        <f>IF(H$17=1,(IF($A$514=1,IF(H521-H523&gt;0,(MIN((H521-H523),(SUM($E522:H522)-SUM($E523:H523))/'Assumptions - Passenger'!$E$62)),0),'Assumptions - Passenger'!H$63))," ")</f>
        <v>0.3</v>
      </c>
      <c r="I524" s="29">
        <f>IF(I$17=1,(IF($A$514=1,IF(I521-I523&gt;0,(MIN((I521-I523),(SUM($E522:I522)-SUM($E523:I523))/'Assumptions - Passenger'!$E$62)),0),'Assumptions - Passenger'!I$63))," ")</f>
        <v>0.4</v>
      </c>
      <c r="J524" s="29">
        <f>IF(J$17=1,(IF($A$514=1,IF(J521-J523&gt;0,(MIN((J521-J523),(SUM($E522:J522)-SUM($E523:J523))/'Assumptions - Passenger'!$E$62)),0),'Assumptions - Passenger'!J$63))," ")</f>
        <v>0.5</v>
      </c>
      <c r="K524" s="29">
        <f>IF(K$17=1,(IF($A$514=1,IF(K521-K523&gt;0,(MIN((K521-K523),(SUM($E522:K522)-SUM($E523:K523))/'Assumptions - Passenger'!$E$62)),0),'Assumptions - Passenger'!K$63))," ")</f>
        <v>0.6</v>
      </c>
      <c r="L524" s="29">
        <f>IF(L$17=1,(IF($A$514=1,IF(L521-L523&gt;0,(MIN((L521-L523),(SUM($E522:L522)-SUM($E523:L523))/'Assumptions - Passenger'!$E$62)),0),'Assumptions - Passenger'!L$63))," ")</f>
        <v>0.7</v>
      </c>
      <c r="M524" s="29">
        <f>IF(M$17=1,(IF($A$514=1,IF(M521-M523&gt;0,(MIN((M521-M523),(SUM($E522:M522)-SUM($E523:M523))/'Assumptions - Passenger'!$E$62)),0),'Assumptions - Passenger'!M$63))," ")</f>
        <v>0.8</v>
      </c>
      <c r="N524" s="29">
        <f>IF(N$17=1,(IF($A$514=1,IF(N521-N523&gt;0,(MIN((N521-N523),(SUM($E522:N522)-SUM($E523:N523))/'Assumptions - Passenger'!$E$62)),0),'Assumptions - Passenger'!N$63))," ")</f>
        <v>0.9</v>
      </c>
      <c r="O524" s="29">
        <f>IF(O$17=1,(IF($A$514=1,IF(O521-O523&gt;0,(MIN((O521-O523),(SUM($E522:O522)-SUM($E523:O523))/'Assumptions - Passenger'!$E$62)),0),'Assumptions - Passenger'!O$63))," ")</f>
        <v>1</v>
      </c>
      <c r="P524" s="29">
        <f>IF(P$17=1,(IF($A$514=1,IF(P521-P523&gt;0,(MIN((P521-P523),(SUM($E522:P522)-SUM($E523:P523))/'Assumptions - Passenger'!$E$62)),0),'Assumptions - Passenger'!P$63))," ")</f>
        <v>1.1000000000000001</v>
      </c>
      <c r="Q524" s="29">
        <f>IF(Q$17=1,(IF($A$514=1,IF(Q521-Q523&gt;0,(MIN((Q521-Q523),(SUM($E522:Q522)-SUM($E523:Q523))/'Assumptions - Passenger'!$E$62)),0),'Assumptions - Passenger'!Q$63))," ")</f>
        <v>1.2</v>
      </c>
      <c r="R524" s="29">
        <f>IF(R$17=1,(IF($A$514=1,IF(R521-R523&gt;0,(MIN((R521-R523),(SUM($E522:R522)-SUM($E523:R523))/'Assumptions - Passenger'!$E$62)),0),'Assumptions - Passenger'!R$63))," ")</f>
        <v>1.3</v>
      </c>
      <c r="S524" s="29">
        <f>IF(S$17=1,(IF($A$514=1,IF(S521-S523&gt;0,(MIN((S521-S523),(SUM($E522:S522)-SUM($E523:S523))/'Assumptions - Passenger'!$E$62)),0),'Assumptions - Passenger'!S$63))," ")</f>
        <v>1.4</v>
      </c>
      <c r="T524" s="29">
        <f>IF(T$17=1,(IF($A$514=1,IF(T521-T523&gt;0,(MIN((T521-T523),(SUM($E522:T522)-SUM($E523:T523))/'Assumptions - Passenger'!$E$62)),0),'Assumptions - Passenger'!T$63))," ")</f>
        <v>1.5</v>
      </c>
      <c r="U524" s="29">
        <f>IF(U$17=1,(IF($A$514=1,IF(U521-U523&gt;0,(MIN((U521-U523),(SUM($E522:U522)-SUM($E523:U523))/'Assumptions - Passenger'!$E$62)),0),'Assumptions - Passenger'!U$63))," ")</f>
        <v>1.6</v>
      </c>
      <c r="V524" s="29">
        <f>IF(V$17=1,(IF($A$514=1,IF(V521-V523&gt;0,(MIN((V521-V523),(SUM($E522:V522)-SUM($E523:V523))/'Assumptions - Passenger'!$E$62)),0),'Assumptions - Passenger'!V$63))," ")</f>
        <v>1.7</v>
      </c>
      <c r="W524" s="29">
        <f>IF(W$17=1,(IF($A$514=1,IF(W521-W523&gt;0,(MIN((W521-W523),(SUM($E522:W522)-SUM($E523:W523))/'Assumptions - Passenger'!$E$62)),0),'Assumptions - Passenger'!W$63))," ")</f>
        <v>1.8</v>
      </c>
      <c r="X524" s="29">
        <f>IF(X$17=1,(IF($A$514=1,IF(X521-X523&gt;0,(MIN((X521-X523),(SUM($E522:X522)-SUM($E523:X523))/'Assumptions - Passenger'!$E$62)),0),'Assumptions - Passenger'!X$63))," ")</f>
        <v>1.9</v>
      </c>
      <c r="Y524" s="29">
        <f>IF(Y$17=1,(IF($A$514=1,IF(Y521-Y523&gt;0,(MIN((Y521-Y523),(SUM($E522:Y522)-SUM($E523:Y523))/'Assumptions - Passenger'!$E$62)),0),'Assumptions - Passenger'!Y$63))," ")</f>
        <v>2</v>
      </c>
      <c r="Z524" s="29">
        <f>IF(Z$17=1,(IF($A$514=1,IF(Z521-Z523&gt;0,(MIN((Z521-Z523),(SUM($E522:Z522)-SUM($E523:Z523))/'Assumptions - Passenger'!$E$62)),0),'Assumptions - Passenger'!Z$63))," ")</f>
        <v>2.1</v>
      </c>
      <c r="AA524" s="29">
        <f>IF(AA$17=1,(IF($A$514=1,IF(AA521-AA523&gt;0,(MIN((AA521-AA523),(SUM($E522:AA522)-SUM($E523:AA523))/'Assumptions - Passenger'!$E$62)),0),'Assumptions - Passenger'!AA$63))," ")</f>
        <v>2.2000000000000002</v>
      </c>
      <c r="AB524" s="29">
        <f>IF(AB$17=1,(IF($A$514=1,IF(AB521-AB523&gt;0,(MIN((AB521-AB523),(SUM($E522:AB522)-SUM($E523:AB523))/'Assumptions - Passenger'!$E$62)),0),'Assumptions - Passenger'!AB$63))," ")</f>
        <v>2.2999999999999998</v>
      </c>
      <c r="AC524" s="29">
        <f>IF(AC$17=1,(IF($A$514=1,IF(AC521-AC523&gt;0,(MIN((AC521-AC523),(SUM($E522:AC522)-SUM($E523:AC523))/'Assumptions - Passenger'!$E$62)),0),'Assumptions - Passenger'!AC$63))," ")</f>
        <v>2.4</v>
      </c>
      <c r="AD524" s="29">
        <f>IF(AD$17=1,(IF($A$514=1,IF(AD521-AD523&gt;0,(MIN((AD521-AD523),(SUM($E522:AD522)-SUM($E523:AD523))/'Assumptions - Passenger'!$E$62)),0),'Assumptions - Passenger'!AD$63))," ")</f>
        <v>2.5</v>
      </c>
      <c r="AE524" s="29">
        <f>IF(AE$17=1,(IF($A$514=1,IF(AE521-AE523&gt;0,(MIN((AE521-AE523),(SUM($E522:AE522)-SUM($E523:AE523))/'Assumptions - Passenger'!$E$62)),0),'Assumptions - Passenger'!AE$63))," ")</f>
        <v>2.6</v>
      </c>
      <c r="AF524" s="29">
        <f>IF(AF$17=1,(IF($A$514=1,IF(AF521-AF523&gt;0,(MIN((AF521-AF523),(SUM($E522:AF522)-SUM($E523:AF523))/'Assumptions - Passenger'!$E$62)),0),'Assumptions - Passenger'!AF$63))," ")</f>
        <v>2.7</v>
      </c>
      <c r="AG524" s="29">
        <f>IF(AG$17=1,(IF($A$514=1,IF(AG521-AG523&gt;0,(MIN((AG521-AG523),(SUM($E522:AG522)-SUM($E523:AG523))/'Assumptions - Passenger'!$E$62)),0),'Assumptions - Passenger'!AG$63))," ")</f>
        <v>2.8</v>
      </c>
      <c r="AH524" s="29">
        <f>IF(AH$17=1,(IF($A$514=1,IF(AH521-AH523&gt;0,(MIN((AH521-AH523),(SUM($E522:AH522)-SUM($E523:AH523))/'Assumptions - Passenger'!$E$62)),0),'Assumptions - Passenger'!AH$63))," ")</f>
        <v>2.9</v>
      </c>
    </row>
    <row r="525" spans="1:34" s="20" customFormat="1" ht="14" x14ac:dyDescent="0.2">
      <c r="A525" s="87"/>
      <c r="B525" s="30" t="s">
        <v>636</v>
      </c>
      <c r="C525" s="8"/>
      <c r="D525" s="8" t="str">
        <f>'Assumptions - General'!$E$27 &amp;" millions"</f>
        <v>R$ millions</v>
      </c>
      <c r="E525" s="29"/>
      <c r="F525" s="29">
        <f>IF(F$17=1,SUM($E524:F524)," ")</f>
        <v>0</v>
      </c>
      <c r="G525" s="29">
        <f>IF(G$17=1,SUM($E524:G524)," ")</f>
        <v>0.2</v>
      </c>
      <c r="H525" s="29">
        <f>IF(H$17=1,SUM($E524:H524)," ")</f>
        <v>0.5</v>
      </c>
      <c r="I525" s="29">
        <f>IF(I$17=1,SUM($E524:I524)," ")</f>
        <v>0.9</v>
      </c>
      <c r="J525" s="29">
        <f>IF(J$17=1,SUM($E524:J524)," ")</f>
        <v>1.4</v>
      </c>
      <c r="K525" s="29">
        <f>IF(K$17=1,SUM($E524:K524)," ")</f>
        <v>2</v>
      </c>
      <c r="L525" s="29">
        <f>IF(L$17=1,SUM($E524:L524)," ")</f>
        <v>2.7</v>
      </c>
      <c r="M525" s="29">
        <f>IF(M$17=1,SUM($E524:M524)," ")</f>
        <v>3.5</v>
      </c>
      <c r="N525" s="29">
        <f>IF(N$17=1,SUM($E524:N524)," ")</f>
        <v>4.4000000000000004</v>
      </c>
      <c r="O525" s="29">
        <f>IF(O$17=1,SUM($E524:O524)," ")</f>
        <v>5.4</v>
      </c>
      <c r="P525" s="29">
        <f>IF(P$17=1,SUM($E524:P524)," ")</f>
        <v>6.5</v>
      </c>
      <c r="Q525" s="29">
        <f>IF(Q$17=1,SUM($E524:Q524)," ")</f>
        <v>7.7</v>
      </c>
      <c r="R525" s="29">
        <f>IF(R$17=1,SUM($E524:R524)," ")</f>
        <v>9</v>
      </c>
      <c r="S525" s="29">
        <f>IF(S$17=1,SUM($E524:S524)," ")</f>
        <v>10.4</v>
      </c>
      <c r="T525" s="29">
        <f>IF(T$17=1,SUM($E524:T524)," ")</f>
        <v>11.9</v>
      </c>
      <c r="U525" s="29">
        <f>IF(U$17=1,SUM($E524:U524)," ")</f>
        <v>13.5</v>
      </c>
      <c r="V525" s="29">
        <f>IF(V$17=1,SUM($E524:V524)," ")</f>
        <v>15.2</v>
      </c>
      <c r="W525" s="29">
        <f>IF(W$17=1,SUM($E524:W524)," ")</f>
        <v>17</v>
      </c>
      <c r="X525" s="29">
        <f>IF(X$17=1,SUM($E524:X524)," ")</f>
        <v>18.899999999999999</v>
      </c>
      <c r="Y525" s="29">
        <f>IF(Y$17=1,SUM($E524:Y524)," ")</f>
        <v>20.9</v>
      </c>
      <c r="Z525" s="29">
        <f>IF(Z$17=1,SUM($E524:Z524)," ")</f>
        <v>23</v>
      </c>
      <c r="AA525" s="29">
        <f>IF(AA$17=1,SUM($E524:AA524)," ")</f>
        <v>25.2</v>
      </c>
      <c r="AB525" s="29">
        <f>IF(AB$17=1,SUM($E524:AB524)," ")</f>
        <v>27.5</v>
      </c>
      <c r="AC525" s="29">
        <f>IF(AC$17=1,SUM($E524:AC524)," ")</f>
        <v>29.9</v>
      </c>
      <c r="AD525" s="29">
        <f>IF(AD$17=1,SUM($E524:AD524)," ")</f>
        <v>32.4</v>
      </c>
      <c r="AE525" s="29">
        <f>IF(AE$17=1,SUM($E524:AE524)," ")</f>
        <v>35</v>
      </c>
      <c r="AF525" s="29">
        <f>IF(AF$17=1,SUM($E524:AF524)," ")</f>
        <v>37.700000000000003</v>
      </c>
      <c r="AG525" s="29">
        <f>IF(AG$17=1,SUM($E524:AG524)," ")</f>
        <v>40.5</v>
      </c>
      <c r="AH525" s="29">
        <f>IF(AH$17=1,SUM($E524:AH524)," ")</f>
        <v>43.4</v>
      </c>
    </row>
    <row r="526" spans="1:34" s="20" customFormat="1" ht="14" x14ac:dyDescent="0.2">
      <c r="A526" s="87"/>
      <c r="B526" s="14" t="s">
        <v>640</v>
      </c>
      <c r="C526" s="8"/>
      <c r="D526" s="8" t="str">
        <f>'Assumptions - General'!$E$27 &amp;" millions"</f>
        <v>R$ millions</v>
      </c>
      <c r="E526" s="29"/>
      <c r="F526" s="29">
        <f t="shared" ref="F526:AH526" si="227">IF(F17=1,F521+F522-F523-F524," ")</f>
        <v>10</v>
      </c>
      <c r="G526" s="29">
        <f t="shared" si="227"/>
        <v>19.8</v>
      </c>
      <c r="H526" s="29">
        <f t="shared" si="227"/>
        <v>29.5</v>
      </c>
      <c r="I526" s="29">
        <f t="shared" si="227"/>
        <v>39.1</v>
      </c>
      <c r="J526" s="29">
        <f t="shared" si="227"/>
        <v>48.6</v>
      </c>
      <c r="K526" s="29">
        <f t="shared" si="227"/>
        <v>58</v>
      </c>
      <c r="L526" s="29">
        <f t="shared" si="227"/>
        <v>67.3</v>
      </c>
      <c r="M526" s="29">
        <f t="shared" si="227"/>
        <v>76.5</v>
      </c>
      <c r="N526" s="29">
        <f t="shared" si="227"/>
        <v>85.6</v>
      </c>
      <c r="O526" s="29">
        <f t="shared" si="227"/>
        <v>94.6</v>
      </c>
      <c r="P526" s="29">
        <f t="shared" si="227"/>
        <v>103.5</v>
      </c>
      <c r="Q526" s="29">
        <f t="shared" si="227"/>
        <v>112.3</v>
      </c>
      <c r="R526" s="29">
        <f t="shared" si="227"/>
        <v>121</v>
      </c>
      <c r="S526" s="29">
        <f t="shared" si="227"/>
        <v>129.6</v>
      </c>
      <c r="T526" s="29">
        <f t="shared" si="227"/>
        <v>138.1</v>
      </c>
      <c r="U526" s="29">
        <f t="shared" si="227"/>
        <v>146.5</v>
      </c>
      <c r="V526" s="29">
        <f t="shared" si="227"/>
        <v>154.80000000000001</v>
      </c>
      <c r="W526" s="29">
        <f t="shared" si="227"/>
        <v>163</v>
      </c>
      <c r="X526" s="29">
        <f t="shared" si="227"/>
        <v>171.1</v>
      </c>
      <c r="Y526" s="29">
        <f t="shared" si="227"/>
        <v>179.1</v>
      </c>
      <c r="Z526" s="29">
        <f t="shared" si="227"/>
        <v>187</v>
      </c>
      <c r="AA526" s="29">
        <f t="shared" si="227"/>
        <v>194.8</v>
      </c>
      <c r="AB526" s="29">
        <f t="shared" si="227"/>
        <v>202.5</v>
      </c>
      <c r="AC526" s="29">
        <f t="shared" si="227"/>
        <v>210.1</v>
      </c>
      <c r="AD526" s="29">
        <f t="shared" si="227"/>
        <v>217.6</v>
      </c>
      <c r="AE526" s="29">
        <f t="shared" si="227"/>
        <v>225</v>
      </c>
      <c r="AF526" s="29">
        <f t="shared" si="227"/>
        <v>232.3</v>
      </c>
      <c r="AG526" s="29">
        <f t="shared" si="227"/>
        <v>239.5</v>
      </c>
      <c r="AH526" s="29">
        <f t="shared" si="227"/>
        <v>246.6</v>
      </c>
    </row>
    <row r="527" spans="1:34" s="20" customFormat="1" ht="14" x14ac:dyDescent="0.2">
      <c r="A527" s="87"/>
      <c r="B527" s="14"/>
      <c r="C527" s="8"/>
      <c r="D527" s="8"/>
      <c r="E527" s="29"/>
      <c r="F527" s="29"/>
      <c r="G527" s="29"/>
      <c r="H527" s="29"/>
      <c r="I527" s="29"/>
      <c r="J527" s="29"/>
      <c r="K527" s="29"/>
      <c r="L527" s="29"/>
      <c r="M527" s="29"/>
      <c r="N527" s="29"/>
      <c r="O527" s="29"/>
      <c r="P527" s="29"/>
      <c r="Q527" s="29"/>
      <c r="R527" s="29"/>
      <c r="S527" s="29"/>
      <c r="T527" s="29"/>
      <c r="U527" s="29"/>
      <c r="V527" s="29"/>
      <c r="W527" s="29"/>
      <c r="X527" s="29"/>
      <c r="Y527" s="29"/>
      <c r="Z527" s="29"/>
      <c r="AA527" s="29"/>
      <c r="AB527" s="29"/>
      <c r="AC527" s="29"/>
      <c r="AD527" s="29"/>
      <c r="AE527" s="29"/>
      <c r="AF527" s="29"/>
      <c r="AG527" s="29"/>
      <c r="AH527" s="29"/>
    </row>
    <row r="528" spans="1:34" s="20" customFormat="1" ht="14" x14ac:dyDescent="0.2">
      <c r="A528" s="87"/>
      <c r="B528" s="14" t="s">
        <v>638</v>
      </c>
      <c r="C528" s="8"/>
      <c r="D528" s="8" t="str">
        <f>'Assumptions - General'!$E$27 &amp;" millions"</f>
        <v>R$ millions</v>
      </c>
      <c r="E528" s="29">
        <f t="shared" ref="E528:AH528" si="228">IF(E17=1,E519+E526," ")</f>
        <v>100</v>
      </c>
      <c r="F528" s="29">
        <f t="shared" si="228"/>
        <v>105</v>
      </c>
      <c r="G528" s="29">
        <f t="shared" si="228"/>
        <v>109.8</v>
      </c>
      <c r="H528" s="29">
        <f t="shared" si="228"/>
        <v>114.5</v>
      </c>
      <c r="I528" s="29">
        <f t="shared" si="228"/>
        <v>119.1</v>
      </c>
      <c r="J528" s="29">
        <f t="shared" si="228"/>
        <v>123.6</v>
      </c>
      <c r="K528" s="29">
        <f t="shared" si="228"/>
        <v>128</v>
      </c>
      <c r="L528" s="29">
        <f t="shared" si="228"/>
        <v>132.30000000000001</v>
      </c>
      <c r="M528" s="29">
        <f t="shared" si="228"/>
        <v>136.5</v>
      </c>
      <c r="N528" s="29">
        <f t="shared" si="228"/>
        <v>140.6</v>
      </c>
      <c r="O528" s="29">
        <f t="shared" si="228"/>
        <v>144.6</v>
      </c>
      <c r="P528" s="29">
        <f t="shared" si="228"/>
        <v>148.5</v>
      </c>
      <c r="Q528" s="29">
        <f t="shared" si="228"/>
        <v>152.30000000000001</v>
      </c>
      <c r="R528" s="29">
        <f t="shared" si="228"/>
        <v>156</v>
      </c>
      <c r="S528" s="29">
        <f t="shared" si="228"/>
        <v>159.6</v>
      </c>
      <c r="T528" s="29">
        <f t="shared" si="228"/>
        <v>163.1</v>
      </c>
      <c r="U528" s="29">
        <f t="shared" si="228"/>
        <v>166.5</v>
      </c>
      <c r="V528" s="29">
        <f t="shared" si="228"/>
        <v>169.8</v>
      </c>
      <c r="W528" s="29">
        <f t="shared" si="228"/>
        <v>173</v>
      </c>
      <c r="X528" s="29">
        <f t="shared" si="228"/>
        <v>176.1</v>
      </c>
      <c r="Y528" s="29">
        <f t="shared" si="228"/>
        <v>179.1</v>
      </c>
      <c r="Z528" s="29">
        <f t="shared" si="228"/>
        <v>187</v>
      </c>
      <c r="AA528" s="29">
        <f t="shared" si="228"/>
        <v>194.8</v>
      </c>
      <c r="AB528" s="29">
        <f t="shared" si="228"/>
        <v>202.5</v>
      </c>
      <c r="AC528" s="29">
        <f t="shared" si="228"/>
        <v>210.1</v>
      </c>
      <c r="AD528" s="29">
        <f t="shared" si="228"/>
        <v>217.6</v>
      </c>
      <c r="AE528" s="29">
        <f t="shared" si="228"/>
        <v>225</v>
      </c>
      <c r="AF528" s="29">
        <f t="shared" si="228"/>
        <v>232.3</v>
      </c>
      <c r="AG528" s="29">
        <f t="shared" si="228"/>
        <v>239.5</v>
      </c>
      <c r="AH528" s="29">
        <f t="shared" si="228"/>
        <v>246.6</v>
      </c>
    </row>
    <row r="529" spans="1:34" s="310" customFormat="1" ht="14" x14ac:dyDescent="0.2">
      <c r="A529" s="87"/>
      <c r="B529" s="446"/>
      <c r="C529" s="87"/>
      <c r="D529" s="87"/>
      <c r="E529" s="447"/>
      <c r="F529" s="447"/>
      <c r="G529" s="447"/>
      <c r="H529" s="447"/>
      <c r="I529" s="447"/>
      <c r="J529" s="447"/>
      <c r="K529" s="447"/>
      <c r="L529" s="447"/>
      <c r="M529" s="447"/>
      <c r="N529" s="447"/>
      <c r="O529" s="447"/>
      <c r="P529" s="447"/>
      <c r="Q529" s="447"/>
      <c r="R529" s="447"/>
      <c r="S529" s="447"/>
      <c r="T529" s="447"/>
      <c r="U529" s="447"/>
      <c r="V529" s="447"/>
      <c r="W529" s="447"/>
      <c r="X529" s="447"/>
      <c r="Y529" s="447"/>
      <c r="Z529" s="447"/>
      <c r="AA529" s="447"/>
      <c r="AB529" s="447"/>
      <c r="AC529" s="447"/>
      <c r="AD529" s="447"/>
      <c r="AE529" s="447"/>
      <c r="AF529" s="447"/>
      <c r="AG529" s="447"/>
      <c r="AH529" s="447"/>
    </row>
    <row r="530" spans="1:34" s="20" customFormat="1" ht="14" x14ac:dyDescent="0.2">
      <c r="A530" s="87">
        <f>'Assumptions - Passenger'!E65</f>
        <v>1</v>
      </c>
      <c r="B530" s="21" t="str">
        <f>'Assumptions - Passenger'!E27</f>
        <v>Buildings and structures</v>
      </c>
      <c r="C530" s="8"/>
      <c r="D530" s="8"/>
      <c r="E530" s="29"/>
      <c r="F530" s="31"/>
      <c r="G530" s="31"/>
      <c r="H530" s="31"/>
      <c r="I530" s="31"/>
      <c r="J530" s="31"/>
      <c r="K530" s="31"/>
      <c r="L530" s="31"/>
      <c r="M530" s="31"/>
      <c r="N530" s="31"/>
      <c r="O530" s="31"/>
      <c r="P530" s="31"/>
      <c r="Q530" s="31"/>
      <c r="R530" s="31"/>
      <c r="S530" s="31"/>
      <c r="T530" s="31"/>
      <c r="U530" s="31"/>
      <c r="V530" s="31"/>
      <c r="W530" s="31"/>
      <c r="X530" s="31"/>
      <c r="Y530" s="31"/>
      <c r="Z530" s="31"/>
      <c r="AA530" s="31"/>
      <c r="AB530" s="31"/>
      <c r="AC530" s="31"/>
      <c r="AD530" s="31"/>
      <c r="AE530" s="31"/>
      <c r="AF530" s="31"/>
      <c r="AG530" s="31"/>
      <c r="AH530" s="31"/>
    </row>
    <row r="531" spans="1:34" s="20" customFormat="1" ht="14" x14ac:dyDescent="0.2">
      <c r="A531" s="87"/>
      <c r="B531" s="14" t="str">
        <f>"Starting value "</f>
        <v xml:space="preserve">Starting value </v>
      </c>
      <c r="C531" s="8"/>
      <c r="D531" s="8" t="str">
        <f>'Assumptions - General'!$E$27 &amp;" millions"</f>
        <v>R$ millions</v>
      </c>
      <c r="E531" s="29"/>
      <c r="F531" s="29">
        <f t="shared" ref="F531:AH531" si="229">IF(F$17=1,E535," ")</f>
        <v>150</v>
      </c>
      <c r="G531" s="29">
        <f t="shared" si="229"/>
        <v>141.18421052631578</v>
      </c>
      <c r="H531" s="29">
        <f t="shared" si="229"/>
        <v>132.5</v>
      </c>
      <c r="I531" s="29">
        <f t="shared" si="229"/>
        <v>123.94736842105263</v>
      </c>
      <c r="J531" s="29">
        <f t="shared" si="229"/>
        <v>115.52631578947368</v>
      </c>
      <c r="K531" s="29">
        <f t="shared" si="229"/>
        <v>107.23684210526316</v>
      </c>
      <c r="L531" s="29">
        <f t="shared" si="229"/>
        <v>99.078947368421055</v>
      </c>
      <c r="M531" s="29">
        <f t="shared" si="229"/>
        <v>91.05263157894737</v>
      </c>
      <c r="N531" s="29">
        <f t="shared" si="229"/>
        <v>83.15789473684211</v>
      </c>
      <c r="O531" s="29">
        <f t="shared" si="229"/>
        <v>75.394736842105274</v>
      </c>
      <c r="P531" s="29">
        <f t="shared" si="229"/>
        <v>67.76315789473685</v>
      </c>
      <c r="Q531" s="29">
        <f t="shared" si="229"/>
        <v>60.26315789473685</v>
      </c>
      <c r="R531" s="29">
        <f t="shared" si="229"/>
        <v>52.894736842105274</v>
      </c>
      <c r="S531" s="29">
        <f t="shared" si="229"/>
        <v>45.657894736842117</v>
      </c>
      <c r="T531" s="29">
        <f t="shared" si="229"/>
        <v>38.552631578947377</v>
      </c>
      <c r="U531" s="29">
        <f t="shared" si="229"/>
        <v>31.578947368421062</v>
      </c>
      <c r="V531" s="29">
        <f t="shared" si="229"/>
        <v>24.736842105263168</v>
      </c>
      <c r="W531" s="29">
        <f t="shared" si="229"/>
        <v>18.026315789473696</v>
      </c>
      <c r="X531" s="29">
        <f t="shared" si="229"/>
        <v>11.447368421052643</v>
      </c>
      <c r="Y531" s="29">
        <f t="shared" si="229"/>
        <v>5.0000000000000107</v>
      </c>
      <c r="Z531" s="29">
        <f t="shared" si="229"/>
        <v>0</v>
      </c>
      <c r="AA531" s="29">
        <f t="shared" si="229"/>
        <v>0</v>
      </c>
      <c r="AB531" s="29">
        <f t="shared" si="229"/>
        <v>0</v>
      </c>
      <c r="AC531" s="29">
        <f t="shared" si="229"/>
        <v>0</v>
      </c>
      <c r="AD531" s="29">
        <f t="shared" si="229"/>
        <v>0</v>
      </c>
      <c r="AE531" s="29">
        <f t="shared" si="229"/>
        <v>0</v>
      </c>
      <c r="AF531" s="29">
        <f t="shared" si="229"/>
        <v>0</v>
      </c>
      <c r="AG531" s="29">
        <f t="shared" si="229"/>
        <v>0</v>
      </c>
      <c r="AH531" s="29">
        <f t="shared" si="229"/>
        <v>0</v>
      </c>
    </row>
    <row r="532" spans="1:34" s="20" customFormat="1" ht="14" x14ac:dyDescent="0.2">
      <c r="A532" s="87"/>
      <c r="B532" s="30" t="s">
        <v>608</v>
      </c>
      <c r="C532" s="8"/>
      <c r="D532" s="8" t="str">
        <f>'Assumptions - General'!$E$27 &amp;" millions"</f>
        <v>R$ millions</v>
      </c>
      <c r="E532" s="29"/>
      <c r="F532" s="29">
        <f>IF(F$17=1,IF(F531&gt;0,MIN(F531,'Assumptions - Passenger'!F49),0)," ")</f>
        <v>5</v>
      </c>
      <c r="G532" s="29">
        <f>IF(G$17=1,IF(G531&gt;0,MIN(G531,'Assumptions - Passenger'!G49),0)," ")</f>
        <v>5</v>
      </c>
      <c r="H532" s="29">
        <f>IF(H$17=1,IF(H531&gt;0,MIN(H531,'Assumptions - Passenger'!H49),0)," ")</f>
        <v>5</v>
      </c>
      <c r="I532" s="29">
        <f>IF(I$17=1,IF(I531&gt;0,MIN(I531,'Assumptions - Passenger'!I49),0)," ")</f>
        <v>5</v>
      </c>
      <c r="J532" s="29">
        <f>IF(J$17=1,IF(J531&gt;0,MIN(J531,'Assumptions - Passenger'!J49),0)," ")</f>
        <v>5</v>
      </c>
      <c r="K532" s="29">
        <f>IF(K$17=1,IF(K531&gt;0,MIN(K531,'Assumptions - Passenger'!K49),0)," ")</f>
        <v>5</v>
      </c>
      <c r="L532" s="29">
        <f>IF(L$17=1,IF(L531&gt;0,MIN(L531,'Assumptions - Passenger'!L49),0)," ")</f>
        <v>5</v>
      </c>
      <c r="M532" s="29">
        <f>IF(M$17=1,IF(M531&gt;0,MIN(M531,'Assumptions - Passenger'!M49),0)," ")</f>
        <v>5</v>
      </c>
      <c r="N532" s="29">
        <f>IF(N$17=1,IF(N531&gt;0,MIN(N531,'Assumptions - Passenger'!N49),0)," ")</f>
        <v>5</v>
      </c>
      <c r="O532" s="29">
        <f>IF(O$17=1,IF(O531&gt;0,MIN(O531,'Assumptions - Passenger'!O49),0)," ")</f>
        <v>5</v>
      </c>
      <c r="P532" s="29">
        <f>IF(P$17=1,IF(P531&gt;0,MIN(P531,'Assumptions - Passenger'!P49),0)," ")</f>
        <v>5</v>
      </c>
      <c r="Q532" s="29">
        <f>IF(Q$17=1,IF(Q531&gt;0,MIN(Q531,'Assumptions - Passenger'!Q49),0)," ")</f>
        <v>5</v>
      </c>
      <c r="R532" s="29">
        <f>IF(R$17=1,IF(R531&gt;0,MIN(R531,'Assumptions - Passenger'!R49),0)," ")</f>
        <v>5</v>
      </c>
      <c r="S532" s="29">
        <f>IF(S$17=1,IF(S531&gt;0,MIN(S531,'Assumptions - Passenger'!S49),0)," ")</f>
        <v>5</v>
      </c>
      <c r="T532" s="29">
        <f>IF(T$17=1,IF(T531&gt;0,MIN(T531,'Assumptions - Passenger'!T49),0)," ")</f>
        <v>5</v>
      </c>
      <c r="U532" s="29">
        <f>IF(U$17=1,IF(U531&gt;0,MIN(U531,'Assumptions - Passenger'!U49),0)," ")</f>
        <v>5</v>
      </c>
      <c r="V532" s="29">
        <f>IF(V$17=1,IF(V531&gt;0,MIN(V531,'Assumptions - Passenger'!V49),0)," ")</f>
        <v>5</v>
      </c>
      <c r="W532" s="29">
        <f>IF(W$17=1,IF(W531&gt;0,MIN(W531,'Assumptions - Passenger'!W49),0)," ")</f>
        <v>5</v>
      </c>
      <c r="X532" s="29">
        <f>IF(X$17=1,IF(X531&gt;0,MIN(X531,'Assumptions - Passenger'!X49),0)," ")</f>
        <v>5</v>
      </c>
      <c r="Y532" s="29">
        <f>IF(Y$17=1,IF(Y531&gt;0,MIN(Y531,'Assumptions - Passenger'!Y49),0)," ")</f>
        <v>5</v>
      </c>
      <c r="Z532" s="29">
        <f>IF(Z$17=1,IF(Z531&gt;0,MIN(Z531,'Assumptions - Passenger'!Z49),0)," ")</f>
        <v>0</v>
      </c>
      <c r="AA532" s="29">
        <f>IF(AA$17=1,IF(AA531&gt;0,MIN(AA531,'Assumptions - Passenger'!AA49),0)," ")</f>
        <v>0</v>
      </c>
      <c r="AB532" s="29">
        <f>IF(AB$17=1,IF(AB531&gt;0,MIN(AB531,'Assumptions - Passenger'!AB49),0)," ")</f>
        <v>0</v>
      </c>
      <c r="AC532" s="29">
        <f>IF(AC$17=1,IF(AC531&gt;0,MIN(AC531,'Assumptions - Passenger'!AC49),0)," ")</f>
        <v>0</v>
      </c>
      <c r="AD532" s="29">
        <f>IF(AD$17=1,IF(AD531&gt;0,MIN(AD531,'Assumptions - Passenger'!AD49),0)," ")</f>
        <v>0</v>
      </c>
      <c r="AE532" s="29">
        <f>IF(AE$17=1,IF(AE531&gt;0,MIN(AE531,'Assumptions - Passenger'!AE49),0)," ")</f>
        <v>0</v>
      </c>
      <c r="AF532" s="29">
        <f>IF(AF$17=1,IF(AF531&gt;0,MIN(AF531,'Assumptions - Passenger'!AF49),0)," ")</f>
        <v>0</v>
      </c>
      <c r="AG532" s="29">
        <f>IF(AG$17=1,IF(AG531&gt;0,MIN(AG531,'Assumptions - Passenger'!AG49),0)," ")</f>
        <v>0</v>
      </c>
      <c r="AH532" s="29">
        <f>IF(AH$17=1,IF(AH531&gt;0,MIN(AH531,'Assumptions - Passenger'!AH49),0)," ")</f>
        <v>0</v>
      </c>
    </row>
    <row r="533" spans="1:34" s="20" customFormat="1" ht="14" x14ac:dyDescent="0.2">
      <c r="A533" s="87"/>
      <c r="B533" s="30" t="str">
        <f>IF(A530=1,"Less depreciation of existing assets","Less depreciation of assets")</f>
        <v>Less depreciation of existing assets</v>
      </c>
      <c r="C533" s="8"/>
      <c r="D533" s="8" t="str">
        <f>'Assumptions - General'!$E$27 &amp;" millions"</f>
        <v>R$ millions</v>
      </c>
      <c r="E533" s="29"/>
      <c r="F533" s="229">
        <f>IF(F$17=1,(IF($A530=1,IF(F531-F532&gt;0,(MIN((F531-F532),($E535-SUM($E532:F532))/'Assumptions - Passenger'!$E67)),0),'Assumptions - Passenger'!F70))," ")</f>
        <v>3.8157894736842106</v>
      </c>
      <c r="G533" s="229">
        <f>IF(G$17=1,(IF($A530=1,IF(G531-G532&gt;0,(MIN((G531-G532),($E535-SUM($E532:G532))/'Assumptions - Passenger'!$E67)),0),'Assumptions - Passenger'!G70))," ")</f>
        <v>3.6842105263157894</v>
      </c>
      <c r="H533" s="229">
        <f>IF(H$17=1,(IF($A530=1,IF(H531-H532&gt;0,(MIN((H531-H532),($E535-SUM($E532:H532))/'Assumptions - Passenger'!$E67)),0),'Assumptions - Passenger'!H70))," ")</f>
        <v>3.5526315789473686</v>
      </c>
      <c r="I533" s="229">
        <f>IF(I$17=1,(IF($A530=1,IF(I531-I532&gt;0,(MIN((I531-I532),($E535-SUM($E532:I532))/'Assumptions - Passenger'!$E67)),0),'Assumptions - Passenger'!I70))," ")</f>
        <v>3.4210526315789473</v>
      </c>
      <c r="J533" s="229">
        <f>IF(J$17=1,(IF($A530=1,IF(J531-J532&gt;0,(MIN((J531-J532),($E535-SUM($E532:J532))/'Assumptions - Passenger'!$E67)),0),'Assumptions - Passenger'!J70))," ")</f>
        <v>3.2894736842105261</v>
      </c>
      <c r="K533" s="229">
        <f>IF(K$17=1,(IF($A530=1,IF(K531-K532&gt;0,(MIN((K531-K532),($E535-SUM($E532:K532))/'Assumptions - Passenger'!$E67)),0),'Assumptions - Passenger'!K70))," ")</f>
        <v>3.1578947368421053</v>
      </c>
      <c r="L533" s="229">
        <f>IF(L$17=1,(IF($A530=1,IF(L531-L532&gt;0,(MIN((L531-L532),($E535-SUM($E532:L532))/'Assumptions - Passenger'!$E67)),0),'Assumptions - Passenger'!L70))," ")</f>
        <v>3.0263157894736841</v>
      </c>
      <c r="M533" s="229">
        <f>IF(M$17=1,(IF($A530=1,IF(M531-M532&gt;0,(MIN((M531-M532),($E535-SUM($E532:M532))/'Assumptions - Passenger'!$E67)),0),'Assumptions - Passenger'!M70))," ")</f>
        <v>2.8947368421052633</v>
      </c>
      <c r="N533" s="229">
        <f>IF(N$17=1,(IF($A530=1,IF(N531-N532&gt;0,(MIN((N531-N532),($E535-SUM($E532:N532))/'Assumptions - Passenger'!$E67)),0),'Assumptions - Passenger'!N70))," ")</f>
        <v>2.763157894736842</v>
      </c>
      <c r="O533" s="229">
        <f>IF(O$17=1,(IF($A530=1,IF(O531-O532&gt;0,(MIN((O531-O532),($E535-SUM($E532:O532))/'Assumptions - Passenger'!$E67)),0),'Assumptions - Passenger'!O70))," ")</f>
        <v>2.6315789473684212</v>
      </c>
      <c r="P533" s="229">
        <f>IF(P$17=1,(IF($A530=1,IF(P531-P532&gt;0,(MIN((P531-P532),($E535-SUM($E532:P532))/'Assumptions - Passenger'!$E67)),0),'Assumptions - Passenger'!P70))," ")</f>
        <v>2.5</v>
      </c>
      <c r="Q533" s="229">
        <f>IF(Q$17=1,(IF($A530=1,IF(Q531-Q532&gt;0,(MIN((Q531-Q532),($E535-SUM($E532:Q532))/'Assumptions - Passenger'!$E67)),0),'Assumptions - Passenger'!Q70))," ")</f>
        <v>2.3684210526315788</v>
      </c>
      <c r="R533" s="229">
        <f>IF(R$17=1,(IF($A530=1,IF(R531-R532&gt;0,(MIN((R531-R532),($E535-SUM($E532:R532))/'Assumptions - Passenger'!$E67)),0),'Assumptions - Passenger'!R70))," ")</f>
        <v>2.236842105263158</v>
      </c>
      <c r="S533" s="229">
        <f>IF(S$17=1,(IF($A530=1,IF(S531-S532&gt;0,(MIN((S531-S532),($E535-SUM($E532:S532))/'Assumptions - Passenger'!$E67)),0),'Assumptions - Passenger'!S70))," ")</f>
        <v>2.1052631578947367</v>
      </c>
      <c r="T533" s="229">
        <f>IF(T$17=1,(IF($A530=1,IF(T531-T532&gt;0,(MIN((T531-T532),($E535-SUM($E532:T532))/'Assumptions - Passenger'!$E67)),0),'Assumptions - Passenger'!T70))," ")</f>
        <v>1.9736842105263157</v>
      </c>
      <c r="U533" s="229">
        <f>IF(U$17=1,(IF($A530=1,IF(U531-U532&gt;0,(MIN((U531-U532),($E535-SUM($E532:U532))/'Assumptions - Passenger'!$E67)),0),'Assumptions - Passenger'!U70))," ")</f>
        <v>1.8421052631578947</v>
      </c>
      <c r="V533" s="229">
        <f>IF(V$17=1,(IF($A530=1,IF(V531-V532&gt;0,(MIN((V531-V532),($E535-SUM($E532:V532))/'Assumptions - Passenger'!$E67)),0),'Assumptions - Passenger'!V70))," ")</f>
        <v>1.7105263157894737</v>
      </c>
      <c r="W533" s="229">
        <f>IF(W$17=1,(IF($A530=1,IF(W531-W532&gt;0,(MIN((W531-W532),($E535-SUM($E532:W532))/'Assumptions - Passenger'!$E67)),0),'Assumptions - Passenger'!W70))," ")</f>
        <v>1.5789473684210527</v>
      </c>
      <c r="X533" s="229">
        <f>IF(X$17=1,(IF($A530=1,IF(X531-X532&gt;0,(MIN((X531-X532),($E535-SUM($E532:X532))/'Assumptions - Passenger'!$E67)),0),'Assumptions - Passenger'!X70))," ")</f>
        <v>1.4473684210526316</v>
      </c>
      <c r="Y533" s="229">
        <f>IF(Y$17=1,(IF($A530=1,IF(Y531-Y532&gt;0,(MIN((Y531-Y532),($E535-SUM($E532:Y532))/'Assumptions - Passenger'!$E67)),0),'Assumptions - Passenger'!Y70))," ")</f>
        <v>1.0658141036401503E-14</v>
      </c>
      <c r="Z533" s="229">
        <f>IF(Z$17=1,(IF($A530=1,IF(Z531-Z532&gt;0,(MIN((Z531-Z532),($E535-SUM($E532:Z532))/'Assumptions - Passenger'!$E67)),0),'Assumptions - Passenger'!Z70))," ")</f>
        <v>0</v>
      </c>
      <c r="AA533" s="229">
        <f>IF(AA$17=1,(IF($A530=1,IF(AA531-AA532&gt;0,(MIN((AA531-AA532),($E535-SUM($E532:AA532))/'Assumptions - Passenger'!$E67)),0),'Assumptions - Passenger'!AA70))," ")</f>
        <v>0</v>
      </c>
      <c r="AB533" s="229">
        <f>IF(AB$17=1,(IF($A530=1,IF(AB531-AB532&gt;0,(MIN((AB531-AB532),($E535-SUM($E532:AB532))/'Assumptions - Passenger'!$E67)),0),'Assumptions - Passenger'!AB70))," ")</f>
        <v>0</v>
      </c>
      <c r="AC533" s="229">
        <f>IF(AC$17=1,(IF($A530=1,IF(AC531-AC532&gt;0,(MIN((AC531-AC532),($E535-SUM($E532:AC532))/'Assumptions - Passenger'!$E67)),0),'Assumptions - Passenger'!AC70))," ")</f>
        <v>0</v>
      </c>
      <c r="AD533" s="229">
        <f>IF(AD$17=1,(IF($A530=1,IF(AD531-AD532&gt;0,(MIN((AD531-AD532),($E535-SUM($E532:AD532))/'Assumptions - Passenger'!$E67)),0),'Assumptions - Passenger'!AD70))," ")</f>
        <v>0</v>
      </c>
      <c r="AE533" s="229">
        <f>IF(AE$17=1,(IF($A530=1,IF(AE531-AE532&gt;0,(MIN((AE531-AE532),($E535-SUM($E532:AE532))/'Assumptions - Passenger'!$E67)),0),'Assumptions - Passenger'!AE70))," ")</f>
        <v>0</v>
      </c>
      <c r="AF533" s="229">
        <f>IF(AF$17=1,(IF($A530=1,IF(AF531-AF532&gt;0,(MIN((AF531-AF532),($E535-SUM($E532:AF532))/'Assumptions - Passenger'!$E67)),0),'Assumptions - Passenger'!AF70))," ")</f>
        <v>0</v>
      </c>
      <c r="AG533" s="229">
        <f>IF(AG$17=1,(IF($A530=1,IF(AG531-AG532&gt;0,(MIN((AG531-AG532),($E535-SUM($E532:AG532))/'Assumptions - Passenger'!$E67)),0),'Assumptions - Passenger'!AG70))," ")</f>
        <v>0</v>
      </c>
      <c r="AH533" s="229">
        <f>IF(AH$17=1,(IF($A530=1,IF(AH531-AH532&gt;0,(MIN((AH531-AH532),($E535-SUM($E532:AH532))/'Assumptions - Passenger'!$E67)),0),'Assumptions - Passenger'!AH70))," ")</f>
        <v>0</v>
      </c>
    </row>
    <row r="534" spans="1:34" s="20" customFormat="1" ht="14" x14ac:dyDescent="0.2">
      <c r="A534" s="87"/>
      <c r="B534" s="30" t="str">
        <f>IF(A530=1,"Accumulated depreciation of existing assets","Accumulated depreciation of assets")</f>
        <v>Accumulated depreciation of existing assets</v>
      </c>
      <c r="C534" s="8"/>
      <c r="D534" s="8" t="str">
        <f>'Assumptions - General'!$E$27 &amp;" millions"</f>
        <v>R$ millions</v>
      </c>
      <c r="E534" s="29"/>
      <c r="F534" s="29">
        <f>IF(F$17=1,SUM($E533:F533)," ")</f>
        <v>3.8157894736842106</v>
      </c>
      <c r="G534" s="29">
        <f>IF(G$17=1,SUM($E533:G533)," ")</f>
        <v>7.5</v>
      </c>
      <c r="H534" s="29">
        <f>IF(H$17=1,SUM($E533:H533)," ")</f>
        <v>11.052631578947368</v>
      </c>
      <c r="I534" s="29">
        <f>IF(I$17=1,SUM($E533:I533)," ")</f>
        <v>14.473684210526315</v>
      </c>
      <c r="J534" s="29">
        <f>IF(J$17=1,SUM($E533:J533)," ")</f>
        <v>17.763157894736842</v>
      </c>
      <c r="K534" s="29">
        <f>IF(K$17=1,SUM($E533:K533)," ")</f>
        <v>20.921052631578949</v>
      </c>
      <c r="L534" s="29">
        <f>IF(L$17=1,SUM($E533:L533)," ")</f>
        <v>23.947368421052634</v>
      </c>
      <c r="M534" s="29">
        <f>IF(M$17=1,SUM($E533:M533)," ")</f>
        <v>26.842105263157897</v>
      </c>
      <c r="N534" s="29">
        <f>IF(N$17=1,SUM($E533:N533)," ")</f>
        <v>29.60526315789474</v>
      </c>
      <c r="O534" s="29">
        <f>IF(O$17=1,SUM($E533:O533)," ")</f>
        <v>32.236842105263165</v>
      </c>
      <c r="P534" s="29">
        <f>IF(P$17=1,SUM($E533:P533)," ")</f>
        <v>34.736842105263165</v>
      </c>
      <c r="Q534" s="29">
        <f>IF(Q$17=1,SUM($E533:Q533)," ")</f>
        <v>37.10526315789474</v>
      </c>
      <c r="R534" s="29">
        <f>IF(R$17=1,SUM($E533:R533)," ")</f>
        <v>39.342105263157897</v>
      </c>
      <c r="S534" s="29">
        <f>IF(S$17=1,SUM($E533:S533)," ")</f>
        <v>41.447368421052637</v>
      </c>
      <c r="T534" s="29">
        <f>IF(T$17=1,SUM($E533:T533)," ")</f>
        <v>43.421052631578952</v>
      </c>
      <c r="U534" s="29">
        <f>IF(U$17=1,SUM($E533:U533)," ")</f>
        <v>45.26315789473685</v>
      </c>
      <c r="V534" s="29">
        <f>IF(V$17=1,SUM($E533:V533)," ")</f>
        <v>46.973684210526322</v>
      </c>
      <c r="W534" s="29">
        <f>IF(W$17=1,SUM($E533:W533)," ")</f>
        <v>48.552631578947377</v>
      </c>
      <c r="X534" s="29">
        <f>IF(X$17=1,SUM($E533:X533)," ")</f>
        <v>50.000000000000007</v>
      </c>
      <c r="Y534" s="29">
        <f>IF(Y$17=1,SUM($E533:Y533)," ")</f>
        <v>50.000000000000014</v>
      </c>
      <c r="Z534" s="29">
        <f>IF(Z$17=1,SUM($E533:Z533)," ")</f>
        <v>50.000000000000014</v>
      </c>
      <c r="AA534" s="29">
        <f>IF(AA$17=1,SUM($E533:AA533)," ")</f>
        <v>50.000000000000014</v>
      </c>
      <c r="AB534" s="29">
        <f>IF(AB$17=1,SUM($E533:AB533)," ")</f>
        <v>50.000000000000014</v>
      </c>
      <c r="AC534" s="29">
        <f>IF(AC$17=1,SUM($E533:AC533)," ")</f>
        <v>50.000000000000014</v>
      </c>
      <c r="AD534" s="29">
        <f>IF(AD$17=1,SUM($E533:AD533)," ")</f>
        <v>50.000000000000014</v>
      </c>
      <c r="AE534" s="29">
        <f>IF(AE$17=1,SUM($E533:AE533)," ")</f>
        <v>50.000000000000014</v>
      </c>
      <c r="AF534" s="29">
        <f>IF(AF$17=1,SUM($E533:AF533)," ")</f>
        <v>50.000000000000014</v>
      </c>
      <c r="AG534" s="29">
        <f>IF(AG$17=1,SUM($E533:AG533)," ")</f>
        <v>50.000000000000014</v>
      </c>
      <c r="AH534" s="29">
        <f>IF(AH$17=1,SUM($E533:AH533)," ")</f>
        <v>50.000000000000014</v>
      </c>
    </row>
    <row r="535" spans="1:34" s="20" customFormat="1" ht="14" x14ac:dyDescent="0.2">
      <c r="A535" s="87"/>
      <c r="B535" s="14" t="str">
        <f>"Ending value "</f>
        <v xml:space="preserve">Ending value </v>
      </c>
      <c r="C535" s="8"/>
      <c r="D535" s="8" t="str">
        <f>'Assumptions - General'!$E$27 &amp;" millions"</f>
        <v>R$ millions</v>
      </c>
      <c r="E535" s="463">
        <f>IF(E$17=1,'Assumptions - Passenger'!E34," ")</f>
        <v>150</v>
      </c>
      <c r="F535" s="29">
        <f>IF(F$17=1,F531-F532-F533," ")</f>
        <v>141.18421052631578</v>
      </c>
      <c r="G535" s="29">
        <f t="shared" ref="G535:N535" si="230">IF(G$17=1,G531-G532-G533," ")</f>
        <v>132.5</v>
      </c>
      <c r="H535" s="29">
        <f t="shared" si="230"/>
        <v>123.94736842105263</v>
      </c>
      <c r="I535" s="29">
        <f t="shared" si="230"/>
        <v>115.52631578947368</v>
      </c>
      <c r="J535" s="29">
        <f t="shared" si="230"/>
        <v>107.23684210526316</v>
      </c>
      <c r="K535" s="29">
        <f t="shared" si="230"/>
        <v>99.078947368421055</v>
      </c>
      <c r="L535" s="29">
        <f t="shared" si="230"/>
        <v>91.05263157894737</v>
      </c>
      <c r="M535" s="29">
        <f t="shared" si="230"/>
        <v>83.15789473684211</v>
      </c>
      <c r="N535" s="29">
        <f t="shared" si="230"/>
        <v>75.394736842105274</v>
      </c>
      <c r="O535" s="29">
        <f t="shared" ref="O535:AH535" si="231">IF(O$17=1,O531-O532-O533," ")</f>
        <v>67.76315789473685</v>
      </c>
      <c r="P535" s="29">
        <f t="shared" si="231"/>
        <v>60.26315789473685</v>
      </c>
      <c r="Q535" s="29">
        <f t="shared" si="231"/>
        <v>52.894736842105274</v>
      </c>
      <c r="R535" s="29">
        <f t="shared" si="231"/>
        <v>45.657894736842117</v>
      </c>
      <c r="S535" s="29">
        <f t="shared" si="231"/>
        <v>38.552631578947377</v>
      </c>
      <c r="T535" s="29">
        <f t="shared" si="231"/>
        <v>31.578947368421062</v>
      </c>
      <c r="U535" s="29">
        <f t="shared" si="231"/>
        <v>24.736842105263168</v>
      </c>
      <c r="V535" s="29">
        <f t="shared" si="231"/>
        <v>18.026315789473696</v>
      </c>
      <c r="W535" s="29">
        <f t="shared" si="231"/>
        <v>11.447368421052643</v>
      </c>
      <c r="X535" s="29">
        <f t="shared" si="231"/>
        <v>5.0000000000000107</v>
      </c>
      <c r="Y535" s="29">
        <f t="shared" si="231"/>
        <v>0</v>
      </c>
      <c r="Z535" s="29">
        <f t="shared" si="231"/>
        <v>0</v>
      </c>
      <c r="AA535" s="29">
        <f t="shared" si="231"/>
        <v>0</v>
      </c>
      <c r="AB535" s="29">
        <f t="shared" si="231"/>
        <v>0</v>
      </c>
      <c r="AC535" s="29">
        <f t="shared" si="231"/>
        <v>0</v>
      </c>
      <c r="AD535" s="29">
        <f t="shared" si="231"/>
        <v>0</v>
      </c>
      <c r="AE535" s="29">
        <f t="shared" si="231"/>
        <v>0</v>
      </c>
      <c r="AF535" s="29">
        <f t="shared" si="231"/>
        <v>0</v>
      </c>
      <c r="AG535" s="29">
        <f t="shared" si="231"/>
        <v>0</v>
      </c>
      <c r="AH535" s="29">
        <f t="shared" si="231"/>
        <v>0</v>
      </c>
    </row>
    <row r="536" spans="1:34" s="20" customFormat="1" ht="14" x14ac:dyDescent="0.2">
      <c r="A536" s="87"/>
      <c r="B536" s="14"/>
      <c r="C536" s="8"/>
      <c r="D536" s="8"/>
      <c r="E536" s="29"/>
      <c r="F536" s="29"/>
      <c r="G536" s="29"/>
      <c r="H536" s="29"/>
      <c r="I536" s="29"/>
      <c r="J536" s="29"/>
      <c r="K536" s="29"/>
      <c r="L536" s="29"/>
      <c r="M536" s="29"/>
      <c r="N536" s="29"/>
      <c r="O536" s="29"/>
      <c r="P536" s="29"/>
      <c r="Q536" s="29"/>
      <c r="R536" s="29"/>
      <c r="S536" s="29"/>
      <c r="T536" s="29"/>
      <c r="U536" s="29"/>
      <c r="V536" s="29"/>
      <c r="W536" s="29"/>
      <c r="X536" s="29"/>
      <c r="Y536" s="29"/>
      <c r="Z536" s="29"/>
      <c r="AA536" s="29"/>
      <c r="AB536" s="29"/>
      <c r="AC536" s="29"/>
      <c r="AD536" s="29"/>
      <c r="AE536" s="29"/>
      <c r="AF536" s="29"/>
      <c r="AG536" s="29"/>
      <c r="AH536" s="29"/>
    </row>
    <row r="537" spans="1:34" s="20" customFormat="1" ht="14" x14ac:dyDescent="0.2">
      <c r="A537" s="87"/>
      <c r="B537" s="14" t="s">
        <v>634</v>
      </c>
      <c r="C537" s="8"/>
      <c r="D537" s="8" t="str">
        <f>'Assumptions - General'!$E$27 &amp;" millions"</f>
        <v>R$ millions</v>
      </c>
      <c r="E537" s="29"/>
      <c r="F537" s="29">
        <f t="shared" ref="F537:AH537" si="232">IF(F17=1,E542," ")</f>
        <v>0</v>
      </c>
      <c r="G537" s="29">
        <f t="shared" si="232"/>
        <v>20</v>
      </c>
      <c r="H537" s="29">
        <f t="shared" si="232"/>
        <v>38.94736842105263</v>
      </c>
      <c r="I537" s="29">
        <f t="shared" si="232"/>
        <v>57.368421052631575</v>
      </c>
      <c r="J537" s="29">
        <f t="shared" si="232"/>
        <v>75.263157894736835</v>
      </c>
      <c r="K537" s="29">
        <f t="shared" si="232"/>
        <v>92.631578947368411</v>
      </c>
      <c r="L537" s="29">
        <f t="shared" si="232"/>
        <v>109.4736842105263</v>
      </c>
      <c r="M537" s="29">
        <f t="shared" si="232"/>
        <v>125.78947368421051</v>
      </c>
      <c r="N537" s="29">
        <f t="shared" si="232"/>
        <v>141.57894736842104</v>
      </c>
      <c r="O537" s="29">
        <f t="shared" si="232"/>
        <v>156.84210526315789</v>
      </c>
      <c r="P537" s="29">
        <f t="shared" si="232"/>
        <v>171.57894736842104</v>
      </c>
      <c r="Q537" s="29">
        <f t="shared" si="232"/>
        <v>185.78947368421052</v>
      </c>
      <c r="R537" s="29">
        <f t="shared" si="232"/>
        <v>199.4736842105263</v>
      </c>
      <c r="S537" s="29">
        <f t="shared" si="232"/>
        <v>212.63157894736841</v>
      </c>
      <c r="T537" s="29">
        <f t="shared" si="232"/>
        <v>225.26315789473682</v>
      </c>
      <c r="U537" s="29">
        <f t="shared" si="232"/>
        <v>237.36842105263156</v>
      </c>
      <c r="V537" s="29">
        <f t="shared" si="232"/>
        <v>248.9473684210526</v>
      </c>
      <c r="W537" s="29">
        <f t="shared" si="232"/>
        <v>259.99999999999994</v>
      </c>
      <c r="X537" s="29">
        <f t="shared" si="232"/>
        <v>270.52631578947364</v>
      </c>
      <c r="Y537" s="29">
        <f t="shared" si="232"/>
        <v>280.52631578947364</v>
      </c>
      <c r="Z537" s="29">
        <f t="shared" si="232"/>
        <v>289.99999999999994</v>
      </c>
      <c r="AA537" s="29">
        <f t="shared" si="232"/>
        <v>294.07894736842098</v>
      </c>
      <c r="AB537" s="29">
        <f t="shared" si="232"/>
        <v>297.76315789473676</v>
      </c>
      <c r="AC537" s="29">
        <f t="shared" si="232"/>
        <v>301.05263157894728</v>
      </c>
      <c r="AD537" s="29">
        <f t="shared" si="232"/>
        <v>303.94736842105254</v>
      </c>
      <c r="AE537" s="29">
        <f t="shared" si="232"/>
        <v>306.44736842105254</v>
      </c>
      <c r="AF537" s="29">
        <f t="shared" si="232"/>
        <v>308.55263157894728</v>
      </c>
      <c r="AG537" s="29">
        <f t="shared" si="232"/>
        <v>310.26315789473676</v>
      </c>
      <c r="AH537" s="29">
        <f t="shared" si="232"/>
        <v>311.57894736842098</v>
      </c>
    </row>
    <row r="538" spans="1:34" s="20" customFormat="1" ht="14" x14ac:dyDescent="0.2">
      <c r="A538" s="87"/>
      <c r="B538" s="30" t="s">
        <v>130</v>
      </c>
      <c r="C538" s="8"/>
      <c r="D538" s="8" t="str">
        <f>'Assumptions - General'!$E$27 &amp;" millions"</f>
        <v>R$ millions</v>
      </c>
      <c r="E538" s="29"/>
      <c r="F538" s="29">
        <f>IF(F$17=1,IF($D$510=1,$D$511*'Assumptions - Passenger'!F$41,'Assumptions - Passenger'!F$41)," ")</f>
        <v>20</v>
      </c>
      <c r="G538" s="29">
        <f>IF(G$17=1,IF($D$510=1,$D$511*'Assumptions - Passenger'!G$41,'Assumptions - Passenger'!G$41)," ")</f>
        <v>20</v>
      </c>
      <c r="H538" s="29">
        <f>IF(H$17=1,IF($D$510=1,$D$511*'Assumptions - Passenger'!H$41,'Assumptions - Passenger'!H$41)," ")</f>
        <v>20</v>
      </c>
      <c r="I538" s="29">
        <f>IF(I$17=1,IF($D$510=1,$D$511*'Assumptions - Passenger'!I$41,'Assumptions - Passenger'!I$41)," ")</f>
        <v>20</v>
      </c>
      <c r="J538" s="29">
        <f>IF(J$17=1,IF($D$510=1,$D$511*'Assumptions - Passenger'!J$41,'Assumptions - Passenger'!J$41)," ")</f>
        <v>20</v>
      </c>
      <c r="K538" s="29">
        <f>IF(K$17=1,IF($D$510=1,$D$511*'Assumptions - Passenger'!K$41,'Assumptions - Passenger'!K$41)," ")</f>
        <v>20</v>
      </c>
      <c r="L538" s="29">
        <f>IF(L$17=1,IF($D$510=1,$D$511*'Assumptions - Passenger'!L$41,'Assumptions - Passenger'!L$41)," ")</f>
        <v>20</v>
      </c>
      <c r="M538" s="29">
        <f>IF(M$17=1,IF($D$510=1,$D$511*'Assumptions - Passenger'!M$41,'Assumptions - Passenger'!M$41)," ")</f>
        <v>20</v>
      </c>
      <c r="N538" s="29">
        <f>IF(N$17=1,IF($D$510=1,$D$511*'Assumptions - Passenger'!N$41,'Assumptions - Passenger'!N$41)," ")</f>
        <v>20</v>
      </c>
      <c r="O538" s="29">
        <f>IF(O$17=1,IF($D$510=1,$D$511*'Assumptions - Passenger'!O$41,'Assumptions - Passenger'!O$41)," ")</f>
        <v>20</v>
      </c>
      <c r="P538" s="29">
        <f>IF(P$17=1,IF($D$510=1,$D$511*'Assumptions - Passenger'!P$41,'Assumptions - Passenger'!P$41)," ")</f>
        <v>20</v>
      </c>
      <c r="Q538" s="29">
        <f>IF(Q$17=1,IF($D$510=1,$D$511*'Assumptions - Passenger'!Q$41,'Assumptions - Passenger'!Q$41)," ")</f>
        <v>20</v>
      </c>
      <c r="R538" s="29">
        <f>IF(R$17=1,IF($D$510=1,$D$511*'Assumptions - Passenger'!R$41,'Assumptions - Passenger'!R$41)," ")</f>
        <v>20</v>
      </c>
      <c r="S538" s="29">
        <f>IF(S$17=1,IF($D$510=1,$D$511*'Assumptions - Passenger'!S$41,'Assumptions - Passenger'!S$41)," ")</f>
        <v>20</v>
      </c>
      <c r="T538" s="29">
        <f>IF(T$17=1,IF($D$510=1,$D$511*'Assumptions - Passenger'!T$41,'Assumptions - Passenger'!T$41)," ")</f>
        <v>20</v>
      </c>
      <c r="U538" s="29">
        <f>IF(U$17=1,IF($D$510=1,$D$511*'Assumptions - Passenger'!U$41,'Assumptions - Passenger'!U$41)," ")</f>
        <v>20</v>
      </c>
      <c r="V538" s="29">
        <f>IF(V$17=1,IF($D$510=1,$D$511*'Assumptions - Passenger'!V$41,'Assumptions - Passenger'!V$41)," ")</f>
        <v>20</v>
      </c>
      <c r="W538" s="29">
        <f>IF(W$17=1,IF($D$510=1,$D$511*'Assumptions - Passenger'!W$41,'Assumptions - Passenger'!W$41)," ")</f>
        <v>20</v>
      </c>
      <c r="X538" s="29">
        <f>IF(X$17=1,IF($D$510=1,$D$511*'Assumptions - Passenger'!X$41,'Assumptions - Passenger'!X$41)," ")</f>
        <v>20</v>
      </c>
      <c r="Y538" s="29">
        <f>IF(Y$17=1,IF($D$510=1,$D$511*'Assumptions - Passenger'!Y$41,'Assumptions - Passenger'!Y$41)," ")</f>
        <v>20</v>
      </c>
      <c r="Z538" s="29">
        <f>IF(Z$17=1,IF($D$510=1,$D$511*'Assumptions - Passenger'!Z$41,'Assumptions - Passenger'!Z$41)," ")</f>
        <v>20</v>
      </c>
      <c r="AA538" s="29">
        <f>IF(AA$17=1,IF($D$510=1,$D$511*'Assumptions - Passenger'!AA$41,'Assumptions - Passenger'!AA$41)," ")</f>
        <v>20</v>
      </c>
      <c r="AB538" s="29">
        <f>IF(AB$17=1,IF($D$510=1,$D$511*'Assumptions - Passenger'!AB$41,'Assumptions - Passenger'!AB$41)," ")</f>
        <v>20</v>
      </c>
      <c r="AC538" s="29">
        <f>IF(AC$17=1,IF($D$510=1,$D$511*'Assumptions - Passenger'!AC$41,'Assumptions - Passenger'!AC$41)," ")</f>
        <v>20</v>
      </c>
      <c r="AD538" s="29">
        <f>IF(AD$17=1,IF($D$510=1,$D$511*'Assumptions - Passenger'!AD$41,'Assumptions - Passenger'!AD$41)," ")</f>
        <v>20</v>
      </c>
      <c r="AE538" s="29">
        <f>IF(AE$17=1,IF($D$510=1,$D$511*'Assumptions - Passenger'!AE$41,'Assumptions - Passenger'!AE$41)," ")</f>
        <v>20</v>
      </c>
      <c r="AF538" s="29">
        <f>IF(AF$17=1,IF($D$510=1,$D$511*'Assumptions - Passenger'!AF$41,'Assumptions - Passenger'!AF$41)," ")</f>
        <v>20</v>
      </c>
      <c r="AG538" s="29">
        <f>IF(AG$17=1,IF($D$510=1,$D$511*'Assumptions - Passenger'!AG$41,'Assumptions - Passenger'!AG$41)," ")</f>
        <v>20</v>
      </c>
      <c r="AH538" s="29">
        <f>IF(AH$17=1,IF($D$510=1,$D$511*'Assumptions - Passenger'!AH$41,'Assumptions - Passenger'!AH$41)," ")</f>
        <v>20</v>
      </c>
    </row>
    <row r="539" spans="1:34" s="20" customFormat="1" ht="14" x14ac:dyDescent="0.2">
      <c r="A539" s="87"/>
      <c r="B539" s="30" t="s">
        <v>608</v>
      </c>
      <c r="C539" s="8"/>
      <c r="D539" s="8" t="str">
        <f>'Assumptions - General'!$E$27 &amp;" millions"</f>
        <v>R$ millions</v>
      </c>
      <c r="E539" s="29"/>
      <c r="F539" s="29">
        <f>IF(F$17=1,'Assumptions - Passenger'!F49-Calculations!F532," ")</f>
        <v>0</v>
      </c>
      <c r="G539" s="29">
        <f>IF(G$17=1,'Assumptions - Passenger'!G49-Calculations!G532," ")</f>
        <v>0</v>
      </c>
      <c r="H539" s="29">
        <f>IF(H$17=1,'Assumptions - Passenger'!H49-Calculations!H532," ")</f>
        <v>0</v>
      </c>
      <c r="I539" s="29">
        <f>IF(I$17=1,'Assumptions - Passenger'!I49-Calculations!I532," ")</f>
        <v>0</v>
      </c>
      <c r="J539" s="29">
        <f>IF(J$17=1,'Assumptions - Passenger'!J49-Calculations!J532," ")</f>
        <v>0</v>
      </c>
      <c r="K539" s="29">
        <f>IF(K$17=1,'Assumptions - Passenger'!K49-Calculations!K532," ")</f>
        <v>0</v>
      </c>
      <c r="L539" s="29">
        <f>IF(L$17=1,'Assumptions - Passenger'!L49-Calculations!L532," ")</f>
        <v>0</v>
      </c>
      <c r="M539" s="29">
        <f>IF(M$17=1,'Assumptions - Passenger'!M49-Calculations!M532," ")</f>
        <v>0</v>
      </c>
      <c r="N539" s="29">
        <f>IF(N$17=1,'Assumptions - Passenger'!N49-Calculations!N532," ")</f>
        <v>0</v>
      </c>
      <c r="O539" s="29">
        <f>IF(O$17=1,'Assumptions - Passenger'!O49-Calculations!O532," ")</f>
        <v>0</v>
      </c>
      <c r="P539" s="29">
        <f>IF(P$17=1,'Assumptions - Passenger'!P49-Calculations!P532," ")</f>
        <v>0</v>
      </c>
      <c r="Q539" s="29">
        <f>IF(Q$17=1,'Assumptions - Passenger'!Q49-Calculations!Q532," ")</f>
        <v>0</v>
      </c>
      <c r="R539" s="29">
        <f>IF(R$17=1,'Assumptions - Passenger'!R49-Calculations!R532," ")</f>
        <v>0</v>
      </c>
      <c r="S539" s="29">
        <f>IF(S$17=1,'Assumptions - Passenger'!S49-Calculations!S532," ")</f>
        <v>0</v>
      </c>
      <c r="T539" s="29">
        <f>IF(T$17=1,'Assumptions - Passenger'!T49-Calculations!T532," ")</f>
        <v>0</v>
      </c>
      <c r="U539" s="29">
        <f>IF(U$17=1,'Assumptions - Passenger'!U49-Calculations!U532," ")</f>
        <v>0</v>
      </c>
      <c r="V539" s="29">
        <f>IF(V$17=1,'Assumptions - Passenger'!V49-Calculations!V532," ")</f>
        <v>0</v>
      </c>
      <c r="W539" s="29">
        <f>IF(W$17=1,'Assumptions - Passenger'!W49-Calculations!W532," ")</f>
        <v>0</v>
      </c>
      <c r="X539" s="29">
        <f>IF(X$17=1,'Assumptions - Passenger'!X49-Calculations!X532," ")</f>
        <v>0</v>
      </c>
      <c r="Y539" s="29">
        <f>IF(Y$17=1,'Assumptions - Passenger'!Y49-Calculations!Y532," ")</f>
        <v>0</v>
      </c>
      <c r="Z539" s="29">
        <f>IF(Z$17=1,'Assumptions - Passenger'!Z49-Calculations!Z532," ")</f>
        <v>5</v>
      </c>
      <c r="AA539" s="29">
        <f>IF(AA$17=1,'Assumptions - Passenger'!AA49-Calculations!AA532," ")</f>
        <v>5</v>
      </c>
      <c r="AB539" s="29">
        <f>IF(AB$17=1,'Assumptions - Passenger'!AB49-Calculations!AB532," ")</f>
        <v>5</v>
      </c>
      <c r="AC539" s="29">
        <f>IF(AC$17=1,'Assumptions - Passenger'!AC49-Calculations!AC532," ")</f>
        <v>5</v>
      </c>
      <c r="AD539" s="29">
        <f>IF(AD$17=1,'Assumptions - Passenger'!AD49-Calculations!AD532," ")</f>
        <v>5</v>
      </c>
      <c r="AE539" s="29">
        <f>IF(AE$17=1,'Assumptions - Passenger'!AE49-Calculations!AE532," ")</f>
        <v>5</v>
      </c>
      <c r="AF539" s="29">
        <f>IF(AF$17=1,'Assumptions - Passenger'!AF49-Calculations!AF532," ")</f>
        <v>5</v>
      </c>
      <c r="AG539" s="29">
        <f>IF(AG$17=1,'Assumptions - Passenger'!AG49-Calculations!AG532," ")</f>
        <v>5</v>
      </c>
      <c r="AH539" s="29">
        <f>IF(AH$17=1,'Assumptions - Passenger'!AH49-Calculations!AH532," ")</f>
        <v>5</v>
      </c>
    </row>
    <row r="540" spans="1:34" s="20" customFormat="1" ht="14" x14ac:dyDescent="0.2">
      <c r="A540" s="87"/>
      <c r="B540" s="30" t="s">
        <v>635</v>
      </c>
      <c r="C540" s="8"/>
      <c r="D540" s="8" t="str">
        <f>'Assumptions - General'!$E$27 &amp;" millions"</f>
        <v>R$ millions</v>
      </c>
      <c r="E540" s="29"/>
      <c r="F540" s="29">
        <f>IF(F$17=1,(IF($A530=1,IF(F537-F539&gt;0,(MIN((F537-F539),(SUM($E538:F538)-SUM($E539:F539))/'Assumptions - Passenger'!$E$69)),0),0))," ")</f>
        <v>0</v>
      </c>
      <c r="G540" s="29">
        <f>IF(G$17=1,(IF($A530=1,IF(G537-G539&gt;0,(MIN((G537-G539),(SUM($E538:G538)-SUM($E539:G539))/'Assumptions - Passenger'!$E$69)),0),0))," ")</f>
        <v>1.0526315789473684</v>
      </c>
      <c r="H540" s="29">
        <f>IF(H$17=1,(IF($A530=1,IF(H537-H539&gt;0,(MIN((H537-H539),(SUM($E538:H538)-SUM($E539:H539))/'Assumptions - Passenger'!$E$69)),0),0))," ")</f>
        <v>1.5789473684210527</v>
      </c>
      <c r="I540" s="29">
        <f>IF(I$17=1,(IF($A530=1,IF(I537-I539&gt;0,(MIN((I537-I539),(SUM($E538:I538)-SUM($E539:I539))/'Assumptions - Passenger'!$E$69)),0),0))," ")</f>
        <v>2.1052631578947367</v>
      </c>
      <c r="J540" s="29">
        <f>IF(J$17=1,(IF($A530=1,IF(J537-J539&gt;0,(MIN((J537-J539),(SUM($E538:J538)-SUM($E539:J539))/'Assumptions - Passenger'!$E$69)),0),0))," ")</f>
        <v>2.6315789473684212</v>
      </c>
      <c r="K540" s="29">
        <f>IF(K$17=1,(IF($A530=1,IF(K537-K539&gt;0,(MIN((K537-K539),(SUM($E538:K538)-SUM($E539:K539))/'Assumptions - Passenger'!$E$69)),0),0))," ")</f>
        <v>3.1578947368421053</v>
      </c>
      <c r="L540" s="29">
        <f>IF(L$17=1,(IF($A530=1,IF(L537-L539&gt;0,(MIN((L537-L539),(SUM($E538:L538)-SUM($E539:L539))/'Assumptions - Passenger'!$E$69)),0),0))," ")</f>
        <v>3.6842105263157894</v>
      </c>
      <c r="M540" s="29">
        <f>IF(M$17=1,(IF($A530=1,IF(M537-M539&gt;0,(MIN((M537-M539),(SUM($E538:M538)-SUM($E539:M539))/'Assumptions - Passenger'!$E$69)),0),0))," ")</f>
        <v>4.2105263157894735</v>
      </c>
      <c r="N540" s="29">
        <f>IF(N$17=1,(IF($A530=1,IF(N537-N539&gt;0,(MIN((N537-N539),(SUM($E538:N538)-SUM($E539:N539))/'Assumptions - Passenger'!$E$69)),0),0))," ")</f>
        <v>4.7368421052631575</v>
      </c>
      <c r="O540" s="29">
        <f>IF(O$17=1,(IF($A530=1,IF(O537-O539&gt;0,(MIN((O537-O539),(SUM($E538:O538)-SUM($E539:O539))/'Assumptions - Passenger'!$E$69)),0),0))," ")</f>
        <v>5.2631578947368425</v>
      </c>
      <c r="P540" s="29">
        <f>IF(P$17=1,(IF($A530=1,IF(P537-P539&gt;0,(MIN((P537-P539),(SUM($E538:P538)-SUM($E539:P539))/'Assumptions - Passenger'!$E$69)),0),0))," ")</f>
        <v>5.7894736842105265</v>
      </c>
      <c r="Q540" s="29">
        <f>IF(Q$17=1,(IF($A530=1,IF(Q537-Q539&gt;0,(MIN((Q537-Q539),(SUM($E538:Q538)-SUM($E539:Q539))/'Assumptions - Passenger'!$E$69)),0),0))," ")</f>
        <v>6.3157894736842106</v>
      </c>
      <c r="R540" s="29">
        <f>IF(R$17=1,(IF($A530=1,IF(R537-R539&gt;0,(MIN((R537-R539),(SUM($E538:R538)-SUM($E539:R539))/'Assumptions - Passenger'!$E$69)),0),0))," ")</f>
        <v>6.8421052631578947</v>
      </c>
      <c r="S540" s="29">
        <f>IF(S$17=1,(IF($A530=1,IF(S537-S539&gt;0,(MIN((S537-S539),(SUM($E538:S538)-SUM($E539:S539))/'Assumptions - Passenger'!$E$69)),0),0))," ")</f>
        <v>7.3684210526315788</v>
      </c>
      <c r="T540" s="29">
        <f>IF(T$17=1,(IF($A530=1,IF(T537-T539&gt;0,(MIN((T537-T539),(SUM($E538:T538)-SUM($E539:T539))/'Assumptions - Passenger'!$E$69)),0),0))," ")</f>
        <v>7.8947368421052628</v>
      </c>
      <c r="U540" s="29">
        <f>IF(U$17=1,(IF($A530=1,IF(U537-U539&gt;0,(MIN((U537-U539),(SUM($E538:U538)-SUM($E539:U539))/'Assumptions - Passenger'!$E$69)),0),0))," ")</f>
        <v>8.4210526315789469</v>
      </c>
      <c r="V540" s="29">
        <f>IF(V$17=1,(IF($A530=1,IF(V537-V539&gt;0,(MIN((V537-V539),(SUM($E538:V538)-SUM($E539:V539))/'Assumptions - Passenger'!$E$69)),0),0))," ")</f>
        <v>8.9473684210526319</v>
      </c>
      <c r="W540" s="29">
        <f>IF(W$17=1,(IF($A530=1,IF(W537-W539&gt;0,(MIN((W537-W539),(SUM($E538:W538)-SUM($E539:W539))/'Assumptions - Passenger'!$E$69)),0),0))," ")</f>
        <v>9.473684210526315</v>
      </c>
      <c r="X540" s="29">
        <f>IF(X$17=1,(IF($A530=1,IF(X537-X539&gt;0,(MIN((X537-X539),(SUM($E538:X538)-SUM($E539:X539))/'Assumptions - Passenger'!$E$69)),0),0))," ")</f>
        <v>10</v>
      </c>
      <c r="Y540" s="29">
        <f>IF(Y$17=1,(IF($A530=1,IF(Y537-Y539&gt;0,(MIN((Y537-Y539),(SUM($E538:Y538)-SUM($E539:Y539))/'Assumptions - Passenger'!$E$69)),0),0))," ")</f>
        <v>10.526315789473685</v>
      </c>
      <c r="Z540" s="29">
        <f>IF(Z$17=1,(IF($A530=1,IF(Z537-Z539&gt;0,(MIN((Z537-Z539),(SUM($E538:Z538)-SUM($E539:Z539))/'Assumptions - Passenger'!$E$69)),0),0))," ")</f>
        <v>10.921052631578947</v>
      </c>
      <c r="AA540" s="29">
        <f>IF(AA$17=1,(IF($A530=1,IF(AA537-AA539&gt;0,(MIN((AA537-AA539),(SUM($E538:AA538)-SUM($E539:AA539))/'Assumptions - Passenger'!$E$69)),0),0))," ")</f>
        <v>11.315789473684211</v>
      </c>
      <c r="AB540" s="29">
        <f>IF(AB$17=1,(IF($A530=1,IF(AB537-AB539&gt;0,(MIN((AB537-AB539),(SUM($E538:AB538)-SUM($E539:AB539))/'Assumptions - Passenger'!$E$69)),0),0))," ")</f>
        <v>11.710526315789474</v>
      </c>
      <c r="AC540" s="29">
        <f>IF(AC$17=1,(IF($A530=1,IF(AC537-AC539&gt;0,(MIN((AC537-AC539),(SUM($E538:AC538)-SUM($E539:AC539))/'Assumptions - Passenger'!$E$69)),0),0))," ")</f>
        <v>12.105263157894736</v>
      </c>
      <c r="AD540" s="29">
        <f>IF(AD$17=1,(IF($A530=1,IF(AD537-AD539&gt;0,(MIN((AD537-AD539),(SUM($E538:AD538)-SUM($E539:AD539))/'Assumptions - Passenger'!$E$69)),0),0))," ")</f>
        <v>12.5</v>
      </c>
      <c r="AE540" s="29">
        <f>IF(AE$17=1,(IF($A530=1,IF(AE537-AE539&gt;0,(MIN((AE537-AE539),(SUM($E538:AE538)-SUM($E539:AE539))/'Assumptions - Passenger'!$E$69)),0),0))," ")</f>
        <v>12.894736842105264</v>
      </c>
      <c r="AF540" s="29">
        <f>IF(AF$17=1,(IF($A530=1,IF(AF537-AF539&gt;0,(MIN((AF537-AF539),(SUM($E538:AF538)-SUM($E539:AF539))/'Assumptions - Passenger'!$E$69)),0),0))," ")</f>
        <v>13.289473684210526</v>
      </c>
      <c r="AG540" s="29">
        <f>IF(AG$17=1,(IF($A530=1,IF(AG537-AG539&gt;0,(MIN((AG537-AG539),(SUM($E538:AG538)-SUM($E539:AG539))/'Assumptions - Passenger'!$E$69)),0),0))," ")</f>
        <v>13.684210526315789</v>
      </c>
      <c r="AH540" s="29">
        <f>IF(AH$17=1,(IF($A530=1,IF(AH537-AH539&gt;0,(MIN((AH537-AH539),(SUM($E538:AH538)-SUM($E539:AH539))/'Assumptions - Passenger'!$E$69)),0),0))," ")</f>
        <v>14.078947368421053</v>
      </c>
    </row>
    <row r="541" spans="1:34" s="20" customFormat="1" ht="14" x14ac:dyDescent="0.2">
      <c r="A541" s="87"/>
      <c r="B541" s="30" t="s">
        <v>636</v>
      </c>
      <c r="C541" s="8"/>
      <c r="D541" s="8" t="str">
        <f>'Assumptions - General'!$E$27 &amp;" millions"</f>
        <v>R$ millions</v>
      </c>
      <c r="E541" s="29"/>
      <c r="F541" s="29">
        <f>IF(F$17=1,SUM($E540:F540)," ")</f>
        <v>0</v>
      </c>
      <c r="G541" s="29">
        <f>IF(G$17=1,SUM($E540:G540)," ")</f>
        <v>1.0526315789473684</v>
      </c>
      <c r="H541" s="29">
        <f>IF(H$17=1,SUM($E540:H540)," ")</f>
        <v>2.6315789473684212</v>
      </c>
      <c r="I541" s="29">
        <f>IF(I$17=1,SUM($E540:I540)," ")</f>
        <v>4.7368421052631575</v>
      </c>
      <c r="J541" s="29">
        <f>IF(J$17=1,SUM($E540:J540)," ")</f>
        <v>7.3684210526315788</v>
      </c>
      <c r="K541" s="29">
        <f>IF(K$17=1,SUM($E540:K540)," ")</f>
        <v>10.526315789473685</v>
      </c>
      <c r="L541" s="29">
        <f>IF(L$17=1,SUM($E540:L540)," ")</f>
        <v>14.210526315789474</v>
      </c>
      <c r="M541" s="29">
        <f>IF(M$17=1,SUM($E540:M540)," ")</f>
        <v>18.421052631578949</v>
      </c>
      <c r="N541" s="29">
        <f>IF(N$17=1,SUM($E540:N540)," ")</f>
        <v>23.157894736842106</v>
      </c>
      <c r="O541" s="29">
        <f>IF(O$17=1,SUM($E540:O540)," ")</f>
        <v>28.421052631578949</v>
      </c>
      <c r="P541" s="29">
        <f>IF(P$17=1,SUM($E540:P540)," ")</f>
        <v>34.210526315789473</v>
      </c>
      <c r="Q541" s="29">
        <f>IF(Q$17=1,SUM($E540:Q540)," ")</f>
        <v>40.526315789473685</v>
      </c>
      <c r="R541" s="29">
        <f>IF(R$17=1,SUM($E540:R540)," ")</f>
        <v>47.368421052631582</v>
      </c>
      <c r="S541" s="29">
        <f>IF(S$17=1,SUM($E540:S540)," ")</f>
        <v>54.736842105263165</v>
      </c>
      <c r="T541" s="29">
        <f>IF(T$17=1,SUM($E540:T540)," ")</f>
        <v>62.631578947368425</v>
      </c>
      <c r="U541" s="29">
        <f>IF(U$17=1,SUM($E540:U540)," ")</f>
        <v>71.05263157894737</v>
      </c>
      <c r="V541" s="29">
        <f>IF(V$17=1,SUM($E540:V540)," ")</f>
        <v>80</v>
      </c>
      <c r="W541" s="29">
        <f>IF(W$17=1,SUM($E540:W540)," ")</f>
        <v>89.473684210526315</v>
      </c>
      <c r="X541" s="29">
        <f>IF(X$17=1,SUM($E540:X540)," ")</f>
        <v>99.473684210526315</v>
      </c>
      <c r="Y541" s="29">
        <f>IF(Y$17=1,SUM($E540:Y540)," ")</f>
        <v>110</v>
      </c>
      <c r="Z541" s="29">
        <f>IF(Z$17=1,SUM($E540:Z540)," ")</f>
        <v>120.92105263157895</v>
      </c>
      <c r="AA541" s="29">
        <f>IF(AA$17=1,SUM($E540:AA540)," ")</f>
        <v>132.23684210526315</v>
      </c>
      <c r="AB541" s="29">
        <f>IF(AB$17=1,SUM($E540:AB540)," ")</f>
        <v>143.94736842105263</v>
      </c>
      <c r="AC541" s="29">
        <f>IF(AC$17=1,SUM($E540:AC540)," ")</f>
        <v>156.05263157894737</v>
      </c>
      <c r="AD541" s="29">
        <f>IF(AD$17=1,SUM($E540:AD540)," ")</f>
        <v>168.55263157894737</v>
      </c>
      <c r="AE541" s="29">
        <f>IF(AE$17=1,SUM($E540:AE540)," ")</f>
        <v>181.44736842105263</v>
      </c>
      <c r="AF541" s="29">
        <f>IF(AF$17=1,SUM($E540:AF540)," ")</f>
        <v>194.73684210526315</v>
      </c>
      <c r="AG541" s="29">
        <f>IF(AG$17=1,SUM($E540:AG540)," ")</f>
        <v>208.42105263157893</v>
      </c>
      <c r="AH541" s="29">
        <f>IF(AH$17=1,SUM($E540:AH540)," ")</f>
        <v>222.49999999999997</v>
      </c>
    </row>
    <row r="542" spans="1:34" s="20" customFormat="1" ht="14" x14ac:dyDescent="0.2">
      <c r="A542" s="87"/>
      <c r="B542" s="14" t="s">
        <v>640</v>
      </c>
      <c r="C542" s="8"/>
      <c r="D542" s="8" t="str">
        <f>'Assumptions - General'!$E$27 &amp;" millions"</f>
        <v>R$ millions</v>
      </c>
      <c r="E542" s="29"/>
      <c r="F542" s="29">
        <f t="shared" ref="F542:AH542" si="233">IF(F17=1,F537+F538-F539-F540," ")</f>
        <v>20</v>
      </c>
      <c r="G542" s="29">
        <f t="shared" si="233"/>
        <v>38.94736842105263</v>
      </c>
      <c r="H542" s="29">
        <f t="shared" si="233"/>
        <v>57.368421052631575</v>
      </c>
      <c r="I542" s="29">
        <f t="shared" si="233"/>
        <v>75.263157894736835</v>
      </c>
      <c r="J542" s="29">
        <f t="shared" si="233"/>
        <v>92.631578947368411</v>
      </c>
      <c r="K542" s="29">
        <f t="shared" si="233"/>
        <v>109.4736842105263</v>
      </c>
      <c r="L542" s="29">
        <f t="shared" si="233"/>
        <v>125.78947368421051</v>
      </c>
      <c r="M542" s="29">
        <f t="shared" si="233"/>
        <v>141.57894736842104</v>
      </c>
      <c r="N542" s="29">
        <f t="shared" si="233"/>
        <v>156.84210526315789</v>
      </c>
      <c r="O542" s="29">
        <f t="shared" si="233"/>
        <v>171.57894736842104</v>
      </c>
      <c r="P542" s="29">
        <f t="shared" si="233"/>
        <v>185.78947368421052</v>
      </c>
      <c r="Q542" s="29">
        <f t="shared" si="233"/>
        <v>199.4736842105263</v>
      </c>
      <c r="R542" s="29">
        <f t="shared" si="233"/>
        <v>212.63157894736841</v>
      </c>
      <c r="S542" s="29">
        <f t="shared" si="233"/>
        <v>225.26315789473682</v>
      </c>
      <c r="T542" s="29">
        <f t="shared" si="233"/>
        <v>237.36842105263156</v>
      </c>
      <c r="U542" s="29">
        <f t="shared" si="233"/>
        <v>248.9473684210526</v>
      </c>
      <c r="V542" s="29">
        <f t="shared" si="233"/>
        <v>259.99999999999994</v>
      </c>
      <c r="W542" s="29">
        <f t="shared" si="233"/>
        <v>270.52631578947364</v>
      </c>
      <c r="X542" s="29">
        <f t="shared" si="233"/>
        <v>280.52631578947364</v>
      </c>
      <c r="Y542" s="29">
        <f t="shared" si="233"/>
        <v>289.99999999999994</v>
      </c>
      <c r="Z542" s="29">
        <f t="shared" si="233"/>
        <v>294.07894736842098</v>
      </c>
      <c r="AA542" s="29">
        <f t="shared" si="233"/>
        <v>297.76315789473676</v>
      </c>
      <c r="AB542" s="29">
        <f t="shared" si="233"/>
        <v>301.05263157894728</v>
      </c>
      <c r="AC542" s="29">
        <f t="shared" si="233"/>
        <v>303.94736842105254</v>
      </c>
      <c r="AD542" s="29">
        <f t="shared" si="233"/>
        <v>306.44736842105254</v>
      </c>
      <c r="AE542" s="29">
        <f t="shared" si="233"/>
        <v>308.55263157894728</v>
      </c>
      <c r="AF542" s="29">
        <f t="shared" si="233"/>
        <v>310.26315789473676</v>
      </c>
      <c r="AG542" s="29">
        <f t="shared" si="233"/>
        <v>311.57894736842098</v>
      </c>
      <c r="AH542" s="29">
        <f t="shared" si="233"/>
        <v>312.49999999999994</v>
      </c>
    </row>
    <row r="543" spans="1:34" s="20" customFormat="1" ht="14" x14ac:dyDescent="0.2">
      <c r="A543" s="87"/>
      <c r="B543" s="14"/>
      <c r="C543" s="8"/>
      <c r="D543" s="8"/>
      <c r="E543" s="29"/>
      <c r="F543" s="29"/>
      <c r="G543" s="29"/>
      <c r="H543" s="29"/>
      <c r="I543" s="29"/>
      <c r="J543" s="29"/>
      <c r="K543" s="29"/>
      <c r="L543" s="29"/>
      <c r="M543" s="29"/>
      <c r="N543" s="29"/>
      <c r="O543" s="29"/>
      <c r="P543" s="29"/>
      <c r="Q543" s="29"/>
      <c r="R543" s="29"/>
      <c r="S543" s="29"/>
      <c r="T543" s="29"/>
      <c r="U543" s="29"/>
      <c r="V543" s="29"/>
      <c r="W543" s="29"/>
      <c r="X543" s="29"/>
      <c r="Y543" s="29"/>
      <c r="Z543" s="29"/>
      <c r="AA543" s="29"/>
      <c r="AB543" s="29"/>
      <c r="AC543" s="29"/>
      <c r="AD543" s="29"/>
      <c r="AE543" s="29"/>
      <c r="AF543" s="29"/>
      <c r="AG543" s="29"/>
      <c r="AH543" s="29"/>
    </row>
    <row r="544" spans="1:34" s="20" customFormat="1" ht="14" x14ac:dyDescent="0.2">
      <c r="A544" s="87"/>
      <c r="B544" s="14" t="s">
        <v>638</v>
      </c>
      <c r="C544" s="8"/>
      <c r="D544" s="8" t="str">
        <f>'Assumptions - General'!$E$27 &amp;" millions"</f>
        <v>R$ millions</v>
      </c>
      <c r="E544" s="29">
        <f t="shared" ref="E544:AH544" si="234">IF(E17=1,E535+E542," ")</f>
        <v>150</v>
      </c>
      <c r="F544" s="29">
        <f t="shared" si="234"/>
        <v>161.18421052631578</v>
      </c>
      <c r="G544" s="29">
        <f t="shared" si="234"/>
        <v>171.44736842105263</v>
      </c>
      <c r="H544" s="29">
        <f t="shared" si="234"/>
        <v>181.31578947368422</v>
      </c>
      <c r="I544" s="29">
        <f t="shared" si="234"/>
        <v>190.78947368421052</v>
      </c>
      <c r="J544" s="29">
        <f t="shared" si="234"/>
        <v>199.86842105263156</v>
      </c>
      <c r="K544" s="29">
        <f t="shared" si="234"/>
        <v>208.55263157894734</v>
      </c>
      <c r="L544" s="29">
        <f t="shared" si="234"/>
        <v>216.84210526315786</v>
      </c>
      <c r="M544" s="29">
        <f t="shared" si="234"/>
        <v>224.73684210526315</v>
      </c>
      <c r="N544" s="29">
        <f t="shared" si="234"/>
        <v>232.23684210526318</v>
      </c>
      <c r="O544" s="29">
        <f t="shared" si="234"/>
        <v>239.34210526315789</v>
      </c>
      <c r="P544" s="29">
        <f t="shared" si="234"/>
        <v>246.05263157894737</v>
      </c>
      <c r="Q544" s="29">
        <f t="shared" si="234"/>
        <v>252.36842105263156</v>
      </c>
      <c r="R544" s="29">
        <f t="shared" si="234"/>
        <v>258.28947368421052</v>
      </c>
      <c r="S544" s="29">
        <f t="shared" si="234"/>
        <v>263.81578947368422</v>
      </c>
      <c r="T544" s="29">
        <f t="shared" si="234"/>
        <v>268.9473684210526</v>
      </c>
      <c r="U544" s="29">
        <f t="shared" si="234"/>
        <v>273.68421052631578</v>
      </c>
      <c r="V544" s="29">
        <f t="shared" si="234"/>
        <v>278.02631578947364</v>
      </c>
      <c r="W544" s="29">
        <f t="shared" si="234"/>
        <v>281.9736842105263</v>
      </c>
      <c r="X544" s="29">
        <f t="shared" si="234"/>
        <v>285.52631578947364</v>
      </c>
      <c r="Y544" s="29">
        <f t="shared" si="234"/>
        <v>289.99999999999994</v>
      </c>
      <c r="Z544" s="29">
        <f t="shared" si="234"/>
        <v>294.07894736842098</v>
      </c>
      <c r="AA544" s="29">
        <f t="shared" si="234"/>
        <v>297.76315789473676</v>
      </c>
      <c r="AB544" s="29">
        <f t="shared" si="234"/>
        <v>301.05263157894728</v>
      </c>
      <c r="AC544" s="29">
        <f t="shared" si="234"/>
        <v>303.94736842105254</v>
      </c>
      <c r="AD544" s="29">
        <f t="shared" si="234"/>
        <v>306.44736842105254</v>
      </c>
      <c r="AE544" s="29">
        <f t="shared" si="234"/>
        <v>308.55263157894728</v>
      </c>
      <c r="AF544" s="29">
        <f t="shared" si="234"/>
        <v>310.26315789473676</v>
      </c>
      <c r="AG544" s="29">
        <f t="shared" si="234"/>
        <v>311.57894736842098</v>
      </c>
      <c r="AH544" s="29">
        <f t="shared" si="234"/>
        <v>312.49999999999994</v>
      </c>
    </row>
    <row r="545" spans="1:34" s="310" customFormat="1" ht="14" x14ac:dyDescent="0.2">
      <c r="A545" s="87"/>
      <c r="B545" s="446"/>
      <c r="C545" s="87"/>
      <c r="D545" s="87"/>
      <c r="E545" s="447"/>
      <c r="F545" s="447"/>
      <c r="G545" s="447"/>
      <c r="H545" s="447"/>
      <c r="I545" s="447"/>
      <c r="J545" s="447"/>
      <c r="K545" s="447"/>
      <c r="L545" s="447"/>
      <c r="M545" s="447"/>
      <c r="N545" s="447"/>
      <c r="O545" s="447"/>
      <c r="P545" s="447"/>
      <c r="Q545" s="447"/>
      <c r="R545" s="447"/>
      <c r="S545" s="447"/>
      <c r="T545" s="447"/>
      <c r="U545" s="447"/>
      <c r="V545" s="447"/>
      <c r="W545" s="447"/>
      <c r="X545" s="447"/>
      <c r="Y545" s="447"/>
      <c r="Z545" s="447"/>
      <c r="AA545" s="447"/>
      <c r="AB545" s="447"/>
      <c r="AC545" s="447"/>
      <c r="AD545" s="447"/>
      <c r="AE545" s="447"/>
      <c r="AF545" s="447"/>
      <c r="AG545" s="447"/>
      <c r="AH545" s="447"/>
    </row>
    <row r="546" spans="1:34" s="20" customFormat="1" ht="14" x14ac:dyDescent="0.2">
      <c r="A546" s="87">
        <f>'Assumptions - Passenger'!E73</f>
        <v>1</v>
      </c>
      <c r="B546" s="21" t="str">
        <f>'Assumptions - Passenger'!E28</f>
        <v>Track and infrastructure</v>
      </c>
      <c r="C546" s="8"/>
      <c r="D546" s="8"/>
      <c r="E546" s="29"/>
      <c r="F546" s="31"/>
      <c r="G546" s="31"/>
      <c r="H546" s="31"/>
      <c r="I546" s="31"/>
      <c r="J546" s="31"/>
      <c r="K546" s="31"/>
      <c r="L546" s="31"/>
      <c r="M546" s="31"/>
      <c r="N546" s="31"/>
      <c r="O546" s="31"/>
      <c r="P546" s="31"/>
      <c r="Q546" s="31"/>
      <c r="R546" s="31"/>
      <c r="S546" s="31"/>
      <c r="T546" s="31"/>
      <c r="U546" s="31"/>
      <c r="V546" s="31"/>
      <c r="W546" s="31"/>
      <c r="X546" s="31"/>
      <c r="Y546" s="31"/>
      <c r="Z546" s="31"/>
      <c r="AA546" s="31"/>
      <c r="AB546" s="31"/>
      <c r="AC546" s="31"/>
      <c r="AD546" s="31"/>
      <c r="AE546" s="31"/>
      <c r="AF546" s="31"/>
      <c r="AG546" s="31"/>
      <c r="AH546" s="31"/>
    </row>
    <row r="547" spans="1:34" s="20" customFormat="1" ht="14" x14ac:dyDescent="0.2">
      <c r="A547" s="87"/>
      <c r="B547" s="14" t="str">
        <f>"Starting value "</f>
        <v xml:space="preserve">Starting value </v>
      </c>
      <c r="C547" s="8"/>
      <c r="D547" s="8" t="str">
        <f>'Assumptions - General'!$E$27 &amp;" millions"</f>
        <v>R$ millions</v>
      </c>
      <c r="E547" s="29"/>
      <c r="F547" s="31">
        <f t="shared" ref="F547:AH547" si="235">IF(F$17=1,E551," ")</f>
        <v>200</v>
      </c>
      <c r="G547" s="31">
        <f t="shared" si="235"/>
        <v>189.86842105263159</v>
      </c>
      <c r="H547" s="31">
        <f t="shared" si="235"/>
        <v>179.86842105263159</v>
      </c>
      <c r="I547" s="31">
        <f t="shared" si="235"/>
        <v>170</v>
      </c>
      <c r="J547" s="31">
        <f t="shared" si="235"/>
        <v>160.26315789473685</v>
      </c>
      <c r="K547" s="31">
        <f t="shared" si="235"/>
        <v>150.65789473684211</v>
      </c>
      <c r="L547" s="31">
        <f t="shared" si="235"/>
        <v>141.18421052631578</v>
      </c>
      <c r="M547" s="31">
        <f t="shared" si="235"/>
        <v>131.84210526315789</v>
      </c>
      <c r="N547" s="31">
        <f t="shared" si="235"/>
        <v>122.63157894736841</v>
      </c>
      <c r="O547" s="31">
        <f t="shared" si="235"/>
        <v>113.55263157894736</v>
      </c>
      <c r="P547" s="31">
        <f t="shared" si="235"/>
        <v>104.60526315789473</v>
      </c>
      <c r="Q547" s="31">
        <f t="shared" si="235"/>
        <v>95.78947368421052</v>
      </c>
      <c r="R547" s="31">
        <f t="shared" si="235"/>
        <v>87.105263157894726</v>
      </c>
      <c r="S547" s="31">
        <f t="shared" si="235"/>
        <v>78.552631578947356</v>
      </c>
      <c r="T547" s="31">
        <f t="shared" si="235"/>
        <v>70.131578947368411</v>
      </c>
      <c r="U547" s="31">
        <f t="shared" si="235"/>
        <v>61.842105263157883</v>
      </c>
      <c r="V547" s="31">
        <f t="shared" si="235"/>
        <v>53.68421052631578</v>
      </c>
      <c r="W547" s="31">
        <f t="shared" si="235"/>
        <v>45.657894736842096</v>
      </c>
      <c r="X547" s="31">
        <f t="shared" si="235"/>
        <v>37.763157894736835</v>
      </c>
      <c r="Y547" s="31">
        <f t="shared" si="235"/>
        <v>29.999999999999993</v>
      </c>
      <c r="Z547" s="31">
        <f t="shared" si="235"/>
        <v>22.368421052631572</v>
      </c>
      <c r="AA547" s="31">
        <f t="shared" si="235"/>
        <v>14.868421052631572</v>
      </c>
      <c r="AB547" s="31">
        <f t="shared" si="235"/>
        <v>7.4999999999999929</v>
      </c>
      <c r="AC547" s="31">
        <f t="shared" si="235"/>
        <v>0.26315789473683493</v>
      </c>
      <c r="AD547" s="31">
        <f t="shared" si="235"/>
        <v>0</v>
      </c>
      <c r="AE547" s="31">
        <f t="shared" si="235"/>
        <v>0</v>
      </c>
      <c r="AF547" s="31">
        <f t="shared" si="235"/>
        <v>0</v>
      </c>
      <c r="AG547" s="31">
        <f t="shared" si="235"/>
        <v>0</v>
      </c>
      <c r="AH547" s="31">
        <f t="shared" si="235"/>
        <v>0</v>
      </c>
    </row>
    <row r="548" spans="1:34" s="20" customFormat="1" ht="14" x14ac:dyDescent="0.2">
      <c r="A548" s="87"/>
      <c r="B548" s="30" t="s">
        <v>608</v>
      </c>
      <c r="C548" s="8"/>
      <c r="D548" s="8" t="str">
        <f>'Assumptions - General'!$E$27 &amp;" millions"</f>
        <v>R$ millions</v>
      </c>
      <c r="E548" s="29"/>
      <c r="F548" s="29">
        <f>IF(F$17=1,IF(F547&gt;0,MIN(F547,'Assumptions - Passenger'!F50),0)," ")</f>
        <v>5</v>
      </c>
      <c r="G548" s="29">
        <f>IF(G$17=1,IF(G547&gt;0,MIN(G547,'Assumptions - Passenger'!G50),0)," ")</f>
        <v>5</v>
      </c>
      <c r="H548" s="29">
        <f>IF(H$17=1,IF(H547&gt;0,MIN(H547,'Assumptions - Passenger'!H50),0)," ")</f>
        <v>5</v>
      </c>
      <c r="I548" s="29">
        <f>IF(I$17=1,IF(I547&gt;0,MIN(I547,'Assumptions - Passenger'!I50),0)," ")</f>
        <v>5</v>
      </c>
      <c r="J548" s="29">
        <f>IF(J$17=1,IF(J547&gt;0,MIN(J547,'Assumptions - Passenger'!J50),0)," ")</f>
        <v>5</v>
      </c>
      <c r="K548" s="29">
        <f>IF(K$17=1,IF(K547&gt;0,MIN(K547,'Assumptions - Passenger'!K50),0)," ")</f>
        <v>5</v>
      </c>
      <c r="L548" s="29">
        <f>IF(L$17=1,IF(L547&gt;0,MIN(L547,'Assumptions - Passenger'!L50),0)," ")</f>
        <v>5</v>
      </c>
      <c r="M548" s="29">
        <f>IF(M$17=1,IF(M547&gt;0,MIN(M547,'Assumptions - Passenger'!M50),0)," ")</f>
        <v>5</v>
      </c>
      <c r="N548" s="29">
        <f>IF(N$17=1,IF(N547&gt;0,MIN(N547,'Assumptions - Passenger'!N50),0)," ")</f>
        <v>5</v>
      </c>
      <c r="O548" s="29">
        <f>IF(O$17=1,IF(O547&gt;0,MIN(O547,'Assumptions - Passenger'!O50),0)," ")</f>
        <v>5</v>
      </c>
      <c r="P548" s="29">
        <f>IF(P$17=1,IF(P547&gt;0,MIN(P547,'Assumptions - Passenger'!P50),0)," ")</f>
        <v>5</v>
      </c>
      <c r="Q548" s="29">
        <f>IF(Q$17=1,IF(Q547&gt;0,MIN(Q547,'Assumptions - Passenger'!Q50),0)," ")</f>
        <v>5</v>
      </c>
      <c r="R548" s="29">
        <f>IF(R$17=1,IF(R547&gt;0,MIN(R547,'Assumptions - Passenger'!R50),0)," ")</f>
        <v>5</v>
      </c>
      <c r="S548" s="29">
        <f>IF(S$17=1,IF(S547&gt;0,MIN(S547,'Assumptions - Passenger'!S50),0)," ")</f>
        <v>5</v>
      </c>
      <c r="T548" s="29">
        <f>IF(T$17=1,IF(T547&gt;0,MIN(T547,'Assumptions - Passenger'!T50),0)," ")</f>
        <v>5</v>
      </c>
      <c r="U548" s="29">
        <f>IF(U$17=1,IF(U547&gt;0,MIN(U547,'Assumptions - Passenger'!U50),0)," ")</f>
        <v>5</v>
      </c>
      <c r="V548" s="29">
        <f>IF(V$17=1,IF(V547&gt;0,MIN(V547,'Assumptions - Passenger'!V50),0)," ")</f>
        <v>5</v>
      </c>
      <c r="W548" s="29">
        <f>IF(W$17=1,IF(W547&gt;0,MIN(W547,'Assumptions - Passenger'!W50),0)," ")</f>
        <v>5</v>
      </c>
      <c r="X548" s="29">
        <f>IF(X$17=1,IF(X547&gt;0,MIN(X547,'Assumptions - Passenger'!X50),0)," ")</f>
        <v>5</v>
      </c>
      <c r="Y548" s="29">
        <f>IF(Y$17=1,IF(Y547&gt;0,MIN(Y547,'Assumptions - Passenger'!Y50),0)," ")</f>
        <v>5</v>
      </c>
      <c r="Z548" s="29">
        <f>IF(Z$17=1,IF(Z547&gt;0,MIN(Z547,'Assumptions - Passenger'!Z50),0)," ")</f>
        <v>5</v>
      </c>
      <c r="AA548" s="29">
        <f>IF(AA$17=1,IF(AA547&gt;0,MIN(AA547,'Assumptions - Passenger'!AA50),0)," ")</f>
        <v>5</v>
      </c>
      <c r="AB548" s="29">
        <f>IF(AB$17=1,IF(AB547&gt;0,MIN(AB547,'Assumptions - Passenger'!AB50),0)," ")</f>
        <v>5</v>
      </c>
      <c r="AC548" s="29">
        <f>IF(AC$17=1,IF(AC547&gt;0,MIN(AC547,'Assumptions - Passenger'!AC50),0)," ")</f>
        <v>0.26315789473683493</v>
      </c>
      <c r="AD548" s="29">
        <f>IF(AD$17=1,IF(AD547&gt;0,MIN(AD547,'Assumptions - Passenger'!AD50),0)," ")</f>
        <v>0</v>
      </c>
      <c r="AE548" s="29">
        <f>IF(AE$17=1,IF(AE547&gt;0,MIN(AE547,'Assumptions - Passenger'!AE50),0)," ")</f>
        <v>0</v>
      </c>
      <c r="AF548" s="29">
        <f>IF(AF$17=1,IF(AF547&gt;0,MIN(AF547,'Assumptions - Passenger'!AF50),0)," ")</f>
        <v>0</v>
      </c>
      <c r="AG548" s="29">
        <f>IF(AG$17=1,IF(AG547&gt;0,MIN(AG547,'Assumptions - Passenger'!AG50),0)," ")</f>
        <v>0</v>
      </c>
      <c r="AH548" s="29">
        <f>IF(AH$17=1,IF(AH547&gt;0,MIN(AH547,'Assumptions - Passenger'!AH50),0)," ")</f>
        <v>0</v>
      </c>
    </row>
    <row r="549" spans="1:34" s="20" customFormat="1" ht="14" x14ac:dyDescent="0.2">
      <c r="A549" s="87"/>
      <c r="B549" s="30" t="str">
        <f>IF(A546=1,"Less depreciation of existing assets","Less depreciation of assets")</f>
        <v>Less depreciation of existing assets</v>
      </c>
      <c r="C549" s="8"/>
      <c r="D549" s="8" t="str">
        <f>'Assumptions - General'!$E$27 &amp;" millions"</f>
        <v>R$ millions</v>
      </c>
      <c r="E549" s="29"/>
      <c r="F549" s="229">
        <f>IF(F$17=1,(IF($A546=1,IF(F547-F548&gt;0,(MIN((F547-F548),($E551-SUM($E548:F548))/'Assumptions - Passenger'!$E75)),0),'Assumptions - Passenger'!F78))," ")</f>
        <v>5.1315789473684212</v>
      </c>
      <c r="G549" s="229">
        <f>IF(G$17=1,(IF($A546=1,IF(G547-G548&gt;0,(MIN((G547-G548),($E551-SUM($E548:G548))/'Assumptions - Passenger'!$E75)),0),'Assumptions - Passenger'!G78))," ")</f>
        <v>5</v>
      </c>
      <c r="H549" s="229">
        <f>IF(H$17=1,(IF($A546=1,IF(H547-H548&gt;0,(MIN((H547-H548),($E551-SUM($E548:H548))/'Assumptions - Passenger'!$E75)),0),'Assumptions - Passenger'!H78))," ")</f>
        <v>4.8684210526315788</v>
      </c>
      <c r="I549" s="229">
        <f>IF(I$17=1,(IF($A546=1,IF(I547-I548&gt;0,(MIN((I547-I548),($E551-SUM($E548:I548))/'Assumptions - Passenger'!$E75)),0),'Assumptions - Passenger'!I78))," ")</f>
        <v>4.7368421052631575</v>
      </c>
      <c r="J549" s="229">
        <f>IF(J$17=1,(IF($A546=1,IF(J547-J548&gt;0,(MIN((J547-J548),($E551-SUM($E548:J548))/'Assumptions - Passenger'!$E75)),0),'Assumptions - Passenger'!J78))," ")</f>
        <v>4.6052631578947372</v>
      </c>
      <c r="K549" s="229">
        <f>IF(K$17=1,(IF($A546=1,IF(K547-K548&gt;0,(MIN((K547-K548),($E551-SUM($E548:K548))/'Assumptions - Passenger'!$E75)),0),'Assumptions - Passenger'!K78))," ")</f>
        <v>4.4736842105263159</v>
      </c>
      <c r="L549" s="229">
        <f>IF(L$17=1,(IF($A546=1,IF(L547-L548&gt;0,(MIN((L547-L548),($E551-SUM($E548:L548))/'Assumptions - Passenger'!$E75)),0),'Assumptions - Passenger'!L78))," ")</f>
        <v>4.3421052631578947</v>
      </c>
      <c r="M549" s="229">
        <f>IF(M$17=1,(IF($A546=1,IF(M547-M548&gt;0,(MIN((M547-M548),($E551-SUM($E548:M548))/'Assumptions - Passenger'!$E75)),0),'Assumptions - Passenger'!M78))," ")</f>
        <v>4.2105263157894735</v>
      </c>
      <c r="N549" s="229">
        <f>IF(N$17=1,(IF($A546=1,IF(N547-N548&gt;0,(MIN((N547-N548),($E551-SUM($E548:N548))/'Assumptions - Passenger'!$E75)),0),'Assumptions - Passenger'!N78))," ")</f>
        <v>4.0789473684210522</v>
      </c>
      <c r="O549" s="229">
        <f>IF(O$17=1,(IF($A546=1,IF(O547-O548&gt;0,(MIN((O547-O548),($E551-SUM($E548:O548))/'Assumptions - Passenger'!$E75)),0),'Assumptions - Passenger'!O78))," ")</f>
        <v>3.9473684210526314</v>
      </c>
      <c r="P549" s="229">
        <f>IF(P$17=1,(IF($A546=1,IF(P547-P548&gt;0,(MIN((P547-P548),($E551-SUM($E548:P548))/'Assumptions - Passenger'!$E75)),0),'Assumptions - Passenger'!P78))," ")</f>
        <v>3.8157894736842106</v>
      </c>
      <c r="Q549" s="229">
        <f>IF(Q$17=1,(IF($A546=1,IF(Q547-Q548&gt;0,(MIN((Q547-Q548),($E551-SUM($E548:Q548))/'Assumptions - Passenger'!$E75)),0),'Assumptions - Passenger'!Q78))," ")</f>
        <v>3.6842105263157894</v>
      </c>
      <c r="R549" s="229">
        <f>IF(R$17=1,(IF($A546=1,IF(R547-R548&gt;0,(MIN((R547-R548),($E551-SUM($E548:R548))/'Assumptions - Passenger'!$E75)),0),'Assumptions - Passenger'!R78))," ")</f>
        <v>3.5526315789473686</v>
      </c>
      <c r="S549" s="229">
        <f>IF(S$17=1,(IF($A546=1,IF(S547-S548&gt;0,(MIN((S547-S548),($E551-SUM($E548:S548))/'Assumptions - Passenger'!$E75)),0),'Assumptions - Passenger'!S78))," ")</f>
        <v>3.4210526315789473</v>
      </c>
      <c r="T549" s="229">
        <f>IF(T$17=1,(IF($A546=1,IF(T547-T548&gt;0,(MIN((T547-T548),($E551-SUM($E548:T548))/'Assumptions - Passenger'!$E75)),0),'Assumptions - Passenger'!T78))," ")</f>
        <v>3.2894736842105261</v>
      </c>
      <c r="U549" s="229">
        <f>IF(U$17=1,(IF($A546=1,IF(U547-U548&gt;0,(MIN((U547-U548),($E551-SUM($E548:U548))/'Assumptions - Passenger'!$E75)),0),'Assumptions - Passenger'!U78))," ")</f>
        <v>3.1578947368421053</v>
      </c>
      <c r="V549" s="229">
        <f>IF(V$17=1,(IF($A546=1,IF(V547-V548&gt;0,(MIN((V547-V548),($E551-SUM($E548:V548))/'Assumptions - Passenger'!$E75)),0),'Assumptions - Passenger'!V78))," ")</f>
        <v>3.0263157894736841</v>
      </c>
      <c r="W549" s="229">
        <f>IF(W$17=1,(IF($A546=1,IF(W547-W548&gt;0,(MIN((W547-W548),($E551-SUM($E548:W548))/'Assumptions - Passenger'!$E75)),0),'Assumptions - Passenger'!W78))," ")</f>
        <v>2.8947368421052633</v>
      </c>
      <c r="X549" s="229">
        <f>IF(X$17=1,(IF($A546=1,IF(X547-X548&gt;0,(MIN((X547-X548),($E551-SUM($E548:X548))/'Assumptions - Passenger'!$E75)),0),'Assumptions - Passenger'!X78))," ")</f>
        <v>2.763157894736842</v>
      </c>
      <c r="Y549" s="229">
        <f>IF(Y$17=1,(IF($A546=1,IF(Y547-Y548&gt;0,(MIN((Y547-Y548),($E551-SUM($E548:Y548))/'Assumptions - Passenger'!$E75)),0),'Assumptions - Passenger'!Y78))," ")</f>
        <v>2.6315789473684212</v>
      </c>
      <c r="Z549" s="229">
        <f>IF(Z$17=1,(IF($A546=1,IF(Z547-Z548&gt;0,(MIN((Z547-Z548),($E551-SUM($E548:Z548))/'Assumptions - Passenger'!$E75)),0),'Assumptions - Passenger'!Z78))," ")</f>
        <v>2.5</v>
      </c>
      <c r="AA549" s="229">
        <f>IF(AA$17=1,(IF($A546=1,IF(AA547-AA548&gt;0,(MIN((AA547-AA548),($E551-SUM($E548:AA548))/'Assumptions - Passenger'!$E75)),0),'Assumptions - Passenger'!AA78))," ")</f>
        <v>2.3684210526315788</v>
      </c>
      <c r="AB549" s="229">
        <f>IF(AB$17=1,(IF($A546=1,IF(AB547-AB548&gt;0,(MIN((AB547-AB548),($E551-SUM($E548:AB548))/'Assumptions - Passenger'!$E75)),0),'Assumptions - Passenger'!AB78))," ")</f>
        <v>2.236842105263158</v>
      </c>
      <c r="AC549" s="229">
        <f>IF(AC$17=1,(IF($A546=1,IF(AC547-AC548&gt;0,(MIN((AC547-AC548),($E551-SUM($E548:AC548))/'Assumptions - Passenger'!$E75)),0),'Assumptions - Passenger'!AC78))," ")</f>
        <v>0</v>
      </c>
      <c r="AD549" s="229">
        <f>IF(AD$17=1,(IF($A546=1,IF(AD547-AD548&gt;0,(MIN((AD547-AD548),($E551-SUM($E548:AD548))/'Assumptions - Passenger'!$E75)),0),'Assumptions - Passenger'!AD78))," ")</f>
        <v>0</v>
      </c>
      <c r="AE549" s="229">
        <f>IF(AE$17=1,(IF($A546=1,IF(AE547-AE548&gt;0,(MIN((AE547-AE548),($E551-SUM($E548:AE548))/'Assumptions - Passenger'!$E75)),0),'Assumptions - Passenger'!AE78))," ")</f>
        <v>0</v>
      </c>
      <c r="AF549" s="229">
        <f>IF(AF$17=1,(IF($A546=1,IF(AF547-AF548&gt;0,(MIN((AF547-AF548),($E551-SUM($E548:AF548))/'Assumptions - Passenger'!$E75)),0),'Assumptions - Passenger'!AF78))," ")</f>
        <v>0</v>
      </c>
      <c r="AG549" s="229">
        <f>IF(AG$17=1,(IF($A546=1,IF(AG547-AG548&gt;0,(MIN((AG547-AG548),($E551-SUM($E548:AG548))/'Assumptions - Passenger'!$E75)),0),'Assumptions - Passenger'!AG78))," ")</f>
        <v>0</v>
      </c>
      <c r="AH549" s="229">
        <f>IF(AH$17=1,(IF($A546=1,IF(AH547-AH548&gt;0,(MIN((AH547-AH548),($E551-SUM($E548:AH548))/'Assumptions - Passenger'!$E75)),0),'Assumptions - Passenger'!AH78))," ")</f>
        <v>0</v>
      </c>
    </row>
    <row r="550" spans="1:34" s="20" customFormat="1" ht="14" x14ac:dyDescent="0.2">
      <c r="A550" s="87"/>
      <c r="B550" s="30" t="str">
        <f>IF(A546=1,"Accumulated depreciation of existing assets","Accumulated depreciation of assets")</f>
        <v>Accumulated depreciation of existing assets</v>
      </c>
      <c r="C550" s="8"/>
      <c r="D550" s="8" t="str">
        <f>'Assumptions - General'!$E$27 &amp;" millions"</f>
        <v>R$ millions</v>
      </c>
      <c r="E550" s="29"/>
      <c r="F550" s="29">
        <f>IF(F$17=1,SUM($E549:F549)," ")</f>
        <v>5.1315789473684212</v>
      </c>
      <c r="G550" s="29">
        <f>IF(G$17=1,SUM($E549:G549)," ")</f>
        <v>10.131578947368421</v>
      </c>
      <c r="H550" s="29">
        <f>IF(H$17=1,SUM($E549:H549)," ")</f>
        <v>15</v>
      </c>
      <c r="I550" s="29">
        <f>IF(I$17=1,SUM($E549:I549)," ")</f>
        <v>19.736842105263158</v>
      </c>
      <c r="J550" s="29">
        <f>IF(J$17=1,SUM($E549:J549)," ")</f>
        <v>24.342105263157894</v>
      </c>
      <c r="K550" s="29">
        <f>IF(K$17=1,SUM($E549:K549)," ")</f>
        <v>28.815789473684209</v>
      </c>
      <c r="L550" s="29">
        <f>IF(L$17=1,SUM($E549:L549)," ")</f>
        <v>33.157894736842103</v>
      </c>
      <c r="M550" s="29">
        <f>IF(M$17=1,SUM($E549:M549)," ")</f>
        <v>37.368421052631575</v>
      </c>
      <c r="N550" s="29">
        <f>IF(N$17=1,SUM($E549:N549)," ")</f>
        <v>41.44736842105263</v>
      </c>
      <c r="O550" s="29">
        <f>IF(O$17=1,SUM($E549:O549)," ")</f>
        <v>45.39473684210526</v>
      </c>
      <c r="P550" s="29">
        <f>IF(P$17=1,SUM($E549:P549)," ")</f>
        <v>49.210526315789473</v>
      </c>
      <c r="Q550" s="29">
        <f>IF(Q$17=1,SUM($E549:Q549)," ")</f>
        <v>52.89473684210526</v>
      </c>
      <c r="R550" s="29">
        <f>IF(R$17=1,SUM($E549:R549)," ")</f>
        <v>56.44736842105263</v>
      </c>
      <c r="S550" s="29">
        <f>IF(S$17=1,SUM($E549:S549)," ")</f>
        <v>59.868421052631575</v>
      </c>
      <c r="T550" s="29">
        <f>IF(T$17=1,SUM($E549:T549)," ")</f>
        <v>63.157894736842103</v>
      </c>
      <c r="U550" s="29">
        <f>IF(U$17=1,SUM($E549:U549)," ")</f>
        <v>66.315789473684205</v>
      </c>
      <c r="V550" s="29">
        <f>IF(V$17=1,SUM($E549:V549)," ")</f>
        <v>69.34210526315789</v>
      </c>
      <c r="W550" s="29">
        <f>IF(W$17=1,SUM($E549:W549)," ")</f>
        <v>72.23684210526315</v>
      </c>
      <c r="X550" s="29">
        <f>IF(X$17=1,SUM($E549:X549)," ")</f>
        <v>74.999999999999986</v>
      </c>
      <c r="Y550" s="29">
        <f>IF(Y$17=1,SUM($E549:Y549)," ")</f>
        <v>77.631578947368411</v>
      </c>
      <c r="Z550" s="29">
        <f>IF(Z$17=1,SUM($E549:Z549)," ")</f>
        <v>80.131578947368411</v>
      </c>
      <c r="AA550" s="29">
        <f>IF(AA$17=1,SUM($E549:AA549)," ")</f>
        <v>82.499999999999986</v>
      </c>
      <c r="AB550" s="29">
        <f>IF(AB$17=1,SUM($E549:AB549)," ")</f>
        <v>84.73684210526315</v>
      </c>
      <c r="AC550" s="29">
        <f>IF(AC$17=1,SUM($E549:AC549)," ")</f>
        <v>84.73684210526315</v>
      </c>
      <c r="AD550" s="29">
        <f>IF(AD$17=1,SUM($E549:AD549)," ")</f>
        <v>84.73684210526315</v>
      </c>
      <c r="AE550" s="29">
        <f>IF(AE$17=1,SUM($E549:AE549)," ")</f>
        <v>84.73684210526315</v>
      </c>
      <c r="AF550" s="29">
        <f>IF(AF$17=1,SUM($E549:AF549)," ")</f>
        <v>84.73684210526315</v>
      </c>
      <c r="AG550" s="29">
        <f>IF(AG$17=1,SUM($E549:AG549)," ")</f>
        <v>84.73684210526315</v>
      </c>
      <c r="AH550" s="29">
        <f>IF(AH$17=1,SUM($E549:AH549)," ")</f>
        <v>84.73684210526315</v>
      </c>
    </row>
    <row r="551" spans="1:34" s="20" customFormat="1" ht="14" x14ac:dyDescent="0.2">
      <c r="A551" s="87"/>
      <c r="B551" s="14" t="str">
        <f>"Ending value "</f>
        <v xml:space="preserve">Ending value </v>
      </c>
      <c r="C551" s="8"/>
      <c r="D551" s="8" t="str">
        <f>'Assumptions - General'!$E$27 &amp;" millions"</f>
        <v>R$ millions</v>
      </c>
      <c r="E551" s="463">
        <f>IF(E$17=1,'Assumptions - Passenger'!E35," ")</f>
        <v>200</v>
      </c>
      <c r="F551" s="29">
        <f>IF(F$17=1,F547-F548-F549," ")</f>
        <v>189.86842105263159</v>
      </c>
      <c r="G551" s="29">
        <f t="shared" ref="G551:AH551" si="236">IF(G$17=1,G547-G548-G549," ")</f>
        <v>179.86842105263159</v>
      </c>
      <c r="H551" s="29">
        <f t="shared" si="236"/>
        <v>170</v>
      </c>
      <c r="I551" s="29">
        <f t="shared" si="236"/>
        <v>160.26315789473685</v>
      </c>
      <c r="J551" s="29">
        <f t="shared" si="236"/>
        <v>150.65789473684211</v>
      </c>
      <c r="K551" s="29">
        <f t="shared" si="236"/>
        <v>141.18421052631578</v>
      </c>
      <c r="L551" s="29">
        <f t="shared" si="236"/>
        <v>131.84210526315789</v>
      </c>
      <c r="M551" s="29">
        <f t="shared" si="236"/>
        <v>122.63157894736841</v>
      </c>
      <c r="N551" s="29">
        <f t="shared" si="236"/>
        <v>113.55263157894736</v>
      </c>
      <c r="O551" s="29">
        <f t="shared" si="236"/>
        <v>104.60526315789473</v>
      </c>
      <c r="P551" s="29">
        <f t="shared" si="236"/>
        <v>95.78947368421052</v>
      </c>
      <c r="Q551" s="29">
        <f t="shared" si="236"/>
        <v>87.105263157894726</v>
      </c>
      <c r="R551" s="29">
        <f t="shared" si="236"/>
        <v>78.552631578947356</v>
      </c>
      <c r="S551" s="29">
        <f t="shared" si="236"/>
        <v>70.131578947368411</v>
      </c>
      <c r="T551" s="29">
        <f t="shared" si="236"/>
        <v>61.842105263157883</v>
      </c>
      <c r="U551" s="29">
        <f t="shared" si="236"/>
        <v>53.68421052631578</v>
      </c>
      <c r="V551" s="29">
        <f t="shared" si="236"/>
        <v>45.657894736842096</v>
      </c>
      <c r="W551" s="29">
        <f t="shared" si="236"/>
        <v>37.763157894736835</v>
      </c>
      <c r="X551" s="29">
        <f t="shared" si="236"/>
        <v>29.999999999999993</v>
      </c>
      <c r="Y551" s="29">
        <f t="shared" si="236"/>
        <v>22.368421052631572</v>
      </c>
      <c r="Z551" s="29">
        <f t="shared" si="236"/>
        <v>14.868421052631572</v>
      </c>
      <c r="AA551" s="29">
        <f t="shared" si="236"/>
        <v>7.4999999999999929</v>
      </c>
      <c r="AB551" s="29">
        <f t="shared" si="236"/>
        <v>0.26315789473683493</v>
      </c>
      <c r="AC551" s="29">
        <f t="shared" si="236"/>
        <v>0</v>
      </c>
      <c r="AD551" s="29">
        <f t="shared" si="236"/>
        <v>0</v>
      </c>
      <c r="AE551" s="29">
        <f t="shared" si="236"/>
        <v>0</v>
      </c>
      <c r="AF551" s="29">
        <f t="shared" si="236"/>
        <v>0</v>
      </c>
      <c r="AG551" s="29">
        <f t="shared" si="236"/>
        <v>0</v>
      </c>
      <c r="AH551" s="29">
        <f t="shared" si="236"/>
        <v>0</v>
      </c>
    </row>
    <row r="552" spans="1:34" s="20" customFormat="1" ht="14" x14ac:dyDescent="0.2">
      <c r="A552" s="87"/>
      <c r="B552" s="14"/>
      <c r="C552" s="8"/>
      <c r="D552" s="8"/>
      <c r="E552" s="29"/>
      <c r="F552" s="29"/>
      <c r="G552" s="29"/>
      <c r="H552" s="29"/>
      <c r="I552" s="29"/>
      <c r="J552" s="29"/>
      <c r="K552" s="29"/>
      <c r="L552" s="29"/>
      <c r="M552" s="29"/>
      <c r="N552" s="29"/>
      <c r="O552" s="29"/>
      <c r="P552" s="29"/>
      <c r="Q552" s="29"/>
      <c r="R552" s="29"/>
      <c r="S552" s="29"/>
      <c r="T552" s="29"/>
      <c r="U552" s="29"/>
      <c r="V552" s="29"/>
      <c r="W552" s="29"/>
      <c r="X552" s="29"/>
      <c r="Y552" s="29"/>
      <c r="Z552" s="29"/>
      <c r="AA552" s="29"/>
      <c r="AB552" s="29"/>
      <c r="AC552" s="29"/>
      <c r="AD552" s="29"/>
      <c r="AE552" s="29"/>
      <c r="AF552" s="29"/>
      <c r="AG552" s="29"/>
      <c r="AH552" s="29"/>
    </row>
    <row r="553" spans="1:34" s="20" customFormat="1" ht="14" x14ac:dyDescent="0.2">
      <c r="A553" s="87"/>
      <c r="B553" s="14" t="s">
        <v>634</v>
      </c>
      <c r="C553" s="8"/>
      <c r="D553" s="8" t="str">
        <f>'Assumptions - General'!$E$27 &amp;" millions"</f>
        <v>R$ millions</v>
      </c>
      <c r="E553" s="29"/>
      <c r="F553" s="29">
        <f t="shared" ref="F553:AH553" si="237">IF(F17=1,E558," ")</f>
        <v>0</v>
      </c>
      <c r="G553" s="29">
        <f t="shared" si="237"/>
        <v>100</v>
      </c>
      <c r="H553" s="29">
        <f t="shared" si="237"/>
        <v>194.73684210526315</v>
      </c>
      <c r="I553" s="29">
        <f t="shared" si="237"/>
        <v>286.84210526315786</v>
      </c>
      <c r="J553" s="29">
        <f t="shared" si="237"/>
        <v>376.31578947368416</v>
      </c>
      <c r="K553" s="29">
        <f t="shared" si="237"/>
        <v>463.15789473684208</v>
      </c>
      <c r="L553" s="29">
        <f t="shared" si="237"/>
        <v>547.36842105263156</v>
      </c>
      <c r="M553" s="29">
        <f t="shared" si="237"/>
        <v>628.9473684210526</v>
      </c>
      <c r="N553" s="29">
        <f t="shared" si="237"/>
        <v>707.8947368421052</v>
      </c>
      <c r="O553" s="29">
        <f t="shared" si="237"/>
        <v>784.21052631578937</v>
      </c>
      <c r="P553" s="29">
        <f t="shared" si="237"/>
        <v>857.8947368421052</v>
      </c>
      <c r="Q553" s="29">
        <f t="shared" si="237"/>
        <v>928.9473684210526</v>
      </c>
      <c r="R553" s="29">
        <f t="shared" si="237"/>
        <v>997.36842105263145</v>
      </c>
      <c r="S553" s="29">
        <f t="shared" si="237"/>
        <v>1063.1578947368421</v>
      </c>
      <c r="T553" s="29">
        <f t="shared" si="237"/>
        <v>1126.3157894736842</v>
      </c>
      <c r="U553" s="29">
        <f t="shared" si="237"/>
        <v>1186.8421052631579</v>
      </c>
      <c r="V553" s="29">
        <f t="shared" si="237"/>
        <v>1244.7368421052631</v>
      </c>
      <c r="W553" s="29">
        <f t="shared" si="237"/>
        <v>1300</v>
      </c>
      <c r="X553" s="29">
        <f t="shared" si="237"/>
        <v>1352.6315789473683</v>
      </c>
      <c r="Y553" s="29">
        <f t="shared" si="237"/>
        <v>1402.6315789473683</v>
      </c>
      <c r="Z553" s="29">
        <f t="shared" si="237"/>
        <v>1450</v>
      </c>
      <c r="AA553" s="29">
        <f t="shared" si="237"/>
        <v>1494.7368421052631</v>
      </c>
      <c r="AB553" s="29">
        <f t="shared" si="237"/>
        <v>1536.8421052631579</v>
      </c>
      <c r="AC553" s="29">
        <f t="shared" si="237"/>
        <v>1576.3157894736842</v>
      </c>
      <c r="AD553" s="29">
        <f t="shared" si="237"/>
        <v>1608.545706371191</v>
      </c>
      <c r="AE553" s="29">
        <f t="shared" si="237"/>
        <v>1638.012465373961</v>
      </c>
      <c r="AF553" s="29">
        <f t="shared" si="237"/>
        <v>1664.9792243767311</v>
      </c>
      <c r="AG553" s="29">
        <f t="shared" si="237"/>
        <v>1689.4459833795011</v>
      </c>
      <c r="AH553" s="29">
        <f t="shared" si="237"/>
        <v>1711.4127423822711</v>
      </c>
    </row>
    <row r="554" spans="1:34" s="20" customFormat="1" ht="14" x14ac:dyDescent="0.2">
      <c r="A554" s="87"/>
      <c r="B554" s="30" t="s">
        <v>130</v>
      </c>
      <c r="C554" s="8"/>
      <c r="D554" s="8" t="str">
        <f>'Assumptions - General'!$E$27 &amp;" millions"</f>
        <v>R$ millions</v>
      </c>
      <c r="E554" s="29"/>
      <c r="F554" s="29">
        <f>IF(F$17=1,IF($D$510=1,$D$511*'Assumptions - Passenger'!F$42,'Assumptions - Passenger'!F$42)," ")</f>
        <v>100</v>
      </c>
      <c r="G554" s="29">
        <f>IF(G$17=1,IF($D$510=1,$D$511*'Assumptions - Passenger'!G$42,'Assumptions - Passenger'!G$42)," ")</f>
        <v>100</v>
      </c>
      <c r="H554" s="29">
        <f>IF(H$17=1,IF($D$510=1,$D$511*'Assumptions - Passenger'!H$42,'Assumptions - Passenger'!H$42)," ")</f>
        <v>100</v>
      </c>
      <c r="I554" s="29">
        <f>IF(I$17=1,IF($D$510=1,$D$511*'Assumptions - Passenger'!I$42,'Assumptions - Passenger'!I$42)," ")</f>
        <v>100</v>
      </c>
      <c r="J554" s="29">
        <f>IF(J$17=1,IF($D$510=1,$D$511*'Assumptions - Passenger'!J$42,'Assumptions - Passenger'!J$42)," ")</f>
        <v>100</v>
      </c>
      <c r="K554" s="29">
        <f>IF(K$17=1,IF($D$510=1,$D$511*'Assumptions - Passenger'!K$42,'Assumptions - Passenger'!K$42)," ")</f>
        <v>100</v>
      </c>
      <c r="L554" s="29">
        <f>IF(L$17=1,IF($D$510=1,$D$511*'Assumptions - Passenger'!L$42,'Assumptions - Passenger'!L$42)," ")</f>
        <v>100</v>
      </c>
      <c r="M554" s="29">
        <f>IF(M$17=1,IF($D$510=1,$D$511*'Assumptions - Passenger'!M$42,'Assumptions - Passenger'!M$42)," ")</f>
        <v>100</v>
      </c>
      <c r="N554" s="29">
        <f>IF(N$17=1,IF($D$510=1,$D$511*'Assumptions - Passenger'!N$42,'Assumptions - Passenger'!N$42)," ")</f>
        <v>100</v>
      </c>
      <c r="O554" s="29">
        <f>IF(O$17=1,IF($D$510=1,$D$511*'Assumptions - Passenger'!O$42,'Assumptions - Passenger'!O$42)," ")</f>
        <v>100</v>
      </c>
      <c r="P554" s="29">
        <f>IF(P$17=1,IF($D$510=1,$D$511*'Assumptions - Passenger'!P$42,'Assumptions - Passenger'!P$42)," ")</f>
        <v>100</v>
      </c>
      <c r="Q554" s="29">
        <f>IF(Q$17=1,IF($D$510=1,$D$511*'Assumptions - Passenger'!Q$42,'Assumptions - Passenger'!Q$42)," ")</f>
        <v>100</v>
      </c>
      <c r="R554" s="29">
        <f>IF(R$17=1,IF($D$510=1,$D$511*'Assumptions - Passenger'!R$42,'Assumptions - Passenger'!R$42)," ")</f>
        <v>100</v>
      </c>
      <c r="S554" s="29">
        <f>IF(S$17=1,IF($D$510=1,$D$511*'Assumptions - Passenger'!S$42,'Assumptions - Passenger'!S$42)," ")</f>
        <v>100</v>
      </c>
      <c r="T554" s="29">
        <f>IF(T$17=1,IF($D$510=1,$D$511*'Assumptions - Passenger'!T$42,'Assumptions - Passenger'!T$42)," ")</f>
        <v>100</v>
      </c>
      <c r="U554" s="29">
        <f>IF(U$17=1,IF($D$510=1,$D$511*'Assumptions - Passenger'!U$42,'Assumptions - Passenger'!U$42)," ")</f>
        <v>100</v>
      </c>
      <c r="V554" s="29">
        <f>IF(V$17=1,IF($D$510=1,$D$511*'Assumptions - Passenger'!V$42,'Assumptions - Passenger'!V$42)," ")</f>
        <v>100</v>
      </c>
      <c r="W554" s="29">
        <f>IF(W$17=1,IF($D$510=1,$D$511*'Assumptions - Passenger'!W$42,'Assumptions - Passenger'!W$42)," ")</f>
        <v>100</v>
      </c>
      <c r="X554" s="29">
        <f>IF(X$17=1,IF($D$510=1,$D$511*'Assumptions - Passenger'!X$42,'Assumptions - Passenger'!X$42)," ")</f>
        <v>100</v>
      </c>
      <c r="Y554" s="29">
        <f>IF(Y$17=1,IF($D$510=1,$D$511*'Assumptions - Passenger'!Y$42,'Assumptions - Passenger'!Y$42)," ")</f>
        <v>100</v>
      </c>
      <c r="Z554" s="29">
        <f>IF(Z$17=1,IF($D$510=1,$D$511*'Assumptions - Passenger'!Z$42,'Assumptions - Passenger'!Z$42)," ")</f>
        <v>100</v>
      </c>
      <c r="AA554" s="29">
        <f>IF(AA$17=1,IF($D$510=1,$D$511*'Assumptions - Passenger'!AA$42,'Assumptions - Passenger'!AA$42)," ")</f>
        <v>100</v>
      </c>
      <c r="AB554" s="29">
        <f>IF(AB$17=1,IF($D$510=1,$D$511*'Assumptions - Passenger'!AB$42,'Assumptions - Passenger'!AB$42)," ")</f>
        <v>100</v>
      </c>
      <c r="AC554" s="29">
        <f>IF(AC$17=1,IF($D$510=1,$D$511*'Assumptions - Passenger'!AC$42,'Assumptions - Passenger'!AC$42)," ")</f>
        <v>100</v>
      </c>
      <c r="AD554" s="29">
        <f>IF(AD$17=1,IF($D$510=1,$D$511*'Assumptions - Passenger'!AD$42,'Assumptions - Passenger'!AD$42)," ")</f>
        <v>100</v>
      </c>
      <c r="AE554" s="29">
        <f>IF(AE$17=1,IF($D$510=1,$D$511*'Assumptions - Passenger'!AE$42,'Assumptions - Passenger'!AE$42)," ")</f>
        <v>100</v>
      </c>
      <c r="AF554" s="29">
        <f>IF(AF$17=1,IF($D$510=1,$D$511*'Assumptions - Passenger'!AF$42,'Assumptions - Passenger'!AF$42)," ")</f>
        <v>100</v>
      </c>
      <c r="AG554" s="29">
        <f>IF(AG$17=1,IF($D$510=1,$D$511*'Assumptions - Passenger'!AG$42,'Assumptions - Passenger'!AG$42)," ")</f>
        <v>100</v>
      </c>
      <c r="AH554" s="29">
        <f>IF(AH$17=1,IF($D$510=1,$D$511*'Assumptions - Passenger'!AH$42,'Assumptions - Passenger'!AH$42)," ")</f>
        <v>100</v>
      </c>
    </row>
    <row r="555" spans="1:34" s="20" customFormat="1" ht="14" x14ac:dyDescent="0.2">
      <c r="A555" s="87"/>
      <c r="B555" s="30" t="s">
        <v>608</v>
      </c>
      <c r="C555" s="8"/>
      <c r="D555" s="8" t="str">
        <f>'Assumptions - General'!$E$27 &amp;" millions"</f>
        <v>R$ millions</v>
      </c>
      <c r="E555" s="29"/>
      <c r="F555" s="29">
        <f>IF(F$17=1,'Assumptions - Passenger'!F50-Calculations!F548," ")</f>
        <v>0</v>
      </c>
      <c r="G555" s="29">
        <f>IF(G$17=1,'Assumptions - Passenger'!G50-Calculations!G548," ")</f>
        <v>0</v>
      </c>
      <c r="H555" s="29">
        <f>IF(H$17=1,'Assumptions - Passenger'!H50-Calculations!H548," ")</f>
        <v>0</v>
      </c>
      <c r="I555" s="29">
        <f>IF(I$17=1,'Assumptions - Passenger'!I50-Calculations!I548," ")</f>
        <v>0</v>
      </c>
      <c r="J555" s="29">
        <f>IF(J$17=1,'Assumptions - Passenger'!J50-Calculations!J548," ")</f>
        <v>0</v>
      </c>
      <c r="K555" s="29">
        <f>IF(K$17=1,'Assumptions - Passenger'!K50-Calculations!K548," ")</f>
        <v>0</v>
      </c>
      <c r="L555" s="29">
        <f>IF(L$17=1,'Assumptions - Passenger'!L50-Calculations!L548," ")</f>
        <v>0</v>
      </c>
      <c r="M555" s="29">
        <f>IF(M$17=1,'Assumptions - Passenger'!M50-Calculations!M548," ")</f>
        <v>0</v>
      </c>
      <c r="N555" s="29">
        <f>IF(N$17=1,'Assumptions - Passenger'!N50-Calculations!N548," ")</f>
        <v>0</v>
      </c>
      <c r="O555" s="29">
        <f>IF(O$17=1,'Assumptions - Passenger'!O50-Calculations!O548," ")</f>
        <v>0</v>
      </c>
      <c r="P555" s="29">
        <f>IF(P$17=1,'Assumptions - Passenger'!P50-Calculations!P548," ")</f>
        <v>0</v>
      </c>
      <c r="Q555" s="29">
        <f>IF(Q$17=1,'Assumptions - Passenger'!Q50-Calculations!Q548," ")</f>
        <v>0</v>
      </c>
      <c r="R555" s="29">
        <f>IF(R$17=1,'Assumptions - Passenger'!R50-Calculations!R548," ")</f>
        <v>0</v>
      </c>
      <c r="S555" s="29">
        <f>IF(S$17=1,'Assumptions - Passenger'!S50-Calculations!S548," ")</f>
        <v>0</v>
      </c>
      <c r="T555" s="29">
        <f>IF(T$17=1,'Assumptions - Passenger'!T50-Calculations!T548," ")</f>
        <v>0</v>
      </c>
      <c r="U555" s="29">
        <f>IF(U$17=1,'Assumptions - Passenger'!U50-Calculations!U548," ")</f>
        <v>0</v>
      </c>
      <c r="V555" s="29">
        <f>IF(V$17=1,'Assumptions - Passenger'!V50-Calculations!V548," ")</f>
        <v>0</v>
      </c>
      <c r="W555" s="29">
        <f>IF(W$17=1,'Assumptions - Passenger'!W50-Calculations!W548," ")</f>
        <v>0</v>
      </c>
      <c r="X555" s="29">
        <f>IF(X$17=1,'Assumptions - Passenger'!X50-Calculations!X548," ")</f>
        <v>0</v>
      </c>
      <c r="Y555" s="29">
        <f>IF(Y$17=1,'Assumptions - Passenger'!Y50-Calculations!Y548," ")</f>
        <v>0</v>
      </c>
      <c r="Z555" s="29">
        <f>IF(Z$17=1,'Assumptions - Passenger'!Z50-Calculations!Z548," ")</f>
        <v>0</v>
      </c>
      <c r="AA555" s="29">
        <f>IF(AA$17=1,'Assumptions - Passenger'!AA50-Calculations!AA548," ")</f>
        <v>0</v>
      </c>
      <c r="AB555" s="29">
        <f>IF(AB$17=1,'Assumptions - Passenger'!AB50-Calculations!AB548," ")</f>
        <v>0</v>
      </c>
      <c r="AC555" s="29">
        <f>IF(AC$17=1,'Assumptions - Passenger'!AC50-Calculations!AC548," ")</f>
        <v>4.7368421052631646</v>
      </c>
      <c r="AD555" s="29">
        <f>IF(AD$17=1,'Assumptions - Passenger'!AD50-Calculations!AD548," ")</f>
        <v>5</v>
      </c>
      <c r="AE555" s="29">
        <f>IF(AE$17=1,'Assumptions - Passenger'!AE50-Calculations!AE548," ")</f>
        <v>5</v>
      </c>
      <c r="AF555" s="29">
        <f>IF(AF$17=1,'Assumptions - Passenger'!AF50-Calculations!AF548," ")</f>
        <v>5</v>
      </c>
      <c r="AG555" s="29">
        <f>IF(AG$17=1,'Assumptions - Passenger'!AG50-Calculations!AG548," ")</f>
        <v>5</v>
      </c>
      <c r="AH555" s="29">
        <f>IF(AH$17=1,'Assumptions - Passenger'!AH50-Calculations!AH548," ")</f>
        <v>5</v>
      </c>
    </row>
    <row r="556" spans="1:34" s="20" customFormat="1" ht="14" x14ac:dyDescent="0.2">
      <c r="A556" s="87"/>
      <c r="B556" s="30" t="s">
        <v>635</v>
      </c>
      <c r="C556" s="8"/>
      <c r="D556" s="8" t="str">
        <f>'Assumptions - General'!$E$27 &amp;" millions"</f>
        <v>R$ millions</v>
      </c>
      <c r="E556" s="29"/>
      <c r="F556" s="29">
        <f>IF(F$17=1,(IF($A546=1,IF(F553-F555&gt;0,(MIN((F553-F555),(SUM($E554:F554)-SUM($E555:F555))/'Assumptions - Passenger'!$E$77)),0),0))," ")</f>
        <v>0</v>
      </c>
      <c r="G556" s="29">
        <f>IF(G$17=1,(IF($A546=1,IF(G553-G555&gt;0,(MIN((G553-G555),(SUM($E554:G554)-SUM($E555:G555))/'Assumptions - Passenger'!$E$77)),0),0))," ")</f>
        <v>5.2631578947368425</v>
      </c>
      <c r="H556" s="29">
        <f>IF(H$17=1,(IF($A546=1,IF(H553-H555&gt;0,(MIN((H553-H555),(SUM($E554:H554)-SUM($E555:H555))/'Assumptions - Passenger'!$E$77)),0),0))," ")</f>
        <v>7.8947368421052628</v>
      </c>
      <c r="I556" s="29">
        <f>IF(I$17=1,(IF($A546=1,IF(I553-I555&gt;0,(MIN((I553-I555),(SUM($E554:I554)-SUM($E555:I555))/'Assumptions - Passenger'!$E$77)),0),0))," ")</f>
        <v>10.526315789473685</v>
      </c>
      <c r="J556" s="29">
        <f>IF(J$17=1,(IF($A546=1,IF(J553-J555&gt;0,(MIN((J553-J555),(SUM($E554:J554)-SUM($E555:J555))/'Assumptions - Passenger'!$E$77)),0),0))," ")</f>
        <v>13.157894736842104</v>
      </c>
      <c r="K556" s="29">
        <f>IF(K$17=1,(IF($A546=1,IF(K553-K555&gt;0,(MIN((K553-K555),(SUM($E554:K554)-SUM($E555:K555))/'Assumptions - Passenger'!$E$77)),0),0))," ")</f>
        <v>15.789473684210526</v>
      </c>
      <c r="L556" s="29">
        <f>IF(L$17=1,(IF($A546=1,IF(L553-L555&gt;0,(MIN((L553-L555),(SUM($E554:L554)-SUM($E555:L555))/'Assumptions - Passenger'!$E$77)),0),0))," ")</f>
        <v>18.421052631578949</v>
      </c>
      <c r="M556" s="29">
        <f>IF(M$17=1,(IF($A546=1,IF(M553-M555&gt;0,(MIN((M553-M555),(SUM($E554:M554)-SUM($E555:M555))/'Assumptions - Passenger'!$E$77)),0),0))," ")</f>
        <v>21.05263157894737</v>
      </c>
      <c r="N556" s="29">
        <f>IF(N$17=1,(IF($A546=1,IF(N553-N555&gt;0,(MIN((N553-N555),(SUM($E554:N554)-SUM($E555:N555))/'Assumptions - Passenger'!$E$77)),0),0))," ")</f>
        <v>23.684210526315791</v>
      </c>
      <c r="O556" s="29">
        <f>IF(O$17=1,(IF($A546=1,IF(O553-O555&gt;0,(MIN((O553-O555),(SUM($E554:O554)-SUM($E555:O555))/'Assumptions - Passenger'!$E$77)),0),0))," ")</f>
        <v>26.315789473684209</v>
      </c>
      <c r="P556" s="29">
        <f>IF(P$17=1,(IF($A546=1,IF(P553-P555&gt;0,(MIN((P553-P555),(SUM($E554:P554)-SUM($E555:P555))/'Assumptions - Passenger'!$E$77)),0),0))," ")</f>
        <v>28.94736842105263</v>
      </c>
      <c r="Q556" s="29">
        <f>IF(Q$17=1,(IF($A546=1,IF(Q553-Q555&gt;0,(MIN((Q553-Q555),(SUM($E554:Q554)-SUM($E555:Q555))/'Assumptions - Passenger'!$E$77)),0),0))," ")</f>
        <v>31.578947368421051</v>
      </c>
      <c r="R556" s="29">
        <f>IF(R$17=1,(IF($A546=1,IF(R553-R555&gt;0,(MIN((R553-R555),(SUM($E554:R554)-SUM($E555:R555))/'Assumptions - Passenger'!$E$77)),0),0))," ")</f>
        <v>34.210526315789473</v>
      </c>
      <c r="S556" s="29">
        <f>IF(S$17=1,(IF($A546=1,IF(S553-S555&gt;0,(MIN((S553-S555),(SUM($E554:S554)-SUM($E555:S555))/'Assumptions - Passenger'!$E$77)),0),0))," ")</f>
        <v>36.842105263157897</v>
      </c>
      <c r="T556" s="29">
        <f>IF(T$17=1,(IF($A546=1,IF(T553-T555&gt;0,(MIN((T553-T555),(SUM($E554:T554)-SUM($E555:T555))/'Assumptions - Passenger'!$E$77)),0),0))," ")</f>
        <v>39.473684210526315</v>
      </c>
      <c r="U556" s="29">
        <f>IF(U$17=1,(IF($A546=1,IF(U553-U555&gt;0,(MIN((U553-U555),(SUM($E554:U554)-SUM($E555:U555))/'Assumptions - Passenger'!$E$77)),0),0))," ")</f>
        <v>42.10526315789474</v>
      </c>
      <c r="V556" s="29">
        <f>IF(V$17=1,(IF($A546=1,IF(V553-V555&gt;0,(MIN((V553-V555),(SUM($E554:V554)-SUM($E555:V555))/'Assumptions - Passenger'!$E$77)),0),0))," ")</f>
        <v>44.736842105263158</v>
      </c>
      <c r="W556" s="29">
        <f>IF(W$17=1,(IF($A546=1,IF(W553-W555&gt;0,(MIN((W553-W555),(SUM($E554:W554)-SUM($E555:W555))/'Assumptions - Passenger'!$E$77)),0),0))," ")</f>
        <v>47.368421052631582</v>
      </c>
      <c r="X556" s="29">
        <f>IF(X$17=1,(IF($A546=1,IF(X553-X555&gt;0,(MIN((X553-X555),(SUM($E554:X554)-SUM($E555:X555))/'Assumptions - Passenger'!$E$77)),0),0))," ")</f>
        <v>50</v>
      </c>
      <c r="Y556" s="29">
        <f>IF(Y$17=1,(IF($A546=1,IF(Y553-Y555&gt;0,(MIN((Y553-Y555),(SUM($E554:Y554)-SUM($E555:Y555))/'Assumptions - Passenger'!$E$77)),0),0))," ")</f>
        <v>52.631578947368418</v>
      </c>
      <c r="Z556" s="29">
        <f>IF(Z$17=1,(IF($A546=1,IF(Z553-Z555&gt;0,(MIN((Z553-Z555),(SUM($E554:Z554)-SUM($E555:Z555))/'Assumptions - Passenger'!$E$77)),0),0))," ")</f>
        <v>55.263157894736842</v>
      </c>
      <c r="AA556" s="29">
        <f>IF(AA$17=1,(IF($A546=1,IF(AA553-AA555&gt;0,(MIN((AA553-AA555),(SUM($E554:AA554)-SUM($E555:AA555))/'Assumptions - Passenger'!$E$77)),0),0))," ")</f>
        <v>57.89473684210526</v>
      </c>
      <c r="AB556" s="29">
        <f>IF(AB$17=1,(IF($A546=1,IF(AB553-AB555&gt;0,(MIN((AB553-AB555),(SUM($E554:AB554)-SUM($E555:AB555))/'Assumptions - Passenger'!$E$77)),0),0))," ")</f>
        <v>60.526315789473685</v>
      </c>
      <c r="AC556" s="29">
        <f>IF(AC$17=1,(IF($A546=1,IF(AC553-AC555&gt;0,(MIN((AC553-AC555),(SUM($E554:AC554)-SUM($E555:AC555))/'Assumptions - Passenger'!$E$77)),0),0))," ")</f>
        <v>63.03324099722991</v>
      </c>
      <c r="AD556" s="29">
        <f>IF(AD$17=1,(IF($A546=1,IF(AD553-AD555&gt;0,(MIN((AD553-AD555),(SUM($E554:AD554)-SUM($E555:AD555))/'Assumptions - Passenger'!$E$77)),0),0))," ")</f>
        <v>65.53324099722991</v>
      </c>
      <c r="AE556" s="29">
        <f>IF(AE$17=1,(IF($A546=1,IF(AE553-AE555&gt;0,(MIN((AE553-AE555),(SUM($E554:AE554)-SUM($E555:AE555))/'Assumptions - Passenger'!$E$77)),0),0))," ")</f>
        <v>68.03324099722991</v>
      </c>
      <c r="AF556" s="29">
        <f>IF(AF$17=1,(IF($A546=1,IF(AF553-AF555&gt;0,(MIN((AF553-AF555),(SUM($E554:AF554)-SUM($E555:AF555))/'Assumptions - Passenger'!$E$77)),0),0))," ")</f>
        <v>70.53324099722991</v>
      </c>
      <c r="AG556" s="29">
        <f>IF(AG$17=1,(IF($A546=1,IF(AG553-AG555&gt;0,(MIN((AG553-AG555),(SUM($E554:AG554)-SUM($E555:AG555))/'Assumptions - Passenger'!$E$77)),0),0))," ")</f>
        <v>73.03324099722991</v>
      </c>
      <c r="AH556" s="29">
        <f>IF(AH$17=1,(IF($A546=1,IF(AH553-AH555&gt;0,(MIN((AH553-AH555),(SUM($E554:AH554)-SUM($E555:AH555))/'Assumptions - Passenger'!$E$77)),0),0))," ")</f>
        <v>75.53324099722991</v>
      </c>
    </row>
    <row r="557" spans="1:34" s="20" customFormat="1" ht="14" x14ac:dyDescent="0.2">
      <c r="A557" s="87"/>
      <c r="B557" s="30" t="s">
        <v>636</v>
      </c>
      <c r="C557" s="8"/>
      <c r="D557" s="8" t="str">
        <f>'Assumptions - General'!$E$27 &amp;" millions"</f>
        <v>R$ millions</v>
      </c>
      <c r="E557" s="29"/>
      <c r="F557" s="29">
        <f>IF(F$17=1,SUM($E556:F556)," ")</f>
        <v>0</v>
      </c>
      <c r="G557" s="29">
        <f>IF(G$17=1,SUM($E556:G556)," ")</f>
        <v>5.2631578947368425</v>
      </c>
      <c r="H557" s="29">
        <f>IF(H$17=1,SUM($E556:H556)," ")</f>
        <v>13.157894736842106</v>
      </c>
      <c r="I557" s="29">
        <f>IF(I$17=1,SUM($E556:I556)," ")</f>
        <v>23.684210526315791</v>
      </c>
      <c r="J557" s="29">
        <f>IF(J$17=1,SUM($E556:J556)," ")</f>
        <v>36.842105263157897</v>
      </c>
      <c r="K557" s="29">
        <f>IF(K$17=1,SUM($E556:K556)," ")</f>
        <v>52.631578947368425</v>
      </c>
      <c r="L557" s="29">
        <f>IF(L$17=1,SUM($E556:L556)," ")</f>
        <v>71.05263157894737</v>
      </c>
      <c r="M557" s="29">
        <f>IF(M$17=1,SUM($E556:M556)," ")</f>
        <v>92.10526315789474</v>
      </c>
      <c r="N557" s="29">
        <f>IF(N$17=1,SUM($E556:N556)," ")</f>
        <v>115.78947368421053</v>
      </c>
      <c r="O557" s="29">
        <f>IF(O$17=1,SUM($E556:O556)," ")</f>
        <v>142.10526315789474</v>
      </c>
      <c r="P557" s="29">
        <f>IF(P$17=1,SUM($E556:P556)," ")</f>
        <v>171.05263157894737</v>
      </c>
      <c r="Q557" s="29">
        <f>IF(Q$17=1,SUM($E556:Q556)," ")</f>
        <v>202.63157894736841</v>
      </c>
      <c r="R557" s="29">
        <f>IF(R$17=1,SUM($E556:R556)," ")</f>
        <v>236.84210526315789</v>
      </c>
      <c r="S557" s="29">
        <f>IF(S$17=1,SUM($E556:S556)," ")</f>
        <v>273.68421052631578</v>
      </c>
      <c r="T557" s="29">
        <f>IF(T$17=1,SUM($E556:T556)," ")</f>
        <v>313.15789473684208</v>
      </c>
      <c r="U557" s="29">
        <f>IF(U$17=1,SUM($E556:U556)," ")</f>
        <v>355.26315789473682</v>
      </c>
      <c r="V557" s="29">
        <f>IF(V$17=1,SUM($E556:V556)," ")</f>
        <v>400</v>
      </c>
      <c r="W557" s="29">
        <f>IF(W$17=1,SUM($E556:W556)," ")</f>
        <v>447.36842105263156</v>
      </c>
      <c r="X557" s="29">
        <f>IF(X$17=1,SUM($E556:X556)," ")</f>
        <v>497.36842105263156</v>
      </c>
      <c r="Y557" s="29">
        <f>IF(Y$17=1,SUM($E556:Y556)," ")</f>
        <v>550</v>
      </c>
      <c r="Z557" s="29">
        <f>IF(Z$17=1,SUM($E556:Z556)," ")</f>
        <v>605.26315789473688</v>
      </c>
      <c r="AA557" s="29">
        <f>IF(AA$17=1,SUM($E556:AA556)," ")</f>
        <v>663.15789473684208</v>
      </c>
      <c r="AB557" s="29">
        <f>IF(AB$17=1,SUM($E556:AB556)," ")</f>
        <v>723.68421052631572</v>
      </c>
      <c r="AC557" s="29">
        <f>IF(AC$17=1,SUM($E556:AC556)," ")</f>
        <v>786.71745152354561</v>
      </c>
      <c r="AD557" s="29">
        <f>IF(AD$17=1,SUM($E556:AD556)," ")</f>
        <v>852.25069252077549</v>
      </c>
      <c r="AE557" s="29">
        <f>IF(AE$17=1,SUM($E556:AE556)," ")</f>
        <v>920.28393351800537</v>
      </c>
      <c r="AF557" s="29">
        <f>IF(AF$17=1,SUM($E556:AF556)," ")</f>
        <v>990.81717451523525</v>
      </c>
      <c r="AG557" s="29">
        <f>IF(AG$17=1,SUM($E556:AG556)," ")</f>
        <v>1063.8504155124651</v>
      </c>
      <c r="AH557" s="29">
        <f>IF(AH$17=1,SUM($E556:AH556)," ")</f>
        <v>1139.3836565096951</v>
      </c>
    </row>
    <row r="558" spans="1:34" s="20" customFormat="1" ht="14" x14ac:dyDescent="0.2">
      <c r="A558" s="87"/>
      <c r="B558" s="14" t="s">
        <v>640</v>
      </c>
      <c r="C558" s="8"/>
      <c r="D558" s="8" t="str">
        <f>'Assumptions - General'!$E$27 &amp;" millions"</f>
        <v>R$ millions</v>
      </c>
      <c r="E558" s="29"/>
      <c r="F558" s="29">
        <f t="shared" ref="F558:AH558" si="238">IF(F17=1,F553+F554-F555-F556," ")</f>
        <v>100</v>
      </c>
      <c r="G558" s="29">
        <f t="shared" si="238"/>
        <v>194.73684210526315</v>
      </c>
      <c r="H558" s="29">
        <f t="shared" si="238"/>
        <v>286.84210526315786</v>
      </c>
      <c r="I558" s="29">
        <f t="shared" si="238"/>
        <v>376.31578947368416</v>
      </c>
      <c r="J558" s="29">
        <f t="shared" si="238"/>
        <v>463.15789473684208</v>
      </c>
      <c r="K558" s="29">
        <f t="shared" si="238"/>
        <v>547.36842105263156</v>
      </c>
      <c r="L558" s="29">
        <f t="shared" si="238"/>
        <v>628.9473684210526</v>
      </c>
      <c r="M558" s="29">
        <f t="shared" si="238"/>
        <v>707.8947368421052</v>
      </c>
      <c r="N558" s="29">
        <f t="shared" si="238"/>
        <v>784.21052631578937</v>
      </c>
      <c r="O558" s="29">
        <f t="shared" si="238"/>
        <v>857.8947368421052</v>
      </c>
      <c r="P558" s="29">
        <f t="shared" si="238"/>
        <v>928.9473684210526</v>
      </c>
      <c r="Q558" s="29">
        <f t="shared" si="238"/>
        <v>997.36842105263145</v>
      </c>
      <c r="R558" s="29">
        <f t="shared" si="238"/>
        <v>1063.1578947368421</v>
      </c>
      <c r="S558" s="29">
        <f t="shared" si="238"/>
        <v>1126.3157894736842</v>
      </c>
      <c r="T558" s="29">
        <f t="shared" si="238"/>
        <v>1186.8421052631579</v>
      </c>
      <c r="U558" s="29">
        <f t="shared" si="238"/>
        <v>1244.7368421052631</v>
      </c>
      <c r="V558" s="29">
        <f t="shared" si="238"/>
        <v>1300</v>
      </c>
      <c r="W558" s="29">
        <f t="shared" si="238"/>
        <v>1352.6315789473683</v>
      </c>
      <c r="X558" s="29">
        <f t="shared" si="238"/>
        <v>1402.6315789473683</v>
      </c>
      <c r="Y558" s="29">
        <f t="shared" si="238"/>
        <v>1450</v>
      </c>
      <c r="Z558" s="29">
        <f t="shared" si="238"/>
        <v>1494.7368421052631</v>
      </c>
      <c r="AA558" s="29">
        <f t="shared" si="238"/>
        <v>1536.8421052631579</v>
      </c>
      <c r="AB558" s="29">
        <f t="shared" si="238"/>
        <v>1576.3157894736842</v>
      </c>
      <c r="AC558" s="29">
        <f t="shared" si="238"/>
        <v>1608.545706371191</v>
      </c>
      <c r="AD558" s="29">
        <f t="shared" si="238"/>
        <v>1638.012465373961</v>
      </c>
      <c r="AE558" s="29">
        <f t="shared" si="238"/>
        <v>1664.9792243767311</v>
      </c>
      <c r="AF558" s="29">
        <f t="shared" si="238"/>
        <v>1689.4459833795011</v>
      </c>
      <c r="AG558" s="29">
        <f t="shared" si="238"/>
        <v>1711.4127423822711</v>
      </c>
      <c r="AH558" s="29">
        <f t="shared" si="238"/>
        <v>1730.8795013850411</v>
      </c>
    </row>
    <row r="559" spans="1:34" s="20" customFormat="1" ht="14" x14ac:dyDescent="0.2">
      <c r="A559" s="87"/>
      <c r="B559" s="14"/>
      <c r="C559" s="8"/>
      <c r="D559" s="8"/>
      <c r="E559" s="29"/>
      <c r="F559" s="29"/>
      <c r="G559" s="29"/>
      <c r="H559" s="29"/>
      <c r="I559" s="29"/>
      <c r="J559" s="29"/>
      <c r="K559" s="29"/>
      <c r="L559" s="29"/>
      <c r="M559" s="29"/>
      <c r="N559" s="29"/>
      <c r="O559" s="29"/>
      <c r="P559" s="29"/>
      <c r="Q559" s="29"/>
      <c r="R559" s="29"/>
      <c r="S559" s="29"/>
      <c r="T559" s="29"/>
      <c r="U559" s="29"/>
      <c r="V559" s="29"/>
      <c r="W559" s="29"/>
      <c r="X559" s="29"/>
      <c r="Y559" s="29"/>
      <c r="Z559" s="29"/>
      <c r="AA559" s="29"/>
      <c r="AB559" s="29"/>
      <c r="AC559" s="29"/>
      <c r="AD559" s="29"/>
      <c r="AE559" s="29"/>
      <c r="AF559" s="29"/>
      <c r="AG559" s="29"/>
      <c r="AH559" s="29"/>
    </row>
    <row r="560" spans="1:34" s="20" customFormat="1" ht="14" x14ac:dyDescent="0.2">
      <c r="A560" s="87"/>
      <c r="B560" s="14" t="s">
        <v>638</v>
      </c>
      <c r="C560" s="8"/>
      <c r="D560" s="8" t="str">
        <f>'Assumptions - General'!$E$27 &amp;" millions"</f>
        <v>R$ millions</v>
      </c>
      <c r="E560" s="29">
        <f t="shared" ref="E560:AH560" si="239">IF(E17=1,E551+E558," ")</f>
        <v>200</v>
      </c>
      <c r="F560" s="29">
        <f t="shared" si="239"/>
        <v>289.86842105263156</v>
      </c>
      <c r="G560" s="29">
        <f t="shared" si="239"/>
        <v>374.60526315789474</v>
      </c>
      <c r="H560" s="29">
        <f t="shared" si="239"/>
        <v>456.84210526315786</v>
      </c>
      <c r="I560" s="29">
        <f t="shared" si="239"/>
        <v>536.57894736842104</v>
      </c>
      <c r="J560" s="29">
        <f t="shared" si="239"/>
        <v>613.81578947368416</v>
      </c>
      <c r="K560" s="29">
        <f t="shared" si="239"/>
        <v>688.55263157894728</v>
      </c>
      <c r="L560" s="29">
        <f t="shared" si="239"/>
        <v>760.78947368421052</v>
      </c>
      <c r="M560" s="29">
        <f t="shared" si="239"/>
        <v>830.52631578947364</v>
      </c>
      <c r="N560" s="29">
        <f t="shared" si="239"/>
        <v>897.76315789473676</v>
      </c>
      <c r="O560" s="29">
        <f t="shared" si="239"/>
        <v>962.49999999999989</v>
      </c>
      <c r="P560" s="29">
        <f t="shared" si="239"/>
        <v>1024.7368421052631</v>
      </c>
      <c r="Q560" s="29">
        <f t="shared" si="239"/>
        <v>1084.4736842105262</v>
      </c>
      <c r="R560" s="29">
        <f t="shared" si="239"/>
        <v>1141.7105263157894</v>
      </c>
      <c r="S560" s="29">
        <f t="shared" si="239"/>
        <v>1196.4473684210525</v>
      </c>
      <c r="T560" s="29">
        <f t="shared" si="239"/>
        <v>1248.6842105263158</v>
      </c>
      <c r="U560" s="29">
        <f t="shared" si="239"/>
        <v>1298.421052631579</v>
      </c>
      <c r="V560" s="29">
        <f t="shared" si="239"/>
        <v>1345.6578947368421</v>
      </c>
      <c r="W560" s="29">
        <f t="shared" si="239"/>
        <v>1390.3947368421052</v>
      </c>
      <c r="X560" s="29">
        <f t="shared" si="239"/>
        <v>1432.6315789473683</v>
      </c>
      <c r="Y560" s="29">
        <f t="shared" si="239"/>
        <v>1472.3684210526317</v>
      </c>
      <c r="Z560" s="29">
        <f t="shared" si="239"/>
        <v>1509.6052631578948</v>
      </c>
      <c r="AA560" s="29">
        <f t="shared" si="239"/>
        <v>1544.3421052631579</v>
      </c>
      <c r="AB560" s="29">
        <f t="shared" si="239"/>
        <v>1576.578947368421</v>
      </c>
      <c r="AC560" s="29">
        <f t="shared" si="239"/>
        <v>1608.545706371191</v>
      </c>
      <c r="AD560" s="29">
        <f t="shared" si="239"/>
        <v>1638.012465373961</v>
      </c>
      <c r="AE560" s="29">
        <f t="shared" si="239"/>
        <v>1664.9792243767311</v>
      </c>
      <c r="AF560" s="29">
        <f t="shared" si="239"/>
        <v>1689.4459833795011</v>
      </c>
      <c r="AG560" s="29">
        <f t="shared" si="239"/>
        <v>1711.4127423822711</v>
      </c>
      <c r="AH560" s="29">
        <f t="shared" si="239"/>
        <v>1730.8795013850411</v>
      </c>
    </row>
    <row r="561" spans="1:34" s="310" customFormat="1" ht="14" x14ac:dyDescent="0.2">
      <c r="A561" s="87"/>
      <c r="B561" s="446"/>
      <c r="C561" s="87"/>
      <c r="D561" s="87"/>
      <c r="E561" s="447"/>
      <c r="F561" s="447"/>
      <c r="G561" s="447"/>
      <c r="H561" s="447"/>
      <c r="I561" s="447"/>
      <c r="J561" s="447"/>
      <c r="K561" s="447"/>
      <c r="L561" s="447"/>
      <c r="M561" s="447"/>
      <c r="N561" s="447"/>
      <c r="O561" s="447"/>
      <c r="P561" s="447"/>
      <c r="Q561" s="447"/>
      <c r="R561" s="447"/>
      <c r="S561" s="447"/>
      <c r="T561" s="447"/>
      <c r="U561" s="447"/>
      <c r="V561" s="447"/>
      <c r="W561" s="447"/>
      <c r="X561" s="447"/>
      <c r="Y561" s="447"/>
      <c r="Z561" s="447"/>
      <c r="AA561" s="447"/>
      <c r="AB561" s="447"/>
      <c r="AC561" s="447"/>
      <c r="AD561" s="447"/>
      <c r="AE561" s="447"/>
      <c r="AF561" s="447"/>
      <c r="AG561" s="447"/>
      <c r="AH561" s="447"/>
    </row>
    <row r="562" spans="1:34" s="20" customFormat="1" ht="14" x14ac:dyDescent="0.2">
      <c r="A562" s="87">
        <f>'Assumptions - Passenger'!E81</f>
        <v>1</v>
      </c>
      <c r="B562" s="21" t="str">
        <f>'Assumptions - Passenger'!E29</f>
        <v>Locomotives and railway cars</v>
      </c>
      <c r="C562" s="8"/>
      <c r="D562" s="8"/>
      <c r="E562" s="31"/>
      <c r="F562" s="31"/>
      <c r="G562" s="31"/>
      <c r="H562" s="31"/>
      <c r="I562" s="31"/>
      <c r="J562" s="31"/>
      <c r="K562" s="31"/>
      <c r="L562" s="31"/>
      <c r="M562" s="31"/>
      <c r="N562" s="31"/>
      <c r="O562" s="31"/>
      <c r="P562" s="31"/>
      <c r="Q562" s="31"/>
      <c r="R562" s="31"/>
      <c r="S562" s="31"/>
      <c r="T562" s="31"/>
      <c r="U562" s="31"/>
      <c r="V562" s="31"/>
      <c r="W562" s="31"/>
      <c r="X562" s="31"/>
      <c r="Y562" s="31"/>
      <c r="Z562" s="31"/>
      <c r="AA562" s="31"/>
      <c r="AB562" s="31"/>
      <c r="AC562" s="31"/>
      <c r="AD562" s="31"/>
      <c r="AE562" s="31"/>
      <c r="AF562" s="31"/>
      <c r="AG562" s="31"/>
      <c r="AH562" s="31"/>
    </row>
    <row r="563" spans="1:34" s="20" customFormat="1" ht="14" x14ac:dyDescent="0.2">
      <c r="A563" s="87"/>
      <c r="B563" s="14" t="str">
        <f>"Starting value "</f>
        <v xml:space="preserve">Starting value </v>
      </c>
      <c r="C563" s="8"/>
      <c r="D563" s="8" t="str">
        <f>'Assumptions - General'!$E$27 &amp;" millions"</f>
        <v>R$ millions</v>
      </c>
      <c r="E563" s="29"/>
      <c r="F563" s="31">
        <f t="shared" ref="F563:AH563" si="240">IF(F$17=1,E567," ")</f>
        <v>300</v>
      </c>
      <c r="G563" s="31">
        <f t="shared" si="240"/>
        <v>282.17391304347825</v>
      </c>
      <c r="H563" s="31">
        <f t="shared" si="240"/>
        <v>264.56521739130432</v>
      </c>
      <c r="I563" s="31">
        <f t="shared" si="240"/>
        <v>247.17391304347822</v>
      </c>
      <c r="J563" s="31">
        <f t="shared" si="240"/>
        <v>229.99999999999997</v>
      </c>
      <c r="K563" s="31">
        <f t="shared" si="240"/>
        <v>213.04347826086953</v>
      </c>
      <c r="L563" s="31">
        <f t="shared" si="240"/>
        <v>196.30434782608694</v>
      </c>
      <c r="M563" s="31">
        <f t="shared" si="240"/>
        <v>179.78260869565216</v>
      </c>
      <c r="N563" s="31">
        <f t="shared" si="240"/>
        <v>163.47826086956519</v>
      </c>
      <c r="O563" s="31">
        <f t="shared" si="240"/>
        <v>147.39130434782606</v>
      </c>
      <c r="P563" s="31">
        <f t="shared" si="240"/>
        <v>131.52173913043475</v>
      </c>
      <c r="Q563" s="31">
        <f t="shared" si="240"/>
        <v>115.86956521739127</v>
      </c>
      <c r="R563" s="31">
        <f t="shared" si="240"/>
        <v>100.43478260869561</v>
      </c>
      <c r="S563" s="31">
        <f t="shared" si="240"/>
        <v>85.217391304347785</v>
      </c>
      <c r="T563" s="31">
        <f t="shared" si="240"/>
        <v>70.217391304347785</v>
      </c>
      <c r="U563" s="31">
        <f t="shared" si="240"/>
        <v>55.434782608695613</v>
      </c>
      <c r="V563" s="31">
        <f t="shared" si="240"/>
        <v>40.869565217391269</v>
      </c>
      <c r="W563" s="31">
        <f t="shared" si="240"/>
        <v>26.521739130434746</v>
      </c>
      <c r="X563" s="31">
        <f t="shared" si="240"/>
        <v>12.391304347826051</v>
      </c>
      <c r="Y563" s="31">
        <f t="shared" si="240"/>
        <v>0</v>
      </c>
      <c r="Z563" s="31">
        <f t="shared" si="240"/>
        <v>0</v>
      </c>
      <c r="AA563" s="31">
        <f t="shared" si="240"/>
        <v>0</v>
      </c>
      <c r="AB563" s="31">
        <f t="shared" si="240"/>
        <v>0</v>
      </c>
      <c r="AC563" s="31">
        <f t="shared" si="240"/>
        <v>0</v>
      </c>
      <c r="AD563" s="31">
        <f t="shared" si="240"/>
        <v>0</v>
      </c>
      <c r="AE563" s="31">
        <f t="shared" si="240"/>
        <v>0</v>
      </c>
      <c r="AF563" s="31">
        <f t="shared" si="240"/>
        <v>0</v>
      </c>
      <c r="AG563" s="31">
        <f t="shared" si="240"/>
        <v>0</v>
      </c>
      <c r="AH563" s="31">
        <f t="shared" si="240"/>
        <v>0</v>
      </c>
    </row>
    <row r="564" spans="1:34" s="20" customFormat="1" ht="14" x14ac:dyDescent="0.2">
      <c r="A564" s="87"/>
      <c r="B564" s="30" t="s">
        <v>608</v>
      </c>
      <c r="C564" s="8"/>
      <c r="D564" s="8" t="str">
        <f>'Assumptions - General'!$E$27 &amp;" millions"</f>
        <v>R$ millions</v>
      </c>
      <c r="E564" s="29"/>
      <c r="F564" s="29">
        <f>IF(F$17=1,IF(F563&gt;0,MIN(F563,'Assumptions - Passenger'!F51),0)," ")</f>
        <v>5</v>
      </c>
      <c r="G564" s="29">
        <f>IF(G$17=1,IF(G563&gt;0,MIN(G563,'Assumptions - Passenger'!G51),0)," ")</f>
        <v>5</v>
      </c>
      <c r="H564" s="29">
        <f>IF(H$17=1,IF(H563&gt;0,MIN(H563,'Assumptions - Passenger'!H51),0)," ")</f>
        <v>5</v>
      </c>
      <c r="I564" s="29">
        <f>IF(I$17=1,IF(I563&gt;0,MIN(I563,'Assumptions - Passenger'!I51),0)," ")</f>
        <v>5</v>
      </c>
      <c r="J564" s="29">
        <f>IF(J$17=1,IF(J563&gt;0,MIN(J563,'Assumptions - Passenger'!J51),0)," ")</f>
        <v>5</v>
      </c>
      <c r="K564" s="29">
        <f>IF(K$17=1,IF(K563&gt;0,MIN(K563,'Assumptions - Passenger'!K51),0)," ")</f>
        <v>5</v>
      </c>
      <c r="L564" s="29">
        <f>IF(L$17=1,IF(L563&gt;0,MIN(L563,'Assumptions - Passenger'!L51),0)," ")</f>
        <v>5</v>
      </c>
      <c r="M564" s="29">
        <f>IF(M$17=1,IF(M563&gt;0,MIN(M563,'Assumptions - Passenger'!M51),0)," ")</f>
        <v>5</v>
      </c>
      <c r="N564" s="29">
        <f>IF(N$17=1,IF(N563&gt;0,MIN(N563,'Assumptions - Passenger'!N51),0)," ")</f>
        <v>5</v>
      </c>
      <c r="O564" s="29">
        <f>IF(O$17=1,IF(O563&gt;0,MIN(O563,'Assumptions - Passenger'!O51),0)," ")</f>
        <v>5</v>
      </c>
      <c r="P564" s="29">
        <f>IF(P$17=1,IF(P563&gt;0,MIN(P563,'Assumptions - Passenger'!P51),0)," ")</f>
        <v>5</v>
      </c>
      <c r="Q564" s="29">
        <f>IF(Q$17=1,IF(Q563&gt;0,MIN(Q563,'Assumptions - Passenger'!Q51),0)," ")</f>
        <v>5</v>
      </c>
      <c r="R564" s="29">
        <f>IF(R$17=1,IF(R563&gt;0,MIN(R563,'Assumptions - Passenger'!R51),0)," ")</f>
        <v>5</v>
      </c>
      <c r="S564" s="29">
        <f>IF(S$17=1,IF(S563&gt;0,MIN(S563,'Assumptions - Passenger'!S51),0)," ")</f>
        <v>5</v>
      </c>
      <c r="T564" s="29">
        <f>IF(T$17=1,IF(T563&gt;0,MIN(T563,'Assumptions - Passenger'!T51),0)," ")</f>
        <v>5</v>
      </c>
      <c r="U564" s="29">
        <f>IF(U$17=1,IF(U563&gt;0,MIN(U563,'Assumptions - Passenger'!U51),0)," ")</f>
        <v>5</v>
      </c>
      <c r="V564" s="29">
        <f>IF(V$17=1,IF(V563&gt;0,MIN(V563,'Assumptions - Passenger'!V51),0)," ")</f>
        <v>5</v>
      </c>
      <c r="W564" s="29">
        <f>IF(W$17=1,IF(W563&gt;0,MIN(W563,'Assumptions - Passenger'!W51),0)," ")</f>
        <v>5</v>
      </c>
      <c r="X564" s="29">
        <f>IF(X$17=1,IF(X563&gt;0,MIN(X563,'Assumptions - Passenger'!X51),0)," ")</f>
        <v>5</v>
      </c>
      <c r="Y564" s="29">
        <f>IF(Y$17=1,IF(Y563&gt;0,MIN(Y563,'Assumptions - Passenger'!Y51),0)," ")</f>
        <v>0</v>
      </c>
      <c r="Z564" s="29">
        <f>IF(Z$17=1,IF(Z563&gt;0,MIN(Z563,'Assumptions - Passenger'!Z51),0)," ")</f>
        <v>0</v>
      </c>
      <c r="AA564" s="29">
        <f>IF(AA$17=1,IF(AA563&gt;0,MIN(AA563,'Assumptions - Passenger'!AA51),0)," ")</f>
        <v>0</v>
      </c>
      <c r="AB564" s="29">
        <f>IF(AB$17=1,IF(AB563&gt;0,MIN(AB563,'Assumptions - Passenger'!AB51),0)," ")</f>
        <v>0</v>
      </c>
      <c r="AC564" s="29">
        <f>IF(AC$17=1,IF(AC563&gt;0,MIN(AC563,'Assumptions - Passenger'!AC51),0)," ")</f>
        <v>0</v>
      </c>
      <c r="AD564" s="29">
        <f>IF(AD$17=1,IF(AD563&gt;0,MIN(AD563,'Assumptions - Passenger'!AD51),0)," ")</f>
        <v>0</v>
      </c>
      <c r="AE564" s="29">
        <f>IF(AE$17=1,IF(AE563&gt;0,MIN(AE563,'Assumptions - Passenger'!AE51),0)," ")</f>
        <v>0</v>
      </c>
      <c r="AF564" s="29">
        <f>IF(AF$17=1,IF(AF563&gt;0,MIN(AF563,'Assumptions - Passenger'!AF51),0)," ")</f>
        <v>0</v>
      </c>
      <c r="AG564" s="29">
        <f>IF(AG$17=1,IF(AG563&gt;0,MIN(AG563,'Assumptions - Passenger'!AG51),0)," ")</f>
        <v>0</v>
      </c>
      <c r="AH564" s="29">
        <f>IF(AH$17=1,IF(AH563&gt;0,MIN(AH563,'Assumptions - Passenger'!AH51),0)," ")</f>
        <v>0</v>
      </c>
    </row>
    <row r="565" spans="1:34" s="20" customFormat="1" ht="14" x14ac:dyDescent="0.2">
      <c r="A565" s="87"/>
      <c r="B565" s="30" t="str">
        <f>IF(A562=1,"Less depreciation of existing assets","Less depreciation of assets")</f>
        <v>Less depreciation of existing assets</v>
      </c>
      <c r="C565" s="8"/>
      <c r="D565" s="8" t="str">
        <f>'Assumptions - General'!$E$27 &amp;" millions"</f>
        <v>R$ millions</v>
      </c>
      <c r="E565" s="29"/>
      <c r="F565" s="229">
        <f>IF(F$17=1,(IF($A562=1,IF(F563-F564&gt;0,(MIN((F563-F564),($E567-SUM($E564:F564))/'Assumptions - Passenger'!$E83)),0),'Assumptions - Passenger'!F86))," ")</f>
        <v>12.826086956521738</v>
      </c>
      <c r="G565" s="229">
        <f>IF(G$17=1,(IF($A562=1,IF(G563-G564&gt;0,(MIN((G563-G564),($E567-SUM($E564:G564))/'Assumptions - Passenger'!$E83)),0),'Assumptions - Passenger'!G86))," ")</f>
        <v>12.608695652173912</v>
      </c>
      <c r="H565" s="229">
        <f>IF(H$17=1,(IF($A562=1,IF(H563-H564&gt;0,(MIN((H563-H564),($E567-SUM($E564:H564))/'Assumptions - Passenger'!$E83)),0),'Assumptions - Passenger'!H86))," ")</f>
        <v>12.391304347826088</v>
      </c>
      <c r="I565" s="229">
        <f>IF(I$17=1,(IF($A562=1,IF(I563-I564&gt;0,(MIN((I563-I564),($E567-SUM($E564:I564))/'Assumptions - Passenger'!$E83)),0),'Assumptions - Passenger'!I86))," ")</f>
        <v>12.173913043478262</v>
      </c>
      <c r="J565" s="229">
        <f>IF(J$17=1,(IF($A562=1,IF(J563-J564&gt;0,(MIN((J563-J564),($E567-SUM($E564:J564))/'Assumptions - Passenger'!$E83)),0),'Assumptions - Passenger'!J86))," ")</f>
        <v>11.956521739130435</v>
      </c>
      <c r="K565" s="229">
        <f>IF(K$17=1,(IF($A562=1,IF(K563-K564&gt;0,(MIN((K563-K564),($E567-SUM($E564:K564))/'Assumptions - Passenger'!$E83)),0),'Assumptions - Passenger'!K86))," ")</f>
        <v>11.739130434782609</v>
      </c>
      <c r="L565" s="229">
        <f>IF(L$17=1,(IF($A562=1,IF(L563-L564&gt;0,(MIN((L563-L564),($E567-SUM($E564:L564))/'Assumptions - Passenger'!$E83)),0),'Assumptions - Passenger'!L86))," ")</f>
        <v>11.521739130434783</v>
      </c>
      <c r="M565" s="229">
        <f>IF(M$17=1,(IF($A562=1,IF(M563-M564&gt;0,(MIN((M563-M564),($E567-SUM($E564:M564))/'Assumptions - Passenger'!$E83)),0),'Assumptions - Passenger'!M86))," ")</f>
        <v>11.304347826086957</v>
      </c>
      <c r="N565" s="229">
        <f>IF(N$17=1,(IF($A562=1,IF(N563-N564&gt;0,(MIN((N563-N564),($E567-SUM($E564:N564))/'Assumptions - Passenger'!$E83)),0),'Assumptions - Passenger'!N86))," ")</f>
        <v>11.086956521739131</v>
      </c>
      <c r="O565" s="229">
        <f>IF(O$17=1,(IF($A562=1,IF(O563-O564&gt;0,(MIN((O563-O564),($E567-SUM($E564:O564))/'Assumptions - Passenger'!$E83)),0),'Assumptions - Passenger'!O86))," ")</f>
        <v>10.869565217391305</v>
      </c>
      <c r="P565" s="229">
        <f>IF(P$17=1,(IF($A562=1,IF(P563-P564&gt;0,(MIN((P563-P564),($E567-SUM($E564:P564))/'Assumptions - Passenger'!$E83)),0),'Assumptions - Passenger'!P86))," ")</f>
        <v>10.652173913043478</v>
      </c>
      <c r="Q565" s="229">
        <f>IF(Q$17=1,(IF($A562=1,IF(Q563-Q564&gt;0,(MIN((Q563-Q564),($E567-SUM($E564:Q564))/'Assumptions - Passenger'!$E83)),0),'Assumptions - Passenger'!Q86))," ")</f>
        <v>10.434782608695652</v>
      </c>
      <c r="R565" s="229">
        <f>IF(R$17=1,(IF($A562=1,IF(R563-R564&gt;0,(MIN((R563-R564),($E567-SUM($E564:R564))/'Assumptions - Passenger'!$E83)),0),'Assumptions - Passenger'!R86))," ")</f>
        <v>10.217391304347826</v>
      </c>
      <c r="S565" s="229">
        <f>IF(S$17=1,(IF($A562=1,IF(S563-S564&gt;0,(MIN((S563-S564),($E567-SUM($E564:S564))/'Assumptions - Passenger'!$E83)),0),'Assumptions - Passenger'!S86))," ")</f>
        <v>10</v>
      </c>
      <c r="T565" s="229">
        <f>IF(T$17=1,(IF($A562=1,IF(T563-T564&gt;0,(MIN((T563-T564),($E567-SUM($E564:T564))/'Assumptions - Passenger'!$E83)),0),'Assumptions - Passenger'!T86))," ")</f>
        <v>9.7826086956521738</v>
      </c>
      <c r="U565" s="229">
        <f>IF(U$17=1,(IF($A562=1,IF(U563-U564&gt;0,(MIN((U563-U564),($E567-SUM($E564:U564))/'Assumptions - Passenger'!$E83)),0),'Assumptions - Passenger'!U86))," ")</f>
        <v>9.5652173913043477</v>
      </c>
      <c r="V565" s="229">
        <f>IF(V$17=1,(IF($A562=1,IF(V563-V564&gt;0,(MIN((V563-V564),($E567-SUM($E564:V564))/'Assumptions - Passenger'!$E83)),0),'Assumptions - Passenger'!V86))," ")</f>
        <v>9.3478260869565215</v>
      </c>
      <c r="W565" s="229">
        <f>IF(W$17=1,(IF($A562=1,IF(W563-W564&gt;0,(MIN((W563-W564),($E567-SUM($E564:W564))/'Assumptions - Passenger'!$E83)),0),'Assumptions - Passenger'!W86))," ")</f>
        <v>9.1304347826086953</v>
      </c>
      <c r="X565" s="229">
        <f>IF(X$17=1,(IF($A562=1,IF(X563-X564&gt;0,(MIN((X563-X564),($E567-SUM($E564:X564))/'Assumptions - Passenger'!$E83)),0),'Assumptions - Passenger'!X86))," ")</f>
        <v>7.3913043478260505</v>
      </c>
      <c r="Y565" s="229">
        <f>IF(Y$17=1,(IF($A562=1,IF(Y563-Y564&gt;0,(MIN((Y563-Y564),($E567-SUM($E564:Y564))/'Assumptions - Passenger'!$E83)),0),'Assumptions - Passenger'!Y86))," ")</f>
        <v>0</v>
      </c>
      <c r="Z565" s="229">
        <f>IF(Z$17=1,(IF($A562=1,IF(Z563-Z564&gt;0,(MIN((Z563-Z564),($E567-SUM($E564:Z564))/'Assumptions - Passenger'!$E83)),0),'Assumptions - Passenger'!Z86))," ")</f>
        <v>0</v>
      </c>
      <c r="AA565" s="229">
        <f>IF(AA$17=1,(IF($A562=1,IF(AA563-AA564&gt;0,(MIN((AA563-AA564),($E567-SUM($E564:AA564))/'Assumptions - Passenger'!$E83)),0),'Assumptions - Passenger'!AA86))," ")</f>
        <v>0</v>
      </c>
      <c r="AB565" s="229">
        <f>IF(AB$17=1,(IF($A562=1,IF(AB563-AB564&gt;0,(MIN((AB563-AB564),($E567-SUM($E564:AB564))/'Assumptions - Passenger'!$E83)),0),'Assumptions - Passenger'!AB86))," ")</f>
        <v>0</v>
      </c>
      <c r="AC565" s="229">
        <f>IF(AC$17=1,(IF($A562=1,IF(AC563-AC564&gt;0,(MIN((AC563-AC564),($E567-SUM($E564:AC564))/'Assumptions - Passenger'!$E83)),0),'Assumptions - Passenger'!AC86))," ")</f>
        <v>0</v>
      </c>
      <c r="AD565" s="229">
        <f>IF(AD$17=1,(IF($A562=1,IF(AD563-AD564&gt;0,(MIN((AD563-AD564),($E567-SUM($E564:AD564))/'Assumptions - Passenger'!$E83)),0),'Assumptions - Passenger'!AD86))," ")</f>
        <v>0</v>
      </c>
      <c r="AE565" s="229">
        <f>IF(AE$17=1,(IF($A562=1,IF(AE563-AE564&gt;0,(MIN((AE563-AE564),($E567-SUM($E564:AE564))/'Assumptions - Passenger'!$E83)),0),'Assumptions - Passenger'!AE86))," ")</f>
        <v>0</v>
      </c>
      <c r="AF565" s="229">
        <f>IF(AF$17=1,(IF($A562=1,IF(AF563-AF564&gt;0,(MIN((AF563-AF564),($E567-SUM($E564:AF564))/'Assumptions - Passenger'!$E83)),0),'Assumptions - Passenger'!AF86))," ")</f>
        <v>0</v>
      </c>
      <c r="AG565" s="229">
        <f>IF(AG$17=1,(IF($A562=1,IF(AG563-AG564&gt;0,(MIN((AG563-AG564),($E567-SUM($E564:AG564))/'Assumptions - Passenger'!$E83)),0),'Assumptions - Passenger'!AG86))," ")</f>
        <v>0</v>
      </c>
      <c r="AH565" s="229">
        <f>IF(AH$17=1,(IF($A562=1,IF(AH563-AH564&gt;0,(MIN((AH563-AH564),($E567-SUM($E564:AH564))/'Assumptions - Passenger'!$E83)),0),'Assumptions - Passenger'!AH86))," ")</f>
        <v>0</v>
      </c>
    </row>
    <row r="566" spans="1:34" s="20" customFormat="1" ht="14" x14ac:dyDescent="0.2">
      <c r="A566" s="87"/>
      <c r="B566" s="30" t="str">
        <f>IF(A562=1,"Accumulated depreciation of existing assets","Accumulated depreciation of assets")</f>
        <v>Accumulated depreciation of existing assets</v>
      </c>
      <c r="C566" s="8"/>
      <c r="D566" s="8" t="str">
        <f>'Assumptions - General'!$E$27 &amp;" millions"</f>
        <v>R$ millions</v>
      </c>
      <c r="E566" s="29"/>
      <c r="F566" s="29">
        <f>IF(F$17=1,SUM($E565:F565)," ")</f>
        <v>12.826086956521738</v>
      </c>
      <c r="G566" s="29">
        <f>IF(G$17=1,SUM($E565:G565)," ")</f>
        <v>25.434782608695649</v>
      </c>
      <c r="H566" s="29">
        <f>IF(H$17=1,SUM($E565:H565)," ")</f>
        <v>37.826086956521735</v>
      </c>
      <c r="I566" s="29">
        <f>IF(I$17=1,SUM($E565:I565)," ")</f>
        <v>50</v>
      </c>
      <c r="J566" s="29">
        <f>IF(J$17=1,SUM($E565:J565)," ")</f>
        <v>61.956521739130437</v>
      </c>
      <c r="K566" s="29">
        <f>IF(K$17=1,SUM($E565:K565)," ")</f>
        <v>73.695652173913047</v>
      </c>
      <c r="L566" s="29">
        <f>IF(L$17=1,SUM($E565:L565)," ")</f>
        <v>85.217391304347828</v>
      </c>
      <c r="M566" s="29">
        <f>IF(M$17=1,SUM($E565:M565)," ")</f>
        <v>96.521739130434781</v>
      </c>
      <c r="N566" s="29">
        <f>IF(N$17=1,SUM($E565:N565)," ")</f>
        <v>107.60869565217391</v>
      </c>
      <c r="O566" s="29">
        <f>IF(O$17=1,SUM($E565:O565)," ")</f>
        <v>118.47826086956522</v>
      </c>
      <c r="P566" s="29">
        <f>IF(P$17=1,SUM($E565:P565)," ")</f>
        <v>129.13043478260869</v>
      </c>
      <c r="Q566" s="29">
        <f>IF(Q$17=1,SUM($E565:Q565)," ")</f>
        <v>139.56521739130434</v>
      </c>
      <c r="R566" s="29">
        <f>IF(R$17=1,SUM($E565:R565)," ")</f>
        <v>149.78260869565216</v>
      </c>
      <c r="S566" s="29">
        <f>IF(S$17=1,SUM($E565:S565)," ")</f>
        <v>159.78260869565216</v>
      </c>
      <c r="T566" s="29">
        <f>IF(T$17=1,SUM($E565:T565)," ")</f>
        <v>169.56521739130434</v>
      </c>
      <c r="U566" s="29">
        <f>IF(U$17=1,SUM($E565:U565)," ")</f>
        <v>179.13043478260869</v>
      </c>
      <c r="V566" s="29">
        <f>IF(V$17=1,SUM($E565:V565)," ")</f>
        <v>188.47826086956522</v>
      </c>
      <c r="W566" s="29">
        <f>IF(W$17=1,SUM($E565:W565)," ")</f>
        <v>197.60869565217391</v>
      </c>
      <c r="X566" s="29">
        <f>IF(X$17=1,SUM($E565:X565)," ")</f>
        <v>204.99999999999994</v>
      </c>
      <c r="Y566" s="29">
        <f>IF(Y$17=1,SUM($E565:Y565)," ")</f>
        <v>204.99999999999994</v>
      </c>
      <c r="Z566" s="29">
        <f>IF(Z$17=1,SUM($E565:Z565)," ")</f>
        <v>204.99999999999994</v>
      </c>
      <c r="AA566" s="29">
        <f>IF(AA$17=1,SUM($E565:AA565)," ")</f>
        <v>204.99999999999994</v>
      </c>
      <c r="AB566" s="29">
        <f>IF(AB$17=1,SUM($E565:AB565)," ")</f>
        <v>204.99999999999994</v>
      </c>
      <c r="AC566" s="29">
        <f>IF(AC$17=1,SUM($E565:AC565)," ")</f>
        <v>204.99999999999994</v>
      </c>
      <c r="AD566" s="29">
        <f>IF(AD$17=1,SUM($E565:AD565)," ")</f>
        <v>204.99999999999994</v>
      </c>
      <c r="AE566" s="29">
        <f>IF(AE$17=1,SUM($E565:AE565)," ")</f>
        <v>204.99999999999994</v>
      </c>
      <c r="AF566" s="29">
        <f>IF(AF$17=1,SUM($E565:AF565)," ")</f>
        <v>204.99999999999994</v>
      </c>
      <c r="AG566" s="29">
        <f>IF(AG$17=1,SUM($E565:AG565)," ")</f>
        <v>204.99999999999994</v>
      </c>
      <c r="AH566" s="29">
        <f>IF(AH$17=1,SUM($E565:AH565)," ")</f>
        <v>204.99999999999994</v>
      </c>
    </row>
    <row r="567" spans="1:34" s="20" customFormat="1" ht="14" x14ac:dyDescent="0.2">
      <c r="A567" s="87"/>
      <c r="B567" s="14" t="str">
        <f>"Ending value "</f>
        <v xml:space="preserve">Ending value </v>
      </c>
      <c r="C567" s="8"/>
      <c r="D567" s="8" t="str">
        <f>'Assumptions - General'!$E$27 &amp;" millions"</f>
        <v>R$ millions</v>
      </c>
      <c r="E567" s="463">
        <f>IF(E$17=1,'Assumptions - Passenger'!E36," ")</f>
        <v>300</v>
      </c>
      <c r="F567" s="29">
        <f>IF(F$17=1,F563-F564-F565," ")</f>
        <v>282.17391304347825</v>
      </c>
      <c r="G567" s="29">
        <f t="shared" ref="G567:AH567" si="241">IF(G$17=1,G563-G564-G565," ")</f>
        <v>264.56521739130432</v>
      </c>
      <c r="H567" s="29">
        <f t="shared" si="241"/>
        <v>247.17391304347822</v>
      </c>
      <c r="I567" s="29">
        <f t="shared" si="241"/>
        <v>229.99999999999997</v>
      </c>
      <c r="J567" s="29">
        <f t="shared" si="241"/>
        <v>213.04347826086953</v>
      </c>
      <c r="K567" s="29">
        <f t="shared" si="241"/>
        <v>196.30434782608694</v>
      </c>
      <c r="L567" s="29">
        <f t="shared" si="241"/>
        <v>179.78260869565216</v>
      </c>
      <c r="M567" s="29">
        <f t="shared" si="241"/>
        <v>163.47826086956519</v>
      </c>
      <c r="N567" s="29">
        <f t="shared" si="241"/>
        <v>147.39130434782606</v>
      </c>
      <c r="O567" s="29">
        <f t="shared" si="241"/>
        <v>131.52173913043475</v>
      </c>
      <c r="P567" s="29">
        <f t="shared" si="241"/>
        <v>115.86956521739127</v>
      </c>
      <c r="Q567" s="29">
        <f t="shared" si="241"/>
        <v>100.43478260869561</v>
      </c>
      <c r="R567" s="29">
        <f t="shared" si="241"/>
        <v>85.217391304347785</v>
      </c>
      <c r="S567" s="29">
        <f t="shared" si="241"/>
        <v>70.217391304347785</v>
      </c>
      <c r="T567" s="29">
        <f t="shared" si="241"/>
        <v>55.434782608695613</v>
      </c>
      <c r="U567" s="29">
        <f t="shared" si="241"/>
        <v>40.869565217391269</v>
      </c>
      <c r="V567" s="29">
        <f t="shared" si="241"/>
        <v>26.521739130434746</v>
      </c>
      <c r="W567" s="29">
        <f t="shared" si="241"/>
        <v>12.391304347826051</v>
      </c>
      <c r="X567" s="29">
        <f t="shared" si="241"/>
        <v>0</v>
      </c>
      <c r="Y567" s="29">
        <f t="shared" si="241"/>
        <v>0</v>
      </c>
      <c r="Z567" s="29">
        <f t="shared" si="241"/>
        <v>0</v>
      </c>
      <c r="AA567" s="29">
        <f t="shared" si="241"/>
        <v>0</v>
      </c>
      <c r="AB567" s="29">
        <f t="shared" si="241"/>
        <v>0</v>
      </c>
      <c r="AC567" s="29">
        <f t="shared" si="241"/>
        <v>0</v>
      </c>
      <c r="AD567" s="29">
        <f t="shared" si="241"/>
        <v>0</v>
      </c>
      <c r="AE567" s="29">
        <f t="shared" si="241"/>
        <v>0</v>
      </c>
      <c r="AF567" s="29">
        <f t="shared" si="241"/>
        <v>0</v>
      </c>
      <c r="AG567" s="29">
        <f t="shared" si="241"/>
        <v>0</v>
      </c>
      <c r="AH567" s="29">
        <f t="shared" si="241"/>
        <v>0</v>
      </c>
    </row>
    <row r="568" spans="1:34" s="20" customFormat="1" ht="14" x14ac:dyDescent="0.2">
      <c r="A568" s="87"/>
      <c r="B568" s="14"/>
      <c r="C568" s="8"/>
      <c r="D568" s="8"/>
      <c r="E568" s="29"/>
      <c r="F568" s="29"/>
      <c r="G568" s="29"/>
      <c r="H568" s="29"/>
      <c r="I568" s="29"/>
      <c r="J568" s="29"/>
      <c r="K568" s="29"/>
      <c r="L568" s="29"/>
      <c r="M568" s="29"/>
      <c r="N568" s="29"/>
      <c r="O568" s="29"/>
      <c r="P568" s="29"/>
      <c r="Q568" s="29"/>
      <c r="R568" s="29"/>
      <c r="S568" s="29"/>
      <c r="T568" s="29"/>
      <c r="U568" s="29"/>
      <c r="V568" s="29"/>
      <c r="W568" s="29"/>
      <c r="X568" s="29"/>
      <c r="Y568" s="29"/>
      <c r="Z568" s="29"/>
      <c r="AA568" s="29"/>
      <c r="AB568" s="29"/>
      <c r="AC568" s="29"/>
      <c r="AD568" s="29"/>
      <c r="AE568" s="29"/>
      <c r="AF568" s="29"/>
      <c r="AG568" s="29"/>
      <c r="AH568" s="29"/>
    </row>
    <row r="569" spans="1:34" s="20" customFormat="1" ht="14" x14ac:dyDescent="0.2">
      <c r="A569" s="87"/>
      <c r="B569" s="14" t="s">
        <v>634</v>
      </c>
      <c r="C569" s="8"/>
      <c r="D569" s="8" t="str">
        <f>'Assumptions - General'!$E$27 &amp;" millions"</f>
        <v>R$ millions</v>
      </c>
      <c r="E569" s="29"/>
      <c r="F569" s="29">
        <f t="shared" ref="F569:AH569" si="242">IF(F17=1,E574," ")</f>
        <v>0</v>
      </c>
      <c r="G569" s="29">
        <f t="shared" si="242"/>
        <v>100</v>
      </c>
      <c r="H569" s="29">
        <f t="shared" si="242"/>
        <v>196.22641509433961</v>
      </c>
      <c r="I569" s="29">
        <f t="shared" si="242"/>
        <v>290.56603773584902</v>
      </c>
      <c r="J569" s="29">
        <f t="shared" si="242"/>
        <v>383.01886792452825</v>
      </c>
      <c r="K569" s="29">
        <f t="shared" si="242"/>
        <v>473.58490566037733</v>
      </c>
      <c r="L569" s="29">
        <f t="shared" si="242"/>
        <v>562.2641509433962</v>
      </c>
      <c r="M569" s="29">
        <f t="shared" si="242"/>
        <v>649.05660377358492</v>
      </c>
      <c r="N569" s="29">
        <f t="shared" si="242"/>
        <v>733.96226415094338</v>
      </c>
      <c r="O569" s="29">
        <f t="shared" si="242"/>
        <v>816.98113207547169</v>
      </c>
      <c r="P569" s="29">
        <f t="shared" si="242"/>
        <v>898.11320754716985</v>
      </c>
      <c r="Q569" s="29">
        <f t="shared" si="242"/>
        <v>977.35849056603774</v>
      </c>
      <c r="R569" s="29">
        <f t="shared" si="242"/>
        <v>1054.7169811320755</v>
      </c>
      <c r="S569" s="29">
        <f t="shared" si="242"/>
        <v>1130.1886792452831</v>
      </c>
      <c r="T569" s="29">
        <f t="shared" si="242"/>
        <v>1203.7735849056605</v>
      </c>
      <c r="U569" s="29">
        <f t="shared" si="242"/>
        <v>1275.4716981132076</v>
      </c>
      <c r="V569" s="29">
        <f t="shared" si="242"/>
        <v>1345.2830188679245</v>
      </c>
      <c r="W569" s="29">
        <f t="shared" si="242"/>
        <v>1413.2075471698113</v>
      </c>
      <c r="X569" s="29">
        <f t="shared" si="242"/>
        <v>1479.2452830188679</v>
      </c>
      <c r="Y569" s="29">
        <f t="shared" si="242"/>
        <v>1543.3962264150944</v>
      </c>
      <c r="Z569" s="29">
        <f t="shared" si="242"/>
        <v>1600.7547169811321</v>
      </c>
      <c r="AA569" s="29">
        <f t="shared" si="242"/>
        <v>1656.3207547169811</v>
      </c>
      <c r="AB569" s="29">
        <f t="shared" si="242"/>
        <v>1710.0943396226414</v>
      </c>
      <c r="AC569" s="29">
        <f t="shared" si="242"/>
        <v>1762.0754716981132</v>
      </c>
      <c r="AD569" s="29">
        <f t="shared" si="242"/>
        <v>1812.2641509433963</v>
      </c>
      <c r="AE569" s="29">
        <f t="shared" si="242"/>
        <v>1860.6603773584907</v>
      </c>
      <c r="AF569" s="29">
        <f t="shared" si="242"/>
        <v>1907.2641509433963</v>
      </c>
      <c r="AG569" s="29">
        <f t="shared" si="242"/>
        <v>1952.0754716981132</v>
      </c>
      <c r="AH569" s="29">
        <f t="shared" si="242"/>
        <v>1995.0943396226414</v>
      </c>
    </row>
    <row r="570" spans="1:34" s="20" customFormat="1" ht="14" x14ac:dyDescent="0.2">
      <c r="A570" s="87"/>
      <c r="B570" s="30" t="s">
        <v>130</v>
      </c>
      <c r="C570" s="8"/>
      <c r="D570" s="8" t="str">
        <f>'Assumptions - General'!$E$27 &amp;" millions"</f>
        <v>R$ millions</v>
      </c>
      <c r="E570" s="29"/>
      <c r="F570" s="29">
        <f>IF(F$17=1,IF($D$510=1,$D$511*'Assumptions - Passenger'!F43,'Assumptions - Passenger'!F43)," ")</f>
        <v>100</v>
      </c>
      <c r="G570" s="29">
        <f>IF(G$17=1,IF($D$510=1,$D$511*'Assumptions - Passenger'!G43,'Assumptions - Passenger'!G43)," ")</f>
        <v>100</v>
      </c>
      <c r="H570" s="29">
        <f>IF(H$17=1,IF($D$510=1,$D$511*'Assumptions - Passenger'!H43,'Assumptions - Passenger'!H43)," ")</f>
        <v>100</v>
      </c>
      <c r="I570" s="29">
        <f>IF(I$17=1,IF($D$510=1,$D$511*'Assumptions - Passenger'!I43,'Assumptions - Passenger'!I43)," ")</f>
        <v>100</v>
      </c>
      <c r="J570" s="29">
        <f>IF(J$17=1,IF($D$510=1,$D$511*'Assumptions - Passenger'!J43,'Assumptions - Passenger'!J43)," ")</f>
        <v>100</v>
      </c>
      <c r="K570" s="29">
        <f>IF(K$17=1,IF($D$510=1,$D$511*'Assumptions - Passenger'!K43,'Assumptions - Passenger'!K43)," ")</f>
        <v>100</v>
      </c>
      <c r="L570" s="29">
        <f>IF(L$17=1,IF($D$510=1,$D$511*'Assumptions - Passenger'!L43,'Assumptions - Passenger'!L43)," ")</f>
        <v>100</v>
      </c>
      <c r="M570" s="29">
        <f>IF(M$17=1,IF($D$510=1,$D$511*'Assumptions - Passenger'!M43,'Assumptions - Passenger'!M43)," ")</f>
        <v>100</v>
      </c>
      <c r="N570" s="29">
        <f>IF(N$17=1,IF($D$510=1,$D$511*'Assumptions - Passenger'!N43,'Assumptions - Passenger'!N43)," ")</f>
        <v>100</v>
      </c>
      <c r="O570" s="29">
        <f>IF(O$17=1,IF($D$510=1,$D$511*'Assumptions - Passenger'!O43,'Assumptions - Passenger'!O43)," ")</f>
        <v>100</v>
      </c>
      <c r="P570" s="29">
        <f>IF(P$17=1,IF($D$510=1,$D$511*'Assumptions - Passenger'!P43,'Assumptions - Passenger'!P43)," ")</f>
        <v>100</v>
      </c>
      <c r="Q570" s="29">
        <f>IF(Q$17=1,IF($D$510=1,$D$511*'Assumptions - Passenger'!Q43,'Assumptions - Passenger'!Q43)," ")</f>
        <v>100</v>
      </c>
      <c r="R570" s="29">
        <f>IF(R$17=1,IF($D$510=1,$D$511*'Assumptions - Passenger'!R43,'Assumptions - Passenger'!R43)," ")</f>
        <v>100</v>
      </c>
      <c r="S570" s="29">
        <f>IF(S$17=1,IF($D$510=1,$D$511*'Assumptions - Passenger'!S43,'Assumptions - Passenger'!S43)," ")</f>
        <v>100</v>
      </c>
      <c r="T570" s="29">
        <f>IF(T$17=1,IF($D$510=1,$D$511*'Assumptions - Passenger'!T43,'Assumptions - Passenger'!T43)," ")</f>
        <v>100</v>
      </c>
      <c r="U570" s="29">
        <f>IF(U$17=1,IF($D$510=1,$D$511*'Assumptions - Passenger'!U43,'Assumptions - Passenger'!U43)," ")</f>
        <v>100</v>
      </c>
      <c r="V570" s="29">
        <f>IF(V$17=1,IF($D$510=1,$D$511*'Assumptions - Passenger'!V43,'Assumptions - Passenger'!V43)," ")</f>
        <v>100</v>
      </c>
      <c r="W570" s="29">
        <f>IF(W$17=1,IF($D$510=1,$D$511*'Assumptions - Passenger'!W43,'Assumptions - Passenger'!W43)," ")</f>
        <v>100</v>
      </c>
      <c r="X570" s="29">
        <f>IF(X$17=1,IF($D$510=1,$D$511*'Assumptions - Passenger'!X43,'Assumptions - Passenger'!X43)," ")</f>
        <v>100</v>
      </c>
      <c r="Y570" s="29">
        <f>IF(Y$17=1,IF($D$510=1,$D$511*'Assumptions - Passenger'!Y43,'Assumptions - Passenger'!Y43)," ")</f>
        <v>100</v>
      </c>
      <c r="Z570" s="29">
        <f>IF(Z$17=1,IF($D$510=1,$D$511*'Assumptions - Passenger'!Z43,'Assumptions - Passenger'!Z43)," ")</f>
        <v>100</v>
      </c>
      <c r="AA570" s="29">
        <f>IF(AA$17=1,IF($D$510=1,$D$511*'Assumptions - Passenger'!AA43,'Assumptions - Passenger'!AA43)," ")</f>
        <v>100</v>
      </c>
      <c r="AB570" s="29">
        <f>IF(AB$17=1,IF($D$510=1,$D$511*'Assumptions - Passenger'!AB43,'Assumptions - Passenger'!AB43)," ")</f>
        <v>100</v>
      </c>
      <c r="AC570" s="29">
        <f>IF(AC$17=1,IF($D$510=1,$D$511*'Assumptions - Passenger'!AC43,'Assumptions - Passenger'!AC43)," ")</f>
        <v>100</v>
      </c>
      <c r="AD570" s="29">
        <f>IF(AD$17=1,IF($D$510=1,$D$511*'Assumptions - Passenger'!AD43,'Assumptions - Passenger'!AD43)," ")</f>
        <v>100</v>
      </c>
      <c r="AE570" s="29">
        <f>IF(AE$17=1,IF($D$510=1,$D$511*'Assumptions - Passenger'!AE43,'Assumptions - Passenger'!AE43)," ")</f>
        <v>100</v>
      </c>
      <c r="AF570" s="29">
        <f>IF(AF$17=1,IF($D$510=1,$D$511*'Assumptions - Passenger'!AF43,'Assumptions - Passenger'!AF43)," ")</f>
        <v>100</v>
      </c>
      <c r="AG570" s="29">
        <f>IF(AG$17=1,IF($D$510=1,$D$511*'Assumptions - Passenger'!AG43,'Assumptions - Passenger'!AG43)," ")</f>
        <v>100</v>
      </c>
      <c r="AH570" s="29">
        <f>IF(AH$17=1,IF($D$510=1,$D$511*'Assumptions - Passenger'!AH43,'Assumptions - Passenger'!AH43)," ")</f>
        <v>100</v>
      </c>
    </row>
    <row r="571" spans="1:34" s="20" customFormat="1" ht="14" x14ac:dyDescent="0.2">
      <c r="A571" s="87"/>
      <c r="B571" s="30" t="s">
        <v>608</v>
      </c>
      <c r="C571" s="8"/>
      <c r="D571" s="8" t="str">
        <f>'Assumptions - General'!$E$27 &amp;" millions"</f>
        <v>R$ millions</v>
      </c>
      <c r="E571" s="29"/>
      <c r="F571" s="29">
        <f>IF(F$17=1,'Assumptions - Passenger'!F51-Calculations!F564," ")</f>
        <v>0</v>
      </c>
      <c r="G571" s="29">
        <f>IF(G$17=1,'Assumptions - Passenger'!G51-Calculations!G564," ")</f>
        <v>0</v>
      </c>
      <c r="H571" s="29">
        <f>IF(H$17=1,'Assumptions - Passenger'!H51-Calculations!H564," ")</f>
        <v>0</v>
      </c>
      <c r="I571" s="29">
        <f>IF(I$17=1,'Assumptions - Passenger'!I51-Calculations!I564," ")</f>
        <v>0</v>
      </c>
      <c r="J571" s="29">
        <f>IF(J$17=1,'Assumptions - Passenger'!J51-Calculations!J564," ")</f>
        <v>0</v>
      </c>
      <c r="K571" s="29">
        <f>IF(K$17=1,'Assumptions - Passenger'!K51-Calculations!K564," ")</f>
        <v>0</v>
      </c>
      <c r="L571" s="29">
        <f>IF(L$17=1,'Assumptions - Passenger'!L51-Calculations!L564," ")</f>
        <v>0</v>
      </c>
      <c r="M571" s="29">
        <f>IF(M$17=1,'Assumptions - Passenger'!M51-Calculations!M564," ")</f>
        <v>0</v>
      </c>
      <c r="N571" s="29">
        <f>IF(N$17=1,'Assumptions - Passenger'!N51-Calculations!N564," ")</f>
        <v>0</v>
      </c>
      <c r="O571" s="29">
        <f>IF(O$17=1,'Assumptions - Passenger'!O51-Calculations!O564," ")</f>
        <v>0</v>
      </c>
      <c r="P571" s="29">
        <f>IF(P$17=1,'Assumptions - Passenger'!P51-Calculations!P564," ")</f>
        <v>0</v>
      </c>
      <c r="Q571" s="29">
        <f>IF(Q$17=1,'Assumptions - Passenger'!Q51-Calculations!Q564," ")</f>
        <v>0</v>
      </c>
      <c r="R571" s="29">
        <f>IF(R$17=1,'Assumptions - Passenger'!R51-Calculations!R564," ")</f>
        <v>0</v>
      </c>
      <c r="S571" s="29">
        <f>IF(S$17=1,'Assumptions - Passenger'!S51-Calculations!S564," ")</f>
        <v>0</v>
      </c>
      <c r="T571" s="29">
        <f>IF(T$17=1,'Assumptions - Passenger'!T51-Calculations!T564," ")</f>
        <v>0</v>
      </c>
      <c r="U571" s="29">
        <f>IF(U$17=1,'Assumptions - Passenger'!U51-Calculations!U564," ")</f>
        <v>0</v>
      </c>
      <c r="V571" s="29">
        <f>IF(V$17=1,'Assumptions - Passenger'!V51-Calculations!V564," ")</f>
        <v>0</v>
      </c>
      <c r="W571" s="29">
        <f>IF(W$17=1,'Assumptions - Passenger'!W51-Calculations!W564," ")</f>
        <v>0</v>
      </c>
      <c r="X571" s="29">
        <f>IF(X$17=1,'Assumptions - Passenger'!X51-Calculations!X564," ")</f>
        <v>0</v>
      </c>
      <c r="Y571" s="29">
        <f>IF(Y$17=1,'Assumptions - Passenger'!Y51-Calculations!Y564," ")</f>
        <v>5</v>
      </c>
      <c r="Z571" s="29">
        <f>IF(Z$17=1,'Assumptions - Passenger'!Z51-Calculations!Z564," ")</f>
        <v>5</v>
      </c>
      <c r="AA571" s="29">
        <f>IF(AA$17=1,'Assumptions - Passenger'!AA51-Calculations!AA564," ")</f>
        <v>5</v>
      </c>
      <c r="AB571" s="29">
        <f>IF(AB$17=1,'Assumptions - Passenger'!AB51-Calculations!AB564," ")</f>
        <v>5</v>
      </c>
      <c r="AC571" s="29">
        <f>IF(AC$17=1,'Assumptions - Passenger'!AC51-Calculations!AC564," ")</f>
        <v>5</v>
      </c>
      <c r="AD571" s="29">
        <f>IF(AD$17=1,'Assumptions - Passenger'!AD51-Calculations!AD564," ")</f>
        <v>5</v>
      </c>
      <c r="AE571" s="29">
        <f>IF(AE$17=1,'Assumptions - Passenger'!AE51-Calculations!AE564," ")</f>
        <v>5</v>
      </c>
      <c r="AF571" s="29">
        <f>IF(AF$17=1,'Assumptions - Passenger'!AF51-Calculations!AF564," ")</f>
        <v>5</v>
      </c>
      <c r="AG571" s="29">
        <f>IF(AG$17=1,'Assumptions - Passenger'!AG51-Calculations!AG564," ")</f>
        <v>5</v>
      </c>
      <c r="AH571" s="29">
        <f>IF(AH$17=1,'Assumptions - Passenger'!AH51-Calculations!AH564," ")</f>
        <v>5</v>
      </c>
    </row>
    <row r="572" spans="1:34" s="20" customFormat="1" ht="14" x14ac:dyDescent="0.2">
      <c r="A572" s="87"/>
      <c r="B572" s="30" t="s">
        <v>635</v>
      </c>
      <c r="C572" s="8"/>
      <c r="D572" s="8" t="str">
        <f>'Assumptions - General'!$E$27 &amp;" millions"</f>
        <v>R$ millions</v>
      </c>
      <c r="E572" s="29"/>
      <c r="F572" s="29">
        <f>IF(F$17=1,(IF($A$562=1,IF(F569-F571&gt;0,(MIN((F569-F571),(SUM($E570:F570)-SUM($E571:F571))/'Assumptions - Passenger'!$E$85)),0),0))," ")</f>
        <v>0</v>
      </c>
      <c r="G572" s="29">
        <f>IF(G$17=1,(IF($A$562=1,IF(G569-G571&gt;0,(MIN((G569-G571),(SUM($E570:G570)-SUM($E571:G571))/'Assumptions - Passenger'!$E$85)),0),0))," ")</f>
        <v>3.7735849056603774</v>
      </c>
      <c r="H572" s="29">
        <f>IF(H$17=1,(IF($A$562=1,IF(H569-H571&gt;0,(MIN((H569-H571),(SUM($E570:H570)-SUM($E571:H571))/'Assumptions - Passenger'!$E$85)),0),0))," ")</f>
        <v>5.6603773584905657</v>
      </c>
      <c r="I572" s="29">
        <f>IF(I$17=1,(IF($A$562=1,IF(I569-I571&gt;0,(MIN((I569-I571),(SUM($E570:I570)-SUM($E571:I571))/'Assumptions - Passenger'!$E$85)),0),0))," ")</f>
        <v>7.5471698113207548</v>
      </c>
      <c r="J572" s="29">
        <f>IF(J$17=1,(IF($A$562=1,IF(J569-J571&gt;0,(MIN((J569-J571),(SUM($E570:J570)-SUM($E571:J571))/'Assumptions - Passenger'!$E$85)),0),0))," ")</f>
        <v>9.433962264150944</v>
      </c>
      <c r="K572" s="29">
        <f>IF(K$17=1,(IF($A$562=1,IF(K569-K571&gt;0,(MIN((K569-K571),(SUM($E570:K570)-SUM($E571:K571))/'Assumptions - Passenger'!$E$85)),0),0))," ")</f>
        <v>11.320754716981131</v>
      </c>
      <c r="L572" s="29">
        <f>IF(L$17=1,(IF($A$562=1,IF(L569-L571&gt;0,(MIN((L569-L571),(SUM($E570:L570)-SUM($E571:L571))/'Assumptions - Passenger'!$E$85)),0),0))," ")</f>
        <v>13.20754716981132</v>
      </c>
      <c r="M572" s="29">
        <f>IF(M$17=1,(IF($A$562=1,IF(M569-M571&gt;0,(MIN((M569-M571),(SUM($E570:M570)-SUM($E571:M571))/'Assumptions - Passenger'!$E$85)),0),0))," ")</f>
        <v>15.09433962264151</v>
      </c>
      <c r="N572" s="29">
        <f>IF(N$17=1,(IF($A$562=1,IF(N569-N571&gt;0,(MIN((N569-N571),(SUM($E570:N570)-SUM($E571:N571))/'Assumptions - Passenger'!$E$85)),0),0))," ")</f>
        <v>16.981132075471699</v>
      </c>
      <c r="O572" s="29">
        <f>IF(O$17=1,(IF($A$562=1,IF(O569-O571&gt;0,(MIN((O569-O571),(SUM($E570:O570)-SUM($E571:O571))/'Assumptions - Passenger'!$E$85)),0),0))," ")</f>
        <v>18.867924528301888</v>
      </c>
      <c r="P572" s="29">
        <f>IF(P$17=1,(IF($A$562=1,IF(P569-P571&gt;0,(MIN((P569-P571),(SUM($E570:P570)-SUM($E571:P571))/'Assumptions - Passenger'!$E$85)),0),0))," ")</f>
        <v>20.754716981132077</v>
      </c>
      <c r="Q572" s="29">
        <f>IF(Q$17=1,(IF($A$562=1,IF(Q569-Q571&gt;0,(MIN((Q569-Q571),(SUM($E570:Q570)-SUM($E571:Q571))/'Assumptions - Passenger'!$E$85)),0),0))," ")</f>
        <v>22.641509433962263</v>
      </c>
      <c r="R572" s="29">
        <f>IF(R$17=1,(IF($A$562=1,IF(R569-R571&gt;0,(MIN((R569-R571),(SUM($E570:R570)-SUM($E571:R571))/'Assumptions - Passenger'!$E$85)),0),0))," ")</f>
        <v>24.528301886792452</v>
      </c>
      <c r="S572" s="29">
        <f>IF(S$17=1,(IF($A$562=1,IF(S569-S571&gt;0,(MIN((S569-S571),(SUM($E570:S570)-SUM($E571:S571))/'Assumptions - Passenger'!$E$85)),0),0))," ")</f>
        <v>26.415094339622641</v>
      </c>
      <c r="T572" s="29">
        <f>IF(T$17=1,(IF($A$562=1,IF(T569-T571&gt;0,(MIN((T569-T571),(SUM($E570:T570)-SUM($E571:T571))/'Assumptions - Passenger'!$E$85)),0),0))," ")</f>
        <v>28.30188679245283</v>
      </c>
      <c r="U572" s="29">
        <f>IF(U$17=1,(IF($A$562=1,IF(U569-U571&gt;0,(MIN((U569-U571),(SUM($E570:U570)-SUM($E571:U571))/'Assumptions - Passenger'!$E$85)),0),0))," ")</f>
        <v>30.188679245283019</v>
      </c>
      <c r="V572" s="29">
        <f>IF(V$17=1,(IF($A$562=1,IF(V569-V571&gt;0,(MIN((V569-V571),(SUM($E570:V570)-SUM($E571:V571))/'Assumptions - Passenger'!$E$85)),0),0))," ")</f>
        <v>32.075471698113205</v>
      </c>
      <c r="W572" s="29">
        <f>IF(W$17=1,(IF($A$562=1,IF(W569-W571&gt;0,(MIN((W569-W571),(SUM($E570:W570)-SUM($E571:W571))/'Assumptions - Passenger'!$E$85)),0),0))," ")</f>
        <v>33.962264150943398</v>
      </c>
      <c r="X572" s="29">
        <f>IF(X$17=1,(IF($A$562=1,IF(X569-X571&gt;0,(MIN((X569-X571),(SUM($E570:X570)-SUM($E571:X571))/'Assumptions - Passenger'!$E$85)),0),0))," ")</f>
        <v>35.849056603773583</v>
      </c>
      <c r="Y572" s="29">
        <f>IF(Y$17=1,(IF($A$562=1,IF(Y569-Y571&gt;0,(MIN((Y569-Y571),(SUM($E570:Y570)-SUM($E571:Y571))/'Assumptions - Passenger'!$E$85)),0),0))," ")</f>
        <v>37.641509433962263</v>
      </c>
      <c r="Z572" s="29">
        <f>IF(Z$17=1,(IF($A$562=1,IF(Z569-Z571&gt;0,(MIN((Z569-Z571),(SUM($E570:Z570)-SUM($E571:Z571))/'Assumptions - Passenger'!$E$85)),0),0))," ")</f>
        <v>39.433962264150942</v>
      </c>
      <c r="AA572" s="29">
        <f>IF(AA$17=1,(IF($A$562=1,IF(AA569-AA571&gt;0,(MIN((AA569-AA571),(SUM($E570:AA570)-SUM($E571:AA571))/'Assumptions - Passenger'!$E$85)),0),0))," ")</f>
        <v>41.226415094339622</v>
      </c>
      <c r="AB572" s="29">
        <f>IF(AB$17=1,(IF($A$562=1,IF(AB569-AB571&gt;0,(MIN((AB569-AB571),(SUM($E570:AB570)-SUM($E571:AB571))/'Assumptions - Passenger'!$E$85)),0),0))," ")</f>
        <v>43.018867924528301</v>
      </c>
      <c r="AC572" s="29">
        <f>IF(AC$17=1,(IF($A$562=1,IF(AC569-AC571&gt;0,(MIN((AC569-AC571),(SUM($E570:AC570)-SUM($E571:AC571))/'Assumptions - Passenger'!$E$85)),0),0))," ")</f>
        <v>44.811320754716981</v>
      </c>
      <c r="AD572" s="29">
        <f>IF(AD$17=1,(IF($A$562=1,IF(AD569-AD571&gt;0,(MIN((AD569-AD571),(SUM($E570:AD570)-SUM($E571:AD571))/'Assumptions - Passenger'!$E$85)),0),0))," ")</f>
        <v>46.60377358490566</v>
      </c>
      <c r="AE572" s="29">
        <f>IF(AE$17=1,(IF($A$562=1,IF(AE569-AE571&gt;0,(MIN((AE569-AE571),(SUM($E570:AE570)-SUM($E571:AE571))/'Assumptions - Passenger'!$E$85)),0),0))," ")</f>
        <v>48.39622641509434</v>
      </c>
      <c r="AF572" s="29">
        <f>IF(AF$17=1,(IF($A$562=1,IF(AF569-AF571&gt;0,(MIN((AF569-AF571),(SUM($E570:AF570)-SUM($E571:AF571))/'Assumptions - Passenger'!$E$85)),0),0))," ")</f>
        <v>50.188679245283019</v>
      </c>
      <c r="AG572" s="29">
        <f>IF(AG$17=1,(IF($A$562=1,IF(AG569-AG571&gt;0,(MIN((AG569-AG571),(SUM($E570:AG570)-SUM($E571:AG571))/'Assumptions - Passenger'!$E$85)),0),0))," ")</f>
        <v>51.981132075471699</v>
      </c>
      <c r="AH572" s="29">
        <f>IF(AH$17=1,(IF($A$562=1,IF(AH569-AH571&gt;0,(MIN((AH569-AH571),(SUM($E570:AH570)-SUM($E571:AH571))/'Assumptions - Passenger'!$E$85)),0),0))," ")</f>
        <v>53.773584905660378</v>
      </c>
    </row>
    <row r="573" spans="1:34" s="20" customFormat="1" ht="14" x14ac:dyDescent="0.2">
      <c r="A573" s="87"/>
      <c r="B573" s="30" t="s">
        <v>636</v>
      </c>
      <c r="C573" s="8"/>
      <c r="D573" s="8" t="str">
        <f>'Assumptions - General'!$E$27 &amp;" millions"</f>
        <v>R$ millions</v>
      </c>
      <c r="E573" s="29"/>
      <c r="F573" s="29">
        <f>IF(F$17=1,SUM($E572:F572)," ")</f>
        <v>0</v>
      </c>
      <c r="G573" s="29">
        <f>IF(G$17=1,SUM($E572:G572)," ")</f>
        <v>3.7735849056603774</v>
      </c>
      <c r="H573" s="29">
        <f>IF(H$17=1,SUM($E572:H572)," ")</f>
        <v>9.4339622641509422</v>
      </c>
      <c r="I573" s="29">
        <f>IF(I$17=1,SUM($E572:I572)," ")</f>
        <v>16.981132075471699</v>
      </c>
      <c r="J573" s="29">
        <f>IF(J$17=1,SUM($E572:J572)," ")</f>
        <v>26.415094339622641</v>
      </c>
      <c r="K573" s="29">
        <f>IF(K$17=1,SUM($E572:K572)," ")</f>
        <v>37.735849056603769</v>
      </c>
      <c r="L573" s="29">
        <f>IF(L$17=1,SUM($E572:L572)," ")</f>
        <v>50.943396226415089</v>
      </c>
      <c r="M573" s="29">
        <f>IF(M$17=1,SUM($E572:M572)," ")</f>
        <v>66.037735849056602</v>
      </c>
      <c r="N573" s="29">
        <f>IF(N$17=1,SUM($E572:N572)," ")</f>
        <v>83.018867924528308</v>
      </c>
      <c r="O573" s="29">
        <f>IF(O$17=1,SUM($E572:O572)," ")</f>
        <v>101.88679245283019</v>
      </c>
      <c r="P573" s="29">
        <f>IF(P$17=1,SUM($E572:P572)," ")</f>
        <v>122.64150943396227</v>
      </c>
      <c r="Q573" s="29">
        <f>IF(Q$17=1,SUM($E572:Q572)," ")</f>
        <v>145.28301886792454</v>
      </c>
      <c r="R573" s="29">
        <f>IF(R$17=1,SUM($E572:R572)," ")</f>
        <v>169.811320754717</v>
      </c>
      <c r="S573" s="29">
        <f>IF(S$17=1,SUM($E572:S572)," ")</f>
        <v>196.22641509433964</v>
      </c>
      <c r="T573" s="29">
        <f>IF(T$17=1,SUM($E572:T572)," ")</f>
        <v>224.52830188679246</v>
      </c>
      <c r="U573" s="29">
        <f>IF(U$17=1,SUM($E572:U572)," ")</f>
        <v>254.71698113207549</v>
      </c>
      <c r="V573" s="29">
        <f>IF(V$17=1,SUM($E572:V572)," ")</f>
        <v>286.79245283018872</v>
      </c>
      <c r="W573" s="29">
        <f>IF(W$17=1,SUM($E572:W572)," ")</f>
        <v>320.75471698113211</v>
      </c>
      <c r="X573" s="29">
        <f>IF(X$17=1,SUM($E572:X572)," ")</f>
        <v>356.6037735849057</v>
      </c>
      <c r="Y573" s="29">
        <f>IF(Y$17=1,SUM($E572:Y572)," ")</f>
        <v>394.24528301886795</v>
      </c>
      <c r="Z573" s="29">
        <f>IF(Z$17=1,SUM($E572:Z572)," ")</f>
        <v>433.67924528301887</v>
      </c>
      <c r="AA573" s="29">
        <f>IF(AA$17=1,SUM($E572:AA572)," ")</f>
        <v>474.90566037735852</v>
      </c>
      <c r="AB573" s="29">
        <f>IF(AB$17=1,SUM($E572:AB572)," ")</f>
        <v>517.92452830188677</v>
      </c>
      <c r="AC573" s="29">
        <f>IF(AC$17=1,SUM($E572:AC572)," ")</f>
        <v>562.7358490566038</v>
      </c>
      <c r="AD573" s="29">
        <f>IF(AD$17=1,SUM($E572:AD572)," ")</f>
        <v>609.33962264150944</v>
      </c>
      <c r="AE573" s="29">
        <f>IF(AE$17=1,SUM($E572:AE572)," ")</f>
        <v>657.7358490566038</v>
      </c>
      <c r="AF573" s="29">
        <f>IF(AF$17=1,SUM($E572:AF572)," ")</f>
        <v>707.92452830188677</v>
      </c>
      <c r="AG573" s="29">
        <f>IF(AG$17=1,SUM($E572:AG572)," ")</f>
        <v>759.90566037735846</v>
      </c>
      <c r="AH573" s="29">
        <f>IF(AH$17=1,SUM($E572:AH572)," ")</f>
        <v>813.67924528301887</v>
      </c>
    </row>
    <row r="574" spans="1:34" s="20" customFormat="1" ht="14" x14ac:dyDescent="0.2">
      <c r="A574" s="87"/>
      <c r="B574" s="14" t="s">
        <v>640</v>
      </c>
      <c r="C574" s="8"/>
      <c r="D574" s="8" t="str">
        <f>'Assumptions - General'!$E$27 &amp;" millions"</f>
        <v>R$ millions</v>
      </c>
      <c r="E574" s="29"/>
      <c r="F574" s="29">
        <f t="shared" ref="F574:AH574" si="243">IF(F17=1,F569+F570-F571-F572," ")</f>
        <v>100</v>
      </c>
      <c r="G574" s="29">
        <f t="shared" si="243"/>
        <v>196.22641509433961</v>
      </c>
      <c r="H574" s="29">
        <f t="shared" si="243"/>
        <v>290.56603773584902</v>
      </c>
      <c r="I574" s="29">
        <f t="shared" si="243"/>
        <v>383.01886792452825</v>
      </c>
      <c r="J574" s="29">
        <f t="shared" si="243"/>
        <v>473.58490566037733</v>
      </c>
      <c r="K574" s="29">
        <f t="shared" si="243"/>
        <v>562.2641509433962</v>
      </c>
      <c r="L574" s="29">
        <f t="shared" si="243"/>
        <v>649.05660377358492</v>
      </c>
      <c r="M574" s="29">
        <f t="shared" si="243"/>
        <v>733.96226415094338</v>
      </c>
      <c r="N574" s="29">
        <f t="shared" si="243"/>
        <v>816.98113207547169</v>
      </c>
      <c r="O574" s="29">
        <f t="shared" si="243"/>
        <v>898.11320754716985</v>
      </c>
      <c r="P574" s="29">
        <f t="shared" si="243"/>
        <v>977.35849056603774</v>
      </c>
      <c r="Q574" s="29">
        <f t="shared" si="243"/>
        <v>1054.7169811320755</v>
      </c>
      <c r="R574" s="29">
        <f t="shared" si="243"/>
        <v>1130.1886792452831</v>
      </c>
      <c r="S574" s="29">
        <f t="shared" si="243"/>
        <v>1203.7735849056605</v>
      </c>
      <c r="T574" s="29">
        <f t="shared" si="243"/>
        <v>1275.4716981132076</v>
      </c>
      <c r="U574" s="29">
        <f t="shared" si="243"/>
        <v>1345.2830188679245</v>
      </c>
      <c r="V574" s="29">
        <f t="shared" si="243"/>
        <v>1413.2075471698113</v>
      </c>
      <c r="W574" s="29">
        <f t="shared" si="243"/>
        <v>1479.2452830188679</v>
      </c>
      <c r="X574" s="29">
        <f t="shared" si="243"/>
        <v>1543.3962264150944</v>
      </c>
      <c r="Y574" s="29">
        <f t="shared" si="243"/>
        <v>1600.7547169811321</v>
      </c>
      <c r="Z574" s="29">
        <f t="shared" si="243"/>
        <v>1656.3207547169811</v>
      </c>
      <c r="AA574" s="29">
        <f t="shared" si="243"/>
        <v>1710.0943396226414</v>
      </c>
      <c r="AB574" s="29">
        <f t="shared" si="243"/>
        <v>1762.0754716981132</v>
      </c>
      <c r="AC574" s="29">
        <f t="shared" si="243"/>
        <v>1812.2641509433963</v>
      </c>
      <c r="AD574" s="29">
        <f t="shared" si="243"/>
        <v>1860.6603773584907</v>
      </c>
      <c r="AE574" s="29">
        <f t="shared" si="243"/>
        <v>1907.2641509433963</v>
      </c>
      <c r="AF574" s="29">
        <f t="shared" si="243"/>
        <v>1952.0754716981132</v>
      </c>
      <c r="AG574" s="29">
        <f t="shared" si="243"/>
        <v>1995.0943396226414</v>
      </c>
      <c r="AH574" s="29">
        <f t="shared" si="243"/>
        <v>2036.3207547169809</v>
      </c>
    </row>
    <row r="575" spans="1:34" s="20" customFormat="1" ht="14" x14ac:dyDescent="0.2">
      <c r="A575" s="87"/>
      <c r="B575" s="14"/>
      <c r="C575" s="8"/>
      <c r="D575" s="8"/>
      <c r="E575" s="29"/>
      <c r="F575" s="29"/>
      <c r="G575" s="29"/>
      <c r="H575" s="29"/>
      <c r="I575" s="29"/>
      <c r="J575" s="29"/>
      <c r="K575" s="29"/>
      <c r="L575" s="29"/>
      <c r="M575" s="29"/>
      <c r="N575" s="29"/>
      <c r="O575" s="29"/>
      <c r="P575" s="29"/>
      <c r="Q575" s="29"/>
      <c r="R575" s="29"/>
      <c r="S575" s="29"/>
      <c r="T575" s="29"/>
      <c r="U575" s="29"/>
      <c r="V575" s="29"/>
      <c r="W575" s="29"/>
      <c r="X575" s="29"/>
      <c r="Y575" s="29"/>
      <c r="Z575" s="29"/>
      <c r="AA575" s="29"/>
      <c r="AB575" s="29"/>
      <c r="AC575" s="29"/>
      <c r="AD575" s="29"/>
      <c r="AE575" s="29"/>
      <c r="AF575" s="29"/>
      <c r="AG575" s="29"/>
      <c r="AH575" s="29"/>
    </row>
    <row r="576" spans="1:34" s="20" customFormat="1" ht="14" x14ac:dyDescent="0.2">
      <c r="A576" s="87"/>
      <c r="B576" s="14" t="s">
        <v>638</v>
      </c>
      <c r="C576" s="8"/>
      <c r="D576" s="8" t="str">
        <f>'Assumptions - General'!$E$27 &amp;" millions"</f>
        <v>R$ millions</v>
      </c>
      <c r="E576" s="29">
        <f t="shared" ref="E576:AH576" si="244">IF(E17=1,E567+E574," ")</f>
        <v>300</v>
      </c>
      <c r="F576" s="29">
        <f t="shared" si="244"/>
        <v>382.17391304347825</v>
      </c>
      <c r="G576" s="29">
        <f t="shared" si="244"/>
        <v>460.79163248564396</v>
      </c>
      <c r="H576" s="29">
        <f t="shared" si="244"/>
        <v>537.73995077932727</v>
      </c>
      <c r="I576" s="29">
        <f t="shared" si="244"/>
        <v>613.01886792452819</v>
      </c>
      <c r="J576" s="29">
        <f t="shared" si="244"/>
        <v>686.62838392124684</v>
      </c>
      <c r="K576" s="29">
        <f t="shared" si="244"/>
        <v>758.56849876948309</v>
      </c>
      <c r="L576" s="29">
        <f t="shared" si="244"/>
        <v>828.83921246923705</v>
      </c>
      <c r="M576" s="29">
        <f t="shared" si="244"/>
        <v>897.44052502050863</v>
      </c>
      <c r="N576" s="29">
        <f t="shared" si="244"/>
        <v>964.37243642329781</v>
      </c>
      <c r="O576" s="29">
        <f t="shared" si="244"/>
        <v>1029.6349466776046</v>
      </c>
      <c r="P576" s="29">
        <f t="shared" si="244"/>
        <v>1093.228055783429</v>
      </c>
      <c r="Q576" s="29">
        <f t="shared" si="244"/>
        <v>1155.151763740771</v>
      </c>
      <c r="R576" s="29">
        <f t="shared" si="244"/>
        <v>1215.4060705496308</v>
      </c>
      <c r="S576" s="29">
        <f t="shared" si="244"/>
        <v>1273.9909762100083</v>
      </c>
      <c r="T576" s="29">
        <f t="shared" si="244"/>
        <v>1330.9064807219031</v>
      </c>
      <c r="U576" s="29">
        <f t="shared" si="244"/>
        <v>1386.1525840853158</v>
      </c>
      <c r="V576" s="29">
        <f t="shared" si="244"/>
        <v>1439.729286300246</v>
      </c>
      <c r="W576" s="29">
        <f t="shared" si="244"/>
        <v>1491.6365873666939</v>
      </c>
      <c r="X576" s="29">
        <f t="shared" si="244"/>
        <v>1543.3962264150944</v>
      </c>
      <c r="Y576" s="29">
        <f t="shared" si="244"/>
        <v>1600.7547169811321</v>
      </c>
      <c r="Z576" s="29">
        <f t="shared" si="244"/>
        <v>1656.3207547169811</v>
      </c>
      <c r="AA576" s="29">
        <f t="shared" si="244"/>
        <v>1710.0943396226414</v>
      </c>
      <c r="AB576" s="29">
        <f t="shared" si="244"/>
        <v>1762.0754716981132</v>
      </c>
      <c r="AC576" s="29">
        <f t="shared" si="244"/>
        <v>1812.2641509433963</v>
      </c>
      <c r="AD576" s="29">
        <f t="shared" si="244"/>
        <v>1860.6603773584907</v>
      </c>
      <c r="AE576" s="29">
        <f t="shared" si="244"/>
        <v>1907.2641509433963</v>
      </c>
      <c r="AF576" s="29">
        <f t="shared" si="244"/>
        <v>1952.0754716981132</v>
      </c>
      <c r="AG576" s="29">
        <f t="shared" si="244"/>
        <v>1995.0943396226414</v>
      </c>
      <c r="AH576" s="29">
        <f t="shared" si="244"/>
        <v>2036.3207547169809</v>
      </c>
    </row>
    <row r="577" spans="1:34" s="310" customFormat="1" ht="14" x14ac:dyDescent="0.2">
      <c r="A577" s="87"/>
      <c r="B577" s="446"/>
      <c r="C577" s="87"/>
      <c r="D577" s="87"/>
      <c r="E577" s="447"/>
      <c r="F577" s="447"/>
      <c r="G577" s="447"/>
      <c r="H577" s="447"/>
      <c r="I577" s="447"/>
      <c r="J577" s="447"/>
      <c r="K577" s="447"/>
      <c r="L577" s="447"/>
      <c r="M577" s="447"/>
      <c r="N577" s="447"/>
      <c r="O577" s="447"/>
      <c r="P577" s="447"/>
      <c r="Q577" s="447"/>
      <c r="R577" s="447"/>
      <c r="S577" s="447"/>
      <c r="T577" s="447"/>
      <c r="U577" s="447"/>
      <c r="V577" s="447"/>
      <c r="W577" s="447"/>
      <c r="X577" s="447"/>
      <c r="Y577" s="447"/>
      <c r="Z577" s="447"/>
      <c r="AA577" s="447"/>
      <c r="AB577" s="447"/>
      <c r="AC577" s="447"/>
      <c r="AD577" s="447"/>
      <c r="AE577" s="447"/>
      <c r="AF577" s="447"/>
      <c r="AG577" s="447"/>
      <c r="AH577" s="447"/>
    </row>
    <row r="578" spans="1:34" s="20" customFormat="1" ht="14" x14ac:dyDescent="0.2">
      <c r="A578" s="87">
        <f>'Assumptions - Passenger'!E89</f>
        <v>1</v>
      </c>
      <c r="B578" s="21" t="str">
        <f>'Assumptions - Passenger'!E30</f>
        <v>Machines, equipment and spare parts</v>
      </c>
      <c r="C578" s="8"/>
      <c r="D578" s="8"/>
      <c r="E578" s="29"/>
      <c r="F578" s="31"/>
      <c r="G578" s="31"/>
      <c r="H578" s="31"/>
      <c r="I578" s="31"/>
      <c r="J578" s="31"/>
      <c r="K578" s="31"/>
      <c r="L578" s="31"/>
      <c r="M578" s="31"/>
      <c r="N578" s="31"/>
      <c r="O578" s="31"/>
      <c r="P578" s="31"/>
      <c r="Q578" s="31"/>
      <c r="R578" s="31"/>
      <c r="S578" s="31"/>
      <c r="T578" s="31"/>
      <c r="U578" s="31"/>
      <c r="V578" s="31"/>
      <c r="W578" s="31"/>
      <c r="X578" s="31"/>
      <c r="Y578" s="31"/>
      <c r="Z578" s="31"/>
      <c r="AA578" s="31"/>
      <c r="AB578" s="31"/>
      <c r="AC578" s="31"/>
      <c r="AD578" s="31"/>
      <c r="AE578" s="31"/>
      <c r="AF578" s="31"/>
      <c r="AG578" s="31"/>
      <c r="AH578" s="31"/>
    </row>
    <row r="579" spans="1:34" s="20" customFormat="1" ht="14" x14ac:dyDescent="0.2">
      <c r="A579" s="87"/>
      <c r="B579" s="14" t="str">
        <f>"Starting value "</f>
        <v xml:space="preserve">Starting value </v>
      </c>
      <c r="C579" s="8"/>
      <c r="D579" s="8" t="str">
        <f>'Assumptions - General'!$E$27 &amp;" millions"</f>
        <v>R$ millions</v>
      </c>
      <c r="E579" s="29"/>
      <c r="F579" s="29">
        <f t="shared" ref="F579:AH579" si="245">IF(F$17=1,E583," ")</f>
        <v>300</v>
      </c>
      <c r="G579" s="29">
        <f t="shared" si="245"/>
        <v>282.17391304347825</v>
      </c>
      <c r="H579" s="29">
        <f t="shared" si="245"/>
        <v>264.56521739130432</v>
      </c>
      <c r="I579" s="29">
        <f t="shared" si="245"/>
        <v>247.17391304347822</v>
      </c>
      <c r="J579" s="29">
        <f t="shared" si="245"/>
        <v>229.99999999999997</v>
      </c>
      <c r="K579" s="29">
        <f t="shared" si="245"/>
        <v>213.04347826086953</v>
      </c>
      <c r="L579" s="29">
        <f t="shared" si="245"/>
        <v>196.30434782608694</v>
      </c>
      <c r="M579" s="29">
        <f t="shared" si="245"/>
        <v>179.78260869565216</v>
      </c>
      <c r="N579" s="29">
        <f t="shared" si="245"/>
        <v>163.47826086956519</v>
      </c>
      <c r="O579" s="29">
        <f t="shared" si="245"/>
        <v>147.39130434782606</v>
      </c>
      <c r="P579" s="29">
        <f t="shared" si="245"/>
        <v>131.52173913043475</v>
      </c>
      <c r="Q579" s="29">
        <f t="shared" si="245"/>
        <v>115.86956521739127</v>
      </c>
      <c r="R579" s="29">
        <f t="shared" si="245"/>
        <v>100.43478260869561</v>
      </c>
      <c r="S579" s="29">
        <f t="shared" si="245"/>
        <v>85.217391304347785</v>
      </c>
      <c r="T579" s="29">
        <f t="shared" si="245"/>
        <v>70.217391304347785</v>
      </c>
      <c r="U579" s="29">
        <f t="shared" si="245"/>
        <v>55.434782608695613</v>
      </c>
      <c r="V579" s="29">
        <f t="shared" si="245"/>
        <v>40.869565217391269</v>
      </c>
      <c r="W579" s="29">
        <f t="shared" si="245"/>
        <v>26.521739130434746</v>
      </c>
      <c r="X579" s="29">
        <f t="shared" si="245"/>
        <v>12.391304347826051</v>
      </c>
      <c r="Y579" s="29">
        <f t="shared" si="245"/>
        <v>0</v>
      </c>
      <c r="Z579" s="29">
        <f t="shared" si="245"/>
        <v>0</v>
      </c>
      <c r="AA579" s="29">
        <f t="shared" si="245"/>
        <v>0</v>
      </c>
      <c r="AB579" s="29">
        <f t="shared" si="245"/>
        <v>0</v>
      </c>
      <c r="AC579" s="29">
        <f t="shared" si="245"/>
        <v>0</v>
      </c>
      <c r="AD579" s="29">
        <f t="shared" si="245"/>
        <v>0</v>
      </c>
      <c r="AE579" s="29">
        <f t="shared" si="245"/>
        <v>0</v>
      </c>
      <c r="AF579" s="29">
        <f t="shared" si="245"/>
        <v>0</v>
      </c>
      <c r="AG579" s="29">
        <f t="shared" si="245"/>
        <v>0</v>
      </c>
      <c r="AH579" s="29">
        <f t="shared" si="245"/>
        <v>0</v>
      </c>
    </row>
    <row r="580" spans="1:34" s="20" customFormat="1" ht="14" x14ac:dyDescent="0.2">
      <c r="A580" s="87"/>
      <c r="B580" s="30" t="s">
        <v>608</v>
      </c>
      <c r="C580" s="8"/>
      <c r="D580" s="8" t="str">
        <f>'Assumptions - General'!$E$27 &amp;" millions"</f>
        <v>R$ millions</v>
      </c>
      <c r="E580" s="29"/>
      <c r="F580" s="29">
        <f>IF(F$17=1,IF(F579&gt;0,MIN(F579,'Assumptions - Passenger'!F52),0)," ")</f>
        <v>5</v>
      </c>
      <c r="G580" s="29">
        <f>IF(G$17=1,IF(G579&gt;0,MIN(G579,'Assumptions - Passenger'!G52),0)," ")</f>
        <v>5</v>
      </c>
      <c r="H580" s="29">
        <f>IF(H$17=1,IF(H579&gt;0,MIN(H579,'Assumptions - Passenger'!H52),0)," ")</f>
        <v>5</v>
      </c>
      <c r="I580" s="29">
        <f>IF(I$17=1,IF(I579&gt;0,MIN(I579,'Assumptions - Passenger'!I52),0)," ")</f>
        <v>5</v>
      </c>
      <c r="J580" s="29">
        <f>IF(J$17=1,IF(J579&gt;0,MIN(J579,'Assumptions - Passenger'!J52),0)," ")</f>
        <v>5</v>
      </c>
      <c r="K580" s="29">
        <f>IF(K$17=1,IF(K579&gt;0,MIN(K579,'Assumptions - Passenger'!K52),0)," ")</f>
        <v>5</v>
      </c>
      <c r="L580" s="29">
        <f>IF(L$17=1,IF(L579&gt;0,MIN(L579,'Assumptions - Passenger'!L52),0)," ")</f>
        <v>5</v>
      </c>
      <c r="M580" s="29">
        <f>IF(M$17=1,IF(M579&gt;0,MIN(M579,'Assumptions - Passenger'!M52),0)," ")</f>
        <v>5</v>
      </c>
      <c r="N580" s="29">
        <f>IF(N$17=1,IF(N579&gt;0,MIN(N579,'Assumptions - Passenger'!N52),0)," ")</f>
        <v>5</v>
      </c>
      <c r="O580" s="29">
        <f>IF(O$17=1,IF(O579&gt;0,MIN(O579,'Assumptions - Passenger'!O52),0)," ")</f>
        <v>5</v>
      </c>
      <c r="P580" s="29">
        <f>IF(P$17=1,IF(P579&gt;0,MIN(P579,'Assumptions - Passenger'!P52),0)," ")</f>
        <v>5</v>
      </c>
      <c r="Q580" s="29">
        <f>IF(Q$17=1,IF(Q579&gt;0,MIN(Q579,'Assumptions - Passenger'!Q52),0)," ")</f>
        <v>5</v>
      </c>
      <c r="R580" s="29">
        <f>IF(R$17=1,IF(R579&gt;0,MIN(R579,'Assumptions - Passenger'!R52),0)," ")</f>
        <v>5</v>
      </c>
      <c r="S580" s="29">
        <f>IF(S$17=1,IF(S579&gt;0,MIN(S579,'Assumptions - Passenger'!S52),0)," ")</f>
        <v>5</v>
      </c>
      <c r="T580" s="29">
        <f>IF(T$17=1,IF(T579&gt;0,MIN(T579,'Assumptions - Passenger'!T52),0)," ")</f>
        <v>5</v>
      </c>
      <c r="U580" s="29">
        <f>IF(U$17=1,IF(U579&gt;0,MIN(U579,'Assumptions - Passenger'!U52),0)," ")</f>
        <v>5</v>
      </c>
      <c r="V580" s="29">
        <f>IF(V$17=1,IF(V579&gt;0,MIN(V579,'Assumptions - Passenger'!V52),0)," ")</f>
        <v>5</v>
      </c>
      <c r="W580" s="29">
        <f>IF(W$17=1,IF(W579&gt;0,MIN(W579,'Assumptions - Passenger'!W52),0)," ")</f>
        <v>5</v>
      </c>
      <c r="X580" s="29">
        <f>IF(X$17=1,IF(X579&gt;0,MIN(X579,'Assumptions - Passenger'!X52),0)," ")</f>
        <v>5</v>
      </c>
      <c r="Y580" s="29">
        <f>IF(Y$17=1,IF(Y579&gt;0,MIN(Y579,'Assumptions - Passenger'!Y52),0)," ")</f>
        <v>0</v>
      </c>
      <c r="Z580" s="29">
        <f>IF(Z$17=1,IF(Z579&gt;0,MIN(Z579,'Assumptions - Passenger'!Z52),0)," ")</f>
        <v>0</v>
      </c>
      <c r="AA580" s="29">
        <f>IF(AA$17=1,IF(AA579&gt;0,MIN(AA579,'Assumptions - Passenger'!AA52),0)," ")</f>
        <v>0</v>
      </c>
      <c r="AB580" s="29">
        <f>IF(AB$17=1,IF(AB579&gt;0,MIN(AB579,'Assumptions - Passenger'!AB52),0)," ")</f>
        <v>0</v>
      </c>
      <c r="AC580" s="29">
        <f>IF(AC$17=1,IF(AC579&gt;0,MIN(AC579,'Assumptions - Passenger'!AC52),0)," ")</f>
        <v>0</v>
      </c>
      <c r="AD580" s="29">
        <f>IF(AD$17=1,IF(AD579&gt;0,MIN(AD579,'Assumptions - Passenger'!AD52),0)," ")</f>
        <v>0</v>
      </c>
      <c r="AE580" s="29">
        <f>IF(AE$17=1,IF(AE579&gt;0,MIN(AE579,'Assumptions - Passenger'!AE52),0)," ")</f>
        <v>0</v>
      </c>
      <c r="AF580" s="29">
        <f>IF(AF$17=1,IF(AF579&gt;0,MIN(AF579,'Assumptions - Passenger'!AF52),0)," ")</f>
        <v>0</v>
      </c>
      <c r="AG580" s="29">
        <f>IF(AG$17=1,IF(AG579&gt;0,MIN(AG579,'Assumptions - Passenger'!AG52),0)," ")</f>
        <v>0</v>
      </c>
      <c r="AH580" s="29">
        <f>IF(AH$17=1,IF(AH579&gt;0,MIN(AH579,'Assumptions - Passenger'!AH52),0)," ")</f>
        <v>0</v>
      </c>
    </row>
    <row r="581" spans="1:34" s="20" customFormat="1" ht="14" x14ac:dyDescent="0.2">
      <c r="A581" s="87"/>
      <c r="B581" s="30" t="str">
        <f>IF(A578=1,"Less depreciation of existing assets","Less depreciation of assets")</f>
        <v>Less depreciation of existing assets</v>
      </c>
      <c r="C581" s="8"/>
      <c r="D581" s="8" t="str">
        <f>'Assumptions - General'!$E$27 &amp;" millions"</f>
        <v>R$ millions</v>
      </c>
      <c r="E581" s="29"/>
      <c r="F581" s="229">
        <f>IF(F$17=1,(IF($A578=1,IF(F579-F580&gt;0,(MIN((F579-F580),($E583-SUM($E580:F580))/'Assumptions - Passenger'!$E91)),0),'Assumptions - Passenger'!F94))," ")</f>
        <v>12.826086956521738</v>
      </c>
      <c r="G581" s="229">
        <f>IF(G$17=1,(IF($A578=1,IF(G579-G580&gt;0,(MIN((G579-G580),($E583-SUM($E580:G580))/'Assumptions - Passenger'!$E91)),0),'Assumptions - Passenger'!G94))," ")</f>
        <v>12.608695652173912</v>
      </c>
      <c r="H581" s="229">
        <f>IF(H$17=1,(IF($A578=1,IF(H579-H580&gt;0,(MIN((H579-H580),($E583-SUM($E580:H580))/'Assumptions - Passenger'!$E91)),0),'Assumptions - Passenger'!H94))," ")</f>
        <v>12.391304347826088</v>
      </c>
      <c r="I581" s="229">
        <f>IF(I$17=1,(IF($A578=1,IF(I579-I580&gt;0,(MIN((I579-I580),($E583-SUM($E580:I580))/'Assumptions - Passenger'!$E91)),0),'Assumptions - Passenger'!I94))," ")</f>
        <v>12.173913043478262</v>
      </c>
      <c r="J581" s="229">
        <f>IF(J$17=1,(IF($A578=1,IF(J579-J580&gt;0,(MIN((J579-J580),($E583-SUM($E580:J580))/'Assumptions - Passenger'!$E91)),0),'Assumptions - Passenger'!J94))," ")</f>
        <v>11.956521739130435</v>
      </c>
      <c r="K581" s="229">
        <f>IF(K$17=1,(IF($A578=1,IF(K579-K580&gt;0,(MIN((K579-K580),($E583-SUM($E580:K580))/'Assumptions - Passenger'!$E91)),0),'Assumptions - Passenger'!K94))," ")</f>
        <v>11.739130434782609</v>
      </c>
      <c r="L581" s="229">
        <f>IF(L$17=1,(IF($A578=1,IF(L579-L580&gt;0,(MIN((L579-L580),($E583-SUM($E580:L580))/'Assumptions - Passenger'!$E91)),0),'Assumptions - Passenger'!L94))," ")</f>
        <v>11.521739130434783</v>
      </c>
      <c r="M581" s="229">
        <f>IF(M$17=1,(IF($A578=1,IF(M579-M580&gt;0,(MIN((M579-M580),($E583-SUM($E580:M580))/'Assumptions - Passenger'!$E91)),0),'Assumptions - Passenger'!M94))," ")</f>
        <v>11.304347826086957</v>
      </c>
      <c r="N581" s="229">
        <f>IF(N$17=1,(IF($A578=1,IF(N579-N580&gt;0,(MIN((N579-N580),($E583-SUM($E580:N580))/'Assumptions - Passenger'!$E91)),0),'Assumptions - Passenger'!N94))," ")</f>
        <v>11.086956521739131</v>
      </c>
      <c r="O581" s="229">
        <f>IF(O$17=1,(IF($A578=1,IF(O579-O580&gt;0,(MIN((O579-O580),($E583-SUM($E580:O580))/'Assumptions - Passenger'!$E91)),0),'Assumptions - Passenger'!O94))," ")</f>
        <v>10.869565217391305</v>
      </c>
      <c r="P581" s="229">
        <f>IF(P$17=1,(IF($A578=1,IF(P579-P580&gt;0,(MIN((P579-P580),($E583-SUM($E580:P580))/'Assumptions - Passenger'!$E91)),0),'Assumptions - Passenger'!P94))," ")</f>
        <v>10.652173913043478</v>
      </c>
      <c r="Q581" s="229">
        <f>IF(Q$17=1,(IF($A578=1,IF(Q579-Q580&gt;0,(MIN((Q579-Q580),($E583-SUM($E580:Q580))/'Assumptions - Passenger'!$E91)),0),'Assumptions - Passenger'!Q94))," ")</f>
        <v>10.434782608695652</v>
      </c>
      <c r="R581" s="229">
        <f>IF(R$17=1,(IF($A578=1,IF(R579-R580&gt;0,(MIN((R579-R580),($E583-SUM($E580:R580))/'Assumptions - Passenger'!$E91)),0),'Assumptions - Passenger'!R94))," ")</f>
        <v>10.217391304347826</v>
      </c>
      <c r="S581" s="229">
        <f>IF(S$17=1,(IF($A578=1,IF(S579-S580&gt;0,(MIN((S579-S580),($E583-SUM($E580:S580))/'Assumptions - Passenger'!$E91)),0),'Assumptions - Passenger'!S94))," ")</f>
        <v>10</v>
      </c>
      <c r="T581" s="229">
        <f>IF(T$17=1,(IF($A578=1,IF(T579-T580&gt;0,(MIN((T579-T580),($E583-SUM($E580:T580))/'Assumptions - Passenger'!$E91)),0),'Assumptions - Passenger'!T94))," ")</f>
        <v>9.7826086956521738</v>
      </c>
      <c r="U581" s="229">
        <f>IF(U$17=1,(IF($A578=1,IF(U579-U580&gt;0,(MIN((U579-U580),($E583-SUM($E580:U580))/'Assumptions - Passenger'!$E91)),0),'Assumptions - Passenger'!U94))," ")</f>
        <v>9.5652173913043477</v>
      </c>
      <c r="V581" s="229">
        <f>IF(V$17=1,(IF($A578=1,IF(V579-V580&gt;0,(MIN((V579-V580),($E583-SUM($E580:V580))/'Assumptions - Passenger'!$E91)),0),'Assumptions - Passenger'!V94))," ")</f>
        <v>9.3478260869565215</v>
      </c>
      <c r="W581" s="229">
        <f>IF(W$17=1,(IF($A578=1,IF(W579-W580&gt;0,(MIN((W579-W580),($E583-SUM($E580:W580))/'Assumptions - Passenger'!$E91)),0),'Assumptions - Passenger'!W94))," ")</f>
        <v>9.1304347826086953</v>
      </c>
      <c r="X581" s="229">
        <f>IF(X$17=1,(IF($A578=1,IF(X579-X580&gt;0,(MIN((X579-X580),($E583-SUM($E580:X580))/'Assumptions - Passenger'!$E91)),0),'Assumptions - Passenger'!X94))," ")</f>
        <v>7.3913043478260505</v>
      </c>
      <c r="Y581" s="229">
        <f>IF(Y$17=1,(IF($A578=1,IF(Y579-Y580&gt;0,(MIN((Y579-Y580),($E583-SUM($E580:Y580))/'Assumptions - Passenger'!$E91)),0),'Assumptions - Passenger'!Y94))," ")</f>
        <v>0</v>
      </c>
      <c r="Z581" s="229">
        <f>IF(Z$17=1,(IF($A578=1,IF(Z579-Z580&gt;0,(MIN((Z579-Z580),($E583-SUM($E580:Z580))/'Assumptions - Passenger'!$E91)),0),'Assumptions - Passenger'!Z94))," ")</f>
        <v>0</v>
      </c>
      <c r="AA581" s="229">
        <f>IF(AA$17=1,(IF($A578=1,IF(AA579-AA580&gt;0,(MIN((AA579-AA580),($E583-SUM($E580:AA580))/'Assumptions - Passenger'!$E91)),0),'Assumptions - Passenger'!AA94))," ")</f>
        <v>0</v>
      </c>
      <c r="AB581" s="229">
        <f>IF(AB$17=1,(IF($A578=1,IF(AB579-AB580&gt;0,(MIN((AB579-AB580),($E583-SUM($E580:AB580))/'Assumptions - Passenger'!$E91)),0),'Assumptions - Passenger'!AB94))," ")</f>
        <v>0</v>
      </c>
      <c r="AC581" s="229">
        <f>IF(AC$17=1,(IF($A578=1,IF(AC579-AC580&gt;0,(MIN((AC579-AC580),($E583-SUM($E580:AC580))/'Assumptions - Passenger'!$E91)),0),'Assumptions - Passenger'!AC94))," ")</f>
        <v>0</v>
      </c>
      <c r="AD581" s="229">
        <f>IF(AD$17=1,(IF($A578=1,IF(AD579-AD580&gt;0,(MIN((AD579-AD580),($E583-SUM($E580:AD580))/'Assumptions - Passenger'!$E91)),0),'Assumptions - Passenger'!AD94))," ")</f>
        <v>0</v>
      </c>
      <c r="AE581" s="229">
        <f>IF(AE$17=1,(IF($A578=1,IF(AE579-AE580&gt;0,(MIN((AE579-AE580),($E583-SUM($E580:AE580))/'Assumptions - Passenger'!$E91)),0),'Assumptions - Passenger'!AE94))," ")</f>
        <v>0</v>
      </c>
      <c r="AF581" s="229">
        <f>IF(AF$17=1,(IF($A578=1,IF(AF579-AF580&gt;0,(MIN((AF579-AF580),($E583-SUM($E580:AF580))/'Assumptions - Passenger'!$E91)),0),'Assumptions - Passenger'!AF94))," ")</f>
        <v>0</v>
      </c>
      <c r="AG581" s="229">
        <f>IF(AG$17=1,(IF($A578=1,IF(AG579-AG580&gt;0,(MIN((AG579-AG580),($E583-SUM($E580:AG580))/'Assumptions - Passenger'!$E91)),0),'Assumptions - Passenger'!AG94))," ")</f>
        <v>0</v>
      </c>
      <c r="AH581" s="229">
        <f>IF(AH$17=1,(IF($A578=1,IF(AH579-AH580&gt;0,(MIN((AH579-AH580),($E583-SUM($E580:AH580))/'Assumptions - Passenger'!$E91)),0),'Assumptions - Passenger'!AH94))," ")</f>
        <v>0</v>
      </c>
    </row>
    <row r="582" spans="1:34" s="20" customFormat="1" ht="14" x14ac:dyDescent="0.2">
      <c r="A582" s="87"/>
      <c r="B582" s="30" t="str">
        <f>IF(A578=1,"Accumulated depreciation of existing assets","Accumulated depreciation of assets")</f>
        <v>Accumulated depreciation of existing assets</v>
      </c>
      <c r="C582" s="8"/>
      <c r="D582" s="8" t="str">
        <f>'Assumptions - General'!$E$27 &amp;" millions"</f>
        <v>R$ millions</v>
      </c>
      <c r="E582" s="29"/>
      <c r="F582" s="29">
        <f>IF(F$17=1,SUM($E581:F581)," ")</f>
        <v>12.826086956521738</v>
      </c>
      <c r="G582" s="29">
        <f>IF(G$17=1,SUM($E581:G581)," ")</f>
        <v>25.434782608695649</v>
      </c>
      <c r="H582" s="29">
        <f>IF(H$17=1,SUM($E581:H581)," ")</f>
        <v>37.826086956521735</v>
      </c>
      <c r="I582" s="29">
        <f>IF(I$17=1,SUM($E581:I581)," ")</f>
        <v>50</v>
      </c>
      <c r="J582" s="29">
        <f>IF(J$17=1,SUM($E581:J581)," ")</f>
        <v>61.956521739130437</v>
      </c>
      <c r="K582" s="29">
        <f>IF(K$17=1,SUM($E581:K581)," ")</f>
        <v>73.695652173913047</v>
      </c>
      <c r="L582" s="29">
        <f>IF(L$17=1,SUM($E581:L581)," ")</f>
        <v>85.217391304347828</v>
      </c>
      <c r="M582" s="29">
        <f>IF(M$17=1,SUM($E581:M581)," ")</f>
        <v>96.521739130434781</v>
      </c>
      <c r="N582" s="29">
        <f>IF(N$17=1,SUM($E581:N581)," ")</f>
        <v>107.60869565217391</v>
      </c>
      <c r="O582" s="29">
        <f>IF(O$17=1,SUM($E581:O581)," ")</f>
        <v>118.47826086956522</v>
      </c>
      <c r="P582" s="29">
        <f>IF(P$17=1,SUM($E581:P581)," ")</f>
        <v>129.13043478260869</v>
      </c>
      <c r="Q582" s="29">
        <f>IF(Q$17=1,SUM($E581:Q581)," ")</f>
        <v>139.56521739130434</v>
      </c>
      <c r="R582" s="29">
        <f>IF(R$17=1,SUM($E581:R581)," ")</f>
        <v>149.78260869565216</v>
      </c>
      <c r="S582" s="29">
        <f>IF(S$17=1,SUM($E581:S581)," ")</f>
        <v>159.78260869565216</v>
      </c>
      <c r="T582" s="29">
        <f>IF(T$17=1,SUM($E581:T581)," ")</f>
        <v>169.56521739130434</v>
      </c>
      <c r="U582" s="29">
        <f>IF(U$17=1,SUM($E581:U581)," ")</f>
        <v>179.13043478260869</v>
      </c>
      <c r="V582" s="29">
        <f>IF(V$17=1,SUM($E581:V581)," ")</f>
        <v>188.47826086956522</v>
      </c>
      <c r="W582" s="29">
        <f>IF(W$17=1,SUM($E581:W581)," ")</f>
        <v>197.60869565217391</v>
      </c>
      <c r="X582" s="29">
        <f>IF(X$17=1,SUM($E581:X581)," ")</f>
        <v>204.99999999999994</v>
      </c>
      <c r="Y582" s="29">
        <f>IF(Y$17=1,SUM($E581:Y581)," ")</f>
        <v>204.99999999999994</v>
      </c>
      <c r="Z582" s="29">
        <f>IF(Z$17=1,SUM($E581:Z581)," ")</f>
        <v>204.99999999999994</v>
      </c>
      <c r="AA582" s="29">
        <f>IF(AA$17=1,SUM($E581:AA581)," ")</f>
        <v>204.99999999999994</v>
      </c>
      <c r="AB582" s="29">
        <f>IF(AB$17=1,SUM($E581:AB581)," ")</f>
        <v>204.99999999999994</v>
      </c>
      <c r="AC582" s="29">
        <f>IF(AC$17=1,SUM($E581:AC581)," ")</f>
        <v>204.99999999999994</v>
      </c>
      <c r="AD582" s="29">
        <f>IF(AD$17=1,SUM($E581:AD581)," ")</f>
        <v>204.99999999999994</v>
      </c>
      <c r="AE582" s="29">
        <f>IF(AE$17=1,SUM($E581:AE581)," ")</f>
        <v>204.99999999999994</v>
      </c>
      <c r="AF582" s="29">
        <f>IF(AF$17=1,SUM($E581:AF581)," ")</f>
        <v>204.99999999999994</v>
      </c>
      <c r="AG582" s="29">
        <f>IF(AG$17=1,SUM($E581:AG581)," ")</f>
        <v>204.99999999999994</v>
      </c>
      <c r="AH582" s="29">
        <f>IF(AH$17=1,SUM($E581:AH581)," ")</f>
        <v>204.99999999999994</v>
      </c>
    </row>
    <row r="583" spans="1:34" s="20" customFormat="1" ht="14" x14ac:dyDescent="0.2">
      <c r="A583" s="87"/>
      <c r="B583" s="14" t="str">
        <f>"Ending value "</f>
        <v xml:space="preserve">Ending value </v>
      </c>
      <c r="C583" s="8"/>
      <c r="D583" s="8" t="str">
        <f>'Assumptions - General'!$E$27 &amp;" millions"</f>
        <v>R$ millions</v>
      </c>
      <c r="E583" s="463">
        <f>IF(E$17=1,'Assumptions - Passenger'!E37," ")</f>
        <v>300</v>
      </c>
      <c r="F583" s="29">
        <f>IF(F$17=1,F579-F580-F581," ")</f>
        <v>282.17391304347825</v>
      </c>
      <c r="G583" s="29">
        <f t="shared" ref="G583:AH583" si="246">IF(G$17=1,G579-G580-G581," ")</f>
        <v>264.56521739130432</v>
      </c>
      <c r="H583" s="29">
        <f t="shared" si="246"/>
        <v>247.17391304347822</v>
      </c>
      <c r="I583" s="29">
        <f t="shared" si="246"/>
        <v>229.99999999999997</v>
      </c>
      <c r="J583" s="29">
        <f t="shared" si="246"/>
        <v>213.04347826086953</v>
      </c>
      <c r="K583" s="29">
        <f t="shared" si="246"/>
        <v>196.30434782608694</v>
      </c>
      <c r="L583" s="29">
        <f t="shared" si="246"/>
        <v>179.78260869565216</v>
      </c>
      <c r="M583" s="29">
        <f t="shared" si="246"/>
        <v>163.47826086956519</v>
      </c>
      <c r="N583" s="29">
        <f t="shared" si="246"/>
        <v>147.39130434782606</v>
      </c>
      <c r="O583" s="29">
        <f t="shared" si="246"/>
        <v>131.52173913043475</v>
      </c>
      <c r="P583" s="29">
        <f t="shared" si="246"/>
        <v>115.86956521739127</v>
      </c>
      <c r="Q583" s="29">
        <f t="shared" si="246"/>
        <v>100.43478260869561</v>
      </c>
      <c r="R583" s="29">
        <f t="shared" si="246"/>
        <v>85.217391304347785</v>
      </c>
      <c r="S583" s="29">
        <f t="shared" si="246"/>
        <v>70.217391304347785</v>
      </c>
      <c r="T583" s="29">
        <f t="shared" si="246"/>
        <v>55.434782608695613</v>
      </c>
      <c r="U583" s="29">
        <f t="shared" si="246"/>
        <v>40.869565217391269</v>
      </c>
      <c r="V583" s="29">
        <f t="shared" si="246"/>
        <v>26.521739130434746</v>
      </c>
      <c r="W583" s="29">
        <f t="shared" si="246"/>
        <v>12.391304347826051</v>
      </c>
      <c r="X583" s="29">
        <f t="shared" si="246"/>
        <v>0</v>
      </c>
      <c r="Y583" s="29">
        <f t="shared" si="246"/>
        <v>0</v>
      </c>
      <c r="Z583" s="29">
        <f t="shared" si="246"/>
        <v>0</v>
      </c>
      <c r="AA583" s="29">
        <f t="shared" si="246"/>
        <v>0</v>
      </c>
      <c r="AB583" s="29">
        <f t="shared" si="246"/>
        <v>0</v>
      </c>
      <c r="AC583" s="29">
        <f t="shared" si="246"/>
        <v>0</v>
      </c>
      <c r="AD583" s="29">
        <f t="shared" si="246"/>
        <v>0</v>
      </c>
      <c r="AE583" s="29">
        <f t="shared" si="246"/>
        <v>0</v>
      </c>
      <c r="AF583" s="29">
        <f t="shared" si="246"/>
        <v>0</v>
      </c>
      <c r="AG583" s="29">
        <f t="shared" si="246"/>
        <v>0</v>
      </c>
      <c r="AH583" s="29">
        <f t="shared" si="246"/>
        <v>0</v>
      </c>
    </row>
    <row r="584" spans="1:34" s="20" customFormat="1" ht="14" x14ac:dyDescent="0.2">
      <c r="A584" s="87"/>
      <c r="B584" s="14"/>
      <c r="C584" s="8"/>
      <c r="D584" s="8"/>
      <c r="E584" s="29"/>
      <c r="F584" s="29"/>
      <c r="G584" s="29"/>
      <c r="H584" s="29"/>
      <c r="I584" s="29"/>
      <c r="J584" s="29"/>
      <c r="K584" s="29"/>
      <c r="L584" s="29"/>
      <c r="M584" s="29"/>
      <c r="N584" s="29"/>
      <c r="O584" s="29"/>
      <c r="P584" s="29"/>
      <c r="Q584" s="29"/>
      <c r="R584" s="29"/>
      <c r="S584" s="29"/>
      <c r="T584" s="29"/>
      <c r="U584" s="29"/>
      <c r="V584" s="29"/>
      <c r="W584" s="29"/>
      <c r="X584" s="29"/>
      <c r="Y584" s="29"/>
      <c r="Z584" s="29"/>
      <c r="AA584" s="29"/>
      <c r="AB584" s="29"/>
      <c r="AC584" s="29"/>
      <c r="AD584" s="29"/>
      <c r="AE584" s="29"/>
      <c r="AF584" s="29"/>
      <c r="AG584" s="29"/>
      <c r="AH584" s="29"/>
    </row>
    <row r="585" spans="1:34" s="20" customFormat="1" ht="14" x14ac:dyDescent="0.2">
      <c r="A585" s="87"/>
      <c r="B585" s="14" t="s">
        <v>634</v>
      </c>
      <c r="C585" s="8"/>
      <c r="D585" s="8" t="str">
        <f>'Assumptions - General'!$E$27 &amp;" millions"</f>
        <v>R$ millions</v>
      </c>
      <c r="E585" s="29"/>
      <c r="F585" s="29">
        <f t="shared" ref="F585:AH585" si="247">IF(F17=1,E590," ")</f>
        <v>0</v>
      </c>
      <c r="G585" s="29">
        <f t="shared" si="247"/>
        <v>25</v>
      </c>
      <c r="H585" s="29">
        <f t="shared" si="247"/>
        <v>48.913043478260867</v>
      </c>
      <c r="I585" s="29">
        <f t="shared" si="247"/>
        <v>72.282608695652172</v>
      </c>
      <c r="J585" s="29">
        <f t="shared" si="247"/>
        <v>95.108695652173907</v>
      </c>
      <c r="K585" s="29">
        <f t="shared" si="247"/>
        <v>117.39130434782608</v>
      </c>
      <c r="L585" s="29">
        <f t="shared" si="247"/>
        <v>139.13043478260866</v>
      </c>
      <c r="M585" s="29">
        <f t="shared" si="247"/>
        <v>160.32608695652169</v>
      </c>
      <c r="N585" s="29">
        <f t="shared" si="247"/>
        <v>180.97826086956516</v>
      </c>
      <c r="O585" s="29">
        <f t="shared" si="247"/>
        <v>201.08695652173907</v>
      </c>
      <c r="P585" s="29">
        <f t="shared" si="247"/>
        <v>220.65217391304341</v>
      </c>
      <c r="Q585" s="29">
        <f t="shared" si="247"/>
        <v>239.67391304347819</v>
      </c>
      <c r="R585" s="29">
        <f t="shared" si="247"/>
        <v>258.15217391304338</v>
      </c>
      <c r="S585" s="29">
        <f t="shared" si="247"/>
        <v>276.08695652173901</v>
      </c>
      <c r="T585" s="29">
        <f t="shared" si="247"/>
        <v>293.47826086956508</v>
      </c>
      <c r="U585" s="29">
        <f t="shared" si="247"/>
        <v>310.32608695652158</v>
      </c>
      <c r="V585" s="29">
        <f t="shared" si="247"/>
        <v>326.63043478260852</v>
      </c>
      <c r="W585" s="29">
        <f t="shared" si="247"/>
        <v>342.39130434782589</v>
      </c>
      <c r="X585" s="29">
        <f t="shared" si="247"/>
        <v>357.60869565217371</v>
      </c>
      <c r="Y585" s="29">
        <f t="shared" si="247"/>
        <v>372.28260869565196</v>
      </c>
      <c r="Z585" s="29">
        <f t="shared" si="247"/>
        <v>381.52173913043458</v>
      </c>
      <c r="AA585" s="29">
        <f t="shared" si="247"/>
        <v>390.32608695652152</v>
      </c>
      <c r="AB585" s="29">
        <f t="shared" si="247"/>
        <v>398.69565217391283</v>
      </c>
      <c r="AC585" s="29">
        <f t="shared" si="247"/>
        <v>406.63043478260846</v>
      </c>
      <c r="AD585" s="29">
        <f t="shared" si="247"/>
        <v>414.13043478260846</v>
      </c>
      <c r="AE585" s="29">
        <f t="shared" si="247"/>
        <v>421.19565217391283</v>
      </c>
      <c r="AF585" s="29">
        <f t="shared" si="247"/>
        <v>427.82608695652152</v>
      </c>
      <c r="AG585" s="29">
        <f t="shared" si="247"/>
        <v>434.02173913043458</v>
      </c>
      <c r="AH585" s="29">
        <f t="shared" si="247"/>
        <v>439.78260869565196</v>
      </c>
    </row>
    <row r="586" spans="1:34" s="20" customFormat="1" ht="14" x14ac:dyDescent="0.2">
      <c r="A586" s="87"/>
      <c r="B586" s="30" t="s">
        <v>130</v>
      </c>
      <c r="C586" s="8"/>
      <c r="D586" s="8" t="str">
        <f>'Assumptions - General'!$E$27 &amp;" millions"</f>
        <v>R$ millions</v>
      </c>
      <c r="E586" s="29"/>
      <c r="F586" s="29">
        <f>IF(F$17=1,IF($D$510=1,$D$511*'Assumptions - Passenger'!F44,'Assumptions - Passenger'!F44)," ")</f>
        <v>25</v>
      </c>
      <c r="G586" s="29">
        <f>IF(G$17=1,IF($D$510=1,$D$511*'Assumptions - Passenger'!G44,'Assumptions - Passenger'!G44)," ")</f>
        <v>25</v>
      </c>
      <c r="H586" s="29">
        <f>IF(H$17=1,IF($D$510=1,$D$511*'Assumptions - Passenger'!H44,'Assumptions - Passenger'!H44)," ")</f>
        <v>25</v>
      </c>
      <c r="I586" s="29">
        <f>IF(I$17=1,IF($D$510=1,$D$511*'Assumptions - Passenger'!I44,'Assumptions - Passenger'!I44)," ")</f>
        <v>25</v>
      </c>
      <c r="J586" s="29">
        <f>IF(J$17=1,IF($D$510=1,$D$511*'Assumptions - Passenger'!J44,'Assumptions - Passenger'!J44)," ")</f>
        <v>25</v>
      </c>
      <c r="K586" s="29">
        <f>IF(K$17=1,IF($D$510=1,$D$511*'Assumptions - Passenger'!K44,'Assumptions - Passenger'!K44)," ")</f>
        <v>25</v>
      </c>
      <c r="L586" s="29">
        <f>IF(L$17=1,IF($D$510=1,$D$511*'Assumptions - Passenger'!L44,'Assumptions - Passenger'!L44)," ")</f>
        <v>25</v>
      </c>
      <c r="M586" s="29">
        <f>IF(M$17=1,IF($D$510=1,$D$511*'Assumptions - Passenger'!M44,'Assumptions - Passenger'!M44)," ")</f>
        <v>25</v>
      </c>
      <c r="N586" s="29">
        <f>IF(N$17=1,IF($D$510=1,$D$511*'Assumptions - Passenger'!N44,'Assumptions - Passenger'!N44)," ")</f>
        <v>25</v>
      </c>
      <c r="O586" s="29">
        <f>IF(O$17=1,IF($D$510=1,$D$511*'Assumptions - Passenger'!O44,'Assumptions - Passenger'!O44)," ")</f>
        <v>25</v>
      </c>
      <c r="P586" s="29">
        <f>IF(P$17=1,IF($D$510=1,$D$511*'Assumptions - Passenger'!P44,'Assumptions - Passenger'!P44)," ")</f>
        <v>25</v>
      </c>
      <c r="Q586" s="29">
        <f>IF(Q$17=1,IF($D$510=1,$D$511*'Assumptions - Passenger'!Q44,'Assumptions - Passenger'!Q44)," ")</f>
        <v>25</v>
      </c>
      <c r="R586" s="29">
        <f>IF(R$17=1,IF($D$510=1,$D$511*'Assumptions - Passenger'!R44,'Assumptions - Passenger'!R44)," ")</f>
        <v>25</v>
      </c>
      <c r="S586" s="29">
        <f>IF(S$17=1,IF($D$510=1,$D$511*'Assumptions - Passenger'!S44,'Assumptions - Passenger'!S44)," ")</f>
        <v>25</v>
      </c>
      <c r="T586" s="29">
        <f>IF(T$17=1,IF($D$510=1,$D$511*'Assumptions - Passenger'!T44,'Assumptions - Passenger'!T44)," ")</f>
        <v>25</v>
      </c>
      <c r="U586" s="29">
        <f>IF(U$17=1,IF($D$510=1,$D$511*'Assumptions - Passenger'!U44,'Assumptions - Passenger'!U44)," ")</f>
        <v>25</v>
      </c>
      <c r="V586" s="29">
        <f>IF(V$17=1,IF($D$510=1,$D$511*'Assumptions - Passenger'!V44,'Assumptions - Passenger'!V44)," ")</f>
        <v>25</v>
      </c>
      <c r="W586" s="29">
        <f>IF(W$17=1,IF($D$510=1,$D$511*'Assumptions - Passenger'!W44,'Assumptions - Passenger'!W44)," ")</f>
        <v>25</v>
      </c>
      <c r="X586" s="29">
        <f>IF(X$17=1,IF($D$510=1,$D$511*'Assumptions - Passenger'!X44,'Assumptions - Passenger'!X44)," ")</f>
        <v>25</v>
      </c>
      <c r="Y586" s="29">
        <f>IF(Y$17=1,IF($D$510=1,$D$511*'Assumptions - Passenger'!Y44,'Assumptions - Passenger'!Y44)," ")</f>
        <v>25</v>
      </c>
      <c r="Z586" s="29">
        <f>IF(Z$17=1,IF($D$510=1,$D$511*'Assumptions - Passenger'!Z44,'Assumptions - Passenger'!Z44)," ")</f>
        <v>25</v>
      </c>
      <c r="AA586" s="29">
        <f>IF(AA$17=1,IF($D$510=1,$D$511*'Assumptions - Passenger'!AA44,'Assumptions - Passenger'!AA44)," ")</f>
        <v>25</v>
      </c>
      <c r="AB586" s="29">
        <f>IF(AB$17=1,IF($D$510=1,$D$511*'Assumptions - Passenger'!AB44,'Assumptions - Passenger'!AB44)," ")</f>
        <v>25</v>
      </c>
      <c r="AC586" s="29">
        <f>IF(AC$17=1,IF($D$510=1,$D$511*'Assumptions - Passenger'!AC44,'Assumptions - Passenger'!AC44)," ")</f>
        <v>25</v>
      </c>
      <c r="AD586" s="29">
        <f>IF(AD$17=1,IF($D$510=1,$D$511*'Assumptions - Passenger'!AD44,'Assumptions - Passenger'!AD44)," ")</f>
        <v>25</v>
      </c>
      <c r="AE586" s="29">
        <f>IF(AE$17=1,IF($D$510=1,$D$511*'Assumptions - Passenger'!AE44,'Assumptions - Passenger'!AE44)," ")</f>
        <v>25</v>
      </c>
      <c r="AF586" s="29">
        <f>IF(AF$17=1,IF($D$510=1,$D$511*'Assumptions - Passenger'!AF44,'Assumptions - Passenger'!AF44)," ")</f>
        <v>25</v>
      </c>
      <c r="AG586" s="29">
        <f>IF(AG$17=1,IF($D$510=1,$D$511*'Assumptions - Passenger'!AG44,'Assumptions - Passenger'!AG44)," ")</f>
        <v>25</v>
      </c>
      <c r="AH586" s="29">
        <f>IF(AH$17=1,IF($D$510=1,$D$511*'Assumptions - Passenger'!AH44,'Assumptions - Passenger'!AH44)," ")</f>
        <v>25</v>
      </c>
    </row>
    <row r="587" spans="1:34" s="20" customFormat="1" ht="14" x14ac:dyDescent="0.2">
      <c r="A587" s="87"/>
      <c r="B587" s="30" t="s">
        <v>608</v>
      </c>
      <c r="C587" s="8"/>
      <c r="D587" s="8" t="str">
        <f>'Assumptions - General'!$E$27 &amp;" millions"</f>
        <v>R$ millions</v>
      </c>
      <c r="E587" s="29"/>
      <c r="F587" s="29">
        <f>IF(F$17=1,'Assumptions - Passenger'!F52-Calculations!F580," ")</f>
        <v>0</v>
      </c>
      <c r="G587" s="29">
        <f>IF(G$17=1,'Assumptions - Passenger'!G52-Calculations!G580," ")</f>
        <v>0</v>
      </c>
      <c r="H587" s="29">
        <f>IF(H$17=1,'Assumptions - Passenger'!H52-Calculations!H580," ")</f>
        <v>0</v>
      </c>
      <c r="I587" s="29">
        <f>IF(I$17=1,'Assumptions - Passenger'!I52-Calculations!I580," ")</f>
        <v>0</v>
      </c>
      <c r="J587" s="29">
        <f>IF(J$17=1,'Assumptions - Passenger'!J52-Calculations!J580," ")</f>
        <v>0</v>
      </c>
      <c r="K587" s="29">
        <f>IF(K$17=1,'Assumptions - Passenger'!K52-Calculations!K580," ")</f>
        <v>0</v>
      </c>
      <c r="L587" s="29">
        <f>IF(L$17=1,'Assumptions - Passenger'!L52-Calculations!L580," ")</f>
        <v>0</v>
      </c>
      <c r="M587" s="29">
        <f>IF(M$17=1,'Assumptions - Passenger'!M52-Calculations!M580," ")</f>
        <v>0</v>
      </c>
      <c r="N587" s="29">
        <f>IF(N$17=1,'Assumptions - Passenger'!N52-Calculations!N580," ")</f>
        <v>0</v>
      </c>
      <c r="O587" s="29">
        <f>IF(O$17=1,'Assumptions - Passenger'!O52-Calculations!O580," ")</f>
        <v>0</v>
      </c>
      <c r="P587" s="29">
        <f>IF(P$17=1,'Assumptions - Passenger'!P52-Calculations!P580," ")</f>
        <v>0</v>
      </c>
      <c r="Q587" s="29">
        <f>IF(Q$17=1,'Assumptions - Passenger'!Q52-Calculations!Q580," ")</f>
        <v>0</v>
      </c>
      <c r="R587" s="29">
        <f>IF(R$17=1,'Assumptions - Passenger'!R52-Calculations!R580," ")</f>
        <v>0</v>
      </c>
      <c r="S587" s="29">
        <f>IF(S$17=1,'Assumptions - Passenger'!S52-Calculations!S580," ")</f>
        <v>0</v>
      </c>
      <c r="T587" s="29">
        <f>IF(T$17=1,'Assumptions - Passenger'!T52-Calculations!T580," ")</f>
        <v>0</v>
      </c>
      <c r="U587" s="29">
        <f>IF(U$17=1,'Assumptions - Passenger'!U52-Calculations!U580," ")</f>
        <v>0</v>
      </c>
      <c r="V587" s="29">
        <f>IF(V$17=1,'Assumptions - Passenger'!V52-Calculations!V580," ")</f>
        <v>0</v>
      </c>
      <c r="W587" s="29">
        <f>IF(W$17=1,'Assumptions - Passenger'!W52-Calculations!W580," ")</f>
        <v>0</v>
      </c>
      <c r="X587" s="29">
        <f>IF(X$17=1,'Assumptions - Passenger'!X52-Calculations!X580," ")</f>
        <v>0</v>
      </c>
      <c r="Y587" s="29">
        <f>IF(Y$17=1,'Assumptions - Passenger'!Y52-Calculations!Y580," ")</f>
        <v>5</v>
      </c>
      <c r="Z587" s="29">
        <f>IF(Z$17=1,'Assumptions - Passenger'!Z52-Calculations!Z580," ")</f>
        <v>5</v>
      </c>
      <c r="AA587" s="29">
        <f>IF(AA$17=1,'Assumptions - Passenger'!AA52-Calculations!AA580," ")</f>
        <v>5</v>
      </c>
      <c r="AB587" s="29">
        <f>IF(AB$17=1,'Assumptions - Passenger'!AB52-Calculations!AB580," ")</f>
        <v>5</v>
      </c>
      <c r="AC587" s="29">
        <f>IF(AC$17=1,'Assumptions - Passenger'!AC52-Calculations!AC580," ")</f>
        <v>5</v>
      </c>
      <c r="AD587" s="29">
        <f>IF(AD$17=1,'Assumptions - Passenger'!AD52-Calculations!AD580," ")</f>
        <v>5</v>
      </c>
      <c r="AE587" s="29">
        <f>IF(AE$17=1,'Assumptions - Passenger'!AE52-Calculations!AE580," ")</f>
        <v>5</v>
      </c>
      <c r="AF587" s="29">
        <f>IF(AF$17=1,'Assumptions - Passenger'!AF52-Calculations!AF580," ")</f>
        <v>5</v>
      </c>
      <c r="AG587" s="29">
        <f>IF(AG$17=1,'Assumptions - Passenger'!AG52-Calculations!AG580," ")</f>
        <v>5</v>
      </c>
      <c r="AH587" s="29">
        <f>IF(AH$17=1,'Assumptions - Passenger'!AH52-Calculations!AH580," ")</f>
        <v>5</v>
      </c>
    </row>
    <row r="588" spans="1:34" s="20" customFormat="1" ht="14" x14ac:dyDescent="0.2">
      <c r="A588" s="87"/>
      <c r="B588" s="30" t="s">
        <v>635</v>
      </c>
      <c r="C588" s="8"/>
      <c r="D588" s="8" t="str">
        <f>'Assumptions - General'!$E$27 &amp;" millions"</f>
        <v>R$ millions</v>
      </c>
      <c r="E588" s="29"/>
      <c r="F588" s="29">
        <f>IF(F$17=1,(IF($A578=1,IF(F585-F587&gt;0,(MIN((F585-F587),(SUM($E586:F586)-SUM($E587:F587))/'Assumptions - Passenger'!$E93)),0),0))," ")</f>
        <v>0</v>
      </c>
      <c r="G588" s="29">
        <f>IF(G$17=1,(IF($A578=1,IF(G585-G587&gt;0,(MIN((G585-G587),(SUM($E586:G586)-SUM($E587:G587))/'Assumptions - Passenger'!$E93)),0),0))," ")</f>
        <v>1.0869565217391304</v>
      </c>
      <c r="H588" s="29">
        <f>IF(H$17=1,(IF($A578=1,IF(H585-H587&gt;0,(MIN((H585-H587),(SUM($E586:H586)-SUM($E587:H587))/'Assumptions - Passenger'!$E93)),0),0))," ")</f>
        <v>1.6304347826086956</v>
      </c>
      <c r="I588" s="29">
        <f>IF(I$17=1,(IF($A578=1,IF(I585-I587&gt;0,(MIN((I585-I587),(SUM($E586:I586)-SUM($E587:I587))/'Assumptions - Passenger'!$E93)),0),0))," ")</f>
        <v>2.1739130434782608</v>
      </c>
      <c r="J588" s="29">
        <f>IF(J$17=1,(IF($A578=1,IF(J585-J587&gt;0,(MIN((J585-J587),(SUM($E586:J586)-SUM($E587:J587))/'Assumptions - Passenger'!$E93)),0),0))," ")</f>
        <v>2.7173913043478262</v>
      </c>
      <c r="K588" s="29">
        <f>IF(K$17=1,(IF($A578=1,IF(K585-K587&gt;0,(MIN((K585-K587),(SUM($E586:K586)-SUM($E587:K587))/'Assumptions - Passenger'!$E93)),0),0))," ")</f>
        <v>3.2608695652173911</v>
      </c>
      <c r="L588" s="29">
        <f>IF(L$17=1,(IF($A578=1,IF(L585-L587&gt;0,(MIN((L585-L587),(SUM($E586:L586)-SUM($E587:L587))/'Assumptions - Passenger'!$E93)),0),0))," ")</f>
        <v>3.8043478260869565</v>
      </c>
      <c r="M588" s="29">
        <f>IF(M$17=1,(IF($A578=1,IF(M585-M587&gt;0,(MIN((M585-M587),(SUM($E586:M586)-SUM($E587:M587))/'Assumptions - Passenger'!$E93)),0),0))," ")</f>
        <v>4.3478260869565215</v>
      </c>
      <c r="N588" s="29">
        <f>IF(N$17=1,(IF($A578=1,IF(N585-N587&gt;0,(MIN((N585-N587),(SUM($E586:N586)-SUM($E587:N587))/'Assumptions - Passenger'!$E93)),0),0))," ")</f>
        <v>4.8913043478260869</v>
      </c>
      <c r="O588" s="29">
        <f>IF(O$17=1,(IF($A578=1,IF(O585-O587&gt;0,(MIN((O585-O587),(SUM($E586:O586)-SUM($E587:O587))/'Assumptions - Passenger'!$E93)),0),0))," ")</f>
        <v>5.4347826086956523</v>
      </c>
      <c r="P588" s="29">
        <f>IF(P$17=1,(IF($A578=1,IF(P585-P587&gt;0,(MIN((P585-P587),(SUM($E586:P586)-SUM($E587:P587))/'Assumptions - Passenger'!$E93)),0),0))," ")</f>
        <v>5.9782608695652177</v>
      </c>
      <c r="Q588" s="29">
        <f>IF(Q$17=1,(IF($A578=1,IF(Q585-Q587&gt;0,(MIN((Q585-Q587),(SUM($E586:Q586)-SUM($E587:Q587))/'Assumptions - Passenger'!$E93)),0),0))," ")</f>
        <v>6.5217391304347823</v>
      </c>
      <c r="R588" s="29">
        <f>IF(R$17=1,(IF($A578=1,IF(R585-R587&gt;0,(MIN((R585-R587),(SUM($E586:R586)-SUM($E587:R587))/'Assumptions - Passenger'!$E93)),0),0))," ")</f>
        <v>7.0652173913043477</v>
      </c>
      <c r="S588" s="29">
        <f>IF(S$17=1,(IF($A578=1,IF(S585-S587&gt;0,(MIN((S585-S587),(SUM($E586:S586)-SUM($E587:S587))/'Assumptions - Passenger'!$E93)),0),0))," ")</f>
        <v>7.6086956521739131</v>
      </c>
      <c r="T588" s="29">
        <f>IF(T$17=1,(IF($A578=1,IF(T585-T587&gt;0,(MIN((T585-T587),(SUM($E586:T586)-SUM($E587:T587))/'Assumptions - Passenger'!$E93)),0),0))," ")</f>
        <v>8.1521739130434785</v>
      </c>
      <c r="U588" s="29">
        <f>IF(U$17=1,(IF($A578=1,IF(U585-U587&gt;0,(MIN((U585-U587),(SUM($E586:U586)-SUM($E587:U587))/'Assumptions - Passenger'!$E93)),0),0))," ")</f>
        <v>8.695652173913043</v>
      </c>
      <c r="V588" s="29">
        <f>IF(V$17=1,(IF($A578=1,IF(V585-V587&gt;0,(MIN((V585-V587),(SUM($E586:V586)-SUM($E587:V587))/'Assumptions - Passenger'!$E93)),0),0))," ")</f>
        <v>9.2391304347826093</v>
      </c>
      <c r="W588" s="29">
        <f>IF(W$17=1,(IF($A578=1,IF(W585-W587&gt;0,(MIN((W585-W587),(SUM($E586:W586)-SUM($E587:W587))/'Assumptions - Passenger'!$E93)),0),0))," ")</f>
        <v>9.7826086956521738</v>
      </c>
      <c r="X588" s="29">
        <f>IF(X$17=1,(IF($A578=1,IF(X585-X587&gt;0,(MIN((X585-X587),(SUM($E586:X586)-SUM($E587:X587))/'Assumptions - Passenger'!$E93)),0),0))," ")</f>
        <v>10.326086956521738</v>
      </c>
      <c r="Y588" s="29">
        <f>IF(Y$17=1,(IF($A578=1,IF(Y585-Y587&gt;0,(MIN((Y585-Y587),(SUM($E586:Y586)-SUM($E587:Y587))/'Assumptions - Passenger'!$E93)),0),0))," ")</f>
        <v>10.760869565217391</v>
      </c>
      <c r="Z588" s="29">
        <f>IF(Z$17=1,(IF($A578=1,IF(Z585-Z587&gt;0,(MIN((Z585-Z587),(SUM($E586:Z586)-SUM($E587:Z587))/'Assumptions - Passenger'!$E93)),0),0))," ")</f>
        <v>11.195652173913043</v>
      </c>
      <c r="AA588" s="29">
        <f>IF(AA$17=1,(IF($A578=1,IF(AA585-AA587&gt;0,(MIN((AA585-AA587),(SUM($E586:AA586)-SUM($E587:AA587))/'Assumptions - Passenger'!$E93)),0),0))," ")</f>
        <v>11.630434782608695</v>
      </c>
      <c r="AB588" s="29">
        <f>IF(AB$17=1,(IF($A578=1,IF(AB585-AB587&gt;0,(MIN((AB585-AB587),(SUM($E586:AB586)-SUM($E587:AB587))/'Assumptions - Passenger'!$E93)),0),0))," ")</f>
        <v>12.065217391304348</v>
      </c>
      <c r="AC588" s="29">
        <f>IF(AC$17=1,(IF($A578=1,IF(AC585-AC587&gt;0,(MIN((AC585-AC587),(SUM($E586:AC586)-SUM($E587:AC587))/'Assumptions - Passenger'!$E93)),0),0))," ")</f>
        <v>12.5</v>
      </c>
      <c r="AD588" s="29">
        <f>IF(AD$17=1,(IF($A578=1,IF(AD585-AD587&gt;0,(MIN((AD585-AD587),(SUM($E586:AD586)-SUM($E587:AD587))/'Assumptions - Passenger'!$E93)),0),0))," ")</f>
        <v>12.934782608695652</v>
      </c>
      <c r="AE588" s="29">
        <f>IF(AE$17=1,(IF($A578=1,IF(AE585-AE587&gt;0,(MIN((AE585-AE587),(SUM($E586:AE586)-SUM($E587:AE587))/'Assumptions - Passenger'!$E93)),0),0))," ")</f>
        <v>13.369565217391305</v>
      </c>
      <c r="AF588" s="29">
        <f>IF(AF$17=1,(IF($A578=1,IF(AF585-AF587&gt;0,(MIN((AF585-AF587),(SUM($E586:AF586)-SUM($E587:AF587))/'Assumptions - Passenger'!$E93)),0),0))," ")</f>
        <v>13.804347826086957</v>
      </c>
      <c r="AG588" s="29">
        <f>IF(AG$17=1,(IF($A578=1,IF(AG585-AG587&gt;0,(MIN((AG585-AG587),(SUM($E586:AG586)-SUM($E587:AG587))/'Assumptions - Passenger'!$E93)),0),0))," ")</f>
        <v>14.239130434782609</v>
      </c>
      <c r="AH588" s="29">
        <f>IF(AH$17=1,(IF($A578=1,IF(AH585-AH587&gt;0,(MIN((AH585-AH587),(SUM($E586:AH586)-SUM($E587:AH587))/'Assumptions - Passenger'!$E93)),0),0))," ")</f>
        <v>14.673913043478262</v>
      </c>
    </row>
    <row r="589" spans="1:34" s="20" customFormat="1" ht="14" x14ac:dyDescent="0.2">
      <c r="A589" s="87"/>
      <c r="B589" s="30" t="s">
        <v>636</v>
      </c>
      <c r="C589" s="8"/>
      <c r="D589" s="8" t="str">
        <f>'Assumptions - General'!$E$27 &amp;" millions"</f>
        <v>R$ millions</v>
      </c>
      <c r="E589" s="29"/>
      <c r="F589" s="29">
        <f>IF(F$17=1,SUM($E588:F588)," ")</f>
        <v>0</v>
      </c>
      <c r="G589" s="29">
        <f>IF(G$17=1,SUM($E588:G588)," ")</f>
        <v>1.0869565217391304</v>
      </c>
      <c r="H589" s="29">
        <f>IF(H$17=1,SUM($E588:H588)," ")</f>
        <v>2.7173913043478262</v>
      </c>
      <c r="I589" s="29">
        <f>IF(I$17=1,SUM($E588:I588)," ")</f>
        <v>4.8913043478260869</v>
      </c>
      <c r="J589" s="29">
        <f>IF(J$17=1,SUM($E588:J588)," ")</f>
        <v>7.6086956521739131</v>
      </c>
      <c r="K589" s="29">
        <f>IF(K$17=1,SUM($E588:K588)," ")</f>
        <v>10.869565217391305</v>
      </c>
      <c r="L589" s="29">
        <f>IF(L$17=1,SUM($E588:L588)," ")</f>
        <v>14.673913043478262</v>
      </c>
      <c r="M589" s="29">
        <f>IF(M$17=1,SUM($E588:M588)," ")</f>
        <v>19.021739130434781</v>
      </c>
      <c r="N589" s="29">
        <f>IF(N$17=1,SUM($E588:N588)," ")</f>
        <v>23.913043478260867</v>
      </c>
      <c r="O589" s="29">
        <f>IF(O$17=1,SUM($E588:O588)," ")</f>
        <v>29.34782608695652</v>
      </c>
      <c r="P589" s="29">
        <f>IF(P$17=1,SUM($E588:P588)," ")</f>
        <v>35.326086956521735</v>
      </c>
      <c r="Q589" s="29">
        <f>IF(Q$17=1,SUM($E588:Q588)," ")</f>
        <v>41.847826086956516</v>
      </c>
      <c r="R589" s="29">
        <f>IF(R$17=1,SUM($E588:R588)," ")</f>
        <v>48.91304347826086</v>
      </c>
      <c r="S589" s="29">
        <f>IF(S$17=1,SUM($E588:S588)," ")</f>
        <v>56.521739130434774</v>
      </c>
      <c r="T589" s="29">
        <f>IF(T$17=1,SUM($E588:T588)," ")</f>
        <v>64.673913043478251</v>
      </c>
      <c r="U589" s="29">
        <f>IF(U$17=1,SUM($E588:U588)," ")</f>
        <v>73.369565217391298</v>
      </c>
      <c r="V589" s="29">
        <f>IF(V$17=1,SUM($E588:V588)," ")</f>
        <v>82.608695652173907</v>
      </c>
      <c r="W589" s="29">
        <f>IF(W$17=1,SUM($E588:W588)," ")</f>
        <v>92.391304347826079</v>
      </c>
      <c r="X589" s="29">
        <f>IF(X$17=1,SUM($E588:X588)," ")</f>
        <v>102.71739130434781</v>
      </c>
      <c r="Y589" s="29">
        <f>IF(Y$17=1,SUM($E588:Y588)," ")</f>
        <v>113.4782608695652</v>
      </c>
      <c r="Z589" s="29">
        <f>IF(Z$17=1,SUM($E588:Z588)," ")</f>
        <v>124.67391304347825</v>
      </c>
      <c r="AA589" s="29">
        <f>IF(AA$17=1,SUM($E588:AA588)," ")</f>
        <v>136.30434782608694</v>
      </c>
      <c r="AB589" s="29">
        <f>IF(AB$17=1,SUM($E588:AB588)," ")</f>
        <v>148.36956521739128</v>
      </c>
      <c r="AC589" s="29">
        <f>IF(AC$17=1,SUM($E588:AC588)," ")</f>
        <v>160.86956521739128</v>
      </c>
      <c r="AD589" s="29">
        <f>IF(AD$17=1,SUM($E588:AD588)," ")</f>
        <v>173.80434782608694</v>
      </c>
      <c r="AE589" s="29">
        <f>IF(AE$17=1,SUM($E588:AE588)," ")</f>
        <v>187.17391304347825</v>
      </c>
      <c r="AF589" s="29">
        <f>IF(AF$17=1,SUM($E588:AF588)," ")</f>
        <v>200.97826086956522</v>
      </c>
      <c r="AG589" s="29">
        <f>IF(AG$17=1,SUM($E588:AG588)," ")</f>
        <v>215.21739130434781</v>
      </c>
      <c r="AH589" s="29">
        <f>IF(AH$17=1,SUM($E588:AH588)," ")</f>
        <v>229.89130434782606</v>
      </c>
    </row>
    <row r="590" spans="1:34" s="20" customFormat="1" ht="14" x14ac:dyDescent="0.2">
      <c r="A590" s="87"/>
      <c r="B590" s="14" t="s">
        <v>640</v>
      </c>
      <c r="C590" s="8"/>
      <c r="D590" s="8" t="str">
        <f>'Assumptions - General'!$E$27 &amp;" millions"</f>
        <v>R$ millions</v>
      </c>
      <c r="E590" s="29"/>
      <c r="F590" s="29">
        <f t="shared" ref="F590:AH590" si="248">IF(F17=1,F585+F586-F587-F588," ")</f>
        <v>25</v>
      </c>
      <c r="G590" s="29">
        <f t="shared" si="248"/>
        <v>48.913043478260867</v>
      </c>
      <c r="H590" s="29">
        <f t="shared" si="248"/>
        <v>72.282608695652172</v>
      </c>
      <c r="I590" s="29">
        <f t="shared" si="248"/>
        <v>95.108695652173907</v>
      </c>
      <c r="J590" s="29">
        <f t="shared" si="248"/>
        <v>117.39130434782608</v>
      </c>
      <c r="K590" s="29">
        <f t="shared" si="248"/>
        <v>139.13043478260866</v>
      </c>
      <c r="L590" s="29">
        <f t="shared" si="248"/>
        <v>160.32608695652169</v>
      </c>
      <c r="M590" s="29">
        <f t="shared" si="248"/>
        <v>180.97826086956516</v>
      </c>
      <c r="N590" s="29">
        <f t="shared" si="248"/>
        <v>201.08695652173907</v>
      </c>
      <c r="O590" s="29">
        <f t="shared" si="248"/>
        <v>220.65217391304341</v>
      </c>
      <c r="P590" s="29">
        <f t="shared" si="248"/>
        <v>239.67391304347819</v>
      </c>
      <c r="Q590" s="29">
        <f t="shared" si="248"/>
        <v>258.15217391304338</v>
      </c>
      <c r="R590" s="29">
        <f t="shared" si="248"/>
        <v>276.08695652173901</v>
      </c>
      <c r="S590" s="29">
        <f t="shared" si="248"/>
        <v>293.47826086956508</v>
      </c>
      <c r="T590" s="29">
        <f t="shared" si="248"/>
        <v>310.32608695652158</v>
      </c>
      <c r="U590" s="29">
        <f t="shared" si="248"/>
        <v>326.63043478260852</v>
      </c>
      <c r="V590" s="29">
        <f t="shared" si="248"/>
        <v>342.39130434782589</v>
      </c>
      <c r="W590" s="29">
        <f t="shared" si="248"/>
        <v>357.60869565217371</v>
      </c>
      <c r="X590" s="29">
        <f t="shared" si="248"/>
        <v>372.28260869565196</v>
      </c>
      <c r="Y590" s="29">
        <f t="shared" si="248"/>
        <v>381.52173913043458</v>
      </c>
      <c r="Z590" s="29">
        <f t="shared" si="248"/>
        <v>390.32608695652152</v>
      </c>
      <c r="AA590" s="29">
        <f t="shared" si="248"/>
        <v>398.69565217391283</v>
      </c>
      <c r="AB590" s="29">
        <f t="shared" si="248"/>
        <v>406.63043478260846</v>
      </c>
      <c r="AC590" s="29">
        <f t="shared" si="248"/>
        <v>414.13043478260846</v>
      </c>
      <c r="AD590" s="29">
        <f t="shared" si="248"/>
        <v>421.19565217391283</v>
      </c>
      <c r="AE590" s="29">
        <f t="shared" si="248"/>
        <v>427.82608695652152</v>
      </c>
      <c r="AF590" s="29">
        <f t="shared" si="248"/>
        <v>434.02173913043458</v>
      </c>
      <c r="AG590" s="29">
        <f t="shared" si="248"/>
        <v>439.78260869565196</v>
      </c>
      <c r="AH590" s="29">
        <f t="shared" si="248"/>
        <v>445.10869565217371</v>
      </c>
    </row>
    <row r="591" spans="1:34" s="20" customFormat="1" ht="14" x14ac:dyDescent="0.2">
      <c r="A591" s="87"/>
      <c r="B591" s="14"/>
      <c r="C591" s="8"/>
      <c r="D591" s="8"/>
      <c r="E591" s="29"/>
      <c r="F591" s="29"/>
      <c r="G591" s="29"/>
      <c r="H591" s="29"/>
      <c r="I591" s="29"/>
      <c r="J591" s="29"/>
      <c r="K591" s="29"/>
      <c r="L591" s="29"/>
      <c r="M591" s="29"/>
      <c r="N591" s="29"/>
      <c r="O591" s="29"/>
      <c r="P591" s="29"/>
      <c r="Q591" s="29"/>
      <c r="R591" s="29"/>
      <c r="S591" s="29"/>
      <c r="T591" s="29"/>
      <c r="U591" s="29"/>
      <c r="V591" s="29"/>
      <c r="W591" s="29"/>
      <c r="X591" s="29"/>
      <c r="Y591" s="29"/>
      <c r="Z591" s="29"/>
      <c r="AA591" s="29"/>
      <c r="AB591" s="29"/>
      <c r="AC591" s="29"/>
      <c r="AD591" s="29"/>
      <c r="AE591" s="29"/>
      <c r="AF591" s="29"/>
      <c r="AG591" s="29"/>
      <c r="AH591" s="29"/>
    </row>
    <row r="592" spans="1:34" s="20" customFormat="1" ht="14" x14ac:dyDescent="0.2">
      <c r="A592" s="87"/>
      <c r="B592" s="14" t="s">
        <v>638</v>
      </c>
      <c r="C592" s="8"/>
      <c r="D592" s="8" t="str">
        <f>'Assumptions - General'!$E$27 &amp;" millions"</f>
        <v>R$ millions</v>
      </c>
      <c r="E592" s="29">
        <f t="shared" ref="E592:AH592" si="249">IF(E17=1,E583+E590," ")</f>
        <v>300</v>
      </c>
      <c r="F592" s="29">
        <f t="shared" si="249"/>
        <v>307.17391304347825</v>
      </c>
      <c r="G592" s="29">
        <f t="shared" si="249"/>
        <v>313.47826086956519</v>
      </c>
      <c r="H592" s="29">
        <f t="shared" si="249"/>
        <v>319.45652173913038</v>
      </c>
      <c r="I592" s="29">
        <f t="shared" si="249"/>
        <v>325.10869565217388</v>
      </c>
      <c r="J592" s="29">
        <f t="shared" si="249"/>
        <v>330.43478260869563</v>
      </c>
      <c r="K592" s="29">
        <f t="shared" si="249"/>
        <v>335.43478260869563</v>
      </c>
      <c r="L592" s="29">
        <f t="shared" si="249"/>
        <v>340.10869565217388</v>
      </c>
      <c r="M592" s="29">
        <f t="shared" si="249"/>
        <v>344.45652173913038</v>
      </c>
      <c r="N592" s="29">
        <f t="shared" si="249"/>
        <v>348.47826086956513</v>
      </c>
      <c r="O592" s="29">
        <f t="shared" si="249"/>
        <v>352.17391304347814</v>
      </c>
      <c r="P592" s="29">
        <f t="shared" si="249"/>
        <v>355.54347826086945</v>
      </c>
      <c r="Q592" s="29">
        <f t="shared" si="249"/>
        <v>358.58695652173901</v>
      </c>
      <c r="R592" s="29">
        <f t="shared" si="249"/>
        <v>361.30434782608677</v>
      </c>
      <c r="S592" s="29">
        <f t="shared" si="249"/>
        <v>363.69565217391289</v>
      </c>
      <c r="T592" s="29">
        <f t="shared" si="249"/>
        <v>365.76086956521721</v>
      </c>
      <c r="U592" s="29">
        <f t="shared" si="249"/>
        <v>367.49999999999977</v>
      </c>
      <c r="V592" s="29">
        <f t="shared" si="249"/>
        <v>368.91304347826065</v>
      </c>
      <c r="W592" s="29">
        <f t="shared" si="249"/>
        <v>369.99999999999977</v>
      </c>
      <c r="X592" s="29">
        <f t="shared" si="249"/>
        <v>372.28260869565196</v>
      </c>
      <c r="Y592" s="29">
        <f t="shared" si="249"/>
        <v>381.52173913043458</v>
      </c>
      <c r="Z592" s="29">
        <f t="shared" si="249"/>
        <v>390.32608695652152</v>
      </c>
      <c r="AA592" s="29">
        <f t="shared" si="249"/>
        <v>398.69565217391283</v>
      </c>
      <c r="AB592" s="29">
        <f t="shared" si="249"/>
        <v>406.63043478260846</v>
      </c>
      <c r="AC592" s="29">
        <f t="shared" si="249"/>
        <v>414.13043478260846</v>
      </c>
      <c r="AD592" s="29">
        <f t="shared" si="249"/>
        <v>421.19565217391283</v>
      </c>
      <c r="AE592" s="29">
        <f t="shared" si="249"/>
        <v>427.82608695652152</v>
      </c>
      <c r="AF592" s="29">
        <f t="shared" si="249"/>
        <v>434.02173913043458</v>
      </c>
      <c r="AG592" s="29">
        <f t="shared" si="249"/>
        <v>439.78260869565196</v>
      </c>
      <c r="AH592" s="29">
        <f t="shared" si="249"/>
        <v>445.10869565217371</v>
      </c>
    </row>
    <row r="593" spans="1:34" s="310" customFormat="1" ht="14" x14ac:dyDescent="0.2">
      <c r="A593" s="87"/>
      <c r="B593" s="446"/>
      <c r="C593" s="87"/>
      <c r="D593" s="87"/>
      <c r="E593" s="447"/>
      <c r="F593" s="447"/>
      <c r="G593" s="447"/>
      <c r="H593" s="447"/>
      <c r="I593" s="447"/>
      <c r="J593" s="447"/>
      <c r="K593" s="447"/>
      <c r="L593" s="447"/>
      <c r="M593" s="447"/>
      <c r="N593" s="447"/>
      <c r="O593" s="447"/>
      <c r="P593" s="447"/>
      <c r="Q593" s="447"/>
      <c r="R593" s="447"/>
      <c r="S593" s="447"/>
      <c r="T593" s="447"/>
      <c r="U593" s="447"/>
      <c r="V593" s="447"/>
      <c r="W593" s="447"/>
      <c r="X593" s="447"/>
      <c r="Y593" s="447"/>
      <c r="Z593" s="447"/>
      <c r="AA593" s="447"/>
      <c r="AB593" s="447"/>
      <c r="AC593" s="447"/>
      <c r="AD593" s="447"/>
      <c r="AE593" s="447"/>
      <c r="AF593" s="447"/>
      <c r="AG593" s="447"/>
      <c r="AH593" s="447"/>
    </row>
    <row r="594" spans="1:34" s="20" customFormat="1" ht="14" x14ac:dyDescent="0.2">
      <c r="A594" s="256">
        <f>'Assumptions - Passenger'!E97</f>
        <v>1</v>
      </c>
      <c r="B594" s="21" t="str">
        <f>'Assumptions - Passenger'!E31</f>
        <v>Others</v>
      </c>
      <c r="C594" s="8"/>
      <c r="D594" s="8"/>
      <c r="E594" s="29"/>
      <c r="F594" s="31"/>
      <c r="G594" s="31"/>
      <c r="H594" s="31"/>
      <c r="I594" s="31"/>
      <c r="J594" s="31"/>
      <c r="K594" s="31"/>
      <c r="L594" s="31"/>
      <c r="M594" s="31"/>
      <c r="N594" s="31"/>
      <c r="O594" s="31"/>
      <c r="P594" s="31"/>
      <c r="Q594" s="31"/>
      <c r="R594" s="31"/>
      <c r="S594" s="31"/>
      <c r="T594" s="31"/>
      <c r="U594" s="31"/>
      <c r="V594" s="31"/>
      <c r="W594" s="31"/>
      <c r="X594" s="31"/>
      <c r="Y594" s="31"/>
      <c r="Z594" s="31"/>
      <c r="AA594" s="31"/>
      <c r="AB594" s="31"/>
      <c r="AC594" s="31"/>
      <c r="AD594" s="31"/>
      <c r="AE594" s="31"/>
      <c r="AF594" s="31"/>
      <c r="AG594" s="31"/>
      <c r="AH594" s="31"/>
    </row>
    <row r="595" spans="1:34" s="20" customFormat="1" ht="14" x14ac:dyDescent="0.2">
      <c r="A595" s="8"/>
      <c r="B595" s="14" t="str">
        <f>"Starting value "</f>
        <v xml:space="preserve">Starting value </v>
      </c>
      <c r="C595" s="8"/>
      <c r="D595" s="8" t="str">
        <f>'Assumptions - General'!$E$27 &amp;" millions"</f>
        <v>R$ millions</v>
      </c>
      <c r="E595" s="29"/>
      <c r="F595" s="31">
        <f t="shared" ref="F595:AH595" si="250">IF(F$17=1,E599," ")</f>
        <v>50</v>
      </c>
      <c r="G595" s="31">
        <f t="shared" si="250"/>
        <v>43.043478260869563</v>
      </c>
      <c r="H595" s="31">
        <f t="shared" si="250"/>
        <v>36.304347826086953</v>
      </c>
      <c r="I595" s="31">
        <f t="shared" si="250"/>
        <v>29.782608695652172</v>
      </c>
      <c r="J595" s="31">
        <f t="shared" si="250"/>
        <v>23.478260869565215</v>
      </c>
      <c r="K595" s="31">
        <f t="shared" si="250"/>
        <v>17.391304347826086</v>
      </c>
      <c r="L595" s="31">
        <f t="shared" si="250"/>
        <v>11.521739130434781</v>
      </c>
      <c r="M595" s="31">
        <f t="shared" si="250"/>
        <v>5.8695652173913029</v>
      </c>
      <c r="N595" s="31">
        <f t="shared" si="250"/>
        <v>0.43478260869565072</v>
      </c>
      <c r="O595" s="31">
        <f t="shared" si="250"/>
        <v>0</v>
      </c>
      <c r="P595" s="31">
        <f t="shared" si="250"/>
        <v>0</v>
      </c>
      <c r="Q595" s="31">
        <f t="shared" si="250"/>
        <v>0</v>
      </c>
      <c r="R595" s="31">
        <f t="shared" si="250"/>
        <v>0</v>
      </c>
      <c r="S595" s="31">
        <f t="shared" si="250"/>
        <v>0</v>
      </c>
      <c r="T595" s="31">
        <f t="shared" si="250"/>
        <v>0</v>
      </c>
      <c r="U595" s="31">
        <f t="shared" si="250"/>
        <v>0</v>
      </c>
      <c r="V595" s="31">
        <f t="shared" si="250"/>
        <v>0</v>
      </c>
      <c r="W595" s="31">
        <f t="shared" si="250"/>
        <v>0</v>
      </c>
      <c r="X595" s="31">
        <f t="shared" si="250"/>
        <v>0</v>
      </c>
      <c r="Y595" s="31">
        <f t="shared" si="250"/>
        <v>0</v>
      </c>
      <c r="Z595" s="31">
        <f t="shared" si="250"/>
        <v>0</v>
      </c>
      <c r="AA595" s="31">
        <f t="shared" si="250"/>
        <v>0</v>
      </c>
      <c r="AB595" s="31">
        <f t="shared" si="250"/>
        <v>0</v>
      </c>
      <c r="AC595" s="31">
        <f t="shared" si="250"/>
        <v>0</v>
      </c>
      <c r="AD595" s="31">
        <f t="shared" si="250"/>
        <v>0</v>
      </c>
      <c r="AE595" s="31">
        <f t="shared" si="250"/>
        <v>0</v>
      </c>
      <c r="AF595" s="31">
        <f t="shared" si="250"/>
        <v>0</v>
      </c>
      <c r="AG595" s="31">
        <f t="shared" si="250"/>
        <v>0</v>
      </c>
      <c r="AH595" s="31">
        <f t="shared" si="250"/>
        <v>0</v>
      </c>
    </row>
    <row r="596" spans="1:34" s="20" customFormat="1" ht="14" x14ac:dyDescent="0.2">
      <c r="A596" s="87"/>
      <c r="B596" s="30" t="s">
        <v>608</v>
      </c>
      <c r="C596" s="8"/>
      <c r="D596" s="8" t="str">
        <f>'Assumptions - General'!$E$27 &amp;" millions"</f>
        <v>R$ millions</v>
      </c>
      <c r="E596" s="29"/>
      <c r="F596" s="29">
        <f>IF(F$17=1,IF(F595&gt;0,MIN(F595,'Assumptions - Passenger'!F53),0)," ")</f>
        <v>5</v>
      </c>
      <c r="G596" s="29">
        <f>IF(G$17=1,IF(G595&gt;0,MIN(G595,'Assumptions - Passenger'!G53),0)," ")</f>
        <v>5</v>
      </c>
      <c r="H596" s="29">
        <f>IF(H$17=1,IF(H595&gt;0,MIN(H595,'Assumptions - Passenger'!H53),0)," ")</f>
        <v>5</v>
      </c>
      <c r="I596" s="29">
        <f>IF(I$17=1,IF(I595&gt;0,MIN(I595,'Assumptions - Passenger'!I53),0)," ")</f>
        <v>5</v>
      </c>
      <c r="J596" s="29">
        <f>IF(J$17=1,IF(J595&gt;0,MIN(J595,'Assumptions - Passenger'!J53),0)," ")</f>
        <v>5</v>
      </c>
      <c r="K596" s="29">
        <f>IF(K$17=1,IF(K595&gt;0,MIN(K595,'Assumptions - Passenger'!K53),0)," ")</f>
        <v>5</v>
      </c>
      <c r="L596" s="29">
        <f>IF(L$17=1,IF(L595&gt;0,MIN(L595,'Assumptions - Passenger'!L53),0)," ")</f>
        <v>5</v>
      </c>
      <c r="M596" s="29">
        <f>IF(M$17=1,IF(M595&gt;0,MIN(M595,'Assumptions - Passenger'!M53),0)," ")</f>
        <v>5</v>
      </c>
      <c r="N596" s="29">
        <f>IF(N$17=1,IF(N595&gt;0,MIN(N595,'Assumptions - Passenger'!N53),0)," ")</f>
        <v>0</v>
      </c>
      <c r="O596" s="29">
        <f>IF(O$17=1,IF(O595&gt;0,MIN(O595,'Assumptions - Passenger'!O53),0)," ")</f>
        <v>0</v>
      </c>
      <c r="P596" s="29">
        <f>IF(P$17=1,IF(P595&gt;0,MIN(P595,'Assumptions - Passenger'!P53),0)," ")</f>
        <v>0</v>
      </c>
      <c r="Q596" s="29">
        <f>IF(Q$17=1,IF(Q595&gt;0,MIN(Q595,'Assumptions - Passenger'!Q53),0)," ")</f>
        <v>0</v>
      </c>
      <c r="R596" s="29">
        <f>IF(R$17=1,IF(R595&gt;0,MIN(R595,'Assumptions - Passenger'!R53),0)," ")</f>
        <v>0</v>
      </c>
      <c r="S596" s="29">
        <f>IF(S$17=1,IF(S595&gt;0,MIN(S595,'Assumptions - Passenger'!S53),0)," ")</f>
        <v>0</v>
      </c>
      <c r="T596" s="29">
        <f>IF(T$17=1,IF(T595&gt;0,MIN(T595,'Assumptions - Passenger'!T53),0)," ")</f>
        <v>0</v>
      </c>
      <c r="U596" s="29">
        <f>IF(U$17=1,IF(U595&gt;0,MIN(U595,'Assumptions - Passenger'!U53),0)," ")</f>
        <v>0</v>
      </c>
      <c r="V596" s="29">
        <f>IF(V$17=1,IF(V595&gt;0,MIN(V595,'Assumptions - Passenger'!V53),0)," ")</f>
        <v>0</v>
      </c>
      <c r="W596" s="29">
        <f>IF(W$17=1,IF(W595&gt;0,MIN(W595,'Assumptions - Passenger'!W53),0)," ")</f>
        <v>0</v>
      </c>
      <c r="X596" s="29">
        <f>IF(X$17=1,IF(X595&gt;0,MIN(X595,'Assumptions - Passenger'!X53),0)," ")</f>
        <v>0</v>
      </c>
      <c r="Y596" s="29">
        <f>IF(Y$17=1,IF(Y595&gt;0,MIN(Y595,'Assumptions - Passenger'!Y53),0)," ")</f>
        <v>0</v>
      </c>
      <c r="Z596" s="29">
        <f>IF(Z$17=1,IF(Z595&gt;0,MIN(Z595,'Assumptions - Passenger'!Z53),0)," ")</f>
        <v>0</v>
      </c>
      <c r="AA596" s="29">
        <f>IF(AA$17=1,IF(AA595&gt;0,MIN(AA595,'Assumptions - Passenger'!AA53),0)," ")</f>
        <v>0</v>
      </c>
      <c r="AB596" s="29">
        <f>IF(AB$17=1,IF(AB595&gt;0,MIN(AB595,'Assumptions - Passenger'!AB53),0)," ")</f>
        <v>0</v>
      </c>
      <c r="AC596" s="29">
        <f>IF(AC$17=1,IF(AC595&gt;0,MIN(AC595,'Assumptions - Passenger'!AC53),0)," ")</f>
        <v>0</v>
      </c>
      <c r="AD596" s="29">
        <f>IF(AD$17=1,IF(AD595&gt;0,MIN(AD595,'Assumptions - Passenger'!AD53),0)," ")</f>
        <v>0</v>
      </c>
      <c r="AE596" s="29">
        <f>IF(AE$17=1,IF(AE595&gt;0,MIN(AE595,'Assumptions - Passenger'!AE53),0)," ")</f>
        <v>0</v>
      </c>
      <c r="AF596" s="29">
        <f>IF(AF$17=1,IF(AF595&gt;0,MIN(AF595,'Assumptions - Passenger'!AF53),0)," ")</f>
        <v>0</v>
      </c>
      <c r="AG596" s="29">
        <f>IF(AG$17=1,IF(AG595&gt;0,MIN(AG595,'Assumptions - Passenger'!AG53),0)," ")</f>
        <v>0</v>
      </c>
      <c r="AH596" s="29">
        <f>IF(AH$17=1,IF(AH595&gt;0,MIN(AH595,'Assumptions - Passenger'!AH53),0)," ")</f>
        <v>0</v>
      </c>
    </row>
    <row r="597" spans="1:34" s="20" customFormat="1" ht="14" x14ac:dyDescent="0.2">
      <c r="A597" s="8"/>
      <c r="B597" s="30" t="str">
        <f>IF(A594=1,"Less depreciation of existing assets","Less depreciation of assets")</f>
        <v>Less depreciation of existing assets</v>
      </c>
      <c r="C597" s="8"/>
      <c r="D597" s="8" t="str">
        <f>'Assumptions - General'!$E$27 &amp;" millions"</f>
        <v>R$ millions</v>
      </c>
      <c r="E597" s="29"/>
      <c r="F597" s="229">
        <f>IF(F$17=1,(IF($A594=1,IF(F595-F596&gt;0,(MIN((F595-F596),($E$599-SUM($E596:F596))/'Assumptions - Passenger'!$E99)),0),'Assumptions - Passenger'!F102))," ")</f>
        <v>1.9565217391304348</v>
      </c>
      <c r="G597" s="229">
        <f>IF(G$17=1,(IF($A594=1,IF(G595-G596&gt;0,(MIN((G595-G596),($E$599-SUM($E596:G596))/'Assumptions - Passenger'!$E99)),0),'Assumptions - Passenger'!G102))," ")</f>
        <v>1.7391304347826086</v>
      </c>
      <c r="H597" s="229">
        <f>IF(H$17=1,(IF($A594=1,IF(H595-H596&gt;0,(MIN((H595-H596),($E$599-SUM($E596:H596))/'Assumptions - Passenger'!$E99)),0),'Assumptions - Passenger'!H102))," ")</f>
        <v>1.5217391304347827</v>
      </c>
      <c r="I597" s="229">
        <f>IF(I$17=1,(IF($A594=1,IF(I595-I596&gt;0,(MIN((I595-I596),($E$599-SUM($E596:I596))/'Assumptions - Passenger'!$E99)),0),'Assumptions - Passenger'!I102))," ")</f>
        <v>1.3043478260869565</v>
      </c>
      <c r="J597" s="229">
        <f>IF(J$17=1,(IF($A594=1,IF(J595-J596&gt;0,(MIN((J595-J596),($E$599-SUM($E596:J596))/'Assumptions - Passenger'!$E99)),0),'Assumptions - Passenger'!J102))," ")</f>
        <v>1.0869565217391304</v>
      </c>
      <c r="K597" s="229">
        <f>IF(K$17=1,(IF($A594=1,IF(K595-K596&gt;0,(MIN((K595-K596),($E$599-SUM($E596:K596))/'Assumptions - Passenger'!$E99)),0),'Assumptions - Passenger'!K102))," ")</f>
        <v>0.86956521739130432</v>
      </c>
      <c r="L597" s="229">
        <f>IF(L$17=1,(IF($A594=1,IF(L595-L596&gt;0,(MIN((L595-L596),($E$599-SUM($E596:L596))/'Assumptions - Passenger'!$E99)),0),'Assumptions - Passenger'!L102))," ")</f>
        <v>0.65217391304347827</v>
      </c>
      <c r="M597" s="229">
        <f>IF(M$17=1,(IF($A594=1,IF(M595-M596&gt;0,(MIN((M595-M596),($E$599-SUM($E596:M596))/'Assumptions - Passenger'!$E99)),0),'Assumptions - Passenger'!M102))," ")</f>
        <v>0.43478260869565216</v>
      </c>
      <c r="N597" s="229">
        <f>IF(N$17=1,(IF($A594=1,IF(N595-N596&gt;0,(MIN((N595-N596),($E$599-SUM($E596:N596))/'Assumptions - Passenger'!$E99)),0),'Assumptions - Passenger'!N102))," ")</f>
        <v>0.43478260869565072</v>
      </c>
      <c r="O597" s="229">
        <f>IF(O$17=1,(IF($A594=1,IF(O595-O596&gt;0,(MIN((O595-O596),($E$599-SUM($E596:O596))/'Assumptions - Passenger'!$E99)),0),'Assumptions - Passenger'!O102))," ")</f>
        <v>0</v>
      </c>
      <c r="P597" s="229">
        <f>IF(P$17=1,(IF($A594=1,IF(P595-P596&gt;0,(MIN((P595-P596),($E$599-SUM($E596:P596))/'Assumptions - Passenger'!$E99)),0),'Assumptions - Passenger'!P102))," ")</f>
        <v>0</v>
      </c>
      <c r="Q597" s="229">
        <f>IF(Q$17=1,(IF($A594=1,IF(Q595-Q596&gt;0,(MIN((Q595-Q596),($E$599-SUM($E596:Q596))/'Assumptions - Passenger'!$E99)),0),'Assumptions - Passenger'!Q102))," ")</f>
        <v>0</v>
      </c>
      <c r="R597" s="229">
        <f>IF(R$17=1,(IF($A594=1,IF(R595-R596&gt;0,(MIN((R595-R596),($E$599-SUM($E596:R596))/'Assumptions - Passenger'!$E99)),0),'Assumptions - Passenger'!R102))," ")</f>
        <v>0</v>
      </c>
      <c r="S597" s="229">
        <f>IF(S$17=1,(IF($A594=1,IF(S595-S596&gt;0,(MIN((S595-S596),($E$599-SUM($E596:S596))/'Assumptions - Passenger'!$E99)),0),'Assumptions - Passenger'!S102))," ")</f>
        <v>0</v>
      </c>
      <c r="T597" s="229">
        <f>IF(T$17=1,(IF($A594=1,IF(T595-T596&gt;0,(MIN((T595-T596),($E$599-SUM($E596:T596))/'Assumptions - Passenger'!$E99)),0),'Assumptions - Passenger'!T102))," ")</f>
        <v>0</v>
      </c>
      <c r="U597" s="229">
        <f>IF(U$17=1,(IF($A594=1,IF(U595-U596&gt;0,(MIN((U595-U596),($E$599-SUM($E596:U596))/'Assumptions - Passenger'!$E99)),0),'Assumptions - Passenger'!U102))," ")</f>
        <v>0</v>
      </c>
      <c r="V597" s="229">
        <f>IF(V$17=1,(IF($A594=1,IF(V595-V596&gt;0,(MIN((V595-V596),($E$599-SUM($E596:V596))/'Assumptions - Passenger'!$E99)),0),'Assumptions - Passenger'!V102))," ")</f>
        <v>0</v>
      </c>
      <c r="W597" s="229">
        <f>IF(W$17=1,(IF($A594=1,IF(W595-W596&gt;0,(MIN((W595-W596),($E$599-SUM($E596:W596))/'Assumptions - Passenger'!$E99)),0),'Assumptions - Passenger'!W102))," ")</f>
        <v>0</v>
      </c>
      <c r="X597" s="229">
        <f>IF(X$17=1,(IF($A594=1,IF(X595-X596&gt;0,(MIN((X595-X596),($E$599-SUM($E596:X596))/'Assumptions - Passenger'!$E99)),0),'Assumptions - Passenger'!X102))," ")</f>
        <v>0</v>
      </c>
      <c r="Y597" s="229">
        <f>IF(Y$17=1,(IF($A594=1,IF(Y595-Y596&gt;0,(MIN((Y595-Y596),($E$599-SUM($E596:Y596))/'Assumptions - Passenger'!$E99)),0),'Assumptions - Passenger'!Y102))," ")</f>
        <v>0</v>
      </c>
      <c r="Z597" s="229">
        <f>IF(Z$17=1,(IF($A594=1,IF(Z595-Z596&gt;0,(MIN((Z595-Z596),($E$599-SUM($E596:Z596))/'Assumptions - Passenger'!$E99)),0),'Assumptions - Passenger'!Z102))," ")</f>
        <v>0</v>
      </c>
      <c r="AA597" s="229">
        <f>IF(AA$17=1,(IF($A594=1,IF(AA595-AA596&gt;0,(MIN((AA595-AA596),($E$599-SUM($E596:AA596))/'Assumptions - Passenger'!$E99)),0),'Assumptions - Passenger'!AA102))," ")</f>
        <v>0</v>
      </c>
      <c r="AB597" s="229">
        <f>IF(AB$17=1,(IF($A594=1,IF(AB595-AB596&gt;0,(MIN((AB595-AB596),($E$599-SUM($E596:AB596))/'Assumptions - Passenger'!$E99)),0),'Assumptions - Passenger'!AB102))," ")</f>
        <v>0</v>
      </c>
      <c r="AC597" s="229">
        <f>IF(AC$17=1,(IF($A594=1,IF(AC595-AC596&gt;0,(MIN((AC595-AC596),($E$599-SUM($E596:AC596))/'Assumptions - Passenger'!$E99)),0),'Assumptions - Passenger'!AC102))," ")</f>
        <v>0</v>
      </c>
      <c r="AD597" s="229">
        <f>IF(AD$17=1,(IF($A594=1,IF(AD595-AD596&gt;0,(MIN((AD595-AD596),($E$599-SUM($E596:AD596))/'Assumptions - Passenger'!$E99)),0),'Assumptions - Passenger'!AD102))," ")</f>
        <v>0</v>
      </c>
      <c r="AE597" s="229">
        <f>IF(AE$17=1,(IF($A594=1,IF(AE595-AE596&gt;0,(MIN((AE595-AE596),($E$599-SUM($E596:AE596))/'Assumptions - Passenger'!$E99)),0),'Assumptions - Passenger'!AE102))," ")</f>
        <v>0</v>
      </c>
      <c r="AF597" s="229">
        <f>IF(AF$17=1,(IF($A594=1,IF(AF595-AF596&gt;0,(MIN((AF595-AF596),($E$599-SUM($E596:AF596))/'Assumptions - Passenger'!$E99)),0),'Assumptions - Passenger'!AF102))," ")</f>
        <v>0</v>
      </c>
      <c r="AG597" s="229">
        <f>IF(AG$17=1,(IF($A594=1,IF(AG595-AG596&gt;0,(MIN((AG595-AG596),($E$599-SUM($E596:AG596))/'Assumptions - Passenger'!$E99)),0),'Assumptions - Passenger'!AG102))," ")</f>
        <v>0</v>
      </c>
      <c r="AH597" s="229">
        <f>IF(AH$17=1,(IF($A594=1,IF(AH595-AH596&gt;0,(MIN((AH595-AH596),($E$599-SUM($E596:AH596))/'Assumptions - Passenger'!$E99)),0),'Assumptions - Passenger'!AH102))," ")</f>
        <v>0</v>
      </c>
    </row>
    <row r="598" spans="1:34" s="20" customFormat="1" ht="14" x14ac:dyDescent="0.2">
      <c r="A598" s="8"/>
      <c r="B598" s="30" t="str">
        <f>IF(A594=1,"Accumulated depreciation of existing assets","Accumulated depreciation of assets")</f>
        <v>Accumulated depreciation of existing assets</v>
      </c>
      <c r="C598" s="8"/>
      <c r="D598" s="8" t="str">
        <f>'Assumptions - General'!$E$27 &amp;" millions"</f>
        <v>R$ millions</v>
      </c>
      <c r="E598" s="29"/>
      <c r="F598" s="29">
        <f>IF(F$17=1,SUM($E597:F597)," ")</f>
        <v>1.9565217391304348</v>
      </c>
      <c r="G598" s="29">
        <f>IF(G$17=1,SUM($E597:G597)," ")</f>
        <v>3.6956521739130435</v>
      </c>
      <c r="H598" s="29">
        <f>IF(H$17=1,SUM($E597:H597)," ")</f>
        <v>5.2173913043478262</v>
      </c>
      <c r="I598" s="29">
        <f>IF(I$17=1,SUM($E597:I597)," ")</f>
        <v>6.5217391304347831</v>
      </c>
      <c r="J598" s="29">
        <f>IF(J$17=1,SUM($E597:J597)," ")</f>
        <v>7.608695652173914</v>
      </c>
      <c r="K598" s="29">
        <f>IF(K$17=1,SUM($E597:K597)," ")</f>
        <v>8.4782608695652186</v>
      </c>
      <c r="L598" s="29">
        <f>IF(L$17=1,SUM($E597:L597)," ")</f>
        <v>9.1304347826086971</v>
      </c>
      <c r="M598" s="29">
        <f>IF(M$17=1,SUM($E597:M597)," ")</f>
        <v>9.5652173913043494</v>
      </c>
      <c r="N598" s="29">
        <f>IF(N$17=1,SUM($E597:N597)," ")</f>
        <v>10</v>
      </c>
      <c r="O598" s="29">
        <f>IF(O$17=1,SUM($E597:O597)," ")</f>
        <v>10</v>
      </c>
      <c r="P598" s="29">
        <f>IF(P$17=1,SUM($E597:P597)," ")</f>
        <v>10</v>
      </c>
      <c r="Q598" s="29">
        <f>IF(Q$17=1,SUM($E597:Q597)," ")</f>
        <v>10</v>
      </c>
      <c r="R598" s="29">
        <f>IF(R$17=1,SUM($E597:R597)," ")</f>
        <v>10</v>
      </c>
      <c r="S598" s="29">
        <f>IF(S$17=1,SUM($E597:S597)," ")</f>
        <v>10</v>
      </c>
      <c r="T598" s="29">
        <f>IF(T$17=1,SUM($E597:T597)," ")</f>
        <v>10</v>
      </c>
      <c r="U598" s="29">
        <f>IF(U$17=1,SUM($E597:U597)," ")</f>
        <v>10</v>
      </c>
      <c r="V598" s="29">
        <f>IF(V$17=1,SUM($E597:V597)," ")</f>
        <v>10</v>
      </c>
      <c r="W598" s="29">
        <f>IF(W$17=1,SUM($E597:W597)," ")</f>
        <v>10</v>
      </c>
      <c r="X598" s="29">
        <f>IF(X$17=1,SUM($E597:X597)," ")</f>
        <v>10</v>
      </c>
      <c r="Y598" s="29">
        <f>IF(Y$17=1,SUM($E597:Y597)," ")</f>
        <v>10</v>
      </c>
      <c r="Z598" s="29">
        <f>IF(Z$17=1,SUM($E597:Z597)," ")</f>
        <v>10</v>
      </c>
      <c r="AA598" s="29">
        <f>IF(AA$17=1,SUM($E597:AA597)," ")</f>
        <v>10</v>
      </c>
      <c r="AB598" s="29">
        <f>IF(AB$17=1,SUM($E597:AB597)," ")</f>
        <v>10</v>
      </c>
      <c r="AC598" s="29">
        <f>IF(AC$17=1,SUM($E597:AC597)," ")</f>
        <v>10</v>
      </c>
      <c r="AD598" s="29">
        <f>IF(AD$17=1,SUM($E597:AD597)," ")</f>
        <v>10</v>
      </c>
      <c r="AE598" s="29">
        <f>IF(AE$17=1,SUM($E597:AE597)," ")</f>
        <v>10</v>
      </c>
      <c r="AF598" s="29">
        <f>IF(AF$17=1,SUM($E597:AF597)," ")</f>
        <v>10</v>
      </c>
      <c r="AG598" s="29">
        <f>IF(AG$17=1,SUM($E597:AG597)," ")</f>
        <v>10</v>
      </c>
      <c r="AH598" s="29">
        <f>IF(AH$17=1,SUM($E597:AH597)," ")</f>
        <v>10</v>
      </c>
    </row>
    <row r="599" spans="1:34" s="20" customFormat="1" ht="14" x14ac:dyDescent="0.2">
      <c r="A599" s="8"/>
      <c r="B599" s="14" t="str">
        <f>"Ending value "</f>
        <v xml:space="preserve">Ending value </v>
      </c>
      <c r="C599" s="8"/>
      <c r="D599" s="8" t="str">
        <f>'Assumptions - General'!$E$27 &amp;" millions"</f>
        <v>R$ millions</v>
      </c>
      <c r="E599" s="463">
        <f>IF(E$17=1,'Assumptions - Passenger'!E38," ")</f>
        <v>50</v>
      </c>
      <c r="F599" s="29">
        <f>IF(F$17=1,F595-F596-F597," ")</f>
        <v>43.043478260869563</v>
      </c>
      <c r="G599" s="29">
        <f t="shared" ref="G599:AH599" si="251">IF(G$17=1,G595-G596-G597," ")</f>
        <v>36.304347826086953</v>
      </c>
      <c r="H599" s="29">
        <f t="shared" si="251"/>
        <v>29.782608695652172</v>
      </c>
      <c r="I599" s="29">
        <f t="shared" si="251"/>
        <v>23.478260869565215</v>
      </c>
      <c r="J599" s="29">
        <f t="shared" si="251"/>
        <v>17.391304347826086</v>
      </c>
      <c r="K599" s="29">
        <f t="shared" si="251"/>
        <v>11.521739130434781</v>
      </c>
      <c r="L599" s="29">
        <f t="shared" si="251"/>
        <v>5.8695652173913029</v>
      </c>
      <c r="M599" s="29">
        <f t="shared" si="251"/>
        <v>0.43478260869565072</v>
      </c>
      <c r="N599" s="29">
        <f t="shared" si="251"/>
        <v>0</v>
      </c>
      <c r="O599" s="29">
        <f t="shared" si="251"/>
        <v>0</v>
      </c>
      <c r="P599" s="29">
        <f t="shared" si="251"/>
        <v>0</v>
      </c>
      <c r="Q599" s="29">
        <f t="shared" si="251"/>
        <v>0</v>
      </c>
      <c r="R599" s="29">
        <f t="shared" si="251"/>
        <v>0</v>
      </c>
      <c r="S599" s="29">
        <f t="shared" si="251"/>
        <v>0</v>
      </c>
      <c r="T599" s="29">
        <f t="shared" si="251"/>
        <v>0</v>
      </c>
      <c r="U599" s="29">
        <f t="shared" si="251"/>
        <v>0</v>
      </c>
      <c r="V599" s="29">
        <f t="shared" si="251"/>
        <v>0</v>
      </c>
      <c r="W599" s="29">
        <f t="shared" si="251"/>
        <v>0</v>
      </c>
      <c r="X599" s="29">
        <f t="shared" si="251"/>
        <v>0</v>
      </c>
      <c r="Y599" s="29">
        <f t="shared" si="251"/>
        <v>0</v>
      </c>
      <c r="Z599" s="29">
        <f t="shared" si="251"/>
        <v>0</v>
      </c>
      <c r="AA599" s="29">
        <f t="shared" si="251"/>
        <v>0</v>
      </c>
      <c r="AB599" s="29">
        <f t="shared" si="251"/>
        <v>0</v>
      </c>
      <c r="AC599" s="29">
        <f t="shared" si="251"/>
        <v>0</v>
      </c>
      <c r="AD599" s="29">
        <f t="shared" si="251"/>
        <v>0</v>
      </c>
      <c r="AE599" s="29">
        <f t="shared" si="251"/>
        <v>0</v>
      </c>
      <c r="AF599" s="29">
        <f t="shared" si="251"/>
        <v>0</v>
      </c>
      <c r="AG599" s="29">
        <f t="shared" si="251"/>
        <v>0</v>
      </c>
      <c r="AH599" s="29">
        <f t="shared" si="251"/>
        <v>0</v>
      </c>
    </row>
    <row r="600" spans="1:34" s="20" customFormat="1" ht="14" x14ac:dyDescent="0.2">
      <c r="A600" s="87"/>
      <c r="B600" s="14"/>
      <c r="C600" s="8"/>
      <c r="D600" s="8"/>
      <c r="E600" s="29"/>
      <c r="F600" s="29"/>
      <c r="G600" s="29"/>
      <c r="H600" s="29"/>
      <c r="I600" s="29"/>
      <c r="J600" s="29"/>
      <c r="K600" s="29"/>
      <c r="L600" s="29"/>
      <c r="M600" s="29"/>
      <c r="N600" s="29"/>
      <c r="O600" s="29"/>
      <c r="P600" s="29"/>
      <c r="Q600" s="29"/>
      <c r="R600" s="29"/>
      <c r="S600" s="29"/>
      <c r="T600" s="29"/>
      <c r="U600" s="29"/>
      <c r="V600" s="29"/>
      <c r="W600" s="29"/>
      <c r="X600" s="29"/>
      <c r="Y600" s="29"/>
      <c r="Z600" s="29"/>
      <c r="AA600" s="29"/>
      <c r="AB600" s="29"/>
      <c r="AC600" s="29"/>
      <c r="AD600" s="29"/>
      <c r="AE600" s="29"/>
      <c r="AF600" s="29"/>
      <c r="AG600" s="29"/>
      <c r="AH600" s="29"/>
    </row>
    <row r="601" spans="1:34" s="20" customFormat="1" ht="14" x14ac:dyDescent="0.2">
      <c r="A601" s="87"/>
      <c r="B601" s="14" t="s">
        <v>634</v>
      </c>
      <c r="C601" s="8"/>
      <c r="D601" s="8" t="str">
        <f>'Assumptions - General'!$E$27 &amp;" millions"</f>
        <v>R$ millions</v>
      </c>
      <c r="E601" s="29"/>
      <c r="F601" s="29">
        <f t="shared" ref="F601:AH601" si="252">IF(F17=1,E606," ")</f>
        <v>0</v>
      </c>
      <c r="G601" s="29">
        <f t="shared" si="252"/>
        <v>25</v>
      </c>
      <c r="H601" s="29">
        <f t="shared" si="252"/>
        <v>47.826086956521742</v>
      </c>
      <c r="I601" s="29">
        <f t="shared" si="252"/>
        <v>69.565217391304358</v>
      </c>
      <c r="J601" s="29">
        <f t="shared" si="252"/>
        <v>90.217391304347842</v>
      </c>
      <c r="K601" s="29">
        <f t="shared" si="252"/>
        <v>109.78260869565219</v>
      </c>
      <c r="L601" s="29">
        <f t="shared" si="252"/>
        <v>128.2608695652174</v>
      </c>
      <c r="M601" s="29">
        <f t="shared" si="252"/>
        <v>145.6521739130435</v>
      </c>
      <c r="N601" s="29">
        <f t="shared" si="252"/>
        <v>161.95652173913047</v>
      </c>
      <c r="O601" s="29">
        <f t="shared" si="252"/>
        <v>177.17391304347828</v>
      </c>
      <c r="P601" s="29">
        <f t="shared" si="252"/>
        <v>191.30434782608697</v>
      </c>
      <c r="Q601" s="29">
        <f t="shared" si="252"/>
        <v>204.34782608695653</v>
      </c>
      <c r="R601" s="29">
        <f t="shared" si="252"/>
        <v>216.30434782608697</v>
      </c>
      <c r="S601" s="29">
        <f t="shared" si="252"/>
        <v>227.17391304347828</v>
      </c>
      <c r="T601" s="29">
        <f t="shared" si="252"/>
        <v>236.95652173913047</v>
      </c>
      <c r="U601" s="29">
        <f t="shared" si="252"/>
        <v>245.65217391304353</v>
      </c>
      <c r="V601" s="29">
        <f t="shared" si="252"/>
        <v>253.2608695652174</v>
      </c>
      <c r="W601" s="29">
        <f t="shared" si="252"/>
        <v>259.78260869565213</v>
      </c>
      <c r="X601" s="29">
        <f t="shared" si="252"/>
        <v>265.21739130434776</v>
      </c>
      <c r="Y601" s="29">
        <f t="shared" si="252"/>
        <v>269.56521739130426</v>
      </c>
      <c r="Z601" s="29">
        <f t="shared" si="252"/>
        <v>272.82608695652164</v>
      </c>
      <c r="AA601" s="29">
        <f t="shared" si="252"/>
        <v>274.99999999999989</v>
      </c>
      <c r="AB601" s="29">
        <f t="shared" si="252"/>
        <v>276.08695652173901</v>
      </c>
      <c r="AC601" s="29">
        <f t="shared" si="252"/>
        <v>276.08695652173901</v>
      </c>
      <c r="AD601" s="29">
        <f t="shared" si="252"/>
        <v>274.99999999999989</v>
      </c>
      <c r="AE601" s="29">
        <f t="shared" si="252"/>
        <v>272.82608695652164</v>
      </c>
      <c r="AF601" s="29">
        <f t="shared" si="252"/>
        <v>269.56521739130426</v>
      </c>
      <c r="AG601" s="29">
        <f t="shared" si="252"/>
        <v>265.21739130434776</v>
      </c>
      <c r="AH601" s="29">
        <f t="shared" si="252"/>
        <v>259.78260869565213</v>
      </c>
    </row>
    <row r="602" spans="1:34" s="20" customFormat="1" ht="14" x14ac:dyDescent="0.2">
      <c r="A602" s="8"/>
      <c r="B602" s="30" t="s">
        <v>130</v>
      </c>
      <c r="C602" s="8"/>
      <c r="D602" s="8" t="str">
        <f>'Assumptions - General'!$E$27 &amp;" millions"</f>
        <v>R$ millions</v>
      </c>
      <c r="E602" s="29"/>
      <c r="F602" s="29">
        <f>IF(F$17=1,IF($D$510=1,$D$511*'Assumptions - Passenger'!F45,'Assumptions - Passenger'!F45)," ")</f>
        <v>25</v>
      </c>
      <c r="G602" s="29">
        <f>IF(G$17=1,IF($D$510=1,$D$511*'Assumptions - Passenger'!G45,'Assumptions - Passenger'!G45)," ")</f>
        <v>25</v>
      </c>
      <c r="H602" s="29">
        <f>IF(H$17=1,IF($D$510=1,$D$511*'Assumptions - Passenger'!H45,'Assumptions - Passenger'!H45)," ")</f>
        <v>25</v>
      </c>
      <c r="I602" s="29">
        <f>IF(I$17=1,IF($D$510=1,$D$511*'Assumptions - Passenger'!I45,'Assumptions - Passenger'!I45)," ")</f>
        <v>25</v>
      </c>
      <c r="J602" s="29">
        <f>IF(J$17=1,IF($D$510=1,$D$511*'Assumptions - Passenger'!J45,'Assumptions - Passenger'!J45)," ")</f>
        <v>25</v>
      </c>
      <c r="K602" s="29">
        <f>IF(K$17=1,IF($D$510=1,$D$511*'Assumptions - Passenger'!K45,'Assumptions - Passenger'!K45)," ")</f>
        <v>25</v>
      </c>
      <c r="L602" s="29">
        <f>IF(L$17=1,IF($D$510=1,$D$511*'Assumptions - Passenger'!L45,'Assumptions - Passenger'!L45)," ")</f>
        <v>25</v>
      </c>
      <c r="M602" s="29">
        <f>IF(M$17=1,IF($D$510=1,$D$511*'Assumptions - Passenger'!M45,'Assumptions - Passenger'!M45)," ")</f>
        <v>25</v>
      </c>
      <c r="N602" s="29">
        <f>IF(N$17=1,IF($D$510=1,$D$511*'Assumptions - Passenger'!N45,'Assumptions - Passenger'!N45)," ")</f>
        <v>25</v>
      </c>
      <c r="O602" s="29">
        <f>IF(O$17=1,IF($D$510=1,$D$511*'Assumptions - Passenger'!O45,'Assumptions - Passenger'!O45)," ")</f>
        <v>25</v>
      </c>
      <c r="P602" s="29">
        <f>IF(P$17=1,IF($D$510=1,$D$511*'Assumptions - Passenger'!P45,'Assumptions - Passenger'!P45)," ")</f>
        <v>25</v>
      </c>
      <c r="Q602" s="29">
        <f>IF(Q$17=1,IF($D$510=1,$D$511*'Assumptions - Passenger'!Q45,'Assumptions - Passenger'!Q45)," ")</f>
        <v>25</v>
      </c>
      <c r="R602" s="29">
        <f>IF(R$17=1,IF($D$510=1,$D$511*'Assumptions - Passenger'!R45,'Assumptions - Passenger'!R45)," ")</f>
        <v>25</v>
      </c>
      <c r="S602" s="29">
        <f>IF(S$17=1,IF($D$510=1,$D$511*'Assumptions - Passenger'!S45,'Assumptions - Passenger'!S45)," ")</f>
        <v>25</v>
      </c>
      <c r="T602" s="29">
        <f>IF(T$17=1,IF($D$510=1,$D$511*'Assumptions - Passenger'!T45,'Assumptions - Passenger'!T45)," ")</f>
        <v>25</v>
      </c>
      <c r="U602" s="29">
        <f>IF(U$17=1,IF($D$510=1,$D$511*'Assumptions - Passenger'!U45,'Assumptions - Passenger'!U45)," ")</f>
        <v>25</v>
      </c>
      <c r="V602" s="29">
        <f>IF(V$17=1,IF($D$510=1,$D$511*'Assumptions - Passenger'!V45,'Assumptions - Passenger'!V45)," ")</f>
        <v>25</v>
      </c>
      <c r="W602" s="29">
        <f>IF(W$17=1,IF($D$510=1,$D$511*'Assumptions - Passenger'!W45,'Assumptions - Passenger'!W45)," ")</f>
        <v>25</v>
      </c>
      <c r="X602" s="29">
        <f>IF(X$17=1,IF($D$510=1,$D$511*'Assumptions - Passenger'!X45,'Assumptions - Passenger'!X45)," ")</f>
        <v>25</v>
      </c>
      <c r="Y602" s="29">
        <f>IF(Y$17=1,IF($D$510=1,$D$511*'Assumptions - Passenger'!Y45,'Assumptions - Passenger'!Y45)," ")</f>
        <v>25</v>
      </c>
      <c r="Z602" s="29">
        <f>IF(Z$17=1,IF($D$510=1,$D$511*'Assumptions - Passenger'!Z45,'Assumptions - Passenger'!Z45)," ")</f>
        <v>25</v>
      </c>
      <c r="AA602" s="29">
        <f>IF(AA$17=1,IF($D$510=1,$D$511*'Assumptions - Passenger'!AA45,'Assumptions - Passenger'!AA45)," ")</f>
        <v>25</v>
      </c>
      <c r="AB602" s="29">
        <f>IF(AB$17=1,IF($D$510=1,$D$511*'Assumptions - Passenger'!AB45,'Assumptions - Passenger'!AB45)," ")</f>
        <v>25</v>
      </c>
      <c r="AC602" s="29">
        <f>IF(AC$17=1,IF($D$510=1,$D$511*'Assumptions - Passenger'!AC45,'Assumptions - Passenger'!AC45)," ")</f>
        <v>25</v>
      </c>
      <c r="AD602" s="29">
        <f>IF(AD$17=1,IF($D$510=1,$D$511*'Assumptions - Passenger'!AD45,'Assumptions - Passenger'!AD45)," ")</f>
        <v>25</v>
      </c>
      <c r="AE602" s="29">
        <f>IF(AE$17=1,IF($D$510=1,$D$511*'Assumptions - Passenger'!AE45,'Assumptions - Passenger'!AE45)," ")</f>
        <v>25</v>
      </c>
      <c r="AF602" s="29">
        <f>IF(AF$17=1,IF($D$510=1,$D$511*'Assumptions - Passenger'!AF45,'Assumptions - Passenger'!AF45)," ")</f>
        <v>25</v>
      </c>
      <c r="AG602" s="29">
        <f>IF(AG$17=1,IF($D$510=1,$D$511*'Assumptions - Passenger'!AG45,'Assumptions - Passenger'!AG45)," ")</f>
        <v>25</v>
      </c>
      <c r="AH602" s="29">
        <f>IF(AH$17=1,IF($D$510=1,$D$511*'Assumptions - Passenger'!AH45,'Assumptions - Passenger'!AH45)," ")</f>
        <v>25</v>
      </c>
    </row>
    <row r="603" spans="1:34" s="20" customFormat="1" ht="14" x14ac:dyDescent="0.2">
      <c r="A603" s="87"/>
      <c r="B603" s="30" t="s">
        <v>608</v>
      </c>
      <c r="C603" s="8"/>
      <c r="D603" s="8" t="str">
        <f>'Assumptions - General'!$E$27 &amp;" millions"</f>
        <v>R$ millions</v>
      </c>
      <c r="E603" s="29"/>
      <c r="F603" s="29">
        <f>IF(F$17=1,'Assumptions - Passenger'!F53-Calculations!F596," ")</f>
        <v>0</v>
      </c>
      <c r="G603" s="29">
        <f>IF(G$17=1,'Assumptions - Passenger'!G53-Calculations!G596," ")</f>
        <v>0</v>
      </c>
      <c r="H603" s="29">
        <f>IF(H$17=1,'Assumptions - Passenger'!H53-Calculations!H596," ")</f>
        <v>0</v>
      </c>
      <c r="I603" s="29">
        <f>IF(I$17=1,'Assumptions - Passenger'!I53-Calculations!I596," ")</f>
        <v>0</v>
      </c>
      <c r="J603" s="29">
        <f>IF(J$17=1,'Assumptions - Passenger'!J53-Calculations!J596," ")</f>
        <v>0</v>
      </c>
      <c r="K603" s="29">
        <f>IF(K$17=1,'Assumptions - Passenger'!K53-Calculations!K596," ")</f>
        <v>0</v>
      </c>
      <c r="L603" s="29">
        <f>IF(L$17=1,'Assumptions - Passenger'!L53-Calculations!L596," ")</f>
        <v>0</v>
      </c>
      <c r="M603" s="29">
        <f>IF(M$17=1,'Assumptions - Passenger'!M53-Calculations!M596," ")</f>
        <v>0</v>
      </c>
      <c r="N603" s="29">
        <f>IF(N$17=1,'Assumptions - Passenger'!N53-Calculations!N596," ")</f>
        <v>0</v>
      </c>
      <c r="O603" s="29">
        <f>IF(O$17=1,'Assumptions - Passenger'!O53-Calculations!O596," ")</f>
        <v>0</v>
      </c>
      <c r="P603" s="29">
        <f>IF(P$17=1,'Assumptions - Passenger'!P53-Calculations!P596," ")</f>
        <v>0</v>
      </c>
      <c r="Q603" s="29">
        <f>IF(Q$17=1,'Assumptions - Passenger'!Q53-Calculations!Q596," ")</f>
        <v>0</v>
      </c>
      <c r="R603" s="29">
        <f>IF(R$17=1,'Assumptions - Passenger'!R53-Calculations!R596," ")</f>
        <v>0</v>
      </c>
      <c r="S603" s="29">
        <f>IF(S$17=1,'Assumptions - Passenger'!S53-Calculations!S596," ")</f>
        <v>0</v>
      </c>
      <c r="T603" s="29">
        <f>IF(T$17=1,'Assumptions - Passenger'!T53-Calculations!T596," ")</f>
        <v>0</v>
      </c>
      <c r="U603" s="29">
        <f>IF(U$17=1,'Assumptions - Passenger'!U53-Calculations!U596," ")</f>
        <v>0</v>
      </c>
      <c r="V603" s="29">
        <f>IF(V$17=1,'Assumptions - Passenger'!V53-Calculations!V596," ")</f>
        <v>0</v>
      </c>
      <c r="W603" s="29">
        <f>IF(W$17=1,'Assumptions - Passenger'!W53-Calculations!W596," ")</f>
        <v>0</v>
      </c>
      <c r="X603" s="29">
        <f>IF(X$17=1,'Assumptions - Passenger'!X53-Calculations!X596," ")</f>
        <v>0</v>
      </c>
      <c r="Y603" s="29">
        <f>IF(Y$17=1,'Assumptions - Passenger'!Y53-Calculations!Y596," ")</f>
        <v>0</v>
      </c>
      <c r="Z603" s="29">
        <f>IF(Z$17=1,'Assumptions - Passenger'!Z53-Calculations!Z596," ")</f>
        <v>0</v>
      </c>
      <c r="AA603" s="29">
        <f>IF(AA$17=1,'Assumptions - Passenger'!AA53-Calculations!AA596," ")</f>
        <v>0</v>
      </c>
      <c r="AB603" s="29">
        <f>IF(AB$17=1,'Assumptions - Passenger'!AB53-Calculations!AB596," ")</f>
        <v>0</v>
      </c>
      <c r="AC603" s="29">
        <f>IF(AC$17=1,'Assumptions - Passenger'!AC53-Calculations!AC596," ")</f>
        <v>0</v>
      </c>
      <c r="AD603" s="29">
        <f>IF(AD$17=1,'Assumptions - Passenger'!AD53-Calculations!AD596," ")</f>
        <v>0</v>
      </c>
      <c r="AE603" s="29">
        <f>IF(AE$17=1,'Assumptions - Passenger'!AE53-Calculations!AE596," ")</f>
        <v>0</v>
      </c>
      <c r="AF603" s="29">
        <f>IF(AF$17=1,'Assumptions - Passenger'!AF53-Calculations!AF596," ")</f>
        <v>0</v>
      </c>
      <c r="AG603" s="29">
        <f>IF(AG$17=1,'Assumptions - Passenger'!AG53-Calculations!AG596," ")</f>
        <v>0</v>
      </c>
      <c r="AH603" s="29">
        <f>IF(AH$17=1,'Assumptions - Passenger'!AH53-Calculations!AH596," ")</f>
        <v>0</v>
      </c>
    </row>
    <row r="604" spans="1:34" s="20" customFormat="1" ht="14" x14ac:dyDescent="0.2">
      <c r="A604" s="87"/>
      <c r="B604" s="30" t="s">
        <v>635</v>
      </c>
      <c r="C604" s="8"/>
      <c r="D604" s="8" t="str">
        <f>'Assumptions - General'!$E$27 &amp;" millions"</f>
        <v>R$ millions</v>
      </c>
      <c r="E604" s="29"/>
      <c r="F604" s="29">
        <f>IF(F$17=1,(IF($A594=1,IF(F601-F603&gt;0,(MIN((F601-F603),(SUM($E602:F602)-SUM($E603:F603))/'Assumptions - Passenger'!$E101)),0),0))," ")</f>
        <v>0</v>
      </c>
      <c r="G604" s="29">
        <f>IF(G$17=1,(IF($A594=1,IF(G601-G603&gt;0,(MIN((G601-G603),(SUM($E602:G602)-SUM($E603:G603))/'Assumptions - Passenger'!$E101)),0),0))," ")</f>
        <v>2.1739130434782608</v>
      </c>
      <c r="H604" s="29">
        <f>IF(H$17=1,(IF($A594=1,IF(H601-H603&gt;0,(MIN((H601-H603),(SUM($E602:H602)-SUM($E603:H603))/'Assumptions - Passenger'!$E101)),0),0))," ")</f>
        <v>3.2608695652173911</v>
      </c>
      <c r="I604" s="29">
        <f>IF(I$17=1,(IF($A594=1,IF(I601-I603&gt;0,(MIN((I601-I603),(SUM($E602:I602)-SUM($E603:I603))/'Assumptions - Passenger'!$E101)),0),0))," ")</f>
        <v>4.3478260869565215</v>
      </c>
      <c r="J604" s="29">
        <f>IF(J$17=1,(IF($A594=1,IF(J601-J603&gt;0,(MIN((J601-J603),(SUM($E602:J602)-SUM($E603:J603))/'Assumptions - Passenger'!$E101)),0),0))," ")</f>
        <v>5.4347826086956523</v>
      </c>
      <c r="K604" s="29">
        <f>IF(K$17=1,(IF($A594=1,IF(K601-K603&gt;0,(MIN((K601-K603),(SUM($E602:K602)-SUM($E603:K603))/'Assumptions - Passenger'!$E101)),0),0))," ")</f>
        <v>6.5217391304347823</v>
      </c>
      <c r="L604" s="29">
        <f>IF(L$17=1,(IF($A594=1,IF(L601-L603&gt;0,(MIN((L601-L603),(SUM($E602:L602)-SUM($E603:L603))/'Assumptions - Passenger'!$E101)),0),0))," ")</f>
        <v>7.6086956521739131</v>
      </c>
      <c r="M604" s="29">
        <f>IF(M$17=1,(IF($A594=1,IF(M601-M603&gt;0,(MIN((M601-M603),(SUM($E602:M602)-SUM($E603:M603))/'Assumptions - Passenger'!$E101)),0),0))," ")</f>
        <v>8.695652173913043</v>
      </c>
      <c r="N604" s="29">
        <f>IF(N$17=1,(IF($A594=1,IF(N601-N603&gt;0,(MIN((N601-N603),(SUM($E602:N602)-SUM($E603:N603))/'Assumptions - Passenger'!$E101)),0),0))," ")</f>
        <v>9.7826086956521738</v>
      </c>
      <c r="O604" s="29">
        <f>IF(O$17=1,(IF($A594=1,IF(O601-O603&gt;0,(MIN((O601-O603),(SUM($E602:O602)-SUM($E603:O603))/'Assumptions - Passenger'!$E101)),0),0))," ")</f>
        <v>10.869565217391305</v>
      </c>
      <c r="P604" s="29">
        <f>IF(P$17=1,(IF($A594=1,IF(P601-P603&gt;0,(MIN((P601-P603),(SUM($E602:P602)-SUM($E603:P603))/'Assumptions - Passenger'!$E101)),0),0))," ")</f>
        <v>11.956521739130435</v>
      </c>
      <c r="Q604" s="29">
        <f>IF(Q$17=1,(IF($A594=1,IF(Q601-Q603&gt;0,(MIN((Q601-Q603),(SUM($E602:Q602)-SUM($E603:Q603))/'Assumptions - Passenger'!$E101)),0),0))," ")</f>
        <v>13.043478260869565</v>
      </c>
      <c r="R604" s="29">
        <f>IF(R$17=1,(IF($A594=1,IF(R601-R603&gt;0,(MIN((R601-R603),(SUM($E602:R602)-SUM($E603:R603))/'Assumptions - Passenger'!$E101)),0),0))," ")</f>
        <v>14.130434782608695</v>
      </c>
      <c r="S604" s="29">
        <f>IF(S$17=1,(IF($A594=1,IF(S601-S603&gt;0,(MIN((S601-S603),(SUM($E602:S602)-SUM($E603:S603))/'Assumptions - Passenger'!$E101)),0),0))," ")</f>
        <v>15.217391304347826</v>
      </c>
      <c r="T604" s="29">
        <f>IF(T$17=1,(IF($A594=1,IF(T601-T603&gt;0,(MIN((T601-T603),(SUM($E602:T602)-SUM($E603:T603))/'Assumptions - Passenger'!$E101)),0),0))," ")</f>
        <v>16.304347826086957</v>
      </c>
      <c r="U604" s="29">
        <f>IF(U$17=1,(IF($A594=1,IF(U601-U603&gt;0,(MIN((U601-U603),(SUM($E602:U602)-SUM($E603:U603))/'Assumptions - Passenger'!$E101)),0),0))," ")</f>
        <v>17.391304347826086</v>
      </c>
      <c r="V604" s="29">
        <f>IF(V$17=1,(IF($A594=1,IF(V601-V603&gt;0,(MIN((V601-V603),(SUM($E602:V602)-SUM($E603:V603))/'Assumptions - Passenger'!$E101)),0),0))," ")</f>
        <v>18.478260869565219</v>
      </c>
      <c r="W604" s="29">
        <f>IF(W$17=1,(IF($A594=1,IF(W601-W603&gt;0,(MIN((W601-W603),(SUM($E602:W602)-SUM($E603:W603))/'Assumptions - Passenger'!$E101)),0),0))," ")</f>
        <v>19.565217391304348</v>
      </c>
      <c r="X604" s="29">
        <f>IF(X$17=1,(IF($A594=1,IF(X601-X603&gt;0,(MIN((X601-X603),(SUM($E602:X602)-SUM($E603:X603))/'Assumptions - Passenger'!$E101)),0),0))," ")</f>
        <v>20.652173913043477</v>
      </c>
      <c r="Y604" s="29">
        <f>IF(Y$17=1,(IF($A594=1,IF(Y601-Y603&gt;0,(MIN((Y601-Y603),(SUM($E602:Y602)-SUM($E603:Y603))/'Assumptions - Passenger'!$E101)),0),0))," ")</f>
        <v>21.739130434782609</v>
      </c>
      <c r="Z604" s="29">
        <f>IF(Z$17=1,(IF($A594=1,IF(Z601-Z603&gt;0,(MIN((Z601-Z603),(SUM($E602:Z602)-SUM($E603:Z603))/'Assumptions - Passenger'!$E101)),0),0))," ")</f>
        <v>22.826086956521738</v>
      </c>
      <c r="AA604" s="29">
        <f>IF(AA$17=1,(IF($A594=1,IF(AA601-AA603&gt;0,(MIN((AA601-AA603),(SUM($E602:AA602)-SUM($E603:AA603))/'Assumptions - Passenger'!$E101)),0),0))," ")</f>
        <v>23.913043478260871</v>
      </c>
      <c r="AB604" s="29">
        <f>IF(AB$17=1,(IF($A594=1,IF(AB601-AB603&gt;0,(MIN((AB601-AB603),(SUM($E602:AB602)-SUM($E603:AB603))/'Assumptions - Passenger'!$E101)),0),0))," ")</f>
        <v>25</v>
      </c>
      <c r="AC604" s="29">
        <f>IF(AC$17=1,(IF($A594=1,IF(AC601-AC603&gt;0,(MIN((AC601-AC603),(SUM($E602:AC602)-SUM($E603:AC603))/'Assumptions - Passenger'!$E101)),0),0))," ")</f>
        <v>26.086956521739129</v>
      </c>
      <c r="AD604" s="29">
        <f>IF(AD$17=1,(IF($A594=1,IF(AD601-AD603&gt;0,(MIN((AD601-AD603),(SUM($E602:AD602)-SUM($E603:AD603))/'Assumptions - Passenger'!$E101)),0),0))," ")</f>
        <v>27.173913043478262</v>
      </c>
      <c r="AE604" s="29">
        <f>IF(AE$17=1,(IF($A594=1,IF(AE601-AE603&gt;0,(MIN((AE601-AE603),(SUM($E602:AE602)-SUM($E603:AE603))/'Assumptions - Passenger'!$E101)),0),0))," ")</f>
        <v>28.260869565217391</v>
      </c>
      <c r="AF604" s="29">
        <f>IF(AF$17=1,(IF($A594=1,IF(AF601-AF603&gt;0,(MIN((AF601-AF603),(SUM($E602:AF602)-SUM($E603:AF603))/'Assumptions - Passenger'!$E101)),0),0))," ")</f>
        <v>29.347826086956523</v>
      </c>
      <c r="AG604" s="29">
        <f>IF(AG$17=1,(IF($A594=1,IF(AG601-AG603&gt;0,(MIN((AG601-AG603),(SUM($E602:AG602)-SUM($E603:AG603))/'Assumptions - Passenger'!$E101)),0),0))," ")</f>
        <v>30.434782608695652</v>
      </c>
      <c r="AH604" s="29">
        <f>IF(AH$17=1,(IF($A594=1,IF(AH601-AH603&gt;0,(MIN((AH601-AH603),(SUM($E602:AH602)-SUM($E603:AH603))/'Assumptions - Passenger'!$E101)),0),0))," ")</f>
        <v>31.521739130434781</v>
      </c>
    </row>
    <row r="605" spans="1:34" s="20" customFormat="1" ht="14" x14ac:dyDescent="0.2">
      <c r="A605" s="87"/>
      <c r="B605" s="30" t="s">
        <v>636</v>
      </c>
      <c r="C605" s="8"/>
      <c r="D605" s="8" t="str">
        <f>'Assumptions - General'!$E$27 &amp;" millions"</f>
        <v>R$ millions</v>
      </c>
      <c r="E605" s="29"/>
      <c r="F605" s="29">
        <f>IF(F$17=1,SUM($E604:F604)," ")</f>
        <v>0</v>
      </c>
      <c r="G605" s="29">
        <f>IF(G$17=1,SUM($E604:G604)," ")</f>
        <v>2.1739130434782608</v>
      </c>
      <c r="H605" s="29">
        <f>IF(H$17=1,SUM($E604:H604)," ")</f>
        <v>5.4347826086956523</v>
      </c>
      <c r="I605" s="29">
        <f>IF(I$17=1,SUM($E604:I604)," ")</f>
        <v>9.7826086956521738</v>
      </c>
      <c r="J605" s="29">
        <f>IF(J$17=1,SUM($E604:J604)," ")</f>
        <v>15.217391304347826</v>
      </c>
      <c r="K605" s="29">
        <f>IF(K$17=1,SUM($E604:K604)," ")</f>
        <v>21.739130434782609</v>
      </c>
      <c r="L605" s="29">
        <f>IF(L$17=1,SUM($E604:L604)," ")</f>
        <v>29.347826086956523</v>
      </c>
      <c r="M605" s="29">
        <f>IF(M$17=1,SUM($E604:M604)," ")</f>
        <v>38.043478260869563</v>
      </c>
      <c r="N605" s="29">
        <f>IF(N$17=1,SUM($E604:N604)," ")</f>
        <v>47.826086956521735</v>
      </c>
      <c r="O605" s="29">
        <f>IF(O$17=1,SUM($E604:O604)," ")</f>
        <v>58.695652173913039</v>
      </c>
      <c r="P605" s="29">
        <f>IF(P$17=1,SUM($E604:P604)," ")</f>
        <v>70.65217391304347</v>
      </c>
      <c r="Q605" s="29">
        <f>IF(Q$17=1,SUM($E604:Q604)," ")</f>
        <v>83.695652173913032</v>
      </c>
      <c r="R605" s="29">
        <f>IF(R$17=1,SUM($E604:R604)," ")</f>
        <v>97.826086956521721</v>
      </c>
      <c r="S605" s="29">
        <f>IF(S$17=1,SUM($E604:S604)," ")</f>
        <v>113.04347826086955</v>
      </c>
      <c r="T605" s="29">
        <f>IF(T$17=1,SUM($E604:T604)," ")</f>
        <v>129.3478260869565</v>
      </c>
      <c r="U605" s="29">
        <f>IF(U$17=1,SUM($E604:U604)," ")</f>
        <v>146.7391304347826</v>
      </c>
      <c r="V605" s="29">
        <f>IF(V$17=1,SUM($E604:V604)," ")</f>
        <v>165.21739130434781</v>
      </c>
      <c r="W605" s="29">
        <f>IF(W$17=1,SUM($E604:W604)," ")</f>
        <v>184.78260869565216</v>
      </c>
      <c r="X605" s="29">
        <f>IF(X$17=1,SUM($E604:X604)," ")</f>
        <v>205.43478260869563</v>
      </c>
      <c r="Y605" s="29">
        <f>IF(Y$17=1,SUM($E604:Y604)," ")</f>
        <v>227.17391304347825</v>
      </c>
      <c r="Z605" s="29">
        <f>IF(Z$17=1,SUM($E604:Z604)," ")</f>
        <v>250</v>
      </c>
      <c r="AA605" s="29">
        <f>IF(AA$17=1,SUM($E604:AA604)," ")</f>
        <v>273.91304347826087</v>
      </c>
      <c r="AB605" s="29">
        <f>IF(AB$17=1,SUM($E604:AB604)," ")</f>
        <v>298.91304347826087</v>
      </c>
      <c r="AC605" s="29">
        <f>IF(AC$17=1,SUM($E604:AC604)," ")</f>
        <v>325</v>
      </c>
      <c r="AD605" s="29">
        <f>IF(AD$17=1,SUM($E604:AD604)," ")</f>
        <v>352.17391304347825</v>
      </c>
      <c r="AE605" s="29">
        <f>IF(AE$17=1,SUM($E604:AE604)," ")</f>
        <v>380.43478260869563</v>
      </c>
      <c r="AF605" s="29">
        <f>IF(AF$17=1,SUM($E604:AF604)," ")</f>
        <v>409.78260869565213</v>
      </c>
      <c r="AG605" s="29">
        <f>IF(AG$17=1,SUM($E604:AG604)," ")</f>
        <v>440.21739130434776</v>
      </c>
      <c r="AH605" s="29">
        <f>IF(AH$17=1,SUM($E604:AH604)," ")</f>
        <v>471.73913043478251</v>
      </c>
    </row>
    <row r="606" spans="1:34" s="20" customFormat="1" ht="14" x14ac:dyDescent="0.2">
      <c r="A606" s="87"/>
      <c r="B606" s="14" t="s">
        <v>640</v>
      </c>
      <c r="C606" s="8"/>
      <c r="D606" s="8" t="str">
        <f>'Assumptions - General'!$E$27 &amp;" millions"</f>
        <v>R$ millions</v>
      </c>
      <c r="E606" s="29"/>
      <c r="F606" s="29">
        <f t="shared" ref="F606:AH606" si="253">IF(F17=1,F601+F602-F603-F604," ")</f>
        <v>25</v>
      </c>
      <c r="G606" s="29">
        <f t="shared" si="253"/>
        <v>47.826086956521742</v>
      </c>
      <c r="H606" s="29">
        <f t="shared" si="253"/>
        <v>69.565217391304358</v>
      </c>
      <c r="I606" s="29">
        <f t="shared" si="253"/>
        <v>90.217391304347842</v>
      </c>
      <c r="J606" s="29">
        <f t="shared" si="253"/>
        <v>109.78260869565219</v>
      </c>
      <c r="K606" s="29">
        <f t="shared" si="253"/>
        <v>128.2608695652174</v>
      </c>
      <c r="L606" s="29">
        <f t="shared" si="253"/>
        <v>145.6521739130435</v>
      </c>
      <c r="M606" s="29">
        <f t="shared" si="253"/>
        <v>161.95652173913047</v>
      </c>
      <c r="N606" s="29">
        <f t="shared" si="253"/>
        <v>177.17391304347828</v>
      </c>
      <c r="O606" s="29">
        <f t="shared" si="253"/>
        <v>191.30434782608697</v>
      </c>
      <c r="P606" s="29">
        <f t="shared" si="253"/>
        <v>204.34782608695653</v>
      </c>
      <c r="Q606" s="29">
        <f t="shared" si="253"/>
        <v>216.30434782608697</v>
      </c>
      <c r="R606" s="29">
        <f t="shared" si="253"/>
        <v>227.17391304347828</v>
      </c>
      <c r="S606" s="29">
        <f t="shared" si="253"/>
        <v>236.95652173913047</v>
      </c>
      <c r="T606" s="29">
        <f t="shared" si="253"/>
        <v>245.65217391304353</v>
      </c>
      <c r="U606" s="29">
        <f t="shared" si="253"/>
        <v>253.2608695652174</v>
      </c>
      <c r="V606" s="29">
        <f t="shared" si="253"/>
        <v>259.78260869565213</v>
      </c>
      <c r="W606" s="29">
        <f t="shared" si="253"/>
        <v>265.21739130434776</v>
      </c>
      <c r="X606" s="29">
        <f t="shared" si="253"/>
        <v>269.56521739130426</v>
      </c>
      <c r="Y606" s="29">
        <f t="shared" si="253"/>
        <v>272.82608695652164</v>
      </c>
      <c r="Z606" s="29">
        <f t="shared" si="253"/>
        <v>274.99999999999989</v>
      </c>
      <c r="AA606" s="29">
        <f t="shared" si="253"/>
        <v>276.08695652173901</v>
      </c>
      <c r="AB606" s="29">
        <f t="shared" si="253"/>
        <v>276.08695652173901</v>
      </c>
      <c r="AC606" s="29">
        <f t="shared" si="253"/>
        <v>274.99999999999989</v>
      </c>
      <c r="AD606" s="29">
        <f t="shared" si="253"/>
        <v>272.82608695652164</v>
      </c>
      <c r="AE606" s="29">
        <f t="shared" si="253"/>
        <v>269.56521739130426</v>
      </c>
      <c r="AF606" s="29">
        <f t="shared" si="253"/>
        <v>265.21739130434776</v>
      </c>
      <c r="AG606" s="29">
        <f t="shared" si="253"/>
        <v>259.78260869565213</v>
      </c>
      <c r="AH606" s="29">
        <f t="shared" si="253"/>
        <v>253.26086956521735</v>
      </c>
    </row>
    <row r="607" spans="1:34" s="20" customFormat="1" ht="14" x14ac:dyDescent="0.2">
      <c r="A607" s="87"/>
      <c r="B607" s="14"/>
      <c r="C607" s="8"/>
      <c r="D607" s="8"/>
      <c r="E607" s="29"/>
      <c r="F607" s="29"/>
      <c r="G607" s="29"/>
      <c r="H607" s="29"/>
      <c r="I607" s="29"/>
      <c r="J607" s="29"/>
      <c r="K607" s="29"/>
      <c r="L607" s="29"/>
      <c r="M607" s="29"/>
      <c r="N607" s="29"/>
      <c r="O607" s="29"/>
      <c r="P607" s="29"/>
      <c r="Q607" s="29"/>
      <c r="R607" s="29"/>
      <c r="S607" s="29"/>
      <c r="T607" s="29"/>
      <c r="U607" s="29"/>
      <c r="V607" s="29"/>
      <c r="W607" s="29"/>
      <c r="X607" s="29"/>
      <c r="Y607" s="29"/>
      <c r="Z607" s="29"/>
      <c r="AA607" s="29"/>
      <c r="AB607" s="29"/>
      <c r="AC607" s="29"/>
      <c r="AD607" s="29"/>
      <c r="AE607" s="29"/>
      <c r="AF607" s="29"/>
      <c r="AG607" s="29"/>
      <c r="AH607" s="29"/>
    </row>
    <row r="608" spans="1:34" s="20" customFormat="1" ht="14" x14ac:dyDescent="0.2">
      <c r="A608" s="87"/>
      <c r="B608" s="14" t="s">
        <v>638</v>
      </c>
      <c r="C608" s="8"/>
      <c r="D608" s="8" t="str">
        <f>'Assumptions - General'!$E$27 &amp;" millions"</f>
        <v>R$ millions</v>
      </c>
      <c r="E608" s="29">
        <f t="shared" ref="E608:AH608" si="254">IF(E17=1,E599+E606," ")</f>
        <v>50</v>
      </c>
      <c r="F608" s="29">
        <f t="shared" si="254"/>
        <v>68.043478260869563</v>
      </c>
      <c r="G608" s="29">
        <f t="shared" si="254"/>
        <v>84.130434782608688</v>
      </c>
      <c r="H608" s="29">
        <f t="shared" si="254"/>
        <v>99.34782608695653</v>
      </c>
      <c r="I608" s="29">
        <f t="shared" si="254"/>
        <v>113.69565217391306</v>
      </c>
      <c r="J608" s="29">
        <f t="shared" si="254"/>
        <v>127.17391304347828</v>
      </c>
      <c r="K608" s="29">
        <f t="shared" si="254"/>
        <v>139.78260869565219</v>
      </c>
      <c r="L608" s="29">
        <f t="shared" si="254"/>
        <v>151.52173913043481</v>
      </c>
      <c r="M608" s="29">
        <f t="shared" si="254"/>
        <v>162.39130434782612</v>
      </c>
      <c r="N608" s="29">
        <f t="shared" si="254"/>
        <v>177.17391304347828</v>
      </c>
      <c r="O608" s="29">
        <f t="shared" si="254"/>
        <v>191.30434782608697</v>
      </c>
      <c r="P608" s="29">
        <f t="shared" si="254"/>
        <v>204.34782608695653</v>
      </c>
      <c r="Q608" s="29">
        <f t="shared" si="254"/>
        <v>216.30434782608697</v>
      </c>
      <c r="R608" s="29">
        <f t="shared" si="254"/>
        <v>227.17391304347828</v>
      </c>
      <c r="S608" s="29">
        <f t="shared" si="254"/>
        <v>236.95652173913047</v>
      </c>
      <c r="T608" s="29">
        <f t="shared" si="254"/>
        <v>245.65217391304353</v>
      </c>
      <c r="U608" s="29">
        <f t="shared" si="254"/>
        <v>253.2608695652174</v>
      </c>
      <c r="V608" s="29">
        <f t="shared" si="254"/>
        <v>259.78260869565213</v>
      </c>
      <c r="W608" s="29">
        <f t="shared" si="254"/>
        <v>265.21739130434776</v>
      </c>
      <c r="X608" s="29">
        <f t="shared" si="254"/>
        <v>269.56521739130426</v>
      </c>
      <c r="Y608" s="29">
        <f t="shared" si="254"/>
        <v>272.82608695652164</v>
      </c>
      <c r="Z608" s="29">
        <f t="shared" si="254"/>
        <v>274.99999999999989</v>
      </c>
      <c r="AA608" s="29">
        <f t="shared" si="254"/>
        <v>276.08695652173901</v>
      </c>
      <c r="AB608" s="29">
        <f t="shared" si="254"/>
        <v>276.08695652173901</v>
      </c>
      <c r="AC608" s="29">
        <f t="shared" si="254"/>
        <v>274.99999999999989</v>
      </c>
      <c r="AD608" s="29">
        <f t="shared" si="254"/>
        <v>272.82608695652164</v>
      </c>
      <c r="AE608" s="29">
        <f t="shared" si="254"/>
        <v>269.56521739130426</v>
      </c>
      <c r="AF608" s="29">
        <f t="shared" si="254"/>
        <v>265.21739130434776</v>
      </c>
      <c r="AG608" s="29">
        <f t="shared" si="254"/>
        <v>259.78260869565213</v>
      </c>
      <c r="AH608" s="29">
        <f t="shared" si="254"/>
        <v>253.26086956521735</v>
      </c>
    </row>
    <row r="609" spans="1:34" s="310" customFormat="1" ht="14" x14ac:dyDescent="0.2">
      <c r="A609" s="87"/>
      <c r="B609" s="446"/>
      <c r="C609" s="87"/>
      <c r="D609" s="87"/>
      <c r="E609" s="447"/>
      <c r="F609" s="447"/>
      <c r="G609" s="447"/>
      <c r="H609" s="447"/>
      <c r="I609" s="447"/>
      <c r="J609" s="447"/>
      <c r="K609" s="447"/>
      <c r="L609" s="447"/>
      <c r="M609" s="447"/>
      <c r="N609" s="447"/>
      <c r="O609" s="447"/>
      <c r="P609" s="447"/>
      <c r="Q609" s="447"/>
      <c r="R609" s="447"/>
      <c r="S609" s="447"/>
      <c r="T609" s="447"/>
      <c r="U609" s="447"/>
      <c r="V609" s="447"/>
      <c r="W609" s="447"/>
      <c r="X609" s="447"/>
      <c r="Y609" s="447"/>
      <c r="Z609" s="447"/>
      <c r="AA609" s="447"/>
      <c r="AB609" s="447"/>
      <c r="AC609" s="447"/>
      <c r="AD609" s="447"/>
      <c r="AE609" s="447"/>
      <c r="AF609" s="447"/>
      <c r="AG609" s="447"/>
      <c r="AH609" s="447"/>
    </row>
    <row r="610" spans="1:34" s="20" customFormat="1" collapsed="1" x14ac:dyDescent="0.2">
      <c r="A610" s="1"/>
      <c r="B610" s="14"/>
      <c r="C610" s="8"/>
      <c r="D610" s="8"/>
      <c r="E610" s="29"/>
      <c r="F610" s="29"/>
      <c r="G610" s="29"/>
      <c r="H610" s="29"/>
      <c r="I610" s="29"/>
      <c r="J610" s="29"/>
      <c r="K610" s="29"/>
      <c r="L610" s="29"/>
      <c r="M610" s="29"/>
      <c r="N610" s="29"/>
      <c r="O610" s="29"/>
      <c r="P610" s="29"/>
      <c r="Q610" s="29"/>
      <c r="R610" s="29"/>
      <c r="S610" s="29"/>
      <c r="T610" s="29"/>
      <c r="U610" s="29"/>
      <c r="V610" s="29"/>
      <c r="W610" s="29"/>
      <c r="X610" s="29"/>
      <c r="Y610" s="29"/>
      <c r="Z610" s="29"/>
      <c r="AA610" s="29"/>
      <c r="AB610" s="29"/>
      <c r="AC610" s="29"/>
      <c r="AD610" s="29"/>
      <c r="AE610" s="29"/>
      <c r="AF610" s="29"/>
      <c r="AG610" s="29"/>
      <c r="AH610" s="29"/>
    </row>
    <row r="611" spans="1:34" collapsed="1" x14ac:dyDescent="0.2">
      <c r="A611" s="324"/>
      <c r="B611" s="323" t="str">
        <f>"Traffic  for " &amp;'Assumptions - General'!$E$25</f>
        <v>Traffic  for Ruritania Passenger Rail Company</v>
      </c>
      <c r="C611" s="324"/>
      <c r="D611" s="324"/>
      <c r="E611" s="324"/>
      <c r="F611" s="324"/>
      <c r="G611" s="324"/>
      <c r="H611" s="324"/>
      <c r="I611" s="324"/>
      <c r="J611" s="324"/>
      <c r="K611" s="324"/>
      <c r="L611" s="324"/>
      <c r="M611" s="324"/>
      <c r="N611" s="324"/>
      <c r="O611" s="324"/>
      <c r="P611" s="324"/>
      <c r="Q611" s="324"/>
      <c r="R611" s="324"/>
      <c r="S611" s="324"/>
      <c r="T611" s="324"/>
      <c r="U611" s="324"/>
      <c r="V611" s="324"/>
      <c r="W611" s="324"/>
      <c r="X611" s="324"/>
      <c r="Y611" s="324"/>
      <c r="Z611" s="324"/>
      <c r="AA611" s="324"/>
      <c r="AB611" s="324"/>
      <c r="AC611" s="324"/>
      <c r="AD611" s="324"/>
      <c r="AE611" s="324"/>
      <c r="AF611" s="324"/>
      <c r="AG611" s="324"/>
      <c r="AH611" s="324"/>
    </row>
    <row r="612" spans="1:34" x14ac:dyDescent="0.2">
      <c r="B612" s="7"/>
      <c r="C612" s="8"/>
      <c r="D612" s="8"/>
      <c r="E612" s="9"/>
      <c r="F612" s="9"/>
      <c r="G612" s="9"/>
      <c r="H612" s="9"/>
      <c r="I612" s="9"/>
      <c r="J612" s="9"/>
      <c r="K612" s="9"/>
      <c r="L612" s="9"/>
      <c r="M612" s="9"/>
      <c r="N612" s="9"/>
      <c r="O612" s="9"/>
      <c r="P612" s="9"/>
      <c r="Q612" s="9"/>
      <c r="R612" s="9"/>
      <c r="S612" s="9"/>
      <c r="T612" s="9"/>
      <c r="U612" s="9"/>
      <c r="V612" s="9"/>
      <c r="W612" s="9"/>
      <c r="X612" s="9"/>
      <c r="Y612" s="9"/>
      <c r="Z612" s="9"/>
      <c r="AA612" s="9"/>
      <c r="AB612" s="9"/>
      <c r="AC612" s="9"/>
      <c r="AD612" s="9"/>
      <c r="AE612" s="9"/>
      <c r="AF612" s="9"/>
      <c r="AG612" s="9"/>
      <c r="AH612" s="9"/>
    </row>
    <row r="613" spans="1:34" outlineLevel="1" x14ac:dyDescent="0.2">
      <c r="B613" s="8" t="s">
        <v>474</v>
      </c>
      <c r="C613" s="8"/>
      <c r="D613" s="287">
        <f>IF('Scenarios - Consolidated'!F3=1,1,IF('Scenarios - Infra'!F3=1,1,'Scenarios - Passenger'!F3))</f>
        <v>2</v>
      </c>
      <c r="E613" s="9"/>
      <c r="F613" s="9"/>
      <c r="G613" s="9"/>
      <c r="H613" s="9"/>
      <c r="I613" s="9"/>
      <c r="J613" s="9"/>
      <c r="K613" s="9"/>
      <c r="L613" s="9"/>
      <c r="M613" s="9"/>
      <c r="N613" s="9"/>
      <c r="O613" s="9"/>
      <c r="P613" s="9"/>
      <c r="Q613" s="9"/>
      <c r="R613" s="9"/>
      <c r="S613" s="9"/>
      <c r="T613" s="9"/>
      <c r="U613" s="9"/>
      <c r="V613" s="9"/>
      <c r="W613" s="9"/>
      <c r="X613" s="9"/>
      <c r="Y613" s="9"/>
      <c r="Z613" s="9"/>
      <c r="AA613" s="9"/>
      <c r="AB613" s="9"/>
      <c r="AC613" s="9"/>
      <c r="AD613" s="9"/>
      <c r="AE613" s="9"/>
      <c r="AF613" s="9"/>
      <c r="AG613" s="9"/>
      <c r="AH613" s="9"/>
    </row>
    <row r="614" spans="1:34" outlineLevel="1" x14ac:dyDescent="0.2">
      <c r="B614" s="8" t="s">
        <v>470</v>
      </c>
      <c r="C614" s="8"/>
      <c r="D614" s="224">
        <f>IF(AND('Scenarios - Consolidated'!F3=1,'Scenarios - Consolidated'!F20=1),'Scenarios - Consolidated'!F25,IF(AND('Scenarios - Infra'!F3=1,'Scenarios - Infra'!F20=1),'Scenarios - Infra'!F25,'Scenarios - Passenger'!F25))</f>
        <v>1</v>
      </c>
      <c r="E614" s="9"/>
      <c r="F614" s="9"/>
      <c r="G614" s="9"/>
      <c r="H614" s="9"/>
      <c r="I614" s="9"/>
      <c r="J614" s="9"/>
      <c r="K614" s="9"/>
      <c r="L614" s="9"/>
      <c r="M614" s="9"/>
      <c r="N614" s="9"/>
      <c r="O614" s="9"/>
      <c r="P614" s="9"/>
      <c r="Q614" s="9"/>
      <c r="R614" s="9"/>
      <c r="S614" s="9"/>
      <c r="T614" s="9"/>
      <c r="U614" s="9"/>
      <c r="V614" s="9"/>
      <c r="W614" s="9"/>
      <c r="X614" s="9"/>
      <c r="Y614" s="9"/>
      <c r="Z614" s="9"/>
      <c r="AA614" s="9"/>
      <c r="AB614" s="9"/>
      <c r="AC614" s="9"/>
      <c r="AD614" s="9"/>
      <c r="AE614" s="9"/>
      <c r="AF614" s="9"/>
      <c r="AG614" s="9"/>
      <c r="AH614" s="9"/>
    </row>
    <row r="615" spans="1:34" outlineLevel="1" x14ac:dyDescent="0.2">
      <c r="B615" s="8" t="s">
        <v>471</v>
      </c>
      <c r="C615" s="8"/>
      <c r="D615" s="288">
        <f>IF(AND('Scenarios - Consolidated'!F3=1,'Scenarios - Consolidated'!G20=1),'Scenarios - Consolidated'!G25,IF(AND('Scenarios - Infra'!F3=1,'Scenarios - Infra'!G20=1),'Scenarios - Infra'!G25,'Scenarios - Passenger'!G25))</f>
        <v>0</v>
      </c>
      <c r="E615" s="9"/>
      <c r="F615" s="9"/>
      <c r="G615" s="9"/>
      <c r="H615" s="9"/>
      <c r="I615" s="9"/>
      <c r="J615" s="9"/>
      <c r="K615" s="9"/>
      <c r="L615" s="9"/>
      <c r="M615" s="9"/>
      <c r="N615" s="9"/>
      <c r="O615" s="9"/>
      <c r="P615" s="9"/>
      <c r="Q615" s="9"/>
      <c r="R615" s="9"/>
      <c r="S615" s="9"/>
      <c r="T615" s="9"/>
      <c r="U615" s="9"/>
      <c r="V615" s="9"/>
      <c r="W615" s="9"/>
      <c r="X615" s="9"/>
      <c r="Y615" s="9"/>
      <c r="Z615" s="9"/>
      <c r="AA615" s="9"/>
      <c r="AB615" s="9"/>
      <c r="AC615" s="9"/>
      <c r="AD615" s="9"/>
      <c r="AE615" s="9"/>
      <c r="AF615" s="9"/>
      <c r="AG615" s="9"/>
      <c r="AH615" s="9"/>
    </row>
    <row r="616" spans="1:34" outlineLevel="1" x14ac:dyDescent="0.2">
      <c r="B616" s="30" t="s">
        <v>472</v>
      </c>
      <c r="C616" s="8"/>
      <c r="D616" s="287">
        <f>IF(AND('Scenarios - Consolidated'!F3=1,'Scenarios - Consolidated'!G20=1),1,IF(AND('Scenarios - Infra'!F3=1,'Scenarios - Infra'!G20=1),1,'Scenarios - Passenger'!G20))</f>
        <v>2</v>
      </c>
      <c r="E616" s="9"/>
      <c r="F616" s="9"/>
      <c r="G616" s="9"/>
      <c r="H616" s="9"/>
      <c r="I616" s="9"/>
      <c r="J616" s="9"/>
      <c r="K616" s="9"/>
      <c r="L616" s="9"/>
      <c r="M616" s="9"/>
      <c r="N616" s="9"/>
      <c r="O616" s="9"/>
      <c r="P616" s="9"/>
      <c r="Q616" s="9"/>
      <c r="R616" s="9"/>
      <c r="S616" s="9"/>
      <c r="T616" s="9"/>
      <c r="U616" s="9"/>
      <c r="V616" s="9"/>
      <c r="W616" s="9"/>
      <c r="X616" s="9"/>
      <c r="Y616" s="9"/>
      <c r="Z616" s="9"/>
      <c r="AA616" s="9"/>
      <c r="AB616" s="9"/>
      <c r="AC616" s="9"/>
      <c r="AD616" s="9"/>
      <c r="AE616" s="9"/>
      <c r="AF616" s="9"/>
      <c r="AG616" s="9"/>
      <c r="AH616" s="9"/>
    </row>
    <row r="617" spans="1:34" x14ac:dyDescent="0.2">
      <c r="B617" s="7" t="s">
        <v>473</v>
      </c>
      <c r="C617" s="8"/>
      <c r="D617" s="8"/>
      <c r="E617" s="9"/>
      <c r="F617" s="9"/>
      <c r="G617" s="9"/>
      <c r="H617" s="9"/>
      <c r="I617" s="9"/>
      <c r="J617" s="9"/>
      <c r="K617" s="9"/>
      <c r="L617" s="9"/>
      <c r="M617" s="9"/>
      <c r="N617" s="9"/>
      <c r="O617" s="9"/>
      <c r="P617" s="9"/>
      <c r="Q617" s="9"/>
      <c r="R617" s="9"/>
      <c r="S617" s="9"/>
      <c r="T617" s="9"/>
      <c r="U617" s="9"/>
      <c r="V617" s="9"/>
      <c r="W617" s="9"/>
      <c r="X617" s="9"/>
      <c r="Y617" s="9"/>
      <c r="Z617" s="9"/>
      <c r="AA617" s="9"/>
      <c r="AB617" s="9"/>
      <c r="AC617" s="9"/>
      <c r="AD617" s="9"/>
      <c r="AE617" s="9"/>
      <c r="AF617" s="9"/>
      <c r="AG617" s="9"/>
      <c r="AH617" s="9"/>
    </row>
    <row r="618" spans="1:34" x14ac:dyDescent="0.2">
      <c r="B618" s="7"/>
      <c r="C618" s="8"/>
      <c r="D618" s="8"/>
      <c r="E618" s="9"/>
      <c r="F618" s="9"/>
      <c r="G618" s="9"/>
      <c r="H618" s="9"/>
      <c r="I618" s="9"/>
      <c r="J618" s="9"/>
      <c r="K618" s="9"/>
      <c r="L618" s="9"/>
      <c r="M618" s="9"/>
      <c r="N618" s="9"/>
      <c r="O618" s="9"/>
      <c r="P618" s="9"/>
      <c r="Q618" s="9"/>
      <c r="R618" s="9"/>
      <c r="S618" s="9"/>
      <c r="T618" s="9"/>
      <c r="U618" s="9"/>
      <c r="V618" s="9"/>
      <c r="W618" s="9"/>
      <c r="X618" s="9"/>
      <c r="Y618" s="9"/>
      <c r="Z618" s="9"/>
      <c r="AA618" s="9"/>
      <c r="AB618" s="9"/>
      <c r="AC618" s="9"/>
      <c r="AD618" s="9"/>
      <c r="AE618" s="9"/>
      <c r="AF618" s="9"/>
      <c r="AG618" s="9"/>
      <c r="AH618" s="9"/>
    </row>
    <row r="619" spans="1:34" x14ac:dyDescent="0.2">
      <c r="B619" s="8" t="str">
        <f>"Annual traffic volume of " &amp;'Assumptions - Passenger'!E114</f>
        <v>Annual traffic volume of Domestic passenger</v>
      </c>
      <c r="C619" s="8"/>
      <c r="D619" s="8" t="s">
        <v>371</v>
      </c>
      <c r="E619" s="463">
        <f>IF(OR(E$17=1,E$18=1, E$19=1, E$20=1),IF($D$613=1,IF('Assumptions - Passenger'!$E$111=1,'Assumptions - Passenger'!E125*$D$614,'Assumptions - Passenger'!$E$112*'Assumptions - Passenger'!E125*$D$614),IF('Assumptions - Passenger'!$E$111=1,'Assumptions - Passenger'!E125,'Assumptions - Passenger'!$E$112*'Assumptions - Passenger'!E125)),0)</f>
        <v>8000</v>
      </c>
      <c r="F619" s="12">
        <f>IF(OR(F$17=1,F$18=1, F$19=1, F$20=1),IF(AND($D$613=1,$D$616=1),(1+$D$615)*Calculations!E619,IF('Assumptions - Passenger'!$E$111=1,'Assumptions - Passenger'!F125*$D$614,'Assumptions - Passenger'!$E$112*'Assumptions - Passenger'!F125*$D$614)),0)</f>
        <v>8500</v>
      </c>
      <c r="G619" s="12">
        <f>IF(OR(G$17=1,G$18=1, G$19=1, G$20=1),IF(AND($D$613=1,$D$616=1),(1+$D$615)*Calculations!F619,IF('Assumptions - Passenger'!$E$111=1,'Assumptions - Passenger'!G125*$D$614,'Assumptions - Passenger'!$E$112*'Assumptions - Passenger'!G125*$D$614)),0)</f>
        <v>8500</v>
      </c>
      <c r="H619" s="12">
        <f>IF(OR(H$17=1,H$18=1, H$19=1, H$20=1),IF(AND($D$613=1,$D$616=1),(1+$D$615)*Calculations!G619,IF('Assumptions - Passenger'!$E$111=1,'Assumptions - Passenger'!H125*$D$614,'Assumptions - Passenger'!$E$112*'Assumptions - Passenger'!H125*$D$614)),0)</f>
        <v>9000</v>
      </c>
      <c r="I619" s="12">
        <f>IF(OR(I$17=1,I$18=1, I$19=1, I$20=1),IF(AND($D$613=1,$D$616=1),(1+$D$615)*Calculations!H619,IF('Assumptions - Passenger'!$E$111=1,'Assumptions - Passenger'!I125*$D$614,'Assumptions - Passenger'!$E$112*'Assumptions - Passenger'!I125*$D$614)),0)</f>
        <v>10000</v>
      </c>
      <c r="J619" s="12">
        <f>IF(OR(J$17=1,J$18=1, J$19=1, J$20=1),IF(AND($D$613=1,$D$616=1),(1+$D$615)*Calculations!I619,IF('Assumptions - Passenger'!$E$111=1,'Assumptions - Passenger'!J125*$D$614,'Assumptions - Passenger'!$E$112*'Assumptions - Passenger'!J125*$D$614)),0)</f>
        <v>10500</v>
      </c>
      <c r="K619" s="12">
        <f>IF(OR(K$17=1,K$18=1, K$19=1, K$20=1),IF(AND($D$613=1,$D$616=1),(1+$D$615)*Calculations!J619,IF('Assumptions - Passenger'!$E$111=1,'Assumptions - Passenger'!K125*$D$614,'Assumptions - Passenger'!$E$112*'Assumptions - Passenger'!K125*$D$614)),0)</f>
        <v>11000</v>
      </c>
      <c r="L619" s="12">
        <f>IF(OR(L$17=1,L$18=1, L$19=1, L$20=1),IF(AND($D$613=1,$D$616=1),(1+$D$615)*Calculations!K619,IF('Assumptions - Passenger'!$E$111=1,'Assumptions - Passenger'!L125*$D$614,'Assumptions - Passenger'!$E$112*'Assumptions - Passenger'!L125*$D$614)),0)</f>
        <v>11500</v>
      </c>
      <c r="M619" s="12">
        <f>IF(OR(M$17=1,M$18=1, M$19=1, M$20=1),IF(AND($D$613=1,$D$616=1),(1+$D$615)*Calculations!L619,IF('Assumptions - Passenger'!$E$111=1,'Assumptions - Passenger'!M125*$D$614,'Assumptions - Passenger'!$E$112*'Assumptions - Passenger'!M125*$D$614)),0)</f>
        <v>12000</v>
      </c>
      <c r="N619" s="12">
        <f>IF(OR(N$17=1,N$18=1, N$19=1, N$20=1),IF(AND($D$613=1,$D$616=1),(1+$D$615)*Calculations!M619,IF('Assumptions - Passenger'!$E$111=1,'Assumptions - Passenger'!N125*$D$614,'Assumptions - Passenger'!$E$112*'Assumptions - Passenger'!N125*$D$614)),0)</f>
        <v>12500</v>
      </c>
      <c r="O619" s="12">
        <f>IF(OR(O$17=1,O$18=1, O$19=1, O$20=1),IF(AND($D$613=1,$D$616=1),(1+$D$615)*Calculations!N619,IF('Assumptions - Passenger'!$E$111=1,'Assumptions - Passenger'!O125*$D$614,'Assumptions - Passenger'!$E$112*'Assumptions - Passenger'!O125*$D$614)),0)</f>
        <v>13000</v>
      </c>
      <c r="P619" s="12">
        <f>IF(OR(P$17=1,P$18=1, P$19=1, P$20=1),IF(AND($D$613=1,$D$616=1),(1+$D$615)*Calculations!O619,IF('Assumptions - Passenger'!$E$111=1,'Assumptions - Passenger'!P125*$D$614,'Assumptions - Passenger'!$E$112*'Assumptions - Passenger'!P125*$D$614)),0)</f>
        <v>13500</v>
      </c>
      <c r="Q619" s="12">
        <f>IF(OR(Q$17=1,Q$18=1, Q$19=1, Q$20=1),IF(AND($D$613=1,$D$616=1),(1+$D$615)*Calculations!P619,IF('Assumptions - Passenger'!$E$111=1,'Assumptions - Passenger'!Q125*$D$614,'Assumptions - Passenger'!$E$112*'Assumptions - Passenger'!Q125*$D$614)),0)</f>
        <v>14000</v>
      </c>
      <c r="R619" s="12">
        <f>IF(OR(R$17=1,R$18=1, R$19=1, R$20=1),IF(AND($D$613=1,$D$616=1),(1+$D$615)*Calculations!Q619,IF('Assumptions - Passenger'!$E$111=1,'Assumptions - Passenger'!R125*$D$614,'Assumptions - Passenger'!$E$112*'Assumptions - Passenger'!R125*$D$614)),0)</f>
        <v>14500</v>
      </c>
      <c r="S619" s="12">
        <f>IF(OR(S$17=1,S$18=1, S$19=1, S$20=1),IF(AND($D$613=1,$D$616=1),(1+$D$615)*Calculations!R619,IF('Assumptions - Passenger'!$E$111=1,'Assumptions - Passenger'!S125*$D$614,'Assumptions - Passenger'!$E$112*'Assumptions - Passenger'!S125*$D$614)),0)</f>
        <v>15000</v>
      </c>
      <c r="T619" s="12">
        <f>IF(OR(T$17=1,T$18=1, T$19=1, T$20=1),IF(AND($D$613=1,$D$616=1),(1+$D$615)*Calculations!S619,IF('Assumptions - Passenger'!$E$111=1,'Assumptions - Passenger'!T125*$D$614,'Assumptions - Passenger'!$E$112*'Assumptions - Passenger'!T125*$D$614)),0)</f>
        <v>15500</v>
      </c>
      <c r="U619" s="12">
        <f>IF(OR(U$17=1,U$18=1, U$19=1, U$20=1),IF(AND($D$613=1,$D$616=1),(1+$D$615)*Calculations!T619,IF('Assumptions - Passenger'!$E$111=1,'Assumptions - Passenger'!U125*$D$614,'Assumptions - Passenger'!$E$112*'Assumptions - Passenger'!U125*$D$614)),0)</f>
        <v>16000</v>
      </c>
      <c r="V619" s="12">
        <f>IF(OR(V$17=1,V$18=1, V$19=1, V$20=1),IF(AND($D$613=1,$D$616=1),(1+$D$615)*Calculations!U619,IF('Assumptions - Passenger'!$E$111=1,'Assumptions - Passenger'!V125*$D$614,'Assumptions - Passenger'!$E$112*'Assumptions - Passenger'!V125*$D$614)),0)</f>
        <v>16500</v>
      </c>
      <c r="W619" s="12">
        <f>IF(OR(W$17=1,W$18=1, W$19=1, W$20=1),IF(AND($D$613=1,$D$616=1),(1+$D$615)*Calculations!V619,IF('Assumptions - Passenger'!$E$111=1,'Assumptions - Passenger'!W125*$D$614,'Assumptions - Passenger'!$E$112*'Assumptions - Passenger'!W125*$D$614)),0)</f>
        <v>17000</v>
      </c>
      <c r="X619" s="12">
        <f>IF(OR(X$17=1,X$18=1, X$19=1, X$20=1),IF(AND($D$613=1,$D$616=1),(1+$D$615)*Calculations!W619,IF('Assumptions - Passenger'!$E$111=1,'Assumptions - Passenger'!X125*$D$614,'Assumptions - Passenger'!$E$112*'Assumptions - Passenger'!X125*$D$614)),0)</f>
        <v>17500</v>
      </c>
      <c r="Y619" s="12">
        <f>IF(OR(Y$17=1,Y$18=1, Y$19=1, Y$20=1),IF(AND($D$613=1,$D$616=1),(1+$D$615)*Calculations!X619,IF('Assumptions - Passenger'!$E$111=1,'Assumptions - Passenger'!Y125*$D$614,'Assumptions - Passenger'!$E$112*'Assumptions - Passenger'!Y125*$D$614)),0)</f>
        <v>18000</v>
      </c>
      <c r="Z619" s="12">
        <f>IF(OR(Z$17=1,Z$18=1, Z$19=1, Z$20=1),IF(AND($D$613=1,$D$616=1),(1+$D$615)*Calculations!Y619,IF('Assumptions - Passenger'!$E$111=1,'Assumptions - Passenger'!Z125*$D$614,'Assumptions - Passenger'!$E$112*'Assumptions - Passenger'!Z125*$D$614)),0)</f>
        <v>18500</v>
      </c>
      <c r="AA619" s="12">
        <f>IF(OR(AA$17=1,AA$18=1, AA$19=1, AA$20=1),IF(AND($D$613=1,$D$616=1),(1+$D$615)*Calculations!Z619,IF('Assumptions - Passenger'!$E$111=1,'Assumptions - Passenger'!AA125*$D$614,'Assumptions - Passenger'!$E$112*'Assumptions - Passenger'!AA125*$D$614)),0)</f>
        <v>19000</v>
      </c>
      <c r="AB619" s="12">
        <f>IF(OR(AB$17=1,AB$18=1, AB$19=1, AB$20=1),IF(AND($D$613=1,$D$616=1),(1+$D$615)*Calculations!AA619,IF('Assumptions - Passenger'!$E$111=1,'Assumptions - Passenger'!AB125*$D$614,'Assumptions - Passenger'!$E$112*'Assumptions - Passenger'!AB125*$D$614)),0)</f>
        <v>19500</v>
      </c>
      <c r="AC619" s="12">
        <f>IF(OR(AC$17=1,AC$18=1, AC$19=1, AC$20=1),IF(AND($D$613=1,$D$616=1),(1+$D$615)*Calculations!AB619,IF('Assumptions - Passenger'!$E$111=1,'Assumptions - Passenger'!AC125*$D$614,'Assumptions - Passenger'!$E$112*'Assumptions - Passenger'!AC125*$D$614)),0)</f>
        <v>20000</v>
      </c>
      <c r="AD619" s="12">
        <f>IF(OR(AD$17=1,AD$18=1, AD$19=1, AD$20=1),IF(AND($D$613=1,$D$616=1),(1+$D$615)*Calculations!AC619,IF('Assumptions - Passenger'!$E$111=1,'Assumptions - Passenger'!AD125*$D$614,'Assumptions - Passenger'!$E$112*'Assumptions - Passenger'!AD125*$D$614)),0)</f>
        <v>20500</v>
      </c>
      <c r="AE619" s="12">
        <f>IF(OR(AE$17=1,AE$18=1, AE$19=1, AE$20=1),IF(AND($D$613=1,$D$616=1),(1+$D$615)*Calculations!AD619,IF('Assumptions - Passenger'!$E$111=1,'Assumptions - Passenger'!AE125*$D$614,'Assumptions - Passenger'!$E$112*'Assumptions - Passenger'!AE125*$D$614)),0)</f>
        <v>21000</v>
      </c>
      <c r="AF619" s="12">
        <f>IF(OR(AF$17=1,AF$18=1, AF$19=1, AF$20=1),IF(AND($D$613=1,$D$616=1),(1+$D$615)*Calculations!AE619,IF('Assumptions - Passenger'!$E$111=1,'Assumptions - Passenger'!AF125*$D$614,'Assumptions - Passenger'!$E$112*'Assumptions - Passenger'!AF125*$D$614)),0)</f>
        <v>21500</v>
      </c>
      <c r="AG619" s="12">
        <f>IF(OR(AG$17=1,AG$18=1, AG$19=1, AG$20=1),IF(AND($D$613=1,$D$616=1),(1+$D$615)*Calculations!AF619,IF('Assumptions - Passenger'!$E$111=1,'Assumptions - Passenger'!AG125*$D$614,'Assumptions - Passenger'!$E$112*'Assumptions - Passenger'!AG125*$D$614)),0)</f>
        <v>22000</v>
      </c>
      <c r="AH619" s="12">
        <f>IF(OR(AH$17=1,AH$18=1, AH$19=1, AH$20=1),IF(AND($D$613=1,$D$616=1),(1+$D$615)*Calculations!AG619,IF('Assumptions - Passenger'!$E$111=1,'Assumptions - Passenger'!AH125*$D$614,'Assumptions - Passenger'!$E$112*'Assumptions - Passenger'!AH125*$D$614)),0)</f>
        <v>22500</v>
      </c>
    </row>
    <row r="620" spans="1:34" x14ac:dyDescent="0.2">
      <c r="B620" s="8" t="str">
        <f>"Annual traffic volume of " &amp;'Assumptions - Passenger'!E115</f>
        <v>Annual traffic volume of International passenger</v>
      </c>
      <c r="C620" s="8"/>
      <c r="D620" s="8" t="s">
        <v>371</v>
      </c>
      <c r="E620" s="463">
        <f>IF(OR(E$17=1,E$18=1, E$19=1, E$20=1),IF($D$613=1,IF('Assumptions - Passenger'!$E$111=1,'Assumptions - Passenger'!E127*$D$614,'Assumptions - Passenger'!$E$112*'Assumptions - Passenger'!E127*$D$614),IF('Assumptions - Passenger'!$E$111=1,'Assumptions - Passenger'!E127,'Assumptions - Passenger'!$E$112*'Assumptions - Passenger'!E127)),0)</f>
        <v>8000</v>
      </c>
      <c r="F620" s="12">
        <f>IF(OR(F$17=1,F$18=1, F$19=1, F$20=1),IF(AND($D$613=1,$D$616=1),(1+$D$615)*Calculations!E620,IF('Assumptions - Passenger'!$E$111=1,'Assumptions - Passenger'!F127*$D$614,'Assumptions - Passenger'!$E$112*'Assumptions - Passenger'!F127*$D$614)),0)</f>
        <v>8500</v>
      </c>
      <c r="G620" s="12">
        <f>IF(OR(G$17=1,G$18=1, G$19=1, G$20=1),IF(AND($D$613=1,$D$616=1),(1+$D$615)*Calculations!F620,IF('Assumptions - Passenger'!$E$111=1,'Assumptions - Passenger'!G127*$D$614,'Assumptions - Passenger'!$E$112*'Assumptions - Passenger'!G127*$D$614)),0)</f>
        <v>8500</v>
      </c>
      <c r="H620" s="12">
        <f>IF(OR(H$17=1,H$18=1, H$19=1, H$20=1),IF(AND($D$613=1,$D$616=1),(1+$D$615)*Calculations!G620,IF('Assumptions - Passenger'!$E$111=1,'Assumptions - Passenger'!H127*$D$614,'Assumptions - Passenger'!$E$112*'Assumptions - Passenger'!H127*$D$614)),0)</f>
        <v>9000</v>
      </c>
      <c r="I620" s="12">
        <f>IF(OR(I$17=1,I$18=1, I$19=1, I$20=1),IF(AND($D$613=1,$D$616=1),(1+$D$615)*Calculations!H620,IF('Assumptions - Passenger'!$E$111=1,'Assumptions - Passenger'!I127*$D$614,'Assumptions - Passenger'!$E$112*'Assumptions - Passenger'!I127*$D$614)),0)</f>
        <v>10000</v>
      </c>
      <c r="J620" s="12">
        <f>IF(OR(J$17=1,J$18=1, J$19=1, J$20=1),IF(AND($D$613=1,$D$616=1),(1+$D$615)*Calculations!I620,IF('Assumptions - Passenger'!$E$111=1,'Assumptions - Passenger'!J127*$D$614,'Assumptions - Passenger'!$E$112*'Assumptions - Passenger'!J127*$D$614)),0)</f>
        <v>10500</v>
      </c>
      <c r="K620" s="12">
        <f>IF(OR(K$17=1,K$18=1, K$19=1, K$20=1),IF(AND($D$613=1,$D$616=1),(1+$D$615)*Calculations!J620,IF('Assumptions - Passenger'!$E$111=1,'Assumptions - Passenger'!K127*$D$614,'Assumptions - Passenger'!$E$112*'Assumptions - Passenger'!K127*$D$614)),0)</f>
        <v>11000</v>
      </c>
      <c r="L620" s="12">
        <f>IF(OR(L$17=1,L$18=1, L$19=1, L$20=1),IF(AND($D$613=1,$D$616=1),(1+$D$615)*Calculations!K620,IF('Assumptions - Passenger'!$E$111=1,'Assumptions - Passenger'!L127*$D$614,'Assumptions - Passenger'!$E$112*'Assumptions - Passenger'!L127*$D$614)),0)</f>
        <v>11500</v>
      </c>
      <c r="M620" s="12">
        <f>IF(OR(M$17=1,M$18=1, M$19=1, M$20=1),IF(AND($D$613=1,$D$616=1),(1+$D$615)*Calculations!L620,IF('Assumptions - Passenger'!$E$111=1,'Assumptions - Passenger'!M127*$D$614,'Assumptions - Passenger'!$E$112*'Assumptions - Passenger'!M127*$D$614)),0)</f>
        <v>12000</v>
      </c>
      <c r="N620" s="12">
        <f>IF(OR(N$17=1,N$18=1, N$19=1, N$20=1),IF(AND($D$613=1,$D$616=1),(1+$D$615)*Calculations!M620,IF('Assumptions - Passenger'!$E$111=1,'Assumptions - Passenger'!N127*$D$614,'Assumptions - Passenger'!$E$112*'Assumptions - Passenger'!N127*$D$614)),0)</f>
        <v>12500</v>
      </c>
      <c r="O620" s="12">
        <f>IF(OR(O$17=1,O$18=1, O$19=1, O$20=1),IF(AND($D$613=1,$D$616=1),(1+$D$615)*Calculations!N620,IF('Assumptions - Passenger'!$E$111=1,'Assumptions - Passenger'!O127*$D$614,'Assumptions - Passenger'!$E$112*'Assumptions - Passenger'!O127*$D$614)),0)</f>
        <v>13000</v>
      </c>
      <c r="P620" s="12">
        <f>IF(OR(P$17=1,P$18=1, P$19=1, P$20=1),IF(AND($D$613=1,$D$616=1),(1+$D$615)*Calculations!O620,IF('Assumptions - Passenger'!$E$111=1,'Assumptions - Passenger'!P127*$D$614,'Assumptions - Passenger'!$E$112*'Assumptions - Passenger'!P127*$D$614)),0)</f>
        <v>13500</v>
      </c>
      <c r="Q620" s="12">
        <f>IF(OR(Q$17=1,Q$18=1, Q$19=1, Q$20=1),IF(AND($D$613=1,$D$616=1),(1+$D$615)*Calculations!P620,IF('Assumptions - Passenger'!$E$111=1,'Assumptions - Passenger'!Q127*$D$614,'Assumptions - Passenger'!$E$112*'Assumptions - Passenger'!Q127*$D$614)),0)</f>
        <v>14000</v>
      </c>
      <c r="R620" s="12">
        <f>IF(OR(R$17=1,R$18=1, R$19=1, R$20=1),IF(AND($D$613=1,$D$616=1),(1+$D$615)*Calculations!Q620,IF('Assumptions - Passenger'!$E$111=1,'Assumptions - Passenger'!R127*$D$614,'Assumptions - Passenger'!$E$112*'Assumptions - Passenger'!R127*$D$614)),0)</f>
        <v>14500</v>
      </c>
      <c r="S620" s="12">
        <f>IF(OR(S$17=1,S$18=1, S$19=1, S$20=1),IF(AND($D$613=1,$D$616=1),(1+$D$615)*Calculations!R620,IF('Assumptions - Passenger'!$E$111=1,'Assumptions - Passenger'!S127*$D$614,'Assumptions - Passenger'!$E$112*'Assumptions - Passenger'!S127*$D$614)),0)</f>
        <v>15000</v>
      </c>
      <c r="T620" s="12">
        <f>IF(OR(T$17=1,T$18=1, T$19=1, T$20=1),IF(AND($D$613=1,$D$616=1),(1+$D$615)*Calculations!S620,IF('Assumptions - Passenger'!$E$111=1,'Assumptions - Passenger'!T127*$D$614,'Assumptions - Passenger'!$E$112*'Assumptions - Passenger'!T127*$D$614)),0)</f>
        <v>15500</v>
      </c>
      <c r="U620" s="12">
        <f>IF(OR(U$17=1,U$18=1, U$19=1, U$20=1),IF(AND($D$613=1,$D$616=1),(1+$D$615)*Calculations!T620,IF('Assumptions - Passenger'!$E$111=1,'Assumptions - Passenger'!U127*$D$614,'Assumptions - Passenger'!$E$112*'Assumptions - Passenger'!U127*$D$614)),0)</f>
        <v>16000</v>
      </c>
      <c r="V620" s="12">
        <f>IF(OR(V$17=1,V$18=1, V$19=1, V$20=1),IF(AND($D$613=1,$D$616=1),(1+$D$615)*Calculations!U620,IF('Assumptions - Passenger'!$E$111=1,'Assumptions - Passenger'!V127*$D$614,'Assumptions - Passenger'!$E$112*'Assumptions - Passenger'!V127*$D$614)),0)</f>
        <v>16500</v>
      </c>
      <c r="W620" s="12">
        <f>IF(OR(W$17=1,W$18=1, W$19=1, W$20=1),IF(AND($D$613=1,$D$616=1),(1+$D$615)*Calculations!V620,IF('Assumptions - Passenger'!$E$111=1,'Assumptions - Passenger'!W127*$D$614,'Assumptions - Passenger'!$E$112*'Assumptions - Passenger'!W127*$D$614)),0)</f>
        <v>17000</v>
      </c>
      <c r="X620" s="12">
        <f>IF(OR(X$17=1,X$18=1, X$19=1, X$20=1),IF(AND($D$613=1,$D$616=1),(1+$D$615)*Calculations!W620,IF('Assumptions - Passenger'!$E$111=1,'Assumptions - Passenger'!X127*$D$614,'Assumptions - Passenger'!$E$112*'Assumptions - Passenger'!X127*$D$614)),0)</f>
        <v>17500</v>
      </c>
      <c r="Y620" s="12">
        <f>IF(OR(Y$17=1,Y$18=1, Y$19=1, Y$20=1),IF(AND($D$613=1,$D$616=1),(1+$D$615)*Calculations!X620,IF('Assumptions - Passenger'!$E$111=1,'Assumptions - Passenger'!Y127*$D$614,'Assumptions - Passenger'!$E$112*'Assumptions - Passenger'!Y127*$D$614)),0)</f>
        <v>18000</v>
      </c>
      <c r="Z620" s="12">
        <f>IF(OR(Z$17=1,Z$18=1, Z$19=1, Z$20=1),IF(AND($D$613=1,$D$616=1),(1+$D$615)*Calculations!Y620,IF('Assumptions - Passenger'!$E$111=1,'Assumptions - Passenger'!Z127*$D$614,'Assumptions - Passenger'!$E$112*'Assumptions - Passenger'!Z127*$D$614)),0)</f>
        <v>18500</v>
      </c>
      <c r="AA620" s="12">
        <f>IF(OR(AA$17=1,AA$18=1, AA$19=1, AA$20=1),IF(AND($D$613=1,$D$616=1),(1+$D$615)*Calculations!Z620,IF('Assumptions - Passenger'!$E$111=1,'Assumptions - Passenger'!AA127*$D$614,'Assumptions - Passenger'!$E$112*'Assumptions - Passenger'!AA127*$D$614)),0)</f>
        <v>19000</v>
      </c>
      <c r="AB620" s="12">
        <f>IF(OR(AB$17=1,AB$18=1, AB$19=1, AB$20=1),IF(AND($D$613=1,$D$616=1),(1+$D$615)*Calculations!AA620,IF('Assumptions - Passenger'!$E$111=1,'Assumptions - Passenger'!AB127*$D$614,'Assumptions - Passenger'!$E$112*'Assumptions - Passenger'!AB127*$D$614)),0)</f>
        <v>19500</v>
      </c>
      <c r="AC620" s="12">
        <f>IF(OR(AC$17=1,AC$18=1, AC$19=1, AC$20=1),IF(AND($D$613=1,$D$616=1),(1+$D$615)*Calculations!AB620,IF('Assumptions - Passenger'!$E$111=1,'Assumptions - Passenger'!AC127*$D$614,'Assumptions - Passenger'!$E$112*'Assumptions - Passenger'!AC127*$D$614)),0)</f>
        <v>20000</v>
      </c>
      <c r="AD620" s="12">
        <f>IF(OR(AD$17=1,AD$18=1, AD$19=1, AD$20=1),IF(AND($D$613=1,$D$616=1),(1+$D$615)*Calculations!AC620,IF('Assumptions - Passenger'!$E$111=1,'Assumptions - Passenger'!AD127*$D$614,'Assumptions - Passenger'!$E$112*'Assumptions - Passenger'!AD127*$D$614)),0)</f>
        <v>20500</v>
      </c>
      <c r="AE620" s="12">
        <f>IF(OR(AE$17=1,AE$18=1, AE$19=1, AE$20=1),IF(AND($D$613=1,$D$616=1),(1+$D$615)*Calculations!AD620,IF('Assumptions - Passenger'!$E$111=1,'Assumptions - Passenger'!AE127*$D$614,'Assumptions - Passenger'!$E$112*'Assumptions - Passenger'!AE127*$D$614)),0)</f>
        <v>21000</v>
      </c>
      <c r="AF620" s="12">
        <f>IF(OR(AF$17=1,AF$18=1, AF$19=1, AF$20=1),IF(AND($D$613=1,$D$616=1),(1+$D$615)*Calculations!AE620,IF('Assumptions - Passenger'!$E$111=1,'Assumptions - Passenger'!AF127*$D$614,'Assumptions - Passenger'!$E$112*'Assumptions - Passenger'!AF127*$D$614)),0)</f>
        <v>21500</v>
      </c>
      <c r="AG620" s="12">
        <f>IF(OR(AG$17=1,AG$18=1, AG$19=1, AG$20=1),IF(AND($D$613=1,$D$616=1),(1+$D$615)*Calculations!AF620,IF('Assumptions - Passenger'!$E$111=1,'Assumptions - Passenger'!AG127*$D$614,'Assumptions - Passenger'!$E$112*'Assumptions - Passenger'!AG127*$D$614)),0)</f>
        <v>22000</v>
      </c>
      <c r="AH620" s="12">
        <f>IF(OR(AH$17=1,AH$18=1, AH$19=1, AH$20=1),IF(AND($D$613=1,$D$616=1),(1+$D$615)*Calculations!AG620,IF('Assumptions - Passenger'!$E$111=1,'Assumptions - Passenger'!AH127*$D$614,'Assumptions - Passenger'!$E$112*'Assumptions - Passenger'!AH127*$D$614)),0)</f>
        <v>22500</v>
      </c>
    </row>
    <row r="621" spans="1:34" x14ac:dyDescent="0.2">
      <c r="B621" s="8" t="str">
        <f>"Annual traffic volume of " &amp;'Assumptions - Passenger'!E116</f>
        <v>Annual traffic volume of Sub-urban passenger</v>
      </c>
      <c r="C621" s="8"/>
      <c r="D621" s="8" t="s">
        <v>371</v>
      </c>
      <c r="E621" s="463">
        <f>IF(OR(E$17=1,E$18=1, E$19=1, E$20=1),IF($D$613=1,IF('Assumptions - Passenger'!$E$111=1,'Assumptions - Passenger'!E129*$D$614,'Assumptions - Passenger'!$E$112*'Assumptions - Passenger'!E129*$D$614),IF('Assumptions - Passenger'!$E$111=1,'Assumptions - Passenger'!E129,'Assumptions - Passenger'!$E$112*'Assumptions - Passenger'!E129)),0)</f>
        <v>8000</v>
      </c>
      <c r="F621" s="12">
        <f>IF(OR(F$17=1,F$18=1, F$19=1, F$20=1),IF(AND($D$613=1,$D$616=1),(1+$D$615)*Calculations!E621,IF('Assumptions - Passenger'!$E$111=1,'Assumptions - Passenger'!F129*$D$614,'Assumptions - Passenger'!$E$112*'Assumptions - Passenger'!F129*$D$614)),0)</f>
        <v>8500</v>
      </c>
      <c r="G621" s="12">
        <f>IF(OR(G$17=1,G$18=1, G$19=1, G$20=1),IF(AND($D$613=1,$D$616=1),(1+$D$615)*Calculations!F621,IF('Assumptions - Passenger'!$E$111=1,'Assumptions - Passenger'!G129*$D$614,'Assumptions - Passenger'!$E$112*'Assumptions - Passenger'!G129*$D$614)),0)</f>
        <v>8500</v>
      </c>
      <c r="H621" s="12">
        <f>IF(OR(H$17=1,H$18=1, H$19=1, H$20=1),IF(AND($D$613=1,$D$616=1),(1+$D$615)*Calculations!G621,IF('Assumptions - Passenger'!$E$111=1,'Assumptions - Passenger'!H129*$D$614,'Assumptions - Passenger'!$E$112*'Assumptions - Passenger'!H129*$D$614)),0)</f>
        <v>9000</v>
      </c>
      <c r="I621" s="12">
        <f>IF(OR(I$17=1,I$18=1, I$19=1, I$20=1),IF(AND($D$613=1,$D$616=1),(1+$D$615)*Calculations!H621,IF('Assumptions - Passenger'!$E$111=1,'Assumptions - Passenger'!I129*$D$614,'Assumptions - Passenger'!$E$112*'Assumptions - Passenger'!I129*$D$614)),0)</f>
        <v>10000</v>
      </c>
      <c r="J621" s="12">
        <f>IF(OR(J$17=1,J$18=1, J$19=1, J$20=1),IF(AND($D$613=1,$D$616=1),(1+$D$615)*Calculations!I621,IF('Assumptions - Passenger'!$E$111=1,'Assumptions - Passenger'!J129*$D$614,'Assumptions - Passenger'!$E$112*'Assumptions - Passenger'!J129*$D$614)),0)</f>
        <v>10500</v>
      </c>
      <c r="K621" s="12">
        <f>IF(OR(K$17=1,K$18=1, K$19=1, K$20=1),IF(AND($D$613=1,$D$616=1),(1+$D$615)*Calculations!J621,IF('Assumptions - Passenger'!$E$111=1,'Assumptions - Passenger'!K129*$D$614,'Assumptions - Passenger'!$E$112*'Assumptions - Passenger'!K129*$D$614)),0)</f>
        <v>11000</v>
      </c>
      <c r="L621" s="12">
        <f>IF(OR(L$17=1,L$18=1, L$19=1, L$20=1),IF(AND($D$613=1,$D$616=1),(1+$D$615)*Calculations!K621,IF('Assumptions - Passenger'!$E$111=1,'Assumptions - Passenger'!L129*$D$614,'Assumptions - Passenger'!$E$112*'Assumptions - Passenger'!L129*$D$614)),0)</f>
        <v>11500</v>
      </c>
      <c r="M621" s="12">
        <f>IF(OR(M$17=1,M$18=1, M$19=1, M$20=1),IF(AND($D$613=1,$D$616=1),(1+$D$615)*Calculations!L621,IF('Assumptions - Passenger'!$E$111=1,'Assumptions - Passenger'!M129*$D$614,'Assumptions - Passenger'!$E$112*'Assumptions - Passenger'!M129*$D$614)),0)</f>
        <v>12000</v>
      </c>
      <c r="N621" s="12">
        <f>IF(OR(N$17=1,N$18=1, N$19=1, N$20=1),IF(AND($D$613=1,$D$616=1),(1+$D$615)*Calculations!M621,IF('Assumptions - Passenger'!$E$111=1,'Assumptions - Passenger'!N129*$D$614,'Assumptions - Passenger'!$E$112*'Assumptions - Passenger'!N129*$D$614)),0)</f>
        <v>12500</v>
      </c>
      <c r="O621" s="12">
        <f>IF(OR(O$17=1,O$18=1, O$19=1, O$20=1),IF(AND($D$613=1,$D$616=1),(1+$D$615)*Calculations!N621,IF('Assumptions - Passenger'!$E$111=1,'Assumptions - Passenger'!O129*$D$614,'Assumptions - Passenger'!$E$112*'Assumptions - Passenger'!O129*$D$614)),0)</f>
        <v>13000</v>
      </c>
      <c r="P621" s="12">
        <f>IF(OR(P$17=1,P$18=1, P$19=1, P$20=1),IF(AND($D$613=1,$D$616=1),(1+$D$615)*Calculations!O621,IF('Assumptions - Passenger'!$E$111=1,'Assumptions - Passenger'!P129*$D$614,'Assumptions - Passenger'!$E$112*'Assumptions - Passenger'!P129*$D$614)),0)</f>
        <v>13500</v>
      </c>
      <c r="Q621" s="12">
        <f>IF(OR(Q$17=1,Q$18=1, Q$19=1, Q$20=1),IF(AND($D$613=1,$D$616=1),(1+$D$615)*Calculations!P621,IF('Assumptions - Passenger'!$E$111=1,'Assumptions - Passenger'!Q129*$D$614,'Assumptions - Passenger'!$E$112*'Assumptions - Passenger'!Q129*$D$614)),0)</f>
        <v>14000</v>
      </c>
      <c r="R621" s="12">
        <f>IF(OR(R$17=1,R$18=1, R$19=1, R$20=1),IF(AND($D$613=1,$D$616=1),(1+$D$615)*Calculations!Q621,IF('Assumptions - Passenger'!$E$111=1,'Assumptions - Passenger'!R129*$D$614,'Assumptions - Passenger'!$E$112*'Assumptions - Passenger'!R129*$D$614)),0)</f>
        <v>14500</v>
      </c>
      <c r="S621" s="12">
        <f>IF(OR(S$17=1,S$18=1, S$19=1, S$20=1),IF(AND($D$613=1,$D$616=1),(1+$D$615)*Calculations!R621,IF('Assumptions - Passenger'!$E$111=1,'Assumptions - Passenger'!S129*$D$614,'Assumptions - Passenger'!$E$112*'Assumptions - Passenger'!S129*$D$614)),0)</f>
        <v>15000</v>
      </c>
      <c r="T621" s="12">
        <f>IF(OR(T$17=1,T$18=1, T$19=1, T$20=1),IF(AND($D$613=1,$D$616=1),(1+$D$615)*Calculations!S621,IF('Assumptions - Passenger'!$E$111=1,'Assumptions - Passenger'!T129*$D$614,'Assumptions - Passenger'!$E$112*'Assumptions - Passenger'!T129*$D$614)),0)</f>
        <v>15500</v>
      </c>
      <c r="U621" s="12">
        <f>IF(OR(U$17=1,U$18=1, U$19=1, U$20=1),IF(AND($D$613=1,$D$616=1),(1+$D$615)*Calculations!T621,IF('Assumptions - Passenger'!$E$111=1,'Assumptions - Passenger'!U129*$D$614,'Assumptions - Passenger'!$E$112*'Assumptions - Passenger'!U129*$D$614)),0)</f>
        <v>16000</v>
      </c>
      <c r="V621" s="12">
        <f>IF(OR(V$17=1,V$18=1, V$19=1, V$20=1),IF(AND($D$613=1,$D$616=1),(1+$D$615)*Calculations!U621,IF('Assumptions - Passenger'!$E$111=1,'Assumptions - Passenger'!V129*$D$614,'Assumptions - Passenger'!$E$112*'Assumptions - Passenger'!V129*$D$614)),0)</f>
        <v>16500</v>
      </c>
      <c r="W621" s="12">
        <f>IF(OR(W$17=1,W$18=1, W$19=1, W$20=1),IF(AND($D$613=1,$D$616=1),(1+$D$615)*Calculations!V621,IF('Assumptions - Passenger'!$E$111=1,'Assumptions - Passenger'!W129*$D$614,'Assumptions - Passenger'!$E$112*'Assumptions - Passenger'!W129*$D$614)),0)</f>
        <v>17000</v>
      </c>
      <c r="X621" s="12">
        <f>IF(OR(X$17=1,X$18=1, X$19=1, X$20=1),IF(AND($D$613=1,$D$616=1),(1+$D$615)*Calculations!W621,IF('Assumptions - Passenger'!$E$111=1,'Assumptions - Passenger'!X129*$D$614,'Assumptions - Passenger'!$E$112*'Assumptions - Passenger'!X129*$D$614)),0)</f>
        <v>17500</v>
      </c>
      <c r="Y621" s="12">
        <f>IF(OR(Y$17=1,Y$18=1, Y$19=1, Y$20=1),IF(AND($D$613=1,$D$616=1),(1+$D$615)*Calculations!X621,IF('Assumptions - Passenger'!$E$111=1,'Assumptions - Passenger'!Y129*$D$614,'Assumptions - Passenger'!$E$112*'Assumptions - Passenger'!Y129*$D$614)),0)</f>
        <v>18000</v>
      </c>
      <c r="Z621" s="12">
        <f>IF(OR(Z$17=1,Z$18=1, Z$19=1, Z$20=1),IF(AND($D$613=1,$D$616=1),(1+$D$615)*Calculations!Y621,IF('Assumptions - Passenger'!$E$111=1,'Assumptions - Passenger'!Z129*$D$614,'Assumptions - Passenger'!$E$112*'Assumptions - Passenger'!Z129*$D$614)),0)</f>
        <v>18500</v>
      </c>
      <c r="AA621" s="12">
        <f>IF(OR(AA$17=1,AA$18=1, AA$19=1, AA$20=1),IF(AND($D$613=1,$D$616=1),(1+$D$615)*Calculations!Z621,IF('Assumptions - Passenger'!$E$111=1,'Assumptions - Passenger'!AA129*$D$614,'Assumptions - Passenger'!$E$112*'Assumptions - Passenger'!AA129*$D$614)),0)</f>
        <v>19000</v>
      </c>
      <c r="AB621" s="12">
        <f>IF(OR(AB$17=1,AB$18=1, AB$19=1, AB$20=1),IF(AND($D$613=1,$D$616=1),(1+$D$615)*Calculations!AA621,IF('Assumptions - Passenger'!$E$111=1,'Assumptions - Passenger'!AB129*$D$614,'Assumptions - Passenger'!$E$112*'Assumptions - Passenger'!AB129*$D$614)),0)</f>
        <v>19500</v>
      </c>
      <c r="AC621" s="12">
        <f>IF(OR(AC$17=1,AC$18=1, AC$19=1, AC$20=1),IF(AND($D$613=1,$D$616=1),(1+$D$615)*Calculations!AB621,IF('Assumptions - Passenger'!$E$111=1,'Assumptions - Passenger'!AC129*$D$614,'Assumptions - Passenger'!$E$112*'Assumptions - Passenger'!AC129*$D$614)),0)</f>
        <v>20000</v>
      </c>
      <c r="AD621" s="12">
        <f>IF(OR(AD$17=1,AD$18=1, AD$19=1, AD$20=1),IF(AND($D$613=1,$D$616=1),(1+$D$615)*Calculations!AC621,IF('Assumptions - Passenger'!$E$111=1,'Assumptions - Passenger'!AD129*$D$614,'Assumptions - Passenger'!$E$112*'Assumptions - Passenger'!AD129*$D$614)),0)</f>
        <v>20500</v>
      </c>
      <c r="AE621" s="12">
        <f>IF(OR(AE$17=1,AE$18=1, AE$19=1, AE$20=1),IF(AND($D$613=1,$D$616=1),(1+$D$615)*Calculations!AD621,IF('Assumptions - Passenger'!$E$111=1,'Assumptions - Passenger'!AE129*$D$614,'Assumptions - Passenger'!$E$112*'Assumptions - Passenger'!AE129*$D$614)),0)</f>
        <v>21000</v>
      </c>
      <c r="AF621" s="12">
        <f>IF(OR(AF$17=1,AF$18=1, AF$19=1, AF$20=1),IF(AND($D$613=1,$D$616=1),(1+$D$615)*Calculations!AE621,IF('Assumptions - Passenger'!$E$111=1,'Assumptions - Passenger'!AF129*$D$614,'Assumptions - Passenger'!$E$112*'Assumptions - Passenger'!AF129*$D$614)),0)</f>
        <v>21500</v>
      </c>
      <c r="AG621" s="12">
        <f>IF(OR(AG$17=1,AG$18=1, AG$19=1, AG$20=1),IF(AND($D$613=1,$D$616=1),(1+$D$615)*Calculations!AF621,IF('Assumptions - Passenger'!$E$111=1,'Assumptions - Passenger'!AG129*$D$614,'Assumptions - Passenger'!$E$112*'Assumptions - Passenger'!AG129*$D$614)),0)</f>
        <v>22000</v>
      </c>
      <c r="AH621" s="12">
        <f>IF(OR(AH$17=1,AH$18=1, AH$19=1, AH$20=1),IF(AND($D$613=1,$D$616=1),(1+$D$615)*Calculations!AG621,IF('Assumptions - Passenger'!$E$111=1,'Assumptions - Passenger'!AH129*$D$614,'Assumptions - Passenger'!$E$112*'Assumptions - Passenger'!AH129*$D$614)),0)</f>
        <v>22500</v>
      </c>
    </row>
    <row r="622" spans="1:34" x14ac:dyDescent="0.2">
      <c r="A622" s="18"/>
      <c r="B622" s="30" t="s">
        <v>433</v>
      </c>
      <c r="D622" s="8" t="s">
        <v>15</v>
      </c>
      <c r="F622" s="11">
        <f>IF(OR(F$17=1,F$18=1, F$19=1, F$20=1),SUM(F619:F621)/SUM(E619:E621)-1,0)</f>
        <v>6.25E-2</v>
      </c>
      <c r="G622" s="11">
        <f t="shared" ref="G622:AH622" si="255">IF(OR(G$17=1,G$18=1, G$19=1, G$20=1),SUM(G619:G621)/SUM(F619:F621)-1,0)</f>
        <v>0</v>
      </c>
      <c r="H622" s="11">
        <f t="shared" si="255"/>
        <v>5.8823529411764719E-2</v>
      </c>
      <c r="I622" s="11">
        <f t="shared" si="255"/>
        <v>0.11111111111111116</v>
      </c>
      <c r="J622" s="11">
        <f t="shared" si="255"/>
        <v>5.0000000000000044E-2</v>
      </c>
      <c r="K622" s="11">
        <f t="shared" si="255"/>
        <v>4.7619047619047672E-2</v>
      </c>
      <c r="L622" s="11">
        <f t="shared" si="255"/>
        <v>4.5454545454545414E-2</v>
      </c>
      <c r="M622" s="11">
        <f t="shared" si="255"/>
        <v>4.3478260869565188E-2</v>
      </c>
      <c r="N622" s="11">
        <f t="shared" si="255"/>
        <v>4.1666666666666741E-2</v>
      </c>
      <c r="O622" s="11">
        <f t="shared" si="255"/>
        <v>4.0000000000000036E-2</v>
      </c>
      <c r="P622" s="11">
        <f t="shared" si="255"/>
        <v>3.8461538461538547E-2</v>
      </c>
      <c r="Q622" s="11">
        <f t="shared" si="255"/>
        <v>3.7037037037036979E-2</v>
      </c>
      <c r="R622" s="11">
        <f t="shared" si="255"/>
        <v>3.5714285714285809E-2</v>
      </c>
      <c r="S622" s="11">
        <f t="shared" si="255"/>
        <v>3.4482758620689724E-2</v>
      </c>
      <c r="T622" s="11">
        <f t="shared" si="255"/>
        <v>3.3333333333333437E-2</v>
      </c>
      <c r="U622" s="11">
        <f t="shared" si="255"/>
        <v>3.2258064516129004E-2</v>
      </c>
      <c r="V622" s="11">
        <f t="shared" si="255"/>
        <v>3.125E-2</v>
      </c>
      <c r="W622" s="11">
        <f t="shared" si="255"/>
        <v>3.0303030303030276E-2</v>
      </c>
      <c r="X622" s="11">
        <f t="shared" si="255"/>
        <v>2.9411764705882248E-2</v>
      </c>
      <c r="Y622" s="11">
        <f t="shared" si="255"/>
        <v>2.857142857142847E-2</v>
      </c>
      <c r="Z622" s="11">
        <f t="shared" si="255"/>
        <v>2.7777777777777679E-2</v>
      </c>
      <c r="AA622" s="11">
        <f t="shared" si="255"/>
        <v>2.7027027027026973E-2</v>
      </c>
      <c r="AB622" s="11">
        <f t="shared" si="255"/>
        <v>2.6315789473684292E-2</v>
      </c>
      <c r="AC622" s="11">
        <f t="shared" si="255"/>
        <v>2.564102564102555E-2</v>
      </c>
      <c r="AD622" s="11">
        <f t="shared" si="255"/>
        <v>2.4999999999999911E-2</v>
      </c>
      <c r="AE622" s="11">
        <f t="shared" si="255"/>
        <v>2.4390243902439046E-2</v>
      </c>
      <c r="AF622" s="11">
        <f t="shared" si="255"/>
        <v>2.3809523809523725E-2</v>
      </c>
      <c r="AG622" s="11">
        <f t="shared" si="255"/>
        <v>2.3255813953488413E-2</v>
      </c>
      <c r="AH622" s="11">
        <f t="shared" si="255"/>
        <v>2.2727272727272707E-2</v>
      </c>
    </row>
    <row r="623" spans="1:34" x14ac:dyDescent="0.2">
      <c r="A623" s="18"/>
      <c r="B623" s="30"/>
      <c r="F623" s="11"/>
      <c r="G623" s="11"/>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row>
    <row r="624" spans="1:34" x14ac:dyDescent="0.2">
      <c r="A624" s="18"/>
      <c r="B624" s="16" t="str">
        <f>B619</f>
        <v>Annual traffic volume of Domestic passenger</v>
      </c>
      <c r="D624" s="8" t="s">
        <v>370</v>
      </c>
      <c r="E624" s="12">
        <f>IF(OR(E$17=1,E$18=1, E$19=1, E$20=1),IF($D$613=1,$D$614*'Assumptions - Passenger'!E126,'Assumptions - Passenger'!E126),0)</f>
        <v>500</v>
      </c>
      <c r="F624" s="12">
        <f>IF(OR(F$17=1,F$18=1, F$19=1, F$20=1),IF($D$613=1,$D$614*'Assumptions - Passenger'!F126,'Assumptions - Passenger'!F126),0)</f>
        <v>500</v>
      </c>
      <c r="G624" s="12">
        <f>IF(OR(G$17=1,G$18=1, G$19=1, G$20=1),IF($D$613=1,$D$614*'Assumptions - Passenger'!G126,'Assumptions - Passenger'!G126),0)</f>
        <v>500</v>
      </c>
      <c r="H624" s="12">
        <f>IF(OR(H$17=1,H$18=1, H$19=1, H$20=1),IF($D$613=1,$D$614*'Assumptions - Passenger'!H126,'Assumptions - Passenger'!H126),0)</f>
        <v>500</v>
      </c>
      <c r="I624" s="12">
        <f>IF(OR(I$17=1,I$18=1, I$19=1, I$20=1),IF($D$613=1,$D$614*'Assumptions - Passenger'!I126,'Assumptions - Passenger'!I126),0)</f>
        <v>500</v>
      </c>
      <c r="J624" s="12">
        <f>IF(OR(J$17=1,J$18=1, J$19=1, J$20=1),IF($D$613=1,$D$614*'Assumptions - Passenger'!J126,'Assumptions - Passenger'!J126),0)</f>
        <v>500</v>
      </c>
      <c r="K624" s="12">
        <f>IF(OR(K$17=1,K$18=1, K$19=1, K$20=1),IF($D$613=1,$D$614*'Assumptions - Passenger'!K126,'Assumptions - Passenger'!K126),0)</f>
        <v>500</v>
      </c>
      <c r="L624" s="12">
        <f>IF(OR(L$17=1,L$18=1, L$19=1, L$20=1),IF($D$613=1,$D$614*'Assumptions - Passenger'!L126,'Assumptions - Passenger'!L126),0)</f>
        <v>500</v>
      </c>
      <c r="M624" s="12">
        <f>IF(OR(M$17=1,M$18=1, M$19=1, M$20=1),IF($D$613=1,$D$614*'Assumptions - Passenger'!M126,'Assumptions - Passenger'!M126),0)</f>
        <v>500</v>
      </c>
      <c r="N624" s="12">
        <f>IF(OR(N$17=1,N$18=1, N$19=1, N$20=1),IF($D$613=1,$D$614*'Assumptions - Passenger'!N126,'Assumptions - Passenger'!N126),0)</f>
        <v>500</v>
      </c>
      <c r="O624" s="12">
        <f>IF(OR(O$17=1,O$18=1, O$19=1, O$20=1),IF($D$613=1,$D$614*'Assumptions - Passenger'!O126,'Assumptions - Passenger'!O126),0)</f>
        <v>500</v>
      </c>
      <c r="P624" s="12">
        <f>IF(OR(P$17=1,P$18=1, P$19=1, P$20=1),IF($D$613=1,$D$614*'Assumptions - Passenger'!P126,'Assumptions - Passenger'!P126),0)</f>
        <v>500</v>
      </c>
      <c r="Q624" s="12">
        <f>IF(OR(Q$17=1,Q$18=1, Q$19=1, Q$20=1),IF($D$613=1,$D$614*'Assumptions - Passenger'!Q126,'Assumptions - Passenger'!Q126),0)</f>
        <v>500</v>
      </c>
      <c r="R624" s="12">
        <f>IF(OR(R$17=1,R$18=1, R$19=1, R$20=1),IF($D$613=1,$D$614*'Assumptions - Passenger'!R126,'Assumptions - Passenger'!R126),0)</f>
        <v>500</v>
      </c>
      <c r="S624" s="12">
        <f>IF(OR(S$17=1,S$18=1, S$19=1, S$20=1),IF($D$613=1,$D$614*'Assumptions - Passenger'!S126,'Assumptions - Passenger'!S126),0)</f>
        <v>500</v>
      </c>
      <c r="T624" s="12">
        <f>IF(OR(T$17=1,T$18=1, T$19=1, T$20=1),IF($D$613=1,$D$614*'Assumptions - Passenger'!T126,'Assumptions - Passenger'!T126),0)</f>
        <v>500</v>
      </c>
      <c r="U624" s="12">
        <f>IF(OR(U$17=1,U$18=1, U$19=1, U$20=1),IF($D$613=1,$D$614*'Assumptions - Passenger'!U126,'Assumptions - Passenger'!U126),0)</f>
        <v>500</v>
      </c>
      <c r="V624" s="12">
        <f>IF(OR(V$17=1,V$18=1, V$19=1, V$20=1),IF($D$613=1,$D$614*'Assumptions - Passenger'!V126,'Assumptions - Passenger'!V126),0)</f>
        <v>500</v>
      </c>
      <c r="W624" s="12">
        <f>IF(OR(W$17=1,W$18=1, W$19=1, W$20=1),IF($D$613=1,$D$614*'Assumptions - Passenger'!W126,'Assumptions - Passenger'!W126),0)</f>
        <v>500</v>
      </c>
      <c r="X624" s="12">
        <f>IF(OR(X$17=1,X$18=1, X$19=1, X$20=1),IF($D$613=1,$D$614*'Assumptions - Passenger'!X126,'Assumptions - Passenger'!X126),0)</f>
        <v>500</v>
      </c>
      <c r="Y624" s="12">
        <f>IF(OR(Y$17=1,Y$18=1, Y$19=1, Y$20=1),IF($D$613=1,$D$614*'Assumptions - Passenger'!Y126,'Assumptions - Passenger'!Y126),0)</f>
        <v>500</v>
      </c>
      <c r="Z624" s="12">
        <f>IF(OR(Z$17=1,Z$18=1, Z$19=1, Z$20=1),IF($D$613=1,$D$614*'Assumptions - Passenger'!Z126,'Assumptions - Passenger'!Z126),0)</f>
        <v>500</v>
      </c>
      <c r="AA624" s="12">
        <f>IF(OR(AA$17=1,AA$18=1, AA$19=1, AA$20=1),IF($D$613=1,$D$614*'Assumptions - Passenger'!AA126,'Assumptions - Passenger'!AA126),0)</f>
        <v>500</v>
      </c>
      <c r="AB624" s="12">
        <f>IF(OR(AB$17=1,AB$18=1, AB$19=1, AB$20=1),IF($D$613=1,$D$614*'Assumptions - Passenger'!AB126,'Assumptions - Passenger'!AB126),0)</f>
        <v>500</v>
      </c>
      <c r="AC624" s="12">
        <f>IF(OR(AC$17=1,AC$18=1, AC$19=1, AC$20=1),IF($D$613=1,$D$614*'Assumptions - Passenger'!AC126,'Assumptions - Passenger'!AC126),0)</f>
        <v>500</v>
      </c>
      <c r="AD624" s="12">
        <f>IF(OR(AD$17=1,AD$18=1, AD$19=1, AD$20=1),IF($D$613=1,$D$614*'Assumptions - Passenger'!AD126,'Assumptions - Passenger'!AD126),0)</f>
        <v>500</v>
      </c>
      <c r="AE624" s="12">
        <f>IF(OR(AE$17=1,AE$18=1, AE$19=1, AE$20=1),IF($D$613=1,$D$614*'Assumptions - Passenger'!AE126,'Assumptions - Passenger'!AE126),0)</f>
        <v>500</v>
      </c>
      <c r="AF624" s="12">
        <f>IF(OR(AF$17=1,AF$18=1, AF$19=1, AF$20=1),IF($D$613=1,$D$614*'Assumptions - Passenger'!AF126,'Assumptions - Passenger'!AF126),0)</f>
        <v>500</v>
      </c>
      <c r="AG624" s="12">
        <f>IF(OR(AG$17=1,AG$18=1, AG$19=1, AG$20=1),IF($D$613=1,$D$614*'Assumptions - Passenger'!AG126,'Assumptions - Passenger'!AG126),0)</f>
        <v>500</v>
      </c>
      <c r="AH624" s="12">
        <f>IF(OR(AH$17=1,AH$18=1, AH$19=1, AH$20=1),IF($D$613=1,$D$614*'Assumptions - Passenger'!AH126,'Assumptions - Passenger'!AH126),0)</f>
        <v>500</v>
      </c>
    </row>
    <row r="625" spans="1:34" x14ac:dyDescent="0.2">
      <c r="A625" s="18"/>
      <c r="B625" s="16" t="str">
        <f>B620</f>
        <v>Annual traffic volume of International passenger</v>
      </c>
      <c r="D625" s="8" t="s">
        <v>370</v>
      </c>
      <c r="E625" s="12">
        <f>IF(OR(E$17=1,E$18=1, E$19=1, E$20=1),IF($D$613=1,$D$614*'Assumptions - Passenger'!E128,'Assumptions - Passenger'!E128),0)</f>
        <v>500</v>
      </c>
      <c r="F625" s="12">
        <f>IF(OR(F$17=1,F$18=1, F$19=1, F$20=1),IF($D$613=1,$D$614*'Assumptions - Passenger'!F128,'Assumptions - Passenger'!F128),0)</f>
        <v>500</v>
      </c>
      <c r="G625" s="12">
        <f>IF(OR(G$17=1,G$18=1, G$19=1, G$20=1),IF($D$613=1,$D$614*'Assumptions - Passenger'!G128,'Assumptions - Passenger'!G128),0)</f>
        <v>500</v>
      </c>
      <c r="H625" s="12">
        <f>IF(OR(H$17=1,H$18=1, H$19=1, H$20=1),IF($D$613=1,$D$614*'Assumptions - Passenger'!H128,'Assumptions - Passenger'!H128),0)</f>
        <v>500</v>
      </c>
      <c r="I625" s="12">
        <f>IF(OR(I$17=1,I$18=1, I$19=1, I$20=1),IF($D$613=1,$D$614*'Assumptions - Passenger'!I128,'Assumptions - Passenger'!I128),0)</f>
        <v>500</v>
      </c>
      <c r="J625" s="12">
        <f>IF(OR(J$17=1,J$18=1, J$19=1, J$20=1),IF($D$613=1,$D$614*'Assumptions - Passenger'!J128,'Assumptions - Passenger'!J128),0)</f>
        <v>500</v>
      </c>
      <c r="K625" s="12">
        <f>IF(OR(K$17=1,K$18=1, K$19=1, K$20=1),IF($D$613=1,$D$614*'Assumptions - Passenger'!K128,'Assumptions - Passenger'!K128),0)</f>
        <v>500</v>
      </c>
      <c r="L625" s="12">
        <f>IF(OR(L$17=1,L$18=1, L$19=1, L$20=1),IF($D$613=1,$D$614*'Assumptions - Passenger'!L128,'Assumptions - Passenger'!L128),0)</f>
        <v>500</v>
      </c>
      <c r="M625" s="12">
        <f>IF(OR(M$17=1,M$18=1, M$19=1, M$20=1),IF($D$613=1,$D$614*'Assumptions - Passenger'!M128,'Assumptions - Passenger'!M128),0)</f>
        <v>500</v>
      </c>
      <c r="N625" s="12">
        <f>IF(OR(N$17=1,N$18=1, N$19=1, N$20=1),IF($D$613=1,$D$614*'Assumptions - Passenger'!N128,'Assumptions - Passenger'!N128),0)</f>
        <v>500</v>
      </c>
      <c r="O625" s="12">
        <f>IF(OR(O$17=1,O$18=1, O$19=1, O$20=1),IF($D$613=1,$D$614*'Assumptions - Passenger'!O128,'Assumptions - Passenger'!O128),0)</f>
        <v>500</v>
      </c>
      <c r="P625" s="12">
        <f>IF(OR(P$17=1,P$18=1, P$19=1, P$20=1),IF($D$613=1,$D$614*'Assumptions - Passenger'!P128,'Assumptions - Passenger'!P128),0)</f>
        <v>500</v>
      </c>
      <c r="Q625" s="12">
        <f>IF(OR(Q$17=1,Q$18=1, Q$19=1, Q$20=1),IF($D$613=1,$D$614*'Assumptions - Passenger'!Q128,'Assumptions - Passenger'!Q128),0)</f>
        <v>500</v>
      </c>
      <c r="R625" s="12">
        <f>IF(OR(R$17=1,R$18=1, R$19=1, R$20=1),IF($D$613=1,$D$614*'Assumptions - Passenger'!R128,'Assumptions - Passenger'!R128),0)</f>
        <v>500</v>
      </c>
      <c r="S625" s="12">
        <f>IF(OR(S$17=1,S$18=1, S$19=1, S$20=1),IF($D$613=1,$D$614*'Assumptions - Passenger'!S128,'Assumptions - Passenger'!S128),0)</f>
        <v>500</v>
      </c>
      <c r="T625" s="12">
        <f>IF(OR(T$17=1,T$18=1, T$19=1, T$20=1),IF($D$613=1,$D$614*'Assumptions - Passenger'!T128,'Assumptions - Passenger'!T128),0)</f>
        <v>500</v>
      </c>
      <c r="U625" s="12">
        <f>IF(OR(U$17=1,U$18=1, U$19=1, U$20=1),IF($D$613=1,$D$614*'Assumptions - Passenger'!U128,'Assumptions - Passenger'!U128),0)</f>
        <v>500</v>
      </c>
      <c r="V625" s="12">
        <f>IF(OR(V$17=1,V$18=1, V$19=1, V$20=1),IF($D$613=1,$D$614*'Assumptions - Passenger'!V128,'Assumptions - Passenger'!V128),0)</f>
        <v>500</v>
      </c>
      <c r="W625" s="12">
        <f>IF(OR(W$17=1,W$18=1, W$19=1, W$20=1),IF($D$613=1,$D$614*'Assumptions - Passenger'!W128,'Assumptions - Passenger'!W128),0)</f>
        <v>500</v>
      </c>
      <c r="X625" s="12">
        <f>IF(OR(X$17=1,X$18=1, X$19=1, X$20=1),IF($D$613=1,$D$614*'Assumptions - Passenger'!X128,'Assumptions - Passenger'!X128),0)</f>
        <v>500</v>
      </c>
      <c r="Y625" s="12">
        <f>IF(OR(Y$17=1,Y$18=1, Y$19=1, Y$20=1),IF($D$613=1,$D$614*'Assumptions - Passenger'!Y128,'Assumptions - Passenger'!Y128),0)</f>
        <v>500</v>
      </c>
      <c r="Z625" s="12">
        <f>IF(OR(Z$17=1,Z$18=1, Z$19=1, Z$20=1),IF($D$613=1,$D$614*'Assumptions - Passenger'!Z128,'Assumptions - Passenger'!Z128),0)</f>
        <v>500</v>
      </c>
      <c r="AA625" s="12">
        <f>IF(OR(AA$17=1,AA$18=1, AA$19=1, AA$20=1),IF($D$613=1,$D$614*'Assumptions - Passenger'!AA128,'Assumptions - Passenger'!AA128),0)</f>
        <v>500</v>
      </c>
      <c r="AB625" s="12">
        <f>IF(OR(AB$17=1,AB$18=1, AB$19=1, AB$20=1),IF($D$613=1,$D$614*'Assumptions - Passenger'!AB128,'Assumptions - Passenger'!AB128),0)</f>
        <v>500</v>
      </c>
      <c r="AC625" s="12">
        <f>IF(OR(AC$17=1,AC$18=1, AC$19=1, AC$20=1),IF($D$613=1,$D$614*'Assumptions - Passenger'!AC128,'Assumptions - Passenger'!AC128),0)</f>
        <v>500</v>
      </c>
      <c r="AD625" s="12">
        <f>IF(OR(AD$17=1,AD$18=1, AD$19=1, AD$20=1),IF($D$613=1,$D$614*'Assumptions - Passenger'!AD128,'Assumptions - Passenger'!AD128),0)</f>
        <v>500</v>
      </c>
      <c r="AE625" s="12">
        <f>IF(OR(AE$17=1,AE$18=1, AE$19=1, AE$20=1),IF($D$613=1,$D$614*'Assumptions - Passenger'!AE128,'Assumptions - Passenger'!AE128),0)</f>
        <v>500</v>
      </c>
      <c r="AF625" s="12">
        <f>IF(OR(AF$17=1,AF$18=1, AF$19=1, AF$20=1),IF($D$613=1,$D$614*'Assumptions - Passenger'!AF128,'Assumptions - Passenger'!AF128),0)</f>
        <v>500</v>
      </c>
      <c r="AG625" s="12">
        <f>IF(OR(AG$17=1,AG$18=1, AG$19=1, AG$20=1),IF($D$613=1,$D$614*'Assumptions - Passenger'!AG128,'Assumptions - Passenger'!AG128),0)</f>
        <v>500</v>
      </c>
      <c r="AH625" s="12">
        <f>IF(OR(AH$17=1,AH$18=1, AH$19=1, AH$20=1),IF($D$613=1,$D$614*'Assumptions - Passenger'!AH128,'Assumptions - Passenger'!AH128),0)</f>
        <v>500</v>
      </c>
    </row>
    <row r="626" spans="1:34" x14ac:dyDescent="0.2">
      <c r="A626" s="18"/>
      <c r="B626" s="16" t="str">
        <f>B621</f>
        <v>Annual traffic volume of Sub-urban passenger</v>
      </c>
      <c r="D626" s="8" t="s">
        <v>370</v>
      </c>
      <c r="E626" s="12">
        <f>IF(OR(E$17=1,E$18=1, E$19=1, E$20=1),IF($D$613=1,$D$614*'Assumptions - Passenger'!E130,'Assumptions - Passenger'!E130),0)</f>
        <v>500</v>
      </c>
      <c r="F626" s="12">
        <f>IF(OR(F$17=1,F$18=1, F$19=1, F$20=1),IF($D$613=1,$D$614*'Assumptions - Passenger'!F130,'Assumptions - Passenger'!F130),0)</f>
        <v>500</v>
      </c>
      <c r="G626" s="12">
        <f>IF(OR(G$17=1,G$18=1, G$19=1, G$20=1),IF($D$613=1,$D$614*'Assumptions - Passenger'!G130,'Assumptions - Passenger'!G130),0)</f>
        <v>500</v>
      </c>
      <c r="H626" s="12">
        <f>IF(OR(H$17=1,H$18=1, H$19=1, H$20=1),IF($D$613=1,$D$614*'Assumptions - Passenger'!H130,'Assumptions - Passenger'!H130),0)</f>
        <v>500</v>
      </c>
      <c r="I626" s="12">
        <f>IF(OR(I$17=1,I$18=1, I$19=1, I$20=1),IF($D$613=1,$D$614*'Assumptions - Passenger'!I130,'Assumptions - Passenger'!I130),0)</f>
        <v>500</v>
      </c>
      <c r="J626" s="12">
        <f>IF(OR(J$17=1,J$18=1, J$19=1, J$20=1),IF($D$613=1,$D$614*'Assumptions - Passenger'!J130,'Assumptions - Passenger'!J130),0)</f>
        <v>500</v>
      </c>
      <c r="K626" s="12">
        <f>IF(OR(K$17=1,K$18=1, K$19=1, K$20=1),IF($D$613=1,$D$614*'Assumptions - Passenger'!K130,'Assumptions - Passenger'!K130),0)</f>
        <v>500</v>
      </c>
      <c r="L626" s="12">
        <f>IF(OR(L$17=1,L$18=1, L$19=1, L$20=1),IF($D$613=1,$D$614*'Assumptions - Passenger'!L130,'Assumptions - Passenger'!L130),0)</f>
        <v>500</v>
      </c>
      <c r="M626" s="12">
        <f>IF(OR(M$17=1,M$18=1, M$19=1, M$20=1),IF($D$613=1,$D$614*'Assumptions - Passenger'!M130,'Assumptions - Passenger'!M130),0)</f>
        <v>500</v>
      </c>
      <c r="N626" s="12">
        <f>IF(OR(N$17=1,N$18=1, N$19=1, N$20=1),IF($D$613=1,$D$614*'Assumptions - Passenger'!N130,'Assumptions - Passenger'!N130),0)</f>
        <v>500</v>
      </c>
      <c r="O626" s="12">
        <f>IF(OR(O$17=1,O$18=1, O$19=1, O$20=1),IF($D$613=1,$D$614*'Assumptions - Passenger'!O130,'Assumptions - Passenger'!O130),0)</f>
        <v>500</v>
      </c>
      <c r="P626" s="12">
        <f>IF(OR(P$17=1,P$18=1, P$19=1, P$20=1),IF($D$613=1,$D$614*'Assumptions - Passenger'!P130,'Assumptions - Passenger'!P130),0)</f>
        <v>500</v>
      </c>
      <c r="Q626" s="12">
        <f>IF(OR(Q$17=1,Q$18=1, Q$19=1, Q$20=1),IF($D$613=1,$D$614*'Assumptions - Passenger'!Q130,'Assumptions - Passenger'!Q130),0)</f>
        <v>500</v>
      </c>
      <c r="R626" s="12">
        <f>IF(OR(R$17=1,R$18=1, R$19=1, R$20=1),IF($D$613=1,$D$614*'Assumptions - Passenger'!R130,'Assumptions - Passenger'!R130),0)</f>
        <v>500</v>
      </c>
      <c r="S626" s="12">
        <f>IF(OR(S$17=1,S$18=1, S$19=1, S$20=1),IF($D$613=1,$D$614*'Assumptions - Passenger'!S130,'Assumptions - Passenger'!S130),0)</f>
        <v>500</v>
      </c>
      <c r="T626" s="12">
        <f>IF(OR(T$17=1,T$18=1, T$19=1, T$20=1),IF($D$613=1,$D$614*'Assumptions - Passenger'!T130,'Assumptions - Passenger'!T130),0)</f>
        <v>500</v>
      </c>
      <c r="U626" s="12">
        <f>IF(OR(U$17=1,U$18=1, U$19=1, U$20=1),IF($D$613=1,$D$614*'Assumptions - Passenger'!U130,'Assumptions - Passenger'!U130),0)</f>
        <v>500</v>
      </c>
      <c r="V626" s="12">
        <f>IF(OR(V$17=1,V$18=1, V$19=1, V$20=1),IF($D$613=1,$D$614*'Assumptions - Passenger'!V130,'Assumptions - Passenger'!V130),0)</f>
        <v>500</v>
      </c>
      <c r="W626" s="12">
        <f>IF(OR(W$17=1,W$18=1, W$19=1, W$20=1),IF($D$613=1,$D$614*'Assumptions - Passenger'!W130,'Assumptions - Passenger'!W130),0)</f>
        <v>500</v>
      </c>
      <c r="X626" s="12">
        <f>IF(OR(X$17=1,X$18=1, X$19=1, X$20=1),IF($D$613=1,$D$614*'Assumptions - Passenger'!X130,'Assumptions - Passenger'!X130),0)</f>
        <v>500</v>
      </c>
      <c r="Y626" s="12">
        <f>IF(OR(Y$17=1,Y$18=1, Y$19=1, Y$20=1),IF($D$613=1,$D$614*'Assumptions - Passenger'!Y130,'Assumptions - Passenger'!Y130),0)</f>
        <v>500</v>
      </c>
      <c r="Z626" s="12">
        <f>IF(OR(Z$17=1,Z$18=1, Z$19=1, Z$20=1),IF($D$613=1,$D$614*'Assumptions - Passenger'!Z130,'Assumptions - Passenger'!Z130),0)</f>
        <v>500</v>
      </c>
      <c r="AA626" s="12">
        <f>IF(OR(AA$17=1,AA$18=1, AA$19=1, AA$20=1),IF($D$613=1,$D$614*'Assumptions - Passenger'!AA130,'Assumptions - Passenger'!AA130),0)</f>
        <v>500</v>
      </c>
      <c r="AB626" s="12">
        <f>IF(OR(AB$17=1,AB$18=1, AB$19=1, AB$20=1),IF($D$613=1,$D$614*'Assumptions - Passenger'!AB130,'Assumptions - Passenger'!AB130),0)</f>
        <v>500</v>
      </c>
      <c r="AC626" s="12">
        <f>IF(OR(AC$17=1,AC$18=1, AC$19=1, AC$20=1),IF($D$613=1,$D$614*'Assumptions - Passenger'!AC130,'Assumptions - Passenger'!AC130),0)</f>
        <v>500</v>
      </c>
      <c r="AD626" s="12">
        <f>IF(OR(AD$17=1,AD$18=1, AD$19=1, AD$20=1),IF($D$613=1,$D$614*'Assumptions - Passenger'!AD130,'Assumptions - Passenger'!AD130),0)</f>
        <v>500</v>
      </c>
      <c r="AE626" s="12">
        <f>IF(OR(AE$17=1,AE$18=1, AE$19=1, AE$20=1),IF($D$613=1,$D$614*'Assumptions - Passenger'!AE130,'Assumptions - Passenger'!AE130),0)</f>
        <v>500</v>
      </c>
      <c r="AF626" s="12">
        <f>IF(OR(AF$17=1,AF$18=1, AF$19=1, AF$20=1),IF($D$613=1,$D$614*'Assumptions - Passenger'!AF130,'Assumptions - Passenger'!AF130),0)</f>
        <v>500</v>
      </c>
      <c r="AG626" s="12">
        <f>IF(OR(AG$17=1,AG$18=1, AG$19=1, AG$20=1),IF($D$613=1,$D$614*'Assumptions - Passenger'!AG130,'Assumptions - Passenger'!AG130),0)</f>
        <v>500</v>
      </c>
      <c r="AH626" s="12">
        <f>IF(OR(AH$17=1,AH$18=1, AH$19=1, AH$20=1),IF($D$613=1,$D$614*'Assumptions - Passenger'!AH130,'Assumptions - Passenger'!AH130),0)</f>
        <v>500</v>
      </c>
    </row>
    <row r="627" spans="1:34" x14ac:dyDescent="0.2">
      <c r="A627" s="18"/>
      <c r="B627" s="14"/>
      <c r="F627" s="11"/>
      <c r="G627" s="11"/>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row>
    <row r="628" spans="1:34" x14ac:dyDescent="0.2">
      <c r="B628" s="8" t="str">
        <f>B619</f>
        <v>Annual traffic volume of Domestic passenger</v>
      </c>
      <c r="C628" s="8"/>
      <c r="D628" s="8" t="s">
        <v>286</v>
      </c>
      <c r="E628" s="12">
        <f>IF(E619&lt;&gt;0,E619*'Assumptions - Passenger'!E$122,0)</f>
        <v>10000</v>
      </c>
      <c r="F628" s="12">
        <f>IF(F619&lt;&gt;0,F619*'Assumptions - Passenger'!F$122,0)</f>
        <v>10625</v>
      </c>
      <c r="G628" s="12">
        <f>IF(G619&lt;&gt;0,G619*'Assumptions - Passenger'!G$122,0)</f>
        <v>10625</v>
      </c>
      <c r="H628" s="12">
        <f>IF(H619&lt;&gt;0,H619*'Assumptions - Passenger'!H$122,0)</f>
        <v>11250</v>
      </c>
      <c r="I628" s="12">
        <f>IF(I619&lt;&gt;0,I619*'Assumptions - Passenger'!I$122,0)</f>
        <v>12500</v>
      </c>
      <c r="J628" s="12">
        <f>IF(J619&lt;&gt;0,J619*'Assumptions - Passenger'!J$122,0)</f>
        <v>13125</v>
      </c>
      <c r="K628" s="12">
        <f>IF(K619&lt;&gt;0,K619*'Assumptions - Passenger'!K$122,0)</f>
        <v>13750</v>
      </c>
      <c r="L628" s="12">
        <f>IF(L619&lt;&gt;0,L619*'Assumptions - Passenger'!L$122,0)</f>
        <v>14375</v>
      </c>
      <c r="M628" s="12">
        <f>IF(M619&lt;&gt;0,M619*'Assumptions - Passenger'!M$122,0)</f>
        <v>15000</v>
      </c>
      <c r="N628" s="12">
        <f>IF(N619&lt;&gt;0,N619*'Assumptions - Passenger'!N$122,0)</f>
        <v>15625</v>
      </c>
      <c r="O628" s="12">
        <f>IF(O619&lt;&gt;0,O619*'Assumptions - Passenger'!O$122,0)</f>
        <v>16250</v>
      </c>
      <c r="P628" s="12">
        <f>IF(P619&lt;&gt;0,P619*'Assumptions - Passenger'!P$122,0)</f>
        <v>16875</v>
      </c>
      <c r="Q628" s="12">
        <f>IF(Q619&lt;&gt;0,Q619*'Assumptions - Passenger'!Q$122,0)</f>
        <v>17500</v>
      </c>
      <c r="R628" s="12">
        <f>IF(R619&lt;&gt;0,R619*'Assumptions - Passenger'!R$122,0)</f>
        <v>18125</v>
      </c>
      <c r="S628" s="12">
        <f>IF(S619&lt;&gt;0,S619*'Assumptions - Passenger'!S$122,0)</f>
        <v>18750</v>
      </c>
      <c r="T628" s="12">
        <f>IF(T619&lt;&gt;0,T619*'Assumptions - Passenger'!T$122,0)</f>
        <v>19375</v>
      </c>
      <c r="U628" s="12">
        <f>IF(U619&lt;&gt;0,U619*'Assumptions - Passenger'!U$122,0)</f>
        <v>20000</v>
      </c>
      <c r="V628" s="12">
        <f>IF(V619&lt;&gt;0,V619*'Assumptions - Passenger'!V$122,0)</f>
        <v>20625</v>
      </c>
      <c r="W628" s="12">
        <f>IF(W619&lt;&gt;0,W619*'Assumptions - Passenger'!W$122,0)</f>
        <v>21250</v>
      </c>
      <c r="X628" s="12">
        <f>IF(X619&lt;&gt;0,X619*'Assumptions - Passenger'!X$122,0)</f>
        <v>21875</v>
      </c>
      <c r="Y628" s="12">
        <f>IF(Y619&lt;&gt;0,Y619*'Assumptions - Passenger'!Y$122,0)</f>
        <v>22500</v>
      </c>
      <c r="Z628" s="12">
        <f>IF(Z619&lt;&gt;0,Z619*'Assumptions - Passenger'!Z$122,0)</f>
        <v>23125</v>
      </c>
      <c r="AA628" s="12">
        <f>IF(AA619&lt;&gt;0,AA619*'Assumptions - Passenger'!AA$122,0)</f>
        <v>23750</v>
      </c>
      <c r="AB628" s="12">
        <f>IF(AB619&lt;&gt;0,AB619*'Assumptions - Passenger'!AB$122,0)</f>
        <v>24375</v>
      </c>
      <c r="AC628" s="12">
        <f>IF(AC619&lt;&gt;0,AC619*'Assumptions - Passenger'!AC$122,0)</f>
        <v>25000</v>
      </c>
      <c r="AD628" s="12">
        <f>IF(AD619&lt;&gt;0,AD619*'Assumptions - Passenger'!AD$122,0)</f>
        <v>25625</v>
      </c>
      <c r="AE628" s="12">
        <f>IF(AE619&lt;&gt;0,AE619*'Assumptions - Passenger'!AE$122,0)</f>
        <v>26250</v>
      </c>
      <c r="AF628" s="12">
        <f>IF(AF619&lt;&gt;0,AF619*'Assumptions - Passenger'!AF$122,0)</f>
        <v>26875</v>
      </c>
      <c r="AG628" s="12">
        <f>IF(AG619&lt;&gt;0,AG619*'Assumptions - Passenger'!AG$122,0)</f>
        <v>27500</v>
      </c>
      <c r="AH628" s="12">
        <f>IF(AH619&lt;&gt;0,AH619*'Assumptions - Passenger'!AH$122,0)</f>
        <v>28125</v>
      </c>
    </row>
    <row r="629" spans="1:34" x14ac:dyDescent="0.2">
      <c r="B629" s="8" t="str">
        <f>B620</f>
        <v>Annual traffic volume of International passenger</v>
      </c>
      <c r="C629" s="8"/>
      <c r="D629" s="8" t="str">
        <f>D628</f>
        <v>GTK (millions)</v>
      </c>
      <c r="E629" s="12">
        <f>IF(E620&lt;&gt;0,E620*'Assumptions - Passenger'!E$122,0)</f>
        <v>10000</v>
      </c>
      <c r="F629" s="12">
        <f>IF(F620&lt;&gt;0,F620*'Assumptions - Passenger'!F$122,0)</f>
        <v>10625</v>
      </c>
      <c r="G629" s="12">
        <f>IF(G620&lt;&gt;0,G620*'Assumptions - Passenger'!G$122,0)</f>
        <v>10625</v>
      </c>
      <c r="H629" s="12">
        <f>IF(H620&lt;&gt;0,H620*'Assumptions - Passenger'!H$122,0)</f>
        <v>11250</v>
      </c>
      <c r="I629" s="12">
        <f>IF(I620&lt;&gt;0,I620*'Assumptions - Passenger'!I$122,0)</f>
        <v>12500</v>
      </c>
      <c r="J629" s="12">
        <f>IF(J620&lt;&gt;0,J620*'Assumptions - Passenger'!J$122,0)</f>
        <v>13125</v>
      </c>
      <c r="K629" s="12">
        <f>IF(K620&lt;&gt;0,K620*'Assumptions - Passenger'!K$122,0)</f>
        <v>13750</v>
      </c>
      <c r="L629" s="12">
        <f>IF(L620&lt;&gt;0,L620*'Assumptions - Passenger'!L$122,0)</f>
        <v>14375</v>
      </c>
      <c r="M629" s="12">
        <f>IF(M620&lt;&gt;0,M620*'Assumptions - Passenger'!M$122,0)</f>
        <v>15000</v>
      </c>
      <c r="N629" s="12">
        <f>IF(N620&lt;&gt;0,N620*'Assumptions - Passenger'!N$122,0)</f>
        <v>15625</v>
      </c>
      <c r="O629" s="12">
        <f>IF(O620&lt;&gt;0,O620*'Assumptions - Passenger'!O$122,0)</f>
        <v>16250</v>
      </c>
      <c r="P629" s="12">
        <f>IF(P620&lt;&gt;0,P620*'Assumptions - Passenger'!P$122,0)</f>
        <v>16875</v>
      </c>
      <c r="Q629" s="12">
        <f>IF(Q620&lt;&gt;0,Q620*'Assumptions - Passenger'!Q$122,0)</f>
        <v>17500</v>
      </c>
      <c r="R629" s="12">
        <f>IF(R620&lt;&gt;0,R620*'Assumptions - Passenger'!R$122,0)</f>
        <v>18125</v>
      </c>
      <c r="S629" s="12">
        <f>IF(S620&lt;&gt;0,S620*'Assumptions - Passenger'!S$122,0)</f>
        <v>18750</v>
      </c>
      <c r="T629" s="12">
        <f>IF(T620&lt;&gt;0,T620*'Assumptions - Passenger'!T$122,0)</f>
        <v>19375</v>
      </c>
      <c r="U629" s="12">
        <f>IF(U620&lt;&gt;0,U620*'Assumptions - Passenger'!U$122,0)</f>
        <v>20000</v>
      </c>
      <c r="V629" s="12">
        <f>IF(V620&lt;&gt;0,V620*'Assumptions - Passenger'!V$122,0)</f>
        <v>20625</v>
      </c>
      <c r="W629" s="12">
        <f>IF(W620&lt;&gt;0,W620*'Assumptions - Passenger'!W$122,0)</f>
        <v>21250</v>
      </c>
      <c r="X629" s="12">
        <f>IF(X620&lt;&gt;0,X620*'Assumptions - Passenger'!X$122,0)</f>
        <v>21875</v>
      </c>
      <c r="Y629" s="12">
        <f>IF(Y620&lt;&gt;0,Y620*'Assumptions - Passenger'!Y$122,0)</f>
        <v>22500</v>
      </c>
      <c r="Z629" s="12">
        <f>IF(Z620&lt;&gt;0,Z620*'Assumptions - Passenger'!Z$122,0)</f>
        <v>23125</v>
      </c>
      <c r="AA629" s="12">
        <f>IF(AA620&lt;&gt;0,AA620*'Assumptions - Passenger'!AA$122,0)</f>
        <v>23750</v>
      </c>
      <c r="AB629" s="12">
        <f>IF(AB620&lt;&gt;0,AB620*'Assumptions - Passenger'!AB$122,0)</f>
        <v>24375</v>
      </c>
      <c r="AC629" s="12">
        <f>IF(AC620&lt;&gt;0,AC620*'Assumptions - Passenger'!AC$122,0)</f>
        <v>25000</v>
      </c>
      <c r="AD629" s="12">
        <f>IF(AD620&lt;&gt;0,AD620*'Assumptions - Passenger'!AD$122,0)</f>
        <v>25625</v>
      </c>
      <c r="AE629" s="12">
        <f>IF(AE620&lt;&gt;0,AE620*'Assumptions - Passenger'!AE$122,0)</f>
        <v>26250</v>
      </c>
      <c r="AF629" s="12">
        <f>IF(AF620&lt;&gt;0,AF620*'Assumptions - Passenger'!AF$122,0)</f>
        <v>26875</v>
      </c>
      <c r="AG629" s="12">
        <f>IF(AG620&lt;&gt;0,AG620*'Assumptions - Passenger'!AG$122,0)</f>
        <v>27500</v>
      </c>
      <c r="AH629" s="12">
        <f>IF(AH620&lt;&gt;0,AH620*'Assumptions - Passenger'!AH$122,0)</f>
        <v>28125</v>
      </c>
    </row>
    <row r="630" spans="1:34" x14ac:dyDescent="0.2">
      <c r="B630" s="8" t="str">
        <f>B621</f>
        <v>Annual traffic volume of Sub-urban passenger</v>
      </c>
      <c r="C630" s="8"/>
      <c r="D630" s="8" t="str">
        <f>D629</f>
        <v>GTK (millions)</v>
      </c>
      <c r="E630" s="12">
        <f>IF(E621&lt;&gt;0,E621*'Assumptions - Passenger'!E$122,0)</f>
        <v>10000</v>
      </c>
      <c r="F630" s="12">
        <f>IF(F621&lt;&gt;0,F621*'Assumptions - Passenger'!F$122,0)</f>
        <v>10625</v>
      </c>
      <c r="G630" s="12">
        <f>IF(G621&lt;&gt;0,G621*'Assumptions - Passenger'!G$122,0)</f>
        <v>10625</v>
      </c>
      <c r="H630" s="12">
        <f>IF(H621&lt;&gt;0,H621*'Assumptions - Passenger'!H$122,0)</f>
        <v>11250</v>
      </c>
      <c r="I630" s="12">
        <f>IF(I621&lt;&gt;0,I621*'Assumptions - Passenger'!I$122,0)</f>
        <v>12500</v>
      </c>
      <c r="J630" s="12">
        <f>IF(J621&lt;&gt;0,J621*'Assumptions - Passenger'!J$122,0)</f>
        <v>13125</v>
      </c>
      <c r="K630" s="12">
        <f>IF(K621&lt;&gt;0,K621*'Assumptions - Passenger'!K$122,0)</f>
        <v>13750</v>
      </c>
      <c r="L630" s="12">
        <f>IF(L621&lt;&gt;0,L621*'Assumptions - Passenger'!L$122,0)</f>
        <v>14375</v>
      </c>
      <c r="M630" s="12">
        <f>IF(M621&lt;&gt;0,M621*'Assumptions - Passenger'!M$122,0)</f>
        <v>15000</v>
      </c>
      <c r="N630" s="12">
        <f>IF(N621&lt;&gt;0,N621*'Assumptions - Passenger'!N$122,0)</f>
        <v>15625</v>
      </c>
      <c r="O630" s="12">
        <f>IF(O621&lt;&gt;0,O621*'Assumptions - Passenger'!O$122,0)</f>
        <v>16250</v>
      </c>
      <c r="P630" s="12">
        <f>IF(P621&lt;&gt;0,P621*'Assumptions - Passenger'!P$122,0)</f>
        <v>16875</v>
      </c>
      <c r="Q630" s="12">
        <f>IF(Q621&lt;&gt;0,Q621*'Assumptions - Passenger'!Q$122,0)</f>
        <v>17500</v>
      </c>
      <c r="R630" s="12">
        <f>IF(R621&lt;&gt;0,R621*'Assumptions - Passenger'!R$122,0)</f>
        <v>18125</v>
      </c>
      <c r="S630" s="12">
        <f>IF(S621&lt;&gt;0,S621*'Assumptions - Passenger'!S$122,0)</f>
        <v>18750</v>
      </c>
      <c r="T630" s="12">
        <f>IF(T621&lt;&gt;0,T621*'Assumptions - Passenger'!T$122,0)</f>
        <v>19375</v>
      </c>
      <c r="U630" s="12">
        <f>IF(U621&lt;&gt;0,U621*'Assumptions - Passenger'!U$122,0)</f>
        <v>20000</v>
      </c>
      <c r="V630" s="12">
        <f>IF(V621&lt;&gt;0,V621*'Assumptions - Passenger'!V$122,0)</f>
        <v>20625</v>
      </c>
      <c r="W630" s="12">
        <f>IF(W621&lt;&gt;0,W621*'Assumptions - Passenger'!W$122,0)</f>
        <v>21250</v>
      </c>
      <c r="X630" s="12">
        <f>IF(X621&lt;&gt;0,X621*'Assumptions - Passenger'!X$122,0)</f>
        <v>21875</v>
      </c>
      <c r="Y630" s="12">
        <f>IF(Y621&lt;&gt;0,Y621*'Assumptions - Passenger'!Y$122,0)</f>
        <v>22500</v>
      </c>
      <c r="Z630" s="12">
        <f>IF(Z621&lt;&gt;0,Z621*'Assumptions - Passenger'!Z$122,0)</f>
        <v>23125</v>
      </c>
      <c r="AA630" s="12">
        <f>IF(AA621&lt;&gt;0,AA621*'Assumptions - Passenger'!AA$122,0)</f>
        <v>23750</v>
      </c>
      <c r="AB630" s="12">
        <f>IF(AB621&lt;&gt;0,AB621*'Assumptions - Passenger'!AB$122,0)</f>
        <v>24375</v>
      </c>
      <c r="AC630" s="12">
        <f>IF(AC621&lt;&gt;0,AC621*'Assumptions - Passenger'!AC$122,0)</f>
        <v>25000</v>
      </c>
      <c r="AD630" s="12">
        <f>IF(AD621&lt;&gt;0,AD621*'Assumptions - Passenger'!AD$122,0)</f>
        <v>25625</v>
      </c>
      <c r="AE630" s="12">
        <f>IF(AE621&lt;&gt;0,AE621*'Assumptions - Passenger'!AE$122,0)</f>
        <v>26250</v>
      </c>
      <c r="AF630" s="12">
        <f>IF(AF621&lt;&gt;0,AF621*'Assumptions - Passenger'!AF$122,0)</f>
        <v>26875</v>
      </c>
      <c r="AG630" s="12">
        <f>IF(AG621&lt;&gt;0,AG621*'Assumptions - Passenger'!AG$122,0)</f>
        <v>27500</v>
      </c>
      <c r="AH630" s="12">
        <f>IF(AH621&lt;&gt;0,AH621*'Assumptions - Passenger'!AH$122,0)</f>
        <v>28125</v>
      </c>
    </row>
    <row r="631" spans="1:34" x14ac:dyDescent="0.2">
      <c r="B631" s="30" t="s">
        <v>460</v>
      </c>
      <c r="C631" s="8"/>
      <c r="D631" s="8" t="str">
        <f>D630</f>
        <v>GTK (millions)</v>
      </c>
      <c r="E631" s="12">
        <f>IF(OR(E$17=1,E$18=1, E$19=1, E$20=1),SUM(E628:E630)," ")</f>
        <v>30000</v>
      </c>
      <c r="F631" s="12">
        <f t="shared" ref="F631:AH631" si="256">IF(OR(F$17=1,F$18=1, F$19=1, F$20=1),SUM(F628:F630)," ")</f>
        <v>31875</v>
      </c>
      <c r="G631" s="12">
        <f t="shared" si="256"/>
        <v>31875</v>
      </c>
      <c r="H631" s="12">
        <f t="shared" si="256"/>
        <v>33750</v>
      </c>
      <c r="I631" s="12">
        <f t="shared" si="256"/>
        <v>37500</v>
      </c>
      <c r="J631" s="12">
        <f t="shared" si="256"/>
        <v>39375</v>
      </c>
      <c r="K631" s="12">
        <f t="shared" si="256"/>
        <v>41250</v>
      </c>
      <c r="L631" s="12">
        <f t="shared" si="256"/>
        <v>43125</v>
      </c>
      <c r="M631" s="12">
        <f t="shared" si="256"/>
        <v>45000</v>
      </c>
      <c r="N631" s="12">
        <f t="shared" si="256"/>
        <v>46875</v>
      </c>
      <c r="O631" s="12">
        <f t="shared" si="256"/>
        <v>48750</v>
      </c>
      <c r="P631" s="12">
        <f t="shared" si="256"/>
        <v>50625</v>
      </c>
      <c r="Q631" s="12">
        <f t="shared" si="256"/>
        <v>52500</v>
      </c>
      <c r="R631" s="12">
        <f t="shared" si="256"/>
        <v>54375</v>
      </c>
      <c r="S631" s="12">
        <f t="shared" si="256"/>
        <v>56250</v>
      </c>
      <c r="T631" s="12">
        <f t="shared" si="256"/>
        <v>58125</v>
      </c>
      <c r="U631" s="12">
        <f t="shared" si="256"/>
        <v>60000</v>
      </c>
      <c r="V631" s="12">
        <f t="shared" si="256"/>
        <v>61875</v>
      </c>
      <c r="W631" s="12">
        <f t="shared" si="256"/>
        <v>63750</v>
      </c>
      <c r="X631" s="12">
        <f t="shared" si="256"/>
        <v>65625</v>
      </c>
      <c r="Y631" s="12">
        <f t="shared" si="256"/>
        <v>67500</v>
      </c>
      <c r="Z631" s="12">
        <f t="shared" si="256"/>
        <v>69375</v>
      </c>
      <c r="AA631" s="12">
        <f t="shared" si="256"/>
        <v>71250</v>
      </c>
      <c r="AB631" s="12">
        <f t="shared" si="256"/>
        <v>73125</v>
      </c>
      <c r="AC631" s="12">
        <f t="shared" si="256"/>
        <v>75000</v>
      </c>
      <c r="AD631" s="12">
        <f t="shared" si="256"/>
        <v>76875</v>
      </c>
      <c r="AE631" s="12">
        <f t="shared" si="256"/>
        <v>78750</v>
      </c>
      <c r="AF631" s="12">
        <f t="shared" si="256"/>
        <v>80625</v>
      </c>
      <c r="AG631" s="12">
        <f t="shared" si="256"/>
        <v>82500</v>
      </c>
      <c r="AH631" s="12">
        <f t="shared" si="256"/>
        <v>84375</v>
      </c>
    </row>
    <row r="632" spans="1:34" x14ac:dyDescent="0.2">
      <c r="A632" s="18"/>
      <c r="B632" s="14"/>
      <c r="F632" s="11"/>
      <c r="G632" s="11"/>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row>
    <row r="633" spans="1:34" outlineLevel="1" x14ac:dyDescent="0.2">
      <c r="B633" s="8" t="str">
        <f>"Diesel traffic volume of " &amp;'Assumptions - Passenger'!E114</f>
        <v>Diesel traffic volume of Domestic passenger</v>
      </c>
      <c r="C633" s="8"/>
      <c r="D633" s="8" t="s">
        <v>286</v>
      </c>
      <c r="E633" s="12">
        <f>IF(E628&lt;&gt;0,IF(OR(E$17=1,E$18=1, E$19=1, E$20=1),'Assumptions - Passenger'!E$18*E628," "),0)</f>
        <v>5000</v>
      </c>
      <c r="F633" s="12">
        <f>IF(F628&lt;&gt;0,IF(OR(F$17=1,F$18=1, F$19=1, F$20=1),'Assumptions - Passenger'!F$18*F628," "),0)</f>
        <v>5312.5</v>
      </c>
      <c r="G633" s="12">
        <f>IF(G628&lt;&gt;0,IF(OR(G$17=1,G$18=1, G$19=1, G$20=1),'Assumptions - Passenger'!G$18*G628," "),0)</f>
        <v>5312.5</v>
      </c>
      <c r="H633" s="12">
        <f>IF(H628&lt;&gt;0,IF(OR(H$17=1,H$18=1, H$19=1, H$20=1),'Assumptions - Passenger'!H$18*H628," "),0)</f>
        <v>5625</v>
      </c>
      <c r="I633" s="12">
        <f>IF(I628&lt;&gt;0,IF(OR(I$17=1,I$18=1, I$19=1, I$20=1),'Assumptions - Passenger'!I$18*I628," "),0)</f>
        <v>6250</v>
      </c>
      <c r="J633" s="12">
        <f>IF(J628&lt;&gt;0,IF(OR(J$17=1,J$18=1, J$19=1, J$20=1),'Assumptions - Passenger'!J$18*J628," "),0)</f>
        <v>6562.5</v>
      </c>
      <c r="K633" s="12">
        <f>IF(K628&lt;&gt;0,IF(OR(K$17=1,K$18=1, K$19=1, K$20=1),'Assumptions - Passenger'!K$18*K628," "),0)</f>
        <v>6875</v>
      </c>
      <c r="L633" s="12">
        <f>IF(L628&lt;&gt;0,IF(OR(L$17=1,L$18=1, L$19=1, L$20=1),'Assumptions - Passenger'!L$18*L628," "),0)</f>
        <v>7187.5</v>
      </c>
      <c r="M633" s="12">
        <f>IF(M628&lt;&gt;0,IF(OR(M$17=1,M$18=1, M$19=1, M$20=1),'Assumptions - Passenger'!M$18*M628," "),0)</f>
        <v>7500</v>
      </c>
      <c r="N633" s="12">
        <f>IF(N628&lt;&gt;0,IF(OR(N$17=1,N$18=1, N$19=1, N$20=1),'Assumptions - Passenger'!N$18*N628," "),0)</f>
        <v>7812.5</v>
      </c>
      <c r="O633" s="12">
        <f>IF(O628&lt;&gt;0,IF(OR(O$17=1,O$18=1, O$19=1, O$20=1),'Assumptions - Passenger'!O$18*O628," "),0)</f>
        <v>8125</v>
      </c>
      <c r="P633" s="12">
        <f>IF(P628&lt;&gt;0,IF(OR(P$17=1,P$18=1, P$19=1, P$20=1),'Assumptions - Passenger'!P$18*P628," "),0)</f>
        <v>8437.5</v>
      </c>
      <c r="Q633" s="12">
        <f>IF(Q628&lt;&gt;0,IF(OR(Q$17=1,Q$18=1, Q$19=1, Q$20=1),'Assumptions - Passenger'!Q$18*Q628," "),0)</f>
        <v>8750</v>
      </c>
      <c r="R633" s="12">
        <f>IF(R628&lt;&gt;0,IF(OR(R$17=1,R$18=1, R$19=1, R$20=1),'Assumptions - Passenger'!R$18*R628," "),0)</f>
        <v>9062.5</v>
      </c>
      <c r="S633" s="12">
        <f>IF(S628&lt;&gt;0,IF(OR(S$17=1,S$18=1, S$19=1, S$20=1),'Assumptions - Passenger'!S$18*S628," "),0)</f>
        <v>9375</v>
      </c>
      <c r="T633" s="12">
        <f>IF(T628&lt;&gt;0,IF(OR(T$17=1,T$18=1, T$19=1, T$20=1),'Assumptions - Passenger'!T$18*T628," "),0)</f>
        <v>9687.5</v>
      </c>
      <c r="U633" s="12">
        <f>IF(U628&lt;&gt;0,IF(OR(U$17=1,U$18=1, U$19=1, U$20=1),'Assumptions - Passenger'!U$18*U628," "),0)</f>
        <v>10000</v>
      </c>
      <c r="V633" s="12">
        <f>IF(V628&lt;&gt;0,IF(OR(V$17=1,V$18=1, V$19=1, V$20=1),'Assumptions - Passenger'!V$18*V628," "),0)</f>
        <v>10312.5</v>
      </c>
      <c r="W633" s="12">
        <f>IF(W628&lt;&gt;0,IF(OR(W$17=1,W$18=1, W$19=1, W$20=1),'Assumptions - Passenger'!W$18*W628," "),0)</f>
        <v>10625</v>
      </c>
      <c r="X633" s="12">
        <f>IF(X628&lt;&gt;0,IF(OR(X$17=1,X$18=1, X$19=1, X$20=1),'Assumptions - Passenger'!X$18*X628," "),0)</f>
        <v>10937.5</v>
      </c>
      <c r="Y633" s="12">
        <f>IF(Y628&lt;&gt;0,IF(OR(Y$17=1,Y$18=1, Y$19=1, Y$20=1),'Assumptions - Passenger'!Y$18*Y628," "),0)</f>
        <v>11250</v>
      </c>
      <c r="Z633" s="12">
        <f>IF(Z628&lt;&gt;0,IF(OR(Z$17=1,Z$18=1, Z$19=1, Z$20=1),'Assumptions - Passenger'!Z$18*Z628," "),0)</f>
        <v>11562.5</v>
      </c>
      <c r="AA633" s="12">
        <f>IF(AA628&lt;&gt;0,IF(OR(AA$17=1,AA$18=1, AA$19=1, AA$20=1),'Assumptions - Passenger'!AA$18*AA628," "),0)</f>
        <v>11875</v>
      </c>
      <c r="AB633" s="12">
        <f>IF(AB628&lt;&gt;0,IF(OR(AB$17=1,AB$18=1, AB$19=1, AB$20=1),'Assumptions - Passenger'!AB$18*AB628," "),0)</f>
        <v>12187.5</v>
      </c>
      <c r="AC633" s="12">
        <f>IF(AC628&lt;&gt;0,IF(OR(AC$17=1,AC$18=1, AC$19=1, AC$20=1),'Assumptions - Passenger'!AC$18*AC628," "),0)</f>
        <v>12500</v>
      </c>
      <c r="AD633" s="12">
        <f>IF(AD628&lt;&gt;0,IF(OR(AD$17=1,AD$18=1, AD$19=1, AD$20=1),'Assumptions - Passenger'!AD$18*AD628," "),0)</f>
        <v>12812.5</v>
      </c>
      <c r="AE633" s="12">
        <f>IF(AE628&lt;&gt;0,IF(OR(AE$17=1,AE$18=1, AE$19=1, AE$20=1),'Assumptions - Passenger'!AE$18*AE628," "),0)</f>
        <v>13125</v>
      </c>
      <c r="AF633" s="12">
        <f>IF(AF628&lt;&gt;0,IF(OR(AF$17=1,AF$18=1, AF$19=1, AF$20=1),'Assumptions - Passenger'!AF$18*AF628," "),0)</f>
        <v>13437.5</v>
      </c>
      <c r="AG633" s="12">
        <f>IF(AG628&lt;&gt;0,IF(OR(AG$17=1,AG$18=1, AG$19=1, AG$20=1),'Assumptions - Passenger'!AG$18*AG628," "),0)</f>
        <v>13750</v>
      </c>
      <c r="AH633" s="12">
        <f>IF(AH628&lt;&gt;0,IF(OR(AH$17=1,AH$18=1, AH$19=1, AH$20=1),'Assumptions - Passenger'!AH$18*AH628," "),0)</f>
        <v>14062.5</v>
      </c>
    </row>
    <row r="634" spans="1:34" outlineLevel="1" x14ac:dyDescent="0.2">
      <c r="B634" s="8" t="str">
        <f>"Diesel traffic volume of " &amp;'Assumptions - Passenger'!E115</f>
        <v>Diesel traffic volume of International passenger</v>
      </c>
      <c r="C634" s="8"/>
      <c r="D634" s="8" t="str">
        <f>D633</f>
        <v>GTK (millions)</v>
      </c>
      <c r="E634" s="12">
        <f>IF(E629&lt;&gt;0,IF(OR(E$17=1,E$18=1, E$19=1, E$20=1),'Assumptions - Passenger'!E$18*E629," "),0)</f>
        <v>5000</v>
      </c>
      <c r="F634" s="12">
        <f>IF(F629&lt;&gt;0,IF(OR(F$17=1,F$18=1, F$19=1, F$20=1),'Assumptions - Passenger'!F$18*F629," "),0)</f>
        <v>5312.5</v>
      </c>
      <c r="G634" s="12">
        <f>IF(G629&lt;&gt;0,IF(OR(G$17=1,G$18=1, G$19=1, G$20=1),'Assumptions - Passenger'!G$18*G629," "),0)</f>
        <v>5312.5</v>
      </c>
      <c r="H634" s="12">
        <f>IF(H629&lt;&gt;0,IF(OR(H$17=1,H$18=1, H$19=1, H$20=1),'Assumptions - Passenger'!H$18*H629," "),0)</f>
        <v>5625</v>
      </c>
      <c r="I634" s="12">
        <f>IF(I629&lt;&gt;0,IF(OR(I$17=1,I$18=1, I$19=1, I$20=1),'Assumptions - Passenger'!I$18*I629," "),0)</f>
        <v>6250</v>
      </c>
      <c r="J634" s="12">
        <f>IF(J629&lt;&gt;0,IF(OR(J$17=1,J$18=1, J$19=1, J$20=1),'Assumptions - Passenger'!J$18*J629," "),0)</f>
        <v>6562.5</v>
      </c>
      <c r="K634" s="12">
        <f>IF(K629&lt;&gt;0,IF(OR(K$17=1,K$18=1, K$19=1, K$20=1),'Assumptions - Passenger'!K$18*K629," "),0)</f>
        <v>6875</v>
      </c>
      <c r="L634" s="12">
        <f>IF(L629&lt;&gt;0,IF(OR(L$17=1,L$18=1, L$19=1, L$20=1),'Assumptions - Passenger'!L$18*L629," "),0)</f>
        <v>7187.5</v>
      </c>
      <c r="M634" s="12">
        <f>IF(M629&lt;&gt;0,IF(OR(M$17=1,M$18=1, M$19=1, M$20=1),'Assumptions - Passenger'!M$18*M629," "),0)</f>
        <v>7500</v>
      </c>
      <c r="N634" s="12">
        <f>IF(N629&lt;&gt;0,IF(OR(N$17=1,N$18=1, N$19=1, N$20=1),'Assumptions - Passenger'!N$18*N629," "),0)</f>
        <v>7812.5</v>
      </c>
      <c r="O634" s="12">
        <f>IF(O629&lt;&gt;0,IF(OR(O$17=1,O$18=1, O$19=1, O$20=1),'Assumptions - Passenger'!O$18*O629," "),0)</f>
        <v>8125</v>
      </c>
      <c r="P634" s="12">
        <f>IF(P629&lt;&gt;0,IF(OR(P$17=1,P$18=1, P$19=1, P$20=1),'Assumptions - Passenger'!P$18*P629," "),0)</f>
        <v>8437.5</v>
      </c>
      <c r="Q634" s="12">
        <f>IF(Q629&lt;&gt;0,IF(OR(Q$17=1,Q$18=1, Q$19=1, Q$20=1),'Assumptions - Passenger'!Q$18*Q629," "),0)</f>
        <v>8750</v>
      </c>
      <c r="R634" s="12">
        <f>IF(R629&lt;&gt;0,IF(OR(R$17=1,R$18=1, R$19=1, R$20=1),'Assumptions - Passenger'!R$18*R629," "),0)</f>
        <v>9062.5</v>
      </c>
      <c r="S634" s="12">
        <f>IF(S629&lt;&gt;0,IF(OR(S$17=1,S$18=1, S$19=1, S$20=1),'Assumptions - Passenger'!S$18*S629," "),0)</f>
        <v>9375</v>
      </c>
      <c r="T634" s="12">
        <f>IF(T629&lt;&gt;0,IF(OR(T$17=1,T$18=1, T$19=1, T$20=1),'Assumptions - Passenger'!T$18*T629," "),0)</f>
        <v>9687.5</v>
      </c>
      <c r="U634" s="12">
        <f>IF(U629&lt;&gt;0,IF(OR(U$17=1,U$18=1, U$19=1, U$20=1),'Assumptions - Passenger'!U$18*U629," "),0)</f>
        <v>10000</v>
      </c>
      <c r="V634" s="12">
        <f>IF(V629&lt;&gt;0,IF(OR(V$17=1,V$18=1, V$19=1, V$20=1),'Assumptions - Passenger'!V$18*V629," "),0)</f>
        <v>10312.5</v>
      </c>
      <c r="W634" s="12">
        <f>IF(W629&lt;&gt;0,IF(OR(W$17=1,W$18=1, W$19=1, W$20=1),'Assumptions - Passenger'!W$18*W629," "),0)</f>
        <v>10625</v>
      </c>
      <c r="X634" s="12">
        <f>IF(X629&lt;&gt;0,IF(OR(X$17=1,X$18=1, X$19=1, X$20=1),'Assumptions - Passenger'!X$18*X629," "),0)</f>
        <v>10937.5</v>
      </c>
      <c r="Y634" s="12">
        <f>IF(Y629&lt;&gt;0,IF(OR(Y$17=1,Y$18=1, Y$19=1, Y$20=1),'Assumptions - Passenger'!Y$18*Y629," "),0)</f>
        <v>11250</v>
      </c>
      <c r="Z634" s="12">
        <f>IF(Z629&lt;&gt;0,IF(OR(Z$17=1,Z$18=1, Z$19=1, Z$20=1),'Assumptions - Passenger'!Z$18*Z629," "),0)</f>
        <v>11562.5</v>
      </c>
      <c r="AA634" s="12">
        <f>IF(AA629&lt;&gt;0,IF(OR(AA$17=1,AA$18=1, AA$19=1, AA$20=1),'Assumptions - Passenger'!AA$18*AA629," "),0)</f>
        <v>11875</v>
      </c>
      <c r="AB634" s="12">
        <f>IF(AB629&lt;&gt;0,IF(OR(AB$17=1,AB$18=1, AB$19=1, AB$20=1),'Assumptions - Passenger'!AB$18*AB629," "),0)</f>
        <v>12187.5</v>
      </c>
      <c r="AC634" s="12">
        <f>IF(AC629&lt;&gt;0,IF(OR(AC$17=1,AC$18=1, AC$19=1, AC$20=1),'Assumptions - Passenger'!AC$18*AC629," "),0)</f>
        <v>12500</v>
      </c>
      <c r="AD634" s="12">
        <f>IF(AD629&lt;&gt;0,IF(OR(AD$17=1,AD$18=1, AD$19=1, AD$20=1),'Assumptions - Passenger'!AD$18*AD629," "),0)</f>
        <v>12812.5</v>
      </c>
      <c r="AE634" s="12">
        <f>IF(AE629&lt;&gt;0,IF(OR(AE$17=1,AE$18=1, AE$19=1, AE$20=1),'Assumptions - Passenger'!AE$18*AE629," "),0)</f>
        <v>13125</v>
      </c>
      <c r="AF634" s="12">
        <f>IF(AF629&lt;&gt;0,IF(OR(AF$17=1,AF$18=1, AF$19=1, AF$20=1),'Assumptions - Passenger'!AF$18*AF629," "),0)</f>
        <v>13437.5</v>
      </c>
      <c r="AG634" s="12">
        <f>IF(AG629&lt;&gt;0,IF(OR(AG$17=1,AG$18=1, AG$19=1, AG$20=1),'Assumptions - Passenger'!AG$18*AG629," "),0)</f>
        <v>13750</v>
      </c>
      <c r="AH634" s="12">
        <f>IF(AH629&lt;&gt;0,IF(OR(AH$17=1,AH$18=1, AH$19=1, AH$20=1),'Assumptions - Passenger'!AH$18*AH629," "),0)</f>
        <v>14062.5</v>
      </c>
    </row>
    <row r="635" spans="1:34" outlineLevel="1" x14ac:dyDescent="0.2">
      <c r="B635" s="8" t="str">
        <f>"Diesel traffic volume of " &amp;'Assumptions - Passenger'!E116</f>
        <v>Diesel traffic volume of Sub-urban passenger</v>
      </c>
      <c r="C635" s="8"/>
      <c r="D635" s="8" t="str">
        <f>D634</f>
        <v>GTK (millions)</v>
      </c>
      <c r="E635" s="12">
        <f>IF(E630&lt;&gt;0,IF(OR(E$17=1,E$18=1, E$19=1, E$20=1),'Assumptions - Passenger'!E$18*E630," "),0)</f>
        <v>5000</v>
      </c>
      <c r="F635" s="12">
        <f>IF(F630&lt;&gt;0,IF(OR(F$17=1,F$18=1, F$19=1, F$20=1),'Assumptions - Passenger'!F$18*F630," "),0)</f>
        <v>5312.5</v>
      </c>
      <c r="G635" s="12">
        <f>IF(G630&lt;&gt;0,IF(OR(G$17=1,G$18=1, G$19=1, G$20=1),'Assumptions - Passenger'!G$18*G630," "),0)</f>
        <v>5312.5</v>
      </c>
      <c r="H635" s="12">
        <f>IF(H630&lt;&gt;0,IF(OR(H$17=1,H$18=1, H$19=1, H$20=1),'Assumptions - Passenger'!H$18*H630," "),0)</f>
        <v>5625</v>
      </c>
      <c r="I635" s="12">
        <f>IF(I630&lt;&gt;0,IF(OR(I$17=1,I$18=1, I$19=1, I$20=1),'Assumptions - Passenger'!I$18*I630," "),0)</f>
        <v>6250</v>
      </c>
      <c r="J635" s="12">
        <f>IF(J630&lt;&gt;0,IF(OR(J$17=1,J$18=1, J$19=1, J$20=1),'Assumptions - Passenger'!J$18*J630," "),0)</f>
        <v>6562.5</v>
      </c>
      <c r="K635" s="12">
        <f>IF(K630&lt;&gt;0,IF(OR(K$17=1,K$18=1, K$19=1, K$20=1),'Assumptions - Passenger'!K$18*K630," "),0)</f>
        <v>6875</v>
      </c>
      <c r="L635" s="12">
        <f>IF(L630&lt;&gt;0,IF(OR(L$17=1,L$18=1, L$19=1, L$20=1),'Assumptions - Passenger'!L$18*L630," "),0)</f>
        <v>7187.5</v>
      </c>
      <c r="M635" s="12">
        <f>IF(M630&lt;&gt;0,IF(OR(M$17=1,M$18=1, M$19=1, M$20=1),'Assumptions - Passenger'!M$18*M630," "),0)</f>
        <v>7500</v>
      </c>
      <c r="N635" s="12">
        <f>IF(N630&lt;&gt;0,IF(OR(N$17=1,N$18=1, N$19=1, N$20=1),'Assumptions - Passenger'!N$18*N630," "),0)</f>
        <v>7812.5</v>
      </c>
      <c r="O635" s="12">
        <f>IF(O630&lt;&gt;0,IF(OR(O$17=1,O$18=1, O$19=1, O$20=1),'Assumptions - Passenger'!O$18*O630," "),0)</f>
        <v>8125</v>
      </c>
      <c r="P635" s="12">
        <f>IF(P630&lt;&gt;0,IF(OR(P$17=1,P$18=1, P$19=1, P$20=1),'Assumptions - Passenger'!P$18*P630," "),0)</f>
        <v>8437.5</v>
      </c>
      <c r="Q635" s="12">
        <f>IF(Q630&lt;&gt;0,IF(OR(Q$17=1,Q$18=1, Q$19=1, Q$20=1),'Assumptions - Passenger'!Q$18*Q630," "),0)</f>
        <v>8750</v>
      </c>
      <c r="R635" s="12">
        <f>IF(R630&lt;&gt;0,IF(OR(R$17=1,R$18=1, R$19=1, R$20=1),'Assumptions - Passenger'!R$18*R630," "),0)</f>
        <v>9062.5</v>
      </c>
      <c r="S635" s="12">
        <f>IF(S630&lt;&gt;0,IF(OR(S$17=1,S$18=1, S$19=1, S$20=1),'Assumptions - Passenger'!S$18*S630," "),0)</f>
        <v>9375</v>
      </c>
      <c r="T635" s="12">
        <f>IF(T630&lt;&gt;0,IF(OR(T$17=1,T$18=1, T$19=1, T$20=1),'Assumptions - Passenger'!T$18*T630," "),0)</f>
        <v>9687.5</v>
      </c>
      <c r="U635" s="12">
        <f>IF(U630&lt;&gt;0,IF(OR(U$17=1,U$18=1, U$19=1, U$20=1),'Assumptions - Passenger'!U$18*U630," "),0)</f>
        <v>10000</v>
      </c>
      <c r="V635" s="12">
        <f>IF(V630&lt;&gt;0,IF(OR(V$17=1,V$18=1, V$19=1, V$20=1),'Assumptions - Passenger'!V$18*V630," "),0)</f>
        <v>10312.5</v>
      </c>
      <c r="W635" s="12">
        <f>IF(W630&lt;&gt;0,IF(OR(W$17=1,W$18=1, W$19=1, W$20=1),'Assumptions - Passenger'!W$18*W630," "),0)</f>
        <v>10625</v>
      </c>
      <c r="X635" s="12">
        <f>IF(X630&lt;&gt;0,IF(OR(X$17=1,X$18=1, X$19=1, X$20=1),'Assumptions - Passenger'!X$18*X630," "),0)</f>
        <v>10937.5</v>
      </c>
      <c r="Y635" s="12">
        <f>IF(Y630&lt;&gt;0,IF(OR(Y$17=1,Y$18=1, Y$19=1, Y$20=1),'Assumptions - Passenger'!Y$18*Y630," "),0)</f>
        <v>11250</v>
      </c>
      <c r="Z635" s="12">
        <f>IF(Z630&lt;&gt;0,IF(OR(Z$17=1,Z$18=1, Z$19=1, Z$20=1),'Assumptions - Passenger'!Z$18*Z630," "),0)</f>
        <v>11562.5</v>
      </c>
      <c r="AA635" s="12">
        <f>IF(AA630&lt;&gt;0,IF(OR(AA$17=1,AA$18=1, AA$19=1, AA$20=1),'Assumptions - Passenger'!AA$18*AA630," "),0)</f>
        <v>11875</v>
      </c>
      <c r="AB635" s="12">
        <f>IF(AB630&lt;&gt;0,IF(OR(AB$17=1,AB$18=1, AB$19=1, AB$20=1),'Assumptions - Passenger'!AB$18*AB630," "),0)</f>
        <v>12187.5</v>
      </c>
      <c r="AC635" s="12">
        <f>IF(AC630&lt;&gt;0,IF(OR(AC$17=1,AC$18=1, AC$19=1, AC$20=1),'Assumptions - Passenger'!AC$18*AC630," "),0)</f>
        <v>12500</v>
      </c>
      <c r="AD635" s="12">
        <f>IF(AD630&lt;&gt;0,IF(OR(AD$17=1,AD$18=1, AD$19=1, AD$20=1),'Assumptions - Passenger'!AD$18*AD630," "),0)</f>
        <v>12812.5</v>
      </c>
      <c r="AE635" s="12">
        <f>IF(AE630&lt;&gt;0,IF(OR(AE$17=1,AE$18=1, AE$19=1, AE$20=1),'Assumptions - Passenger'!AE$18*AE630," "),0)</f>
        <v>13125</v>
      </c>
      <c r="AF635" s="12">
        <f>IF(AF630&lt;&gt;0,IF(OR(AF$17=1,AF$18=1, AF$19=1, AF$20=1),'Assumptions - Passenger'!AF$18*AF630," "),0)</f>
        <v>13437.5</v>
      </c>
      <c r="AG635" s="12">
        <f>IF(AG630&lt;&gt;0,IF(OR(AG$17=1,AG$18=1, AG$19=1, AG$20=1),'Assumptions - Passenger'!AG$18*AG630," "),0)</f>
        <v>13750</v>
      </c>
      <c r="AH635" s="12">
        <f>IF(AH630&lt;&gt;0,IF(OR(AH$17=1,AH$18=1, AH$19=1, AH$20=1),'Assumptions - Passenger'!AH$18*AH630," "),0)</f>
        <v>14062.5</v>
      </c>
    </row>
    <row r="636" spans="1:34" outlineLevel="1" x14ac:dyDescent="0.2">
      <c r="B636" s="30" t="s">
        <v>460</v>
      </c>
      <c r="C636" s="8"/>
      <c r="D636" s="8" t="str">
        <f>D635</f>
        <v>GTK (millions)</v>
      </c>
      <c r="E636" s="12">
        <f>IF(OR(E$17=1,E$18=1, E$19=1, E$20=1),SUM(E633:E635)," ")</f>
        <v>15000</v>
      </c>
      <c r="F636" s="12">
        <f t="shared" ref="F636:AH636" si="257">IF(OR(F$17=1,F$18=1, F$19=1, F$20=1),SUM(F633:F635)," ")</f>
        <v>15937.5</v>
      </c>
      <c r="G636" s="12">
        <f t="shared" si="257"/>
        <v>15937.5</v>
      </c>
      <c r="H636" s="12">
        <f t="shared" si="257"/>
        <v>16875</v>
      </c>
      <c r="I636" s="12">
        <f t="shared" si="257"/>
        <v>18750</v>
      </c>
      <c r="J636" s="12">
        <f t="shared" si="257"/>
        <v>19687.5</v>
      </c>
      <c r="K636" s="12">
        <f t="shared" si="257"/>
        <v>20625</v>
      </c>
      <c r="L636" s="12">
        <f t="shared" si="257"/>
        <v>21562.5</v>
      </c>
      <c r="M636" s="12">
        <f t="shared" si="257"/>
        <v>22500</v>
      </c>
      <c r="N636" s="12">
        <f t="shared" si="257"/>
        <v>23437.5</v>
      </c>
      <c r="O636" s="12">
        <f t="shared" si="257"/>
        <v>24375</v>
      </c>
      <c r="P636" s="12">
        <f t="shared" si="257"/>
        <v>25312.5</v>
      </c>
      <c r="Q636" s="12">
        <f t="shared" si="257"/>
        <v>26250</v>
      </c>
      <c r="R636" s="12">
        <f t="shared" si="257"/>
        <v>27187.5</v>
      </c>
      <c r="S636" s="12">
        <f t="shared" si="257"/>
        <v>28125</v>
      </c>
      <c r="T636" s="12">
        <f t="shared" si="257"/>
        <v>29062.5</v>
      </c>
      <c r="U636" s="12">
        <f t="shared" si="257"/>
        <v>30000</v>
      </c>
      <c r="V636" s="12">
        <f t="shared" si="257"/>
        <v>30937.5</v>
      </c>
      <c r="W636" s="12">
        <f t="shared" si="257"/>
        <v>31875</v>
      </c>
      <c r="X636" s="12">
        <f t="shared" si="257"/>
        <v>32812.5</v>
      </c>
      <c r="Y636" s="12">
        <f t="shared" si="257"/>
        <v>33750</v>
      </c>
      <c r="Z636" s="12">
        <f t="shared" si="257"/>
        <v>34687.5</v>
      </c>
      <c r="AA636" s="12">
        <f t="shared" si="257"/>
        <v>35625</v>
      </c>
      <c r="AB636" s="12">
        <f t="shared" si="257"/>
        <v>36562.5</v>
      </c>
      <c r="AC636" s="12">
        <f t="shared" si="257"/>
        <v>37500</v>
      </c>
      <c r="AD636" s="12">
        <f t="shared" si="257"/>
        <v>38437.5</v>
      </c>
      <c r="AE636" s="12">
        <f t="shared" si="257"/>
        <v>39375</v>
      </c>
      <c r="AF636" s="12">
        <f t="shared" si="257"/>
        <v>40312.5</v>
      </c>
      <c r="AG636" s="12">
        <f t="shared" si="257"/>
        <v>41250</v>
      </c>
      <c r="AH636" s="12">
        <f t="shared" si="257"/>
        <v>42187.5</v>
      </c>
    </row>
    <row r="637" spans="1:34" outlineLevel="1" x14ac:dyDescent="0.2">
      <c r="A637" s="18"/>
      <c r="B637" s="14"/>
    </row>
    <row r="638" spans="1:34" outlineLevel="1" x14ac:dyDescent="0.2">
      <c r="B638" s="8" t="str">
        <f>"Electric traffic volume of " &amp;'Assumptions - Passenger'!E114</f>
        <v>Electric traffic volume of Domestic passenger</v>
      </c>
      <c r="C638" s="8"/>
      <c r="D638" s="8" t="s">
        <v>286</v>
      </c>
      <c r="E638" s="12">
        <f>IF(E628&lt;&gt;0,IF(OR(E$17=1,E$18=1, E$19=1, E$20=1),E628-E633," "),0)</f>
        <v>5000</v>
      </c>
      <c r="F638" s="12">
        <f t="shared" ref="F638:AH638" si="258">IF(F628&lt;&gt;0,IF(OR(F$17=1,F$18=1, F$19=1, F$20=1),F628-F633," "),0)</f>
        <v>5312.5</v>
      </c>
      <c r="G638" s="12">
        <f t="shared" si="258"/>
        <v>5312.5</v>
      </c>
      <c r="H638" s="12">
        <f t="shared" si="258"/>
        <v>5625</v>
      </c>
      <c r="I638" s="12">
        <f t="shared" si="258"/>
        <v>6250</v>
      </c>
      <c r="J638" s="12">
        <f t="shared" si="258"/>
        <v>6562.5</v>
      </c>
      <c r="K638" s="12">
        <f t="shared" si="258"/>
        <v>6875</v>
      </c>
      <c r="L638" s="12">
        <f t="shared" si="258"/>
        <v>7187.5</v>
      </c>
      <c r="M638" s="12">
        <f t="shared" si="258"/>
        <v>7500</v>
      </c>
      <c r="N638" s="12">
        <f t="shared" si="258"/>
        <v>7812.5</v>
      </c>
      <c r="O638" s="12">
        <f t="shared" si="258"/>
        <v>8125</v>
      </c>
      <c r="P638" s="12">
        <f t="shared" si="258"/>
        <v>8437.5</v>
      </c>
      <c r="Q638" s="12">
        <f t="shared" si="258"/>
        <v>8750</v>
      </c>
      <c r="R638" s="12">
        <f t="shared" si="258"/>
        <v>9062.5</v>
      </c>
      <c r="S638" s="12">
        <f t="shared" si="258"/>
        <v>9375</v>
      </c>
      <c r="T638" s="12">
        <f t="shared" si="258"/>
        <v>9687.5</v>
      </c>
      <c r="U638" s="12">
        <f t="shared" si="258"/>
        <v>10000</v>
      </c>
      <c r="V638" s="12">
        <f t="shared" si="258"/>
        <v>10312.5</v>
      </c>
      <c r="W638" s="12">
        <f t="shared" si="258"/>
        <v>10625</v>
      </c>
      <c r="X638" s="12">
        <f t="shared" si="258"/>
        <v>10937.5</v>
      </c>
      <c r="Y638" s="12">
        <f t="shared" si="258"/>
        <v>11250</v>
      </c>
      <c r="Z638" s="12">
        <f t="shared" si="258"/>
        <v>11562.5</v>
      </c>
      <c r="AA638" s="12">
        <f t="shared" si="258"/>
        <v>11875</v>
      </c>
      <c r="AB638" s="12">
        <f t="shared" si="258"/>
        <v>12187.5</v>
      </c>
      <c r="AC638" s="12">
        <f t="shared" si="258"/>
        <v>12500</v>
      </c>
      <c r="AD638" s="12">
        <f t="shared" si="258"/>
        <v>12812.5</v>
      </c>
      <c r="AE638" s="12">
        <f t="shared" si="258"/>
        <v>13125</v>
      </c>
      <c r="AF638" s="12">
        <f t="shared" si="258"/>
        <v>13437.5</v>
      </c>
      <c r="AG638" s="12">
        <f t="shared" si="258"/>
        <v>13750</v>
      </c>
      <c r="AH638" s="12">
        <f t="shared" si="258"/>
        <v>14062.5</v>
      </c>
    </row>
    <row r="639" spans="1:34" outlineLevel="1" x14ac:dyDescent="0.2">
      <c r="B639" s="8" t="str">
        <f>"Electric traffic volume of " &amp;'Assumptions - Passenger'!E115</f>
        <v>Electric traffic volume of International passenger</v>
      </c>
      <c r="C639" s="8"/>
      <c r="D639" s="8" t="str">
        <f>D638</f>
        <v>GTK (millions)</v>
      </c>
      <c r="E639" s="12">
        <f>IF(E629&lt;&gt;0,IF(OR(E$17=1,E$18=1, E$19=1, E$20=1),E629-E634," "),0)</f>
        <v>5000</v>
      </c>
      <c r="F639" s="12">
        <f t="shared" ref="F639:AH639" si="259">IF(F629&lt;&gt;0,IF(OR(F$17=1,F$18=1, F$19=1, F$20=1),F629-F634," "),0)</f>
        <v>5312.5</v>
      </c>
      <c r="G639" s="12">
        <f t="shared" si="259"/>
        <v>5312.5</v>
      </c>
      <c r="H639" s="12">
        <f t="shared" si="259"/>
        <v>5625</v>
      </c>
      <c r="I639" s="12">
        <f t="shared" si="259"/>
        <v>6250</v>
      </c>
      <c r="J639" s="12">
        <f t="shared" si="259"/>
        <v>6562.5</v>
      </c>
      <c r="K639" s="12">
        <f t="shared" si="259"/>
        <v>6875</v>
      </c>
      <c r="L639" s="12">
        <f t="shared" si="259"/>
        <v>7187.5</v>
      </c>
      <c r="M639" s="12">
        <f t="shared" si="259"/>
        <v>7500</v>
      </c>
      <c r="N639" s="12">
        <f t="shared" si="259"/>
        <v>7812.5</v>
      </c>
      <c r="O639" s="12">
        <f t="shared" si="259"/>
        <v>8125</v>
      </c>
      <c r="P639" s="12">
        <f t="shared" si="259"/>
        <v>8437.5</v>
      </c>
      <c r="Q639" s="12">
        <f t="shared" si="259"/>
        <v>8750</v>
      </c>
      <c r="R639" s="12">
        <f t="shared" si="259"/>
        <v>9062.5</v>
      </c>
      <c r="S639" s="12">
        <f t="shared" si="259"/>
        <v>9375</v>
      </c>
      <c r="T639" s="12">
        <f t="shared" si="259"/>
        <v>9687.5</v>
      </c>
      <c r="U639" s="12">
        <f t="shared" si="259"/>
        <v>10000</v>
      </c>
      <c r="V639" s="12">
        <f t="shared" si="259"/>
        <v>10312.5</v>
      </c>
      <c r="W639" s="12">
        <f t="shared" si="259"/>
        <v>10625</v>
      </c>
      <c r="X639" s="12">
        <f t="shared" si="259"/>
        <v>10937.5</v>
      </c>
      <c r="Y639" s="12">
        <f t="shared" si="259"/>
        <v>11250</v>
      </c>
      <c r="Z639" s="12">
        <f t="shared" si="259"/>
        <v>11562.5</v>
      </c>
      <c r="AA639" s="12">
        <f t="shared" si="259"/>
        <v>11875</v>
      </c>
      <c r="AB639" s="12">
        <f t="shared" si="259"/>
        <v>12187.5</v>
      </c>
      <c r="AC639" s="12">
        <f t="shared" si="259"/>
        <v>12500</v>
      </c>
      <c r="AD639" s="12">
        <f t="shared" si="259"/>
        <v>12812.5</v>
      </c>
      <c r="AE639" s="12">
        <f t="shared" si="259"/>
        <v>13125</v>
      </c>
      <c r="AF639" s="12">
        <f t="shared" si="259"/>
        <v>13437.5</v>
      </c>
      <c r="AG639" s="12">
        <f t="shared" si="259"/>
        <v>13750</v>
      </c>
      <c r="AH639" s="12">
        <f t="shared" si="259"/>
        <v>14062.5</v>
      </c>
    </row>
    <row r="640" spans="1:34" outlineLevel="1" x14ac:dyDescent="0.2">
      <c r="B640" s="8" t="str">
        <f>"Electric traffic volume of " &amp;'Assumptions - Passenger'!E116</f>
        <v>Electric traffic volume of Sub-urban passenger</v>
      </c>
      <c r="C640" s="8"/>
      <c r="D640" s="8" t="str">
        <f>D639</f>
        <v>GTK (millions)</v>
      </c>
      <c r="E640" s="12">
        <f>IF(E630&lt;&gt;0,IF(OR(E$17=1,E$18=1, E$19=1, E$20=1),E630-E635," "),0)</f>
        <v>5000</v>
      </c>
      <c r="F640" s="12">
        <f t="shared" ref="F640:AH640" si="260">IF(F630&lt;&gt;0,IF(OR(F$17=1,F$18=1, F$19=1, F$20=1),F630-F635," "),0)</f>
        <v>5312.5</v>
      </c>
      <c r="G640" s="12">
        <f t="shared" si="260"/>
        <v>5312.5</v>
      </c>
      <c r="H640" s="12">
        <f t="shared" si="260"/>
        <v>5625</v>
      </c>
      <c r="I640" s="12">
        <f t="shared" si="260"/>
        <v>6250</v>
      </c>
      <c r="J640" s="12">
        <f t="shared" si="260"/>
        <v>6562.5</v>
      </c>
      <c r="K640" s="12">
        <f t="shared" si="260"/>
        <v>6875</v>
      </c>
      <c r="L640" s="12">
        <f t="shared" si="260"/>
        <v>7187.5</v>
      </c>
      <c r="M640" s="12">
        <f t="shared" si="260"/>
        <v>7500</v>
      </c>
      <c r="N640" s="12">
        <f t="shared" si="260"/>
        <v>7812.5</v>
      </c>
      <c r="O640" s="12">
        <f t="shared" si="260"/>
        <v>8125</v>
      </c>
      <c r="P640" s="12">
        <f t="shared" si="260"/>
        <v>8437.5</v>
      </c>
      <c r="Q640" s="12">
        <f t="shared" si="260"/>
        <v>8750</v>
      </c>
      <c r="R640" s="12">
        <f t="shared" si="260"/>
        <v>9062.5</v>
      </c>
      <c r="S640" s="12">
        <f t="shared" si="260"/>
        <v>9375</v>
      </c>
      <c r="T640" s="12">
        <f t="shared" si="260"/>
        <v>9687.5</v>
      </c>
      <c r="U640" s="12">
        <f t="shared" si="260"/>
        <v>10000</v>
      </c>
      <c r="V640" s="12">
        <f t="shared" si="260"/>
        <v>10312.5</v>
      </c>
      <c r="W640" s="12">
        <f t="shared" si="260"/>
        <v>10625</v>
      </c>
      <c r="X640" s="12">
        <f t="shared" si="260"/>
        <v>10937.5</v>
      </c>
      <c r="Y640" s="12">
        <f t="shared" si="260"/>
        <v>11250</v>
      </c>
      <c r="Z640" s="12">
        <f t="shared" si="260"/>
        <v>11562.5</v>
      </c>
      <c r="AA640" s="12">
        <f t="shared" si="260"/>
        <v>11875</v>
      </c>
      <c r="AB640" s="12">
        <f t="shared" si="260"/>
        <v>12187.5</v>
      </c>
      <c r="AC640" s="12">
        <f t="shared" si="260"/>
        <v>12500</v>
      </c>
      <c r="AD640" s="12">
        <f t="shared" si="260"/>
        <v>12812.5</v>
      </c>
      <c r="AE640" s="12">
        <f t="shared" si="260"/>
        <v>13125</v>
      </c>
      <c r="AF640" s="12">
        <f t="shared" si="260"/>
        <v>13437.5</v>
      </c>
      <c r="AG640" s="12">
        <f t="shared" si="260"/>
        <v>13750</v>
      </c>
      <c r="AH640" s="12">
        <f t="shared" si="260"/>
        <v>14062.5</v>
      </c>
    </row>
    <row r="641" spans="1:34" outlineLevel="1" x14ac:dyDescent="0.2">
      <c r="B641" s="30" t="s">
        <v>460</v>
      </c>
      <c r="C641" s="8"/>
      <c r="D641" s="8" t="str">
        <f>D640</f>
        <v>GTK (millions)</v>
      </c>
      <c r="E641" s="12">
        <f>IF(OR(E$17=1,E$18=1, E$19=1, E$20=1),SUM(E638:E640)," ")</f>
        <v>15000</v>
      </c>
      <c r="F641" s="12">
        <f t="shared" ref="F641:AH641" si="261">IF(OR(F$17=1,F$18=1, F$19=1, F$20=1),SUM(F638:F640)," ")</f>
        <v>15937.5</v>
      </c>
      <c r="G641" s="12">
        <f t="shared" si="261"/>
        <v>15937.5</v>
      </c>
      <c r="H641" s="12">
        <f t="shared" si="261"/>
        <v>16875</v>
      </c>
      <c r="I641" s="12">
        <f t="shared" si="261"/>
        <v>18750</v>
      </c>
      <c r="J641" s="12">
        <f t="shared" si="261"/>
        <v>19687.5</v>
      </c>
      <c r="K641" s="12">
        <f t="shared" si="261"/>
        <v>20625</v>
      </c>
      <c r="L641" s="12">
        <f t="shared" si="261"/>
        <v>21562.5</v>
      </c>
      <c r="M641" s="12">
        <f t="shared" si="261"/>
        <v>22500</v>
      </c>
      <c r="N641" s="12">
        <f t="shared" si="261"/>
        <v>23437.5</v>
      </c>
      <c r="O641" s="12">
        <f t="shared" si="261"/>
        <v>24375</v>
      </c>
      <c r="P641" s="12">
        <f t="shared" si="261"/>
        <v>25312.5</v>
      </c>
      <c r="Q641" s="12">
        <f t="shared" si="261"/>
        <v>26250</v>
      </c>
      <c r="R641" s="12">
        <f t="shared" si="261"/>
        <v>27187.5</v>
      </c>
      <c r="S641" s="12">
        <f t="shared" si="261"/>
        <v>28125</v>
      </c>
      <c r="T641" s="12">
        <f t="shared" si="261"/>
        <v>29062.5</v>
      </c>
      <c r="U641" s="12">
        <f t="shared" si="261"/>
        <v>30000</v>
      </c>
      <c r="V641" s="12">
        <f t="shared" si="261"/>
        <v>30937.5</v>
      </c>
      <c r="W641" s="12">
        <f t="shared" si="261"/>
        <v>31875</v>
      </c>
      <c r="X641" s="12">
        <f t="shared" si="261"/>
        <v>32812.5</v>
      </c>
      <c r="Y641" s="12">
        <f t="shared" si="261"/>
        <v>33750</v>
      </c>
      <c r="Z641" s="12">
        <f t="shared" si="261"/>
        <v>34687.5</v>
      </c>
      <c r="AA641" s="12">
        <f t="shared" si="261"/>
        <v>35625</v>
      </c>
      <c r="AB641" s="12">
        <f t="shared" si="261"/>
        <v>36562.5</v>
      </c>
      <c r="AC641" s="12">
        <f t="shared" si="261"/>
        <v>37500</v>
      </c>
      <c r="AD641" s="12">
        <f t="shared" si="261"/>
        <v>38437.5</v>
      </c>
      <c r="AE641" s="12">
        <f t="shared" si="261"/>
        <v>39375</v>
      </c>
      <c r="AF641" s="12">
        <f t="shared" si="261"/>
        <v>40312.5</v>
      </c>
      <c r="AG641" s="12">
        <f t="shared" si="261"/>
        <v>41250</v>
      </c>
      <c r="AH641" s="12">
        <f t="shared" si="261"/>
        <v>42187.5</v>
      </c>
    </row>
    <row r="642" spans="1:34" x14ac:dyDescent="0.2">
      <c r="A642" s="18"/>
      <c r="B642" s="14"/>
      <c r="F642" s="11"/>
      <c r="G642" s="11"/>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row>
    <row r="643" spans="1:34" x14ac:dyDescent="0.2">
      <c r="A643" s="324"/>
      <c r="B643" s="323" t="str">
        <f>"Fares and revenue for " &amp;'Assumptions - General'!$E$25</f>
        <v>Fares and revenue for Ruritania Passenger Rail Company</v>
      </c>
      <c r="C643" s="324"/>
      <c r="D643" s="324"/>
      <c r="E643" s="324"/>
      <c r="F643" s="324"/>
      <c r="G643" s="324"/>
      <c r="H643" s="324"/>
      <c r="I643" s="324"/>
      <c r="J643" s="324"/>
      <c r="K643" s="324"/>
      <c r="L643" s="324"/>
      <c r="M643" s="324"/>
      <c r="N643" s="324"/>
      <c r="O643" s="324"/>
      <c r="P643" s="324"/>
      <c r="Q643" s="324"/>
      <c r="R643" s="324"/>
      <c r="S643" s="324"/>
      <c r="T643" s="324"/>
      <c r="U643" s="324"/>
      <c r="V643" s="324"/>
      <c r="W643" s="324"/>
      <c r="X643" s="324"/>
      <c r="Y643" s="324"/>
      <c r="Z643" s="324"/>
      <c r="AA643" s="324"/>
      <c r="AB643" s="324"/>
      <c r="AC643" s="324"/>
      <c r="AD643" s="324"/>
      <c r="AE643" s="324"/>
      <c r="AF643" s="324"/>
      <c r="AG643" s="324"/>
      <c r="AH643" s="324"/>
    </row>
    <row r="644" spans="1:34" x14ac:dyDescent="0.2">
      <c r="A644" s="18"/>
      <c r="B644" s="7"/>
      <c r="C644" s="8"/>
      <c r="D644" s="8"/>
      <c r="E644" s="9"/>
      <c r="F644" s="9"/>
      <c r="G644" s="9"/>
      <c r="H644" s="9"/>
      <c r="I644" s="9"/>
      <c r="J644" s="9"/>
      <c r="K644" s="9"/>
      <c r="L644" s="9"/>
      <c r="M644" s="9"/>
      <c r="N644" s="9"/>
      <c r="O644" s="9"/>
      <c r="P644" s="9"/>
      <c r="Q644" s="9"/>
      <c r="R644" s="9"/>
      <c r="S644" s="9"/>
      <c r="T644" s="9"/>
      <c r="U644" s="9"/>
      <c r="V644" s="9"/>
      <c r="W644" s="9"/>
      <c r="X644" s="9"/>
      <c r="Y644" s="9"/>
      <c r="Z644" s="9"/>
      <c r="AA644" s="9"/>
      <c r="AB644" s="9"/>
      <c r="AC644" s="9"/>
      <c r="AD644" s="9"/>
      <c r="AE644" s="9"/>
      <c r="AF644" s="9"/>
      <c r="AG644" s="9"/>
      <c r="AH644" s="9"/>
    </row>
    <row r="645" spans="1:34" outlineLevel="1" x14ac:dyDescent="0.2">
      <c r="B645" s="8" t="s">
        <v>474</v>
      </c>
      <c r="C645" s="8"/>
      <c r="D645" s="287">
        <f>IF('Scenarios - Consolidated'!F3=1,1,'Scenarios - Passenger'!F3)</f>
        <v>2</v>
      </c>
      <c r="E645" s="9"/>
      <c r="F645" s="9"/>
      <c r="G645" s="9"/>
      <c r="H645" s="9"/>
      <c r="I645" s="9"/>
      <c r="J645" s="9"/>
      <c r="K645" s="9"/>
      <c r="L645" s="9"/>
      <c r="M645" s="9"/>
      <c r="N645" s="9"/>
      <c r="O645" s="9"/>
      <c r="P645" s="9"/>
      <c r="Q645" s="9"/>
      <c r="R645" s="9"/>
      <c r="S645" s="9"/>
      <c r="T645" s="9"/>
      <c r="U645" s="9"/>
      <c r="V645" s="9"/>
      <c r="W645" s="9"/>
      <c r="X645" s="9"/>
      <c r="Y645" s="9"/>
      <c r="Z645" s="9"/>
      <c r="AA645" s="9"/>
      <c r="AB645" s="9"/>
      <c r="AC645" s="9"/>
      <c r="AD645" s="9"/>
      <c r="AE645" s="9"/>
      <c r="AF645" s="9"/>
      <c r="AG645" s="9"/>
      <c r="AH645" s="9"/>
    </row>
    <row r="646" spans="1:34" outlineLevel="1" x14ac:dyDescent="0.2">
      <c r="B646" s="8" t="s">
        <v>626</v>
      </c>
      <c r="C646" s="8"/>
      <c r="D646" s="224">
        <f>IF(AND('Scenarios - Consolidated'!F3=1,'Scenarios - Consolidated'!D20=1),'Scenarios - Consolidated'!D25,'Scenarios - Passenger'!D25)</f>
        <v>1</v>
      </c>
      <c r="E646" s="9"/>
      <c r="F646" s="9"/>
      <c r="G646" s="9"/>
      <c r="H646" s="9"/>
      <c r="I646" s="9"/>
      <c r="J646" s="9"/>
      <c r="K646" s="9"/>
      <c r="L646" s="9"/>
      <c r="M646" s="9"/>
      <c r="N646" s="9"/>
      <c r="O646" s="9"/>
      <c r="P646" s="9"/>
      <c r="Q646" s="9"/>
      <c r="R646" s="9"/>
      <c r="S646" s="9"/>
      <c r="T646" s="9"/>
      <c r="U646" s="9"/>
      <c r="V646" s="9"/>
      <c r="W646" s="9"/>
      <c r="X646" s="9"/>
      <c r="Y646" s="9"/>
      <c r="Z646" s="9"/>
      <c r="AA646" s="9"/>
      <c r="AB646" s="9"/>
      <c r="AC646" s="9"/>
      <c r="AD646" s="9"/>
      <c r="AE646" s="9"/>
      <c r="AF646" s="9"/>
      <c r="AG646" s="9"/>
      <c r="AH646" s="9"/>
    </row>
    <row r="647" spans="1:34" outlineLevel="1" x14ac:dyDescent="0.2">
      <c r="B647" s="8" t="s">
        <v>627</v>
      </c>
      <c r="C647" s="8"/>
      <c r="D647" s="288">
        <f>IF(AND('Scenarios - Consolidated'!F3=1,'Scenarios - Consolidated'!E20=1),'Scenarios - Consolidated'!E25,'Scenarios - Passenger'!E25)</f>
        <v>3.0000000000000027E-2</v>
      </c>
      <c r="E647" s="9"/>
      <c r="F647" s="9"/>
      <c r="G647" s="9"/>
      <c r="H647" s="9"/>
      <c r="I647" s="9"/>
      <c r="J647" s="9"/>
      <c r="K647" s="9"/>
      <c r="L647" s="9"/>
      <c r="M647" s="9"/>
      <c r="N647" s="9"/>
      <c r="O647" s="9"/>
      <c r="P647" s="9"/>
      <c r="Q647" s="9"/>
      <c r="R647" s="9"/>
      <c r="S647" s="9"/>
      <c r="T647" s="9"/>
      <c r="U647" s="9"/>
      <c r="V647" s="9"/>
      <c r="W647" s="9"/>
      <c r="X647" s="9"/>
      <c r="Y647" s="9"/>
      <c r="Z647" s="9"/>
      <c r="AA647" s="9"/>
      <c r="AB647" s="9"/>
      <c r="AC647" s="9"/>
      <c r="AD647" s="9"/>
      <c r="AE647" s="9"/>
      <c r="AF647" s="9"/>
      <c r="AG647" s="9"/>
      <c r="AH647" s="9"/>
    </row>
    <row r="648" spans="1:34" outlineLevel="1" x14ac:dyDescent="0.2">
      <c r="B648" s="30" t="s">
        <v>472</v>
      </c>
      <c r="C648" s="8"/>
      <c r="D648" s="287">
        <f>IF(AND('Scenarios - Consolidated'!F3=1,'Scenarios - Consolidated'!E20=1),1,IF('Scenarios - Passenger'!F3=1,'Scenarios - Passenger'!E20,2))</f>
        <v>2</v>
      </c>
      <c r="E648" s="9"/>
      <c r="F648" s="9"/>
      <c r="G648" s="9"/>
      <c r="H648" s="9"/>
      <c r="I648" s="9"/>
      <c r="J648" s="9"/>
      <c r="K648" s="9"/>
      <c r="L648" s="9"/>
      <c r="M648" s="9"/>
      <c r="N648" s="9"/>
      <c r="O648" s="9"/>
      <c r="P648" s="9"/>
      <c r="Q648" s="9"/>
      <c r="R648" s="9"/>
      <c r="S648" s="9"/>
      <c r="T648" s="9"/>
      <c r="U648" s="9"/>
      <c r="V648" s="9"/>
      <c r="W648" s="9"/>
      <c r="X648" s="9"/>
      <c r="Y648" s="9"/>
      <c r="Z648" s="9"/>
      <c r="AA648" s="9"/>
      <c r="AB648" s="9"/>
      <c r="AC648" s="9"/>
      <c r="AD648" s="9"/>
      <c r="AE648" s="9"/>
      <c r="AF648" s="9"/>
      <c r="AG648" s="9"/>
      <c r="AH648" s="9"/>
    </row>
    <row r="649" spans="1:34" x14ac:dyDescent="0.2">
      <c r="B649" s="7" t="s">
        <v>473</v>
      </c>
      <c r="C649" s="8"/>
      <c r="D649" s="8"/>
      <c r="E649" s="9"/>
      <c r="F649" s="9"/>
      <c r="G649" s="9"/>
      <c r="H649" s="9"/>
      <c r="I649" s="9"/>
      <c r="J649" s="9"/>
      <c r="K649" s="9"/>
      <c r="L649" s="9"/>
      <c r="M649" s="9"/>
      <c r="N649" s="9"/>
      <c r="O649" s="9"/>
      <c r="P649" s="9"/>
      <c r="Q649" s="9"/>
      <c r="R649" s="9"/>
      <c r="S649" s="9"/>
      <c r="T649" s="9"/>
      <c r="U649" s="9"/>
      <c r="V649" s="9"/>
      <c r="W649" s="9"/>
      <c r="X649" s="9"/>
      <c r="Y649" s="9"/>
      <c r="Z649" s="9"/>
      <c r="AA649" s="9"/>
      <c r="AB649" s="9"/>
      <c r="AC649" s="9"/>
      <c r="AD649" s="9"/>
      <c r="AE649" s="9"/>
      <c r="AF649" s="9"/>
      <c r="AG649" s="9"/>
      <c r="AH649" s="9"/>
    </row>
    <row r="650" spans="1:34" x14ac:dyDescent="0.2">
      <c r="B650" s="7"/>
      <c r="C650" s="8"/>
      <c r="D650" s="8"/>
      <c r="E650" s="9"/>
      <c r="F650" s="9"/>
      <c r="G650" s="9"/>
      <c r="H650" s="9"/>
      <c r="I650" s="9"/>
      <c r="J650" s="9"/>
      <c r="K650" s="9"/>
      <c r="L650" s="9"/>
      <c r="M650" s="9"/>
      <c r="N650" s="9"/>
      <c r="O650" s="9"/>
      <c r="P650" s="9"/>
      <c r="Q650" s="9"/>
      <c r="R650" s="9"/>
      <c r="S650" s="9"/>
      <c r="T650" s="9"/>
      <c r="U650" s="9"/>
      <c r="V650" s="9"/>
      <c r="W650" s="9"/>
      <c r="X650" s="9"/>
      <c r="Y650" s="9"/>
      <c r="Z650" s="9"/>
      <c r="AA650" s="9"/>
      <c r="AB650" s="9"/>
      <c r="AC650" s="9"/>
      <c r="AD650" s="9"/>
      <c r="AE650" s="9"/>
      <c r="AF650" s="9"/>
      <c r="AG650" s="9"/>
      <c r="AH650" s="9"/>
    </row>
    <row r="651" spans="1:34" x14ac:dyDescent="0.2">
      <c r="A651" s="18"/>
      <c r="B651" s="8" t="str">
        <f>'Assumptions - Passenger'!E114 &amp;" per-unit fare "</f>
        <v xml:space="preserve">Domestic passenger per-unit fare </v>
      </c>
      <c r="C651" s="8"/>
      <c r="D651" s="8" t="str">
        <f>'Assumptions - Passenger'!D137</f>
        <v>R$/Passenger-km</v>
      </c>
      <c r="E651" s="464">
        <f>IF(OR(E$17=1,E$18=1),IF($D$645=1,'Assumptions - Passenger'!E137*$D$646,'Assumptions - Passenger'!E137),0)</f>
        <v>1</v>
      </c>
      <c r="F651" s="115">
        <f>IF(OR(F$17=1,F$18=1),IF(AND($D$645=1,$D$648=1),E651*(1+$D$647),IF('Assumptions - Passenger'!$E$134=1,E651*('Assumptions - Passenger'!$E$138*'Assumptions - General'!F$37+1)*(1+'Assumptions - Passenger'!F$139),E651*(1+'Assumptions - Passenger'!F$139))),0)</f>
        <v>1.03</v>
      </c>
      <c r="G651" s="115">
        <f>IF(OR(G$17=1,G$18=1),IF(AND($D$645=1,$D$648=1),F651*(1+$D$647),IF('Assumptions - Passenger'!$E$134=1,F651*('Assumptions - Passenger'!$E$138*'Assumptions - General'!G$37+1)*(1+'Assumptions - Passenger'!G$139),F651*(1+'Assumptions - Passenger'!G$139))),0)</f>
        <v>1.0609</v>
      </c>
      <c r="H651" s="115">
        <f>IF(OR(H$17=1,H$18=1),IF(AND($D$645=1,$D$648=1),G651*(1+$D$647),IF('Assumptions - Passenger'!$E$134=1,G651*('Assumptions - Passenger'!$E$138*'Assumptions - General'!H$37+1)*(1+'Assumptions - Passenger'!H$139),G651*(1+'Assumptions - Passenger'!H$139))),0)</f>
        <v>1.092727</v>
      </c>
      <c r="I651" s="115">
        <f>IF(OR(I$17=1,I$18=1),IF(AND($D$645=1,$D$648=1),H651*(1+$D$647),IF('Assumptions - Passenger'!$E$134=1,H651*('Assumptions - Passenger'!$E$138*'Assumptions - General'!I$37+1)*(1+'Assumptions - Passenger'!I$139),H651*(1+'Assumptions - Passenger'!I$139))),0)</f>
        <v>1.1255088100000001</v>
      </c>
      <c r="J651" s="115">
        <f>IF(OR(J$17=1,J$18=1),IF(AND($D$645=1,$D$648=1),I651*(1+$D$647),IF('Assumptions - Passenger'!$E$134=1,I651*('Assumptions - Passenger'!$E$138*'Assumptions - General'!J$37+1)*(1+'Assumptions - Passenger'!J$139),I651*(1+'Assumptions - Passenger'!J$139))),0)</f>
        <v>1.1592740743000001</v>
      </c>
      <c r="K651" s="115">
        <f>IF(OR(K$17=1,K$18=1),IF(AND($D$645=1,$D$648=1),J651*(1+$D$647),IF('Assumptions - Passenger'!$E$134=1,J651*('Assumptions - Passenger'!$E$138*'Assumptions - General'!K$37+1)*(1+'Assumptions - Passenger'!K$139),J651*(1+'Assumptions - Passenger'!K$139))),0)</f>
        <v>1.1940522965290001</v>
      </c>
      <c r="L651" s="115">
        <f>IF(OR(L$17=1,L$18=1),IF(AND($D$645=1,$D$648=1),K651*(1+$D$647),IF('Assumptions - Passenger'!$E$134=1,K651*('Assumptions - Passenger'!$E$138*'Assumptions - General'!L$37+1)*(1+'Assumptions - Passenger'!L$139),K651*(1+'Assumptions - Passenger'!L$139))),0)</f>
        <v>1.2298738654248702</v>
      </c>
      <c r="M651" s="115">
        <f>IF(OR(M$17=1,M$18=1),IF(AND($D$645=1,$D$648=1),L651*(1+$D$647),IF('Assumptions - Passenger'!$E$134=1,L651*('Assumptions - Passenger'!$E$138*'Assumptions - General'!M$37+1)*(1+'Assumptions - Passenger'!M$139),L651*(1+'Assumptions - Passenger'!M$139))),0)</f>
        <v>1.2667700813876164</v>
      </c>
      <c r="N651" s="115">
        <f>IF(OR(N$17=1,N$18=1),IF(AND($D$645=1,$D$648=1),M651*(1+$D$647),IF('Assumptions - Passenger'!$E$134=1,M651*('Assumptions - Passenger'!$E$138*'Assumptions - General'!N$37+1)*(1+'Assumptions - Passenger'!N$139),M651*(1+'Assumptions - Passenger'!N$139))),0)</f>
        <v>1.3047731838292449</v>
      </c>
      <c r="O651" s="115">
        <f>IF(OR(O$17=1,O$18=1),IF(AND($D$645=1,$D$648=1),N651*(1+$D$647),IF('Assumptions - Passenger'!$E$134=1,N651*('Assumptions - Passenger'!$E$138*'Assumptions - General'!O$37+1)*(1+'Assumptions - Passenger'!O$139),N651*(1+'Assumptions - Passenger'!O$139))),0)</f>
        <v>1.3439163793441222</v>
      </c>
      <c r="P651" s="115">
        <f>IF(OR(P$17=1,P$18=1),IF(AND($D$645=1,$D$648=1),O651*(1+$D$647),IF('Assumptions - Passenger'!$E$134=1,O651*('Assumptions - Passenger'!$E$138*'Assumptions - General'!P$37+1)*(1+'Assumptions - Passenger'!P$139),O651*(1+'Assumptions - Passenger'!P$139))),0)</f>
        <v>1.3842338707244459</v>
      </c>
      <c r="Q651" s="115">
        <f>IF(OR(Q$17=1,Q$18=1),IF(AND($D$645=1,$D$648=1),P651*(1+$D$647),IF('Assumptions - Passenger'!$E$134=1,P651*('Assumptions - Passenger'!$E$138*'Assumptions - General'!Q$37+1)*(1+'Assumptions - Passenger'!Q$139),P651*(1+'Assumptions - Passenger'!Q$139))),0)</f>
        <v>1.4257608868461793</v>
      </c>
      <c r="R651" s="115">
        <f>IF(OR(R$17=1,R$18=1),IF(AND($D$645=1,$D$648=1),Q651*(1+$D$647),IF('Assumptions - Passenger'!$E$134=1,Q651*('Assumptions - Passenger'!$E$138*'Assumptions - General'!R$37+1)*(1+'Assumptions - Passenger'!R$139),Q651*(1+'Assumptions - Passenger'!R$139))),0)</f>
        <v>1.4685337134515648</v>
      </c>
      <c r="S651" s="115">
        <f>IF(OR(S$17=1,S$18=1),IF(AND($D$645=1,$D$648=1),R651*(1+$D$647),IF('Assumptions - Passenger'!$E$134=1,R651*('Assumptions - Passenger'!$E$138*'Assumptions - General'!S$37+1)*(1+'Assumptions - Passenger'!S$139),R651*(1+'Assumptions - Passenger'!S$139))),0)</f>
        <v>1.5125897248551119</v>
      </c>
      <c r="T651" s="115">
        <f>IF(OR(T$17=1,T$18=1),IF(AND($D$645=1,$D$648=1),S651*(1+$D$647),IF('Assumptions - Passenger'!$E$134=1,S651*('Assumptions - Passenger'!$E$138*'Assumptions - General'!T$37+1)*(1+'Assumptions - Passenger'!T$139),S651*(1+'Assumptions - Passenger'!T$139))),0)</f>
        <v>1.5579674166007653</v>
      </c>
      <c r="U651" s="115">
        <f>IF(OR(U$17=1,U$18=1),IF(AND($D$645=1,$D$648=1),T651*(1+$D$647),IF('Assumptions - Passenger'!$E$134=1,T651*('Assumptions - Passenger'!$E$138*'Assumptions - General'!U$37+1)*(1+'Assumptions - Passenger'!U$139),T651*(1+'Assumptions - Passenger'!U$139))),0)</f>
        <v>1.6047064390987884</v>
      </c>
      <c r="V651" s="115">
        <f>IF(OR(V$17=1,V$18=1),IF(AND($D$645=1,$D$648=1),U651*(1+$D$647),IF('Assumptions - Passenger'!$E$134=1,U651*('Assumptions - Passenger'!$E$138*'Assumptions - General'!V$37+1)*(1+'Assumptions - Passenger'!V$139),U651*(1+'Assumptions - Passenger'!V$139))),0)</f>
        <v>1.652847632271752</v>
      </c>
      <c r="W651" s="115">
        <f>IF(OR(W$17=1,W$18=1),IF(AND($D$645=1,$D$648=1),V651*(1+$D$647),IF('Assumptions - Passenger'!$E$134=1,V651*('Assumptions - Passenger'!$E$138*'Assumptions - General'!W$37+1)*(1+'Assumptions - Passenger'!W$139),V651*(1+'Assumptions - Passenger'!W$139))),0)</f>
        <v>1.7024330612399046</v>
      </c>
      <c r="X651" s="115">
        <f>IF(OR(X$17=1,X$18=1),IF(AND($D$645=1,$D$648=1),W651*(1+$D$647),IF('Assumptions - Passenger'!$E$134=1,W651*('Assumptions - Passenger'!$E$138*'Assumptions - General'!X$37+1)*(1+'Assumptions - Passenger'!X$139),W651*(1+'Assumptions - Passenger'!X$139))),0)</f>
        <v>1.7535060530771018</v>
      </c>
      <c r="Y651" s="115">
        <f>IF(OR(Y$17=1,Y$18=1),IF(AND($D$645=1,$D$648=1),X651*(1+$D$647),IF('Assumptions - Passenger'!$E$134=1,X651*('Assumptions - Passenger'!$E$138*'Assumptions - General'!Y$37+1)*(1+'Assumptions - Passenger'!Y$139),X651*(1+'Assumptions - Passenger'!Y$139))),0)</f>
        <v>1.806111234669415</v>
      </c>
      <c r="Z651" s="115">
        <f>IF(OR(Z$17=1,Z$18=1),IF(AND($D$645=1,$D$648=1),Y651*(1+$D$647),IF('Assumptions - Passenger'!$E$134=1,Y651*('Assumptions - Passenger'!$E$138*'Assumptions - General'!Z$37+1)*(1+'Assumptions - Passenger'!Z$139),Y651*(1+'Assumptions - Passenger'!Z$139))),0)</f>
        <v>1.8602945717094976</v>
      </c>
      <c r="AA651" s="115">
        <f>IF(OR(AA$17=1,AA$18=1),IF(AND($D$645=1,$D$648=1),Z651*(1+$D$647),IF('Assumptions - Passenger'!$E$134=1,Z651*('Assumptions - Passenger'!$E$138*'Assumptions - General'!AA$37+1)*(1+'Assumptions - Passenger'!AA$139),Z651*(1+'Assumptions - Passenger'!AA$139))),0)</f>
        <v>1.9161034088607827</v>
      </c>
      <c r="AB651" s="115">
        <f>IF(OR(AB$17=1,AB$18=1),IF(AND($D$645=1,$D$648=1),AA651*(1+$D$647),IF('Assumptions - Passenger'!$E$134=1,AA651*('Assumptions - Passenger'!$E$138*'Assumptions - General'!AB$37+1)*(1+'Assumptions - Passenger'!AB$139),AA651*(1+'Assumptions - Passenger'!AB$139))),0)</f>
        <v>1.9735865111266062</v>
      </c>
      <c r="AC651" s="115">
        <f>IF(OR(AC$17=1,AC$18=1),IF(AND($D$645=1,$D$648=1),AB651*(1+$D$647),IF('Assumptions - Passenger'!$E$134=1,AB651*('Assumptions - Passenger'!$E$138*'Assumptions - General'!AC$37+1)*(1+'Assumptions - Passenger'!AC$139),AB651*(1+'Assumptions - Passenger'!AC$139))),0)</f>
        <v>2.0327941064604045</v>
      </c>
      <c r="AD651" s="115">
        <f>IF(OR(AD$17=1,AD$18=1),IF(AND($D$645=1,$D$648=1),AC651*(1+$D$647),IF('Assumptions - Passenger'!$E$134=1,AC651*('Assumptions - Passenger'!$E$138*'Assumptions - General'!AD$37+1)*(1+'Assumptions - Passenger'!AD$139),AC651*(1+'Assumptions - Passenger'!AD$139))),0)</f>
        <v>2.0937779296542165</v>
      </c>
      <c r="AE651" s="115">
        <f>IF(OR(AE$17=1,AE$18=1),IF(AND($D$645=1,$D$648=1),AD651*(1+$D$647),IF('Assumptions - Passenger'!$E$134=1,AD651*('Assumptions - Passenger'!$E$138*'Assumptions - General'!AE$37+1)*(1+'Assumptions - Passenger'!AE$139),AD651*(1+'Assumptions - Passenger'!AE$139))),0)</f>
        <v>2.1565912675438432</v>
      </c>
      <c r="AF651" s="115">
        <f>IF(OR(AF$17=1,AF$18=1),IF(AND($D$645=1,$D$648=1),AE651*(1+$D$647),IF('Assumptions - Passenger'!$E$134=1,AE651*('Assumptions - Passenger'!$E$138*'Assumptions - General'!AF$37+1)*(1+'Assumptions - Passenger'!AF$139),AE651*(1+'Assumptions - Passenger'!AF$139))),0)</f>
        <v>2.2212890055701586</v>
      </c>
      <c r="AG651" s="115">
        <f>IF(OR(AG$17=1,AG$18=1),IF(AND($D$645=1,$D$648=1),AF651*(1+$D$647),IF('Assumptions - Passenger'!$E$134=1,AF651*('Assumptions - Passenger'!$E$138*'Assumptions - General'!AG$37+1)*(1+'Assumptions - Passenger'!AG$139),AF651*(1+'Assumptions - Passenger'!AG$139))),0)</f>
        <v>2.2879276757372633</v>
      </c>
      <c r="AH651" s="115">
        <f>IF(OR(AH$17=1,AH$18=1),IF(AND($D$645=1,$D$648=1),AG651*(1+$D$647),IF('Assumptions - Passenger'!$E$134=1,AG651*('Assumptions - Passenger'!$E$138*'Assumptions - General'!AH$37+1)*(1+'Assumptions - Passenger'!AH$139),AG651*(1+'Assumptions - Passenger'!AH$139))),0)</f>
        <v>2.3565655060093813</v>
      </c>
    </row>
    <row r="652" spans="1:34" x14ac:dyDescent="0.2">
      <c r="A652" s="18"/>
      <c r="B652" s="14" t="s">
        <v>628</v>
      </c>
      <c r="C652" s="8"/>
      <c r="D652" s="8" t="s">
        <v>15</v>
      </c>
      <c r="E652" s="8"/>
      <c r="F652" s="11">
        <f>IF(AND(OR(F$17=1,F$18=1),$E$651&gt;0),F651/E651-1," ")</f>
        <v>3.0000000000000027E-2</v>
      </c>
      <c r="G652" s="11">
        <f t="shared" ref="G652:AH652" si="262">IF(AND(OR(G$17=1,G$18=1),$E$651&gt;0),G651/F651-1," ")</f>
        <v>3.0000000000000027E-2</v>
      </c>
      <c r="H652" s="11">
        <f t="shared" si="262"/>
        <v>3.0000000000000027E-2</v>
      </c>
      <c r="I652" s="11">
        <f t="shared" si="262"/>
        <v>3.0000000000000027E-2</v>
      </c>
      <c r="J652" s="11">
        <f t="shared" si="262"/>
        <v>3.0000000000000027E-2</v>
      </c>
      <c r="K652" s="11">
        <f t="shared" si="262"/>
        <v>3.0000000000000027E-2</v>
      </c>
      <c r="L652" s="11">
        <f t="shared" si="262"/>
        <v>3.0000000000000027E-2</v>
      </c>
      <c r="M652" s="11">
        <f t="shared" si="262"/>
        <v>3.0000000000000027E-2</v>
      </c>
      <c r="N652" s="11">
        <f t="shared" si="262"/>
        <v>3.0000000000000027E-2</v>
      </c>
      <c r="O652" s="11">
        <f t="shared" si="262"/>
        <v>3.0000000000000027E-2</v>
      </c>
      <c r="P652" s="11">
        <f t="shared" si="262"/>
        <v>3.0000000000000027E-2</v>
      </c>
      <c r="Q652" s="11">
        <f t="shared" si="262"/>
        <v>3.0000000000000027E-2</v>
      </c>
      <c r="R652" s="11">
        <f t="shared" si="262"/>
        <v>3.0000000000000027E-2</v>
      </c>
      <c r="S652" s="11">
        <f t="shared" si="262"/>
        <v>3.0000000000000027E-2</v>
      </c>
      <c r="T652" s="11">
        <f t="shared" si="262"/>
        <v>3.0000000000000027E-2</v>
      </c>
      <c r="U652" s="11">
        <f t="shared" si="262"/>
        <v>3.0000000000000027E-2</v>
      </c>
      <c r="V652" s="11">
        <f t="shared" si="262"/>
        <v>3.0000000000000027E-2</v>
      </c>
      <c r="W652" s="11">
        <f t="shared" si="262"/>
        <v>3.0000000000000027E-2</v>
      </c>
      <c r="X652" s="11">
        <f t="shared" si="262"/>
        <v>3.0000000000000027E-2</v>
      </c>
      <c r="Y652" s="11">
        <f t="shared" si="262"/>
        <v>3.0000000000000027E-2</v>
      </c>
      <c r="Z652" s="11">
        <f t="shared" si="262"/>
        <v>3.0000000000000027E-2</v>
      </c>
      <c r="AA652" s="11">
        <f t="shared" si="262"/>
        <v>3.0000000000000027E-2</v>
      </c>
      <c r="AB652" s="11">
        <f t="shared" si="262"/>
        <v>3.0000000000000027E-2</v>
      </c>
      <c r="AC652" s="11">
        <f t="shared" si="262"/>
        <v>3.0000000000000027E-2</v>
      </c>
      <c r="AD652" s="11">
        <f t="shared" si="262"/>
        <v>3.0000000000000027E-2</v>
      </c>
      <c r="AE652" s="11">
        <f t="shared" si="262"/>
        <v>3.0000000000000027E-2</v>
      </c>
      <c r="AF652" s="11">
        <f t="shared" si="262"/>
        <v>3.0000000000000027E-2</v>
      </c>
      <c r="AG652" s="11">
        <f t="shared" si="262"/>
        <v>3.0000000000000027E-2</v>
      </c>
      <c r="AH652" s="11">
        <f t="shared" si="262"/>
        <v>3.0000000000000027E-2</v>
      </c>
    </row>
    <row r="653" spans="1:34" x14ac:dyDescent="0.2">
      <c r="A653" s="18"/>
      <c r="B653" s="8" t="str">
        <f>'Assumptions - Passenger'!E115 &amp;" per-unit fare "</f>
        <v xml:space="preserve">International passenger per-unit fare </v>
      </c>
      <c r="C653" s="8"/>
      <c r="D653" s="8" t="str">
        <f>D651</f>
        <v>R$/Passenger-km</v>
      </c>
      <c r="E653" s="464">
        <f>IF(OR(E$17=1,E$18=1),IF($D$645=1,'Assumptions - Passenger'!E142*$D$646,'Assumptions - Passenger'!E142),0)</f>
        <v>1</v>
      </c>
      <c r="F653" s="115">
        <f>IF(OR(F$17=1,F$18=1),IF(AND($D$645=1,$D$648=1),E653*(1+$D$647),IF('Assumptions - Passenger'!$E$134=1,E653*('Assumptions - Passenger'!$E$143*'Assumptions - General'!F$37+1)*(1+'Assumptions - Passenger'!F$144),E653*(1+'Assumptions - Passenger'!F$144))),0)</f>
        <v>1.03</v>
      </c>
      <c r="G653" s="115">
        <f>IF(OR(G$17=1,G$18=1),IF(AND($D$645=1,$D$648=1),F653*(1+$D$647),IF('Assumptions - Passenger'!$E$134=1,F653*('Assumptions - Passenger'!$E$143*'Assumptions - General'!G$37+1)*(1+'Assumptions - Passenger'!G$144),F653*(1+'Assumptions - Passenger'!G$144))),0)</f>
        <v>1.0609</v>
      </c>
      <c r="H653" s="115">
        <f>IF(OR(H$17=1,H$18=1),IF(AND($D$645=1,$D$648=1),G653*(1+$D$647),IF('Assumptions - Passenger'!$E$134=1,G653*('Assumptions - Passenger'!$E$143*'Assumptions - General'!H$37+1)*(1+'Assumptions - Passenger'!H$144),G653*(1+'Assumptions - Passenger'!H$144))),0)</f>
        <v>1.092727</v>
      </c>
      <c r="I653" s="115">
        <f>IF(OR(I$17=1,I$18=1),IF(AND($D$645=1,$D$648=1),H653*(1+$D$647),IF('Assumptions - Passenger'!$E$134=1,H653*('Assumptions - Passenger'!$E$143*'Assumptions - General'!I$37+1)*(1+'Assumptions - Passenger'!I$144),H653*(1+'Assumptions - Passenger'!I$144))),0)</f>
        <v>1.1255088100000001</v>
      </c>
      <c r="J653" s="115">
        <f>IF(OR(J$17=1,J$18=1),IF(AND($D$645=1,$D$648=1),I653*(1+$D$647),IF('Assumptions - Passenger'!$E$134=1,I653*('Assumptions - Passenger'!$E$143*'Assumptions - General'!J$37+1)*(1+'Assumptions - Passenger'!J$144),I653*(1+'Assumptions - Passenger'!J$144))),0)</f>
        <v>1.1592740743000001</v>
      </c>
      <c r="K653" s="115">
        <f>IF(OR(K$17=1,K$18=1),IF(AND($D$645=1,$D$648=1),J653*(1+$D$647),IF('Assumptions - Passenger'!$E$134=1,J653*('Assumptions - Passenger'!$E$143*'Assumptions - General'!K$37+1)*(1+'Assumptions - Passenger'!K$144),J653*(1+'Assumptions - Passenger'!K$144))),0)</f>
        <v>1.1940522965290001</v>
      </c>
      <c r="L653" s="115">
        <f>IF(OR(L$17=1,L$18=1),IF(AND($D$645=1,$D$648=1),K653*(1+$D$647),IF('Assumptions - Passenger'!$E$134=1,K653*('Assumptions - Passenger'!$E$143*'Assumptions - General'!L$37+1)*(1+'Assumptions - Passenger'!L$144),K653*(1+'Assumptions - Passenger'!L$144))),0)</f>
        <v>1.2298738654248702</v>
      </c>
      <c r="M653" s="115">
        <f>IF(OR(M$17=1,M$18=1),IF(AND($D$645=1,$D$648=1),L653*(1+$D$647),IF('Assumptions - Passenger'!$E$134=1,L653*('Assumptions - Passenger'!$E$143*'Assumptions - General'!M$37+1)*(1+'Assumptions - Passenger'!M$144),L653*(1+'Assumptions - Passenger'!M$144))),0)</f>
        <v>1.2667700813876164</v>
      </c>
      <c r="N653" s="115">
        <f>IF(OR(N$17=1,N$18=1),IF(AND($D$645=1,$D$648=1),M653*(1+$D$647),IF('Assumptions - Passenger'!$E$134=1,M653*('Assumptions - Passenger'!$E$143*'Assumptions - General'!N$37+1)*(1+'Assumptions - Passenger'!N$144),M653*(1+'Assumptions - Passenger'!N$144))),0)</f>
        <v>1.3047731838292449</v>
      </c>
      <c r="O653" s="115">
        <f>IF(OR(O$17=1,O$18=1),IF(AND($D$645=1,$D$648=1),N653*(1+$D$647),IF('Assumptions - Passenger'!$E$134=1,N653*('Assumptions - Passenger'!$E$143*'Assumptions - General'!O$37+1)*(1+'Assumptions - Passenger'!O$144),N653*(1+'Assumptions - Passenger'!O$144))),0)</f>
        <v>1.3439163793441222</v>
      </c>
      <c r="P653" s="115">
        <f>IF(OR(P$17=1,P$18=1),IF(AND($D$645=1,$D$648=1),O653*(1+$D$647),IF('Assumptions - Passenger'!$E$134=1,O653*('Assumptions - Passenger'!$E$143*'Assumptions - General'!P$37+1)*(1+'Assumptions - Passenger'!P$144),O653*(1+'Assumptions - Passenger'!P$144))),0)</f>
        <v>1.3842338707244459</v>
      </c>
      <c r="Q653" s="115">
        <f>IF(OR(Q$17=1,Q$18=1),IF(AND($D$645=1,$D$648=1),P653*(1+$D$647),IF('Assumptions - Passenger'!$E$134=1,P653*('Assumptions - Passenger'!$E$143*'Assumptions - General'!Q$37+1)*(1+'Assumptions - Passenger'!Q$144),P653*(1+'Assumptions - Passenger'!Q$144))),0)</f>
        <v>1.4257608868461793</v>
      </c>
      <c r="R653" s="115">
        <f>IF(OR(R$17=1,R$18=1),IF(AND($D$645=1,$D$648=1),Q653*(1+$D$647),IF('Assumptions - Passenger'!$E$134=1,Q653*('Assumptions - Passenger'!$E$143*'Assumptions - General'!R$37+1)*(1+'Assumptions - Passenger'!R$144),Q653*(1+'Assumptions - Passenger'!R$144))),0)</f>
        <v>1.4685337134515648</v>
      </c>
      <c r="S653" s="115">
        <f>IF(OR(S$17=1,S$18=1),IF(AND($D$645=1,$D$648=1),R653*(1+$D$647),IF('Assumptions - Passenger'!$E$134=1,R653*('Assumptions - Passenger'!$E$143*'Assumptions - General'!S$37+1)*(1+'Assumptions - Passenger'!S$144),R653*(1+'Assumptions - Passenger'!S$144))),0)</f>
        <v>1.5125897248551119</v>
      </c>
      <c r="T653" s="115">
        <f>IF(OR(T$17=1,T$18=1),IF(AND($D$645=1,$D$648=1),S653*(1+$D$647),IF('Assumptions - Passenger'!$E$134=1,S653*('Assumptions - Passenger'!$E$143*'Assumptions - General'!T$37+1)*(1+'Assumptions - Passenger'!T$144),S653*(1+'Assumptions - Passenger'!T$144))),0)</f>
        <v>1.5579674166007653</v>
      </c>
      <c r="U653" s="115">
        <f>IF(OR(U$17=1,U$18=1),IF(AND($D$645=1,$D$648=1),T653*(1+$D$647),IF('Assumptions - Passenger'!$E$134=1,T653*('Assumptions - Passenger'!$E$143*'Assumptions - General'!U$37+1)*(1+'Assumptions - Passenger'!U$144),T653*(1+'Assumptions - Passenger'!U$144))),0)</f>
        <v>1.6047064390987884</v>
      </c>
      <c r="V653" s="115">
        <f>IF(OR(V$17=1,V$18=1),IF(AND($D$645=1,$D$648=1),U653*(1+$D$647),IF('Assumptions - Passenger'!$E$134=1,U653*('Assumptions - Passenger'!$E$143*'Assumptions - General'!V$37+1)*(1+'Assumptions - Passenger'!V$144),U653*(1+'Assumptions - Passenger'!V$144))),0)</f>
        <v>1.652847632271752</v>
      </c>
      <c r="W653" s="115">
        <f>IF(OR(W$17=1,W$18=1),IF(AND($D$645=1,$D$648=1),V653*(1+$D$647),IF('Assumptions - Passenger'!$E$134=1,V653*('Assumptions - Passenger'!$E$143*'Assumptions - General'!W$37+1)*(1+'Assumptions - Passenger'!W$144),V653*(1+'Assumptions - Passenger'!W$144))),0)</f>
        <v>1.7024330612399046</v>
      </c>
      <c r="X653" s="115">
        <f>IF(OR(X$17=1,X$18=1),IF(AND($D$645=1,$D$648=1),W653*(1+$D$647),IF('Assumptions - Passenger'!$E$134=1,W653*('Assumptions - Passenger'!$E$143*'Assumptions - General'!X$37+1)*(1+'Assumptions - Passenger'!X$144),W653*(1+'Assumptions - Passenger'!X$144))),0)</f>
        <v>1.7535060530771018</v>
      </c>
      <c r="Y653" s="115">
        <f>IF(OR(Y$17=1,Y$18=1),IF(AND($D$645=1,$D$648=1),X653*(1+$D$647),IF('Assumptions - Passenger'!$E$134=1,X653*('Assumptions - Passenger'!$E$143*'Assumptions - General'!Y$37+1)*(1+'Assumptions - Passenger'!Y$144),X653*(1+'Assumptions - Passenger'!Y$144))),0)</f>
        <v>1.806111234669415</v>
      </c>
      <c r="Z653" s="115">
        <f>IF(OR(Z$17=1,Z$18=1),IF(AND($D$645=1,$D$648=1),Y653*(1+$D$647),IF('Assumptions - Passenger'!$E$134=1,Y653*('Assumptions - Passenger'!$E$143*'Assumptions - General'!Z$37+1)*(1+'Assumptions - Passenger'!Z$144),Y653*(1+'Assumptions - Passenger'!Z$144))),0)</f>
        <v>1.8602945717094976</v>
      </c>
      <c r="AA653" s="115">
        <f>IF(OR(AA$17=1,AA$18=1),IF(AND($D$645=1,$D$648=1),Z653*(1+$D$647),IF('Assumptions - Passenger'!$E$134=1,Z653*('Assumptions - Passenger'!$E$143*'Assumptions - General'!AA$37+1)*(1+'Assumptions - Passenger'!AA$144),Z653*(1+'Assumptions - Passenger'!AA$144))),0)</f>
        <v>1.9161034088607827</v>
      </c>
      <c r="AB653" s="115">
        <f>IF(OR(AB$17=1,AB$18=1),IF(AND($D$645=1,$D$648=1),AA653*(1+$D$647),IF('Assumptions - Passenger'!$E$134=1,AA653*('Assumptions - Passenger'!$E$143*'Assumptions - General'!AB$37+1)*(1+'Assumptions - Passenger'!AB$144),AA653*(1+'Assumptions - Passenger'!AB$144))),0)</f>
        <v>1.9735865111266062</v>
      </c>
      <c r="AC653" s="115">
        <f>IF(OR(AC$17=1,AC$18=1),IF(AND($D$645=1,$D$648=1),AB653*(1+$D$647),IF('Assumptions - Passenger'!$E$134=1,AB653*('Assumptions - Passenger'!$E$143*'Assumptions - General'!AC$37+1)*(1+'Assumptions - Passenger'!AC$144),AB653*(1+'Assumptions - Passenger'!AC$144))),0)</f>
        <v>2.0327941064604045</v>
      </c>
      <c r="AD653" s="115">
        <f>IF(OR(AD$17=1,AD$18=1),IF(AND($D$645=1,$D$648=1),AC653*(1+$D$647),IF('Assumptions - Passenger'!$E$134=1,AC653*('Assumptions - Passenger'!$E$143*'Assumptions - General'!AD$37+1)*(1+'Assumptions - Passenger'!AD$144),AC653*(1+'Assumptions - Passenger'!AD$144))),0)</f>
        <v>2.0937779296542165</v>
      </c>
      <c r="AE653" s="115">
        <f>IF(OR(AE$17=1,AE$18=1),IF(AND($D$645=1,$D$648=1),AD653*(1+$D$647),IF('Assumptions - Passenger'!$E$134=1,AD653*('Assumptions - Passenger'!$E$143*'Assumptions - General'!AE$37+1)*(1+'Assumptions - Passenger'!AE$144),AD653*(1+'Assumptions - Passenger'!AE$144))),0)</f>
        <v>2.1565912675438432</v>
      </c>
      <c r="AF653" s="115">
        <f>IF(OR(AF$17=1,AF$18=1),IF(AND($D$645=1,$D$648=1),AE653*(1+$D$647),IF('Assumptions - Passenger'!$E$134=1,AE653*('Assumptions - Passenger'!$E$143*'Assumptions - General'!AF$37+1)*(1+'Assumptions - Passenger'!AF$144),AE653*(1+'Assumptions - Passenger'!AF$144))),0)</f>
        <v>2.2212890055701586</v>
      </c>
      <c r="AG653" s="115">
        <f>IF(OR(AG$17=1,AG$18=1),IF(AND($D$645=1,$D$648=1),AF653*(1+$D$647),IF('Assumptions - Passenger'!$E$134=1,AF653*('Assumptions - Passenger'!$E$143*'Assumptions - General'!AG$37+1)*(1+'Assumptions - Passenger'!AG$144),AF653*(1+'Assumptions - Passenger'!AG$144))),0)</f>
        <v>2.2879276757372633</v>
      </c>
      <c r="AH653" s="115">
        <f>IF(OR(AH$17=1,AH$18=1),IF(AND($D$645=1,$D$648=1),AG653*(1+$D$647),IF('Assumptions - Passenger'!$E$134=1,AG653*('Assumptions - Passenger'!$E$143*'Assumptions - General'!AH$37+1)*(1+'Assumptions - Passenger'!AH$144),AG653*(1+'Assumptions - Passenger'!AH$144))),0)</f>
        <v>2.3565655060093813</v>
      </c>
    </row>
    <row r="654" spans="1:34" x14ac:dyDescent="0.2">
      <c r="A654" s="18"/>
      <c r="B654" s="14" t="s">
        <v>628</v>
      </c>
      <c r="C654" s="8"/>
      <c r="D654" s="8" t="s">
        <v>15</v>
      </c>
      <c r="E654" s="8"/>
      <c r="F654" s="11">
        <f>IF(AND(OR(F$17=1,F$18=1),$E$653&gt;0),F653/E653-1," ")</f>
        <v>3.0000000000000027E-2</v>
      </c>
      <c r="G654" s="11">
        <f t="shared" ref="G654:AH654" si="263">IF(AND(OR(G$17=1,G$18=1),$E$653&gt;0),G653/F653-1," ")</f>
        <v>3.0000000000000027E-2</v>
      </c>
      <c r="H654" s="11">
        <f t="shared" si="263"/>
        <v>3.0000000000000027E-2</v>
      </c>
      <c r="I654" s="11">
        <f t="shared" si="263"/>
        <v>3.0000000000000027E-2</v>
      </c>
      <c r="J654" s="11">
        <f t="shared" si="263"/>
        <v>3.0000000000000027E-2</v>
      </c>
      <c r="K654" s="11">
        <f t="shared" si="263"/>
        <v>3.0000000000000027E-2</v>
      </c>
      <c r="L654" s="11">
        <f t="shared" si="263"/>
        <v>3.0000000000000027E-2</v>
      </c>
      <c r="M654" s="11">
        <f t="shared" si="263"/>
        <v>3.0000000000000027E-2</v>
      </c>
      <c r="N654" s="11">
        <f t="shared" si="263"/>
        <v>3.0000000000000027E-2</v>
      </c>
      <c r="O654" s="11">
        <f t="shared" si="263"/>
        <v>3.0000000000000027E-2</v>
      </c>
      <c r="P654" s="11">
        <f t="shared" si="263"/>
        <v>3.0000000000000027E-2</v>
      </c>
      <c r="Q654" s="11">
        <f t="shared" si="263"/>
        <v>3.0000000000000027E-2</v>
      </c>
      <c r="R654" s="11">
        <f t="shared" si="263"/>
        <v>3.0000000000000027E-2</v>
      </c>
      <c r="S654" s="11">
        <f t="shared" si="263"/>
        <v>3.0000000000000027E-2</v>
      </c>
      <c r="T654" s="11">
        <f t="shared" si="263"/>
        <v>3.0000000000000027E-2</v>
      </c>
      <c r="U654" s="11">
        <f t="shared" si="263"/>
        <v>3.0000000000000027E-2</v>
      </c>
      <c r="V654" s="11">
        <f t="shared" si="263"/>
        <v>3.0000000000000027E-2</v>
      </c>
      <c r="W654" s="11">
        <f t="shared" si="263"/>
        <v>3.0000000000000027E-2</v>
      </c>
      <c r="X654" s="11">
        <f t="shared" si="263"/>
        <v>3.0000000000000027E-2</v>
      </c>
      <c r="Y654" s="11">
        <f t="shared" si="263"/>
        <v>3.0000000000000027E-2</v>
      </c>
      <c r="Z654" s="11">
        <f t="shared" si="263"/>
        <v>3.0000000000000027E-2</v>
      </c>
      <c r="AA654" s="11">
        <f t="shared" si="263"/>
        <v>3.0000000000000027E-2</v>
      </c>
      <c r="AB654" s="11">
        <f t="shared" si="263"/>
        <v>3.0000000000000027E-2</v>
      </c>
      <c r="AC654" s="11">
        <f t="shared" si="263"/>
        <v>3.0000000000000027E-2</v>
      </c>
      <c r="AD654" s="11">
        <f t="shared" si="263"/>
        <v>3.0000000000000027E-2</v>
      </c>
      <c r="AE654" s="11">
        <f t="shared" si="263"/>
        <v>3.0000000000000027E-2</v>
      </c>
      <c r="AF654" s="11">
        <f t="shared" si="263"/>
        <v>3.0000000000000027E-2</v>
      </c>
      <c r="AG654" s="11">
        <f t="shared" si="263"/>
        <v>3.0000000000000027E-2</v>
      </c>
      <c r="AH654" s="11">
        <f t="shared" si="263"/>
        <v>3.0000000000000027E-2</v>
      </c>
    </row>
    <row r="655" spans="1:34" x14ac:dyDescent="0.2">
      <c r="A655" s="18"/>
      <c r="B655" s="8" t="str">
        <f>'Assumptions - Passenger'!E116&amp;" per-unit fare "</f>
        <v xml:space="preserve">Sub-urban passenger per-unit fare </v>
      </c>
      <c r="C655" s="8"/>
      <c r="D655" s="8" t="str">
        <f>D653</f>
        <v>R$/Passenger-km</v>
      </c>
      <c r="E655" s="464">
        <f>IF(OR(E$17=1,E$18=1),IF($D$645=1,'Assumptions - Passenger'!E147*$D$646,'Assumptions - Passenger'!E147),0)</f>
        <v>1</v>
      </c>
      <c r="F655" s="115">
        <f>IF(OR(F$17=1,F$18=1),IF(AND($D$645=1,$D$648=1),E655*(1+$D$647),IF('Assumptions - Passenger'!$E$134=1,E655*('Assumptions - Passenger'!$E$148*'Assumptions - General'!F$37+1)*(1+'Assumptions - Passenger'!F$149),E655*(1+'Assumptions - Passenger'!F$149))),0)</f>
        <v>1.03</v>
      </c>
      <c r="G655" s="115">
        <f>IF(OR(G$17=1,G$18=1),IF(AND($D$645=1,$D$648=1),F655*(1+$D$647),IF('Assumptions - Passenger'!$E$134=1,F655*('Assumptions - Passenger'!$E$148*'Assumptions - General'!G$37+1)*(1+'Assumptions - Passenger'!G$149),F655*(1+'Assumptions - Passenger'!G$149))),0)</f>
        <v>1.0609</v>
      </c>
      <c r="H655" s="115">
        <f>IF(OR(H$17=1,H$18=1),IF(AND($D$645=1,$D$648=1),G655*(1+$D$647),IF('Assumptions - Passenger'!$E$134=1,G655*('Assumptions - Passenger'!$E$148*'Assumptions - General'!H$37+1)*(1+'Assumptions - Passenger'!H$149),G655*(1+'Assumptions - Passenger'!H$149))),0)</f>
        <v>1.092727</v>
      </c>
      <c r="I655" s="115">
        <f>IF(OR(I$17=1,I$18=1),IF(AND($D$645=1,$D$648=1),H655*(1+$D$647),IF('Assumptions - Passenger'!$E$134=1,H655*('Assumptions - Passenger'!$E$148*'Assumptions - General'!I$37+1)*(1+'Assumptions - Passenger'!I$149),H655*(1+'Assumptions - Passenger'!I$149))),0)</f>
        <v>1.1255088100000001</v>
      </c>
      <c r="J655" s="115">
        <f>IF(OR(J$17=1,J$18=1),IF(AND($D$645=1,$D$648=1),I655*(1+$D$647),IF('Assumptions - Passenger'!$E$134=1,I655*('Assumptions - Passenger'!$E$148*'Assumptions - General'!J$37+1)*(1+'Assumptions - Passenger'!J$149),I655*(1+'Assumptions - Passenger'!J$149))),0)</f>
        <v>1.1592740743000001</v>
      </c>
      <c r="K655" s="115">
        <f>IF(OR(K$17=1,K$18=1),IF(AND($D$645=1,$D$648=1),J655*(1+$D$647),IF('Assumptions - Passenger'!$E$134=1,J655*('Assumptions - Passenger'!$E$148*'Assumptions - General'!K$37+1)*(1+'Assumptions - Passenger'!K$149),J655*(1+'Assumptions - Passenger'!K$149))),0)</f>
        <v>1.1940522965290001</v>
      </c>
      <c r="L655" s="115">
        <f>IF(OR(L$17=1,L$18=1),IF(AND($D$645=1,$D$648=1),K655*(1+$D$647),IF('Assumptions - Passenger'!$E$134=1,K655*('Assumptions - Passenger'!$E$148*'Assumptions - General'!L$37+1)*(1+'Assumptions - Passenger'!L$149),K655*(1+'Assumptions - Passenger'!L$149))),0)</f>
        <v>1.2298738654248702</v>
      </c>
      <c r="M655" s="115">
        <f>IF(OR(M$17=1,M$18=1),IF(AND($D$645=1,$D$648=1),L655*(1+$D$647),IF('Assumptions - Passenger'!$E$134=1,L655*('Assumptions - Passenger'!$E$148*'Assumptions - General'!M$37+1)*(1+'Assumptions - Passenger'!M$149),L655*(1+'Assumptions - Passenger'!M$149))),0)</f>
        <v>1.2667700813876164</v>
      </c>
      <c r="N655" s="115">
        <f>IF(OR(N$17=1,N$18=1),IF(AND($D$645=1,$D$648=1),M655*(1+$D$647),IF('Assumptions - Passenger'!$E$134=1,M655*('Assumptions - Passenger'!$E$148*'Assumptions - General'!N$37+1)*(1+'Assumptions - Passenger'!N$149),M655*(1+'Assumptions - Passenger'!N$149))),0)</f>
        <v>1.3047731838292449</v>
      </c>
      <c r="O655" s="115">
        <f>IF(OR(O$17=1,O$18=1),IF(AND($D$645=1,$D$648=1),N655*(1+$D$647),IF('Assumptions - Passenger'!$E$134=1,N655*('Assumptions - Passenger'!$E$148*'Assumptions - General'!O$37+1)*(1+'Assumptions - Passenger'!O$149),N655*(1+'Assumptions - Passenger'!O$149))),0)</f>
        <v>1.3439163793441222</v>
      </c>
      <c r="P655" s="115">
        <f>IF(OR(P$17=1,P$18=1),IF(AND($D$645=1,$D$648=1),O655*(1+$D$647),IF('Assumptions - Passenger'!$E$134=1,O655*('Assumptions - Passenger'!$E$148*'Assumptions - General'!P$37+1)*(1+'Assumptions - Passenger'!P$149),O655*(1+'Assumptions - Passenger'!P$149))),0)</f>
        <v>1.3842338707244459</v>
      </c>
      <c r="Q655" s="115">
        <f>IF(OR(Q$17=1,Q$18=1),IF(AND($D$645=1,$D$648=1),P655*(1+$D$647),IF('Assumptions - Passenger'!$E$134=1,P655*('Assumptions - Passenger'!$E$148*'Assumptions - General'!Q$37+1)*(1+'Assumptions - Passenger'!Q$149),P655*(1+'Assumptions - Passenger'!Q$149))),0)</f>
        <v>1.4257608868461793</v>
      </c>
      <c r="R655" s="115">
        <f>IF(OR(R$17=1,R$18=1),IF(AND($D$645=1,$D$648=1),Q655*(1+$D$647),IF('Assumptions - Passenger'!$E$134=1,Q655*('Assumptions - Passenger'!$E$148*'Assumptions - General'!R$37+1)*(1+'Assumptions - Passenger'!R$149),Q655*(1+'Assumptions - Passenger'!R$149))),0)</f>
        <v>1.4685337134515648</v>
      </c>
      <c r="S655" s="115">
        <f>IF(OR(S$17=1,S$18=1),IF(AND($D$645=1,$D$648=1),R655*(1+$D$647),IF('Assumptions - Passenger'!$E$134=1,R655*('Assumptions - Passenger'!$E$148*'Assumptions - General'!S$37+1)*(1+'Assumptions - Passenger'!S$149),R655*(1+'Assumptions - Passenger'!S$149))),0)</f>
        <v>1.5125897248551119</v>
      </c>
      <c r="T655" s="115">
        <f>IF(OR(T$17=1,T$18=1),IF(AND($D$645=1,$D$648=1),S655*(1+$D$647),IF('Assumptions - Passenger'!$E$134=1,S655*('Assumptions - Passenger'!$E$148*'Assumptions - General'!T$37+1)*(1+'Assumptions - Passenger'!T$149),S655*(1+'Assumptions - Passenger'!T$149))),0)</f>
        <v>1.5579674166007653</v>
      </c>
      <c r="U655" s="115">
        <f>IF(OR(U$17=1,U$18=1),IF(AND($D$645=1,$D$648=1),T655*(1+$D$647),IF('Assumptions - Passenger'!$E$134=1,T655*('Assumptions - Passenger'!$E$148*'Assumptions - General'!U$37+1)*(1+'Assumptions - Passenger'!U$149),T655*(1+'Assumptions - Passenger'!U$149))),0)</f>
        <v>1.6047064390987884</v>
      </c>
      <c r="V655" s="115">
        <f>IF(OR(V$17=1,V$18=1),IF(AND($D$645=1,$D$648=1),U655*(1+$D$647),IF('Assumptions - Passenger'!$E$134=1,U655*('Assumptions - Passenger'!$E$148*'Assumptions - General'!V$37+1)*(1+'Assumptions - Passenger'!V$149),U655*(1+'Assumptions - Passenger'!V$149))),0)</f>
        <v>1.652847632271752</v>
      </c>
      <c r="W655" s="115">
        <f>IF(OR(W$17=1,W$18=1),IF(AND($D$645=1,$D$648=1),V655*(1+$D$647),IF('Assumptions - Passenger'!$E$134=1,V655*('Assumptions - Passenger'!$E$148*'Assumptions - General'!W$37+1)*(1+'Assumptions - Passenger'!W$149),V655*(1+'Assumptions - Passenger'!W$149))),0)</f>
        <v>1.7024330612399046</v>
      </c>
      <c r="X655" s="115">
        <f>IF(OR(X$17=1,X$18=1),IF(AND($D$645=1,$D$648=1),W655*(1+$D$647),IF('Assumptions - Passenger'!$E$134=1,W655*('Assumptions - Passenger'!$E$148*'Assumptions - General'!X$37+1)*(1+'Assumptions - Passenger'!X$149),W655*(1+'Assumptions - Passenger'!X$149))),0)</f>
        <v>1.7535060530771018</v>
      </c>
      <c r="Y655" s="115">
        <f>IF(OR(Y$17=1,Y$18=1),IF(AND($D$645=1,$D$648=1),X655*(1+$D$647),IF('Assumptions - Passenger'!$E$134=1,X655*('Assumptions - Passenger'!$E$148*'Assumptions - General'!Y$37+1)*(1+'Assumptions - Passenger'!Y$149),X655*(1+'Assumptions - Passenger'!Y$149))),0)</f>
        <v>1.806111234669415</v>
      </c>
      <c r="Z655" s="115">
        <f>IF(OR(Z$17=1,Z$18=1),IF(AND($D$645=1,$D$648=1),Y655*(1+$D$647),IF('Assumptions - Passenger'!$E$134=1,Y655*('Assumptions - Passenger'!$E$148*'Assumptions - General'!Z$37+1)*(1+'Assumptions - Passenger'!Z$149),Y655*(1+'Assumptions - Passenger'!Z$149))),0)</f>
        <v>1.8602945717094976</v>
      </c>
      <c r="AA655" s="115">
        <f>IF(OR(AA$17=1,AA$18=1),IF(AND($D$645=1,$D$648=1),Z655*(1+$D$647),IF('Assumptions - Passenger'!$E$134=1,Z655*('Assumptions - Passenger'!$E$148*'Assumptions - General'!AA$37+1)*(1+'Assumptions - Passenger'!AA$149),Z655*(1+'Assumptions - Passenger'!AA$149))),0)</f>
        <v>1.9161034088607827</v>
      </c>
      <c r="AB655" s="115">
        <f>IF(OR(AB$17=1,AB$18=1),IF(AND($D$645=1,$D$648=1),AA655*(1+$D$647),IF('Assumptions - Passenger'!$E$134=1,AA655*('Assumptions - Passenger'!$E$148*'Assumptions - General'!AB$37+1)*(1+'Assumptions - Passenger'!AB$149),AA655*(1+'Assumptions - Passenger'!AB$149))),0)</f>
        <v>1.9735865111266062</v>
      </c>
      <c r="AC655" s="115">
        <f>IF(OR(AC$17=1,AC$18=1),IF(AND($D$645=1,$D$648=1),AB655*(1+$D$647),IF('Assumptions - Passenger'!$E$134=1,AB655*('Assumptions - Passenger'!$E$148*'Assumptions - General'!AC$37+1)*(1+'Assumptions - Passenger'!AC$149),AB655*(1+'Assumptions - Passenger'!AC$149))),0)</f>
        <v>2.0327941064604045</v>
      </c>
      <c r="AD655" s="115">
        <f>IF(OR(AD$17=1,AD$18=1),IF(AND($D$645=1,$D$648=1),AC655*(1+$D$647),IF('Assumptions - Passenger'!$E$134=1,AC655*('Assumptions - Passenger'!$E$148*'Assumptions - General'!AD$37+1)*(1+'Assumptions - Passenger'!AD$149),AC655*(1+'Assumptions - Passenger'!AD$149))),0)</f>
        <v>2.0937779296542165</v>
      </c>
      <c r="AE655" s="115">
        <f>IF(OR(AE$17=1,AE$18=1),IF(AND($D$645=1,$D$648=1),AD655*(1+$D$647),IF('Assumptions - Passenger'!$E$134=1,AD655*('Assumptions - Passenger'!$E$148*'Assumptions - General'!AE$37+1)*(1+'Assumptions - Passenger'!AE$149),AD655*(1+'Assumptions - Passenger'!AE$149))),0)</f>
        <v>2.1565912675438432</v>
      </c>
      <c r="AF655" s="115">
        <f>IF(OR(AF$17=1,AF$18=1),IF(AND($D$645=1,$D$648=1),AE655*(1+$D$647),IF('Assumptions - Passenger'!$E$134=1,AE655*('Assumptions - Passenger'!$E$148*'Assumptions - General'!AF$37+1)*(1+'Assumptions - Passenger'!AF$149),AE655*(1+'Assumptions - Passenger'!AF$149))),0)</f>
        <v>2.2212890055701586</v>
      </c>
      <c r="AG655" s="115">
        <f>IF(OR(AG$17=1,AG$18=1),IF(AND($D$645=1,$D$648=1),AF655*(1+$D$647),IF('Assumptions - Passenger'!$E$134=1,AF655*('Assumptions - Passenger'!$E$148*'Assumptions - General'!AG$37+1)*(1+'Assumptions - Passenger'!AG$149),AF655*(1+'Assumptions - Passenger'!AG$149))),0)</f>
        <v>2.2879276757372633</v>
      </c>
      <c r="AH655" s="115">
        <f>IF(OR(AH$17=1,AH$18=1),IF(AND($D$645=1,$D$648=1),AG655*(1+$D$647),IF('Assumptions - Passenger'!$E$134=1,AG655*('Assumptions - Passenger'!$E$148*'Assumptions - General'!AH$37+1)*(1+'Assumptions - Passenger'!AH$149),AG655*(1+'Assumptions - Passenger'!AH$149))),0)</f>
        <v>2.3565655060093813</v>
      </c>
    </row>
    <row r="656" spans="1:34" x14ac:dyDescent="0.2">
      <c r="A656" s="18"/>
      <c r="B656" s="14" t="s">
        <v>628</v>
      </c>
      <c r="C656" s="8"/>
      <c r="D656" s="8" t="s">
        <v>15</v>
      </c>
      <c r="E656" s="8"/>
      <c r="F656" s="11">
        <f>IF(AND(OR(F$17=1,F$18=1),$E$655&gt;0),F655/E655-1," ")</f>
        <v>3.0000000000000027E-2</v>
      </c>
      <c r="G656" s="11">
        <f t="shared" ref="G656:AH656" si="264">IF(AND(OR(G$17=1,G$18=1),$E$655&gt;0),G655/F655-1," ")</f>
        <v>3.0000000000000027E-2</v>
      </c>
      <c r="H656" s="11">
        <f t="shared" si="264"/>
        <v>3.0000000000000027E-2</v>
      </c>
      <c r="I656" s="11">
        <f t="shared" si="264"/>
        <v>3.0000000000000027E-2</v>
      </c>
      <c r="J656" s="11">
        <f t="shared" si="264"/>
        <v>3.0000000000000027E-2</v>
      </c>
      <c r="K656" s="11">
        <f t="shared" si="264"/>
        <v>3.0000000000000027E-2</v>
      </c>
      <c r="L656" s="11">
        <f t="shared" si="264"/>
        <v>3.0000000000000027E-2</v>
      </c>
      <c r="M656" s="11">
        <f t="shared" si="264"/>
        <v>3.0000000000000027E-2</v>
      </c>
      <c r="N656" s="11">
        <f t="shared" si="264"/>
        <v>3.0000000000000027E-2</v>
      </c>
      <c r="O656" s="11">
        <f t="shared" si="264"/>
        <v>3.0000000000000027E-2</v>
      </c>
      <c r="P656" s="11">
        <f t="shared" si="264"/>
        <v>3.0000000000000027E-2</v>
      </c>
      <c r="Q656" s="11">
        <f t="shared" si="264"/>
        <v>3.0000000000000027E-2</v>
      </c>
      <c r="R656" s="11">
        <f t="shared" si="264"/>
        <v>3.0000000000000027E-2</v>
      </c>
      <c r="S656" s="11">
        <f t="shared" si="264"/>
        <v>3.0000000000000027E-2</v>
      </c>
      <c r="T656" s="11">
        <f t="shared" si="264"/>
        <v>3.0000000000000027E-2</v>
      </c>
      <c r="U656" s="11">
        <f t="shared" si="264"/>
        <v>3.0000000000000027E-2</v>
      </c>
      <c r="V656" s="11">
        <f t="shared" si="264"/>
        <v>3.0000000000000027E-2</v>
      </c>
      <c r="W656" s="11">
        <f t="shared" si="264"/>
        <v>3.0000000000000027E-2</v>
      </c>
      <c r="X656" s="11">
        <f t="shared" si="264"/>
        <v>3.0000000000000027E-2</v>
      </c>
      <c r="Y656" s="11">
        <f t="shared" si="264"/>
        <v>3.0000000000000027E-2</v>
      </c>
      <c r="Z656" s="11">
        <f t="shared" si="264"/>
        <v>3.0000000000000027E-2</v>
      </c>
      <c r="AA656" s="11">
        <f t="shared" si="264"/>
        <v>3.0000000000000027E-2</v>
      </c>
      <c r="AB656" s="11">
        <f t="shared" si="264"/>
        <v>3.0000000000000027E-2</v>
      </c>
      <c r="AC656" s="11">
        <f t="shared" si="264"/>
        <v>3.0000000000000027E-2</v>
      </c>
      <c r="AD656" s="11">
        <f t="shared" si="264"/>
        <v>3.0000000000000027E-2</v>
      </c>
      <c r="AE656" s="11">
        <f t="shared" si="264"/>
        <v>3.0000000000000027E-2</v>
      </c>
      <c r="AF656" s="11">
        <f t="shared" si="264"/>
        <v>3.0000000000000027E-2</v>
      </c>
      <c r="AG656" s="11">
        <f t="shared" si="264"/>
        <v>3.0000000000000027E-2</v>
      </c>
      <c r="AH656" s="11">
        <f t="shared" si="264"/>
        <v>3.0000000000000027E-2</v>
      </c>
    </row>
    <row r="657" spans="1:34" x14ac:dyDescent="0.2">
      <c r="A657" s="18"/>
      <c r="B657" s="17"/>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row>
    <row r="658" spans="1:34" s="20" customFormat="1" ht="14" x14ac:dyDescent="0.2">
      <c r="A658" s="8"/>
      <c r="B658" s="8" t="str">
        <f>'Assumptions - Passenger'!E114 &amp;" revenue"</f>
        <v>Domestic passenger revenue</v>
      </c>
      <c r="C658" s="8"/>
      <c r="D658" s="8" t="str">
        <f>'Assumptions - General'!$E$27 &amp;" millions"</f>
        <v>R$ millions</v>
      </c>
      <c r="E658" s="463">
        <f>E619*E651</f>
        <v>8000</v>
      </c>
      <c r="F658" s="12">
        <f>IF(OR(F$17=1,F$18=1),F619*F651," ")</f>
        <v>8755</v>
      </c>
      <c r="G658" s="12">
        <f t="shared" ref="G658:AH658" si="265">IF(OR(G$17=1,G$18=1),G619*G651," ")</f>
        <v>9017.65</v>
      </c>
      <c r="H658" s="12">
        <f t="shared" si="265"/>
        <v>9834.5429999999997</v>
      </c>
      <c r="I658" s="12">
        <f t="shared" si="265"/>
        <v>11255.088100000001</v>
      </c>
      <c r="J658" s="12">
        <f t="shared" si="265"/>
        <v>12172.37778015</v>
      </c>
      <c r="K658" s="12">
        <f t="shared" si="265"/>
        <v>13134.575261819002</v>
      </c>
      <c r="L658" s="12">
        <f t="shared" si="265"/>
        <v>14143.549452386007</v>
      </c>
      <c r="M658" s="12">
        <f t="shared" si="265"/>
        <v>15201.240976651396</v>
      </c>
      <c r="N658" s="12">
        <f t="shared" si="265"/>
        <v>16309.664797865562</v>
      </c>
      <c r="O658" s="12">
        <f t="shared" si="265"/>
        <v>17470.912931473587</v>
      </c>
      <c r="P658" s="12">
        <f t="shared" si="265"/>
        <v>18687.157254780021</v>
      </c>
      <c r="Q658" s="12">
        <f t="shared" si="265"/>
        <v>19960.652415846511</v>
      </c>
      <c r="R658" s="12">
        <f t="shared" si="265"/>
        <v>21293.73884504769</v>
      </c>
      <c r="S658" s="12">
        <f t="shared" si="265"/>
        <v>22688.845872826678</v>
      </c>
      <c r="T658" s="12">
        <f t="shared" si="265"/>
        <v>24148.494957311861</v>
      </c>
      <c r="U658" s="12">
        <f t="shared" si="265"/>
        <v>25675.303025580615</v>
      </c>
      <c r="V658" s="12">
        <f t="shared" si="265"/>
        <v>27271.985932483909</v>
      </c>
      <c r="W658" s="12">
        <f t="shared" si="265"/>
        <v>28941.362041078377</v>
      </c>
      <c r="X658" s="12">
        <f t="shared" si="265"/>
        <v>30686.355928849283</v>
      </c>
      <c r="Y658" s="12">
        <f t="shared" si="265"/>
        <v>32510.002224049469</v>
      </c>
      <c r="Z658" s="12">
        <f t="shared" si="265"/>
        <v>34415.44957662571</v>
      </c>
      <c r="AA658" s="12">
        <f t="shared" si="265"/>
        <v>36405.964768354868</v>
      </c>
      <c r="AB658" s="12">
        <f t="shared" si="265"/>
        <v>38484.936966968824</v>
      </c>
      <c r="AC658" s="12">
        <f t="shared" si="265"/>
        <v>40655.88212920809</v>
      </c>
      <c r="AD658" s="12">
        <f t="shared" si="265"/>
        <v>42922.447557911437</v>
      </c>
      <c r="AE658" s="12">
        <f t="shared" si="265"/>
        <v>45288.416618420706</v>
      </c>
      <c r="AF658" s="12">
        <f t="shared" si="265"/>
        <v>47757.713619758411</v>
      </c>
      <c r="AG658" s="12">
        <f t="shared" si="265"/>
        <v>50334.40886621979</v>
      </c>
      <c r="AH658" s="12">
        <f t="shared" si="265"/>
        <v>53022.723885211082</v>
      </c>
    </row>
    <row r="659" spans="1:34" s="20" customFormat="1" ht="14" x14ac:dyDescent="0.2">
      <c r="A659" s="8"/>
      <c r="B659" s="8" t="str">
        <f>'Assumptions - Passenger'!E115 &amp;" revenue"</f>
        <v>International passenger revenue</v>
      </c>
      <c r="C659" s="8"/>
      <c r="D659" s="8" t="str">
        <f>'Assumptions - General'!$E$27 &amp;" millions"</f>
        <v>R$ millions</v>
      </c>
      <c r="E659" s="463">
        <f>E620*E653</f>
        <v>8000</v>
      </c>
      <c r="F659" s="12">
        <f>IF(OR(F$17=1,F$18=1),F620*F653," ")</f>
        <v>8755</v>
      </c>
      <c r="G659" s="12">
        <f t="shared" ref="G659:AH659" si="266">IF(OR(G$17=1,G$18=1),G620*G653," ")</f>
        <v>9017.65</v>
      </c>
      <c r="H659" s="12">
        <f t="shared" si="266"/>
        <v>9834.5429999999997</v>
      </c>
      <c r="I659" s="12">
        <f t="shared" si="266"/>
        <v>11255.088100000001</v>
      </c>
      <c r="J659" s="12">
        <f t="shared" si="266"/>
        <v>12172.37778015</v>
      </c>
      <c r="K659" s="12">
        <f t="shared" si="266"/>
        <v>13134.575261819002</v>
      </c>
      <c r="L659" s="12">
        <f t="shared" si="266"/>
        <v>14143.549452386007</v>
      </c>
      <c r="M659" s="12">
        <f t="shared" si="266"/>
        <v>15201.240976651396</v>
      </c>
      <c r="N659" s="12">
        <f t="shared" si="266"/>
        <v>16309.664797865562</v>
      </c>
      <c r="O659" s="12">
        <f t="shared" si="266"/>
        <v>17470.912931473587</v>
      </c>
      <c r="P659" s="12">
        <f t="shared" si="266"/>
        <v>18687.157254780021</v>
      </c>
      <c r="Q659" s="12">
        <f t="shared" si="266"/>
        <v>19960.652415846511</v>
      </c>
      <c r="R659" s="12">
        <f t="shared" si="266"/>
        <v>21293.73884504769</v>
      </c>
      <c r="S659" s="12">
        <f t="shared" si="266"/>
        <v>22688.845872826678</v>
      </c>
      <c r="T659" s="12">
        <f t="shared" si="266"/>
        <v>24148.494957311861</v>
      </c>
      <c r="U659" s="12">
        <f t="shared" si="266"/>
        <v>25675.303025580615</v>
      </c>
      <c r="V659" s="12">
        <f t="shared" si="266"/>
        <v>27271.985932483909</v>
      </c>
      <c r="W659" s="12">
        <f t="shared" si="266"/>
        <v>28941.362041078377</v>
      </c>
      <c r="X659" s="12">
        <f t="shared" si="266"/>
        <v>30686.355928849283</v>
      </c>
      <c r="Y659" s="12">
        <f t="shared" si="266"/>
        <v>32510.002224049469</v>
      </c>
      <c r="Z659" s="12">
        <f t="shared" si="266"/>
        <v>34415.44957662571</v>
      </c>
      <c r="AA659" s="12">
        <f t="shared" si="266"/>
        <v>36405.964768354868</v>
      </c>
      <c r="AB659" s="12">
        <f t="shared" si="266"/>
        <v>38484.936966968824</v>
      </c>
      <c r="AC659" s="12">
        <f t="shared" si="266"/>
        <v>40655.88212920809</v>
      </c>
      <c r="AD659" s="12">
        <f t="shared" si="266"/>
        <v>42922.447557911437</v>
      </c>
      <c r="AE659" s="12">
        <f t="shared" si="266"/>
        <v>45288.416618420706</v>
      </c>
      <c r="AF659" s="12">
        <f t="shared" si="266"/>
        <v>47757.713619758411</v>
      </c>
      <c r="AG659" s="12">
        <f t="shared" si="266"/>
        <v>50334.40886621979</v>
      </c>
      <c r="AH659" s="12">
        <f t="shared" si="266"/>
        <v>53022.723885211082</v>
      </c>
    </row>
    <row r="660" spans="1:34" s="20" customFormat="1" ht="14" x14ac:dyDescent="0.2">
      <c r="A660" s="8"/>
      <c r="B660" s="15" t="str">
        <f>'Assumptions - Passenger'!E116 &amp;" revenue"</f>
        <v>Sub-urban passenger revenue</v>
      </c>
      <c r="C660" s="8"/>
      <c r="D660" s="8" t="str">
        <f>'Assumptions - General'!$E$27 &amp;" millions"</f>
        <v>R$ millions</v>
      </c>
      <c r="E660" s="463">
        <f>E621*E655</f>
        <v>8000</v>
      </c>
      <c r="F660" s="12">
        <f>IF(OR(F$17=1,F$18=1),F621*F655," ")</f>
        <v>8755</v>
      </c>
      <c r="G660" s="12">
        <f t="shared" ref="G660:AH660" si="267">IF(OR(G$17=1,G$18=1),G621*G655," ")</f>
        <v>9017.65</v>
      </c>
      <c r="H660" s="12">
        <f t="shared" si="267"/>
        <v>9834.5429999999997</v>
      </c>
      <c r="I660" s="12">
        <f t="shared" si="267"/>
        <v>11255.088100000001</v>
      </c>
      <c r="J660" s="12">
        <f t="shared" si="267"/>
        <v>12172.37778015</v>
      </c>
      <c r="K660" s="12">
        <f t="shared" si="267"/>
        <v>13134.575261819002</v>
      </c>
      <c r="L660" s="12">
        <f t="shared" si="267"/>
        <v>14143.549452386007</v>
      </c>
      <c r="M660" s="12">
        <f t="shared" si="267"/>
        <v>15201.240976651396</v>
      </c>
      <c r="N660" s="12">
        <f t="shared" si="267"/>
        <v>16309.664797865562</v>
      </c>
      <c r="O660" s="12">
        <f t="shared" si="267"/>
        <v>17470.912931473587</v>
      </c>
      <c r="P660" s="12">
        <f t="shared" si="267"/>
        <v>18687.157254780021</v>
      </c>
      <c r="Q660" s="12">
        <f t="shared" si="267"/>
        <v>19960.652415846511</v>
      </c>
      <c r="R660" s="12">
        <f t="shared" si="267"/>
        <v>21293.73884504769</v>
      </c>
      <c r="S660" s="12">
        <f t="shared" si="267"/>
        <v>22688.845872826678</v>
      </c>
      <c r="T660" s="12">
        <f t="shared" si="267"/>
        <v>24148.494957311861</v>
      </c>
      <c r="U660" s="12">
        <f t="shared" si="267"/>
        <v>25675.303025580615</v>
      </c>
      <c r="V660" s="12">
        <f t="shared" si="267"/>
        <v>27271.985932483909</v>
      </c>
      <c r="W660" s="12">
        <f t="shared" si="267"/>
        <v>28941.362041078377</v>
      </c>
      <c r="X660" s="12">
        <f t="shared" si="267"/>
        <v>30686.355928849283</v>
      </c>
      <c r="Y660" s="12">
        <f t="shared" si="267"/>
        <v>32510.002224049469</v>
      </c>
      <c r="Z660" s="12">
        <f t="shared" si="267"/>
        <v>34415.44957662571</v>
      </c>
      <c r="AA660" s="12">
        <f t="shared" si="267"/>
        <v>36405.964768354868</v>
      </c>
      <c r="AB660" s="12">
        <f t="shared" si="267"/>
        <v>38484.936966968824</v>
      </c>
      <c r="AC660" s="12">
        <f t="shared" si="267"/>
        <v>40655.88212920809</v>
      </c>
      <c r="AD660" s="12">
        <f t="shared" si="267"/>
        <v>42922.447557911437</v>
      </c>
      <c r="AE660" s="12">
        <f t="shared" si="267"/>
        <v>45288.416618420706</v>
      </c>
      <c r="AF660" s="12">
        <f t="shared" si="267"/>
        <v>47757.713619758411</v>
      </c>
      <c r="AG660" s="12">
        <f t="shared" si="267"/>
        <v>50334.40886621979</v>
      </c>
      <c r="AH660" s="12">
        <f t="shared" si="267"/>
        <v>53022.723885211082</v>
      </c>
    </row>
    <row r="661" spans="1:34" s="20" customFormat="1" ht="14" x14ac:dyDescent="0.2">
      <c r="A661" s="8"/>
      <c r="B661" s="15"/>
      <c r="C661" s="8"/>
      <c r="D661" s="8"/>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row>
    <row r="662" spans="1:34" x14ac:dyDescent="0.2">
      <c r="A662" s="324"/>
      <c r="B662" s="323" t="str">
        <f>"Non-operating revenue of "&amp;'Assumptions - General'!$E$25</f>
        <v>Non-operating revenue of Ruritania Passenger Rail Company</v>
      </c>
      <c r="C662" s="324"/>
      <c r="D662" s="324"/>
      <c r="E662" s="324"/>
      <c r="F662" s="324"/>
      <c r="G662" s="324"/>
      <c r="H662" s="324"/>
      <c r="I662" s="324"/>
      <c r="J662" s="324"/>
      <c r="K662" s="324"/>
      <c r="L662" s="324"/>
      <c r="M662" s="324"/>
      <c r="N662" s="324"/>
      <c r="O662" s="324"/>
      <c r="P662" s="324"/>
      <c r="Q662" s="324"/>
      <c r="R662" s="324"/>
      <c r="S662" s="324"/>
      <c r="T662" s="324"/>
      <c r="U662" s="324"/>
      <c r="V662" s="324"/>
      <c r="W662" s="324"/>
      <c r="X662" s="324"/>
      <c r="Y662" s="324"/>
      <c r="Z662" s="324"/>
      <c r="AA662" s="324"/>
      <c r="AB662" s="324"/>
      <c r="AC662" s="324"/>
      <c r="AD662" s="324"/>
      <c r="AE662" s="324"/>
      <c r="AF662" s="324"/>
      <c r="AG662" s="324"/>
      <c r="AH662" s="324"/>
    </row>
    <row r="663" spans="1:34" s="20" customFormat="1" ht="14" x14ac:dyDescent="0.2">
      <c r="B663" s="55"/>
      <c r="E663" s="56"/>
      <c r="F663" s="56"/>
      <c r="G663" s="56"/>
      <c r="H663" s="56"/>
      <c r="I663" s="56"/>
      <c r="J663" s="56"/>
      <c r="K663" s="56"/>
      <c r="L663" s="56"/>
      <c r="M663" s="56"/>
      <c r="N663" s="56"/>
      <c r="O663" s="56"/>
      <c r="P663" s="56"/>
      <c r="Q663" s="56"/>
      <c r="R663" s="56"/>
      <c r="S663" s="56"/>
      <c r="T663" s="56"/>
      <c r="U663" s="56"/>
      <c r="V663" s="56"/>
      <c r="W663" s="56"/>
      <c r="X663" s="56"/>
      <c r="Y663" s="56"/>
      <c r="Z663" s="56"/>
      <c r="AA663" s="56"/>
      <c r="AB663" s="56"/>
      <c r="AC663" s="56"/>
      <c r="AD663" s="56"/>
      <c r="AE663" s="56"/>
      <c r="AF663" s="56"/>
      <c r="AG663" s="56"/>
      <c r="AH663" s="56"/>
    </row>
    <row r="664" spans="1:34" s="20" customFormat="1" ht="14" x14ac:dyDescent="0.2">
      <c r="B664" s="57" t="str">
        <f>'Assumptions - Passenger'!E165</f>
        <v>Tax credit</v>
      </c>
      <c r="D664" s="20" t="str">
        <f>'Assumptions - General'!$E$27 &amp;" millions"</f>
        <v>R$ millions</v>
      </c>
      <c r="E664" s="463">
        <f>IF(OR(E$17=1,E$18=1),'Assumptions - Passenger'!E166,0)</f>
        <v>100</v>
      </c>
      <c r="F664" s="38">
        <f>IF(OR(F$17=1,F$18=1),'Assumptions - Passenger'!F167*'Assumptions - Passenger'!F171/1000000,0)</f>
        <v>100</v>
      </c>
      <c r="G664" s="38">
        <f>IF(OR(G$17=1,G$18=1),'Assumptions - Passenger'!G167*'Assumptions - Passenger'!G171/1000000,0)</f>
        <v>100</v>
      </c>
      <c r="H664" s="38">
        <f>IF(OR(H$17=1,H$18=1),'Assumptions - Passenger'!H167*'Assumptions - Passenger'!H171/1000000,0)</f>
        <v>100</v>
      </c>
      <c r="I664" s="38">
        <f>IF(OR(I$17=1,I$18=1),'Assumptions - Passenger'!I167*'Assumptions - Passenger'!I171/1000000,0)</f>
        <v>100</v>
      </c>
      <c r="J664" s="38">
        <f>IF(OR(J$17=1,J$18=1),'Assumptions - Passenger'!J167*'Assumptions - Passenger'!J171/1000000,0)</f>
        <v>100</v>
      </c>
      <c r="K664" s="38">
        <f>IF(OR(K$17=1,K$18=1),'Assumptions - Passenger'!K167*'Assumptions - Passenger'!K171/1000000,0)</f>
        <v>100</v>
      </c>
      <c r="L664" s="38">
        <f>IF(OR(L$17=1,L$18=1),'Assumptions - Passenger'!L167*'Assumptions - Passenger'!L171/1000000,0)</f>
        <v>100</v>
      </c>
      <c r="M664" s="38">
        <f>IF(OR(M$17=1,M$18=1),'Assumptions - Passenger'!M167*'Assumptions - Passenger'!M171/1000000,0)</f>
        <v>100</v>
      </c>
      <c r="N664" s="38">
        <f>IF(OR(N$17=1,N$18=1),'Assumptions - Passenger'!N167*'Assumptions - Passenger'!N171/1000000,0)</f>
        <v>100</v>
      </c>
      <c r="O664" s="38">
        <f>IF(OR(O$17=1,O$18=1),'Assumptions - Passenger'!O167*'Assumptions - Passenger'!O171/1000000,0)</f>
        <v>100</v>
      </c>
      <c r="P664" s="38">
        <f>IF(OR(P$17=1,P$18=1),'Assumptions - Passenger'!P167*'Assumptions - Passenger'!P171/1000000,0)</f>
        <v>100</v>
      </c>
      <c r="Q664" s="38">
        <f>IF(OR(Q$17=1,Q$18=1),'Assumptions - Passenger'!Q167*'Assumptions - Passenger'!Q171/1000000,0)</f>
        <v>100</v>
      </c>
      <c r="R664" s="38">
        <f>IF(OR(R$17=1,R$18=1),'Assumptions - Passenger'!R167*'Assumptions - Passenger'!R171/1000000,0)</f>
        <v>100</v>
      </c>
      <c r="S664" s="38">
        <f>IF(OR(S$17=1,S$18=1),'Assumptions - Passenger'!S167*'Assumptions - Passenger'!S171/1000000,0)</f>
        <v>100</v>
      </c>
      <c r="T664" s="38">
        <f>IF(OR(T$17=1,T$18=1),'Assumptions - Passenger'!T167*'Assumptions - Passenger'!T171/1000000,0)</f>
        <v>100</v>
      </c>
      <c r="U664" s="38">
        <f>IF(OR(U$17=1,U$18=1),'Assumptions - Passenger'!U167*'Assumptions - Passenger'!U171/1000000,0)</f>
        <v>100</v>
      </c>
      <c r="V664" s="38">
        <f>IF(OR(V$17=1,V$18=1),'Assumptions - Passenger'!V167*'Assumptions - Passenger'!V171/1000000,0)</f>
        <v>100</v>
      </c>
      <c r="W664" s="38">
        <f>IF(OR(W$17=1,W$18=1),'Assumptions - Passenger'!W167*'Assumptions - Passenger'!W171/1000000,0)</f>
        <v>100</v>
      </c>
      <c r="X664" s="38">
        <f>IF(OR(X$17=1,X$18=1),'Assumptions - Passenger'!X167*'Assumptions - Passenger'!X171/1000000,0)</f>
        <v>100</v>
      </c>
      <c r="Y664" s="38">
        <f>IF(OR(Y$17=1,Y$18=1),'Assumptions - Passenger'!Y167*'Assumptions - Passenger'!Y171/1000000,0)</f>
        <v>100</v>
      </c>
      <c r="Z664" s="38">
        <f>IF(OR(Z$17=1,Z$18=1),'Assumptions - Passenger'!Z167*'Assumptions - Passenger'!Z171/1000000,0)</f>
        <v>100</v>
      </c>
      <c r="AA664" s="38">
        <f>IF(OR(AA$17=1,AA$18=1),'Assumptions - Passenger'!AA167*'Assumptions - Passenger'!AA171/1000000,0)</f>
        <v>100</v>
      </c>
      <c r="AB664" s="38">
        <f>IF(OR(AB$17=1,AB$18=1),'Assumptions - Passenger'!AB167*'Assumptions - Passenger'!AB171/1000000,0)</f>
        <v>100</v>
      </c>
      <c r="AC664" s="38">
        <f>IF(OR(AC$17=1,AC$18=1),'Assumptions - Passenger'!AC167*'Assumptions - Passenger'!AC171/1000000,0)</f>
        <v>100</v>
      </c>
      <c r="AD664" s="38">
        <f>IF(OR(AD$17=1,AD$18=1),'Assumptions - Passenger'!AD167*'Assumptions - Passenger'!AD171/1000000,0)</f>
        <v>100</v>
      </c>
      <c r="AE664" s="38">
        <f>IF(OR(AE$17=1,AE$18=1),'Assumptions - Passenger'!AE167*'Assumptions - Passenger'!AE171/1000000,0)</f>
        <v>100</v>
      </c>
      <c r="AF664" s="38">
        <f>IF(OR(AF$17=1,AF$18=1),'Assumptions - Passenger'!AF167*'Assumptions - Passenger'!AF171/1000000,0)</f>
        <v>100</v>
      </c>
      <c r="AG664" s="38">
        <f>IF(OR(AG$17=1,AG$18=1),'Assumptions - Passenger'!AG167*'Assumptions - Passenger'!AG171/1000000,0)</f>
        <v>100</v>
      </c>
      <c r="AH664" s="38">
        <f>IF(OR(AH$17=1,AH$18=1),'Assumptions - Passenger'!AH167*'Assumptions - Passenger'!AH171/1000000,0)</f>
        <v>100</v>
      </c>
    </row>
    <row r="665" spans="1:34" s="20" customFormat="1" ht="14" x14ac:dyDescent="0.2">
      <c r="B665" s="57" t="str">
        <f>'Assumptions - Passenger'!E174</f>
        <v>Investment income</v>
      </c>
      <c r="D665" s="20" t="str">
        <f>'Assumptions - General'!$E$27 &amp;" millions"</f>
        <v>R$ millions</v>
      </c>
      <c r="E665" s="466">
        <f>IF(OR(E$17=1,E$18=1),'Assumptions - Passenger'!E175,0)</f>
        <v>50</v>
      </c>
      <c r="F665" s="38">
        <f>IF(OR(F$17=1,F$18=1),'Assumptions - Passenger'!F176*'Assumptions - Passenger'!F180/1000000+F666,0)</f>
        <v>51.5</v>
      </c>
      <c r="G665" s="38">
        <f>IF(OR(G$17=1,G$18=1),'Assumptions - Passenger'!G176*'Assumptions - Passenger'!G180/1000000+G666,0)</f>
        <v>53.045000000000002</v>
      </c>
      <c r="H665" s="38">
        <f>IF(OR(H$17=1,H$18=1),'Assumptions - Passenger'!H176*'Assumptions - Passenger'!H180/1000000+H666,0)</f>
        <v>54.63635</v>
      </c>
      <c r="I665" s="38">
        <f>IF(OR(I$17=1,I$18=1),'Assumptions - Passenger'!I176*'Assumptions - Passenger'!I180/1000000+I666,0)</f>
        <v>56.275440500000002</v>
      </c>
      <c r="J665" s="38">
        <f>IF(OR(J$17=1,J$18=1),'Assumptions - Passenger'!J176*'Assumptions - Passenger'!J180/1000000+J666,0)</f>
        <v>57.963703714999994</v>
      </c>
      <c r="K665" s="38">
        <f>IF(OR(K$17=1,K$18=1),'Assumptions - Passenger'!K176*'Assumptions - Passenger'!K180/1000000+K666,0)</f>
        <v>59.702614826449995</v>
      </c>
      <c r="L665" s="38">
        <f>IF(OR(L$17=1,L$18=1),'Assumptions - Passenger'!L176*'Assumptions - Passenger'!L180/1000000+L666,0)</f>
        <v>61.493693271243508</v>
      </c>
      <c r="M665" s="38">
        <f>IF(OR(M$17=1,M$18=1),'Assumptions - Passenger'!M176*'Assumptions - Passenger'!M180/1000000+M666,0)</f>
        <v>63.338504069380811</v>
      </c>
      <c r="N665" s="38">
        <f>IF(OR(N$17=1,N$18=1),'Assumptions - Passenger'!N176*'Assumptions - Passenger'!N180/1000000+N666,0)</f>
        <v>65.238659191462233</v>
      </c>
      <c r="O665" s="38">
        <f>IF(OR(O$17=1,O$18=1),'Assumptions - Passenger'!O176*'Assumptions - Passenger'!O180/1000000+O666,0)</f>
        <v>67.195818967206108</v>
      </c>
      <c r="P665" s="38">
        <f>IF(OR(P$17=1,P$18=1),'Assumptions - Passenger'!P176*'Assumptions - Passenger'!P180/1000000+P666,0)</f>
        <v>69.211693536222285</v>
      </c>
      <c r="Q665" s="38">
        <f>IF(OR(Q$17=1,Q$18=1),'Assumptions - Passenger'!Q176*'Assumptions - Passenger'!Q180/1000000+Q666,0)</f>
        <v>71.28804434230895</v>
      </c>
      <c r="R665" s="38">
        <f>IF(OR(R$17=1,R$18=1),'Assumptions - Passenger'!R176*'Assumptions - Passenger'!R180/1000000+R666,0)</f>
        <v>73.42668567257823</v>
      </c>
      <c r="S665" s="38">
        <f>IF(OR(S$17=1,S$18=1),'Assumptions - Passenger'!S176*'Assumptions - Passenger'!S180/1000000+S666,0)</f>
        <v>75.629486242755576</v>
      </c>
      <c r="T665" s="38">
        <f>IF(OR(T$17=1,T$18=1),'Assumptions - Passenger'!T176*'Assumptions - Passenger'!T180/1000000+T666,0)</f>
        <v>77.898370830038232</v>
      </c>
      <c r="U665" s="38">
        <f>IF(OR(U$17=1,U$18=1),'Assumptions - Passenger'!U176*'Assumptions - Passenger'!U180/1000000+U666,0)</f>
        <v>80.23532195493938</v>
      </c>
      <c r="V665" s="38">
        <f>IF(OR(V$17=1,V$18=1),'Assumptions - Passenger'!V176*'Assumptions - Passenger'!V180/1000000+V666,0)</f>
        <v>82.64238161358756</v>
      </c>
      <c r="W665" s="38">
        <f>IF(OR(W$17=1,W$18=1),'Assumptions - Passenger'!W176*'Assumptions - Passenger'!W180/1000000+W666,0)</f>
        <v>85.12165306199519</v>
      </c>
      <c r="X665" s="38">
        <f>IF(OR(X$17=1,X$18=1),'Assumptions - Passenger'!X176*'Assumptions - Passenger'!X180/1000000+X666,0)</f>
        <v>87.675302653855056</v>
      </c>
      <c r="Y665" s="38">
        <f>IF(OR(Y$17=1,Y$18=1),'Assumptions - Passenger'!Y176*'Assumptions - Passenger'!Y180/1000000+Y666,0)</f>
        <v>90.305561733470711</v>
      </c>
      <c r="Z665" s="38">
        <f>IF(OR(Z$17=1,Z$18=1),'Assumptions - Passenger'!Z176*'Assumptions - Passenger'!Z180/1000000+Z666,0)</f>
        <v>93.014728585474828</v>
      </c>
      <c r="AA665" s="38">
        <f>IF(OR(AA$17=1,AA$18=1),'Assumptions - Passenger'!AA176*'Assumptions - Passenger'!AA180/1000000+AA666,0)</f>
        <v>95.805170443039088</v>
      </c>
      <c r="AB665" s="38">
        <f>IF(OR(AB$17=1,AB$18=1),'Assumptions - Passenger'!AB176*'Assumptions - Passenger'!AB180/1000000+AB666,0)</f>
        <v>98.679325556330255</v>
      </c>
      <c r="AC665" s="38">
        <f>IF(OR(AC$17=1,AC$18=1),'Assumptions - Passenger'!AC176*'Assumptions - Passenger'!AC180/1000000+AC666,0)</f>
        <v>101.63970532302017</v>
      </c>
      <c r="AD665" s="38">
        <f>IF(OR(AD$17=1,AD$18=1),'Assumptions - Passenger'!AD176*'Assumptions - Passenger'!AD180/1000000+AD666,0)</f>
        <v>104.68889648271076</v>
      </c>
      <c r="AE665" s="38">
        <f>IF(OR(AE$17=1,AE$18=1),'Assumptions - Passenger'!AE176*'Assumptions - Passenger'!AE180/1000000+AE666,0)</f>
        <v>107.82956337719207</v>
      </c>
      <c r="AF665" s="38">
        <f>IF(OR(AF$17=1,AF$18=1),'Assumptions - Passenger'!AF176*'Assumptions - Passenger'!AF180/1000000+AF666,0)</f>
        <v>111.06445027850785</v>
      </c>
      <c r="AG665" s="38">
        <f>IF(OR(AG$17=1,AG$18=1),'Assumptions - Passenger'!AG176*'Assumptions - Passenger'!AG180/1000000+AG666,0)</f>
        <v>114.39638378686308</v>
      </c>
      <c r="AH665" s="38">
        <f>IF(OR(AH$17=1,AH$18=1),'Assumptions - Passenger'!AH176*'Assumptions - Passenger'!AH180/1000000+AH666,0)</f>
        <v>117.828275300469</v>
      </c>
    </row>
    <row r="666" spans="1:34" s="20" customFormat="1" ht="14" x14ac:dyDescent="0.2">
      <c r="B666" s="271" t="s">
        <v>692</v>
      </c>
      <c r="D666" s="20" t="str">
        <f>'Assumptions - General'!$E$27 &amp;" millions"</f>
        <v>R$ millions</v>
      </c>
      <c r="E666" s="466">
        <v>0</v>
      </c>
      <c r="F666" s="38">
        <f>IF(OR(F$17=1,F$18=1),IF(F753/E753&lt;1,F755/(F753/E753)-F755,0)+IF(F769/E769&lt;1,F771/(F769/E769)-F771,0)+IF(F785/E785&lt;1,F787/(F785/E785)-F787,0)+IF(F811/E811&lt;1,F813/(F811/E811)-F813,0)+IF(F841/E841&lt;1,F843/(F841/E841)-F843,0)+IF(F871/E871&lt;1,F873/(F871/E871)-F873,0)+IF(F901/E901&lt;1,F903/(F901/E901)-F903,0)+IF(F811/E811&gt;1,F814-F814/(F811/E811),0)+IF(F841/E841&gt;1,F844-F844/(F841/E841),0)+IF(F871/E871&gt;1,F874-F874/(F871/E871),0)+IF(F901/E901&gt;1,F904-F904/(F901/E901),0),0)</f>
        <v>0</v>
      </c>
      <c r="G666" s="38">
        <f t="shared" ref="G666:AH666" si="268">IF(OR(G$17=1,G$18=1),IF(G753/F753&lt;1,G755/(G753/F753)-G755,0)+IF(G769/F769&lt;1,G771/(G769/F769)-G771,0)+IF(G785/F785&lt;1,G787/(G785/F785)-G787,0)+IF(G811/F811&lt;1,G813/(G811/F811)-G813,0)+IF(G841/F841&lt;1,G843/(G841/F841)-G843,0)+IF(G871/F871&lt;1,G873/(G871/F871)-G873,0)+IF(G901/F901&lt;1,G903/(G901/F901)-G903,0)+IF(G811/F811&gt;1,G814-G814/(G811/F811),0)+IF(G841/F841&gt;1,G844-G844/(G841/F841),0)+IF(G871/F871&gt;1,G874-G874/(G871/F871),0)+IF(G901/F901&gt;1,G904-G904/(G901/F901),0),0)</f>
        <v>0</v>
      </c>
      <c r="H666" s="38">
        <f t="shared" si="268"/>
        <v>0</v>
      </c>
      <c r="I666" s="38">
        <f t="shared" si="268"/>
        <v>0</v>
      </c>
      <c r="J666" s="38">
        <f t="shared" si="268"/>
        <v>0</v>
      </c>
      <c r="K666" s="38">
        <f t="shared" si="268"/>
        <v>0</v>
      </c>
      <c r="L666" s="38">
        <f t="shared" si="268"/>
        <v>0</v>
      </c>
      <c r="M666" s="38">
        <f t="shared" si="268"/>
        <v>0</v>
      </c>
      <c r="N666" s="38">
        <f t="shared" si="268"/>
        <v>0</v>
      </c>
      <c r="O666" s="38">
        <f t="shared" si="268"/>
        <v>0</v>
      </c>
      <c r="P666" s="38">
        <f t="shared" si="268"/>
        <v>0</v>
      </c>
      <c r="Q666" s="38">
        <f t="shared" si="268"/>
        <v>0</v>
      </c>
      <c r="R666" s="38">
        <f t="shared" si="268"/>
        <v>0</v>
      </c>
      <c r="S666" s="38">
        <f t="shared" si="268"/>
        <v>0</v>
      </c>
      <c r="T666" s="38">
        <f t="shared" si="268"/>
        <v>0</v>
      </c>
      <c r="U666" s="38">
        <f t="shared" si="268"/>
        <v>0</v>
      </c>
      <c r="V666" s="38">
        <f t="shared" si="268"/>
        <v>0</v>
      </c>
      <c r="W666" s="38">
        <f t="shared" si="268"/>
        <v>0</v>
      </c>
      <c r="X666" s="38">
        <f t="shared" si="268"/>
        <v>0</v>
      </c>
      <c r="Y666" s="38">
        <f t="shared" si="268"/>
        <v>0</v>
      </c>
      <c r="Z666" s="38">
        <f t="shared" si="268"/>
        <v>0</v>
      </c>
      <c r="AA666" s="38">
        <f t="shared" si="268"/>
        <v>0</v>
      </c>
      <c r="AB666" s="38">
        <f t="shared" si="268"/>
        <v>0</v>
      </c>
      <c r="AC666" s="38">
        <f t="shared" si="268"/>
        <v>0</v>
      </c>
      <c r="AD666" s="38">
        <f t="shared" si="268"/>
        <v>0</v>
      </c>
      <c r="AE666" s="38">
        <f t="shared" si="268"/>
        <v>0</v>
      </c>
      <c r="AF666" s="38">
        <f t="shared" si="268"/>
        <v>0</v>
      </c>
      <c r="AG666" s="38">
        <f t="shared" si="268"/>
        <v>0</v>
      </c>
      <c r="AH666" s="38">
        <f t="shared" si="268"/>
        <v>0</v>
      </c>
    </row>
    <row r="667" spans="1:34" s="20" customFormat="1" ht="14" x14ac:dyDescent="0.2">
      <c r="B667" s="57" t="str">
        <f>'Assumptions - Passenger'!E183</f>
        <v>Other</v>
      </c>
      <c r="D667" s="20" t="str">
        <f>'Assumptions - General'!$E$27 &amp;" millions"</f>
        <v>R$ millions</v>
      </c>
      <c r="E667" s="463">
        <f>IF(OR(E$17=1,E$18=1),'Assumptions - Passenger'!E184,0)</f>
        <v>50</v>
      </c>
      <c r="F667" s="38">
        <f>IF(OR(F$17=1,F$18=1),'Assumptions - Passenger'!F185*'Assumptions - Passenger'!F189/1000000,0)</f>
        <v>51.5</v>
      </c>
      <c r="G667" s="38">
        <f>IF(OR(G$17=1,G$18=1),'Assumptions - Passenger'!G185*'Assumptions - Passenger'!G189/1000000,0)</f>
        <v>53.045000000000002</v>
      </c>
      <c r="H667" s="38">
        <f>IF(OR(H$17=1,H$18=1),'Assumptions - Passenger'!H185*'Assumptions - Passenger'!H189/1000000,0)</f>
        <v>54.63635</v>
      </c>
      <c r="I667" s="38">
        <f>IF(OR(I$17=1,I$18=1),'Assumptions - Passenger'!I185*'Assumptions - Passenger'!I189/1000000,0)</f>
        <v>56.275440500000002</v>
      </c>
      <c r="J667" s="38">
        <f>IF(OR(J$17=1,J$18=1),'Assumptions - Passenger'!J185*'Assumptions - Passenger'!J189/1000000,0)</f>
        <v>57.963703714999994</v>
      </c>
      <c r="K667" s="38">
        <f>IF(OR(K$17=1,K$18=1),'Assumptions - Passenger'!K185*'Assumptions - Passenger'!K189/1000000,0)</f>
        <v>59.702614826449995</v>
      </c>
      <c r="L667" s="38">
        <f>IF(OR(L$17=1,L$18=1),'Assumptions - Passenger'!L185*'Assumptions - Passenger'!L189/1000000,0)</f>
        <v>61.493693271243508</v>
      </c>
      <c r="M667" s="38">
        <f>IF(OR(M$17=1,M$18=1),'Assumptions - Passenger'!M185*'Assumptions - Passenger'!M189/1000000,0)</f>
        <v>63.338504069380811</v>
      </c>
      <c r="N667" s="38">
        <f>IF(OR(N$17=1,N$18=1),'Assumptions - Passenger'!N185*'Assumptions - Passenger'!N189/1000000,0)</f>
        <v>65.238659191462233</v>
      </c>
      <c r="O667" s="38">
        <f>IF(OR(O$17=1,O$18=1),'Assumptions - Passenger'!O185*'Assumptions - Passenger'!O189/1000000,0)</f>
        <v>67.195818967206108</v>
      </c>
      <c r="P667" s="38">
        <f>IF(OR(P$17=1,P$18=1),'Assumptions - Passenger'!P185*'Assumptions - Passenger'!P189/1000000,0)</f>
        <v>69.211693536222285</v>
      </c>
      <c r="Q667" s="38">
        <f>IF(OR(Q$17=1,Q$18=1),'Assumptions - Passenger'!Q185*'Assumptions - Passenger'!Q189/1000000,0)</f>
        <v>71.28804434230895</v>
      </c>
      <c r="R667" s="38">
        <f>IF(OR(R$17=1,R$18=1),'Assumptions - Passenger'!R185*'Assumptions - Passenger'!R189/1000000,0)</f>
        <v>73.42668567257823</v>
      </c>
      <c r="S667" s="38">
        <f>IF(OR(S$17=1,S$18=1),'Assumptions - Passenger'!S185*'Assumptions - Passenger'!S189/1000000,0)</f>
        <v>75.629486242755576</v>
      </c>
      <c r="T667" s="38">
        <f>IF(OR(T$17=1,T$18=1),'Assumptions - Passenger'!T185*'Assumptions - Passenger'!T189/1000000,0)</f>
        <v>77.898370830038232</v>
      </c>
      <c r="U667" s="38">
        <f>IF(OR(U$17=1,U$18=1),'Assumptions - Passenger'!U185*'Assumptions - Passenger'!U189/1000000,0)</f>
        <v>80.23532195493938</v>
      </c>
      <c r="V667" s="38">
        <f>IF(OR(V$17=1,V$18=1),'Assumptions - Passenger'!V185*'Assumptions - Passenger'!V189/1000000,0)</f>
        <v>82.64238161358756</v>
      </c>
      <c r="W667" s="38">
        <f>IF(OR(W$17=1,W$18=1),'Assumptions - Passenger'!W185*'Assumptions - Passenger'!W189/1000000,0)</f>
        <v>85.12165306199519</v>
      </c>
      <c r="X667" s="38">
        <f>IF(OR(X$17=1,X$18=1),'Assumptions - Passenger'!X185*'Assumptions - Passenger'!X189/1000000,0)</f>
        <v>87.675302653855056</v>
      </c>
      <c r="Y667" s="38">
        <f>IF(OR(Y$17=1,Y$18=1),'Assumptions - Passenger'!Y185*'Assumptions - Passenger'!Y189/1000000,0)</f>
        <v>90.305561733470711</v>
      </c>
      <c r="Z667" s="38">
        <f>IF(OR(Z$17=1,Z$18=1),'Assumptions - Passenger'!Z185*'Assumptions - Passenger'!Z189/1000000,0)</f>
        <v>93.014728585474828</v>
      </c>
      <c r="AA667" s="38">
        <f>IF(OR(AA$17=1,AA$18=1),'Assumptions - Passenger'!AA185*'Assumptions - Passenger'!AA189/1000000,0)</f>
        <v>95.805170443039088</v>
      </c>
      <c r="AB667" s="38">
        <f>IF(OR(AB$17=1,AB$18=1),'Assumptions - Passenger'!AB185*'Assumptions - Passenger'!AB189/1000000,0)</f>
        <v>98.679325556330255</v>
      </c>
      <c r="AC667" s="38">
        <f>IF(OR(AC$17=1,AC$18=1),'Assumptions - Passenger'!AC185*'Assumptions - Passenger'!AC189/1000000,0)</f>
        <v>101.63970532302017</v>
      </c>
      <c r="AD667" s="38">
        <f>IF(OR(AD$17=1,AD$18=1),'Assumptions - Passenger'!AD185*'Assumptions - Passenger'!AD189/1000000,0)</f>
        <v>104.68889648271076</v>
      </c>
      <c r="AE667" s="38">
        <f>IF(OR(AE$17=1,AE$18=1),'Assumptions - Passenger'!AE185*'Assumptions - Passenger'!AE189/1000000,0)</f>
        <v>107.82956337719207</v>
      </c>
      <c r="AF667" s="38">
        <f>IF(OR(AF$17=1,AF$18=1),'Assumptions - Passenger'!AF185*'Assumptions - Passenger'!AF189/1000000,0)</f>
        <v>111.06445027850785</v>
      </c>
      <c r="AG667" s="38">
        <f>IF(OR(AG$17=1,AG$18=1),'Assumptions - Passenger'!AG185*'Assumptions - Passenger'!AG189/1000000,0)</f>
        <v>114.39638378686308</v>
      </c>
      <c r="AH667" s="38">
        <f>IF(OR(AH$17=1,AH$18=1),'Assumptions - Passenger'!AH185*'Assumptions - Passenger'!AH189/1000000,0)</f>
        <v>117.828275300469</v>
      </c>
    </row>
    <row r="668" spans="1:34" s="20" customFormat="1" ht="14" x14ac:dyDescent="0.2">
      <c r="B668" s="57" t="s">
        <v>322</v>
      </c>
      <c r="D668" s="20" t="s">
        <v>15</v>
      </c>
      <c r="E668" s="128" t="str">
        <f t="shared" ref="E668:AH668" si="269">IF(E17=1,IF(AND(SUM($E$664:$AH$667)&gt;0,($E$4+SUM($F$17:$AH$17))=E$4),(SUM(E664:E667)/SUM($E664:$E667))^(1/SUM($F$17:$AH$17))-1," ")," ")</f>
        <v xml:space="preserve"> </v>
      </c>
      <c r="F668" s="128" t="str">
        <f t="shared" si="269"/>
        <v xml:space="preserve"> </v>
      </c>
      <c r="G668" s="128" t="str">
        <f t="shared" si="269"/>
        <v xml:space="preserve"> </v>
      </c>
      <c r="H668" s="128" t="str">
        <f t="shared" si="269"/>
        <v xml:space="preserve"> </v>
      </c>
      <c r="I668" s="128" t="str">
        <f t="shared" si="269"/>
        <v xml:space="preserve"> </v>
      </c>
      <c r="J668" s="128" t="str">
        <f t="shared" si="269"/>
        <v xml:space="preserve"> </v>
      </c>
      <c r="K668" s="128" t="str">
        <f t="shared" si="269"/>
        <v xml:space="preserve"> </v>
      </c>
      <c r="L668" s="128" t="str">
        <f t="shared" si="269"/>
        <v xml:space="preserve"> </v>
      </c>
      <c r="M668" s="128" t="str">
        <f t="shared" si="269"/>
        <v xml:space="preserve"> </v>
      </c>
      <c r="N668" s="128" t="str">
        <f t="shared" si="269"/>
        <v xml:space="preserve"> </v>
      </c>
      <c r="O668" s="128" t="str">
        <f t="shared" si="269"/>
        <v xml:space="preserve"> </v>
      </c>
      <c r="P668" s="128" t="str">
        <f t="shared" si="269"/>
        <v xml:space="preserve"> </v>
      </c>
      <c r="Q668" s="128" t="str">
        <f t="shared" si="269"/>
        <v xml:space="preserve"> </v>
      </c>
      <c r="R668" s="128" t="str">
        <f t="shared" si="269"/>
        <v xml:space="preserve"> </v>
      </c>
      <c r="S668" s="128" t="str">
        <f t="shared" si="269"/>
        <v xml:space="preserve"> </v>
      </c>
      <c r="T668" s="128" t="str">
        <f t="shared" si="269"/>
        <v xml:space="preserve"> </v>
      </c>
      <c r="U668" s="128" t="str">
        <f t="shared" si="269"/>
        <v xml:space="preserve"> </v>
      </c>
      <c r="V668" s="128" t="str">
        <f t="shared" si="269"/>
        <v xml:space="preserve"> </v>
      </c>
      <c r="W668" s="128" t="str">
        <f t="shared" si="269"/>
        <v xml:space="preserve"> </v>
      </c>
      <c r="X668" s="128" t="str">
        <f t="shared" si="269"/>
        <v xml:space="preserve"> </v>
      </c>
      <c r="Y668" s="128" t="str">
        <f t="shared" si="269"/>
        <v xml:space="preserve"> </v>
      </c>
      <c r="Z668" s="128" t="str">
        <f t="shared" si="269"/>
        <v xml:space="preserve"> </v>
      </c>
      <c r="AA668" s="128" t="str">
        <f t="shared" si="269"/>
        <v xml:space="preserve"> </v>
      </c>
      <c r="AB668" s="128" t="str">
        <f t="shared" si="269"/>
        <v xml:space="preserve"> </v>
      </c>
      <c r="AC668" s="128" t="str">
        <f t="shared" si="269"/>
        <v xml:space="preserve"> </v>
      </c>
      <c r="AD668" s="128" t="str">
        <f t="shared" si="269"/>
        <v xml:space="preserve"> </v>
      </c>
      <c r="AE668" s="128" t="str">
        <f t="shared" si="269"/>
        <v xml:space="preserve"> </v>
      </c>
      <c r="AF668" s="128" t="str">
        <f t="shared" si="269"/>
        <v xml:space="preserve"> </v>
      </c>
      <c r="AG668" s="128" t="str">
        <f t="shared" si="269"/>
        <v xml:space="preserve"> </v>
      </c>
      <c r="AH668" s="128">
        <f t="shared" si="269"/>
        <v>1.8014514469808507E-2</v>
      </c>
    </row>
    <row r="669" spans="1:34" s="20" customFormat="1" ht="14" x14ac:dyDescent="0.2">
      <c r="B669" s="55"/>
      <c r="E669" s="56"/>
      <c r="F669" s="56"/>
      <c r="G669" s="56"/>
      <c r="H669" s="56"/>
      <c r="I669" s="56"/>
      <c r="J669" s="56"/>
      <c r="K669" s="56"/>
      <c r="L669" s="56"/>
      <c r="M669" s="56"/>
      <c r="N669" s="56"/>
      <c r="O669" s="56"/>
      <c r="P669" s="56"/>
      <c r="Q669" s="56"/>
      <c r="R669" s="56"/>
      <c r="S669" s="56"/>
      <c r="T669" s="56"/>
      <c r="U669" s="56"/>
      <c r="V669" s="56"/>
      <c r="W669" s="56"/>
      <c r="X669" s="56"/>
      <c r="Y669" s="56"/>
      <c r="Z669" s="56"/>
      <c r="AA669" s="56"/>
      <c r="AB669" s="56"/>
      <c r="AC669" s="56"/>
      <c r="AD669" s="56"/>
      <c r="AE669" s="56"/>
      <c r="AF669" s="56"/>
      <c r="AG669" s="56"/>
      <c r="AH669" s="56"/>
    </row>
    <row r="670" spans="1:34" x14ac:dyDescent="0.2">
      <c r="A670" s="324"/>
      <c r="B670" s="323" t="str">
        <f>"Public subsidy assumptions for " &amp;'Assumptions - General'!$E$25</f>
        <v>Public subsidy assumptions for Ruritania Passenger Rail Company</v>
      </c>
      <c r="C670" s="324"/>
      <c r="D670" s="324"/>
      <c r="E670" s="324"/>
      <c r="F670" s="324"/>
      <c r="G670" s="324"/>
      <c r="H670" s="324"/>
      <c r="I670" s="324"/>
      <c r="J670" s="324"/>
      <c r="K670" s="324"/>
      <c r="L670" s="324"/>
      <c r="M670" s="324"/>
      <c r="N670" s="324"/>
      <c r="O670" s="324"/>
      <c r="P670" s="324"/>
      <c r="Q670" s="324"/>
      <c r="R670" s="324"/>
      <c r="S670" s="324"/>
      <c r="T670" s="324"/>
      <c r="U670" s="324"/>
      <c r="V670" s="324"/>
      <c r="W670" s="324"/>
      <c r="X670" s="324"/>
      <c r="Y670" s="324"/>
      <c r="Z670" s="324"/>
      <c r="AA670" s="324"/>
      <c r="AB670" s="324"/>
      <c r="AC670" s="324"/>
      <c r="AD670" s="324"/>
      <c r="AE670" s="324"/>
      <c r="AF670" s="324"/>
      <c r="AG670" s="324"/>
      <c r="AH670" s="324"/>
    </row>
    <row r="671" spans="1:34" s="20" customFormat="1" ht="14" x14ac:dyDescent="0.2">
      <c r="A671" s="8"/>
      <c r="B671" s="7"/>
      <c r="C671" s="8"/>
      <c r="D671" s="7"/>
      <c r="E671" s="42"/>
      <c r="F671" s="42"/>
      <c r="G671" s="42"/>
      <c r="H671" s="42"/>
      <c r="I671" s="42"/>
      <c r="J671" s="42"/>
      <c r="K671" s="42"/>
      <c r="L671" s="42"/>
      <c r="M671" s="42"/>
      <c r="N671" s="42"/>
      <c r="O671" s="42"/>
      <c r="P671" s="42"/>
      <c r="Q671" s="42"/>
      <c r="R671" s="42"/>
      <c r="S671" s="42"/>
      <c r="T671" s="42"/>
      <c r="U671" s="42"/>
      <c r="V671" s="42"/>
      <c r="W671" s="42"/>
      <c r="X671" s="42"/>
      <c r="Y671" s="42"/>
      <c r="Z671" s="42"/>
      <c r="AA671" s="42"/>
      <c r="AB671" s="42"/>
      <c r="AC671" s="42"/>
      <c r="AD671" s="42"/>
      <c r="AE671" s="42"/>
      <c r="AF671" s="42"/>
      <c r="AG671" s="42"/>
      <c r="AH671" s="42"/>
    </row>
    <row r="672" spans="1:34" s="20" customFormat="1" ht="14" x14ac:dyDescent="0.2">
      <c r="A672" s="8"/>
      <c r="B672" s="8" t="s">
        <v>610</v>
      </c>
      <c r="C672" s="8"/>
      <c r="D672" s="8" t="str">
        <f>'Assumptions - General'!$E$27 &amp;" millions"</f>
        <v>R$ millions</v>
      </c>
      <c r="E672" s="463">
        <f>IF(AND('Assumptions - Passenger'!E200=1,OR(E$17=1,E$18=1)),'Assumptions - Passenger'!$E$202,0)</f>
        <v>10</v>
      </c>
      <c r="F672" s="88">
        <f>IF('Assumptions - Passenger'!$E$202&lt;&gt;0,IF(AND(OR(F$17=1,F$18=1),'Assumptions - Passenger'!$E$200=1),IF('Assumptions - Passenger'!$E$203=2,'Assumptions - Passenger'!F209,IF('Assumptions - Passenger'!$E$205=1,E672*('Assumptions - Passenger'!$E$207*'Assumptions - General'!F$37+1)*(1+'Assumptions - Passenger'!F$208),IF('Assumptions - Passenger'!$E$205=2,E672*(1+F622),E672*IF(OR('Assumptions - Passenger'!$E$205=1,'Assumptions - Passenger'!$E$205=3),('Assumptions - Passenger'!$E$207*'Assumptions - General'!F$37+1)*(1+'Assumptions - Passenger'!F$208),(1+'Assumptions - Passenger'!F$208))*(1+F622)))),0),0)</f>
        <v>10.3</v>
      </c>
      <c r="G672" s="88">
        <f>IF('Assumptions - Passenger'!$E$202&lt;&gt;0,IF(AND(OR(G$17=1,G$18=1),'Assumptions - Passenger'!$E$200=1),IF('Assumptions - Passenger'!$E$203=2,'Assumptions - Passenger'!G209,IF('Assumptions - Passenger'!$E$205=1,F672*('Assumptions - Passenger'!$E$207*'Assumptions - General'!G$37+1)*(1+'Assumptions - Passenger'!G$208),IF('Assumptions - Passenger'!$E$205=2,F672*(1+G622),F672*IF(OR('Assumptions - Passenger'!$E$205=1,'Assumptions - Passenger'!$E$205=3),('Assumptions - Passenger'!$E$207*'Assumptions - General'!G$37+1)*(1+'Assumptions - Passenger'!G$208),(1+'Assumptions - Passenger'!G$208))*(1+G622)))),0),0)</f>
        <v>10.609000000000002</v>
      </c>
      <c r="H672" s="88">
        <f>IF('Assumptions - Passenger'!$E$202&lt;&gt;0,IF(AND(OR(H$17=1,H$18=1),'Assumptions - Passenger'!$E$200=1),IF('Assumptions - Passenger'!$E$203=2,'Assumptions - Passenger'!H209,IF('Assumptions - Passenger'!$E$205=1,G672*('Assumptions - Passenger'!$E$207*'Assumptions - General'!H$37+1)*(1+'Assumptions - Passenger'!H$208),IF('Assumptions - Passenger'!$E$205=2,G672*(1+H622),G672*IF(OR('Assumptions - Passenger'!$E$205=1,'Assumptions - Passenger'!$E$205=3),('Assumptions - Passenger'!$E$207*'Assumptions - General'!H$37+1)*(1+'Assumptions - Passenger'!H$208),(1+'Assumptions - Passenger'!H$208))*(1+H622)))),0),0)</f>
        <v>10.927270000000002</v>
      </c>
      <c r="I672" s="88">
        <f>IF('Assumptions - Passenger'!$E$202&lt;&gt;0,IF(AND(OR(I$17=1,I$18=1),'Assumptions - Passenger'!$E$200=1),IF('Assumptions - Passenger'!$E$203=2,'Assumptions - Passenger'!I209,IF('Assumptions - Passenger'!$E$205=1,H672*('Assumptions - Passenger'!$E$207*'Assumptions - General'!I$37+1)*(1+'Assumptions - Passenger'!I$208),IF('Assumptions - Passenger'!$E$205=2,H672*(1+I622),H672*IF(OR('Assumptions - Passenger'!$E$205=1,'Assumptions - Passenger'!$E$205=3),('Assumptions - Passenger'!$E$207*'Assumptions - General'!I$37+1)*(1+'Assumptions - Passenger'!I$208),(1+'Assumptions - Passenger'!I$208))*(1+I622)))),0),0)</f>
        <v>11.255088100000002</v>
      </c>
      <c r="J672" s="88">
        <f>IF('Assumptions - Passenger'!$E$202&lt;&gt;0,IF(AND(OR(J$17=1,J$18=1),'Assumptions - Passenger'!$E$200=1),IF('Assumptions - Passenger'!$E$203=2,'Assumptions - Passenger'!J209,IF('Assumptions - Passenger'!$E$205=1,I672*('Assumptions - Passenger'!$E$207*'Assumptions - General'!J$37+1)*(1+'Assumptions - Passenger'!J$208),IF('Assumptions - Passenger'!$E$205=2,I672*(1+J622),I672*IF(OR('Assumptions - Passenger'!$E$205=1,'Assumptions - Passenger'!$E$205=3),('Assumptions - Passenger'!$E$207*'Assumptions - General'!J$37+1)*(1+'Assumptions - Passenger'!J$208),(1+'Assumptions - Passenger'!J$208))*(1+J622)))),0),0)</f>
        <v>11.592740743000002</v>
      </c>
      <c r="K672" s="88">
        <f>IF('Assumptions - Passenger'!$E$202&lt;&gt;0,IF(AND(OR(K$17=1,K$18=1),'Assumptions - Passenger'!$E$200=1),IF('Assumptions - Passenger'!$E$203=2,'Assumptions - Passenger'!K209,IF('Assumptions - Passenger'!$E$205=1,J672*('Assumptions - Passenger'!$E$207*'Assumptions - General'!K$37+1)*(1+'Assumptions - Passenger'!K$208),IF('Assumptions - Passenger'!$E$205=2,J672*(1+K622),J672*IF(OR('Assumptions - Passenger'!$E$205=1,'Assumptions - Passenger'!$E$205=3),('Assumptions - Passenger'!$E$207*'Assumptions - General'!K$37+1)*(1+'Assumptions - Passenger'!K$208),(1+'Assumptions - Passenger'!K$208))*(1+K622)))),0),0)</f>
        <v>11.940522965290002</v>
      </c>
      <c r="L672" s="88">
        <f>IF('Assumptions - Passenger'!$E$202&lt;&gt;0,IF(AND(OR(L$17=1,L$18=1),'Assumptions - Passenger'!$E$200=1),IF('Assumptions - Passenger'!$E$203=2,'Assumptions - Passenger'!L209,IF('Assumptions - Passenger'!$E$205=1,K672*('Assumptions - Passenger'!$E$207*'Assumptions - General'!L$37+1)*(1+'Assumptions - Passenger'!L$208),IF('Assumptions - Passenger'!$E$205=2,K672*(1+L622),K672*IF(OR('Assumptions - Passenger'!$E$205=1,'Assumptions - Passenger'!$E$205=3),('Assumptions - Passenger'!$E$207*'Assumptions - General'!L$37+1)*(1+'Assumptions - Passenger'!L$208),(1+'Assumptions - Passenger'!L$208))*(1+L622)))),0),0)</f>
        <v>12.298738654248703</v>
      </c>
      <c r="M672" s="88">
        <f>IF('Assumptions - Passenger'!$E$202&lt;&gt;0,IF(AND(OR(M$17=1,M$18=1),'Assumptions - Passenger'!$E$200=1),IF('Assumptions - Passenger'!$E$203=2,'Assumptions - Passenger'!M209,IF('Assumptions - Passenger'!$E$205=1,L672*('Assumptions - Passenger'!$E$207*'Assumptions - General'!M$37+1)*(1+'Assumptions - Passenger'!M$208),IF('Assumptions - Passenger'!$E$205=2,L672*(1+M622),L672*IF(OR('Assumptions - Passenger'!$E$205=1,'Assumptions - Passenger'!$E$205=3),('Assumptions - Passenger'!$E$207*'Assumptions - General'!M$37+1)*(1+'Assumptions - Passenger'!M$208),(1+'Assumptions - Passenger'!M$208))*(1+M622)))),0),0)</f>
        <v>12.667700813876165</v>
      </c>
      <c r="N672" s="88">
        <f>IF('Assumptions - Passenger'!$E$202&lt;&gt;0,IF(AND(OR(N$17=1,N$18=1),'Assumptions - Passenger'!$E$200=1),IF('Assumptions - Passenger'!$E$203=2,'Assumptions - Passenger'!N209,IF('Assumptions - Passenger'!$E$205=1,M672*('Assumptions - Passenger'!$E$207*'Assumptions - General'!N$37+1)*(1+'Assumptions - Passenger'!N$208),IF('Assumptions - Passenger'!$E$205=2,M672*(1+N622),M672*IF(OR('Assumptions - Passenger'!$E$205=1,'Assumptions - Passenger'!$E$205=3),('Assumptions - Passenger'!$E$207*'Assumptions - General'!N$37+1)*(1+'Assumptions - Passenger'!N$208),(1+'Assumptions - Passenger'!N$208))*(1+N622)))),0),0)</f>
        <v>13.047731838292449</v>
      </c>
      <c r="O672" s="88">
        <f>IF('Assumptions - Passenger'!$E$202&lt;&gt;0,IF(AND(OR(O$17=1,O$18=1),'Assumptions - Passenger'!$E$200=1),IF('Assumptions - Passenger'!$E$203=2,'Assumptions - Passenger'!O209,IF('Assumptions - Passenger'!$E$205=1,N672*('Assumptions - Passenger'!$E$207*'Assumptions - General'!O$37+1)*(1+'Assumptions - Passenger'!O$208),IF('Assumptions - Passenger'!$E$205=2,N672*(1+O622),N672*IF(OR('Assumptions - Passenger'!$E$205=1,'Assumptions - Passenger'!$E$205=3),('Assumptions - Passenger'!$E$207*'Assumptions - General'!O$37+1)*(1+'Assumptions - Passenger'!O$208),(1+'Assumptions - Passenger'!O$208))*(1+O622)))),0),0)</f>
        <v>13.439163793441223</v>
      </c>
      <c r="P672" s="88">
        <f>IF('Assumptions - Passenger'!$E$202&lt;&gt;0,IF(AND(OR(P$17=1,P$18=1),'Assumptions - Passenger'!$E$200=1),IF('Assumptions - Passenger'!$E$203=2,'Assumptions - Passenger'!P209,IF('Assumptions - Passenger'!$E$205=1,O672*('Assumptions - Passenger'!$E$207*'Assumptions - General'!P$37+1)*(1+'Assumptions - Passenger'!P$208),IF('Assumptions - Passenger'!$E$205=2,O672*(1+P622),O672*IF(OR('Assumptions - Passenger'!$E$205=1,'Assumptions - Passenger'!$E$205=3),('Assumptions - Passenger'!$E$207*'Assumptions - General'!P$37+1)*(1+'Assumptions - Passenger'!P$208),(1+'Assumptions - Passenger'!P$208))*(1+P622)))),0),0)</f>
        <v>13.84233870724446</v>
      </c>
      <c r="Q672" s="88">
        <f>IF('Assumptions - Passenger'!$E$202&lt;&gt;0,IF(AND(OR(Q$17=1,Q$18=1),'Assumptions - Passenger'!$E$200=1),IF('Assumptions - Passenger'!$E$203=2,'Assumptions - Passenger'!Q209,IF('Assumptions - Passenger'!$E$205=1,P672*('Assumptions - Passenger'!$E$207*'Assumptions - General'!Q$37+1)*(1+'Assumptions - Passenger'!Q$208),IF('Assumptions - Passenger'!$E$205=2,P672*(1+Q622),P672*IF(OR('Assumptions - Passenger'!$E$205=1,'Assumptions - Passenger'!$E$205=3),('Assumptions - Passenger'!$E$207*'Assumptions - General'!Q$37+1)*(1+'Assumptions - Passenger'!Q$208),(1+'Assumptions - Passenger'!Q$208))*(1+Q622)))),0),0)</f>
        <v>14.257608868461794</v>
      </c>
      <c r="R672" s="88">
        <f>IF('Assumptions - Passenger'!$E$202&lt;&gt;0,IF(AND(OR(R$17=1,R$18=1),'Assumptions - Passenger'!$E$200=1),IF('Assumptions - Passenger'!$E$203=2,'Assumptions - Passenger'!R209,IF('Assumptions - Passenger'!$E$205=1,Q672*('Assumptions - Passenger'!$E$207*'Assumptions - General'!R$37+1)*(1+'Assumptions - Passenger'!R$208),IF('Assumptions - Passenger'!$E$205=2,Q672*(1+R622),Q672*IF(OR('Assumptions - Passenger'!$E$205=1,'Assumptions - Passenger'!$E$205=3),('Assumptions - Passenger'!$E$207*'Assumptions - General'!R$37+1)*(1+'Assumptions - Passenger'!R$208),(1+'Assumptions - Passenger'!R$208))*(1+R622)))),0),0)</f>
        <v>14.685337134515649</v>
      </c>
      <c r="S672" s="88">
        <f>IF('Assumptions - Passenger'!$E$202&lt;&gt;0,IF(AND(OR(S$17=1,S$18=1),'Assumptions - Passenger'!$E$200=1),IF('Assumptions - Passenger'!$E$203=2,'Assumptions - Passenger'!S209,IF('Assumptions - Passenger'!$E$205=1,R672*('Assumptions - Passenger'!$E$207*'Assumptions - General'!S$37+1)*(1+'Assumptions - Passenger'!S$208),IF('Assumptions - Passenger'!$E$205=2,R672*(1+S622),R672*IF(OR('Assumptions - Passenger'!$E$205=1,'Assumptions - Passenger'!$E$205=3),('Assumptions - Passenger'!$E$207*'Assumptions - General'!S$37+1)*(1+'Assumptions - Passenger'!S$208),(1+'Assumptions - Passenger'!S$208))*(1+S622)))),0),0)</f>
        <v>15.125897248551119</v>
      </c>
      <c r="T672" s="88">
        <f>IF('Assumptions - Passenger'!$E$202&lt;&gt;0,IF(AND(OR(T$17=1,T$18=1),'Assumptions - Passenger'!$E$200=1),IF('Assumptions - Passenger'!$E$203=2,'Assumptions - Passenger'!T209,IF('Assumptions - Passenger'!$E$205=1,S672*('Assumptions - Passenger'!$E$207*'Assumptions - General'!T$37+1)*(1+'Assumptions - Passenger'!T$208),IF('Assumptions - Passenger'!$E$205=2,S672*(1+T622),S672*IF(OR('Assumptions - Passenger'!$E$205=1,'Assumptions - Passenger'!$E$205=3),('Assumptions - Passenger'!$E$207*'Assumptions - General'!T$37+1)*(1+'Assumptions - Passenger'!T$208),(1+'Assumptions - Passenger'!T$208))*(1+T622)))),0),0)</f>
        <v>15.579674166007653</v>
      </c>
      <c r="U672" s="88">
        <f>IF('Assumptions - Passenger'!$E$202&lt;&gt;0,IF(AND(OR(U$17=1,U$18=1),'Assumptions - Passenger'!$E$200=1),IF('Assumptions - Passenger'!$E$203=2,'Assumptions - Passenger'!U209,IF('Assumptions - Passenger'!$E$205=1,T672*('Assumptions - Passenger'!$E$207*'Assumptions - General'!U$37+1)*(1+'Assumptions - Passenger'!U$208),IF('Assumptions - Passenger'!$E$205=2,T672*(1+U622),T672*IF(OR('Assumptions - Passenger'!$E$205=1,'Assumptions - Passenger'!$E$205=3),('Assumptions - Passenger'!$E$207*'Assumptions - General'!U$37+1)*(1+'Assumptions - Passenger'!U$208),(1+'Assumptions - Passenger'!U$208))*(1+U622)))),0),0)</f>
        <v>16.047064390987885</v>
      </c>
      <c r="V672" s="88">
        <f>IF('Assumptions - Passenger'!$E$202&lt;&gt;0,IF(AND(OR(V$17=1,V$18=1),'Assumptions - Passenger'!$E$200=1),IF('Assumptions - Passenger'!$E$203=2,'Assumptions - Passenger'!V209,IF('Assumptions - Passenger'!$E$205=1,U672*('Assumptions - Passenger'!$E$207*'Assumptions - General'!V$37+1)*(1+'Assumptions - Passenger'!V$208),IF('Assumptions - Passenger'!$E$205=2,U672*(1+V622),U672*IF(OR('Assumptions - Passenger'!$E$205=1,'Assumptions - Passenger'!$E$205=3),('Assumptions - Passenger'!$E$207*'Assumptions - General'!V$37+1)*(1+'Assumptions - Passenger'!V$208),(1+'Assumptions - Passenger'!V$208))*(1+V622)))),0),0)</f>
        <v>16.52847632271752</v>
      </c>
      <c r="W672" s="88">
        <f>IF('Assumptions - Passenger'!$E$202&lt;&gt;0,IF(AND(OR(W$17=1,W$18=1),'Assumptions - Passenger'!$E$200=1),IF('Assumptions - Passenger'!$E$203=2,'Assumptions - Passenger'!W209,IF('Assumptions - Passenger'!$E$205=1,V672*('Assumptions - Passenger'!$E$207*'Assumptions - General'!W$37+1)*(1+'Assumptions - Passenger'!W$208),IF('Assumptions - Passenger'!$E$205=2,V672*(1+W622),V672*IF(OR('Assumptions - Passenger'!$E$205=1,'Assumptions - Passenger'!$E$205=3),('Assumptions - Passenger'!$E$207*'Assumptions - General'!W$37+1)*(1+'Assumptions - Passenger'!W$208),(1+'Assumptions - Passenger'!W$208))*(1+W622)))),0),0)</f>
        <v>17.024330612399044</v>
      </c>
      <c r="X672" s="88">
        <f>IF('Assumptions - Passenger'!$E$202&lt;&gt;0,IF(AND(OR(X$17=1,X$18=1),'Assumptions - Passenger'!$E$200=1),IF('Assumptions - Passenger'!$E$203=2,'Assumptions - Passenger'!X209,IF('Assumptions - Passenger'!$E$205=1,W672*('Assumptions - Passenger'!$E$207*'Assumptions - General'!X$37+1)*(1+'Assumptions - Passenger'!X$208),IF('Assumptions - Passenger'!$E$205=2,W672*(1+X622),W672*IF(OR('Assumptions - Passenger'!$E$205=1,'Assumptions - Passenger'!$E$205=3),('Assumptions - Passenger'!$E$207*'Assumptions - General'!X$37+1)*(1+'Assumptions - Passenger'!X$208),(1+'Assumptions - Passenger'!X$208))*(1+X622)))),0),0)</f>
        <v>17.535060530771016</v>
      </c>
      <c r="Y672" s="88">
        <f>IF('Assumptions - Passenger'!$E$202&lt;&gt;0,IF(AND(OR(Y$17=1,Y$18=1),'Assumptions - Passenger'!$E$200=1),IF('Assumptions - Passenger'!$E$203=2,'Assumptions - Passenger'!Y209,IF('Assumptions - Passenger'!$E$205=1,X672*('Assumptions - Passenger'!$E$207*'Assumptions - General'!Y$37+1)*(1+'Assumptions - Passenger'!Y$208),IF('Assumptions - Passenger'!$E$205=2,X672*(1+Y622),X672*IF(OR('Assumptions - Passenger'!$E$205=1,'Assumptions - Passenger'!$E$205=3),('Assumptions - Passenger'!$E$207*'Assumptions - General'!Y$37+1)*(1+'Assumptions - Passenger'!Y$208),(1+'Assumptions - Passenger'!Y$208))*(1+Y622)))),0),0)</f>
        <v>18.061112346694149</v>
      </c>
      <c r="Z672" s="88">
        <f>IF('Assumptions - Passenger'!$E$202&lt;&gt;0,IF(AND(OR(Z$17=1,Z$18=1),'Assumptions - Passenger'!$E$200=1),IF('Assumptions - Passenger'!$E$203=2,'Assumptions - Passenger'!Z209,IF('Assumptions - Passenger'!$E$205=1,Y672*('Assumptions - Passenger'!$E$207*'Assumptions - General'!Z$37+1)*(1+'Assumptions - Passenger'!Z$208),IF('Assumptions - Passenger'!$E$205=2,Y672*(1+Z622),Y672*IF(OR('Assumptions - Passenger'!$E$205=1,'Assumptions - Passenger'!$E$205=3),('Assumptions - Passenger'!$E$207*'Assumptions - General'!Z$37+1)*(1+'Assumptions - Passenger'!Z$208),(1+'Assumptions - Passenger'!Z$208))*(1+Z622)))),0),0)</f>
        <v>18.602945717094972</v>
      </c>
      <c r="AA672" s="88">
        <f>IF('Assumptions - Passenger'!$E$202&lt;&gt;0,IF(AND(OR(AA$17=1,AA$18=1),'Assumptions - Passenger'!$E$200=1),IF('Assumptions - Passenger'!$E$203=2,'Assumptions - Passenger'!AA209,IF('Assumptions - Passenger'!$E$205=1,Z672*('Assumptions - Passenger'!$E$207*'Assumptions - General'!AA$37+1)*(1+'Assumptions - Passenger'!AA$208),IF('Assumptions - Passenger'!$E$205=2,Z672*(1+AA622),Z672*IF(OR('Assumptions - Passenger'!$E$205=1,'Assumptions - Passenger'!$E$205=3),('Assumptions - Passenger'!$E$207*'Assumptions - General'!AA$37+1)*(1+'Assumptions - Passenger'!AA$208),(1+'Assumptions - Passenger'!AA$208))*(1+AA622)))),0),0)</f>
        <v>19.161034088607821</v>
      </c>
      <c r="AB672" s="88">
        <f>IF('Assumptions - Passenger'!$E$202&lt;&gt;0,IF(AND(OR(AB$17=1,AB$18=1),'Assumptions - Passenger'!$E$200=1),IF('Assumptions - Passenger'!$E$203=2,'Assumptions - Passenger'!AB209,IF('Assumptions - Passenger'!$E$205=1,AA672*('Assumptions - Passenger'!$E$207*'Assumptions - General'!AB$37+1)*(1+'Assumptions - Passenger'!AB$208),IF('Assumptions - Passenger'!$E$205=2,AA672*(1+AB622),AA672*IF(OR('Assumptions - Passenger'!$E$205=1,'Assumptions - Passenger'!$E$205=3),('Assumptions - Passenger'!$E$207*'Assumptions - General'!AB$37+1)*(1+'Assumptions - Passenger'!AB$208),(1+'Assumptions - Passenger'!AB$208))*(1+AB622)))),0),0)</f>
        <v>19.735865111266055</v>
      </c>
      <c r="AC672" s="88">
        <f>IF('Assumptions - Passenger'!$E$202&lt;&gt;0,IF(AND(OR(AC$17=1,AC$18=1),'Assumptions - Passenger'!$E$200=1),IF('Assumptions - Passenger'!$E$203=2,'Assumptions - Passenger'!AC209,IF('Assumptions - Passenger'!$E$205=1,AB672*('Assumptions - Passenger'!$E$207*'Assumptions - General'!AC$37+1)*(1+'Assumptions - Passenger'!AC$208),IF('Assumptions - Passenger'!$E$205=2,AB672*(1+AC622),AB672*IF(OR('Assumptions - Passenger'!$E$205=1,'Assumptions - Passenger'!$E$205=3),('Assumptions - Passenger'!$E$207*'Assumptions - General'!AC$37+1)*(1+'Assumptions - Passenger'!AC$208),(1+'Assumptions - Passenger'!AC$208))*(1+AC622)))),0),0)</f>
        <v>20.327941064604037</v>
      </c>
      <c r="AD672" s="88">
        <f>IF('Assumptions - Passenger'!$E$202&lt;&gt;0,IF(AND(OR(AD$17=1,AD$18=1),'Assumptions - Passenger'!$E$200=1),IF('Assumptions - Passenger'!$E$203=2,'Assumptions - Passenger'!AD209,IF('Assumptions - Passenger'!$E$205=1,AC672*('Assumptions - Passenger'!$E$207*'Assumptions - General'!AD$37+1)*(1+'Assumptions - Passenger'!AD$208),IF('Assumptions - Passenger'!$E$205=2,AC672*(1+AD622),AC672*IF(OR('Assumptions - Passenger'!$E$205=1,'Assumptions - Passenger'!$E$205=3),('Assumptions - Passenger'!$E$207*'Assumptions - General'!AD$37+1)*(1+'Assumptions - Passenger'!AD$208),(1+'Assumptions - Passenger'!AD$208))*(1+AD622)))),0),0)</f>
        <v>20.937779296542157</v>
      </c>
      <c r="AE672" s="88">
        <f>IF('Assumptions - Passenger'!$E$202&lt;&gt;0,IF(AND(OR(AE$17=1,AE$18=1),'Assumptions - Passenger'!$E$200=1),IF('Assumptions - Passenger'!$E$203=2,'Assumptions - Passenger'!AE209,IF('Assumptions - Passenger'!$E$205=1,AD672*('Assumptions - Passenger'!$E$207*'Assumptions - General'!AE$37+1)*(1+'Assumptions - Passenger'!AE$208),IF('Assumptions - Passenger'!$E$205=2,AD672*(1+AE622),AD672*IF(OR('Assumptions - Passenger'!$E$205=1,'Assumptions - Passenger'!$E$205=3),('Assumptions - Passenger'!$E$207*'Assumptions - General'!AE$37+1)*(1+'Assumptions - Passenger'!AE$208),(1+'Assumptions - Passenger'!AE$208))*(1+AE622)))),0),0)</f>
        <v>21.565912675438422</v>
      </c>
      <c r="AF672" s="88">
        <f>IF('Assumptions - Passenger'!$E$202&lt;&gt;0,IF(AND(OR(AF$17=1,AF$18=1),'Assumptions - Passenger'!$E$200=1),IF('Assumptions - Passenger'!$E$203=2,'Assumptions - Passenger'!AF209,IF('Assumptions - Passenger'!$E$205=1,AE672*('Assumptions - Passenger'!$E$207*'Assumptions - General'!AF$37+1)*(1+'Assumptions - Passenger'!AF$208),IF('Assumptions - Passenger'!$E$205=2,AE672*(1+AF622),AE672*IF(OR('Assumptions - Passenger'!$E$205=1,'Assumptions - Passenger'!$E$205=3),('Assumptions - Passenger'!$E$207*'Assumptions - General'!AF$37+1)*(1+'Assumptions - Passenger'!AF$208),(1+'Assumptions - Passenger'!AF$208))*(1+AF622)))),0),0)</f>
        <v>22.212890055701575</v>
      </c>
      <c r="AG672" s="88">
        <f>IF('Assumptions - Passenger'!$E$202&lt;&gt;0,IF(AND(OR(AG$17=1,AG$18=1),'Assumptions - Passenger'!$E$200=1),IF('Assumptions - Passenger'!$E$203=2,'Assumptions - Passenger'!AG209,IF('Assumptions - Passenger'!$E$205=1,AF672*('Assumptions - Passenger'!$E$207*'Assumptions - General'!AG$37+1)*(1+'Assumptions - Passenger'!AG$208),IF('Assumptions - Passenger'!$E$205=2,AF672*(1+AG622),AF672*IF(OR('Assumptions - Passenger'!$E$205=1,'Assumptions - Passenger'!$E$205=3),('Assumptions - Passenger'!$E$207*'Assumptions - General'!AG$37+1)*(1+'Assumptions - Passenger'!AG$208),(1+'Assumptions - Passenger'!AG$208))*(1+AG622)))),0),0)</f>
        <v>22.879276757372622</v>
      </c>
      <c r="AH672" s="88">
        <f>IF('Assumptions - Passenger'!$E$202&lt;&gt;0,IF(AND(OR(AH$17=1,AH$18=1),'Assumptions - Passenger'!$E$200=1),IF('Assumptions - Passenger'!$E$203=2,'Assumptions - Passenger'!AH209,IF('Assumptions - Passenger'!$E$205=1,AG672*('Assumptions - Passenger'!$E$207*'Assumptions - General'!AH$37+1)*(1+'Assumptions - Passenger'!AH$208),IF('Assumptions - Passenger'!$E$205=2,AG672*(1+AH622),AG672*IF(OR('Assumptions - Passenger'!$E$205=1,'Assumptions - Passenger'!$E$205=3),('Assumptions - Passenger'!$E$207*'Assumptions - General'!AH$37+1)*(1+'Assumptions - Passenger'!AH$208),(1+'Assumptions - Passenger'!AH$208))*(1+AH622)))),0),0)</f>
        <v>23.565655060093803</v>
      </c>
    </row>
    <row r="673" spans="1:34" s="20" customFormat="1" ht="14" x14ac:dyDescent="0.2">
      <c r="A673" s="8"/>
      <c r="B673" s="8" t="s">
        <v>609</v>
      </c>
      <c r="C673" s="8"/>
      <c r="D673" s="8" t="str">
        <f>'Assumptions - General'!$E$27 &amp;" millions"</f>
        <v>R$ millions</v>
      </c>
      <c r="E673" s="463">
        <f>IF(AND('Assumptions - Passenger'!E211=1,E$17=1),'Assumptions - Passenger'!E213,0)</f>
        <v>15</v>
      </c>
      <c r="F673" s="88">
        <f>IF(AND(F$17=1,'Assumptions - Passenger'!$E$211=1),IF('Assumptions - Passenger'!$E$215=2,'Assumptions - Passenger'!F221,E673*IF('Assumptions - Passenger'!$E$217=1,('Assumptions - Passenger'!$E$219*'Assumptions - General'!F$37+1)*(1+'Assumptions - Passenger'!F220),(1+'Assumptions - Passenger'!F220))),0)</f>
        <v>15.450000000000001</v>
      </c>
      <c r="G673" s="88">
        <f>IF(AND(G$17=1,'Assumptions - Passenger'!$E$211=1),IF('Assumptions - Passenger'!$E$215=2,'Assumptions - Passenger'!G221,F673*IF('Assumptions - Passenger'!$E$217=1,('Assumptions - Passenger'!$E$219*'Assumptions - General'!G$37+1)*(1+'Assumptions - Passenger'!G220),(1+'Assumptions - Passenger'!G220))),0)</f>
        <v>15.913500000000001</v>
      </c>
      <c r="H673" s="88">
        <f>IF(AND(H$17=1,'Assumptions - Passenger'!$E$211=1),IF('Assumptions - Passenger'!$E$215=2,'Assumptions - Passenger'!H221,G673*IF('Assumptions - Passenger'!$E$217=1,('Assumptions - Passenger'!$E$219*'Assumptions - General'!H$37+1)*(1+'Assumptions - Passenger'!H220),(1+'Assumptions - Passenger'!H220))),0)</f>
        <v>16.390905</v>
      </c>
      <c r="I673" s="88">
        <f>IF(AND(I$17=1,'Assumptions - Passenger'!$E$211=1),IF('Assumptions - Passenger'!$E$215=2,'Assumptions - Passenger'!I221,H673*IF('Assumptions - Passenger'!$E$217=1,('Assumptions - Passenger'!$E$219*'Assumptions - General'!I$37+1)*(1+'Assumptions - Passenger'!I220),(1+'Assumptions - Passenger'!I220))),0)</f>
        <v>16.882632149999999</v>
      </c>
      <c r="J673" s="88">
        <f>IF(AND(J$17=1,'Assumptions - Passenger'!$E$211=1),IF('Assumptions - Passenger'!$E$215=2,'Assumptions - Passenger'!J221,I673*IF('Assumptions - Passenger'!$E$217=1,('Assumptions - Passenger'!$E$219*'Assumptions - General'!J$37+1)*(1+'Assumptions - Passenger'!J220),(1+'Assumptions - Passenger'!J220))),0)</f>
        <v>17.3891111145</v>
      </c>
      <c r="K673" s="88">
        <f>IF(AND(K$17=1,'Assumptions - Passenger'!$E$211=1),IF('Assumptions - Passenger'!$E$215=2,'Assumptions - Passenger'!K221,J673*IF('Assumptions - Passenger'!$E$217=1,('Assumptions - Passenger'!$E$219*'Assumptions - General'!K$37+1)*(1+'Assumptions - Passenger'!K220),(1+'Assumptions - Passenger'!K220))),0)</f>
        <v>17.910784447935001</v>
      </c>
      <c r="L673" s="88">
        <f>IF(AND(L$17=1,'Assumptions - Passenger'!$E$211=1),IF('Assumptions - Passenger'!$E$215=2,'Assumptions - Passenger'!L221,K673*IF('Assumptions - Passenger'!$E$217=1,('Assumptions - Passenger'!$E$219*'Assumptions - General'!L$37+1)*(1+'Assumptions - Passenger'!L220),(1+'Assumptions - Passenger'!L220))),0)</f>
        <v>18.448107981373052</v>
      </c>
      <c r="M673" s="88">
        <f>IF(AND(M$17=1,'Assumptions - Passenger'!$E$211=1),IF('Assumptions - Passenger'!$E$215=2,'Assumptions - Passenger'!M221,L673*IF('Assumptions - Passenger'!$E$217=1,('Assumptions - Passenger'!$E$219*'Assumptions - General'!M$37+1)*(1+'Assumptions - Passenger'!M220),(1+'Assumptions - Passenger'!M220))),0)</f>
        <v>19.001551220814246</v>
      </c>
      <c r="N673" s="88">
        <f>IF(AND(N$17=1,'Assumptions - Passenger'!$E$211=1),IF('Assumptions - Passenger'!$E$215=2,'Assumptions - Passenger'!N221,M673*IF('Assumptions - Passenger'!$E$217=1,('Assumptions - Passenger'!$E$219*'Assumptions - General'!N$37+1)*(1+'Assumptions - Passenger'!N220),(1+'Assumptions - Passenger'!N220))),0)</f>
        <v>19.571597757438674</v>
      </c>
      <c r="O673" s="88">
        <f>IF(AND(O$17=1,'Assumptions - Passenger'!$E$211=1),IF('Assumptions - Passenger'!$E$215=2,'Assumptions - Passenger'!O221,N673*IF('Assumptions - Passenger'!$E$217=1,('Assumptions - Passenger'!$E$219*'Assumptions - General'!O$37+1)*(1+'Assumptions - Passenger'!O220),(1+'Assumptions - Passenger'!O220))),0)</f>
        <v>20.158745690161833</v>
      </c>
      <c r="P673" s="88">
        <f>IF(AND(P$17=1,'Assumptions - Passenger'!$E$211=1),IF('Assumptions - Passenger'!$E$215=2,'Assumptions - Passenger'!P221,O673*IF('Assumptions - Passenger'!$E$217=1,('Assumptions - Passenger'!$E$219*'Assumptions - General'!P$37+1)*(1+'Assumptions - Passenger'!P220),(1+'Assumptions - Passenger'!P220))),0)</f>
        <v>20.763508060866688</v>
      </c>
      <c r="Q673" s="88">
        <f>IF(AND(Q$17=1,'Assumptions - Passenger'!$E$211=1),IF('Assumptions - Passenger'!$E$215=2,'Assumptions - Passenger'!Q221,P673*IF('Assumptions - Passenger'!$E$217=1,('Assumptions - Passenger'!$E$219*'Assumptions - General'!Q$37+1)*(1+'Assumptions - Passenger'!Q220),(1+'Assumptions - Passenger'!Q220))),0)</f>
        <v>21.386413302692688</v>
      </c>
      <c r="R673" s="88">
        <f>IF(AND(R$17=1,'Assumptions - Passenger'!$E$211=1),IF('Assumptions - Passenger'!$E$215=2,'Assumptions - Passenger'!R221,Q673*IF('Assumptions - Passenger'!$E$217=1,('Assumptions - Passenger'!$E$219*'Assumptions - General'!R$37+1)*(1+'Assumptions - Passenger'!R220),(1+'Assumptions - Passenger'!R220))),0)</f>
        <v>22.02800570177347</v>
      </c>
      <c r="S673" s="88">
        <f>IF(AND(S$17=1,'Assumptions - Passenger'!$E$211=1),IF('Assumptions - Passenger'!$E$215=2,'Assumptions - Passenger'!S221,R673*IF('Assumptions - Passenger'!$E$217=1,('Assumptions - Passenger'!$E$219*'Assumptions - General'!S$37+1)*(1+'Assumptions - Passenger'!S220),(1+'Assumptions - Passenger'!S220))),0)</f>
        <v>22.688845872826676</v>
      </c>
      <c r="T673" s="88">
        <f>IF(AND(T$17=1,'Assumptions - Passenger'!$E$211=1),IF('Assumptions - Passenger'!$E$215=2,'Assumptions - Passenger'!T221,S673*IF('Assumptions - Passenger'!$E$217=1,('Assumptions - Passenger'!$E$219*'Assumptions - General'!T$37+1)*(1+'Assumptions - Passenger'!T220),(1+'Assumptions - Passenger'!T220))),0)</f>
        <v>23.369511249011477</v>
      </c>
      <c r="U673" s="88">
        <f>IF(AND(U$17=1,'Assumptions - Passenger'!$E$211=1),IF('Assumptions - Passenger'!$E$215=2,'Assumptions - Passenger'!U221,T673*IF('Assumptions - Passenger'!$E$217=1,('Assumptions - Passenger'!$E$219*'Assumptions - General'!U$37+1)*(1+'Assumptions - Passenger'!U220),(1+'Assumptions - Passenger'!U220))),0)</f>
        <v>24.070596586481823</v>
      </c>
      <c r="V673" s="88">
        <f>IF(AND(V$17=1,'Assumptions - Passenger'!$E$211=1),IF('Assumptions - Passenger'!$E$215=2,'Assumptions - Passenger'!V221,U673*IF('Assumptions - Passenger'!$E$217=1,('Assumptions - Passenger'!$E$219*'Assumptions - General'!V$37+1)*(1+'Assumptions - Passenger'!V220),(1+'Assumptions - Passenger'!V220))),0)</f>
        <v>24.792714484076278</v>
      </c>
      <c r="W673" s="88">
        <f>IF(AND(W$17=1,'Assumptions - Passenger'!$E$211=1),IF('Assumptions - Passenger'!$E$215=2,'Assumptions - Passenger'!W221,V673*IF('Assumptions - Passenger'!$E$217=1,('Assumptions - Passenger'!$E$219*'Assumptions - General'!W$37+1)*(1+'Assumptions - Passenger'!W220),(1+'Assumptions - Passenger'!W220))),0)</f>
        <v>25.536495918598568</v>
      </c>
      <c r="X673" s="88">
        <f>IF(AND(X$17=1,'Assumptions - Passenger'!$E$211=1),IF('Assumptions - Passenger'!$E$215=2,'Assumptions - Passenger'!X221,W673*IF('Assumptions - Passenger'!$E$217=1,('Assumptions - Passenger'!$E$219*'Assumptions - General'!X$37+1)*(1+'Assumptions - Passenger'!X220),(1+'Assumptions - Passenger'!X220))),0)</f>
        <v>26.302590796156526</v>
      </c>
      <c r="Y673" s="88">
        <f>IF(AND(Y$17=1,'Assumptions - Passenger'!$E$211=1),IF('Assumptions - Passenger'!$E$215=2,'Assumptions - Passenger'!Y221,X673*IF('Assumptions - Passenger'!$E$217=1,('Assumptions - Passenger'!$E$219*'Assumptions - General'!Y$37+1)*(1+'Assumptions - Passenger'!Y220),(1+'Assumptions - Passenger'!Y220))),0)</f>
        <v>27.091668520041221</v>
      </c>
      <c r="Z673" s="88">
        <f>IF(AND(Z$17=1,'Assumptions - Passenger'!$E$211=1),IF('Assumptions - Passenger'!$E$215=2,'Assumptions - Passenger'!Z221,Y673*IF('Assumptions - Passenger'!$E$217=1,('Assumptions - Passenger'!$E$219*'Assumptions - General'!Z$37+1)*(1+'Assumptions - Passenger'!Z220),(1+'Assumptions - Passenger'!Z220))),0)</f>
        <v>27.90441857564246</v>
      </c>
      <c r="AA673" s="88">
        <f>IF(AND(AA$17=1,'Assumptions - Passenger'!$E$211=1),IF('Assumptions - Passenger'!$E$215=2,'Assumptions - Passenger'!AA221,Z673*IF('Assumptions - Passenger'!$E$217=1,('Assumptions - Passenger'!$E$219*'Assumptions - General'!AA$37+1)*(1+'Assumptions - Passenger'!AA220),(1+'Assumptions - Passenger'!AA220))),0)</f>
        <v>28.741551132911734</v>
      </c>
      <c r="AB673" s="88">
        <f>IF(AND(AB$17=1,'Assumptions - Passenger'!$E$211=1),IF('Assumptions - Passenger'!$E$215=2,'Assumptions - Passenger'!AB221,AA673*IF('Assumptions - Passenger'!$E$217=1,('Assumptions - Passenger'!$E$219*'Assumptions - General'!AB$37+1)*(1+'Assumptions - Passenger'!AB220),(1+'Assumptions - Passenger'!AB220))),0)</f>
        <v>29.603797666899087</v>
      </c>
      <c r="AC673" s="88">
        <f>IF(AND(AC$17=1,'Assumptions - Passenger'!$E$211=1),IF('Assumptions - Passenger'!$E$215=2,'Assumptions - Passenger'!AC221,AB673*IF('Assumptions - Passenger'!$E$217=1,('Assumptions - Passenger'!$E$219*'Assumptions - General'!AC$37+1)*(1+'Assumptions - Passenger'!AC220),(1+'Assumptions - Passenger'!AC220))),0)</f>
        <v>30.491911596906061</v>
      </c>
      <c r="AD673" s="88">
        <f>IF(AND(AD$17=1,'Assumptions - Passenger'!$E$211=1),IF('Assumptions - Passenger'!$E$215=2,'Assumptions - Passenger'!AD221,AC673*IF('Assumptions - Passenger'!$E$217=1,('Assumptions - Passenger'!$E$219*'Assumptions - General'!AD$37+1)*(1+'Assumptions - Passenger'!AD220),(1+'Assumptions - Passenger'!AD220))),0)</f>
        <v>31.406668944813244</v>
      </c>
      <c r="AE673" s="88">
        <f>IF(AND(AE$17=1,'Assumptions - Passenger'!$E$211=1),IF('Assumptions - Passenger'!$E$215=2,'Assumptions - Passenger'!AE221,AD673*IF('Assumptions - Passenger'!$E$217=1,('Assumptions - Passenger'!$E$219*'Assumptions - General'!AE$37+1)*(1+'Assumptions - Passenger'!AE220),(1+'Assumptions - Passenger'!AE220))),0)</f>
        <v>32.348869013157639</v>
      </c>
      <c r="AF673" s="88">
        <f>IF(AND(AF$17=1,'Assumptions - Passenger'!$E$211=1),IF('Assumptions - Passenger'!$E$215=2,'Assumptions - Passenger'!AF221,AE673*IF('Assumptions - Passenger'!$E$217=1,('Assumptions - Passenger'!$E$219*'Assumptions - General'!AF$37+1)*(1+'Assumptions - Passenger'!AF220),(1+'Assumptions - Passenger'!AF220))),0)</f>
        <v>33.319335083552367</v>
      </c>
      <c r="AG673" s="88">
        <f>IF(AND(AG$17=1,'Assumptions - Passenger'!$E$211=1),IF('Assumptions - Passenger'!$E$215=2,'Assumptions - Passenger'!AG221,AF673*IF('Assumptions - Passenger'!$E$217=1,('Assumptions - Passenger'!$E$219*'Assumptions - General'!AG$37+1)*(1+'Assumptions - Passenger'!AG220),(1+'Assumptions - Passenger'!AG220))),0)</f>
        <v>34.318915136058941</v>
      </c>
      <c r="AH673" s="88">
        <f>IF(AND(AH$17=1,'Assumptions - Passenger'!$E$211=1),IF('Assumptions - Passenger'!$E$215=2,'Assumptions - Passenger'!AH221,AG673*IF('Assumptions - Passenger'!$E$217=1,('Assumptions - Passenger'!$E$219*'Assumptions - General'!AH$37+1)*(1+'Assumptions - Passenger'!AH220),(1+'Assumptions - Passenger'!AH220))),0)</f>
        <v>35.348482590140712</v>
      </c>
    </row>
    <row r="674" spans="1:34" s="20" customFormat="1" ht="14" x14ac:dyDescent="0.2">
      <c r="A674" s="8"/>
      <c r="B674" s="8" t="s">
        <v>611</v>
      </c>
      <c r="C674" s="8"/>
      <c r="D674" s="8" t="str">
        <f>'Assumptions - General'!$E$27 &amp;" millions"</f>
        <v>R$ millions</v>
      </c>
      <c r="E674" s="463">
        <f>IF(OR(E$17=1),'Assumptions - Passenger'!E214,0)</f>
        <v>2</v>
      </c>
      <c r="F674" s="88">
        <f>IF($E$674&lt;&gt;0,IF(F$17=1,($E$674/('Assumptions - Passenger'!$E$56))*(F$517+F$533+F$549+F$565+F$581+F$597)+(SUM($E673:F673)/SUM('Assumptions - Passenger'!$E46:F46))*(F$524+F$540+F$556+F$572+F$588+F$604),0),0)</f>
        <v>1.624713958810069</v>
      </c>
      <c r="G674" s="88">
        <f>IF($E$674&lt;&gt;0,IF(G$17=1,($E$674/('Assumptions - Passenger'!$E$56))*(G$517+G$533+G$549+G$565+G$581+G$597)+(SUM($E673:G673)/SUM('Assumptions - Passenger'!$E46:G46))*(G$524+G$540+G$556+G$572+G$588+G$604),0),0)</f>
        <v>2.7058838578518354</v>
      </c>
      <c r="H674" s="88">
        <f>IF($E$674&lt;&gt;0,IF(H$17=1,($E$674/('Assumptions - Passenger'!$E$56))*(H$517+H$533+H$549+H$565+H$581+H$597)+(SUM($E673:H673)/SUM('Assumptions - Passenger'!$E46:H46))*(H$524+H$540+H$556+H$572+H$588+H$604),0),0)</f>
        <v>3.061810946355104</v>
      </c>
      <c r="I674" s="88">
        <f>IF($E$674&lt;&gt;0,IF(I$17=1,($E$674/('Assumptions - Passenger'!$E$56))*(I$517+I$533+I$549+I$565+I$581+I$597)+(SUM($E673:I673)/SUM('Assumptions - Passenger'!$E46:I46))*(I$524+I$540+I$556+I$572+I$588+I$604),0),0)</f>
        <v>3.4296362899238444</v>
      </c>
      <c r="J674" s="88">
        <f>IF($E$674&lt;&gt;0,IF(J$17=1,($E$674/('Assumptions - Passenger'!$E$56))*(J$517+J$533+J$549+J$565+J$581+J$597)+(SUM($E673:J673)/SUM('Assumptions - Passenger'!$E46:J46))*(J$524+J$540+J$556+J$572+J$588+J$604),0),0)</f>
        <v>3.8097168362100216</v>
      </c>
      <c r="K674" s="88">
        <f>IF($E$674&lt;&gt;0,IF(K$17=1,($E$674/('Assumptions - Passenger'!$E$56))*(K$517+K$533+K$549+K$565+K$581+K$597)+(SUM($E673:K673)/SUM('Assumptions - Passenger'!$E46:K46))*(K$524+K$540+K$556+K$572+K$588+K$604),0),0)</f>
        <v>4.2024202412951563</v>
      </c>
      <c r="L674" s="88">
        <f>IF($E$674&lt;&gt;0,IF(L$17=1,($E$674/('Assumptions - Passenger'!$E$56))*(L$517+L$533+L$549+L$565+L$581+L$597)+(SUM($E673:L673)/SUM('Assumptions - Passenger'!$E46:L46))*(L$524+L$540+L$556+L$572+L$588+L$604),0),0)</f>
        <v>4.6081251909432197</v>
      </c>
      <c r="M674" s="88">
        <f>IF($E$674&lt;&gt;0,IF(M$17=1,($E$674/('Assumptions - Passenger'!$E$56))*(M$517+M$533+M$549+M$565+M$581+M$597)+(SUM($E673:M673)/SUM('Assumptions - Passenger'!$E46:M46))*(M$524+M$540+M$556+M$572+M$588+M$604),0),0)</f>
        <v>5.0272217314910987</v>
      </c>
      <c r="N674" s="88">
        <f>IF($E$674&lt;&gt;0,IF(N$17=1,($E$674/('Assumptions - Passenger'!$E$56))*(N$517+N$533+N$549+N$565+N$581+N$597)+(SUM($E673:N673)/SUM('Assumptions - Passenger'!$E46:N46))*(N$524+N$540+N$556+N$572+N$588+N$604),0),0)</f>
        <v>5.4697734464145791</v>
      </c>
      <c r="O674" s="88">
        <f>IF($E$674&lt;&gt;0,IF(O$17=1,($E$674/('Assumptions - Passenger'!$E$56))*(O$517+O$533+O$549+O$565+O$581+O$597)+(SUM($E673:O673)/SUM('Assumptions - Passenger'!$E46:O46))*(O$524+O$540+O$556+O$572+O$588+O$604),0),0)</f>
        <v>5.9072086286260914</v>
      </c>
      <c r="P674" s="88">
        <f>IF($E$674&lt;&gt;0,IF(P$17=1,($E$674/('Assumptions - Passenger'!$E$56))*(P$517+P$533+P$549+P$565+P$581+P$597)+(SUM($E673:P673)/SUM('Assumptions - Passenger'!$E46:P46))*(P$524+P$540+P$556+P$572+P$588+P$604),0),0)</f>
        <v>6.3786008352843702</v>
      </c>
      <c r="Q674" s="88">
        <f>IF($E$674&lt;&gt;0,IF(Q$17=1,($E$674/('Assumptions - Passenger'!$E$56))*(Q$517+Q$533+Q$549+Q$565+Q$581+Q$597)+(SUM($E673:Q673)/SUM('Assumptions - Passenger'!$E46:Q46))*(Q$524+Q$540+Q$556+Q$572+Q$588+Q$604),0),0)</f>
        <v>6.8650653954803067</v>
      </c>
      <c r="R674" s="88">
        <f>IF($E$674&lt;&gt;0,IF(R$17=1,($E$674/('Assumptions - Passenger'!$E$56))*(R$517+R$533+R$549+R$565+R$581+R$597)+(SUM($E673:R673)/SUM('Assumptions - Passenger'!$E46:R46))*(R$524+R$540+R$556+R$572+R$588+R$604),0),0)</f>
        <v>7.3670544798200304</v>
      </c>
      <c r="S674" s="88">
        <f>IF($E$674&lt;&gt;0,IF(S$17=1,($E$674/('Assumptions - Passenger'!$E$56))*(S$517+S$533+S$549+S$565+S$581+S$597)+(SUM($E673:S673)/SUM('Assumptions - Passenger'!$E46:S46))*(S$524+S$540+S$556+S$572+S$588+S$604),0),0)</f>
        <v>7.8850338240278601</v>
      </c>
      <c r="T674" s="88">
        <f>IF($E$674&lt;&gt;0,IF(T$17=1,($E$674/('Assumptions - Passenger'!$E$56))*(T$517+T$533+T$549+T$565+T$581+T$597)+(SUM($E673:T673)/SUM('Assumptions - Passenger'!$E46:T46))*(T$524+T$540+T$556+T$572+T$588+T$604),0),0)</f>
        <v>8.4194831358998314</v>
      </c>
      <c r="U674" s="88">
        <f>IF($E$674&lt;&gt;0,IF(U$17=1,($E$674/('Assumptions - Passenger'!$E$56))*(U$517+U$533+U$549+U$565+U$581+U$597)+(SUM($E673:U673)/SUM('Assumptions - Passenger'!$E46:U46))*(U$524+U$540+U$556+U$572+U$588+U$604),0),0)</f>
        <v>8.9708965144658723</v>
      </c>
      <c r="V674" s="88">
        <f>IF($E$674&lt;&gt;0,IF(V$17=1,($E$674/('Assumptions - Passenger'!$E$56))*(V$517+V$533+V$549+V$565+V$581+V$597)+(SUM($E673:V673)/SUM('Assumptions - Passenger'!$E46:V46))*(V$524+V$540+V$556+V$572+V$588+V$604),0),0)</f>
        <v>9.5397828817268042</v>
      </c>
      <c r="W674" s="88">
        <f>IF($E$674&lt;&gt;0,IF(W$17=1,($E$674/('Assumptions - Passenger'!$E$56))*(W$517+W$533+W$549+W$565+W$581+W$597)+(SUM($E673:W673)/SUM('Assumptions - Passenger'!$E46:W46))*(W$524+W$540+W$556+W$572+W$588+W$604),0),0)</f>
        <v>10.126666427343475</v>
      </c>
      <c r="X674" s="88">
        <f>IF($E$674&lt;&gt;0,IF(X$17=1,($E$674/('Assumptions - Passenger'!$E$56))*(X$517+X$533+X$549+X$565+X$581+X$597)+(SUM($E673:X673)/SUM('Assumptions - Passenger'!$E46:X46))*(X$524+X$540+X$556+X$572+X$588+X$604),0),0)</f>
        <v>10.596821366183459</v>
      </c>
      <c r="Y674" s="88">
        <f>IF($E$674&lt;&gt;0,IF(Y$17=1,($E$674/('Assumptions - Passenger'!$E$56))*(Y$517+Y$533+Y$549+Y$565+Y$581+Y$597)+(SUM($E673:Y673)/SUM('Assumptions - Passenger'!$E46:Y46))*(Y$524+Y$540+Y$556+Y$572+Y$588+Y$604),0),0)</f>
        <v>10.509578971798215</v>
      </c>
      <c r="Z674" s="88">
        <f>IF($E$674&lt;&gt;0,IF(Z$17=1,($E$674/('Assumptions - Passenger'!$E$56))*(Z$517+Z$533+Z$549+Z$565+Z$581+Z$597)+(SUM($E673:Z673)/SUM('Assumptions - Passenger'!$E46:Z46))*(Z$524+Z$540+Z$556+Z$572+Z$588+Z$604),0),0)</f>
        <v>11.152643124917637</v>
      </c>
      <c r="AA674" s="88">
        <f>IF($E$674&lt;&gt;0,IF(AA$17=1,($E$674/('Assumptions - Passenger'!$E$56))*(AA$517+AA$533+AA$549+AA$565+AA$581+AA$597)+(SUM($E673:AA673)/SUM('Assumptions - Passenger'!$E46:AA46))*(AA$524+AA$540+AA$556+AA$572+AA$588+AA$604),0),0)</f>
        <v>11.815202914774906</v>
      </c>
      <c r="AB674" s="88">
        <f>IF($E$674&lt;&gt;0,IF(AB$17=1,($E$674/('Assumptions - Passenger'!$E$56))*(AB$517+AB$533+AB$549+AB$565+AB$581+AB$597)+(SUM($E673:AB673)/SUM('Assumptions - Passenger'!$E46:AB46))*(AB$524+AB$540+AB$556+AB$572+AB$588+AB$604),0),0)</f>
        <v>12.497830000947729</v>
      </c>
      <c r="AC674" s="88">
        <f>IF($E$674&lt;&gt;0,IF(AC$17=1,($E$674/('Assumptions - Passenger'!$E$56))*(AC$517+AC$533+AC$549+AC$565+AC$581+AC$597)+(SUM($E673:AC673)/SUM('Assumptions - Passenger'!$E46:AC46))*(AC$524+AC$540+AC$556+AC$572+AC$588+AC$604),0),0)</f>
        <v>13.097403244006497</v>
      </c>
      <c r="AD674" s="88">
        <f>IF($E$674&lt;&gt;0,IF(AD$17=1,($E$674/('Assumptions - Passenger'!$E$56))*(AD$517+AD$533+AD$549+AD$565+AD$581+AD$597)+(SUM($E673:AD673)/SUM('Assumptions - Passenger'!$E46:AD46))*(AD$524+AD$540+AD$556+AD$572+AD$588+AD$604),0),0)</f>
        <v>13.816780570797858</v>
      </c>
      <c r="AE674" s="88">
        <f>IF($E$674&lt;&gt;0,IF(AE$17=1,($E$674/('Assumptions - Passenger'!$E$56))*(AE$517+AE$533+AE$549+AE$565+AE$581+AE$597)+(SUM($E673:AE673)/SUM('Assumptions - Passenger'!$E46:AE46))*(AE$524+AE$540+AE$556+AE$572+AE$588+AE$604),0),0)</f>
        <v>14.557717892969226</v>
      </c>
      <c r="AF674" s="88">
        <f>IF($E$674&lt;&gt;0,IF(AF$17=1,($E$674/('Assumptions - Passenger'!$E$56))*(AF$517+AF$533+AF$549+AF$565+AF$581+AF$597)+(SUM($E673:AF673)/SUM('Assumptions - Passenger'!$E46:AF46))*(AF$524+AF$540+AF$556+AF$572+AF$588+AF$604),0),0)</f>
        <v>15.320850983973695</v>
      </c>
      <c r="AG674" s="88">
        <f>IF($E$674&lt;&gt;0,IF(AG$17=1,($E$674/('Assumptions - Passenger'!$E$56))*(AG$517+AG$533+AG$549+AG$565+AG$581+AG$597)+(SUM($E673:AG673)/SUM('Assumptions - Passenger'!$E46:AG46))*(AG$524+AG$540+AG$556+AG$572+AG$588+AG$604),0),0)</f>
        <v>16.106835912809736</v>
      </c>
      <c r="AH674" s="88">
        <f>IF($E$674&lt;&gt;0,IF(AH$17=1,($E$674/('Assumptions - Passenger'!$E$56))*(AH$517+AH$533+AH$549+AH$565+AH$581+AH$597)+(SUM($E673:AH673)/SUM('Assumptions - Passenger'!$E46:AH46))*(AH$524+AH$540+AH$556+AH$572+AH$588+AH$604),0),0)</f>
        <v>16.916349442060309</v>
      </c>
    </row>
    <row r="675" spans="1:34" s="20" customFormat="1" ht="14" x14ac:dyDescent="0.2">
      <c r="A675" s="8"/>
      <c r="B675" s="8"/>
      <c r="C675" s="8"/>
      <c r="D675" s="8"/>
      <c r="E675" s="88"/>
      <c r="F675" s="88"/>
      <c r="G675" s="88"/>
      <c r="H675" s="88"/>
      <c r="I675" s="88"/>
      <c r="J675" s="88"/>
      <c r="K675" s="88"/>
      <c r="L675" s="88"/>
      <c r="M675" s="88"/>
      <c r="N675" s="88"/>
      <c r="O675" s="88"/>
      <c r="P675" s="88"/>
      <c r="Q675" s="88"/>
      <c r="R675" s="88"/>
      <c r="S675" s="88"/>
      <c r="T675" s="88"/>
      <c r="U675" s="88"/>
      <c r="V675" s="88"/>
      <c r="W675" s="88"/>
      <c r="X675" s="88"/>
      <c r="Y675" s="88"/>
      <c r="Z675" s="88"/>
      <c r="AA675" s="88"/>
      <c r="AB675" s="88"/>
      <c r="AC675" s="88"/>
      <c r="AD675" s="88"/>
      <c r="AE675" s="88"/>
      <c r="AF675" s="88"/>
      <c r="AG675" s="88"/>
      <c r="AH675" s="88"/>
    </row>
    <row r="676" spans="1:34" x14ac:dyDescent="0.2">
      <c r="A676" s="324"/>
      <c r="B676" s="323" t="str">
        <f>"Operating costs of " &amp;'Assumptions - General'!E25</f>
        <v>Operating costs of Ruritania Passenger Rail Company</v>
      </c>
      <c r="C676" s="324"/>
      <c r="D676" s="324"/>
      <c r="E676" s="324"/>
      <c r="F676" s="324"/>
      <c r="G676" s="324"/>
      <c r="H676" s="324"/>
      <c r="I676" s="324"/>
      <c r="J676" s="324"/>
      <c r="K676" s="324"/>
      <c r="L676" s="324"/>
      <c r="M676" s="324"/>
      <c r="N676" s="324"/>
      <c r="O676" s="324"/>
      <c r="P676" s="324"/>
      <c r="Q676" s="324"/>
      <c r="R676" s="324"/>
      <c r="S676" s="324"/>
      <c r="T676" s="324"/>
      <c r="U676" s="324"/>
      <c r="V676" s="324"/>
      <c r="W676" s="324"/>
      <c r="X676" s="324"/>
      <c r="Y676" s="324"/>
      <c r="Z676" s="324"/>
      <c r="AA676" s="324"/>
      <c r="AB676" s="324"/>
      <c r="AC676" s="324"/>
      <c r="AD676" s="324"/>
      <c r="AE676" s="324"/>
      <c r="AF676" s="324"/>
      <c r="AG676" s="324"/>
      <c r="AH676" s="324"/>
    </row>
    <row r="677" spans="1:34" s="20" customFormat="1" ht="14" x14ac:dyDescent="0.2">
      <c r="A677" s="8"/>
      <c r="B677" s="7"/>
      <c r="C677" s="8"/>
      <c r="D677" s="8"/>
      <c r="E677" s="9"/>
      <c r="F677" s="28"/>
      <c r="G677" s="9"/>
      <c r="H677" s="9"/>
      <c r="I677" s="9"/>
      <c r="J677" s="9"/>
      <c r="K677" s="9"/>
      <c r="L677" s="9"/>
      <c r="M677" s="9"/>
      <c r="N677" s="9"/>
      <c r="O677" s="9"/>
      <c r="P677" s="9"/>
      <c r="Q677" s="9"/>
      <c r="R677" s="9"/>
      <c r="S677" s="9"/>
      <c r="T677" s="9"/>
      <c r="U677" s="9"/>
      <c r="V677" s="9"/>
      <c r="W677" s="9"/>
      <c r="X677" s="9"/>
      <c r="Y677" s="9"/>
      <c r="Z677" s="9"/>
      <c r="AA677" s="9"/>
      <c r="AB677" s="9"/>
      <c r="AC677" s="9"/>
      <c r="AD677" s="9"/>
      <c r="AE677" s="9"/>
      <c r="AF677" s="9"/>
      <c r="AG677" s="9"/>
      <c r="AH677" s="9"/>
    </row>
    <row r="678" spans="1:34" s="20" customFormat="1" ht="14" x14ac:dyDescent="0.2">
      <c r="A678" s="8"/>
      <c r="B678" s="8" t="s">
        <v>44</v>
      </c>
      <c r="C678" s="8"/>
      <c r="D678" s="8" t="str">
        <f>'Assumptions - General'!$E$27 &amp;" millions"</f>
        <v>R$ millions</v>
      </c>
      <c r="E678" s="463">
        <f>IF(OR(E$17=1,E$18=1),IF('Assumptions - Passenger'!$D$246=1,'Assumptions - Passenger'!$D$247*'Assumptions - Passenger'!E251,'Assumptions - Passenger'!E251),0)</f>
        <v>1000</v>
      </c>
      <c r="F678" s="12">
        <f>IF(AND(OR(F$17=1,F$18=1),'Assumptions - Passenger'!$E$251&gt;0),'Assumptions - Passenger'!F254*'Assumptions - Passenger'!F257/1000000,0)</f>
        <v>1030.0000000000002</v>
      </c>
      <c r="G678" s="12">
        <f>IF(AND(OR(G$17=1,G$18=1),'Assumptions - Passenger'!$E$251&gt;0),'Assumptions - Passenger'!G254*'Assumptions - Passenger'!G257/1000000,0)</f>
        <v>1060.9000000000001</v>
      </c>
      <c r="H678" s="12">
        <f>IF(AND(OR(H$17=1,H$18=1),'Assumptions - Passenger'!$E$251&gt;0),'Assumptions - Passenger'!H254*'Assumptions - Passenger'!H257/1000000,0)</f>
        <v>1092.7270000000001</v>
      </c>
      <c r="I678" s="12">
        <f>IF(AND(OR(I$17=1,I$18=1),'Assumptions - Passenger'!$E$251&gt;0),'Assumptions - Passenger'!I254*'Assumptions - Passenger'!I257/1000000,0)</f>
        <v>1125.50881</v>
      </c>
      <c r="J678" s="12">
        <f>IF(AND(OR(J$17=1,J$18=1),'Assumptions - Passenger'!$E$251&gt;0),'Assumptions - Passenger'!J254*'Assumptions - Passenger'!J257/1000000,0)</f>
        <v>1159.2740742999999</v>
      </c>
      <c r="K678" s="12">
        <f>IF(AND(OR(K$17=1,K$18=1),'Assumptions - Passenger'!$E$251&gt;0),'Assumptions - Passenger'!K254*'Assumptions - Passenger'!K257/1000000,0)</f>
        <v>1194.0522965289999</v>
      </c>
      <c r="L678" s="12">
        <f>IF(AND(OR(L$17=1,L$18=1),'Assumptions - Passenger'!$E$251&gt;0),'Assumptions - Passenger'!L254*'Assumptions - Passenger'!L257/1000000,0)</f>
        <v>1229.8738654248702</v>
      </c>
      <c r="M678" s="12">
        <f>IF(AND(OR(M$17=1,M$18=1),'Assumptions - Passenger'!$E$251&gt;0),'Assumptions - Passenger'!M254*'Assumptions - Passenger'!M257/1000000,0)</f>
        <v>1266.7700813876163</v>
      </c>
      <c r="N678" s="12">
        <f>IF(AND(OR(N$17=1,N$18=1),'Assumptions - Passenger'!$E$251&gt;0),'Assumptions - Passenger'!N254*'Assumptions - Passenger'!N257/1000000,0)</f>
        <v>1304.7731838292448</v>
      </c>
      <c r="O678" s="12">
        <f>IF(AND(OR(O$17=1,O$18=1),'Assumptions - Passenger'!$E$251&gt;0),'Assumptions - Passenger'!O254*'Assumptions - Passenger'!O257/1000000,0)</f>
        <v>1343.9163793441221</v>
      </c>
      <c r="P678" s="12">
        <f>IF(AND(OR(P$17=1,P$18=1),'Assumptions - Passenger'!$E$251&gt;0),'Assumptions - Passenger'!P254*'Assumptions - Passenger'!P257/1000000,0)</f>
        <v>1384.233870724446</v>
      </c>
      <c r="Q678" s="12">
        <f>IF(AND(OR(Q$17=1,Q$18=1),'Assumptions - Passenger'!$E$251&gt;0),'Assumptions - Passenger'!Q254*'Assumptions - Passenger'!Q257/1000000,0)</f>
        <v>1425.7608868461796</v>
      </c>
      <c r="R678" s="12">
        <f>IF(AND(OR(R$17=1,R$18=1),'Assumptions - Passenger'!$E$251&gt;0),'Assumptions - Passenger'!R254*'Assumptions - Passenger'!R257/1000000,0)</f>
        <v>1468.5337134515651</v>
      </c>
      <c r="S678" s="12">
        <f>IF(AND(OR(S$17=1,S$18=1),'Assumptions - Passenger'!$E$251&gt;0),'Assumptions - Passenger'!S254*'Assumptions - Passenger'!S257/1000000,0)</f>
        <v>1512.5897248551119</v>
      </c>
      <c r="T678" s="12">
        <f>IF(AND(OR(T$17=1,T$18=1),'Assumptions - Passenger'!$E$251&gt;0),'Assumptions - Passenger'!T254*'Assumptions - Passenger'!T257/1000000,0)</f>
        <v>1557.9674166007653</v>
      </c>
      <c r="U678" s="12">
        <f>IF(AND(OR(U$17=1,U$18=1),'Assumptions - Passenger'!$E$251&gt;0),'Assumptions - Passenger'!U254*'Assumptions - Passenger'!U257/1000000,0)</f>
        <v>1604.7064390987882</v>
      </c>
      <c r="V678" s="12">
        <f>IF(AND(OR(V$17=1,V$18=1),'Assumptions - Passenger'!$E$251&gt;0),'Assumptions - Passenger'!V254*'Assumptions - Passenger'!V257/1000000,0)</f>
        <v>1652.847632271752</v>
      </c>
      <c r="W678" s="12">
        <f>IF(AND(OR(W$17=1,W$18=1),'Assumptions - Passenger'!$E$251&gt;0),'Assumptions - Passenger'!W254*'Assumptions - Passenger'!W257/1000000,0)</f>
        <v>1702.4330612399044</v>
      </c>
      <c r="X678" s="12">
        <f>IF(AND(OR(X$17=1,X$18=1),'Assumptions - Passenger'!$E$251&gt;0),'Assumptions - Passenger'!X254*'Assumptions - Passenger'!X257/1000000,0)</f>
        <v>1753.5060530771018</v>
      </c>
      <c r="Y678" s="12">
        <f>IF(AND(OR(Y$17=1,Y$18=1),'Assumptions - Passenger'!$E$251&gt;0),'Assumptions - Passenger'!Y254*'Assumptions - Passenger'!Y257/1000000,0)</f>
        <v>1806.1112346694147</v>
      </c>
      <c r="Z678" s="12">
        <f>IF(AND(OR(Z$17=1,Z$18=1),'Assumptions - Passenger'!$E$251&gt;0),'Assumptions - Passenger'!Z254*'Assumptions - Passenger'!Z257/1000000,0)</f>
        <v>1860.2945717094972</v>
      </c>
      <c r="AA678" s="12">
        <f>IF(AND(OR(AA$17=1,AA$18=1),'Assumptions - Passenger'!$E$251&gt;0),'Assumptions - Passenger'!AA254*'Assumptions - Passenger'!AA257/1000000,0)</f>
        <v>1916.1034088607821</v>
      </c>
      <c r="AB678" s="12">
        <f>IF(AND(OR(AB$17=1,AB$18=1),'Assumptions - Passenger'!$E$251&gt;0),'Assumptions - Passenger'!AB254*'Assumptions - Passenger'!AB257/1000000,0)</f>
        <v>1973.5865111266055</v>
      </c>
      <c r="AC678" s="12">
        <f>IF(AND(OR(AC$17=1,AC$18=1),'Assumptions - Passenger'!$E$251&gt;0),'Assumptions - Passenger'!AC254*'Assumptions - Passenger'!AC257/1000000,0)</f>
        <v>2032.7941064604038</v>
      </c>
      <c r="AD678" s="12">
        <f>IF(AND(OR(AD$17=1,AD$18=1),'Assumptions - Passenger'!$E$251&gt;0),'Assumptions - Passenger'!AD254*'Assumptions - Passenger'!AD257/1000000,0)</f>
        <v>2093.7779296542162</v>
      </c>
      <c r="AE678" s="12">
        <f>IF(AND(OR(AE$17=1,AE$18=1),'Assumptions - Passenger'!$E$251&gt;0),'Assumptions - Passenger'!AE254*'Assumptions - Passenger'!AE257/1000000,0)</f>
        <v>2156.5912675438422</v>
      </c>
      <c r="AF678" s="12">
        <f>IF(AND(OR(AF$17=1,AF$18=1),'Assumptions - Passenger'!$E$251&gt;0),'Assumptions - Passenger'!AF254*'Assumptions - Passenger'!AF257/1000000,0)</f>
        <v>2221.2890055701573</v>
      </c>
      <c r="AG678" s="12">
        <f>IF(AND(OR(AG$17=1,AG$18=1),'Assumptions - Passenger'!$E$251&gt;0),'Assumptions - Passenger'!AG254*'Assumptions - Passenger'!AG257/1000000,0)</f>
        <v>2287.9276757372622</v>
      </c>
      <c r="AH678" s="12">
        <f>IF(AND(OR(AH$17=1,AH$18=1),'Assumptions - Passenger'!$E$251&gt;0),'Assumptions - Passenger'!AH254*'Assumptions - Passenger'!AH257/1000000,0)</f>
        <v>2356.5655060093804</v>
      </c>
    </row>
    <row r="679" spans="1:34" s="20" customFormat="1" ht="14" x14ac:dyDescent="0.2">
      <c r="A679" s="8"/>
      <c r="B679" s="30" t="s">
        <v>297</v>
      </c>
      <c r="C679" s="8"/>
      <c r="D679" s="8" t="s">
        <v>15</v>
      </c>
      <c r="E679" s="128" t="str">
        <f>IF(E17=1,IF(AND(($E$4+SUM($F$17:$AH$17))=E$4,$E$678&gt;0),(E678/$E678)^(1/SUM($F$17:$AH$17))-1," ")," ")</f>
        <v xml:space="preserve"> </v>
      </c>
      <c r="F679" s="128" t="str">
        <f t="shared" ref="F679:AH679" si="270">IF(F17=1,IF(AND(($E$4+SUM($F$17:$AH$17))=F$4,$E$678&gt;0),(F678/$E678)^(1/SUM($F$17:$AH$17))-1," ")," ")</f>
        <v xml:space="preserve"> </v>
      </c>
      <c r="G679" s="128" t="str">
        <f t="shared" si="270"/>
        <v xml:space="preserve"> </v>
      </c>
      <c r="H679" s="128" t="str">
        <f t="shared" si="270"/>
        <v xml:space="preserve"> </v>
      </c>
      <c r="I679" s="128" t="str">
        <f t="shared" si="270"/>
        <v xml:space="preserve"> </v>
      </c>
      <c r="J679" s="128" t="str">
        <f t="shared" si="270"/>
        <v xml:space="preserve"> </v>
      </c>
      <c r="K679" s="128" t="str">
        <f t="shared" si="270"/>
        <v xml:space="preserve"> </v>
      </c>
      <c r="L679" s="128" t="str">
        <f t="shared" si="270"/>
        <v xml:space="preserve"> </v>
      </c>
      <c r="M679" s="128" t="str">
        <f t="shared" si="270"/>
        <v xml:space="preserve"> </v>
      </c>
      <c r="N679" s="128" t="str">
        <f t="shared" si="270"/>
        <v xml:space="preserve"> </v>
      </c>
      <c r="O679" s="128" t="str">
        <f t="shared" si="270"/>
        <v xml:space="preserve"> </v>
      </c>
      <c r="P679" s="128" t="str">
        <f t="shared" si="270"/>
        <v xml:space="preserve"> </v>
      </c>
      <c r="Q679" s="128" t="str">
        <f t="shared" si="270"/>
        <v xml:space="preserve"> </v>
      </c>
      <c r="R679" s="128" t="str">
        <f t="shared" si="270"/>
        <v xml:space="preserve"> </v>
      </c>
      <c r="S679" s="128" t="str">
        <f t="shared" si="270"/>
        <v xml:space="preserve"> </v>
      </c>
      <c r="T679" s="128" t="str">
        <f t="shared" si="270"/>
        <v xml:space="preserve"> </v>
      </c>
      <c r="U679" s="128" t="str">
        <f t="shared" si="270"/>
        <v xml:space="preserve"> </v>
      </c>
      <c r="V679" s="128" t="str">
        <f t="shared" si="270"/>
        <v xml:space="preserve"> </v>
      </c>
      <c r="W679" s="128" t="str">
        <f t="shared" si="270"/>
        <v xml:space="preserve"> </v>
      </c>
      <c r="X679" s="128" t="str">
        <f t="shared" si="270"/>
        <v xml:space="preserve"> </v>
      </c>
      <c r="Y679" s="128" t="str">
        <f t="shared" si="270"/>
        <v xml:space="preserve"> </v>
      </c>
      <c r="Z679" s="128" t="str">
        <f t="shared" si="270"/>
        <v xml:space="preserve"> </v>
      </c>
      <c r="AA679" s="128" t="str">
        <f t="shared" si="270"/>
        <v xml:space="preserve"> </v>
      </c>
      <c r="AB679" s="128" t="str">
        <f t="shared" si="270"/>
        <v xml:space="preserve"> </v>
      </c>
      <c r="AC679" s="128" t="str">
        <f t="shared" si="270"/>
        <v xml:space="preserve"> </v>
      </c>
      <c r="AD679" s="128" t="str">
        <f t="shared" si="270"/>
        <v xml:space="preserve"> </v>
      </c>
      <c r="AE679" s="128" t="str">
        <f t="shared" si="270"/>
        <v xml:space="preserve"> </v>
      </c>
      <c r="AF679" s="128" t="str">
        <f t="shared" si="270"/>
        <v xml:space="preserve"> </v>
      </c>
      <c r="AG679" s="128" t="str">
        <f t="shared" si="270"/>
        <v xml:space="preserve"> </v>
      </c>
      <c r="AH679" s="128">
        <f t="shared" si="270"/>
        <v>3.0000000000000027E-2</v>
      </c>
    </row>
    <row r="680" spans="1:34" s="20" customFormat="1" ht="14" x14ac:dyDescent="0.2">
      <c r="A680" s="8"/>
      <c r="B680" s="8" t="s">
        <v>45</v>
      </c>
      <c r="C680" s="8"/>
      <c r="D680" s="8" t="str">
        <f>'Assumptions - General'!$E$27 &amp;" millions"</f>
        <v>R$ millions</v>
      </c>
      <c r="E680" s="463">
        <f>IF(OR(E$17=1,E$18=1),IF($D$613=1,$D$614*'Assumptions - Passenger'!E261,'Assumptions - Passenger'!E261),0)</f>
        <v>500</v>
      </c>
      <c r="F680" s="12">
        <f>IF(AND(OR(F$17=1,F$18=1),'Assumptions - Passenger'!$E$261&gt;0),((E680*(1+((SUM(F$628:F$630))/(SUM(E$628:E$630))-1)*'Assumptions - Passenger'!$E$263))*('Assumptions - Passenger'!F266/'Assumptions - Passenger'!E266)),0)</f>
        <v>547.1875</v>
      </c>
      <c r="G680" s="12">
        <f>IF(AND(OR(G$17=1,G$18=1),'Assumptions - Passenger'!$E$261&gt;0),((F680*(1+((SUM(G$628:G$630))/(SUM(F$628:F$630))-1)*'Assumptions - Passenger'!$E$263))*('Assumptions - Passenger'!G266/'Assumptions - Passenger'!F266)),0)</f>
        <v>563.60312499999998</v>
      </c>
      <c r="H680" s="12">
        <f>IF(AND(OR(H$17=1,H$18=1),'Assumptions - Passenger'!$E$261&gt;0),((G680*(1+((SUM(H$628:H$630))/(SUM(G$628:G$630))-1)*'Assumptions - Passenger'!$E$263))*('Assumptions - Passenger'!H266/'Assumptions - Passenger'!G266)),0)</f>
        <v>614.65893750000009</v>
      </c>
      <c r="I680" s="12">
        <f>IF(AND(OR(I$17=1,I$18=1),'Assumptions - Passenger'!$E$261&gt;0),((H680*(1+((SUM(I$628:I$630))/(SUM(H$628:H$630))-1)*'Assumptions - Passenger'!$E$263))*('Assumptions - Passenger'!I266/'Assumptions - Passenger'!H266)),0)</f>
        <v>703.44300625000017</v>
      </c>
      <c r="J680" s="12">
        <f>IF(AND(OR(J$17=1,J$18=1),'Assumptions - Passenger'!$E$261&gt;0),((I680*(1+((SUM(J$628:J$630))/(SUM(I$628:I$630))-1)*'Assumptions - Passenger'!$E$263))*('Assumptions - Passenger'!J266/'Assumptions - Passenger'!I266)),0)</f>
        <v>760.77361125937534</v>
      </c>
      <c r="K680" s="12">
        <f>IF(AND(OR(K$17=1,K$18=1),'Assumptions - Passenger'!$E$261&gt;0),((J680*(1+((SUM(K$628:K$630))/(SUM(J$628:J$630))-1)*'Assumptions - Passenger'!$E$263))*('Assumptions - Passenger'!K266/'Assumptions - Passenger'!J266)),0)</f>
        <v>820.91095386368795</v>
      </c>
      <c r="L680" s="12">
        <f>IF(AND(OR(L$17=1,L$18=1),'Assumptions - Passenger'!$E$261&gt;0),((K680*(1+((SUM(L$628:L$630))/(SUM(K$628:K$630))-1)*'Assumptions - Passenger'!$E$263))*('Assumptions - Passenger'!L266/'Assumptions - Passenger'!K266)),0)</f>
        <v>883.97184077412578</v>
      </c>
      <c r="M680" s="12">
        <f>IF(AND(OR(M$17=1,M$18=1),'Assumptions - Passenger'!$E$261&gt;0),((L680*(1+((SUM(M$628:M$630))/(SUM(L$628:L$630))-1)*'Assumptions - Passenger'!$E$263))*('Assumptions - Passenger'!M266/'Assumptions - Passenger'!L266)),0)</f>
        <v>950.07756104071257</v>
      </c>
      <c r="N680" s="12">
        <f>IF(AND(OR(N$17=1,N$18=1),'Assumptions - Passenger'!$E$261&gt;0),((M680*(1+((SUM(N$628:N$630))/(SUM(M$628:M$630))-1)*'Assumptions - Passenger'!$E$263))*('Assumptions - Passenger'!N266/'Assumptions - Passenger'!M266)),0)</f>
        <v>1019.354049866598</v>
      </c>
      <c r="O680" s="12">
        <f>IF(AND(OR(O$17=1,O$18=1),'Assumptions - Passenger'!$E$261&gt;0),((N680*(1+((SUM(O$628:O$630))/(SUM(N$628:N$630))-1)*'Assumptions - Passenger'!$E$263))*('Assumptions - Passenger'!O266/'Assumptions - Passenger'!N266)),0)</f>
        <v>1091.9320582170997</v>
      </c>
      <c r="P680" s="12">
        <f>IF(AND(OR(P$17=1,P$18=1),'Assumptions - Passenger'!$E$261&gt;0),((O680*(1+((SUM(P$628:P$630))/(SUM(O$628:O$630))-1)*'Assumptions - Passenger'!$E$263))*('Assumptions - Passenger'!P266/'Assumptions - Passenger'!O266)),0)</f>
        <v>1167.9473284237517</v>
      </c>
      <c r="Q680" s="12">
        <f>IF(AND(OR(Q$17=1,Q$18=1),'Assumptions - Passenger'!$E$261&gt;0),((P680*(1+((SUM(Q$628:Q$630))/(SUM(P$628:P$630))-1)*'Assumptions - Passenger'!$E$263))*('Assumptions - Passenger'!Q266/'Assumptions - Passenger'!P266)),0)</f>
        <v>1247.5407759904074</v>
      </c>
      <c r="R680" s="12">
        <f>IF(AND(OR(R$17=1,R$18=1),'Assumptions - Passenger'!$E$261&gt;0),((Q680*(1+((SUM(R$628:R$630))/(SUM(Q$628:Q$630))-1)*'Assumptions - Passenger'!$E$263))*('Assumptions - Passenger'!R266/'Assumptions - Passenger'!Q266)),0)</f>
        <v>1330.8586778154811</v>
      </c>
      <c r="S680" s="12">
        <f>IF(AND(OR(S$17=1,S$18=1),'Assumptions - Passenger'!$E$261&gt;0),((R680*(1+((SUM(S$628:S$630))/(SUM(R$628:R$630))-1)*'Assumptions - Passenger'!$E$263))*('Assumptions - Passenger'!S266/'Assumptions - Passenger'!R266)),0)</f>
        <v>1418.0528670516678</v>
      </c>
      <c r="T680" s="12">
        <f>IF(AND(OR(T$17=1,T$18=1),'Assumptions - Passenger'!$E$261&gt;0),((S680*(1+((SUM(T$628:T$630))/(SUM(S$628:S$630))-1)*'Assumptions - Passenger'!$E$263))*('Assumptions - Passenger'!T266/'Assumptions - Passenger'!S266)),0)</f>
        <v>1509.280934831992</v>
      </c>
      <c r="U680" s="12">
        <f>IF(AND(OR(U$17=1,U$18=1),'Assumptions - Passenger'!$E$261&gt;0),((T680*(1+((SUM(U$628:U$630))/(SUM(T$628:T$630))-1)*'Assumptions - Passenger'!$E$263))*('Assumptions - Passenger'!U266/'Assumptions - Passenger'!T266)),0)</f>
        <v>1604.7064390987891</v>
      </c>
      <c r="V680" s="12">
        <f>IF(AND(OR(V$17=1,V$18=1),'Assumptions - Passenger'!$E$261&gt;0),((U680*(1+((SUM(V$628:V$630))/(SUM(U$628:U$630))-1)*'Assumptions - Passenger'!$E$263))*('Assumptions - Passenger'!V266/'Assumptions - Passenger'!U266)),0)</f>
        <v>1704.499120780245</v>
      </c>
      <c r="W680" s="12">
        <f>IF(AND(OR(W$17=1,W$18=1),'Assumptions - Passenger'!$E$261&gt;0),((V680*(1+((SUM(W$628:W$630))/(SUM(V$628:V$630))-1)*'Assumptions - Passenger'!$E$263))*('Assumptions - Passenger'!W266/'Assumptions - Passenger'!V266)),0)</f>
        <v>1808.8351275673995</v>
      </c>
      <c r="X680" s="12">
        <f>IF(AND(OR(X$17=1,X$18=1),'Assumptions - Passenger'!$E$261&gt;0),((W680*(1+((SUM(X$628:X$630))/(SUM(W$628:W$630))-1)*'Assumptions - Passenger'!$E$263))*('Assumptions - Passenger'!X266/'Assumptions - Passenger'!W266)),0)</f>
        <v>1917.8972455530807</v>
      </c>
      <c r="Y680" s="12">
        <f>IF(AND(OR(Y$17=1,Y$18=1),'Assumptions - Passenger'!$E$261&gt;0),((X680*(1+((SUM(Y$628:Y$630))/(SUM(X$628:X$630))-1)*'Assumptions - Passenger'!$E$263))*('Assumptions - Passenger'!Y266/'Assumptions - Passenger'!X266)),0)</f>
        <v>2031.875139003092</v>
      </c>
      <c r="Z680" s="12">
        <f>IF(AND(OR(Z$17=1,Z$18=1),'Assumptions - Passenger'!$E$261&gt;0),((Y680*(1+((SUM(Z$628:Z$630))/(SUM(Y$628:Y$630))-1)*'Assumptions - Passenger'!$E$263))*('Assumptions - Passenger'!Z266/'Assumptions - Passenger'!Y266)),0)</f>
        <v>2150.9655985391064</v>
      </c>
      <c r="AA680" s="12">
        <f>IF(AND(OR(AA$17=1,AA$18=1),'Assumptions - Passenger'!$E$261&gt;0),((Z680*(1+((SUM(AA$628:AA$630))/(SUM(Z$628:Z$630))-1)*'Assumptions - Passenger'!$E$263))*('Assumptions - Passenger'!AA266/'Assumptions - Passenger'!Z266)),0)</f>
        <v>2275.3727980221793</v>
      </c>
      <c r="AB680" s="12">
        <f>IF(AND(OR(AB$17=1,AB$18=1),'Assumptions - Passenger'!$E$261&gt;0),((AA680*(1+((SUM(AB$628:AB$630))/(SUM(AA$628:AA$630))-1)*'Assumptions - Passenger'!$E$263))*('Assumptions - Passenger'!AB266/'Assumptions - Passenger'!AA266)),0)</f>
        <v>2405.308560435551</v>
      </c>
      <c r="AC680" s="12">
        <f>IF(AND(OR(AC$17=1,AC$18=1),'Assumptions - Passenger'!$E$261&gt;0),((AB680*(1+((SUM(AC$628:AC$630))/(SUM(AB$628:AB$630))-1)*'Assumptions - Passenger'!$E$263))*('Assumptions - Passenger'!AC266/'Assumptions - Passenger'!AB266)),0)</f>
        <v>2540.9926330755052</v>
      </c>
      <c r="AD680" s="12">
        <f>IF(AND(OR(AD$17=1,AD$18=1),'Assumptions - Passenger'!$E$261&gt;0),((AC680*(1+((SUM(AD$628:AD$630))/(SUM(AC$628:AC$630))-1)*'Assumptions - Passenger'!$E$263))*('Assumptions - Passenger'!AD266/'Assumptions - Passenger'!AC266)),0)</f>
        <v>2682.6529723694644</v>
      </c>
      <c r="AE680" s="12">
        <f>IF(AND(OR(AE$17=1,AE$18=1),'Assumptions - Passenger'!$E$261&gt;0),((AD680*(1+((SUM(AE$628:AE$630))/(SUM(AD$628:AD$630))-1)*'Assumptions - Passenger'!$E$263))*('Assumptions - Passenger'!AE266/'Assumptions - Passenger'!AD266)),0)</f>
        <v>2830.5260386512932</v>
      </c>
      <c r="AF680" s="12">
        <f>IF(AND(OR(AF$17=1,AF$18=1),'Assumptions - Passenger'!$E$261&gt;0),((AE680*(1+((SUM(AF$628:AF$630))/(SUM(AE$628:AE$630))-1)*'Assumptions - Passenger'!$E$263))*('Assumptions - Passenger'!AF266/'Assumptions - Passenger'!AE266)),0)</f>
        <v>2984.8571012348993</v>
      </c>
      <c r="AG680" s="12">
        <f>IF(AND(OR(AG$17=1,AG$18=1),'Assumptions - Passenger'!$E$261&gt;0),((AF680*(1+((SUM(AG$628:AG$630))/(SUM(AF$628:AF$630))-1)*'Assumptions - Passenger'!$E$263))*('Assumptions - Passenger'!AG266/'Assumptions - Passenger'!AF266)),0)</f>
        <v>3145.900554138736</v>
      </c>
      <c r="AH680" s="12">
        <f>IF(AND(OR(AH$17=1,AH$18=1),'Assumptions - Passenger'!$E$261&gt;0),((AG680*(1+((SUM(AH$628:AH$630))/(SUM(AG$628:AG$630))-1)*'Assumptions - Passenger'!$E$263))*('Assumptions - Passenger'!AH266/'Assumptions - Passenger'!AG266)),0)</f>
        <v>3313.9202428256913</v>
      </c>
    </row>
    <row r="681" spans="1:34" s="20" customFormat="1" ht="14" x14ac:dyDescent="0.2">
      <c r="A681" s="8"/>
      <c r="B681" s="30" t="s">
        <v>297</v>
      </c>
      <c r="C681" s="8"/>
      <c r="D681" s="8" t="s">
        <v>15</v>
      </c>
      <c r="E681" s="128" t="str">
        <f>IF(E17=1,IF(AND(($E$4+SUM($F$17:$AH$17))=E$4,$E$680&gt;0),(E680/$E680)^(1/SUM($F$17:$AH$17))-1," ")," ")</f>
        <v xml:space="preserve"> </v>
      </c>
      <c r="F681" s="128" t="str">
        <f t="shared" ref="F681:AH681" si="271">IF(F17=1,IF(AND(($E$4+SUM($F$17:$AH$17))=F$4,$E$680&gt;0),(F680/$E680)^(1/SUM($F$17:$AH$17))-1," ")," ")</f>
        <v xml:space="preserve"> </v>
      </c>
      <c r="G681" s="128" t="str">
        <f t="shared" si="271"/>
        <v xml:space="preserve"> </v>
      </c>
      <c r="H681" s="128" t="str">
        <f t="shared" si="271"/>
        <v xml:space="preserve"> </v>
      </c>
      <c r="I681" s="128" t="str">
        <f t="shared" si="271"/>
        <v xml:space="preserve"> </v>
      </c>
      <c r="J681" s="128" t="str">
        <f t="shared" si="271"/>
        <v xml:space="preserve"> </v>
      </c>
      <c r="K681" s="128" t="str">
        <f t="shared" si="271"/>
        <v xml:space="preserve"> </v>
      </c>
      <c r="L681" s="128" t="str">
        <f t="shared" si="271"/>
        <v xml:space="preserve"> </v>
      </c>
      <c r="M681" s="128" t="str">
        <f t="shared" si="271"/>
        <v xml:space="preserve"> </v>
      </c>
      <c r="N681" s="128" t="str">
        <f t="shared" si="271"/>
        <v xml:space="preserve"> </v>
      </c>
      <c r="O681" s="128" t="str">
        <f t="shared" si="271"/>
        <v xml:space="preserve"> </v>
      </c>
      <c r="P681" s="128" t="str">
        <f t="shared" si="271"/>
        <v xml:space="preserve"> </v>
      </c>
      <c r="Q681" s="128" t="str">
        <f t="shared" si="271"/>
        <v xml:space="preserve"> </v>
      </c>
      <c r="R681" s="128" t="str">
        <f t="shared" si="271"/>
        <v xml:space="preserve"> </v>
      </c>
      <c r="S681" s="128" t="str">
        <f t="shared" si="271"/>
        <v xml:space="preserve"> </v>
      </c>
      <c r="T681" s="128" t="str">
        <f t="shared" si="271"/>
        <v xml:space="preserve"> </v>
      </c>
      <c r="U681" s="128" t="str">
        <f t="shared" si="271"/>
        <v xml:space="preserve"> </v>
      </c>
      <c r="V681" s="128" t="str">
        <f t="shared" si="271"/>
        <v xml:space="preserve"> </v>
      </c>
      <c r="W681" s="128" t="str">
        <f t="shared" si="271"/>
        <v xml:space="preserve"> </v>
      </c>
      <c r="X681" s="128" t="str">
        <f t="shared" si="271"/>
        <v xml:space="preserve"> </v>
      </c>
      <c r="Y681" s="128" t="str">
        <f t="shared" si="271"/>
        <v xml:space="preserve"> </v>
      </c>
      <c r="Z681" s="128" t="str">
        <f t="shared" si="271"/>
        <v xml:space="preserve"> </v>
      </c>
      <c r="AA681" s="128" t="str">
        <f t="shared" si="271"/>
        <v xml:space="preserve"> </v>
      </c>
      <c r="AB681" s="128" t="str">
        <f t="shared" si="271"/>
        <v xml:space="preserve"> </v>
      </c>
      <c r="AC681" s="128" t="str">
        <f t="shared" si="271"/>
        <v xml:space="preserve"> </v>
      </c>
      <c r="AD681" s="128" t="str">
        <f t="shared" si="271"/>
        <v xml:space="preserve"> </v>
      </c>
      <c r="AE681" s="128" t="str">
        <f t="shared" si="271"/>
        <v xml:space="preserve"> </v>
      </c>
      <c r="AF681" s="128" t="str">
        <f t="shared" si="271"/>
        <v xml:space="preserve"> </v>
      </c>
      <c r="AG681" s="128" t="str">
        <f t="shared" si="271"/>
        <v xml:space="preserve"> </v>
      </c>
      <c r="AH681" s="128">
        <f t="shared" si="271"/>
        <v>6.7390108925639902E-2</v>
      </c>
    </row>
    <row r="682" spans="1:34" s="20" customFormat="1" ht="14" x14ac:dyDescent="0.2">
      <c r="A682" s="8"/>
      <c r="B682" s="8" t="s">
        <v>46</v>
      </c>
      <c r="C682" s="8"/>
      <c r="D682" s="8" t="str">
        <f>'Assumptions - General'!$E$27 &amp;" millions"</f>
        <v>R$ millions</v>
      </c>
      <c r="E682" s="463">
        <f>IF(OR(E$17=1,E$18=1),IF($D$613=1,$D$614*'Assumptions - Passenger'!E270,'Assumptions - Passenger'!E270),0)</f>
        <v>500</v>
      </c>
      <c r="F682" s="12">
        <f>IF(AND(OR(F$17=1,F$18=1),'Assumptions - Passenger'!$E$270&gt;0),IF('Assumptions - Passenger'!F18&gt;0,((E682*(1+((SUM(F$633:F$635))/(SUM(E$633:E$635))-1)*'Assumptions - Passenger'!$E$272))*('Assumptions - Passenger'!F275/'Assumptions - Passenger'!E275)),0),0)</f>
        <v>547.1875</v>
      </c>
      <c r="G682" s="12">
        <f>IF(AND(OR(G$17=1,G$18=1),'Assumptions - Passenger'!$E$270&gt;0),IF('Assumptions - Passenger'!G18&gt;0,((F682*(1+((SUM(G$633:G$635))/(SUM(F$633:F$635))-1)*'Assumptions - Passenger'!$E$272))*('Assumptions - Passenger'!G275/'Assumptions - Passenger'!F275)),0),0)</f>
        <v>563.60312499999998</v>
      </c>
      <c r="H682" s="12">
        <f>IF(AND(OR(H$17=1,H$18=1),'Assumptions - Passenger'!$E$270&gt;0),IF('Assumptions - Passenger'!H18&gt;0,((G682*(1+((SUM(H$633:H$635))/(SUM(G$633:G$635))-1)*'Assumptions - Passenger'!$E$272))*('Assumptions - Passenger'!H275/'Assumptions - Passenger'!G275)),0),0)</f>
        <v>614.65893750000009</v>
      </c>
      <c r="I682" s="12">
        <f>IF(AND(OR(I$17=1,I$18=1),'Assumptions - Passenger'!$E$270&gt;0),IF('Assumptions - Passenger'!I18&gt;0,((H682*(1+((SUM(I$633:I$635))/(SUM(H$633:H$635))-1)*'Assumptions - Passenger'!$E$272))*('Assumptions - Passenger'!I275/'Assumptions - Passenger'!H275)),0),0)</f>
        <v>703.44300625000017</v>
      </c>
      <c r="J682" s="12">
        <f>IF(AND(OR(J$17=1,J$18=1),'Assumptions - Passenger'!$E$270&gt;0),IF('Assumptions - Passenger'!J18&gt;0,((I682*(1+((SUM(J$633:J$635))/(SUM(I$633:I$635))-1)*'Assumptions - Passenger'!$E$272))*('Assumptions - Passenger'!J275/'Assumptions - Passenger'!I275)),0),0)</f>
        <v>760.77361125937534</v>
      </c>
      <c r="K682" s="12">
        <f>IF(AND(OR(K$17=1,K$18=1),'Assumptions - Passenger'!$E$270&gt;0),IF('Assumptions - Passenger'!K18&gt;0,((J682*(1+((SUM(K$633:K$635))/(SUM(J$633:J$635))-1)*'Assumptions - Passenger'!$E$272))*('Assumptions - Passenger'!K275/'Assumptions - Passenger'!J275)),0),0)</f>
        <v>820.91095386368795</v>
      </c>
      <c r="L682" s="12">
        <f>IF(AND(OR(L$17=1,L$18=1),'Assumptions - Passenger'!$E$270&gt;0),IF('Assumptions - Passenger'!L18&gt;0,((K682*(1+((SUM(L$633:L$635))/(SUM(K$633:K$635))-1)*'Assumptions - Passenger'!$E$272))*('Assumptions - Passenger'!L275/'Assumptions - Passenger'!K275)),0),0)</f>
        <v>883.97184077412578</v>
      </c>
      <c r="M682" s="12">
        <f>IF(AND(OR(M$17=1,M$18=1),'Assumptions - Passenger'!$E$270&gt;0),IF('Assumptions - Passenger'!M18&gt;0,((L682*(1+((SUM(M$633:M$635))/(SUM(L$633:L$635))-1)*'Assumptions - Passenger'!$E$272))*('Assumptions - Passenger'!M275/'Assumptions - Passenger'!L275)),0),0)</f>
        <v>950.07756104071257</v>
      </c>
      <c r="N682" s="12">
        <f>IF(AND(OR(N$17=1,N$18=1),'Assumptions - Passenger'!$E$270&gt;0),IF('Assumptions - Passenger'!N18&gt;0,((M682*(1+((SUM(N$633:N$635))/(SUM(M$633:M$635))-1)*'Assumptions - Passenger'!$E$272))*('Assumptions - Passenger'!N275/'Assumptions - Passenger'!M275)),0),0)</f>
        <v>1019.354049866598</v>
      </c>
      <c r="O682" s="12">
        <f>IF(AND(OR(O$17=1,O$18=1),'Assumptions - Passenger'!$E$270&gt;0),IF('Assumptions - Passenger'!O18&gt;0,((N682*(1+((SUM(O$633:O$635))/(SUM(N$633:N$635))-1)*'Assumptions - Passenger'!$E$272))*('Assumptions - Passenger'!O275/'Assumptions - Passenger'!N275)),0),0)</f>
        <v>1091.9320582170997</v>
      </c>
      <c r="P682" s="12">
        <f>IF(AND(OR(P$17=1,P$18=1),'Assumptions - Passenger'!$E$270&gt;0),IF('Assumptions - Passenger'!P18&gt;0,((O682*(1+((SUM(P$633:P$635))/(SUM(O$633:O$635))-1)*'Assumptions - Passenger'!$E$272))*('Assumptions - Passenger'!P275/'Assumptions - Passenger'!O275)),0),0)</f>
        <v>1167.9473284237517</v>
      </c>
      <c r="Q682" s="12">
        <f>IF(AND(OR(Q$17=1,Q$18=1),'Assumptions - Passenger'!$E$270&gt;0),IF('Assumptions - Passenger'!Q18&gt;0,((P682*(1+((SUM(Q$633:Q$635))/(SUM(P$633:P$635))-1)*'Assumptions - Passenger'!$E$272))*('Assumptions - Passenger'!Q275/'Assumptions - Passenger'!P275)),0),0)</f>
        <v>1247.5407759904074</v>
      </c>
      <c r="R682" s="12">
        <f>IF(AND(OR(R$17=1,R$18=1),'Assumptions - Passenger'!$E$270&gt;0),IF('Assumptions - Passenger'!R18&gt;0,((Q682*(1+((SUM(R$633:R$635))/(SUM(Q$633:Q$635))-1)*'Assumptions - Passenger'!$E$272))*('Assumptions - Passenger'!R275/'Assumptions - Passenger'!Q275)),0),0)</f>
        <v>1330.8586778154811</v>
      </c>
      <c r="S682" s="12">
        <f>IF(AND(OR(S$17=1,S$18=1),'Assumptions - Passenger'!$E$270&gt;0),IF('Assumptions - Passenger'!S18&gt;0,((R682*(1+((SUM(S$633:S$635))/(SUM(R$633:R$635))-1)*'Assumptions - Passenger'!$E$272))*('Assumptions - Passenger'!S275/'Assumptions - Passenger'!R275)),0),0)</f>
        <v>1418.0528670516678</v>
      </c>
      <c r="T682" s="12">
        <f>IF(AND(OR(T$17=1,T$18=1),'Assumptions - Passenger'!$E$270&gt;0),IF('Assumptions - Passenger'!T18&gt;0,((S682*(1+((SUM(T$633:T$635))/(SUM(S$633:S$635))-1)*'Assumptions - Passenger'!$E$272))*('Assumptions - Passenger'!T275/'Assumptions - Passenger'!S275)),0),0)</f>
        <v>1509.280934831992</v>
      </c>
      <c r="U682" s="12">
        <f>IF(AND(OR(U$17=1,U$18=1),'Assumptions - Passenger'!$E$270&gt;0),IF('Assumptions - Passenger'!U18&gt;0,((T682*(1+((SUM(U$633:U$635))/(SUM(T$633:T$635))-1)*'Assumptions - Passenger'!$E$272))*('Assumptions - Passenger'!U275/'Assumptions - Passenger'!T275)),0),0)</f>
        <v>1604.7064390987891</v>
      </c>
      <c r="V682" s="12">
        <f>IF(AND(OR(V$17=1,V$18=1),'Assumptions - Passenger'!$E$270&gt;0),IF('Assumptions - Passenger'!V18&gt;0,((U682*(1+((SUM(V$633:V$635))/(SUM(U$633:U$635))-1)*'Assumptions - Passenger'!$E$272))*('Assumptions - Passenger'!V275/'Assumptions - Passenger'!U275)),0),0)</f>
        <v>1704.499120780245</v>
      </c>
      <c r="W682" s="12">
        <f>IF(AND(OR(W$17=1,W$18=1),'Assumptions - Passenger'!$E$270&gt;0),IF('Assumptions - Passenger'!W18&gt;0,((V682*(1+((SUM(W$633:W$635))/(SUM(V$633:V$635))-1)*'Assumptions - Passenger'!$E$272))*('Assumptions - Passenger'!W275/'Assumptions - Passenger'!V275)),0),0)</f>
        <v>1808.8351275673995</v>
      </c>
      <c r="X682" s="12">
        <f>IF(AND(OR(X$17=1,X$18=1),'Assumptions - Passenger'!$E$270&gt;0),IF('Assumptions - Passenger'!X18&gt;0,((W682*(1+((SUM(X$633:X$635))/(SUM(W$633:W$635))-1)*'Assumptions - Passenger'!$E$272))*('Assumptions - Passenger'!X275/'Assumptions - Passenger'!W275)),0),0)</f>
        <v>1917.8972455530807</v>
      </c>
      <c r="Y682" s="12">
        <f>IF(AND(OR(Y$17=1,Y$18=1),'Assumptions - Passenger'!$E$270&gt;0),IF('Assumptions - Passenger'!Y18&gt;0,((X682*(1+((SUM(Y$633:Y$635))/(SUM(X$633:X$635))-1)*'Assumptions - Passenger'!$E$272))*('Assumptions - Passenger'!Y275/'Assumptions - Passenger'!X275)),0),0)</f>
        <v>2031.875139003092</v>
      </c>
      <c r="Z682" s="12">
        <f>IF(AND(OR(Z$17=1,Z$18=1),'Assumptions - Passenger'!$E$270&gt;0),IF('Assumptions - Passenger'!Z18&gt;0,((Y682*(1+((SUM(Z$633:Z$635))/(SUM(Y$633:Y$635))-1)*'Assumptions - Passenger'!$E$272))*('Assumptions - Passenger'!Z275/'Assumptions - Passenger'!Y275)),0),0)</f>
        <v>2150.9655985391064</v>
      </c>
      <c r="AA682" s="12">
        <f>IF(AND(OR(AA$17=1,AA$18=1),'Assumptions - Passenger'!$E$270&gt;0),IF('Assumptions - Passenger'!AA18&gt;0,((Z682*(1+((SUM(AA$633:AA$635))/(SUM(Z$633:Z$635))-1)*'Assumptions - Passenger'!$E$272))*('Assumptions - Passenger'!AA275/'Assumptions - Passenger'!Z275)),0),0)</f>
        <v>2275.3727980221793</v>
      </c>
      <c r="AB682" s="12">
        <f>IF(AND(OR(AB$17=1,AB$18=1),'Assumptions - Passenger'!$E$270&gt;0),IF('Assumptions - Passenger'!AB18&gt;0,((AA682*(1+((SUM(AB$633:AB$635))/(SUM(AA$633:AA$635))-1)*'Assumptions - Passenger'!$E$272))*('Assumptions - Passenger'!AB275/'Assumptions - Passenger'!AA275)),0),0)</f>
        <v>2405.308560435551</v>
      </c>
      <c r="AC682" s="12">
        <f>IF(AND(OR(AC$17=1,AC$18=1),'Assumptions - Passenger'!$E$270&gt;0),IF('Assumptions - Passenger'!AC18&gt;0,((AB682*(1+((SUM(AC$633:AC$635))/(SUM(AB$633:AB$635))-1)*'Assumptions - Passenger'!$E$272))*('Assumptions - Passenger'!AC275/'Assumptions - Passenger'!AB275)),0),0)</f>
        <v>2540.9926330755052</v>
      </c>
      <c r="AD682" s="12">
        <f>IF(AND(OR(AD$17=1,AD$18=1),'Assumptions - Passenger'!$E$270&gt;0),IF('Assumptions - Passenger'!AD18&gt;0,((AC682*(1+((SUM(AD$633:AD$635))/(SUM(AC$633:AC$635))-1)*'Assumptions - Passenger'!$E$272))*('Assumptions - Passenger'!AD275/'Assumptions - Passenger'!AC275)),0),0)</f>
        <v>2682.6529723694644</v>
      </c>
      <c r="AE682" s="12">
        <f>IF(AND(OR(AE$17=1,AE$18=1),'Assumptions - Passenger'!$E$270&gt;0),IF('Assumptions - Passenger'!AE18&gt;0,((AD682*(1+((SUM(AE$633:AE$635))/(SUM(AD$633:AD$635))-1)*'Assumptions - Passenger'!$E$272))*('Assumptions - Passenger'!AE275/'Assumptions - Passenger'!AD275)),0),0)</f>
        <v>2830.5260386512932</v>
      </c>
      <c r="AF682" s="12">
        <f>IF(AND(OR(AF$17=1,AF$18=1),'Assumptions - Passenger'!$E$270&gt;0),IF('Assumptions - Passenger'!AF18&gt;0,((AE682*(1+((SUM(AF$633:AF$635))/(SUM(AE$633:AE$635))-1)*'Assumptions - Passenger'!$E$272))*('Assumptions - Passenger'!AF275/'Assumptions - Passenger'!AE275)),0),0)</f>
        <v>2984.8571012348993</v>
      </c>
      <c r="AG682" s="12">
        <f>IF(AND(OR(AG$17=1,AG$18=1),'Assumptions - Passenger'!$E$270&gt;0),IF('Assumptions - Passenger'!AG18&gt;0,((AF682*(1+((SUM(AG$633:AG$635))/(SUM(AF$633:AF$635))-1)*'Assumptions - Passenger'!$E$272))*('Assumptions - Passenger'!AG275/'Assumptions - Passenger'!AF275)),0),0)</f>
        <v>3145.900554138736</v>
      </c>
      <c r="AH682" s="12">
        <f>IF(AND(OR(AH$17=1,AH$18=1),'Assumptions - Passenger'!$E$270&gt;0),IF('Assumptions - Passenger'!AH18&gt;0,((AG682*(1+((SUM(AH$633:AH$635))/(SUM(AG$633:AG$635))-1)*'Assumptions - Passenger'!$E$272))*('Assumptions - Passenger'!AH275/'Assumptions - Passenger'!AG275)),0),0)</f>
        <v>3313.9202428256913</v>
      </c>
    </row>
    <row r="683" spans="1:34" s="20" customFormat="1" ht="14" x14ac:dyDescent="0.2">
      <c r="A683" s="8"/>
      <c r="B683" s="30" t="s">
        <v>297</v>
      </c>
      <c r="C683" s="8"/>
      <c r="D683" s="8" t="s">
        <v>15</v>
      </c>
      <c r="E683" s="128" t="str">
        <f>IF(E17=1,IF(AND(($E$4+SUM($F$17:$AH$17))=E$4,$E$682&gt;0),(E682/$E682)^(1/SUM($F$17:$AH$17))-1," ")," ")</f>
        <v xml:space="preserve"> </v>
      </c>
      <c r="F683" s="128" t="str">
        <f t="shared" ref="F683:AH683" si="272">IF(F17=1,IF(AND(($E$4+SUM($F$17:$AH$17))=F$4,$E$682&gt;0),(F682/$E682)^(1/SUM($F$17:$AH$17))-1," ")," ")</f>
        <v xml:space="preserve"> </v>
      </c>
      <c r="G683" s="128" t="str">
        <f t="shared" si="272"/>
        <v xml:space="preserve"> </v>
      </c>
      <c r="H683" s="128" t="str">
        <f t="shared" si="272"/>
        <v xml:space="preserve"> </v>
      </c>
      <c r="I683" s="128" t="str">
        <f t="shared" si="272"/>
        <v xml:space="preserve"> </v>
      </c>
      <c r="J683" s="128" t="str">
        <f t="shared" si="272"/>
        <v xml:space="preserve"> </v>
      </c>
      <c r="K683" s="128" t="str">
        <f t="shared" si="272"/>
        <v xml:space="preserve"> </v>
      </c>
      <c r="L683" s="128" t="str">
        <f t="shared" si="272"/>
        <v xml:space="preserve"> </v>
      </c>
      <c r="M683" s="128" t="str">
        <f t="shared" si="272"/>
        <v xml:space="preserve"> </v>
      </c>
      <c r="N683" s="128" t="str">
        <f t="shared" si="272"/>
        <v xml:space="preserve"> </v>
      </c>
      <c r="O683" s="128" t="str">
        <f t="shared" si="272"/>
        <v xml:space="preserve"> </v>
      </c>
      <c r="P683" s="128" t="str">
        <f t="shared" si="272"/>
        <v xml:space="preserve"> </v>
      </c>
      <c r="Q683" s="128" t="str">
        <f t="shared" si="272"/>
        <v xml:space="preserve"> </v>
      </c>
      <c r="R683" s="128" t="str">
        <f t="shared" si="272"/>
        <v xml:space="preserve"> </v>
      </c>
      <c r="S683" s="128" t="str">
        <f t="shared" si="272"/>
        <v xml:space="preserve"> </v>
      </c>
      <c r="T683" s="128" t="str">
        <f t="shared" si="272"/>
        <v xml:space="preserve"> </v>
      </c>
      <c r="U683" s="128" t="str">
        <f t="shared" si="272"/>
        <v xml:space="preserve"> </v>
      </c>
      <c r="V683" s="128" t="str">
        <f t="shared" si="272"/>
        <v xml:space="preserve"> </v>
      </c>
      <c r="W683" s="128" t="str">
        <f t="shared" si="272"/>
        <v xml:space="preserve"> </v>
      </c>
      <c r="X683" s="128" t="str">
        <f t="shared" si="272"/>
        <v xml:space="preserve"> </v>
      </c>
      <c r="Y683" s="128" t="str">
        <f t="shared" si="272"/>
        <v xml:space="preserve"> </v>
      </c>
      <c r="Z683" s="128" t="str">
        <f t="shared" si="272"/>
        <v xml:space="preserve"> </v>
      </c>
      <c r="AA683" s="128" t="str">
        <f t="shared" si="272"/>
        <v xml:space="preserve"> </v>
      </c>
      <c r="AB683" s="128" t="str">
        <f t="shared" si="272"/>
        <v xml:space="preserve"> </v>
      </c>
      <c r="AC683" s="128" t="str">
        <f t="shared" si="272"/>
        <v xml:space="preserve"> </v>
      </c>
      <c r="AD683" s="128" t="str">
        <f t="shared" si="272"/>
        <v xml:space="preserve"> </v>
      </c>
      <c r="AE683" s="128" t="str">
        <f t="shared" si="272"/>
        <v xml:space="preserve"> </v>
      </c>
      <c r="AF683" s="128" t="str">
        <f t="shared" si="272"/>
        <v xml:space="preserve"> </v>
      </c>
      <c r="AG683" s="128" t="str">
        <f t="shared" si="272"/>
        <v xml:space="preserve"> </v>
      </c>
      <c r="AH683" s="128">
        <f t="shared" si="272"/>
        <v>6.7390108925639902E-2</v>
      </c>
    </row>
    <row r="684" spans="1:34" s="20" customFormat="1" ht="14" x14ac:dyDescent="0.2">
      <c r="A684" s="8"/>
      <c r="B684" s="8" t="s">
        <v>218</v>
      </c>
      <c r="C684" s="8"/>
      <c r="D684" s="8" t="str">
        <f>'Assumptions - General'!$E$27 &amp;" millions"</f>
        <v>R$ millions</v>
      </c>
      <c r="E684" s="463">
        <f>IF(OR(E$17=1,E$18=1),IF($D$613=1,$D$614*'Assumptions - Passenger'!E279,'Assumptions - Passenger'!E279),0)</f>
        <v>500</v>
      </c>
      <c r="F684" s="12">
        <f>IF(AND(OR(F$17=1,F$18=1),'Assumptions - Passenger'!$E$279&gt;0),IF('Assumptions - Passenger'!F16&gt;0,((E684*(1+((SUM(F$638:F$640))/(SUM(E$638:E$640))-1)*'Assumptions - Passenger'!$E$281))*('Assumptions - Passenger'!F284/'Assumptions - Passenger'!E284)),0),0)</f>
        <v>547.1875</v>
      </c>
      <c r="G684" s="12">
        <f>IF(AND(OR(G$17=1,G$18=1),'Assumptions - Passenger'!$E$279&gt;0),IF('Assumptions - Passenger'!G16&gt;0,((F684*(1+((SUM(G$638:G$640))/(SUM(F$638:F$640))-1)*'Assumptions - Passenger'!$E$281))*('Assumptions - Passenger'!G284/'Assumptions - Passenger'!F284)),0),0)</f>
        <v>563.60312499999998</v>
      </c>
      <c r="H684" s="12">
        <f>IF(AND(OR(H$17=1,H$18=1),'Assumptions - Passenger'!$E$279&gt;0),IF('Assumptions - Passenger'!H16&gt;0,((G684*(1+((SUM(H$638:H$640))/(SUM(G$638:G$640))-1)*'Assumptions - Passenger'!$E$281))*('Assumptions - Passenger'!H284/'Assumptions - Passenger'!G284)),0),0)</f>
        <v>614.65893750000009</v>
      </c>
      <c r="I684" s="12">
        <f>IF(AND(OR(I$17=1,I$18=1),'Assumptions - Passenger'!$E$279&gt;0),IF('Assumptions - Passenger'!I16&gt;0,((H684*(1+((SUM(I$638:I$640))/(SUM(H$638:H$640))-1)*'Assumptions - Passenger'!$E$281))*('Assumptions - Passenger'!I284/'Assumptions - Passenger'!H284)),0),0)</f>
        <v>703.44300625000017</v>
      </c>
      <c r="J684" s="12">
        <f>IF(AND(OR(J$17=1,J$18=1),'Assumptions - Passenger'!$E$279&gt;0),IF('Assumptions - Passenger'!J16&gt;0,((I684*(1+((SUM(J$638:J$640))/(SUM(I$638:I$640))-1)*'Assumptions - Passenger'!$E$281))*('Assumptions - Passenger'!J284/'Assumptions - Passenger'!I284)),0),0)</f>
        <v>760.77361125937534</v>
      </c>
      <c r="K684" s="12">
        <f>IF(AND(OR(K$17=1,K$18=1),'Assumptions - Passenger'!$E$279&gt;0),IF('Assumptions - Passenger'!K16&gt;0,((J684*(1+((SUM(K$638:K$640))/(SUM(J$638:J$640))-1)*'Assumptions - Passenger'!$E$281))*('Assumptions - Passenger'!K284/'Assumptions - Passenger'!J284)),0),0)</f>
        <v>820.91095386368795</v>
      </c>
      <c r="L684" s="12">
        <f>IF(AND(OR(L$17=1,L$18=1),'Assumptions - Passenger'!$E$279&gt;0),IF('Assumptions - Passenger'!L16&gt;0,((K684*(1+((SUM(L$638:L$640))/(SUM(K$638:K$640))-1)*'Assumptions - Passenger'!$E$281))*('Assumptions - Passenger'!L284/'Assumptions - Passenger'!K284)),0),0)</f>
        <v>883.97184077412578</v>
      </c>
      <c r="M684" s="12">
        <f>IF(AND(OR(M$17=1,M$18=1),'Assumptions - Passenger'!$E$279&gt;0),IF('Assumptions - Passenger'!M16&gt;0,((L684*(1+((SUM(M$638:M$640))/(SUM(L$638:L$640))-1)*'Assumptions - Passenger'!$E$281))*('Assumptions - Passenger'!M284/'Assumptions - Passenger'!L284)),0),0)</f>
        <v>950.07756104071257</v>
      </c>
      <c r="N684" s="12">
        <f>IF(AND(OR(N$17=1,N$18=1),'Assumptions - Passenger'!$E$279&gt;0),IF('Assumptions - Passenger'!N16&gt;0,((M684*(1+((SUM(N$638:N$640))/(SUM(M$638:M$640))-1)*'Assumptions - Passenger'!$E$281))*('Assumptions - Passenger'!N284/'Assumptions - Passenger'!M284)),0),0)</f>
        <v>1019.354049866598</v>
      </c>
      <c r="O684" s="12">
        <f>IF(AND(OR(O$17=1,O$18=1),'Assumptions - Passenger'!$E$279&gt;0),IF('Assumptions - Passenger'!O16&gt;0,((N684*(1+((SUM(O$638:O$640))/(SUM(N$638:N$640))-1)*'Assumptions - Passenger'!$E$281))*('Assumptions - Passenger'!O284/'Assumptions - Passenger'!N284)),0),0)</f>
        <v>1091.9320582170997</v>
      </c>
      <c r="P684" s="12">
        <f>IF(AND(OR(P$17=1,P$18=1),'Assumptions - Passenger'!$E$279&gt;0),IF('Assumptions - Passenger'!P16&gt;0,((O684*(1+((SUM(P$638:P$640))/(SUM(O$638:O$640))-1)*'Assumptions - Passenger'!$E$281))*('Assumptions - Passenger'!P284/'Assumptions - Passenger'!O284)),0),0)</f>
        <v>1167.9473284237517</v>
      </c>
      <c r="Q684" s="12">
        <f>IF(AND(OR(Q$17=1,Q$18=1),'Assumptions - Passenger'!$E$279&gt;0),IF('Assumptions - Passenger'!Q16&gt;0,((P684*(1+((SUM(Q$638:Q$640))/(SUM(P$638:P$640))-1)*'Assumptions - Passenger'!$E$281))*('Assumptions - Passenger'!Q284/'Assumptions - Passenger'!P284)),0),0)</f>
        <v>1247.5407759904074</v>
      </c>
      <c r="R684" s="12">
        <f>IF(AND(OR(R$17=1,R$18=1),'Assumptions - Passenger'!$E$279&gt;0),IF('Assumptions - Passenger'!R16&gt;0,((Q684*(1+((SUM(R$638:R$640))/(SUM(Q$638:Q$640))-1)*'Assumptions - Passenger'!$E$281))*('Assumptions - Passenger'!R284/'Assumptions - Passenger'!Q284)),0),0)</f>
        <v>1330.8586778154811</v>
      </c>
      <c r="S684" s="12">
        <f>IF(AND(OR(S$17=1,S$18=1),'Assumptions - Passenger'!$E$279&gt;0),IF('Assumptions - Passenger'!S16&gt;0,((R684*(1+((SUM(S$638:S$640))/(SUM(R$638:R$640))-1)*'Assumptions - Passenger'!$E$281))*('Assumptions - Passenger'!S284/'Assumptions - Passenger'!R284)),0),0)</f>
        <v>1418.0528670516678</v>
      </c>
      <c r="T684" s="12">
        <f>IF(AND(OR(T$17=1,T$18=1),'Assumptions - Passenger'!$E$279&gt;0),IF('Assumptions - Passenger'!T16&gt;0,((S684*(1+((SUM(T$638:T$640))/(SUM(S$638:S$640))-1)*'Assumptions - Passenger'!$E$281))*('Assumptions - Passenger'!T284/'Assumptions - Passenger'!S284)),0),0)</f>
        <v>1509.280934831992</v>
      </c>
      <c r="U684" s="12">
        <f>IF(AND(OR(U$17=1,U$18=1),'Assumptions - Passenger'!$E$279&gt;0),IF('Assumptions - Passenger'!U16&gt;0,((T684*(1+((SUM(U$638:U$640))/(SUM(T$638:T$640))-1)*'Assumptions - Passenger'!$E$281))*('Assumptions - Passenger'!U284/'Assumptions - Passenger'!T284)),0),0)</f>
        <v>1604.7064390987891</v>
      </c>
      <c r="V684" s="12">
        <f>IF(AND(OR(V$17=1,V$18=1),'Assumptions - Passenger'!$E$279&gt;0),IF('Assumptions - Passenger'!V16&gt;0,((U684*(1+((SUM(V$638:V$640))/(SUM(U$638:U$640))-1)*'Assumptions - Passenger'!$E$281))*('Assumptions - Passenger'!V284/'Assumptions - Passenger'!U284)),0),0)</f>
        <v>1704.499120780245</v>
      </c>
      <c r="W684" s="12">
        <f>IF(AND(OR(W$17=1,W$18=1),'Assumptions - Passenger'!$E$279&gt;0),IF('Assumptions - Passenger'!W16&gt;0,((V684*(1+((SUM(W$638:W$640))/(SUM(V$638:V$640))-1)*'Assumptions - Passenger'!$E$281))*('Assumptions - Passenger'!W284/'Assumptions - Passenger'!V284)),0),0)</f>
        <v>1808.8351275673995</v>
      </c>
      <c r="X684" s="12">
        <f>IF(AND(OR(X$17=1,X$18=1),'Assumptions - Passenger'!$E$279&gt;0),IF('Assumptions - Passenger'!X16&gt;0,((W684*(1+((SUM(X$638:X$640))/(SUM(W$638:W$640))-1)*'Assumptions - Passenger'!$E$281))*('Assumptions - Passenger'!X284/'Assumptions - Passenger'!W284)),0),0)</f>
        <v>1917.8972455530807</v>
      </c>
      <c r="Y684" s="12">
        <f>IF(AND(OR(Y$17=1,Y$18=1),'Assumptions - Passenger'!$E$279&gt;0),IF('Assumptions - Passenger'!Y16&gt;0,((X684*(1+((SUM(Y$638:Y$640))/(SUM(X$638:X$640))-1)*'Assumptions - Passenger'!$E$281))*('Assumptions - Passenger'!Y284/'Assumptions - Passenger'!X284)),0),0)</f>
        <v>2031.875139003092</v>
      </c>
      <c r="Z684" s="12">
        <f>IF(AND(OR(Z$17=1,Z$18=1),'Assumptions - Passenger'!$E$279&gt;0),IF('Assumptions - Passenger'!Z16&gt;0,((Y684*(1+((SUM(Z$638:Z$640))/(SUM(Y$638:Y$640))-1)*'Assumptions - Passenger'!$E$281))*('Assumptions - Passenger'!Z284/'Assumptions - Passenger'!Y284)),0),0)</f>
        <v>2150.9655985391064</v>
      </c>
      <c r="AA684" s="12">
        <f>IF(AND(OR(AA$17=1,AA$18=1),'Assumptions - Passenger'!$E$279&gt;0),IF('Assumptions - Passenger'!AA16&gt;0,((Z684*(1+((SUM(AA$638:AA$640))/(SUM(Z$638:Z$640))-1)*'Assumptions - Passenger'!$E$281))*('Assumptions - Passenger'!AA284/'Assumptions - Passenger'!Z284)),0),0)</f>
        <v>2275.3727980221793</v>
      </c>
      <c r="AB684" s="12">
        <f>IF(AND(OR(AB$17=1,AB$18=1),'Assumptions - Passenger'!$E$279&gt;0),IF('Assumptions - Passenger'!AB16&gt;0,((AA684*(1+((SUM(AB$638:AB$640))/(SUM(AA$638:AA$640))-1)*'Assumptions - Passenger'!$E$281))*('Assumptions - Passenger'!AB284/'Assumptions - Passenger'!AA284)),0),0)</f>
        <v>2405.308560435551</v>
      </c>
      <c r="AC684" s="12">
        <f>IF(AND(OR(AC$17=1,AC$18=1),'Assumptions - Passenger'!$E$279&gt;0),IF('Assumptions - Passenger'!AC16&gt;0,((AB684*(1+((SUM(AC$638:AC$640))/(SUM(AB$638:AB$640))-1)*'Assumptions - Passenger'!$E$281))*('Assumptions - Passenger'!AC284/'Assumptions - Passenger'!AB284)),0),0)</f>
        <v>2540.9926330755052</v>
      </c>
      <c r="AD684" s="12">
        <f>IF(AND(OR(AD$17=1,AD$18=1),'Assumptions - Passenger'!$E$279&gt;0),IF('Assumptions - Passenger'!AD16&gt;0,((AC684*(1+((SUM(AD$638:AD$640))/(SUM(AC$638:AC$640))-1)*'Assumptions - Passenger'!$E$281))*('Assumptions - Passenger'!AD284/'Assumptions - Passenger'!AC284)),0),0)</f>
        <v>2682.6529723694644</v>
      </c>
      <c r="AE684" s="12">
        <f>IF(AND(OR(AE$17=1,AE$18=1),'Assumptions - Passenger'!$E$279&gt;0),IF('Assumptions - Passenger'!AE16&gt;0,((AD684*(1+((SUM(AE$638:AE$640))/(SUM(AD$638:AD$640))-1)*'Assumptions - Passenger'!$E$281))*('Assumptions - Passenger'!AE284/'Assumptions - Passenger'!AD284)),0),0)</f>
        <v>2830.5260386512932</v>
      </c>
      <c r="AF684" s="12">
        <f>IF(AND(OR(AF$17=1,AF$18=1),'Assumptions - Passenger'!$E$279&gt;0),IF('Assumptions - Passenger'!AF16&gt;0,((AE684*(1+((SUM(AF$638:AF$640))/(SUM(AE$638:AE$640))-1)*'Assumptions - Passenger'!$E$281))*('Assumptions - Passenger'!AF284/'Assumptions - Passenger'!AE284)),0),0)</f>
        <v>2984.8571012348993</v>
      </c>
      <c r="AG684" s="12">
        <f>IF(AND(OR(AG$17=1,AG$18=1),'Assumptions - Passenger'!$E$279&gt;0),IF('Assumptions - Passenger'!AG16&gt;0,((AF684*(1+((SUM(AG$638:AG$640))/(SUM(AF$638:AF$640))-1)*'Assumptions - Passenger'!$E$281))*('Assumptions - Passenger'!AG284/'Assumptions - Passenger'!AF284)),0),0)</f>
        <v>3145.900554138736</v>
      </c>
      <c r="AH684" s="12">
        <f>IF(AND(OR(AH$17=1,AH$18=1),'Assumptions - Passenger'!$E$279&gt;0),IF('Assumptions - Passenger'!AH16&gt;0,((AG684*(1+((SUM(AH$638:AH$640))/(SUM(AG$638:AG$640))-1)*'Assumptions - Passenger'!$E$281))*('Assumptions - Passenger'!AH284/'Assumptions - Passenger'!AG284)),0),0)</f>
        <v>3313.9202428256913</v>
      </c>
    </row>
    <row r="685" spans="1:34" s="20" customFormat="1" ht="14" x14ac:dyDescent="0.2">
      <c r="A685" s="8"/>
      <c r="B685" s="30" t="s">
        <v>297</v>
      </c>
      <c r="C685" s="8"/>
      <c r="D685" s="8" t="s">
        <v>15</v>
      </c>
      <c r="E685" s="128" t="str">
        <f>IF(E17=1,IF(AND(($E$4+SUM($F$17:$AH$17))=E$4,$E$684&gt;0),(E684/$E684)^(1/SUM($F$17:$AH$17))-1," ")," ")</f>
        <v xml:space="preserve"> </v>
      </c>
      <c r="F685" s="128" t="str">
        <f t="shared" ref="F685:AH685" si="273">IF(F17=1,IF(AND(($E$4+SUM($F$17:$AH$17))=F$4,$E$684&gt;0),(F684/$E684)^(1/SUM($F$17:$AH$17))-1," ")," ")</f>
        <v xml:space="preserve"> </v>
      </c>
      <c r="G685" s="128" t="str">
        <f t="shared" si="273"/>
        <v xml:space="preserve"> </v>
      </c>
      <c r="H685" s="128" t="str">
        <f t="shared" si="273"/>
        <v xml:space="preserve"> </v>
      </c>
      <c r="I685" s="128" t="str">
        <f t="shared" si="273"/>
        <v xml:space="preserve"> </v>
      </c>
      <c r="J685" s="128" t="str">
        <f t="shared" si="273"/>
        <v xml:space="preserve"> </v>
      </c>
      <c r="K685" s="128" t="str">
        <f t="shared" si="273"/>
        <v xml:space="preserve"> </v>
      </c>
      <c r="L685" s="128" t="str">
        <f t="shared" si="273"/>
        <v xml:space="preserve"> </v>
      </c>
      <c r="M685" s="128" t="str">
        <f t="shared" si="273"/>
        <v xml:space="preserve"> </v>
      </c>
      <c r="N685" s="128" t="str">
        <f t="shared" si="273"/>
        <v xml:space="preserve"> </v>
      </c>
      <c r="O685" s="128" t="str">
        <f t="shared" si="273"/>
        <v xml:space="preserve"> </v>
      </c>
      <c r="P685" s="128" t="str">
        <f t="shared" si="273"/>
        <v xml:space="preserve"> </v>
      </c>
      <c r="Q685" s="128" t="str">
        <f t="shared" si="273"/>
        <v xml:space="preserve"> </v>
      </c>
      <c r="R685" s="128" t="str">
        <f t="shared" si="273"/>
        <v xml:space="preserve"> </v>
      </c>
      <c r="S685" s="128" t="str">
        <f t="shared" si="273"/>
        <v xml:space="preserve"> </v>
      </c>
      <c r="T685" s="128" t="str">
        <f t="shared" si="273"/>
        <v xml:space="preserve"> </v>
      </c>
      <c r="U685" s="128" t="str">
        <f t="shared" si="273"/>
        <v xml:space="preserve"> </v>
      </c>
      <c r="V685" s="128" t="str">
        <f t="shared" si="273"/>
        <v xml:space="preserve"> </v>
      </c>
      <c r="W685" s="128" t="str">
        <f t="shared" si="273"/>
        <v xml:space="preserve"> </v>
      </c>
      <c r="X685" s="128" t="str">
        <f t="shared" si="273"/>
        <v xml:space="preserve"> </v>
      </c>
      <c r="Y685" s="128" t="str">
        <f t="shared" si="273"/>
        <v xml:space="preserve"> </v>
      </c>
      <c r="Z685" s="128" t="str">
        <f t="shared" si="273"/>
        <v xml:space="preserve"> </v>
      </c>
      <c r="AA685" s="128" t="str">
        <f t="shared" si="273"/>
        <v xml:space="preserve"> </v>
      </c>
      <c r="AB685" s="128" t="str">
        <f t="shared" si="273"/>
        <v xml:space="preserve"> </v>
      </c>
      <c r="AC685" s="128" t="str">
        <f t="shared" si="273"/>
        <v xml:space="preserve"> </v>
      </c>
      <c r="AD685" s="128" t="str">
        <f t="shared" si="273"/>
        <v xml:space="preserve"> </v>
      </c>
      <c r="AE685" s="128" t="str">
        <f t="shared" si="273"/>
        <v xml:space="preserve"> </v>
      </c>
      <c r="AF685" s="128" t="str">
        <f t="shared" si="273"/>
        <v xml:space="preserve"> </v>
      </c>
      <c r="AG685" s="128" t="str">
        <f t="shared" si="273"/>
        <v xml:space="preserve"> </v>
      </c>
      <c r="AH685" s="128">
        <f t="shared" si="273"/>
        <v>6.7390108925639902E-2</v>
      </c>
    </row>
    <row r="686" spans="1:34" s="20" customFormat="1" ht="14" x14ac:dyDescent="0.2">
      <c r="A686" s="8"/>
      <c r="B686" s="8" t="s">
        <v>42</v>
      </c>
      <c r="C686" s="8"/>
      <c r="D686" s="8" t="str">
        <f>'Assumptions - General'!$E$27 &amp;" millions"</f>
        <v>R$ millions</v>
      </c>
      <c r="E686" s="463">
        <f>IF(OR(E$17=1,E$18=1),'Assumptions - Passenger'!E288,0)</f>
        <v>500</v>
      </c>
      <c r="F686" s="12">
        <f>IF(OR(F$17=1,F$18=1),'Assumptions - Passenger'!F289*'Assumptions - Passenger'!F294/1000000,0)</f>
        <v>515</v>
      </c>
      <c r="G686" s="12">
        <f>IF(OR(G$17=1,G$18=1),'Assumptions - Passenger'!G289*'Assumptions - Passenger'!G294/1000000,0)</f>
        <v>530.45000000000005</v>
      </c>
      <c r="H686" s="12">
        <f>IF(OR(H$17=1,H$18=1),'Assumptions - Passenger'!H289*'Assumptions - Passenger'!H294/1000000,0)</f>
        <v>546.36350000000004</v>
      </c>
      <c r="I686" s="12">
        <f>IF(OR(I$17=1,I$18=1),'Assumptions - Passenger'!I289*'Assumptions - Passenger'!I294/1000000,0)</f>
        <v>562.75440500000002</v>
      </c>
      <c r="J686" s="12">
        <f>IF(OR(J$17=1,J$18=1),'Assumptions - Passenger'!J289*'Assumptions - Passenger'!J294/1000000,0)</f>
        <v>579.63703715000008</v>
      </c>
      <c r="K686" s="12">
        <f>IF(OR(K$17=1,K$18=1),'Assumptions - Passenger'!K289*'Assumptions - Passenger'!K294/1000000,0)</f>
        <v>597.02614826449997</v>
      </c>
      <c r="L686" s="12">
        <f>IF(OR(L$17=1,L$18=1),'Assumptions - Passenger'!L289*'Assumptions - Passenger'!L294/1000000,0)</f>
        <v>614.93693271243512</v>
      </c>
      <c r="M686" s="12">
        <f>IF(OR(M$17=1,M$18=1),'Assumptions - Passenger'!M289*'Assumptions - Passenger'!M294/1000000,0)</f>
        <v>633.38504069380815</v>
      </c>
      <c r="N686" s="12">
        <f>IF(OR(N$17=1,N$18=1),'Assumptions - Passenger'!N289*'Assumptions - Passenger'!N294/1000000,0)</f>
        <v>652.38659191462239</v>
      </c>
      <c r="O686" s="12">
        <f>IF(OR(O$17=1,O$18=1),'Assumptions - Passenger'!O289*'Assumptions - Passenger'!O294/1000000,0)</f>
        <v>671.95818967206105</v>
      </c>
      <c r="P686" s="12">
        <f>IF(OR(P$17=1,P$18=1),'Assumptions - Passenger'!P289*'Assumptions - Passenger'!P294/1000000,0)</f>
        <v>692.11693536222288</v>
      </c>
      <c r="Q686" s="12">
        <f>IF(OR(Q$17=1,Q$18=1),'Assumptions - Passenger'!Q289*'Assumptions - Passenger'!Q294/1000000,0)</f>
        <v>712.88044342308967</v>
      </c>
      <c r="R686" s="12">
        <f>IF(OR(R$17=1,R$18=1),'Assumptions - Passenger'!R289*'Assumptions - Passenger'!R294/1000000,0)</f>
        <v>734.2668567257823</v>
      </c>
      <c r="S686" s="12">
        <f>IF(OR(S$17=1,S$18=1),'Assumptions - Passenger'!S289*'Assumptions - Passenger'!S294/1000000,0)</f>
        <v>756.29486242755581</v>
      </c>
      <c r="T686" s="12">
        <f>IF(OR(T$17=1,T$18=1),'Assumptions - Passenger'!T289*'Assumptions - Passenger'!T294/1000000,0)</f>
        <v>778.98370830038255</v>
      </c>
      <c r="U686" s="12">
        <f>IF(OR(U$17=1,U$18=1),'Assumptions - Passenger'!U289*'Assumptions - Passenger'!U294/1000000,0)</f>
        <v>802.35321954939388</v>
      </c>
      <c r="V686" s="12">
        <f>IF(OR(V$17=1,V$18=1),'Assumptions - Passenger'!V289*'Assumptions - Passenger'!V294/1000000,0)</f>
        <v>826.42381613587577</v>
      </c>
      <c r="W686" s="12">
        <f>IF(OR(W$17=1,W$18=1),'Assumptions - Passenger'!W289*'Assumptions - Passenger'!W294/1000000,0)</f>
        <v>851.2165306199521</v>
      </c>
      <c r="X686" s="12">
        <f>IF(OR(X$17=1,X$18=1),'Assumptions - Passenger'!X289*'Assumptions - Passenger'!X294/1000000,0)</f>
        <v>876.75302653855067</v>
      </c>
      <c r="Y686" s="12">
        <f>IF(OR(Y$17=1,Y$18=1),'Assumptions - Passenger'!Y289*'Assumptions - Passenger'!Y294/1000000,0)</f>
        <v>903.05561733470722</v>
      </c>
      <c r="Z686" s="12">
        <f>IF(OR(Z$17=1,Z$18=1),'Assumptions - Passenger'!Z289*'Assumptions - Passenger'!Z294/1000000,0)</f>
        <v>930.14728585474847</v>
      </c>
      <c r="AA686" s="12">
        <f>IF(OR(AA$17=1,AA$18=1),'Assumptions - Passenger'!AA289*'Assumptions - Passenger'!AA294/1000000,0)</f>
        <v>958.05170443039083</v>
      </c>
      <c r="AB686" s="12">
        <f>IF(OR(AB$17=1,AB$18=1),'Assumptions - Passenger'!AB289*'Assumptions - Passenger'!AB294/1000000,0)</f>
        <v>986.79325556330275</v>
      </c>
      <c r="AC686" s="12">
        <f>IF(OR(AC$17=1,AC$18=1),'Assumptions - Passenger'!AC289*'Assumptions - Passenger'!AC294/1000000,0)</f>
        <v>1016.3970532302019</v>
      </c>
      <c r="AD686" s="12">
        <f>IF(OR(AD$17=1,AD$18=1),'Assumptions - Passenger'!AD289*'Assumptions - Passenger'!AD294/1000000,0)</f>
        <v>1046.8889648271079</v>
      </c>
      <c r="AE686" s="12">
        <f>IF(OR(AE$17=1,AE$18=1),'Assumptions - Passenger'!AE289*'Assumptions - Passenger'!AE294/1000000,0)</f>
        <v>1078.2956337719211</v>
      </c>
      <c r="AF686" s="12">
        <f>IF(OR(AF$17=1,AF$18=1),'Assumptions - Passenger'!AF289*'Assumptions - Passenger'!AF294/1000000,0)</f>
        <v>1110.6445027850787</v>
      </c>
      <c r="AG686" s="12">
        <f>IF(OR(AG$17=1,AG$18=1),'Assumptions - Passenger'!AG289*'Assumptions - Passenger'!AG294/1000000,0)</f>
        <v>1143.9638378686313</v>
      </c>
      <c r="AH686" s="12">
        <f>IF(OR(AH$17=1,AH$18=1),'Assumptions - Passenger'!AH289*'Assumptions - Passenger'!AH294/1000000,0)</f>
        <v>1178.2827530046902</v>
      </c>
    </row>
    <row r="687" spans="1:34" s="20" customFormat="1" ht="14" x14ac:dyDescent="0.2">
      <c r="A687" s="8"/>
      <c r="B687" s="30" t="s">
        <v>297</v>
      </c>
      <c r="C687" s="8"/>
      <c r="D687" s="8" t="s">
        <v>15</v>
      </c>
      <c r="E687" s="128" t="str">
        <f>IF(E17=1,IF(AND(($E$4+SUM($F$17:$AH$17))=E$4,$E$686&gt;0),(E686/$E686)^(1/SUM($F$17:$AH$17))-1," ")," ")</f>
        <v xml:space="preserve"> </v>
      </c>
      <c r="F687" s="128" t="str">
        <f t="shared" ref="F687:AH687" si="274">IF(F17=1,IF(AND(($E$4+SUM($F$17:$AH$17))=F$4,$E$686&gt;0),(F686/$E686)^(1/SUM($F$17:$AH$17))-1," ")," ")</f>
        <v xml:space="preserve"> </v>
      </c>
      <c r="G687" s="128" t="str">
        <f t="shared" si="274"/>
        <v xml:space="preserve"> </v>
      </c>
      <c r="H687" s="128" t="str">
        <f t="shared" si="274"/>
        <v xml:space="preserve"> </v>
      </c>
      <c r="I687" s="128" t="str">
        <f t="shared" si="274"/>
        <v xml:space="preserve"> </v>
      </c>
      <c r="J687" s="128" t="str">
        <f t="shared" si="274"/>
        <v xml:space="preserve"> </v>
      </c>
      <c r="K687" s="128" t="str">
        <f t="shared" si="274"/>
        <v xml:space="preserve"> </v>
      </c>
      <c r="L687" s="128" t="str">
        <f t="shared" si="274"/>
        <v xml:space="preserve"> </v>
      </c>
      <c r="M687" s="128" t="str">
        <f t="shared" si="274"/>
        <v xml:space="preserve"> </v>
      </c>
      <c r="N687" s="128" t="str">
        <f t="shared" si="274"/>
        <v xml:space="preserve"> </v>
      </c>
      <c r="O687" s="128" t="str">
        <f t="shared" si="274"/>
        <v xml:space="preserve"> </v>
      </c>
      <c r="P687" s="128" t="str">
        <f t="shared" si="274"/>
        <v xml:space="preserve"> </v>
      </c>
      <c r="Q687" s="128" t="str">
        <f t="shared" si="274"/>
        <v xml:space="preserve"> </v>
      </c>
      <c r="R687" s="128" t="str">
        <f t="shared" si="274"/>
        <v xml:space="preserve"> </v>
      </c>
      <c r="S687" s="128" t="str">
        <f t="shared" si="274"/>
        <v xml:space="preserve"> </v>
      </c>
      <c r="T687" s="128" t="str">
        <f t="shared" si="274"/>
        <v xml:space="preserve"> </v>
      </c>
      <c r="U687" s="128" t="str">
        <f t="shared" si="274"/>
        <v xml:space="preserve"> </v>
      </c>
      <c r="V687" s="128" t="str">
        <f t="shared" si="274"/>
        <v xml:space="preserve"> </v>
      </c>
      <c r="W687" s="128" t="str">
        <f t="shared" si="274"/>
        <v xml:space="preserve"> </v>
      </c>
      <c r="X687" s="128" t="str">
        <f t="shared" si="274"/>
        <v xml:space="preserve"> </v>
      </c>
      <c r="Y687" s="128" t="str">
        <f t="shared" si="274"/>
        <v xml:space="preserve"> </v>
      </c>
      <c r="Z687" s="128" t="str">
        <f t="shared" si="274"/>
        <v xml:space="preserve"> </v>
      </c>
      <c r="AA687" s="128" t="str">
        <f t="shared" si="274"/>
        <v xml:space="preserve"> </v>
      </c>
      <c r="AB687" s="128" t="str">
        <f t="shared" si="274"/>
        <v xml:space="preserve"> </v>
      </c>
      <c r="AC687" s="128" t="str">
        <f t="shared" si="274"/>
        <v xml:space="preserve"> </v>
      </c>
      <c r="AD687" s="128" t="str">
        <f t="shared" si="274"/>
        <v xml:space="preserve"> </v>
      </c>
      <c r="AE687" s="128" t="str">
        <f t="shared" si="274"/>
        <v xml:space="preserve"> </v>
      </c>
      <c r="AF687" s="128" t="str">
        <f t="shared" si="274"/>
        <v xml:space="preserve"> </v>
      </c>
      <c r="AG687" s="128" t="str">
        <f t="shared" si="274"/>
        <v xml:space="preserve"> </v>
      </c>
      <c r="AH687" s="128">
        <f t="shared" si="274"/>
        <v>3.0000000000000027E-2</v>
      </c>
    </row>
    <row r="688" spans="1:34" s="20" customFormat="1" ht="14" x14ac:dyDescent="0.2">
      <c r="A688" s="8"/>
      <c r="B688" s="8" t="s">
        <v>43</v>
      </c>
      <c r="C688" s="8"/>
      <c r="D688" s="8" t="str">
        <f>'Assumptions - General'!$E$27 &amp;" millions"</f>
        <v>R$ millions</v>
      </c>
      <c r="E688" s="463">
        <f>IF(OR(E$17=1,E$18=1),'Assumptions - Passenger'!E298,0)</f>
        <v>500</v>
      </c>
      <c r="F688" s="12">
        <f>IF(OR(F$17=1,F$18=1),'Assumptions - Passenger'!F299*'Assumptions - Passenger'!F304/1000000,0)</f>
        <v>515</v>
      </c>
      <c r="G688" s="12">
        <f>IF(OR(G$17=1,G$18=1),'Assumptions - Passenger'!G299*'Assumptions - Passenger'!G304/1000000,0)</f>
        <v>530.45000000000005</v>
      </c>
      <c r="H688" s="12">
        <f>IF(OR(H$17=1,H$18=1),'Assumptions - Passenger'!H299*'Assumptions - Passenger'!H304/1000000,0)</f>
        <v>546.36350000000004</v>
      </c>
      <c r="I688" s="12">
        <f>IF(OR(I$17=1,I$18=1),'Assumptions - Passenger'!I299*'Assumptions - Passenger'!I304/1000000,0)</f>
        <v>562.75440500000002</v>
      </c>
      <c r="J688" s="12">
        <f>IF(OR(J$17=1,J$18=1),'Assumptions - Passenger'!J299*'Assumptions - Passenger'!J304/1000000,0)</f>
        <v>579.63703715000008</v>
      </c>
      <c r="K688" s="12">
        <f>IF(OR(K$17=1,K$18=1),'Assumptions - Passenger'!K299*'Assumptions - Passenger'!K304/1000000,0)</f>
        <v>597.02614826449997</v>
      </c>
      <c r="L688" s="12">
        <f>IF(OR(L$17=1,L$18=1),'Assumptions - Passenger'!L299*'Assumptions - Passenger'!L304/1000000,0)</f>
        <v>614.93693271243512</v>
      </c>
      <c r="M688" s="12">
        <f>IF(OR(M$17=1,M$18=1),'Assumptions - Passenger'!M299*'Assumptions - Passenger'!M304/1000000,0)</f>
        <v>633.38504069380815</v>
      </c>
      <c r="N688" s="12">
        <f>IF(OR(N$17=1,N$18=1),'Assumptions - Passenger'!N299*'Assumptions - Passenger'!N304/1000000,0)</f>
        <v>652.38659191462239</v>
      </c>
      <c r="O688" s="12">
        <f>IF(OR(O$17=1,O$18=1),'Assumptions - Passenger'!O299*'Assumptions - Passenger'!O304/1000000,0)</f>
        <v>671.95818967206105</v>
      </c>
      <c r="P688" s="12">
        <f>IF(OR(P$17=1,P$18=1),'Assumptions - Passenger'!P299*'Assumptions - Passenger'!P304/1000000,0)</f>
        <v>692.11693536222288</v>
      </c>
      <c r="Q688" s="12">
        <f>IF(OR(Q$17=1,Q$18=1),'Assumptions - Passenger'!Q299*'Assumptions - Passenger'!Q304/1000000,0)</f>
        <v>712.88044342308967</v>
      </c>
      <c r="R688" s="12">
        <f>IF(OR(R$17=1,R$18=1),'Assumptions - Passenger'!R299*'Assumptions - Passenger'!R304/1000000,0)</f>
        <v>734.2668567257823</v>
      </c>
      <c r="S688" s="12">
        <f>IF(OR(S$17=1,S$18=1),'Assumptions - Passenger'!S299*'Assumptions - Passenger'!S304/1000000,0)</f>
        <v>756.29486242755581</v>
      </c>
      <c r="T688" s="12">
        <f>IF(OR(T$17=1,T$18=1),'Assumptions - Passenger'!T299*'Assumptions - Passenger'!T304/1000000,0)</f>
        <v>778.98370830038255</v>
      </c>
      <c r="U688" s="12">
        <f>IF(OR(U$17=1,U$18=1),'Assumptions - Passenger'!U299*'Assumptions - Passenger'!U304/1000000,0)</f>
        <v>802.35321954939388</v>
      </c>
      <c r="V688" s="12">
        <f>IF(OR(V$17=1,V$18=1),'Assumptions - Passenger'!V299*'Assumptions - Passenger'!V304/1000000,0)</f>
        <v>826.42381613587577</v>
      </c>
      <c r="W688" s="12">
        <f>IF(OR(W$17=1,W$18=1),'Assumptions - Passenger'!W299*'Assumptions - Passenger'!W304/1000000,0)</f>
        <v>851.2165306199521</v>
      </c>
      <c r="X688" s="12">
        <f>IF(OR(X$17=1,X$18=1),'Assumptions - Passenger'!X299*'Assumptions - Passenger'!X304/1000000,0)</f>
        <v>876.75302653855067</v>
      </c>
      <c r="Y688" s="12">
        <f>IF(OR(Y$17=1,Y$18=1),'Assumptions - Passenger'!Y299*'Assumptions - Passenger'!Y304/1000000,0)</f>
        <v>903.05561733470722</v>
      </c>
      <c r="Z688" s="12">
        <f>IF(OR(Z$17=1,Z$18=1),'Assumptions - Passenger'!Z299*'Assumptions - Passenger'!Z304/1000000,0)</f>
        <v>930.14728585474847</v>
      </c>
      <c r="AA688" s="12">
        <f>IF(OR(AA$17=1,AA$18=1),'Assumptions - Passenger'!AA299*'Assumptions - Passenger'!AA304/1000000,0)</f>
        <v>958.05170443039083</v>
      </c>
      <c r="AB688" s="12">
        <f>IF(OR(AB$17=1,AB$18=1),'Assumptions - Passenger'!AB299*'Assumptions - Passenger'!AB304/1000000,0)</f>
        <v>986.79325556330275</v>
      </c>
      <c r="AC688" s="12">
        <f>IF(OR(AC$17=1,AC$18=1),'Assumptions - Passenger'!AC299*'Assumptions - Passenger'!AC304/1000000,0)</f>
        <v>1016.3970532302019</v>
      </c>
      <c r="AD688" s="12">
        <f>IF(OR(AD$17=1,AD$18=1),'Assumptions - Passenger'!AD299*'Assumptions - Passenger'!AD304/1000000,0)</f>
        <v>1046.8889648271079</v>
      </c>
      <c r="AE688" s="12">
        <f>IF(OR(AE$17=1,AE$18=1),'Assumptions - Passenger'!AE299*'Assumptions - Passenger'!AE304/1000000,0)</f>
        <v>1078.2956337719211</v>
      </c>
      <c r="AF688" s="12">
        <f>IF(OR(AF$17=1,AF$18=1),'Assumptions - Passenger'!AF299*'Assumptions - Passenger'!AF304/1000000,0)</f>
        <v>1110.6445027850787</v>
      </c>
      <c r="AG688" s="12">
        <f>IF(OR(AG$17=1,AG$18=1),'Assumptions - Passenger'!AG299*'Assumptions - Passenger'!AG304/1000000,0)</f>
        <v>1143.9638378686313</v>
      </c>
      <c r="AH688" s="12">
        <f>IF(OR(AH$17=1,AH$18=1),'Assumptions - Passenger'!AH299*'Assumptions - Passenger'!AH304/1000000,0)</f>
        <v>1178.2827530046902</v>
      </c>
    </row>
    <row r="689" spans="1:34" s="20" customFormat="1" ht="14" x14ac:dyDescent="0.2">
      <c r="A689" s="8"/>
      <c r="B689" s="30" t="s">
        <v>297</v>
      </c>
      <c r="C689" s="8"/>
      <c r="D689" s="8" t="s">
        <v>15</v>
      </c>
      <c r="E689" s="128" t="str">
        <f>IF(E17=1,IF(AND(($E$4+SUM($F$17:$AH$17))=E$4,$E$688&gt;0),(E688/$E688)^(1/SUM($F$17:$AH$17))-1," ")," ")</f>
        <v xml:space="preserve"> </v>
      </c>
      <c r="F689" s="128" t="str">
        <f t="shared" ref="F689:AH689" si="275">IF(F17=1,IF(AND(($E$4+SUM($F$17:$AH$17))=F$4,$E$688&gt;0),(F688/$E688)^(1/SUM($F$17:$AH$17))-1," ")," ")</f>
        <v xml:space="preserve"> </v>
      </c>
      <c r="G689" s="128" t="str">
        <f t="shared" si="275"/>
        <v xml:space="preserve"> </v>
      </c>
      <c r="H689" s="128" t="str">
        <f t="shared" si="275"/>
        <v xml:space="preserve"> </v>
      </c>
      <c r="I689" s="128" t="str">
        <f t="shared" si="275"/>
        <v xml:space="preserve"> </v>
      </c>
      <c r="J689" s="128" t="str">
        <f t="shared" si="275"/>
        <v xml:space="preserve"> </v>
      </c>
      <c r="K689" s="128" t="str">
        <f t="shared" si="275"/>
        <v xml:space="preserve"> </v>
      </c>
      <c r="L689" s="128" t="str">
        <f t="shared" si="275"/>
        <v xml:space="preserve"> </v>
      </c>
      <c r="M689" s="128" t="str">
        <f t="shared" si="275"/>
        <v xml:space="preserve"> </v>
      </c>
      <c r="N689" s="128" t="str">
        <f t="shared" si="275"/>
        <v xml:space="preserve"> </v>
      </c>
      <c r="O689" s="128" t="str">
        <f t="shared" si="275"/>
        <v xml:space="preserve"> </v>
      </c>
      <c r="P689" s="128" t="str">
        <f t="shared" si="275"/>
        <v xml:space="preserve"> </v>
      </c>
      <c r="Q689" s="128" t="str">
        <f t="shared" si="275"/>
        <v xml:space="preserve"> </v>
      </c>
      <c r="R689" s="128" t="str">
        <f t="shared" si="275"/>
        <v xml:space="preserve"> </v>
      </c>
      <c r="S689" s="128" t="str">
        <f t="shared" si="275"/>
        <v xml:space="preserve"> </v>
      </c>
      <c r="T689" s="128" t="str">
        <f t="shared" si="275"/>
        <v xml:space="preserve"> </v>
      </c>
      <c r="U689" s="128" t="str">
        <f t="shared" si="275"/>
        <v xml:space="preserve"> </v>
      </c>
      <c r="V689" s="128" t="str">
        <f t="shared" si="275"/>
        <v xml:space="preserve"> </v>
      </c>
      <c r="W689" s="128" t="str">
        <f t="shared" si="275"/>
        <v xml:space="preserve"> </v>
      </c>
      <c r="X689" s="128" t="str">
        <f t="shared" si="275"/>
        <v xml:space="preserve"> </v>
      </c>
      <c r="Y689" s="128" t="str">
        <f t="shared" si="275"/>
        <v xml:space="preserve"> </v>
      </c>
      <c r="Z689" s="128" t="str">
        <f t="shared" si="275"/>
        <v xml:space="preserve"> </v>
      </c>
      <c r="AA689" s="128" t="str">
        <f t="shared" si="275"/>
        <v xml:space="preserve"> </v>
      </c>
      <c r="AB689" s="128" t="str">
        <f t="shared" si="275"/>
        <v xml:space="preserve"> </v>
      </c>
      <c r="AC689" s="128" t="str">
        <f t="shared" si="275"/>
        <v xml:space="preserve"> </v>
      </c>
      <c r="AD689" s="128" t="str">
        <f t="shared" si="275"/>
        <v xml:space="preserve"> </v>
      </c>
      <c r="AE689" s="128" t="str">
        <f t="shared" si="275"/>
        <v xml:space="preserve"> </v>
      </c>
      <c r="AF689" s="128" t="str">
        <f t="shared" si="275"/>
        <v xml:space="preserve"> </v>
      </c>
      <c r="AG689" s="128" t="str">
        <f t="shared" si="275"/>
        <v xml:space="preserve"> </v>
      </c>
      <c r="AH689" s="128">
        <f t="shared" si="275"/>
        <v>3.0000000000000027E-2</v>
      </c>
    </row>
    <row r="690" spans="1:34" s="20" customFormat="1" ht="14" x14ac:dyDescent="0.2">
      <c r="A690" s="8"/>
      <c r="B690" s="7"/>
      <c r="C690" s="8"/>
      <c r="D690" s="8"/>
      <c r="E690" s="9"/>
      <c r="F690" s="9"/>
      <c r="G690" s="9"/>
      <c r="H690" s="9"/>
      <c r="I690" s="9"/>
      <c r="J690" s="9"/>
      <c r="K690" s="9"/>
      <c r="L690" s="9"/>
      <c r="M690" s="9"/>
      <c r="N690" s="9"/>
      <c r="O690" s="9"/>
      <c r="P690" s="9"/>
      <c r="Q690" s="9"/>
      <c r="R690" s="9"/>
      <c r="S690" s="9"/>
      <c r="T690" s="9"/>
      <c r="U690" s="9"/>
      <c r="V690" s="9"/>
      <c r="W690" s="9"/>
      <c r="X690" s="9"/>
      <c r="Y690" s="9"/>
      <c r="Z690" s="9"/>
      <c r="AA690" s="9"/>
      <c r="AB690" s="9"/>
      <c r="AC690" s="9"/>
      <c r="AD690" s="9"/>
      <c r="AE690" s="9"/>
      <c r="AF690" s="9"/>
      <c r="AG690" s="9"/>
      <c r="AH690" s="9"/>
    </row>
    <row r="691" spans="1:34" x14ac:dyDescent="0.2">
      <c r="A691" s="324"/>
      <c r="B691" s="323" t="str">
        <f>"Non-operating costs of "&amp;'Assumptions - General'!$E$25</f>
        <v>Non-operating costs of Ruritania Passenger Rail Company</v>
      </c>
      <c r="C691" s="324"/>
      <c r="D691" s="324"/>
      <c r="E691" s="324"/>
      <c r="F691" s="324"/>
      <c r="G691" s="324"/>
      <c r="H691" s="324"/>
      <c r="I691" s="324"/>
      <c r="J691" s="324"/>
      <c r="K691" s="324"/>
      <c r="L691" s="324"/>
      <c r="M691" s="324"/>
      <c r="N691" s="324"/>
      <c r="O691" s="324"/>
      <c r="P691" s="324"/>
      <c r="Q691" s="324"/>
      <c r="R691" s="324"/>
      <c r="S691" s="324"/>
      <c r="T691" s="324"/>
      <c r="U691" s="324"/>
      <c r="V691" s="324"/>
      <c r="W691" s="324"/>
      <c r="X691" s="324"/>
      <c r="Y691" s="324"/>
      <c r="Z691" s="324"/>
      <c r="AA691" s="324"/>
      <c r="AB691" s="324"/>
      <c r="AC691" s="324"/>
      <c r="AD691" s="324"/>
      <c r="AE691" s="324"/>
      <c r="AF691" s="324"/>
      <c r="AG691" s="324"/>
      <c r="AH691" s="324"/>
    </row>
    <row r="692" spans="1:34" s="20" customFormat="1" ht="14" x14ac:dyDescent="0.2">
      <c r="B692" s="55"/>
      <c r="E692" s="56"/>
      <c r="F692" s="56"/>
      <c r="G692" s="56"/>
      <c r="H692" s="56"/>
      <c r="I692" s="56"/>
      <c r="J692" s="56"/>
      <c r="K692" s="56"/>
      <c r="L692" s="56"/>
      <c r="M692" s="56"/>
      <c r="N692" s="56"/>
      <c r="O692" s="56"/>
      <c r="P692" s="56"/>
      <c r="Q692" s="56"/>
      <c r="R692" s="56"/>
      <c r="S692" s="56"/>
      <c r="T692" s="56"/>
      <c r="U692" s="56"/>
      <c r="V692" s="56"/>
      <c r="W692" s="56"/>
      <c r="X692" s="56"/>
      <c r="Y692" s="56"/>
      <c r="Z692" s="56"/>
      <c r="AA692" s="56"/>
      <c r="AB692" s="56"/>
      <c r="AC692" s="56"/>
      <c r="AD692" s="56"/>
      <c r="AE692" s="56"/>
      <c r="AF692" s="56"/>
      <c r="AG692" s="56"/>
      <c r="AH692" s="56"/>
    </row>
    <row r="693" spans="1:34" s="20" customFormat="1" ht="14" x14ac:dyDescent="0.2">
      <c r="B693" s="57" t="str">
        <f>'Assumptions - Passenger'!E319</f>
        <v>Provisions and legal claims</v>
      </c>
      <c r="D693" s="20" t="str">
        <f>'Assumptions - General'!$E$27 &amp;" millions"</f>
        <v>R$ millions</v>
      </c>
      <c r="E693" s="463">
        <f>IF(OR(E$17=1,E$18=1),'Assumptions - Passenger'!E320,0)</f>
        <v>200</v>
      </c>
      <c r="F693" s="38">
        <f>IF(OR(F$17=1,F$18=1),'Assumptions - Passenger'!F321*'Assumptions - Passenger'!F325/1000000,0)</f>
        <v>206</v>
      </c>
      <c r="G693" s="38">
        <f>IF(OR(G$17=1,G$18=1),'Assumptions - Passenger'!G321*'Assumptions - Passenger'!G325/1000000,0)</f>
        <v>212.18</v>
      </c>
      <c r="H693" s="38">
        <f>IF(OR(H$17=1,H$18=1),'Assumptions - Passenger'!H321*'Assumptions - Passenger'!H325/1000000,0)</f>
        <v>218.5454</v>
      </c>
      <c r="I693" s="38">
        <f>IF(OR(I$17=1,I$18=1),'Assumptions - Passenger'!I321*'Assumptions - Passenger'!I325/1000000,0)</f>
        <v>225.10176200000001</v>
      </c>
      <c r="J693" s="38">
        <f>IF(OR(J$17=1,J$18=1),'Assumptions - Passenger'!J321*'Assumptions - Passenger'!J325/1000000,0)</f>
        <v>231.85481485999998</v>
      </c>
      <c r="K693" s="38">
        <f>IF(OR(K$17=1,K$18=1),'Assumptions - Passenger'!K321*'Assumptions - Passenger'!K325/1000000,0)</f>
        <v>238.81045930579998</v>
      </c>
      <c r="L693" s="38">
        <f>IF(OR(L$17=1,L$18=1),'Assumptions - Passenger'!L321*'Assumptions - Passenger'!L325/1000000,0)</f>
        <v>245.97477308497403</v>
      </c>
      <c r="M693" s="38">
        <f>IF(OR(M$17=1,M$18=1),'Assumptions - Passenger'!M321*'Assumptions - Passenger'!M325/1000000,0)</f>
        <v>253.35401627752324</v>
      </c>
      <c r="N693" s="38">
        <f>IF(OR(N$17=1,N$18=1),'Assumptions - Passenger'!N321*'Assumptions - Passenger'!N325/1000000,0)</f>
        <v>260.95463676584893</v>
      </c>
      <c r="O693" s="38">
        <f>IF(OR(O$17=1,O$18=1),'Assumptions - Passenger'!O321*'Assumptions - Passenger'!O325/1000000,0)</f>
        <v>268.78327586882443</v>
      </c>
      <c r="P693" s="38">
        <f>IF(OR(P$17=1,P$18=1),'Assumptions - Passenger'!P321*'Assumptions - Passenger'!P325/1000000,0)</f>
        <v>276.84677414488914</v>
      </c>
      <c r="Q693" s="38">
        <f>IF(OR(Q$17=1,Q$18=1),'Assumptions - Passenger'!Q321*'Assumptions - Passenger'!Q325/1000000,0)</f>
        <v>285.1521773692358</v>
      </c>
      <c r="R693" s="38">
        <f>IF(OR(R$17=1,R$18=1),'Assumptions - Passenger'!R321*'Assumptions - Passenger'!R325/1000000,0)</f>
        <v>293.70674269031292</v>
      </c>
      <c r="S693" s="38">
        <f>IF(OR(S$17=1,S$18=1),'Assumptions - Passenger'!S321*'Assumptions - Passenger'!S325/1000000,0)</f>
        <v>302.5179449710223</v>
      </c>
      <c r="T693" s="38">
        <f>IF(OR(T$17=1,T$18=1),'Assumptions - Passenger'!T321*'Assumptions - Passenger'!T325/1000000,0)</f>
        <v>311.59348332015293</v>
      </c>
      <c r="U693" s="38">
        <f>IF(OR(U$17=1,U$18=1),'Assumptions - Passenger'!U321*'Assumptions - Passenger'!U325/1000000,0)</f>
        <v>320.94128781975752</v>
      </c>
      <c r="V693" s="38">
        <f>IF(OR(V$17=1,V$18=1),'Assumptions - Passenger'!V321*'Assumptions - Passenger'!V325/1000000,0)</f>
        <v>330.56952645435024</v>
      </c>
      <c r="W693" s="38">
        <f>IF(OR(W$17=1,W$18=1),'Assumptions - Passenger'!W321*'Assumptions - Passenger'!W325/1000000,0)</f>
        <v>340.48661224798076</v>
      </c>
      <c r="X693" s="38">
        <f>IF(OR(X$17=1,X$18=1),'Assumptions - Passenger'!X321*'Assumptions - Passenger'!X325/1000000,0)</f>
        <v>350.70121061542022</v>
      </c>
      <c r="Y693" s="38">
        <f>IF(OR(Y$17=1,Y$18=1),'Assumptions - Passenger'!Y321*'Assumptions - Passenger'!Y325/1000000,0)</f>
        <v>361.22224693388284</v>
      </c>
      <c r="Z693" s="38">
        <f>IF(OR(Z$17=1,Z$18=1),'Assumptions - Passenger'!Z321*'Assumptions - Passenger'!Z325/1000000,0)</f>
        <v>372.05891434189931</v>
      </c>
      <c r="AA693" s="38">
        <f>IF(OR(AA$17=1,AA$18=1),'Assumptions - Passenger'!AA321*'Assumptions - Passenger'!AA325/1000000,0)</f>
        <v>383.22068177215635</v>
      </c>
      <c r="AB693" s="38">
        <f>IF(OR(AB$17=1,AB$18=1),'Assumptions - Passenger'!AB321*'Assumptions - Passenger'!AB325/1000000,0)</f>
        <v>394.71730222532102</v>
      </c>
      <c r="AC693" s="38">
        <f>IF(OR(AC$17=1,AC$18=1),'Assumptions - Passenger'!AC321*'Assumptions - Passenger'!AC325/1000000,0)</f>
        <v>406.55882129208067</v>
      </c>
      <c r="AD693" s="38">
        <f>IF(OR(AD$17=1,AD$18=1),'Assumptions - Passenger'!AD321*'Assumptions - Passenger'!AD325/1000000,0)</f>
        <v>418.75558593084304</v>
      </c>
      <c r="AE693" s="38">
        <f>IF(OR(AE$17=1,AE$18=1),'Assumptions - Passenger'!AE321*'Assumptions - Passenger'!AE325/1000000,0)</f>
        <v>431.31825350876829</v>
      </c>
      <c r="AF693" s="38">
        <f>IF(OR(AF$17=1,AF$18=1),'Assumptions - Passenger'!AF321*'Assumptions - Passenger'!AF325/1000000,0)</f>
        <v>444.25780111403139</v>
      </c>
      <c r="AG693" s="38">
        <f>IF(OR(AG$17=1,AG$18=1),'Assumptions - Passenger'!AG321*'Assumptions - Passenger'!AG325/1000000,0)</f>
        <v>457.58553514745233</v>
      </c>
      <c r="AH693" s="38">
        <f>IF(OR(AH$17=1,AH$18=1),'Assumptions - Passenger'!AH321*'Assumptions - Passenger'!AH325/1000000,0)</f>
        <v>471.31310120187601</v>
      </c>
    </row>
    <row r="694" spans="1:34" s="20" customFormat="1" ht="14" x14ac:dyDescent="0.2">
      <c r="B694" s="57" t="str">
        <f>'Assumptions - Passenger'!E328</f>
        <v>Investment losses</v>
      </c>
      <c r="D694" s="20" t="str">
        <f>'Assumptions - General'!$E$27 &amp;" millions"</f>
        <v>R$ millions</v>
      </c>
      <c r="E694" s="466">
        <f>IF(OR(E$17=1,E$18=1),'Assumptions - Passenger'!E329,0)</f>
        <v>50</v>
      </c>
      <c r="F694" s="38">
        <f>IF(OR(F$17=1,F$18=1),'Assumptions - Passenger'!F330*'Assumptions - Passenger'!F334/1000000+F695,0)</f>
        <v>51.5</v>
      </c>
      <c r="G694" s="38">
        <f>IF(OR(G$17=1,G$18=1),'Assumptions - Passenger'!G330*'Assumptions - Passenger'!G334/1000000+G695,0)</f>
        <v>53.045000000000002</v>
      </c>
      <c r="H694" s="38">
        <f>IF(OR(H$17=1,H$18=1),'Assumptions - Passenger'!H330*'Assumptions - Passenger'!H334/1000000+H695,0)</f>
        <v>54.63635</v>
      </c>
      <c r="I694" s="38">
        <f>IF(OR(I$17=1,I$18=1),'Assumptions - Passenger'!I330*'Assumptions - Passenger'!I334/1000000+I695,0)</f>
        <v>56.275440500000002</v>
      </c>
      <c r="J694" s="38">
        <f>IF(OR(J$17=1,J$18=1),'Assumptions - Passenger'!J330*'Assumptions - Passenger'!J334/1000000+J695,0)</f>
        <v>57.963703714999994</v>
      </c>
      <c r="K694" s="38">
        <f>IF(OR(K$17=1,K$18=1),'Assumptions - Passenger'!K330*'Assumptions - Passenger'!K334/1000000+K695,0)</f>
        <v>59.702614826449995</v>
      </c>
      <c r="L694" s="38">
        <f>IF(OR(L$17=1,L$18=1),'Assumptions - Passenger'!L330*'Assumptions - Passenger'!L334/1000000+L695,0)</f>
        <v>61.493693271243508</v>
      </c>
      <c r="M694" s="38">
        <f>IF(OR(M$17=1,M$18=1),'Assumptions - Passenger'!M330*'Assumptions - Passenger'!M334/1000000+M695,0)</f>
        <v>63.338504069380811</v>
      </c>
      <c r="N694" s="38">
        <f>IF(OR(N$17=1,N$18=1),'Assumptions - Passenger'!N330*'Assumptions - Passenger'!N334/1000000+N695,0)</f>
        <v>65.238659191462233</v>
      </c>
      <c r="O694" s="38">
        <f>IF(OR(O$17=1,O$18=1),'Assumptions - Passenger'!O330*'Assumptions - Passenger'!O334/1000000+O695,0)</f>
        <v>67.195818967206108</v>
      </c>
      <c r="P694" s="38">
        <f>IF(OR(P$17=1,P$18=1),'Assumptions - Passenger'!P330*'Assumptions - Passenger'!P334/1000000+P695,0)</f>
        <v>69.211693536222285</v>
      </c>
      <c r="Q694" s="38">
        <f>IF(OR(Q$17=1,Q$18=1),'Assumptions - Passenger'!Q330*'Assumptions - Passenger'!Q334/1000000+Q695,0)</f>
        <v>71.28804434230895</v>
      </c>
      <c r="R694" s="38">
        <f>IF(OR(R$17=1,R$18=1),'Assumptions - Passenger'!R330*'Assumptions - Passenger'!R334/1000000+R695,0)</f>
        <v>73.42668567257823</v>
      </c>
      <c r="S694" s="38">
        <f>IF(OR(S$17=1,S$18=1),'Assumptions - Passenger'!S330*'Assumptions - Passenger'!S334/1000000+S695,0)</f>
        <v>75.629486242755576</v>
      </c>
      <c r="T694" s="38">
        <f>IF(OR(T$17=1,T$18=1),'Assumptions - Passenger'!T330*'Assumptions - Passenger'!T334/1000000+T695,0)</f>
        <v>77.898370830038232</v>
      </c>
      <c r="U694" s="38">
        <f>IF(OR(U$17=1,U$18=1),'Assumptions - Passenger'!U330*'Assumptions - Passenger'!U334/1000000+U695,0)</f>
        <v>80.23532195493938</v>
      </c>
      <c r="V694" s="38">
        <f>IF(OR(V$17=1,V$18=1),'Assumptions - Passenger'!V330*'Assumptions - Passenger'!V334/1000000+V695,0)</f>
        <v>82.64238161358756</v>
      </c>
      <c r="W694" s="38">
        <f>IF(OR(W$17=1,W$18=1),'Assumptions - Passenger'!W330*'Assumptions - Passenger'!W334/1000000+W695,0)</f>
        <v>85.12165306199519</v>
      </c>
      <c r="X694" s="38">
        <f>IF(OR(X$17=1,X$18=1),'Assumptions - Passenger'!X330*'Assumptions - Passenger'!X334/1000000+X695,0)</f>
        <v>87.675302653855056</v>
      </c>
      <c r="Y694" s="38">
        <f>IF(OR(Y$17=1,Y$18=1),'Assumptions - Passenger'!Y330*'Assumptions - Passenger'!Y334/1000000+Y695,0)</f>
        <v>90.305561733470711</v>
      </c>
      <c r="Z694" s="38">
        <f>IF(OR(Z$17=1,Z$18=1),'Assumptions - Passenger'!Z330*'Assumptions - Passenger'!Z334/1000000+Z695,0)</f>
        <v>93.014728585474828</v>
      </c>
      <c r="AA694" s="38">
        <f>IF(OR(AA$17=1,AA$18=1),'Assumptions - Passenger'!AA330*'Assumptions - Passenger'!AA334/1000000+AA695,0)</f>
        <v>95.805170443039088</v>
      </c>
      <c r="AB694" s="38">
        <f>IF(OR(AB$17=1,AB$18=1),'Assumptions - Passenger'!AB330*'Assumptions - Passenger'!AB334/1000000+AB695,0)</f>
        <v>98.679325556330255</v>
      </c>
      <c r="AC694" s="38">
        <f>IF(OR(AC$17=1,AC$18=1),'Assumptions - Passenger'!AC330*'Assumptions - Passenger'!AC334/1000000+AC695,0)</f>
        <v>101.63970532302017</v>
      </c>
      <c r="AD694" s="38">
        <f>IF(OR(AD$17=1,AD$18=1),'Assumptions - Passenger'!AD330*'Assumptions - Passenger'!AD334/1000000+AD695,0)</f>
        <v>104.68889648271076</v>
      </c>
      <c r="AE694" s="38">
        <f>IF(OR(AE$17=1,AE$18=1),'Assumptions - Passenger'!AE330*'Assumptions - Passenger'!AE334/1000000+AE695,0)</f>
        <v>107.82956337719207</v>
      </c>
      <c r="AF694" s="38">
        <f>IF(OR(AF$17=1,AF$18=1),'Assumptions - Passenger'!AF330*'Assumptions - Passenger'!AF334/1000000+AF695,0)</f>
        <v>111.06445027850785</v>
      </c>
      <c r="AG694" s="38">
        <f>IF(OR(AG$17=1,AG$18=1),'Assumptions - Passenger'!AG330*'Assumptions - Passenger'!AG334/1000000+AG695,0)</f>
        <v>114.39638378686308</v>
      </c>
      <c r="AH694" s="38">
        <f>IF(OR(AH$17=1,AH$18=1),'Assumptions - Passenger'!AH330*'Assumptions - Passenger'!AH334/1000000+AH695,0)</f>
        <v>117.828275300469</v>
      </c>
    </row>
    <row r="695" spans="1:34" s="20" customFormat="1" ht="14" x14ac:dyDescent="0.2">
      <c r="B695" s="271" t="s">
        <v>693</v>
      </c>
      <c r="D695" s="20" t="str">
        <f>'Assumptions - General'!$E$27 &amp;" millions"</f>
        <v>R$ millions</v>
      </c>
      <c r="E695" s="466">
        <v>0</v>
      </c>
      <c r="F695" s="38">
        <f>IF(OR(F$17=1,F$18=1),IF(F753/E753&gt;1,F755-F755/(F753/E753),0)+IF(F769/E769&gt;1,F771-F771/(F769/E769),0)+IF(F785/E785&gt;1,F787-F787/(F785/E785),0)+IF(F811/E811&gt;1,F813-F813/(F811/E811),0)+IF(F841/E841&gt;1,F843-F843/(F841/E841),0)+IF(F871/E871&gt;1,F873-F873/(F871/E871),0)+IF(F901/E901&gt;1,F903-F903/(F901/E901),0)+IF(F811/E811&lt;1,F814/(F811/E811)-F814,0)+IF(F841/E841&lt;1,F844/(F841/E841)-F844,0)+IF(F871/E871&lt;1,F874/(F871/E871)-F874,0)+IF(F901/E901&lt;1,F904/(F901/E901)-F904,0),0)</f>
        <v>0</v>
      </c>
      <c r="G695" s="38">
        <f t="shared" ref="G695:AH695" si="276">IF(OR(G$17=1,G$18=1),IF(G753/F753&gt;1,G755-G755/(G753/F753),0)+IF(G769/F769&gt;1,G771-G771/(G769/F769),0)+IF(G785/F785&gt;1,G787-G787/(G785/F785),0)+IF(G811/F811&gt;1,G813-G813/(G811/F811),0)+IF(G841/F841&gt;1,G843-G843/(G841/F841),0)+IF(G871/F871&gt;1,G873-G873/(G871/F871),0)+IF(G901/F901&gt;1,G903-G903/(G901/F901),0)+IF(G811/F811&lt;1,G814/(G811/F811)-G814,0)+IF(G841/F841&lt;1,G844/(G841/F841)-G844,0)+IF(G871/F871&lt;1,G874/(G871/F871)-G874,0)+IF(G901/F901&lt;1,G904/(G901/F901)-G904,0),0)</f>
        <v>0</v>
      </c>
      <c r="H695" s="38">
        <f t="shared" si="276"/>
        <v>0</v>
      </c>
      <c r="I695" s="38">
        <f t="shared" si="276"/>
        <v>0</v>
      </c>
      <c r="J695" s="38">
        <f t="shared" si="276"/>
        <v>0</v>
      </c>
      <c r="K695" s="38">
        <f t="shared" si="276"/>
        <v>0</v>
      </c>
      <c r="L695" s="38">
        <f t="shared" si="276"/>
        <v>0</v>
      </c>
      <c r="M695" s="38">
        <f t="shared" si="276"/>
        <v>0</v>
      </c>
      <c r="N695" s="38">
        <f t="shared" si="276"/>
        <v>0</v>
      </c>
      <c r="O695" s="38">
        <f t="shared" si="276"/>
        <v>0</v>
      </c>
      <c r="P695" s="38">
        <f t="shared" si="276"/>
        <v>0</v>
      </c>
      <c r="Q695" s="38">
        <f t="shared" si="276"/>
        <v>0</v>
      </c>
      <c r="R695" s="38">
        <f t="shared" si="276"/>
        <v>0</v>
      </c>
      <c r="S695" s="38">
        <f t="shared" si="276"/>
        <v>0</v>
      </c>
      <c r="T695" s="38">
        <f t="shared" si="276"/>
        <v>0</v>
      </c>
      <c r="U695" s="38">
        <f t="shared" si="276"/>
        <v>0</v>
      </c>
      <c r="V695" s="38">
        <f t="shared" si="276"/>
        <v>0</v>
      </c>
      <c r="W695" s="38">
        <f t="shared" si="276"/>
        <v>0</v>
      </c>
      <c r="X695" s="38">
        <f t="shared" si="276"/>
        <v>0</v>
      </c>
      <c r="Y695" s="38">
        <f t="shared" si="276"/>
        <v>0</v>
      </c>
      <c r="Z695" s="38">
        <f t="shared" si="276"/>
        <v>0</v>
      </c>
      <c r="AA695" s="38">
        <f t="shared" si="276"/>
        <v>0</v>
      </c>
      <c r="AB695" s="38">
        <f t="shared" si="276"/>
        <v>0</v>
      </c>
      <c r="AC695" s="38">
        <f t="shared" si="276"/>
        <v>0</v>
      </c>
      <c r="AD695" s="38">
        <f t="shared" si="276"/>
        <v>0</v>
      </c>
      <c r="AE695" s="38">
        <f t="shared" si="276"/>
        <v>0</v>
      </c>
      <c r="AF695" s="38">
        <f t="shared" si="276"/>
        <v>0</v>
      </c>
      <c r="AG695" s="38">
        <f t="shared" si="276"/>
        <v>0</v>
      </c>
      <c r="AH695" s="38">
        <f t="shared" si="276"/>
        <v>0</v>
      </c>
    </row>
    <row r="696" spans="1:34" s="20" customFormat="1" ht="14" x14ac:dyDescent="0.2">
      <c r="B696" s="57" t="str">
        <f>'Assumptions - Passenger'!E337</f>
        <v>Other</v>
      </c>
      <c r="D696" s="20" t="str">
        <f>'Assumptions - General'!$E$27 &amp;" millions"</f>
        <v>R$ millions</v>
      </c>
      <c r="E696" s="463">
        <f>IF(OR(E$17=1,E$18=1),'Assumptions - Passenger'!E338,0)</f>
        <v>50</v>
      </c>
      <c r="F696" s="38">
        <f>IF(OR(F$17=1,F$18=1),'Assumptions - Passenger'!F339*'Assumptions - Passenger'!F343/1000000,0)</f>
        <v>51.5</v>
      </c>
      <c r="G696" s="38">
        <f>IF(OR(G$17=1,G$18=1),'Assumptions - Passenger'!G339*'Assumptions - Passenger'!G343/1000000,0)</f>
        <v>53.045000000000002</v>
      </c>
      <c r="H696" s="38">
        <f>IF(OR(H$17=1,H$18=1),'Assumptions - Passenger'!H339*'Assumptions - Passenger'!H343/1000000,0)</f>
        <v>54.63635</v>
      </c>
      <c r="I696" s="38">
        <f>IF(OR(I$17=1,I$18=1),'Assumptions - Passenger'!I339*'Assumptions - Passenger'!I343/1000000,0)</f>
        <v>56.275440500000002</v>
      </c>
      <c r="J696" s="38">
        <f>IF(OR(J$17=1,J$18=1),'Assumptions - Passenger'!J339*'Assumptions - Passenger'!J343/1000000,0)</f>
        <v>57.963703714999994</v>
      </c>
      <c r="K696" s="38">
        <f>IF(OR(K$17=1,K$18=1),'Assumptions - Passenger'!K339*'Assumptions - Passenger'!K343/1000000,0)</f>
        <v>59.702614826449995</v>
      </c>
      <c r="L696" s="38">
        <f>IF(OR(L$17=1,L$18=1),'Assumptions - Passenger'!L339*'Assumptions - Passenger'!L343/1000000,0)</f>
        <v>61.493693271243508</v>
      </c>
      <c r="M696" s="38">
        <f>IF(OR(M$17=1,M$18=1),'Assumptions - Passenger'!M339*'Assumptions - Passenger'!M343/1000000,0)</f>
        <v>63.338504069380811</v>
      </c>
      <c r="N696" s="38">
        <f>IF(OR(N$17=1,N$18=1),'Assumptions - Passenger'!N339*'Assumptions - Passenger'!N343/1000000,0)</f>
        <v>65.238659191462233</v>
      </c>
      <c r="O696" s="38">
        <f>IF(OR(O$17=1,O$18=1),'Assumptions - Passenger'!O339*'Assumptions - Passenger'!O343/1000000,0)</f>
        <v>67.195818967206108</v>
      </c>
      <c r="P696" s="38">
        <f>IF(OR(P$17=1,P$18=1),'Assumptions - Passenger'!P339*'Assumptions - Passenger'!P343/1000000,0)</f>
        <v>69.211693536222285</v>
      </c>
      <c r="Q696" s="38">
        <f>IF(OR(Q$17=1,Q$18=1),'Assumptions - Passenger'!Q339*'Assumptions - Passenger'!Q343/1000000,0)</f>
        <v>71.28804434230895</v>
      </c>
      <c r="R696" s="38">
        <f>IF(OR(R$17=1,R$18=1),'Assumptions - Passenger'!R339*'Assumptions - Passenger'!R343/1000000,0)</f>
        <v>73.42668567257823</v>
      </c>
      <c r="S696" s="38">
        <f>IF(OR(S$17=1,S$18=1),'Assumptions - Passenger'!S339*'Assumptions - Passenger'!S343/1000000,0)</f>
        <v>75.629486242755576</v>
      </c>
      <c r="T696" s="38">
        <f>IF(OR(T$17=1,T$18=1),'Assumptions - Passenger'!T339*'Assumptions - Passenger'!T343/1000000,0)</f>
        <v>77.898370830038232</v>
      </c>
      <c r="U696" s="38">
        <f>IF(OR(U$17=1,U$18=1),'Assumptions - Passenger'!U339*'Assumptions - Passenger'!U343/1000000,0)</f>
        <v>80.23532195493938</v>
      </c>
      <c r="V696" s="38">
        <f>IF(OR(V$17=1,V$18=1),'Assumptions - Passenger'!V339*'Assumptions - Passenger'!V343/1000000,0)</f>
        <v>82.64238161358756</v>
      </c>
      <c r="W696" s="38">
        <f>IF(OR(W$17=1,W$18=1),'Assumptions - Passenger'!W339*'Assumptions - Passenger'!W343/1000000,0)</f>
        <v>85.12165306199519</v>
      </c>
      <c r="X696" s="38">
        <f>IF(OR(X$17=1,X$18=1),'Assumptions - Passenger'!X339*'Assumptions - Passenger'!X343/1000000,0)</f>
        <v>87.675302653855056</v>
      </c>
      <c r="Y696" s="38">
        <f>IF(OR(Y$17=1,Y$18=1),'Assumptions - Passenger'!Y339*'Assumptions - Passenger'!Y343/1000000,0)</f>
        <v>90.305561733470711</v>
      </c>
      <c r="Z696" s="38">
        <f>IF(OR(Z$17=1,Z$18=1),'Assumptions - Passenger'!Z339*'Assumptions - Passenger'!Z343/1000000,0)</f>
        <v>93.014728585474828</v>
      </c>
      <c r="AA696" s="38">
        <f>IF(OR(AA$17=1,AA$18=1),'Assumptions - Passenger'!AA339*'Assumptions - Passenger'!AA343/1000000,0)</f>
        <v>95.805170443039088</v>
      </c>
      <c r="AB696" s="38">
        <f>IF(OR(AB$17=1,AB$18=1),'Assumptions - Passenger'!AB339*'Assumptions - Passenger'!AB343/1000000,0)</f>
        <v>98.679325556330255</v>
      </c>
      <c r="AC696" s="38">
        <f>IF(OR(AC$17=1,AC$18=1),'Assumptions - Passenger'!AC339*'Assumptions - Passenger'!AC343/1000000,0)</f>
        <v>101.63970532302017</v>
      </c>
      <c r="AD696" s="38">
        <f>IF(OR(AD$17=1,AD$18=1),'Assumptions - Passenger'!AD339*'Assumptions - Passenger'!AD343/1000000,0)</f>
        <v>104.68889648271076</v>
      </c>
      <c r="AE696" s="38">
        <f>IF(OR(AE$17=1,AE$18=1),'Assumptions - Passenger'!AE339*'Assumptions - Passenger'!AE343/1000000,0)</f>
        <v>107.82956337719207</v>
      </c>
      <c r="AF696" s="38">
        <f>IF(OR(AF$17=1,AF$18=1),'Assumptions - Passenger'!AF339*'Assumptions - Passenger'!AF343/1000000,0)</f>
        <v>111.06445027850785</v>
      </c>
      <c r="AG696" s="38">
        <f>IF(OR(AG$17=1,AG$18=1),'Assumptions - Passenger'!AG339*'Assumptions - Passenger'!AG343/1000000,0)</f>
        <v>114.39638378686308</v>
      </c>
      <c r="AH696" s="38">
        <f>IF(OR(AH$17=1,AH$18=1),'Assumptions - Passenger'!AH339*'Assumptions - Passenger'!AH343/1000000,0)</f>
        <v>117.828275300469</v>
      </c>
    </row>
    <row r="697" spans="1:34" s="20" customFormat="1" ht="14" x14ac:dyDescent="0.2">
      <c r="B697" s="57" t="s">
        <v>322</v>
      </c>
      <c r="D697" s="20" t="s">
        <v>15</v>
      </c>
      <c r="E697" s="128" t="str">
        <f t="shared" ref="E697:AH697" si="277">IF(E17=1,IF(AND(SUM($E$693:$AH$696)&gt;0,($E$4+SUM($F$17:$AH$17))=E$4),(SUM(E693:E696)/SUM($E693:$E696))^(1/SUM($F$17:$AH$17))-1," ")," ")</f>
        <v xml:space="preserve"> </v>
      </c>
      <c r="F697" s="128" t="str">
        <f t="shared" si="277"/>
        <v xml:space="preserve"> </v>
      </c>
      <c r="G697" s="128" t="str">
        <f t="shared" si="277"/>
        <v xml:space="preserve"> </v>
      </c>
      <c r="H697" s="128" t="str">
        <f t="shared" si="277"/>
        <v xml:space="preserve"> </v>
      </c>
      <c r="I697" s="128" t="str">
        <f t="shared" si="277"/>
        <v xml:space="preserve"> </v>
      </c>
      <c r="J697" s="128" t="str">
        <f t="shared" si="277"/>
        <v xml:space="preserve"> </v>
      </c>
      <c r="K697" s="128" t="str">
        <f t="shared" si="277"/>
        <v xml:space="preserve"> </v>
      </c>
      <c r="L697" s="128" t="str">
        <f t="shared" si="277"/>
        <v xml:space="preserve"> </v>
      </c>
      <c r="M697" s="128" t="str">
        <f t="shared" si="277"/>
        <v xml:space="preserve"> </v>
      </c>
      <c r="N697" s="128" t="str">
        <f t="shared" si="277"/>
        <v xml:space="preserve"> </v>
      </c>
      <c r="O697" s="128" t="str">
        <f t="shared" si="277"/>
        <v xml:space="preserve"> </v>
      </c>
      <c r="P697" s="128" t="str">
        <f t="shared" si="277"/>
        <v xml:space="preserve"> </v>
      </c>
      <c r="Q697" s="128" t="str">
        <f t="shared" si="277"/>
        <v xml:space="preserve"> </v>
      </c>
      <c r="R697" s="128" t="str">
        <f t="shared" si="277"/>
        <v xml:space="preserve"> </v>
      </c>
      <c r="S697" s="128" t="str">
        <f t="shared" si="277"/>
        <v xml:space="preserve"> </v>
      </c>
      <c r="T697" s="128" t="str">
        <f t="shared" si="277"/>
        <v xml:space="preserve"> </v>
      </c>
      <c r="U697" s="128" t="str">
        <f t="shared" si="277"/>
        <v xml:space="preserve"> </v>
      </c>
      <c r="V697" s="128" t="str">
        <f t="shared" si="277"/>
        <v xml:space="preserve"> </v>
      </c>
      <c r="W697" s="128" t="str">
        <f t="shared" si="277"/>
        <v xml:space="preserve"> </v>
      </c>
      <c r="X697" s="128" t="str">
        <f t="shared" si="277"/>
        <v xml:space="preserve"> </v>
      </c>
      <c r="Y697" s="128" t="str">
        <f t="shared" si="277"/>
        <v xml:space="preserve"> </v>
      </c>
      <c r="Z697" s="128" t="str">
        <f t="shared" si="277"/>
        <v xml:space="preserve"> </v>
      </c>
      <c r="AA697" s="128" t="str">
        <f t="shared" si="277"/>
        <v xml:space="preserve"> </v>
      </c>
      <c r="AB697" s="128" t="str">
        <f t="shared" si="277"/>
        <v xml:space="preserve"> </v>
      </c>
      <c r="AC697" s="128" t="str">
        <f t="shared" si="277"/>
        <v xml:space="preserve"> </v>
      </c>
      <c r="AD697" s="128" t="str">
        <f t="shared" si="277"/>
        <v xml:space="preserve"> </v>
      </c>
      <c r="AE697" s="128" t="str">
        <f t="shared" si="277"/>
        <v xml:space="preserve"> </v>
      </c>
      <c r="AF697" s="128" t="str">
        <f t="shared" si="277"/>
        <v xml:space="preserve"> </v>
      </c>
      <c r="AG697" s="128" t="str">
        <f t="shared" si="277"/>
        <v xml:space="preserve"> </v>
      </c>
      <c r="AH697" s="128">
        <f t="shared" si="277"/>
        <v>3.0000000000000027E-2</v>
      </c>
    </row>
    <row r="698" spans="1:34" s="20" customFormat="1" collapsed="1" x14ac:dyDescent="0.2">
      <c r="A698" s="18"/>
      <c r="B698" s="55"/>
      <c r="E698" s="56"/>
      <c r="F698" s="56"/>
      <c r="G698" s="56"/>
      <c r="H698" s="56"/>
      <c r="I698" s="56"/>
      <c r="J698" s="56"/>
      <c r="K698" s="56"/>
      <c r="L698" s="56"/>
      <c r="M698" s="56"/>
      <c r="N698" s="56"/>
      <c r="O698" s="56"/>
      <c r="P698" s="56"/>
      <c r="Q698" s="56"/>
      <c r="R698" s="56"/>
      <c r="S698" s="56"/>
      <c r="T698" s="56"/>
      <c r="U698" s="56"/>
      <c r="V698" s="56"/>
      <c r="W698" s="56"/>
      <c r="X698" s="56"/>
      <c r="Y698" s="56"/>
      <c r="Z698" s="56"/>
      <c r="AA698" s="56"/>
      <c r="AB698" s="56"/>
      <c r="AC698" s="56"/>
      <c r="AD698" s="56"/>
      <c r="AE698" s="56"/>
      <c r="AF698" s="56"/>
      <c r="AG698" s="56"/>
      <c r="AH698" s="56"/>
    </row>
    <row r="699" spans="1:34" x14ac:dyDescent="0.2">
      <c r="A699" s="324"/>
      <c r="B699" s="323" t="str">
        <f>"Dividends for " &amp; 'Assumptions - General'!E25</f>
        <v>Dividends for Ruritania Passenger Rail Company</v>
      </c>
      <c r="C699" s="324"/>
      <c r="D699" s="324"/>
      <c r="E699" s="324"/>
      <c r="F699" s="324"/>
      <c r="G699" s="324"/>
      <c r="H699" s="324"/>
      <c r="I699" s="324"/>
      <c r="J699" s="324"/>
      <c r="K699" s="324"/>
      <c r="L699" s="324"/>
      <c r="M699" s="324"/>
      <c r="N699" s="324"/>
      <c r="O699" s="324"/>
      <c r="P699" s="324"/>
      <c r="Q699" s="324"/>
      <c r="R699" s="324"/>
      <c r="S699" s="324"/>
      <c r="T699" s="324"/>
      <c r="U699" s="324"/>
      <c r="V699" s="324"/>
      <c r="W699" s="324"/>
      <c r="X699" s="324"/>
      <c r="Y699" s="324"/>
      <c r="Z699" s="324"/>
      <c r="AA699" s="324"/>
      <c r="AB699" s="324"/>
      <c r="AC699" s="324"/>
      <c r="AD699" s="324"/>
      <c r="AE699" s="324"/>
      <c r="AF699" s="324"/>
      <c r="AG699" s="324"/>
      <c r="AH699" s="324"/>
    </row>
    <row r="700" spans="1:34" s="20" customFormat="1" ht="14" x14ac:dyDescent="0.2">
      <c r="A700" s="8"/>
      <c r="B700" s="8"/>
      <c r="C700" s="8"/>
      <c r="D700" s="8"/>
      <c r="E700" s="15"/>
      <c r="F700" s="8"/>
      <c r="G700" s="8"/>
      <c r="H700" s="8"/>
      <c r="I700" s="8"/>
      <c r="J700" s="8"/>
      <c r="K700" s="8"/>
      <c r="L700" s="8"/>
      <c r="M700" s="8"/>
      <c r="N700" s="8"/>
      <c r="O700" s="8"/>
      <c r="P700" s="8"/>
      <c r="Q700" s="8"/>
      <c r="R700" s="8"/>
      <c r="S700" s="8"/>
      <c r="T700" s="8"/>
      <c r="U700" s="8"/>
      <c r="V700" s="8"/>
      <c r="W700" s="8"/>
      <c r="X700" s="8"/>
      <c r="Y700" s="8"/>
      <c r="Z700" s="8"/>
      <c r="AA700" s="8"/>
      <c r="AB700" s="8"/>
      <c r="AC700" s="8"/>
      <c r="AD700" s="8"/>
      <c r="AE700" s="8"/>
      <c r="AF700" s="8"/>
      <c r="AG700" s="8"/>
      <c r="AH700" s="8"/>
    </row>
    <row r="701" spans="1:34" s="20" customFormat="1" ht="14" x14ac:dyDescent="0.2">
      <c r="A701" s="8"/>
      <c r="B701" s="8" t="s">
        <v>151</v>
      </c>
      <c r="C701" s="8"/>
      <c r="D701" s="8" t="str">
        <f>'Assumptions - General'!$E$27 &amp;" millions"</f>
        <v>R$ millions</v>
      </c>
      <c r="E701" s="41">
        <f>'Cash flow statement'!E115</f>
        <v>0</v>
      </c>
      <c r="F701" s="41">
        <f>'Cash flow statement'!F115</f>
        <v>9711.9983596389757</v>
      </c>
      <c r="G701" s="41">
        <f>'Cash flow statement'!G115</f>
        <v>10383.080923793646</v>
      </c>
      <c r="H701" s="41">
        <f>'Cash flow statement'!H115</f>
        <v>11332.038751553499</v>
      </c>
      <c r="I701" s="41">
        <f>'Cash flow statement'!I115</f>
        <v>13105.456950143558</v>
      </c>
      <c r="J701" s="41">
        <f>'Cash flow statement'!J115</f>
        <v>14824.734865934801</v>
      </c>
      <c r="K701" s="41">
        <f>'Cash flow statement'!K115</f>
        <v>16376.906870982404</v>
      </c>
      <c r="L701" s="41">
        <f>'Cash flow statement'!L115</f>
        <v>18025.558867202464</v>
      </c>
      <c r="M701" s="41">
        <f>'Cash flow statement'!M115</f>
        <v>19797.382657557842</v>
      </c>
      <c r="N701" s="41">
        <f>'Cash flow statement'!N115</f>
        <v>21677.486956082153</v>
      </c>
      <c r="O701" s="41">
        <f>'Cash flow statement'!O115</f>
        <v>23227.61198253063</v>
      </c>
      <c r="P701" s="41">
        <f>'Cash flow statement'!P115</f>
        <v>25179.813063298785</v>
      </c>
      <c r="Q701" s="41">
        <f>'Cash flow statement'!Q115</f>
        <v>27273.580134959677</v>
      </c>
      <c r="R701" s="41">
        <f>'Cash flow statement'!R115</f>
        <v>29486.136986414142</v>
      </c>
      <c r="S701" s="41">
        <f>'Cash flow statement'!S115</f>
        <v>31823.055235942418</v>
      </c>
      <c r="T701" s="41">
        <f>'Cash flow statement'!T115</f>
        <v>34290.140776367734</v>
      </c>
      <c r="U701" s="41">
        <f>'Cash flow statement'!U115</f>
        <v>36893.067960858076</v>
      </c>
      <c r="V701" s="41">
        <f>'Cash flow statement'!V115</f>
        <v>39637.482506988839</v>
      </c>
      <c r="W701" s="41">
        <f>'Cash flow statement'!W115</f>
        <v>42532.940545235855</v>
      </c>
      <c r="X701" s="41">
        <f>'Cash flow statement'!X115</f>
        <v>45583.475785839277</v>
      </c>
      <c r="Y701" s="41">
        <f>'Cash flow statement'!Y115</f>
        <v>48793.392030694806</v>
      </c>
      <c r="Z701" s="41">
        <f>'Cash flow statement'!Z115</f>
        <v>52178.32062702479</v>
      </c>
      <c r="AA701" s="41">
        <f>'Cash flow statement'!AA115</f>
        <v>55741.360295724051</v>
      </c>
      <c r="AB701" s="41">
        <f>'Cash flow statement'!AB115</f>
        <v>59490.656925452909</v>
      </c>
      <c r="AC701" s="41">
        <f>'Cash flow statement'!AC115</f>
        <v>63433.94622038371</v>
      </c>
      <c r="AD701" s="41">
        <f>'Cash flow statement'!AD115</f>
        <v>67581.208911534108</v>
      </c>
      <c r="AE701" s="41">
        <f>'Cash flow statement'!AE115</f>
        <v>71940.517206861725</v>
      </c>
      <c r="AF701" s="41">
        <f>'Cash flow statement'!AF115</f>
        <v>76520.658109752476</v>
      </c>
      <c r="AG701" s="41">
        <f>'Cash flow statement'!AG115</f>
        <v>81333.913072660231</v>
      </c>
      <c r="AH701" s="41">
        <f>'Cash flow statement'!AH115</f>
        <v>86389.08806641557</v>
      </c>
    </row>
    <row r="702" spans="1:34" s="20" customFormat="1" ht="14" x14ac:dyDescent="0.2">
      <c r="A702" s="8"/>
      <c r="B702" s="8" t="s">
        <v>175</v>
      </c>
      <c r="C702" s="8"/>
      <c r="D702" s="8" t="str">
        <f>'Assumptions - General'!$E$27 &amp;" millions"</f>
        <v>R$ millions</v>
      </c>
      <c r="E702" s="41">
        <f t="shared" ref="E702:AH702" si="278">IF(E17=1,E758+E774+E790+E820+E850+E880+E910,0)</f>
        <v>12.5</v>
      </c>
      <c r="F702" s="41">
        <f t="shared" si="278"/>
        <v>31.349249999999998</v>
      </c>
      <c r="G702" s="41">
        <f t="shared" si="278"/>
        <v>42.235750000000003</v>
      </c>
      <c r="H702" s="41">
        <f t="shared" si="278"/>
        <v>37.868499999999997</v>
      </c>
      <c r="I702" s="41">
        <f t="shared" si="278"/>
        <v>39.062249999999999</v>
      </c>
      <c r="J702" s="41">
        <f t="shared" si="278"/>
        <v>40.175000000000004</v>
      </c>
      <c r="K702" s="41">
        <f t="shared" si="278"/>
        <v>41.231499999999997</v>
      </c>
      <c r="L702" s="41">
        <f t="shared" si="278"/>
        <v>48.549256666915298</v>
      </c>
      <c r="M702" s="41">
        <f t="shared" si="278"/>
        <v>47.195756666915301</v>
      </c>
      <c r="N702" s="41">
        <f t="shared" si="278"/>
        <v>45.817756666915301</v>
      </c>
      <c r="O702" s="41">
        <f t="shared" si="278"/>
        <v>44.401006666915301</v>
      </c>
      <c r="P702" s="41">
        <f t="shared" si="278"/>
        <v>18.724506666915293</v>
      </c>
      <c r="Q702" s="41">
        <f t="shared" si="278"/>
        <v>18.724506666915293</v>
      </c>
      <c r="R702" s="41">
        <f t="shared" si="278"/>
        <v>18.724506666915296</v>
      </c>
      <c r="S702" s="41">
        <f t="shared" si="278"/>
        <v>18.724506666915293</v>
      </c>
      <c r="T702" s="41">
        <f t="shared" si="278"/>
        <v>18.724506666915289</v>
      </c>
      <c r="U702" s="41">
        <f t="shared" si="278"/>
        <v>67.474506666915289</v>
      </c>
      <c r="V702" s="41">
        <f t="shared" si="278"/>
        <v>2.5</v>
      </c>
      <c r="W702" s="41">
        <f t="shared" si="278"/>
        <v>2.5</v>
      </c>
      <c r="X702" s="41">
        <f t="shared" si="278"/>
        <v>2.5</v>
      </c>
      <c r="Y702" s="41">
        <f t="shared" si="278"/>
        <v>2.5</v>
      </c>
      <c r="Z702" s="41">
        <f t="shared" si="278"/>
        <v>2.5</v>
      </c>
      <c r="AA702" s="41">
        <f t="shared" si="278"/>
        <v>2.5</v>
      </c>
      <c r="AB702" s="41">
        <f t="shared" si="278"/>
        <v>2.5</v>
      </c>
      <c r="AC702" s="41">
        <f t="shared" si="278"/>
        <v>2.5</v>
      </c>
      <c r="AD702" s="41">
        <f t="shared" si="278"/>
        <v>2.5</v>
      </c>
      <c r="AE702" s="41">
        <f t="shared" si="278"/>
        <v>51.25</v>
      </c>
      <c r="AF702" s="41">
        <f t="shared" si="278"/>
        <v>0</v>
      </c>
      <c r="AG702" s="41">
        <f t="shared" si="278"/>
        <v>0</v>
      </c>
      <c r="AH702" s="41">
        <f t="shared" si="278"/>
        <v>0</v>
      </c>
    </row>
    <row r="703" spans="1:34" s="20" customFormat="1" ht="14" x14ac:dyDescent="0.2">
      <c r="A703" s="8"/>
      <c r="B703" s="8" t="s">
        <v>152</v>
      </c>
      <c r="C703" s="8"/>
      <c r="D703" s="8" t="s">
        <v>118</v>
      </c>
      <c r="E703" s="50" t="str">
        <f>IF(E17=1,IF(OR(ROUND(E702,0)=0,ROUND(E701,0)=0),"N/A",E701/E702),0)</f>
        <v>N/A</v>
      </c>
      <c r="F703" s="50">
        <f t="shared" ref="F703:AH703" si="279">IF(F17=1,IF(OR(ROUND(F702,0)=0,ROUND(F701,0)=0),"N/A",F701/F702),0)</f>
        <v>309.80002263655354</v>
      </c>
      <c r="G703" s="50">
        <f t="shared" si="279"/>
        <v>245.83630985110116</v>
      </c>
      <c r="H703" s="50">
        <f t="shared" si="279"/>
        <v>299.24709855297937</v>
      </c>
      <c r="I703" s="50">
        <f t="shared" si="279"/>
        <v>335.50184513548396</v>
      </c>
      <c r="J703" s="50">
        <f t="shared" si="279"/>
        <v>369.00397923919849</v>
      </c>
      <c r="K703" s="50">
        <f t="shared" si="279"/>
        <v>397.19405966269494</v>
      </c>
      <c r="L703" s="50">
        <f t="shared" si="279"/>
        <v>371.28393109850191</v>
      </c>
      <c r="M703" s="50">
        <f t="shared" si="279"/>
        <v>419.47378441833536</v>
      </c>
      <c r="N703" s="50">
        <f t="shared" si="279"/>
        <v>473.12414515779477</v>
      </c>
      <c r="O703" s="50">
        <f t="shared" si="279"/>
        <v>523.13255320488747</v>
      </c>
      <c r="P703" s="50">
        <f t="shared" si="279"/>
        <v>1344.7517476008861</v>
      </c>
      <c r="Q703" s="50">
        <f t="shared" si="279"/>
        <v>1456.5713596689793</v>
      </c>
      <c r="R703" s="50">
        <f t="shared" si="279"/>
        <v>1574.7350523532768</v>
      </c>
      <c r="S703" s="50">
        <f t="shared" si="279"/>
        <v>1699.5403832011882</v>
      </c>
      <c r="T703" s="50">
        <f t="shared" si="279"/>
        <v>1831.2974214138137</v>
      </c>
      <c r="U703" s="50">
        <f t="shared" si="279"/>
        <v>546.77047352089528</v>
      </c>
      <c r="V703" s="50">
        <f t="shared" si="279"/>
        <v>15854.993002795536</v>
      </c>
      <c r="W703" s="50">
        <f t="shared" si="279"/>
        <v>17013.176218094341</v>
      </c>
      <c r="X703" s="50">
        <f t="shared" si="279"/>
        <v>18233.390314335709</v>
      </c>
      <c r="Y703" s="50">
        <f t="shared" si="279"/>
        <v>19517.356812277922</v>
      </c>
      <c r="Z703" s="50">
        <f t="shared" si="279"/>
        <v>20871.328250809915</v>
      </c>
      <c r="AA703" s="50">
        <f t="shared" si="279"/>
        <v>22296.544118289621</v>
      </c>
      <c r="AB703" s="50">
        <f t="shared" si="279"/>
        <v>23796.262770181165</v>
      </c>
      <c r="AC703" s="50">
        <f t="shared" si="279"/>
        <v>25373.578488153486</v>
      </c>
      <c r="AD703" s="50">
        <f t="shared" si="279"/>
        <v>27032.483564613642</v>
      </c>
      <c r="AE703" s="50">
        <f t="shared" si="279"/>
        <v>1403.717408914375</v>
      </c>
      <c r="AF703" s="50" t="str">
        <f t="shared" si="279"/>
        <v>N/A</v>
      </c>
      <c r="AG703" s="50" t="str">
        <f t="shared" si="279"/>
        <v>N/A</v>
      </c>
      <c r="AH703" s="50" t="str">
        <f t="shared" si="279"/>
        <v>N/A</v>
      </c>
    </row>
    <row r="704" spans="1:34" s="20" customFormat="1" ht="14" x14ac:dyDescent="0.2">
      <c r="A704" s="8"/>
      <c r="B704" s="8" t="s">
        <v>153</v>
      </c>
      <c r="C704" s="8"/>
      <c r="D704" s="8" t="s">
        <v>118</v>
      </c>
      <c r="E704" s="42">
        <f>IF(E17=1,'Assumptions - Passenger'!$E$355,0)</f>
        <v>1.2</v>
      </c>
      <c r="F704" s="42">
        <f>IF(F17=1,'Assumptions - Passenger'!$E$355,0)</f>
        <v>1.2</v>
      </c>
      <c r="G704" s="42">
        <f>IF(G17=1,'Assumptions - Passenger'!$E$355,0)</f>
        <v>1.2</v>
      </c>
      <c r="H704" s="42">
        <f>IF(H17=1,'Assumptions - Passenger'!$E$355,0)</f>
        <v>1.2</v>
      </c>
      <c r="I704" s="42">
        <f>IF(I17=1,'Assumptions - Passenger'!$E$355,0)</f>
        <v>1.2</v>
      </c>
      <c r="J704" s="42">
        <f>IF(J17=1,'Assumptions - Passenger'!$E$355,0)</f>
        <v>1.2</v>
      </c>
      <c r="K704" s="42">
        <f>IF(K17=1,'Assumptions - Passenger'!$E$355,0)</f>
        <v>1.2</v>
      </c>
      <c r="L704" s="42">
        <f>IF(L17=1,'Assumptions - Passenger'!$E$355,0)</f>
        <v>1.2</v>
      </c>
      <c r="M704" s="42">
        <f>IF(M17=1,'Assumptions - Passenger'!$E$355,0)</f>
        <v>1.2</v>
      </c>
      <c r="N704" s="42">
        <f>IF(N17=1,'Assumptions - Passenger'!$E$355,0)</f>
        <v>1.2</v>
      </c>
      <c r="O704" s="42">
        <f>IF(O17=1,'Assumptions - Passenger'!$E$355,0)</f>
        <v>1.2</v>
      </c>
      <c r="P704" s="42">
        <f>IF(P17=1,'Assumptions - Passenger'!$E$355,0)</f>
        <v>1.2</v>
      </c>
      <c r="Q704" s="42">
        <f>IF(Q17=1,'Assumptions - Passenger'!$E$355,0)</f>
        <v>1.2</v>
      </c>
      <c r="R704" s="42">
        <f>IF(R17=1,'Assumptions - Passenger'!$E$355,0)</f>
        <v>1.2</v>
      </c>
      <c r="S704" s="42">
        <f>IF(S17=1,'Assumptions - Passenger'!$E$355,0)</f>
        <v>1.2</v>
      </c>
      <c r="T704" s="42">
        <f>IF(T17=1,'Assumptions - Passenger'!$E$355,0)</f>
        <v>1.2</v>
      </c>
      <c r="U704" s="42">
        <f>IF(U17=1,'Assumptions - Passenger'!$E$355,0)</f>
        <v>1.2</v>
      </c>
      <c r="V704" s="42">
        <f>IF(V17=1,'Assumptions - Passenger'!$E$355,0)</f>
        <v>1.2</v>
      </c>
      <c r="W704" s="42">
        <f>IF(W17=1,'Assumptions - Passenger'!$E$355,0)</f>
        <v>1.2</v>
      </c>
      <c r="X704" s="42">
        <f>IF(X17=1,'Assumptions - Passenger'!$E$355,0)</f>
        <v>1.2</v>
      </c>
      <c r="Y704" s="42">
        <f>IF(Y17=1,'Assumptions - Passenger'!$E$355,0)</f>
        <v>1.2</v>
      </c>
      <c r="Z704" s="42">
        <f>IF(Z17=1,'Assumptions - Passenger'!$E$355,0)</f>
        <v>1.2</v>
      </c>
      <c r="AA704" s="42">
        <f>IF(AA17=1,'Assumptions - Passenger'!$E$355,0)</f>
        <v>1.2</v>
      </c>
      <c r="AB704" s="42">
        <f>IF(AB17=1,'Assumptions - Passenger'!$E$355,0)</f>
        <v>1.2</v>
      </c>
      <c r="AC704" s="42">
        <f>IF(AC17=1,'Assumptions - Passenger'!$E$355,0)</f>
        <v>1.2</v>
      </c>
      <c r="AD704" s="42">
        <f>IF(AD17=1,'Assumptions - Passenger'!$E$355,0)</f>
        <v>1.2</v>
      </c>
      <c r="AE704" s="42">
        <f>IF(AE17=1,'Assumptions - Passenger'!$E$355,0)</f>
        <v>1.2</v>
      </c>
      <c r="AF704" s="42">
        <f>IF(AF17=1,'Assumptions - Passenger'!$E$355,0)</f>
        <v>1.2</v>
      </c>
      <c r="AG704" s="42">
        <f>IF(AG17=1,'Assumptions - Passenger'!$E$355,0)</f>
        <v>1.2</v>
      </c>
      <c r="AH704" s="42">
        <f>IF(AH17=1,'Assumptions - Passenger'!$E$355,0)</f>
        <v>1.2</v>
      </c>
    </row>
    <row r="705" spans="1:34" s="20" customFormat="1" ht="14" x14ac:dyDescent="0.2">
      <c r="A705" s="8"/>
      <c r="B705" s="8" t="s">
        <v>646</v>
      </c>
      <c r="C705" s="8"/>
      <c r="D705" s="8" t="str">
        <f>'Assumptions - General'!$E$27 &amp;" millions"</f>
        <v>R$ millions</v>
      </c>
      <c r="E705" s="29">
        <f>IF(E17=1,'Cash flow statement'!E122+'Cash flow statement'!E127+'Cash flow statement'!E126,0)</f>
        <v>0</v>
      </c>
      <c r="F705" s="29">
        <f>IF(F17=1,'Cash flow statement'!F122+'Cash flow statement'!F127+'Cash flow statement'!F126,0)</f>
        <v>-234.55</v>
      </c>
      <c r="G705" s="29">
        <f>IF(G17=1,'Cash flow statement'!G122+'Cash flow statement'!G127+'Cash flow statement'!G126,0)</f>
        <v>-194.0865</v>
      </c>
      <c r="H705" s="29">
        <f>IF(H17=1,'Cash flow statement'!H122+'Cash flow statement'!H127+'Cash flow statement'!H126,0)</f>
        <v>-193.609095</v>
      </c>
      <c r="I705" s="29">
        <f>IF(I17=1,'Cash flow statement'!I122+'Cash flow statement'!I127+'Cash flow statement'!I126,0)</f>
        <v>-193.11736784999999</v>
      </c>
      <c r="J705" s="29">
        <f>IF(J17=1,'Cash flow statement'!J122+'Cash flow statement'!J127+'Cash flow statement'!J126,0)</f>
        <v>-192.6108888855</v>
      </c>
      <c r="K705" s="29">
        <f>IF(K17=1,'Cash flow statement'!K122+'Cash flow statement'!K127+'Cash flow statement'!K126,0)</f>
        <v>-192.08921555206501</v>
      </c>
      <c r="L705" s="29">
        <f>IF(L17=1,'Cash flow statement'!L122+'Cash flow statement'!L127+'Cash flow statement'!L126,0)</f>
        <v>-231.55189201862694</v>
      </c>
      <c r="M705" s="29">
        <f>IF(M17=1,'Cash flow statement'!M122+'Cash flow statement'!M127+'Cash flow statement'!M126,0)</f>
        <v>-230.99844877918576</v>
      </c>
      <c r="N705" s="29">
        <f>IF(N17=1,'Cash flow statement'!N122+'Cash flow statement'!N127+'Cash flow statement'!N126,0)</f>
        <v>-235.42840224256133</v>
      </c>
      <c r="O705" s="29">
        <f>IF(O17=1,'Cash flow statement'!O122+'Cash flow statement'!O127+'Cash flow statement'!O126,0)</f>
        <v>-234.84125430983818</v>
      </c>
      <c r="P705" s="29">
        <f>IF(P17=1,'Cash flow statement'!P122+'Cash flow statement'!P127+'Cash flow statement'!P126,0)</f>
        <v>-234.23649193913332</v>
      </c>
      <c r="Q705" s="29">
        <f>IF(Q17=1,'Cash flow statement'!Q122+'Cash flow statement'!Q127+'Cash flow statement'!Q126,0)</f>
        <v>-233.61358669730731</v>
      </c>
      <c r="R705" s="29">
        <f>IF(R17=1,'Cash flow statement'!R122+'Cash flow statement'!R127+'Cash flow statement'!R126,0)</f>
        <v>-232.97199429822652</v>
      </c>
      <c r="S705" s="29">
        <f>IF(S17=1,'Cash flow statement'!S122+'Cash flow statement'!S127+'Cash flow statement'!S126,0)</f>
        <v>-232.31115412717332</v>
      </c>
      <c r="T705" s="29">
        <f>IF(T17=1,'Cash flow statement'!T122+'Cash flow statement'!T127+'Cash flow statement'!T126,0)</f>
        <v>-231.63048875098852</v>
      </c>
      <c r="U705" s="29">
        <f>IF(U17=1,'Cash flow statement'!U122+'Cash flow statement'!U127+'Cash flow statement'!U126,0)</f>
        <v>-230.92940341351817</v>
      </c>
      <c r="V705" s="29">
        <f>IF(V17=1,'Cash flow statement'!V122+'Cash flow statement'!V127+'Cash flow statement'!V126,0)</f>
        <v>-230.20728551592373</v>
      </c>
      <c r="W705" s="29">
        <f>IF(W17=1,'Cash flow statement'!W122+'Cash flow statement'!W127+'Cash flow statement'!W126,0)</f>
        <v>-229.46350408140142</v>
      </c>
      <c r="X705" s="29">
        <f>IF(X17=1,'Cash flow statement'!X122+'Cash flow statement'!X127+'Cash flow statement'!X126,0)</f>
        <v>-228.69740920384348</v>
      </c>
      <c r="Y705" s="29">
        <f>IF(Y17=1,'Cash flow statement'!Y122+'Cash flow statement'!Y127+'Cash flow statement'!Y126,0)</f>
        <v>-227.90833147995878</v>
      </c>
      <c r="Z705" s="29">
        <f>IF(Z17=1,'Cash flow statement'!Z122+'Cash flow statement'!Z127+'Cash flow statement'!Z126,0)</f>
        <v>-232.09558142435753</v>
      </c>
      <c r="AA705" s="29">
        <f>IF(AA17=1,'Cash flow statement'!AA122+'Cash flow statement'!AA127+'Cash flow statement'!AA126,0)</f>
        <v>-231.25844886708828</v>
      </c>
      <c r="AB705" s="29">
        <f>IF(AB17=1,'Cash flow statement'!AB122+'Cash flow statement'!AB127+'Cash flow statement'!AB126,0)</f>
        <v>-230.39620233310092</v>
      </c>
      <c r="AC705" s="29">
        <f>IF(AC17=1,'Cash flow statement'!AC122+'Cash flow statement'!AC127+'Cash flow statement'!AC126,0)</f>
        <v>-229.50808840309395</v>
      </c>
      <c r="AD705" s="29">
        <f>IF(AD17=1,'Cash flow statement'!AD122+'Cash flow statement'!AD127+'Cash flow statement'!AD126,0)</f>
        <v>-228.59333105518675</v>
      </c>
      <c r="AE705" s="29">
        <f>IF(AE17=1,'Cash flow statement'!AE122+'Cash flow statement'!AE127+'Cash flow statement'!AE126,0)</f>
        <v>-227.65113098684236</v>
      </c>
      <c r="AF705" s="29">
        <f>IF(AF17=1,'Cash flow statement'!AF122+'Cash flow statement'!AF127+'Cash flow statement'!AF126,0)</f>
        <v>-226.68066491644763</v>
      </c>
      <c r="AG705" s="29">
        <f>IF(AG17=1,'Cash flow statement'!AG122+'Cash flow statement'!AG127+'Cash flow statement'!AG126,0)</f>
        <v>-225.68108486394107</v>
      </c>
      <c r="AH705" s="29">
        <f>IF(AH17=1,'Cash flow statement'!AH122+'Cash flow statement'!AH127+'Cash flow statement'!AH126,0)</f>
        <v>-224.65151740985928</v>
      </c>
    </row>
    <row r="706" spans="1:34" s="20" customFormat="1" ht="14" x14ac:dyDescent="0.2">
      <c r="A706" s="8"/>
      <c r="B706" s="8" t="s">
        <v>156</v>
      </c>
      <c r="C706" s="8"/>
      <c r="D706" s="8" t="str">
        <f>'Assumptions - General'!$E$27 &amp;" millions"</f>
        <v>R$ millions</v>
      </c>
      <c r="E706" s="50">
        <f t="shared" ref="E706:AH706" si="280">IF(E17=1,E701-E702+E705,0)</f>
        <v>-12.5</v>
      </c>
      <c r="F706" s="50">
        <f t="shared" si="280"/>
        <v>9446.0991096389771</v>
      </c>
      <c r="G706" s="50">
        <f t="shared" si="280"/>
        <v>10146.758673793647</v>
      </c>
      <c r="H706" s="50">
        <f t="shared" si="280"/>
        <v>11100.561156553498</v>
      </c>
      <c r="I706" s="50">
        <f t="shared" si="280"/>
        <v>12873.277332293557</v>
      </c>
      <c r="J706" s="50">
        <f t="shared" si="280"/>
        <v>14591.948977049302</v>
      </c>
      <c r="K706" s="50">
        <f t="shared" si="280"/>
        <v>16143.586155430339</v>
      </c>
      <c r="L706" s="50">
        <f t="shared" si="280"/>
        <v>17745.457718516922</v>
      </c>
      <c r="M706" s="50">
        <f t="shared" si="280"/>
        <v>19519.188452111743</v>
      </c>
      <c r="N706" s="50">
        <f t="shared" si="280"/>
        <v>21396.240797172679</v>
      </c>
      <c r="O706" s="50">
        <f t="shared" si="280"/>
        <v>22948.369721553878</v>
      </c>
      <c r="P706" s="50">
        <f t="shared" si="280"/>
        <v>24926.852064692735</v>
      </c>
      <c r="Q706" s="50">
        <f t="shared" si="280"/>
        <v>27021.242041595451</v>
      </c>
      <c r="R706" s="50">
        <f t="shared" si="280"/>
        <v>29234.440485448999</v>
      </c>
      <c r="S706" s="50">
        <f t="shared" si="280"/>
        <v>31572.01957514833</v>
      </c>
      <c r="T706" s="50">
        <f t="shared" si="280"/>
        <v>34039.785780949831</v>
      </c>
      <c r="U706" s="50">
        <f t="shared" si="280"/>
        <v>36594.664050777646</v>
      </c>
      <c r="V706" s="50">
        <f t="shared" si="280"/>
        <v>39404.775221472919</v>
      </c>
      <c r="W706" s="50">
        <f t="shared" si="280"/>
        <v>42300.977041154452</v>
      </c>
      <c r="X706" s="50">
        <f t="shared" si="280"/>
        <v>45352.278376635433</v>
      </c>
      <c r="Y706" s="50">
        <f t="shared" si="280"/>
        <v>48562.983699214848</v>
      </c>
      <c r="Z706" s="50">
        <f t="shared" si="280"/>
        <v>51943.725045600433</v>
      </c>
      <c r="AA706" s="50">
        <f t="shared" si="280"/>
        <v>55507.60184685696</v>
      </c>
      <c r="AB706" s="50">
        <f t="shared" si="280"/>
        <v>59257.760723119805</v>
      </c>
      <c r="AC706" s="50">
        <f t="shared" si="280"/>
        <v>63201.93813198062</v>
      </c>
      <c r="AD706" s="50">
        <f t="shared" si="280"/>
        <v>67350.115580478916</v>
      </c>
      <c r="AE706" s="50">
        <f t="shared" si="280"/>
        <v>71661.616075874888</v>
      </c>
      <c r="AF706" s="50">
        <f t="shared" si="280"/>
        <v>76293.977444836026</v>
      </c>
      <c r="AG706" s="50">
        <f t="shared" si="280"/>
        <v>81108.231987796287</v>
      </c>
      <c r="AH706" s="50">
        <f t="shared" si="280"/>
        <v>86164.43654900571</v>
      </c>
    </row>
    <row r="707" spans="1:34" s="20" customFormat="1" ht="14" x14ac:dyDescent="0.2">
      <c r="A707" s="8"/>
      <c r="B707" s="8" t="s">
        <v>154</v>
      </c>
      <c r="C707" s="8"/>
      <c r="D707" s="8" t="str">
        <f>'Assumptions - General'!$E$27 &amp;" millions"</f>
        <v>R$ millions</v>
      </c>
      <c r="E707" s="41">
        <f>IF(E17=1,IF(AND(E703&gt;=E704,E703&gt;0,E706&gt;0),'Assumptions - Passenger'!$E$357*Calculations!E706,0),0)</f>
        <v>0</v>
      </c>
      <c r="F707" s="41">
        <f>IF(F17=1,IF(AND(F703&gt;=F704,F703&gt;0,F706&gt;0),'Assumptions - Passenger'!$E$357*Calculations!F706,0),0)</f>
        <v>4723.0495548194885</v>
      </c>
      <c r="G707" s="41">
        <f>IF(G17=1,IF(AND(G703&gt;=G704,G703&gt;0,G706&gt;0),'Assumptions - Passenger'!$E$357*Calculations!G706,0),0)</f>
        <v>5073.3793368968236</v>
      </c>
      <c r="H707" s="41">
        <f>IF(H17=1,IF(AND(H703&gt;=H704,H703&gt;0,H706&gt;0),'Assumptions - Passenger'!$E$357*Calculations!H706,0),0)</f>
        <v>5550.2805782767491</v>
      </c>
      <c r="I707" s="41">
        <f>IF(I17=1,IF(AND(I703&gt;=I704,I703&gt;0,I706&gt;0),'Assumptions - Passenger'!$E$357*Calculations!I706,0),0)</f>
        <v>6436.6386661467786</v>
      </c>
      <c r="J707" s="41">
        <f>IF(J17=1,IF(AND(J703&gt;=J704,J703&gt;0,J706&gt;0),'Assumptions - Passenger'!$E$357*Calculations!J706,0),0)</f>
        <v>7295.974488524651</v>
      </c>
      <c r="K707" s="41">
        <f>IF(K17=1,IF(AND(K703&gt;=K704,K703&gt;0,K706&gt;0),'Assumptions - Passenger'!$E$357*Calculations!K706,0),0)</f>
        <v>8071.7930777151696</v>
      </c>
      <c r="L707" s="41">
        <f>IF(L17=1,IF(AND(L703&gt;=L704,L703&gt;0,L706&gt;0),'Assumptions - Passenger'!$E$357*Calculations!L706,0),0)</f>
        <v>8872.7288592584609</v>
      </c>
      <c r="M707" s="41">
        <f>IF(M17=1,IF(AND(M703&gt;=M704,M703&gt;0,M706&gt;0),'Assumptions - Passenger'!$E$357*Calculations!M706,0),0)</f>
        <v>9759.5942260558713</v>
      </c>
      <c r="N707" s="41">
        <f>IF(N17=1,IF(AND(N703&gt;=N704,N703&gt;0,N706&gt;0),'Assumptions - Passenger'!$E$357*Calculations!N706,0),0)</f>
        <v>10698.120398586339</v>
      </c>
      <c r="O707" s="41">
        <f>IF(O17=1,IF(AND(O703&gt;=O704,O703&gt;0,O706&gt;0),'Assumptions - Passenger'!$E$357*Calculations!O706,0),0)</f>
        <v>11474.184860776939</v>
      </c>
      <c r="P707" s="41">
        <f>IF(P17=1,IF(AND(P703&gt;=P704,P703&gt;0,P706&gt;0),'Assumptions - Passenger'!$E$357*Calculations!P706,0),0)</f>
        <v>12463.426032346368</v>
      </c>
      <c r="Q707" s="41">
        <f>IF(Q17=1,IF(AND(Q703&gt;=Q704,Q703&gt;0,Q706&gt;0),'Assumptions - Passenger'!$E$357*Calculations!Q706,0),0)</f>
        <v>13510.621020797726</v>
      </c>
      <c r="R707" s="41">
        <f>IF(R17=1,IF(AND(R703&gt;=R704,R703&gt;0,R706&gt;0),'Assumptions - Passenger'!$E$357*Calculations!R706,0),0)</f>
        <v>14617.220242724499</v>
      </c>
      <c r="S707" s="41">
        <f>IF(S17=1,IF(AND(S703&gt;=S704,S703&gt;0,S706&gt;0),'Assumptions - Passenger'!$E$357*Calculations!S706,0),0)</f>
        <v>15786.009787574165</v>
      </c>
      <c r="T707" s="41">
        <f>IF(T17=1,IF(AND(T703&gt;=T704,T703&gt;0,T706&gt;0),'Assumptions - Passenger'!$E$357*Calculations!T706,0),0)</f>
        <v>17019.892890474915</v>
      </c>
      <c r="U707" s="41">
        <f>IF(U17=1,IF(AND(U703&gt;=U704,U703&gt;0,U706&gt;0),'Assumptions - Passenger'!$E$357*Calculations!U706,0),0)</f>
        <v>18297.332025388823</v>
      </c>
      <c r="V707" s="41">
        <f>IF(V17=1,IF(AND(V703&gt;=V704,V703&gt;0,V706&gt;0),'Assumptions - Passenger'!$E$357*Calculations!V706,0),0)</f>
        <v>19702.387610736459</v>
      </c>
      <c r="W707" s="41">
        <f>IF(W17=1,IF(AND(W703&gt;=W704,W703&gt;0,W706&gt;0),'Assumptions - Passenger'!$E$357*Calculations!W706,0),0)</f>
        <v>21150.488520577226</v>
      </c>
      <c r="X707" s="41">
        <f>IF(X17=1,IF(AND(X703&gt;=X704,X703&gt;0,X706&gt;0),'Assumptions - Passenger'!$E$357*Calculations!X706,0),0)</f>
        <v>22676.139188317717</v>
      </c>
      <c r="Y707" s="41">
        <f>IF(Y17=1,IF(AND(Y703&gt;=Y704,Y703&gt;0,Y706&gt;0),'Assumptions - Passenger'!$E$357*Calculations!Y706,0),0)</f>
        <v>24281.491849607424</v>
      </c>
      <c r="Z707" s="41">
        <f>IF(Z17=1,IF(AND(Z703&gt;=Z704,Z703&gt;0,Z706&gt;0),'Assumptions - Passenger'!$E$357*Calculations!Z706,0),0)</f>
        <v>25971.862522800217</v>
      </c>
      <c r="AA707" s="41">
        <f>IF(AA17=1,IF(AND(AA703&gt;=AA704,AA703&gt;0,AA706&gt;0),'Assumptions - Passenger'!$E$357*Calculations!AA706,0),0)</f>
        <v>27753.80092342848</v>
      </c>
      <c r="AB707" s="41">
        <f>IF(AB17=1,IF(AND(AB703&gt;=AB704,AB703&gt;0,AB706&gt;0),'Assumptions - Passenger'!$E$357*Calculations!AB706,0),0)</f>
        <v>29628.880361559903</v>
      </c>
      <c r="AC707" s="41">
        <f>IF(AC17=1,IF(AND(AC703&gt;=AC704,AC703&gt;0,AC706&gt;0),'Assumptions - Passenger'!$E$357*Calculations!AC706,0),0)</f>
        <v>31600.96906599031</v>
      </c>
      <c r="AD707" s="41">
        <f>IF(AD17=1,IF(AND(AD703&gt;=AD704,AD703&gt;0,AD706&gt;0),'Assumptions - Passenger'!$E$357*Calculations!AD706,0),0)</f>
        <v>33675.057790239458</v>
      </c>
      <c r="AE707" s="41">
        <f>IF(AE17=1,IF(AND(AE703&gt;=AE704,AE703&gt;0,AE706&gt;0),'Assumptions - Passenger'!$E$357*Calculations!AE706,0),0)</f>
        <v>35830.808037937444</v>
      </c>
      <c r="AF707" s="41">
        <f>IF(AF17=1,IF(AND(AF703&gt;=AF704,AF703&gt;0,AF706&gt;0),'Assumptions - Passenger'!$E$357*Calculations!AF706,0),0)</f>
        <v>38146.988722418013</v>
      </c>
      <c r="AG707" s="41">
        <f>IF(AG17=1,IF(AND(AG703&gt;=AG704,AG703&gt;0,AG706&gt;0),'Assumptions - Passenger'!$E$357*Calculations!AG706,0),0)</f>
        <v>40554.115993898144</v>
      </c>
      <c r="AH707" s="41">
        <f>IF(AH17=1,IF(AND(AH703&gt;=AH704,AH703&gt;0,AH706&gt;0),'Assumptions - Passenger'!$E$357*Calculations!AH706,0),0)</f>
        <v>43082.218274502855</v>
      </c>
    </row>
    <row r="709" spans="1:34" x14ac:dyDescent="0.2">
      <c r="A709" s="324"/>
      <c r="B709" s="323" t="str">
        <f>"Financial results for " &amp;'Assumptions - General'!E25</f>
        <v>Financial results for Ruritania Passenger Rail Company</v>
      </c>
      <c r="C709" s="324"/>
      <c r="D709" s="324"/>
      <c r="E709" s="324"/>
      <c r="F709" s="324"/>
      <c r="G709" s="324"/>
      <c r="H709" s="324"/>
      <c r="I709" s="324"/>
      <c r="J709" s="324"/>
      <c r="K709" s="324"/>
      <c r="L709" s="324"/>
      <c r="M709" s="324"/>
      <c r="N709" s="324"/>
      <c r="O709" s="324"/>
      <c r="P709" s="324"/>
      <c r="Q709" s="324"/>
      <c r="R709" s="324"/>
      <c r="S709" s="324"/>
      <c r="T709" s="324"/>
      <c r="U709" s="324"/>
      <c r="V709" s="324"/>
      <c r="W709" s="324"/>
      <c r="X709" s="324"/>
      <c r="Y709" s="324"/>
      <c r="Z709" s="324"/>
      <c r="AA709" s="324"/>
      <c r="AB709" s="324"/>
      <c r="AC709" s="324"/>
      <c r="AD709" s="324"/>
      <c r="AE709" s="324"/>
      <c r="AF709" s="324"/>
      <c r="AG709" s="324"/>
      <c r="AH709" s="324"/>
    </row>
    <row r="710" spans="1:34" s="20" customFormat="1" ht="14" x14ac:dyDescent="0.2">
      <c r="A710" s="8"/>
      <c r="B710" s="8"/>
      <c r="C710" s="8"/>
      <c r="D710" s="8"/>
      <c r="E710" s="15"/>
      <c r="F710" s="8"/>
      <c r="G710" s="8"/>
      <c r="H710" s="8"/>
      <c r="I710" s="8"/>
      <c r="J710" s="8"/>
      <c r="K710" s="8"/>
      <c r="L710" s="8"/>
      <c r="M710" s="8"/>
      <c r="N710" s="8"/>
      <c r="O710" s="8"/>
      <c r="P710" s="8"/>
      <c r="Q710" s="8"/>
      <c r="R710" s="8"/>
      <c r="S710" s="8"/>
      <c r="T710" s="8"/>
      <c r="U710" s="8"/>
      <c r="V710" s="8"/>
      <c r="W710" s="8"/>
      <c r="X710" s="8"/>
      <c r="Y710" s="8"/>
      <c r="Z710" s="8"/>
      <c r="AA710" s="8"/>
      <c r="AB710" s="8"/>
      <c r="AC710" s="8"/>
      <c r="AD710" s="8"/>
      <c r="AE710" s="8"/>
      <c r="AF710" s="8"/>
      <c r="AG710" s="8"/>
      <c r="AH710" s="8"/>
    </row>
    <row r="711" spans="1:34" s="20" customFormat="1" ht="14" x14ac:dyDescent="0.2">
      <c r="A711" s="8"/>
      <c r="B711" s="8" t="s">
        <v>102</v>
      </c>
      <c r="C711" s="8"/>
      <c r="D711" s="8" t="str">
        <f>'Assumptions - General'!$E$27 &amp;" millions"</f>
        <v>R$ millions</v>
      </c>
      <c r="E711" s="41">
        <f>'Income statement'!E127</f>
        <v>9085.65</v>
      </c>
      <c r="F711" s="41">
        <f>'Income statement'!F127</f>
        <v>10031.017079919908</v>
      </c>
      <c r="G711" s="41">
        <f>'Income statement'!G127</f>
        <v>10443.747632481924</v>
      </c>
      <c r="H711" s="41">
        <f>'Income statement'!H127</f>
        <v>11662.664651275843</v>
      </c>
      <c r="I711" s="41">
        <f>'Income statement'!I127</f>
        <v>13730.126663933072</v>
      </c>
      <c r="J711" s="41">
        <f>'Income statement'!J127</f>
        <v>15191.429591808224</v>
      </c>
      <c r="K711" s="41">
        <f>'Income statement'!K127</f>
        <v>16759.096229498435</v>
      </c>
      <c r="L711" s="41">
        <f>'Income statement'!L127</f>
        <v>18425.354855749618</v>
      </c>
      <c r="M711" s="41">
        <f>'Income statement'!M127</f>
        <v>20217.354527755851</v>
      </c>
      <c r="N711" s="41">
        <f>'Income statement'!N127</f>
        <v>22118.521191125903</v>
      </c>
      <c r="O711" s="41">
        <f>'Income statement'!O127</f>
        <v>23691.633027638738</v>
      </c>
      <c r="P711" s="41">
        <f>'Income statement'!P127</f>
        <v>25666.462253361551</v>
      </c>
      <c r="Q711" s="41">
        <f>'Income statement'!Q127</f>
        <v>27783.319097874337</v>
      </c>
      <c r="R711" s="41">
        <f>'Income statement'!R127</f>
        <v>30020.170710239188</v>
      </c>
      <c r="S711" s="41">
        <f>'Income statement'!S127</f>
        <v>32382.635367497634</v>
      </c>
      <c r="T711" s="41">
        <f>'Income statement'!T127</f>
        <v>34876.567378973668</v>
      </c>
      <c r="U711" s="41">
        <f>'Income statement'!U127</f>
        <v>37508.941338439588</v>
      </c>
      <c r="V711" s="41">
        <f>'Income statement'!V127</f>
        <v>40284.205097140119</v>
      </c>
      <c r="W711" s="41">
        <f>'Income statement'!W127</f>
        <v>43209.887673062716</v>
      </c>
      <c r="X711" s="41">
        <f>'Income statement'!X127</f>
        <v>46295.016627994177</v>
      </c>
      <c r="Y711" s="41">
        <f>'Income statement'!Y127</f>
        <v>49553.289191685326</v>
      </c>
      <c r="Z711" s="41">
        <f>'Income statement'!Z127</f>
        <v>52972.759212714962</v>
      </c>
      <c r="AA711" s="41">
        <f>'Income statement'!AA127</f>
        <v>56571.971402402938</v>
      </c>
      <c r="AB711" s="41">
        <f>'Income statement'!AB127</f>
        <v>60359.132730547892</v>
      </c>
      <c r="AC711" s="41">
        <f>'Income statement'!AC127</f>
        <v>64344.168386687095</v>
      </c>
      <c r="AD711" s="41">
        <f>'Income statement'!AD127</f>
        <v>68532.8670720542</v>
      </c>
      <c r="AE711" s="41">
        <f>'Income statement'!AE127</f>
        <v>72936.74994894542</v>
      </c>
      <c r="AF711" s="41">
        <f>'Income statement'!AF127</f>
        <v>77563.424355170093</v>
      </c>
      <c r="AG711" s="41">
        <f>'Income statement'!AG127</f>
        <v>82423.994599495432</v>
      </c>
      <c r="AH711" s="41">
        <f>'Income statement'!AH127</f>
        <v>87528.592118720233</v>
      </c>
    </row>
    <row r="712" spans="1:34" s="20" customFormat="1" ht="14" x14ac:dyDescent="0.2">
      <c r="A712" s="8"/>
      <c r="B712" s="8" t="s">
        <v>214</v>
      </c>
      <c r="C712" s="8"/>
      <c r="D712" s="8" t="str">
        <f>'Assumptions - General'!$E$27 &amp;" millions"</f>
        <v>R$ millions</v>
      </c>
      <c r="E712" s="41">
        <f>IF(E$17=1,'Income statement'!E103," ")</f>
        <v>24512</v>
      </c>
      <c r="F712" s="41">
        <f>IF(F$17=1,'Income statement'!F103," ")</f>
        <v>26776.924713958808</v>
      </c>
      <c r="G712" s="41">
        <f>IF(G$17=1,'Income statement'!G103," ")</f>
        <v>27566.26488385785</v>
      </c>
      <c r="H712" s="41">
        <f>IF(H$17=1,'Income statement'!H103," ")</f>
        <v>30017.618080946355</v>
      </c>
      <c r="I712" s="41">
        <f>IF(I$17=1,'Income statement'!I103," ")</f>
        <v>34279.949024389927</v>
      </c>
      <c r="J712" s="41">
        <f>IF(J$17=1,'Income statement'!J103," ")</f>
        <v>37032.53579802921</v>
      </c>
      <c r="K712" s="41">
        <f>IF(K$17=1,'Income statement'!K103," ")</f>
        <v>39919.86872866359</v>
      </c>
      <c r="L712" s="41">
        <f>IF(L$17=1,'Income statement'!L103," ")</f>
        <v>42947.555221003211</v>
      </c>
      <c r="M712" s="41">
        <f>IF(M$17=1,'Income statement'!M103," ")</f>
        <v>46121.417852499559</v>
      </c>
      <c r="N712" s="41">
        <f>IF(N$17=1,'Income statement'!N103," ")</f>
        <v>49447.511898881392</v>
      </c>
      <c r="O712" s="41">
        <f>IF(O$17=1,'Income statement'!O103," ")</f>
        <v>52932.085166842822</v>
      </c>
      <c r="P712" s="41">
        <f>IF(P$17=1,'Income statement'!P103," ")</f>
        <v>56581.692703882596</v>
      </c>
      <c r="Q712" s="41">
        <f>IF(Q$17=1,'Income statement'!Q103," ")</f>
        <v>60403.079921803474</v>
      </c>
      <c r="R712" s="41">
        <f>IF(R$17=1,'Income statement'!R103," ")</f>
        <v>64403.26892675741</v>
      </c>
      <c r="S712" s="41">
        <f>IF(S$17=1,'Income statement'!S103," ")</f>
        <v>68589.548549552623</v>
      </c>
      <c r="T712" s="41">
        <f>IF(T$17=1,'Income statement'!T103," ")</f>
        <v>72969.484029237487</v>
      </c>
      <c r="U712" s="41">
        <f>IF(U$17=1,'Income statement'!U103," ")</f>
        <v>77550.9270376473</v>
      </c>
      <c r="V712" s="41">
        <f>IF(V$17=1,'Income statement'!V103," ")</f>
        <v>82342.026056656177</v>
      </c>
      <c r="W712" s="41">
        <f>IF(W$17=1,'Income statement'!W103," ")</f>
        <v>87351.237120274876</v>
      </c>
      <c r="X712" s="41">
        <f>IF(X$17=1,'Income statement'!X103," ")</f>
        <v>92587.19966844481</v>
      </c>
      <c r="Y712" s="41">
        <f>IF(Y$17=1,'Income statement'!Y103," ")</f>
        <v>98058.577363466902</v>
      </c>
      <c r="Z712" s="41">
        <f>IF(Z$17=1,'Income statement'!Z103," ")</f>
        <v>103776.10431871914</v>
      </c>
      <c r="AA712" s="41">
        <f>IF(AA$17=1,'Income statement'!AA103," ")</f>
        <v>109748.87054206799</v>
      </c>
      <c r="AB712" s="41">
        <f>IF(AB$17=1,'Income statement'!AB103," ")</f>
        <v>115987.04459601869</v>
      </c>
      <c r="AC712" s="41">
        <f>IF(AC$17=1,'Income statement'!AC103," ")</f>
        <v>122501.07173193288</v>
      </c>
      <c r="AD712" s="41">
        <f>IF(AD$17=1,'Income statement'!AD103," ")</f>
        <v>129302.09723360164</v>
      </c>
      <c r="AE712" s="41">
        <f>IF(AE$17=1,'Income statement'!AE103," ")</f>
        <v>136401.37348583053</v>
      </c>
      <c r="AF712" s="41">
        <f>IF(AF$17=1,'Income statement'!AF103," ")</f>
        <v>143810.6746003149</v>
      </c>
      <c r="AG712" s="41">
        <f>IF(AG$17=1,'Income statement'!AG103," ")</f>
        <v>151542.21271132951</v>
      </c>
      <c r="AH712" s="41">
        <f>IF(AH$17=1,'Income statement'!AH103," ")</f>
        <v>159608.6536601354</v>
      </c>
    </row>
    <row r="713" spans="1:34" s="20" customFormat="1" ht="14" x14ac:dyDescent="0.2">
      <c r="A713" s="8"/>
      <c r="B713" s="8" t="s">
        <v>213</v>
      </c>
      <c r="C713" s="8"/>
      <c r="D713" s="8" t="s">
        <v>15</v>
      </c>
      <c r="E713" s="54">
        <f>IF(E17=1,E711/E712,"N/A")</f>
        <v>0.37066130874673625</v>
      </c>
      <c r="F713" s="54">
        <f t="shared" ref="F713:AH713" si="281">IF(F17=1,F711/F712,"N/A")</f>
        <v>0.37461423173404002</v>
      </c>
      <c r="G713" s="54">
        <f t="shared" si="281"/>
        <v>0.37885972860246053</v>
      </c>
      <c r="H713" s="54">
        <f t="shared" si="281"/>
        <v>0.38852731818447328</v>
      </c>
      <c r="I713" s="54">
        <f t="shared" si="281"/>
        <v>0.40052937809692157</v>
      </c>
      <c r="J713" s="54">
        <f t="shared" si="281"/>
        <v>0.41021845424413739</v>
      </c>
      <c r="K713" s="54">
        <f t="shared" si="281"/>
        <v>0.4198184203312505</v>
      </c>
      <c r="L713" s="54">
        <f t="shared" si="281"/>
        <v>0.4290198769390911</v>
      </c>
      <c r="M713" s="54">
        <f t="shared" si="281"/>
        <v>0.43835067240154607</v>
      </c>
      <c r="N713" s="54">
        <f t="shared" si="281"/>
        <v>0.44731312743010376</v>
      </c>
      <c r="O713" s="54">
        <f t="shared" si="281"/>
        <v>0.44758548530560077</v>
      </c>
      <c r="P713" s="54">
        <f t="shared" si="281"/>
        <v>0.45361778742968462</v>
      </c>
      <c r="Q713" s="54">
        <f t="shared" si="281"/>
        <v>0.45996527219873595</v>
      </c>
      <c r="R713" s="54">
        <f t="shared" si="281"/>
        <v>0.46612805856764217</v>
      </c>
      <c r="S713" s="54">
        <f t="shared" si="281"/>
        <v>0.47212200768609447</v>
      </c>
      <c r="T713" s="54">
        <f t="shared" si="281"/>
        <v>0.47796099757261939</v>
      </c>
      <c r="U713" s="54">
        <f t="shared" si="281"/>
        <v>0.48366851011633655</v>
      </c>
      <c r="V713" s="54">
        <f t="shared" si="281"/>
        <v>0.48923019053990979</v>
      </c>
      <c r="W713" s="54">
        <f t="shared" si="281"/>
        <v>0.49466829661000161</v>
      </c>
      <c r="X713" s="54">
        <f t="shared" si="281"/>
        <v>0.50001530226399382</v>
      </c>
      <c r="Y713" s="54">
        <f t="shared" si="281"/>
        <v>0.50534374986911745</v>
      </c>
      <c r="Z713" s="54">
        <f t="shared" si="281"/>
        <v>0.5104523778424368</v>
      </c>
      <c r="AA713" s="54">
        <f t="shared" si="281"/>
        <v>0.51546745878098366</v>
      </c>
      <c r="AB713" s="54">
        <f t="shared" si="281"/>
        <v>0.52039547124230934</v>
      </c>
      <c r="AC713" s="54">
        <f t="shared" si="281"/>
        <v>0.52525392208396671</v>
      </c>
      <c r="AD713" s="54">
        <f t="shared" si="281"/>
        <v>0.53002131085499993</v>
      </c>
      <c r="AE713" s="54">
        <f t="shared" si="281"/>
        <v>0.53472152138205664</v>
      </c>
      <c r="AF713" s="54">
        <f t="shared" si="281"/>
        <v>0.53934399912063447</v>
      </c>
      <c r="AG713" s="54">
        <f t="shared" si="281"/>
        <v>0.54390122148014075</v>
      </c>
      <c r="AH713" s="54">
        <f t="shared" si="281"/>
        <v>0.54839502816119412</v>
      </c>
    </row>
    <row r="714" spans="1:34" s="20" customFormat="1" ht="14" x14ac:dyDescent="0.2">
      <c r="A714" s="8"/>
      <c r="B714" s="8" t="s">
        <v>168</v>
      </c>
      <c r="C714" s="8"/>
      <c r="D714" s="8" t="str">
        <f>'Assumptions - General'!$E$27 &amp;" millions"</f>
        <v>R$ millions</v>
      </c>
      <c r="E714" s="463">
        <f>'Balance sheet'!E132</f>
        <v>4640</v>
      </c>
      <c r="F714" s="41">
        <f>IF(F$17=1,('Balance sheet'!F132+'Balance sheet'!E132)/2," ")</f>
        <v>7300.8964055708047</v>
      </c>
      <c r="G714" s="41">
        <f>IF(G$17=1,('Balance sheet'!G132+'Balance sheet'!F132)/2," ")</f>
        <v>12653.580767005235</v>
      </c>
      <c r="H714" s="41">
        <f>IF(H$17=1,('Balance sheet'!H132+'Balance sheet'!G132)/2," ")</f>
        <v>18408.225306395227</v>
      </c>
      <c r="I714" s="41">
        <f>IF(I$17=1,('Balance sheet'!I132+'Balance sheet'!H132)/2," ")</f>
        <v>25124.552386744781</v>
      </c>
      <c r="J714" s="41">
        <f>IF(J$17=1,('Balance sheet'!J132+'Balance sheet'!I132)/2," ")</f>
        <v>32732.540132348899</v>
      </c>
      <c r="K714" s="41">
        <f>IF(K$17=1,('Balance sheet'!K132+'Balance sheet'!J132)/2," ")</f>
        <v>41037.563139124781</v>
      </c>
      <c r="L714" s="41">
        <f>IF(L$17=1,('Balance sheet'!L132+'Balance sheet'!K132)/2," ")</f>
        <v>50171.301886760528</v>
      </c>
      <c r="M714" s="41">
        <f>IF(M$17=1,('Balance sheet'!M132+'Balance sheet'!L132)/2," ")</f>
        <v>60190.40219199597</v>
      </c>
      <c r="N714" s="41">
        <f>IF(N$17=1,('Balance sheet'!N132+'Balance sheet'!M132)/2," ")</f>
        <v>71143.520816015924</v>
      </c>
      <c r="O714" s="41">
        <f>IF(O$17=1,('Balance sheet'!O132+'Balance sheet'!N132)/2," ")</f>
        <v>82976.621976402879</v>
      </c>
      <c r="P714" s="41">
        <f>IF(P$17=1,('Balance sheet'!P132+'Balance sheet'!O132)/2," ")</f>
        <v>95701.18239248493</v>
      </c>
      <c r="Q714" s="41">
        <f>IF(Q$17=1,('Balance sheet'!Q132+'Balance sheet'!P132)/2," ")</f>
        <v>109453.50266909722</v>
      </c>
      <c r="R714" s="41">
        <f>IF(R$17=1,('Balance sheet'!R132+'Balance sheet'!Q132)/2," ")</f>
        <v>124305.91809095745</v>
      </c>
      <c r="S714" s="41">
        <f>IF(S$17=1,('Balance sheet'!S132+'Balance sheet'!R132)/2," ")</f>
        <v>140320.43849631189</v>
      </c>
      <c r="T714" s="41">
        <f>IF(T$17=1,('Balance sheet'!T132+'Balance sheet'!S132)/2," ")</f>
        <v>157561.96545060398</v>
      </c>
      <c r="U714" s="41">
        <f>IF(U$17=1,('Balance sheet'!U132+'Balance sheet'!T132)/2," ")</f>
        <v>176111.1322154713</v>
      </c>
      <c r="V714" s="41">
        <f>IF(V$17=1,('Balance sheet'!V132+'Balance sheet'!U132)/2," ")</f>
        <v>196023.02193103568</v>
      </c>
      <c r="W714" s="41">
        <f>IF(W$17=1,('Balance sheet'!W132+'Balance sheet'!V132)/2," ")</f>
        <v>217358.96163102705</v>
      </c>
      <c r="X714" s="41">
        <f>IF(X$17=1,('Balance sheet'!X132+'Balance sheet'!W132)/2," ")</f>
        <v>240213.65772656864</v>
      </c>
      <c r="Y714" s="41">
        <f>IF(Y$17=1,('Balance sheet'!Y132+'Balance sheet'!X132)/2," ")</f>
        <v>264675.1390469349</v>
      </c>
      <c r="Z714" s="41">
        <f>IF(Z$17=1,('Balance sheet'!Z132+'Balance sheet'!Y132)/2," ")</f>
        <v>290828.15299543075</v>
      </c>
      <c r="AA714" s="41">
        <f>IF(AA$17=1,('Balance sheet'!AA132+'Balance sheet'!Z132)/2," ")</f>
        <v>318754.5256417098</v>
      </c>
      <c r="AB714" s="41">
        <f>IF(AB$17=1,('Balance sheet'!AB132+'Balance sheet'!AA132)/2," ")</f>
        <v>348545.75322363304</v>
      </c>
      <c r="AC714" s="41">
        <f>IF(AC$17=1,('Balance sheet'!AC132+'Balance sheet'!AB132)/2," ")</f>
        <v>380299.72930648481</v>
      </c>
      <c r="AD714" s="41">
        <f>IF(AD$17=1,('Balance sheet'!AD132+'Balance sheet'!AC132)/2," ")</f>
        <v>414117.72580610402</v>
      </c>
      <c r="AE714" s="41">
        <f>IF(AE$17=1,('Balance sheet'!AE132+'Balance sheet'!AD132)/2," ")</f>
        <v>450117.29192226252</v>
      </c>
      <c r="AF714" s="41">
        <f>IF(AF$17=1,('Balance sheet'!AF132+'Balance sheet'!AE132)/2," ")</f>
        <v>488396.37551175244</v>
      </c>
      <c r="AG714" s="41">
        <f>IF(AG$17=1,('Balance sheet'!AG132+'Balance sheet'!AF132)/2," ")</f>
        <v>529057.63791258854</v>
      </c>
      <c r="AH714" s="41">
        <f>IF(AH$17=1,('Balance sheet'!AH132+'Balance sheet'!AG132)/2," ")</f>
        <v>572234.08624368149</v>
      </c>
    </row>
    <row r="715" spans="1:34" s="20" customFormat="1" ht="14" x14ac:dyDescent="0.2">
      <c r="A715" s="8"/>
      <c r="B715" s="8" t="s">
        <v>167</v>
      </c>
      <c r="C715" s="8"/>
      <c r="D715" s="8" t="s">
        <v>15</v>
      </c>
      <c r="E715" s="54">
        <f>IF(E17=1,E711/E714,"N/A")</f>
        <v>1.958114224137931</v>
      </c>
      <c r="F715" s="54">
        <f t="shared" ref="F715:AH715" si="282">IF(F17=1,F711/F714,"N/A")</f>
        <v>1.3739432150093156</v>
      </c>
      <c r="G715" s="54">
        <f t="shared" si="282"/>
        <v>0.8253590682974461</v>
      </c>
      <c r="H715" s="54">
        <f t="shared" si="282"/>
        <v>0.63355725264966745</v>
      </c>
      <c r="I715" s="54">
        <f t="shared" si="282"/>
        <v>0.54648243887428682</v>
      </c>
      <c r="J715" s="54">
        <f t="shared" si="282"/>
        <v>0.46410787340011067</v>
      </c>
      <c r="K715" s="54">
        <f t="shared" si="282"/>
        <v>0.40838429349915489</v>
      </c>
      <c r="L715" s="54">
        <f t="shared" si="282"/>
        <v>0.36724888856455606</v>
      </c>
      <c r="M715" s="54">
        <f t="shared" si="282"/>
        <v>0.33589000557375115</v>
      </c>
      <c r="N715" s="54">
        <f t="shared" si="282"/>
        <v>0.31090000800391304</v>
      </c>
      <c r="O715" s="54">
        <f t="shared" si="282"/>
        <v>0.28552178268206951</v>
      </c>
      <c r="P715" s="54">
        <f t="shared" si="282"/>
        <v>0.26819378414886802</v>
      </c>
      <c r="Q715" s="54">
        <f t="shared" si="282"/>
        <v>0.25383672902519727</v>
      </c>
      <c r="R715" s="54">
        <f t="shared" si="282"/>
        <v>0.24150234495088763</v>
      </c>
      <c r="S715" s="54">
        <f t="shared" si="282"/>
        <v>0.23077632677401277</v>
      </c>
      <c r="T715" s="54">
        <f t="shared" si="282"/>
        <v>0.22135143642840346</v>
      </c>
      <c r="U715" s="54">
        <f t="shared" si="282"/>
        <v>0.21298449942702966</v>
      </c>
      <c r="V715" s="54">
        <f t="shared" si="282"/>
        <v>0.2055075199856515</v>
      </c>
      <c r="W715" s="54">
        <f t="shared" si="282"/>
        <v>0.1987950593286911</v>
      </c>
      <c r="X715" s="54">
        <f t="shared" si="282"/>
        <v>0.19272433160603655</v>
      </c>
      <c r="Y715" s="54">
        <f t="shared" si="282"/>
        <v>0.18722305906826417</v>
      </c>
      <c r="Z715" s="54">
        <f t="shared" si="282"/>
        <v>0.18214453678955636</v>
      </c>
      <c r="AA715" s="54">
        <f t="shared" si="282"/>
        <v>0.17747817474438504</v>
      </c>
      <c r="AB715" s="54">
        <f t="shared" si="282"/>
        <v>0.17317420215939461</v>
      </c>
      <c r="AC715" s="54">
        <f t="shared" si="282"/>
        <v>0.16919330577496131</v>
      </c>
      <c r="AD715" s="54">
        <f t="shared" si="282"/>
        <v>0.1654912668581163</v>
      </c>
      <c r="AE715" s="54">
        <f t="shared" si="282"/>
        <v>0.16203943118351019</v>
      </c>
      <c r="AF715" s="54">
        <f t="shared" si="282"/>
        <v>0.1588124487490257</v>
      </c>
      <c r="AG715" s="54">
        <f t="shared" si="282"/>
        <v>0.15579397912995183</v>
      </c>
      <c r="AH715" s="54">
        <f t="shared" si="282"/>
        <v>0.15295941682412614</v>
      </c>
    </row>
    <row r="716" spans="1:34" s="20" customFormat="1" ht="14" x14ac:dyDescent="0.2">
      <c r="A716" s="8"/>
      <c r="B716" s="8" t="s">
        <v>169</v>
      </c>
      <c r="C716" s="8"/>
      <c r="D716" s="8" t="str">
        <f>'Assumptions - General'!$E$27 &amp;" millions"</f>
        <v>R$ millions</v>
      </c>
      <c r="E716" s="463">
        <f>'Balance sheet'!E112</f>
        <v>6410</v>
      </c>
      <c r="F716" s="41">
        <f>IF(F$17=1,('Balance sheet'!E112+'Balance sheet'!F112)/2," ")</f>
        <v>9119.0502517246496</v>
      </c>
      <c r="G716" s="41">
        <f>IF(G$17=1,('Balance sheet'!F112+'Balance sheet'!G112)/2," ")</f>
        <v>14549.13307469754</v>
      </c>
      <c r="H716" s="41">
        <f>IF(H$17=1,('Balance sheet'!G112+'Balance sheet'!H112)/2," ")</f>
        <v>20403.31934870292</v>
      </c>
      <c r="I716" s="41">
        <f>IF(I$17=1,('Balance sheet'!H112+'Balance sheet'!I112)/2," ")</f>
        <v>27302.219256398625</v>
      </c>
      <c r="J716" s="41">
        <f>IF(J$17=1,('Balance sheet'!I112+'Balance sheet'!J112)/2," ")</f>
        <v>35100.110566741205</v>
      </c>
      <c r="K716" s="41">
        <f>IF(K$17=1,('Balance sheet'!J112+'Balance sheet'!K112)/2," ")</f>
        <v>43563.696984000635</v>
      </c>
      <c r="L716" s="41">
        <f>IF(L$17=1,('Balance sheet'!K112+'Balance sheet'!L112)/2," ")</f>
        <v>52839.030130024534</v>
      </c>
      <c r="M716" s="41">
        <f>IF(M$17=1,('Balance sheet'!L112+'Balance sheet'!M112)/2," ")</f>
        <v>62982.847691041723</v>
      </c>
      <c r="N716" s="41">
        <f>IF(N$17=1,('Balance sheet'!M112+'Balance sheet'!N112)/2," ")</f>
        <v>74067.597015764331</v>
      </c>
      <c r="O716" s="41">
        <f>IF(O$17=1,('Balance sheet'!N112+'Balance sheet'!O112)/2," ")</f>
        <v>86039.295448076213</v>
      </c>
      <c r="P716" s="41">
        <f>IF(P$17=1,('Balance sheet'!O112+'Balance sheet'!P112)/2," ")</f>
        <v>98922.159600032115</v>
      </c>
      <c r="Q716" s="41">
        <f>IF(Q$17=1,('Balance sheet'!P112+'Balance sheet'!Q112)/2," ")</f>
        <v>112852.94829052313</v>
      </c>
      <c r="R716" s="41">
        <f>IF(R$17=1,('Balance sheet'!Q112+'Balance sheet'!R112)/2," ")</f>
        <v>127891.80521319326</v>
      </c>
      <c r="S716" s="41">
        <f>IF(S$17=1,('Balance sheet'!R112+'Balance sheet'!S112)/2," ")</f>
        <v>144101.04798953893</v>
      </c>
      <c r="T716" s="41">
        <f>IF(T$17=1,('Balance sheet'!S112+'Balance sheet'!T112)/2," ")</f>
        <v>161545.89660046459</v>
      </c>
      <c r="U716" s="41">
        <f>IF(U$17=1,('Balance sheet'!T112+'Balance sheet'!U112)/2," ")</f>
        <v>180282.31367205828</v>
      </c>
      <c r="V716" s="41">
        <f>IF(V$17=1,('Balance sheet'!U112+'Balance sheet'!V112)/2," ")</f>
        <v>200397.58523443976</v>
      </c>
      <c r="W716" s="41">
        <f>IF(W$17=1,('Balance sheet'!V112+'Balance sheet'!W112)/2," ")</f>
        <v>221978.80616523174</v>
      </c>
      <c r="X716" s="41">
        <f>IF(X$17=1,('Balance sheet'!W112+'Balance sheet'!X112)/2," ")</f>
        <v>245089.62625844893</v>
      </c>
      <c r="Y716" s="41">
        <f>IF(Y$17=1,('Balance sheet'!X112+'Balance sheet'!Y112)/2," ")</f>
        <v>269818.50415627053</v>
      </c>
      <c r="Z716" s="41">
        <f>IF(Z$17=1,('Balance sheet'!Y112+'Balance sheet'!Z112)/2," ")</f>
        <v>296250.63310519035</v>
      </c>
      <c r="AA716" s="41">
        <f>IF(AA$17=1,('Balance sheet'!Z112+'Balance sheet'!AA112)/2," ")</f>
        <v>324468.30162332032</v>
      </c>
      <c r="AB716" s="41">
        <f>IF(AB$17=1,('Balance sheet'!AA112+'Balance sheet'!AB112)/2," ")</f>
        <v>354563.48559730686</v>
      </c>
      <c r="AC716" s="41">
        <f>IF(AC$17=1,('Balance sheet'!AB112+'Balance sheet'!AC112)/2," ")</f>
        <v>386634.57605736231</v>
      </c>
      <c r="AD716" s="41">
        <f>IF(AD$17=1,('Balance sheet'!AC112+'Balance sheet'!AD112)/2," ")</f>
        <v>420783.36083768104</v>
      </c>
      <c r="AE716" s="41">
        <f>IF(AE$17=1,('Balance sheet'!AD112+'Balance sheet'!AE112)/2," ")</f>
        <v>457102.92416930513</v>
      </c>
      <c r="AF716" s="41">
        <f>IF(AF$17=1,('Balance sheet'!AE112+'Balance sheet'!AF112)/2," ")</f>
        <v>495716.76873566036</v>
      </c>
      <c r="AG716" s="41">
        <f>IF(AG$17=1,('Balance sheet'!AF112+'Balance sheet'!AG112)/2," ")</f>
        <v>536753.13120295131</v>
      </c>
      <c r="AH716" s="41">
        <f>IF(AH$17=1,('Balance sheet'!AG112+'Balance sheet'!AH112)/2," ")</f>
        <v>580320.61525058479</v>
      </c>
    </row>
    <row r="717" spans="1:34" s="20" customFormat="1" ht="14" x14ac:dyDescent="0.2">
      <c r="A717" s="8"/>
      <c r="B717" s="8" t="s">
        <v>170</v>
      </c>
      <c r="C717" s="8"/>
      <c r="D717" s="8" t="s">
        <v>15</v>
      </c>
      <c r="E717" s="54">
        <f>IF(E17=1,E711/E716,"N/A")</f>
        <v>1.417418096723869</v>
      </c>
      <c r="F717" s="54">
        <f t="shared" ref="F717:AH717" si="283">IF(F17=1,F711/F716,"N/A")</f>
        <v>1.1000067773530233</v>
      </c>
      <c r="G717" s="54">
        <f t="shared" si="283"/>
        <v>0.71782611230937809</v>
      </c>
      <c r="H717" s="54">
        <f t="shared" si="283"/>
        <v>0.57160623974732139</v>
      </c>
      <c r="I717" s="54">
        <f t="shared" si="283"/>
        <v>0.50289416164274781</v>
      </c>
      <c r="J717" s="54">
        <f t="shared" si="283"/>
        <v>0.43280289852427778</v>
      </c>
      <c r="K717" s="54">
        <f t="shared" si="283"/>
        <v>0.38470325958913548</v>
      </c>
      <c r="L717" s="54">
        <f t="shared" si="283"/>
        <v>0.34870728721570238</v>
      </c>
      <c r="M717" s="54">
        <f t="shared" si="283"/>
        <v>0.32099778382410993</v>
      </c>
      <c r="N717" s="54">
        <f t="shared" si="283"/>
        <v>0.29862614803634391</v>
      </c>
      <c r="O717" s="54">
        <f t="shared" si="283"/>
        <v>0.27535828721350214</v>
      </c>
      <c r="P717" s="54">
        <f t="shared" si="283"/>
        <v>0.25946120017130336</v>
      </c>
      <c r="Q717" s="54">
        <f t="shared" si="283"/>
        <v>0.24619045863427791</v>
      </c>
      <c r="R717" s="54">
        <f t="shared" si="283"/>
        <v>0.23473099515794715</v>
      </c>
      <c r="S717" s="54">
        <f t="shared" si="283"/>
        <v>0.22472172006582813</v>
      </c>
      <c r="T717" s="54">
        <f t="shared" si="283"/>
        <v>0.21589262316721305</v>
      </c>
      <c r="U717" s="54">
        <f t="shared" si="283"/>
        <v>0.20805668939145111</v>
      </c>
      <c r="V717" s="54">
        <f t="shared" si="283"/>
        <v>0.20102140976405833</v>
      </c>
      <c r="W717" s="54">
        <f t="shared" si="283"/>
        <v>0.1946577171916993</v>
      </c>
      <c r="X717" s="54">
        <f t="shared" si="283"/>
        <v>0.18889015147126512</v>
      </c>
      <c r="Y717" s="54">
        <f t="shared" si="283"/>
        <v>0.18365415428656293</v>
      </c>
      <c r="Z717" s="54">
        <f t="shared" si="283"/>
        <v>0.17881061943218129</v>
      </c>
      <c r="AA717" s="54">
        <f t="shared" si="283"/>
        <v>0.17435284469814902</v>
      </c>
      <c r="AB717" s="54">
        <f t="shared" si="283"/>
        <v>0.17023505008945106</v>
      </c>
      <c r="AC717" s="54">
        <f t="shared" si="283"/>
        <v>0.16642114381705167</v>
      </c>
      <c r="AD717" s="54">
        <f t="shared" si="283"/>
        <v>0.16286971741378112</v>
      </c>
      <c r="AE717" s="54">
        <f t="shared" si="283"/>
        <v>0.15956307888752549</v>
      </c>
      <c r="AF717" s="54">
        <f t="shared" si="283"/>
        <v>0.15646721928127991</v>
      </c>
      <c r="AG717" s="54">
        <f t="shared" si="283"/>
        <v>0.15356034237708091</v>
      </c>
      <c r="AH717" s="54">
        <f t="shared" si="283"/>
        <v>0.15082799028417254</v>
      </c>
    </row>
    <row r="718" spans="1:34" s="20" customFormat="1" ht="14" x14ac:dyDescent="0.2">
      <c r="A718" s="8"/>
      <c r="B718" s="8"/>
      <c r="C718" s="8"/>
      <c r="D718" s="8"/>
      <c r="E718" s="42"/>
      <c r="F718" s="42"/>
      <c r="G718" s="42"/>
      <c r="H718" s="42"/>
      <c r="I718" s="42"/>
      <c r="J718" s="42"/>
      <c r="K718" s="42"/>
      <c r="L718" s="42"/>
      <c r="M718" s="42"/>
      <c r="N718" s="42"/>
      <c r="O718" s="42"/>
      <c r="P718" s="42"/>
      <c r="Q718" s="42"/>
      <c r="R718" s="42"/>
      <c r="S718" s="42"/>
      <c r="T718" s="42"/>
      <c r="U718" s="42"/>
      <c r="V718" s="42"/>
      <c r="W718" s="42"/>
      <c r="X718" s="42"/>
      <c r="Y718" s="42"/>
      <c r="Z718" s="42"/>
      <c r="AA718" s="42"/>
      <c r="AB718" s="42"/>
      <c r="AC718" s="42"/>
      <c r="AD718" s="42"/>
      <c r="AE718" s="42"/>
      <c r="AF718" s="42"/>
      <c r="AG718" s="42"/>
      <c r="AH718" s="42"/>
    </row>
    <row r="719" spans="1:34" x14ac:dyDescent="0.2">
      <c r="A719" s="324"/>
      <c r="B719" s="323" t="str">
        <f>"Working capital for " &amp;'Assumptions - General'!E25</f>
        <v>Working capital for Ruritania Passenger Rail Company</v>
      </c>
      <c r="C719" s="324"/>
      <c r="D719" s="324"/>
      <c r="E719" s="324"/>
      <c r="F719" s="324"/>
      <c r="G719" s="324"/>
      <c r="H719" s="324"/>
      <c r="I719" s="324"/>
      <c r="J719" s="324"/>
      <c r="K719" s="324"/>
      <c r="L719" s="324"/>
      <c r="M719" s="324"/>
      <c r="N719" s="324"/>
      <c r="O719" s="324"/>
      <c r="P719" s="324"/>
      <c r="Q719" s="324"/>
      <c r="R719" s="324"/>
      <c r="S719" s="324"/>
      <c r="T719" s="324"/>
      <c r="U719" s="324"/>
      <c r="V719" s="324"/>
      <c r="W719" s="324"/>
      <c r="X719" s="324"/>
      <c r="Y719" s="324"/>
      <c r="Z719" s="324"/>
      <c r="AA719" s="324"/>
      <c r="AB719" s="324"/>
      <c r="AC719" s="324"/>
      <c r="AD719" s="324"/>
      <c r="AE719" s="324"/>
      <c r="AF719" s="324"/>
      <c r="AG719" s="324"/>
      <c r="AH719" s="324"/>
    </row>
    <row r="720" spans="1:34" s="20" customFormat="1" ht="14" x14ac:dyDescent="0.2">
      <c r="A720" s="8"/>
      <c r="B720" s="7"/>
      <c r="C720" s="8"/>
      <c r="D720" s="8"/>
      <c r="E720" s="9"/>
      <c r="F720" s="9"/>
      <c r="G720" s="9"/>
      <c r="H720" s="9"/>
      <c r="I720" s="9"/>
      <c r="J720" s="9"/>
      <c r="K720" s="9"/>
      <c r="L720" s="9"/>
      <c r="M720" s="9"/>
      <c r="N720" s="9"/>
      <c r="O720" s="9"/>
      <c r="P720" s="9"/>
      <c r="Q720" s="9"/>
      <c r="R720" s="9"/>
      <c r="S720" s="9"/>
      <c r="T720" s="9"/>
      <c r="U720" s="9"/>
      <c r="V720" s="9"/>
      <c r="W720" s="9"/>
      <c r="X720" s="9"/>
      <c r="Y720" s="9"/>
      <c r="Z720" s="9"/>
      <c r="AA720" s="9"/>
      <c r="AB720" s="9"/>
      <c r="AC720" s="9"/>
      <c r="AD720" s="9"/>
      <c r="AE720" s="9"/>
      <c r="AF720" s="9"/>
      <c r="AG720" s="9"/>
      <c r="AH720" s="9"/>
    </row>
    <row r="721" spans="1:34" s="20" customFormat="1" ht="14" x14ac:dyDescent="0.2">
      <c r="A721" s="8"/>
      <c r="B721" s="8" t="s">
        <v>71</v>
      </c>
      <c r="C721" s="8"/>
      <c r="D721" s="8" t="str">
        <f>'Assumptions - General'!$E$27 &amp;" millions"</f>
        <v>R$ millions</v>
      </c>
      <c r="E721" s="463">
        <f>IF(E17=1,'Assumptions - Passenger'!E361,0)</f>
        <v>5000</v>
      </c>
      <c r="F721" s="41">
        <f>IF(F17=1,IF(('Income statement'!F103-'Income statement'!F102)&gt;0,'Assumptions - Passenger'!F$362/365*('Income statement'!F103-'Income statement'!F102),0),0)</f>
        <v>5471.7409412744692</v>
      </c>
      <c r="G721" s="41">
        <f>IF(G17=1,IF(('Income statement'!G103-'Income statement'!G102)&gt;0,'Assumptions - Passenger'!G$362/365*('Income statement'!G103-'Income statement'!G102),0),0)</f>
        <v>5635.893169512703</v>
      </c>
      <c r="H721" s="41">
        <f>IF(H17=1,IF(('Income statement'!H103-'Income statement'!H102)&gt;0,'Assumptions - Passenger'!H$362/365*('Income statement'!H103-'Income statement'!H102),0),0)</f>
        <v>6146.3049291961688</v>
      </c>
      <c r="I721" s="41">
        <f>IF(I17=1,IF(('Income statement'!I103-'Income statement'!I102)&gt;0,'Assumptions - Passenger'!I$362/365*('Income statement'!I103-'Income statement'!I102),0),0)</f>
        <v>7033.8441041441074</v>
      </c>
      <c r="J721" s="41">
        <f>IF(J17=1,IF(('Income statement'!J103-'Income statement'!J102)&gt;0,'Assumptions - Passenger'!J$362/365*('Income statement'!J103-'Income statement'!J102),0),0)</f>
        <v>7606.981691210538</v>
      </c>
      <c r="K721" s="41">
        <f>IF(K17=1,IF(('Income statement'!K103-'Income statement'!K102)&gt;0,'Assumptions - Passenger'!K$362/365*('Income statement'!K103-'Income statement'!K102),0),0)</f>
        <v>8208.1770738072264</v>
      </c>
      <c r="L721" s="41">
        <f>IF(L17=1,IF(('Income statement'!L103-'Income statement'!L102)&gt;0,'Assumptions - Passenger'!L$362/365*('Income statement'!L103-'Income statement'!L102),0),0)</f>
        <v>8838.5978958376236</v>
      </c>
      <c r="M721" s="41">
        <f>IF(M17=1,IF(('Income statement'!M103-'Income statement'!M102)&gt;0,'Assumptions - Passenger'!M$362/365*('Income statement'!M103-'Income statement'!M102),0),0)</f>
        <v>9499.4566078234202</v>
      </c>
      <c r="N721" s="41">
        <f>IF(N17=1,IF(('Income statement'!N103-'Income statement'!N102)&gt;0,'Assumptions - Passenger'!N$362/365*('Income statement'!N103-'Income statement'!N102),0),0)</f>
        <v>10192.012104422112</v>
      </c>
      <c r="O721" s="41">
        <f>IF(O17=1,IF(('Income statement'!O103-'Income statement'!O102)&gt;0,'Assumptions - Passenger'!O$362/365*('Income statement'!O103-'Income statement'!O102),0),0)</f>
        <v>10917.571419869679</v>
      </c>
      <c r="P721" s="41">
        <f>IF(P17=1,IF(('Income statement'!P103-'Income statement'!P102)&gt;0,'Assumptions - Passenger'!P$362/365*('Income statement'!P103-'Income statement'!P102),0),0)</f>
        <v>11677.491483350128</v>
      </c>
      <c r="Q721" s="41">
        <f>IF(Q17=1,IF(('Income statement'!Q103-'Income statement'!Q102)&gt;0,'Assumptions - Passenger'!Q$362/365*('Income statement'!Q103-'Income statement'!Q102),0),0)</f>
        <v>12473.180936361514</v>
      </c>
      <c r="R721" s="41">
        <f>IF(R17=1,IF(('Income statement'!R103-'Income statement'!R102)&gt;0,'Assumptions - Passenger'!R$362/365*('Income statement'!R103-'Income statement'!R102),0),0)</f>
        <v>13306.102014218573</v>
      </c>
      <c r="S721" s="41">
        <f>IF(S17=1,IF(('Income statement'!S103-'Income statement'!S102)&gt;0,'Assumptions - Passenger'!S$362/365*('Income statement'!S103-'Income statement'!S102),0),0)</f>
        <v>14177.772493904331</v>
      </c>
      <c r="T721" s="41">
        <f>IF(T17=1,IF(('Income statement'!T103-'Income statement'!T102)&gt;0,'Assumptions - Passenger'!T$362/365*('Income statement'!T103-'Income statement'!T102),0),0)</f>
        <v>15089.76771055843</v>
      </c>
      <c r="U721" s="41">
        <f>IF(U17=1,IF(('Income statement'!U103-'Income statement'!U102)&gt;0,'Assumptions - Passenger'!U$362/365*('Income statement'!U103-'Income statement'!U102),0),0)</f>
        <v>16043.722644967271</v>
      </c>
      <c r="V721" s="41">
        <f>IF(V17=1,IF(('Income statement'!V103-'Income statement'!V102)&gt;0,'Assumptions - Passenger'!V$362/365*('Income statement'!V103-'Income statement'!V102),0),0)</f>
        <v>17041.334084501137</v>
      </c>
      <c r="W721" s="41">
        <f>IF(W17=1,IF(('Income statement'!W103-'Income statement'!W102)&gt;0,'Assumptions - Passenger'!W$362/365*('Income statement'!W103-'Income statement'!W102),0),0)</f>
        <v>18084.362860026558</v>
      </c>
      <c r="X721" s="41">
        <f>IF(X17=1,IF(('Income statement'!X103-'Income statement'!X102)&gt;0,'Assumptions - Passenger'!X$362/365*('Income statement'!X103-'Income statement'!X102),0),0)</f>
        <v>19174.636161407459</v>
      </c>
      <c r="Y721" s="41">
        <f>IF(Y17=1,IF(('Income statement'!Y103-'Income statement'!Y102)&gt;0,'Assumptions - Passenger'!Y$362/365*('Income statement'!Y103-'Income statement'!Y102),0),0)</f>
        <v>20314.049934297189</v>
      </c>
      <c r="Z721" s="41">
        <f>IF(Z17=1,IF(('Income statement'!Z103-'Income statement'!Z102)&gt;0,'Assumptions - Passenger'!Z$362/365*('Income statement'!Z103-'Income statement'!Z102),0),0)</f>
        <v>21504.571361015038</v>
      </c>
      <c r="AA721" s="41">
        <f>IF(AA17=1,IF(('Income statement'!AA103-'Income statement'!AA102)&gt;0,'Assumptions - Passenger'!AA$362/365*('Income statement'!AA103-'Income statement'!AA102),0),0)</f>
        <v>22748.241428395089</v>
      </c>
      <c r="AB721" s="41">
        <f>IF(AB17=1,IF(('Income statement'!AB103-'Income statement'!AB102)&gt;0,'Assumptions - Passenger'!AB$362/365*('Income statement'!AB103-'Income statement'!AB102),0),0)</f>
        <v>24047.177585593032</v>
      </c>
      <c r="AC721" s="41">
        <f>IF(AC17=1,IF(('Income statement'!AC103-'Income statement'!AC102)&gt;0,'Assumptions - Passenger'!AC$362/365*('Income statement'!AC103-'Income statement'!AC102),0),0)</f>
        <v>25403.57649493729</v>
      </c>
      <c r="AD721" s="41">
        <f>IF(AD17=1,IF(('Income statement'!AD103-'Income statement'!AD102)&gt;0,'Assumptions - Passenger'!AD$362/365*('Income statement'!AD103-'Income statement'!AD102),0),0)</f>
        <v>26819.71687901517</v>
      </c>
      <c r="AE721" s="41">
        <f>IF(AE17=1,IF(('Income statement'!AE103-'Income statement'!AE102)&gt;0,'Assumptions - Passenger'!AE$362/365*('Income statement'!AE103-'Income statement'!AE102),0),0)</f>
        <v>28297.962467292284</v>
      </c>
      <c r="AF721" s="41">
        <f>IF(AF17=1,IF(('Income statement'!AF103-'Income statement'!AF102)&gt;0,'Assumptions - Passenger'!AF$362/365*('Income statement'!AF103-'Income statement'!AF102),0),0)</f>
        <v>29840.765045674914</v>
      </c>
      <c r="AG721" s="41">
        <f>IF(AG17=1,IF(('Income statement'!AG103-'Income statement'!AG102)&gt;0,'Assumptions - Passenger'!AG$362/365*('Income statement'!AG103-'Income statement'!AG102),0),0)</f>
        <v>31450.667612539924</v>
      </c>
      <c r="AH721" s="41">
        <f>IF(AH17=1,IF(('Income statement'!AH103-'Income statement'!AH102)&gt;0,'Assumptions - Passenger'!AH$362/365*('Income statement'!AH103-'Income statement'!AH102),0),0)</f>
        <v>33130.307644875749</v>
      </c>
    </row>
    <row r="722" spans="1:34" s="20" customFormat="1" ht="14" x14ac:dyDescent="0.2">
      <c r="A722" s="8"/>
      <c r="B722" s="8" t="s">
        <v>72</v>
      </c>
      <c r="C722" s="8"/>
      <c r="D722" s="8" t="str">
        <f>'Assumptions - General'!$E$27 &amp;" millions"</f>
        <v>R$ millions</v>
      </c>
      <c r="E722" s="463">
        <f>IF(E17=1,'Assumptions - Passenger'!E365,0)</f>
        <v>100</v>
      </c>
      <c r="F722" s="41">
        <f>IF(F17=1,IF((F680+F682)&gt;0,'Assumptions - Passenger'!F$366/365*(F680+F682),0),0)</f>
        <v>109.4375</v>
      </c>
      <c r="G722" s="41">
        <f>IF(G17=1,IF((G680+G682)&gt;0,'Assumptions - Passenger'!G$366/365*(G680+G682),0),0)</f>
        <v>112.720625</v>
      </c>
      <c r="H722" s="41">
        <f>IF(H17=1,IF((H680+H682)&gt;0,'Assumptions - Passenger'!H$366/365*(H680+H682),0),0)</f>
        <v>122.93178750000003</v>
      </c>
      <c r="I722" s="41">
        <f>IF(I17=1,IF((I680+I682)&gt;0,'Assumptions - Passenger'!I$366/365*(I680+I682),0),0)</f>
        <v>140.68860125000003</v>
      </c>
      <c r="J722" s="41">
        <f>IF(J17=1,IF((J680+J682)&gt;0,'Assumptions - Passenger'!J$366/365*(J680+J682),0),0)</f>
        <v>152.15472225187509</v>
      </c>
      <c r="K722" s="41">
        <f>IF(K17=1,IF((K680+K682)&gt;0,'Assumptions - Passenger'!K$366/365*(K680+K682),0),0)</f>
        <v>164.18219077273761</v>
      </c>
      <c r="L722" s="41">
        <f>IF(L17=1,IF((L680+L682)&gt;0,'Assumptions - Passenger'!L$366/365*(L680+L682),0),0)</f>
        <v>176.79436815482518</v>
      </c>
      <c r="M722" s="41">
        <f>IF(M17=1,IF((M680+M682)&gt;0,'Assumptions - Passenger'!M$366/365*(M680+M682),0),0)</f>
        <v>190.01551220814252</v>
      </c>
      <c r="N722" s="41">
        <f>IF(N17=1,IF((N680+N682)&gt;0,'Assumptions - Passenger'!N$366/365*(N680+N682),0),0)</f>
        <v>203.87080997331961</v>
      </c>
      <c r="O722" s="41">
        <f>IF(O17=1,IF((O680+O682)&gt;0,'Assumptions - Passenger'!O$366/365*(O680+O682),0),0)</f>
        <v>218.38641164341993</v>
      </c>
      <c r="P722" s="41">
        <f>IF(P17=1,IF((P680+P682)&gt;0,'Assumptions - Passenger'!P$366/365*(P680+P682),0),0)</f>
        <v>233.58946568475037</v>
      </c>
      <c r="Q722" s="41">
        <f>IF(Q17=1,IF((Q680+Q682)&gt;0,'Assumptions - Passenger'!Q$366/365*(Q680+Q682),0),0)</f>
        <v>249.50815519808148</v>
      </c>
      <c r="R722" s="41">
        <f>IF(R17=1,IF((R680+R682)&gt;0,'Assumptions - Passenger'!R$366/365*(R680+R682),0),0)</f>
        <v>266.17173556309621</v>
      </c>
      <c r="S722" s="41">
        <f>IF(S17=1,IF((S680+S682)&gt;0,'Assumptions - Passenger'!S$366/365*(S680+S682),0),0)</f>
        <v>283.61057341033359</v>
      </c>
      <c r="T722" s="41">
        <f>IF(T17=1,IF((T680+T682)&gt;0,'Assumptions - Passenger'!T$366/365*(T680+T682),0),0)</f>
        <v>301.85618696639841</v>
      </c>
      <c r="U722" s="41">
        <f>IF(U17=1,IF((U680+U682)&gt;0,'Assumptions - Passenger'!U$366/365*(U680+U682),0),0)</f>
        <v>320.94128781975786</v>
      </c>
      <c r="V722" s="41">
        <f>IF(V17=1,IF((V680+V682)&gt;0,'Assumptions - Passenger'!V$366/365*(V680+V682),0),0)</f>
        <v>340.89982415604902</v>
      </c>
      <c r="W722" s="41">
        <f>IF(W17=1,IF((W680+W682)&gt;0,'Assumptions - Passenger'!W$366/365*(W680+W682),0),0)</f>
        <v>361.76702551347989</v>
      </c>
      <c r="X722" s="41">
        <f>IF(X17=1,IF((X680+X682)&gt;0,'Assumptions - Passenger'!X$366/365*(X680+X682),0),0)</f>
        <v>383.57944911061617</v>
      </c>
      <c r="Y722" s="41">
        <f>IF(Y17=1,IF((Y680+Y682)&gt;0,'Assumptions - Passenger'!Y$366/365*(Y680+Y682),0),0)</f>
        <v>406.37502780061845</v>
      </c>
      <c r="Z722" s="41">
        <f>IF(Z17=1,IF((Z680+Z682)&gt;0,'Assumptions - Passenger'!Z$366/365*(Z680+Z682),0),0)</f>
        <v>430.19311970782132</v>
      </c>
      <c r="AA722" s="41">
        <f>IF(AA17=1,IF((AA680+AA682)&gt;0,'Assumptions - Passenger'!AA$366/365*(AA680+AA682),0),0)</f>
        <v>455.07455960443588</v>
      </c>
      <c r="AB722" s="41">
        <f>IF(AB17=1,IF((AB680+AB682)&gt;0,'Assumptions - Passenger'!AB$366/365*(AB680+AB682),0),0)</f>
        <v>481.06171208711021</v>
      </c>
      <c r="AC722" s="41">
        <f>IF(AC17=1,IF((AC680+AC682)&gt;0,'Assumptions - Passenger'!AC$366/365*(AC680+AC682),0),0)</f>
        <v>508.19852661510106</v>
      </c>
      <c r="AD722" s="41">
        <f>IF(AD17=1,IF((AD680+AD682)&gt;0,'Assumptions - Passenger'!AD$366/365*(AD680+AD682),0),0)</f>
        <v>536.53059447389285</v>
      </c>
      <c r="AE722" s="41">
        <f>IF(AE17=1,IF((AE680+AE682)&gt;0,'Assumptions - Passenger'!AE$366/365*(AE680+AE682),0),0)</f>
        <v>566.10520773025871</v>
      </c>
      <c r="AF722" s="41">
        <f>IF(AF17=1,IF((AF680+AF682)&gt;0,'Assumptions - Passenger'!AF$366/365*(AF680+AF682),0),0)</f>
        <v>596.97142024697985</v>
      </c>
      <c r="AG722" s="41">
        <f>IF(AG17=1,IF((AG680+AG682)&gt;0,'Assumptions - Passenger'!AG$366/365*(AG680+AG682),0),0)</f>
        <v>629.18011082774728</v>
      </c>
      <c r="AH722" s="41">
        <f>IF(AH17=1,IF((AH680+AH682)&gt;0,'Assumptions - Passenger'!AH$366/365*(AH680+AH682),0),0)</f>
        <v>662.78404856513828</v>
      </c>
    </row>
    <row r="723" spans="1:34" s="20" customFormat="1" ht="14" x14ac:dyDescent="0.2">
      <c r="A723" s="8"/>
      <c r="B723" s="8" t="s">
        <v>288</v>
      </c>
      <c r="C723" s="8"/>
      <c r="D723" s="8" t="str">
        <f>'Assumptions - General'!$E$27 &amp;" millions"</f>
        <v>R$ millions</v>
      </c>
      <c r="E723" s="463">
        <f>IF(E17=1,'Assumptions - Passenger'!E369,0)</f>
        <v>100</v>
      </c>
      <c r="F723" s="41">
        <f>IF(F17=1,IF(('Income statement'!F102-F674+SUM(F664:F667))&gt;0,'Assumptions - Passenger'!F$370/365*('Income statement'!F102-F674+SUM(F664:F667)),0),0)</f>
        <v>100.42857142857144</v>
      </c>
      <c r="G723" s="41">
        <f>IF(G17=1,IF(('Income statement'!G102-G674+SUM(G664:G667))&gt;0,'Assumptions - Passenger'!G$370/365*('Income statement'!G102-G674+SUM(G664:G667)),0),0)</f>
        <v>100.87000000000002</v>
      </c>
      <c r="H723" s="41">
        <f>IF(H17=1,IF(('Income statement'!H102-H674+SUM(H664:H667))&gt;0,'Assumptions - Passenger'!H$370/365*('Income statement'!H102-H674+SUM(H664:H667)),0),0)</f>
        <v>101.32467142857143</v>
      </c>
      <c r="I723" s="41">
        <f>IF(I17=1,IF(('Income statement'!I102-I674+SUM(I664:I667))&gt;0,'Assumptions - Passenger'!I$370/365*('Income statement'!I102-I674+SUM(I664:I667)),0),0)</f>
        <v>101.79298300000002</v>
      </c>
      <c r="J723" s="41">
        <f>IF(J17=1,IF(('Income statement'!J102-J674+SUM(J664:J667))&gt;0,'Assumptions - Passenger'!J$370/365*('Income statement'!J102-J674+SUM(J664:J667)),0),0)</f>
        <v>102.27534391857145</v>
      </c>
      <c r="K723" s="41">
        <f>IF(K17=1,IF(('Income statement'!K102-K674+SUM(K664:K667))&gt;0,'Assumptions - Passenger'!K$370/365*('Income statement'!K102-K674+SUM(K664:K667)),0),0)</f>
        <v>102.77217566470003</v>
      </c>
      <c r="L723" s="41">
        <f>IF(L17=1,IF(('Income statement'!L102-L674+SUM(L664:L667))&gt;0,'Assumptions - Passenger'!L$370/365*('Income statement'!L102-L674+SUM(L664:L667)),0),0)</f>
        <v>103.28391236321244</v>
      </c>
      <c r="M723" s="41">
        <f>IF(M17=1,IF(('Income statement'!M102-M674+SUM(M664:M667))&gt;0,'Assumptions - Passenger'!M$370/365*('Income statement'!M102-M674+SUM(M664:M667)),0),0)</f>
        <v>103.81100116268024</v>
      </c>
      <c r="N723" s="41">
        <f>IF(N17=1,IF(('Income statement'!N102-N674+SUM(N664:N667))&gt;0,'Assumptions - Passenger'!N$370/365*('Income statement'!N102-N674+SUM(N664:N667)),0),0)</f>
        <v>104.35390262613208</v>
      </c>
      <c r="O723" s="41">
        <f>IF(O17=1,IF(('Income statement'!O102-O674+SUM(O664:O667))&gt;0,'Assumptions - Passenger'!O$370/365*('Income statement'!O102-O674+SUM(O664:O667)),0),0)</f>
        <v>104.91309113348747</v>
      </c>
      <c r="P723" s="41">
        <f>IF(P17=1,IF(('Income statement'!P102-P674+SUM(P664:P667))&gt;0,'Assumptions - Passenger'!P$370/365*('Income statement'!P102-P674+SUM(P664:P667)),0),0)</f>
        <v>105.48905529606353</v>
      </c>
      <c r="Q723" s="41">
        <f>IF(Q17=1,IF(('Income statement'!Q102-Q674+SUM(Q664:Q667))&gt;0,'Assumptions - Passenger'!Q$370/365*('Income statement'!Q102-Q674+SUM(Q664:Q667)),0),0)</f>
        <v>106.08229838351684</v>
      </c>
      <c r="R723" s="41">
        <f>IF(R17=1,IF(('Income statement'!R102-R674+SUM(R664:R667))&gt;0,'Assumptions - Passenger'!R$370/365*('Income statement'!R102-R674+SUM(R664:R667)),0),0)</f>
        <v>106.6933387635938</v>
      </c>
      <c r="S723" s="41">
        <f>IF(S17=1,IF(('Income statement'!S102-S674+SUM(S664:S667))&gt;0,'Assumptions - Passenger'!S$370/365*('Income statement'!S102-S674+SUM(S664:S667)),0),0)</f>
        <v>107.32271035507303</v>
      </c>
      <c r="T723" s="41">
        <f>IF(T17=1,IF(('Income statement'!T102-T674+SUM(T664:T667))&gt;0,'Assumptions - Passenger'!T$370/365*('Income statement'!T102-T674+SUM(T664:T667)),0),0)</f>
        <v>107.97096309429665</v>
      </c>
      <c r="U723" s="41">
        <f>IF(U17=1,IF(('Income statement'!U102-U674+SUM(U664:U667))&gt;0,'Assumptions - Passenger'!U$370/365*('Income statement'!U102-U674+SUM(U664:U667)),0),0)</f>
        <v>108.63866341569698</v>
      </c>
      <c r="V723" s="41">
        <f>IF(V17=1,IF(('Income statement'!V102-V674+SUM(V664:V667))&gt;0,'Assumptions - Passenger'!V$370/365*('Income statement'!V102-V674+SUM(V664:V667)),0),0)</f>
        <v>109.32639474673931</v>
      </c>
      <c r="W723" s="41">
        <f>IF(W17=1,IF(('Income statement'!W102-W674+SUM(W664:W667))&gt;0,'Assumptions - Passenger'!W$370/365*('Income statement'!W102-W674+SUM(W664:W667)),0),0)</f>
        <v>110.03475801771292</v>
      </c>
      <c r="X723" s="41">
        <f>IF(X17=1,IF(('Income statement'!X102-X674+SUM(X664:X667))&gt;0,'Assumptions - Passenger'!X$370/365*('Income statement'!X102-X674+SUM(X664:X667)),0),0)</f>
        <v>110.76437218681575</v>
      </c>
      <c r="Y723" s="41">
        <f>IF(Y17=1,IF(('Income statement'!Y102-Y674+SUM(Y664:Y667))&gt;0,'Assumptions - Passenger'!Y$370/365*('Income statement'!Y102-Y674+SUM(Y664:Y667)),0),0)</f>
        <v>111.51587478099165</v>
      </c>
      <c r="Z723" s="41">
        <f>IF(Z17=1,IF(('Income statement'!Z102-Z674+SUM(Z664:Z667))&gt;0,'Assumptions - Passenger'!Z$370/365*('Income statement'!Z102-Z674+SUM(Z664:Z667)),0),0)</f>
        <v>112.28992245299283</v>
      </c>
      <c r="AA723" s="41">
        <f>IF(AA17=1,IF(('Income statement'!AA102-AA674+SUM(AA664:AA667))&gt;0,'Assumptions - Passenger'!AA$370/365*('Income statement'!AA102-AA674+SUM(AA664:AA667)),0),0)</f>
        <v>113.08719155515404</v>
      </c>
      <c r="AB723" s="41">
        <f>IF(AB17=1,IF(('Income statement'!AB102-AB674+SUM(AB664:AB667))&gt;0,'Assumptions - Passenger'!AB$370/365*('Income statement'!AB102-AB674+SUM(AB664:AB667)),0),0)</f>
        <v>113.90837873038008</v>
      </c>
      <c r="AC723" s="41">
        <f>IF(AC17=1,IF(('Income statement'!AC102-AC674+SUM(AC664:AC667))&gt;0,'Assumptions - Passenger'!AC$370/365*('Income statement'!AC102-AC674+SUM(AC664:AC667)),0),0)</f>
        <v>114.75420152086292</v>
      </c>
      <c r="AD723" s="41">
        <f>IF(AD17=1,IF(('Income statement'!AD102-AD674+SUM(AD664:AD667))&gt;0,'Assumptions - Passenger'!AD$370/365*('Income statement'!AD102-AD674+SUM(AD664:AD667)),0),0)</f>
        <v>115.62539899506024</v>
      </c>
      <c r="AE723" s="41">
        <f>IF(AE17=1,IF(('Income statement'!AE102-AE674+SUM(AE664:AE667))&gt;0,'Assumptions - Passenger'!AE$370/365*('Income statement'!AE102-AE674+SUM(AE664:AE667)),0),0)</f>
        <v>116.52273239348347</v>
      </c>
      <c r="AF723" s="41">
        <f>IF(AF17=1,IF(('Income statement'!AF102-AF674+SUM(AF664:AF667))&gt;0,'Assumptions - Passenger'!AF$370/365*('Income statement'!AF102-AF674+SUM(AF664:AF667)),0),0)</f>
        <v>117.44698579385941</v>
      </c>
      <c r="AG723" s="41">
        <f>IF(AG17=1,IF(('Income statement'!AG102-AG674+SUM(AG664:AG667))&gt;0,'Assumptions - Passenger'!AG$370/365*('Income statement'!AG102-AG674+SUM(AG664:AG667)),0),0)</f>
        <v>118.39896679624663</v>
      </c>
      <c r="AH723" s="41">
        <f>IF(AH17=1,IF(('Income statement'!AH102-AH674+SUM(AH664:AH667))&gt;0,'Assumptions - Passenger'!AH$370/365*('Income statement'!AH102-AH674+SUM(AH664:AH667)),0),0)</f>
        <v>119.37950722870544</v>
      </c>
    </row>
    <row r="724" spans="1:34" s="20" customFormat="1" ht="14" x14ac:dyDescent="0.2">
      <c r="A724" s="8"/>
      <c r="B724" s="8" t="s">
        <v>289</v>
      </c>
      <c r="C724" s="8"/>
      <c r="D724" s="8" t="str">
        <f>'Assumptions - General'!$E$27 &amp;" millions"</f>
        <v>R$ millions</v>
      </c>
      <c r="E724" s="463">
        <f>IF(E17=1,'Assumptions - Passenger'!E373,0)</f>
        <v>1400</v>
      </c>
      <c r="F724" s="41">
        <f>IF(F17=1,IF((F678+F680+F682+F684+F686+F688+F1125+F1126)&gt;0,'Assumptions - Passenger'!F374/365*(F678+F680+F682+F684+F686+F688+F1125+F1126),0),0)</f>
        <v>1513.3076923076922</v>
      </c>
      <c r="G724" s="41">
        <f>IF(G17=1,IF((G678+G680+G682+G684+G686+G688+G1125+G1126)&gt;0,'Assumptions - Passenger'!G374/365*(G678+G680+G682+G684+G686+G688+G1125+G1126),0),0)</f>
        <v>1558.706923076923</v>
      </c>
      <c r="H724" s="41">
        <f>IF(H17=1,IF((H678+H680+H682+H684+H686+H688+H1125+H1126)&gt;0,'Assumptions - Passenger'!H374/365*(H678+H680+H682+H684+H686+H688+H1125+H1126),0),0)</f>
        <v>1681.1184615384614</v>
      </c>
      <c r="I724" s="41">
        <f>IF(I17=1,IF((I678+I680+I682+I684+I686+I688+I1125+I1126)&gt;0,'Assumptions - Passenger'!I374/365*(I678+I680+I682+I684+I686+I688+I1125+I1126),0),0)</f>
        <v>1887.391696769231</v>
      </c>
      <c r="J724" s="41">
        <f>IF(J17=1,IF((J678+J680+J682+J684+J686+J688+J1125+J1126)&gt;0,'Assumptions - Passenger'!J374/365*(J678+J680+J682+J684+J686+J688+J1125+J1126),0),0)</f>
        <v>2024.2708835853848</v>
      </c>
      <c r="K724" s="41">
        <f>IF(K17=1,IF((K678+K680+K682+K684+K686+K688+K1125+K1126)&gt;0,'Assumptions - Passenger'!K374/365*(K678+K680+K682+K684+K686+K688+K1125+K1126),0),0)</f>
        <v>2167.6641690834153</v>
      </c>
      <c r="L724" s="41">
        <f>IF(L17=1,IF((L678+L680+L682+L684+L686+L688+L1125+L1126)&gt;0,'Assumptions - Passenger'!L374/365*(L678+L680+L682+L684+L686+L688+L1125+L1126),0),0)</f>
        <v>2317.8392079161013</v>
      </c>
      <c r="M724" s="41">
        <f>IF(M17=1,IF((M678+M680+M682+M684+M686+M688+M1125+M1126)&gt;0,'Assumptions - Passenger'!M374/365*(M678+M680+M682+M684+M686+M688+M1125+M1126),0),0)</f>
        <v>2475.0738513265733</v>
      </c>
      <c r="N724" s="41">
        <f>IF(N17=1,IF((N678+N680+N682+N684+N686+N688+N1125+N1126)&gt;0,'Assumptions - Passenger'!N374/365*(N678+N680+N682+N684+N686+N688+N1125+N1126),0),0)</f>
        <v>2639.656518054549</v>
      </c>
      <c r="O724" s="41">
        <f>IF(O17=1,IF((O678+O680+O682+O684+O686+O688+O1125+O1126)&gt;0,'Assumptions - Passenger'!O374/365*(O678+O680+O682+O684+O686+O688+O1125+O1126),0),0)</f>
        <v>2811.8865783200094</v>
      </c>
      <c r="P724" s="41">
        <f>IF(P17=1,IF((P678+P680+P682+P684+P686+P688+P1125+P1126)&gt;0,'Assumptions - Passenger'!P374/365*(P678+P680+P682+P684+P686+P688+P1125+P1126),0),0)</f>
        <v>2992.0747513351484</v>
      </c>
      <c r="Q724" s="41">
        <f>IF(Q17=1,IF((Q678+Q680+Q682+Q684+Q686+Q688+Q1125+Q1126)&gt;0,'Assumptions - Passenger'!Q374/365*(Q678+Q680+Q682+Q684+Q686+Q688+Q1125+Q1126),0),0)</f>
        <v>3180.5435168107074</v>
      </c>
      <c r="R724" s="41">
        <f>IF(R17=1,IF((R678+R680+R682+R684+R686+R688+R1125+R1126)&gt;0,'Assumptions - Passenger'!R374/365*(R678+R680+R682+R684+R686+R688+R1125+R1126),0),0)</f>
        <v>3377.6275409385989</v>
      </c>
      <c r="S724" s="41">
        <f>IF(S17=1,IF((S678+S680+S682+S684+S686+S688+S1125+S1126)&gt;0,'Assumptions - Passenger'!S374/365*(S678+S680+S682+S684+S686+S688+S1125+S1126),0),0)</f>
        <v>3583.6741173490341</v>
      </c>
      <c r="T724" s="41">
        <f>IF(T17=1,IF((T678+T680+T682+T684+T686+T688+T1125+T1126)&gt;0,'Assumptions - Passenger'!T374/365*(T678+T680+T682+T684+T686+T688+T1125+T1126),0),0)</f>
        <v>3799.0436235572506</v>
      </c>
      <c r="U724" s="41">
        <f>IF(U17=1,IF((U678+U680+U682+U684+U686+U688+U1125+U1126)&gt;0,'Assumptions - Passenger'!U374/365*(U678+U680+U682+U684+U686+U688+U1125+U1126),0),0)</f>
        <v>4024.1099934323461</v>
      </c>
      <c r="V724" s="41">
        <f>IF(V17=1,IF((V678+V680+V682+V684+V686+V688+V1125+V1126)&gt;0,'Assumptions - Passenger'!V374/365*(V678+V680+V682+V684+V686+V688+V1125+V1126),0),0)</f>
        <v>4259.2612062387461</v>
      </c>
      <c r="W724" s="41">
        <f>IF(W17=1,IF((W678+W680+W682+W684+W686+W688+W1125+W1126)&gt;0,'Assumptions - Passenger'!W374/365*(W678+W680+W682+W684+W686+W688+W1125+W1126),0),0)</f>
        <v>4504.8997928194403</v>
      </c>
      <c r="X724" s="41">
        <f>IF(X17=1,IF((X678+X680+X682+X684+X686+X688+X1125+X1126)&gt;0,'Assumptions - Passenger'!X374/365*(X678+X680+X682+X684+X686+X688+X1125+X1126),0),0)</f>
        <v>4761.4433595093606</v>
      </c>
      <c r="Y724" s="41">
        <f>IF(Y17=1,IF((Y678+Y680+Y682+Y684+Y686+Y688+Y1125+Y1126)&gt;0,'Assumptions - Passenger'!Y374/365*(Y678+Y680+Y682+Y684+Y686+Y688+Y1125+Y1126),0),0)</f>
        <v>5029.3251303871402</v>
      </c>
      <c r="Z724" s="41">
        <f>IF(Z17=1,IF((Z678+Z680+Z682+Z684+Z686+Z688+Z1125+Z1126)&gt;0,'Assumptions - Passenger'!Z374/365*(Z678+Z680+Z682+Z684+Z686+Z688+Z1125+Z1126),0),0)</f>
        <v>5308.9945084940273</v>
      </c>
      <c r="AA724" s="41">
        <f>IF(AA17=1,IF((AA678+AA680+AA682+AA684+AA686+AA688+AA1125+AA1126)&gt;0,'Assumptions - Passenger'!AA374/365*(AA678+AA680+AA682+AA684+AA686+AA688+AA1125+AA1126),0),0)</f>
        <v>5600.9176566699807</v>
      </c>
      <c r="AB724" s="41">
        <f>IF(AB17=1,IF((AB678+AB680+AB682+AB684+AB686+AB688+AB1125+AB1126)&gt;0,'Assumptions - Passenger'!AB374/365*(AB678+AB680+AB682+AB684+AB686+AB688+AB1125+AB1126),0),0)</f>
        <v>5905.578098678845</v>
      </c>
      <c r="AC724" s="41">
        <f>IF(AC17=1,IF((AC678+AC680+AC682+AC684+AC686+AC688+AC1125+AC1126)&gt;0,'Assumptions - Passenger'!AC374/365*(AC678+AC680+AC682+AC684+AC686+AC688+AC1125+AC1126),0),0)</f>
        <v>6223.4773413172379</v>
      </c>
      <c r="AD724" s="41">
        <f>IF(AD17=1,IF((AD678+AD680+AD682+AD684+AD686+AD688+AD1125+AD1126)&gt;0,'Assumptions - Passenger'!AD374/365*(AD678+AD680+AD682+AD684+AD686+AD688+AD1125+AD1126),0),0)</f>
        <v>6555.1355182251236</v>
      </c>
      <c r="AE724" s="41">
        <f>IF(AE17=1,IF((AE678+AE680+AE682+AE684+AE686+AE688+AE1125+AE1126)&gt;0,'Assumptions - Passenger'!AE374/365*(AE678+AE680+AE682+AE684+AE686+AE688+AE1125+AE1126),0),0)</f>
        <v>6901.0920561402982</v>
      </c>
      <c r="AF724" s="41">
        <f>IF(AF17=1,IF((AF678+AF680+AF682+AF684+AF686+AF688+AF1125+AF1126)&gt;0,'Assumptions - Passenger'!AF374/365*(AF678+AF680+AF682+AF684+AF686+AF688+AF1125+AF1126),0),0)</f>
        <v>7261.9063643639793</v>
      </c>
      <c r="AG724" s="41">
        <f>IF(AG17=1,IF((AG678+AG680+AG682+AG684+AG686+AG688+AG1125+AG1126)&gt;0,'Assumptions - Passenger'!AG374/365*(AG678+AG680+AG682+AG684+AG686+AG688+AG1125+AG1126),0),0)</f>
        <v>7638.1585482305545</v>
      </c>
      <c r="AH724" s="41">
        <f>IF(AH17=1,IF((AH678+AH680+AH682+AH684+AH686+AH688+AH1125+AH1126)&gt;0,'Assumptions - Passenger'!AH374/365*(AH678+AH680+AH682+AH684+AH686+AH688+AH1125+AH1126),0),0)</f>
        <v>8030.4501474011977</v>
      </c>
    </row>
    <row r="725" spans="1:34" s="20" customFormat="1" ht="14" x14ac:dyDescent="0.2">
      <c r="A725" s="8"/>
      <c r="B725" s="8" t="s">
        <v>290</v>
      </c>
      <c r="C725" s="8"/>
      <c r="D725" s="8" t="str">
        <f>'Assumptions - General'!$E$27 &amp;" millions"</f>
        <v>R$ millions</v>
      </c>
      <c r="E725" s="463">
        <f>IF(E17=1,'Assumptions - Passenger'!E377,0)</f>
        <v>100</v>
      </c>
      <c r="F725" s="41">
        <f>IF(F17=1,IF(AND(F$17=1,SUM(Calculations!F$693:F$696)&gt;0),'Assumptions - Passenger'!F378/365*SUM(Calculations!F$693:F$696),0),0)</f>
        <v>103.00000000000001</v>
      </c>
      <c r="G725" s="41">
        <f>IF(G17=1,IF(AND(G$17=1,SUM(Calculations!G$693:G$696)&gt;0),'Assumptions - Passenger'!G378/365*SUM(Calculations!G$693:G$696),0),0)</f>
        <v>106.09000000000002</v>
      </c>
      <c r="H725" s="41">
        <f>IF(H17=1,IF(AND(H$17=1,SUM(Calculations!H$693:H$696)&gt;0),'Assumptions - Passenger'!H378/365*SUM(Calculations!H$693:H$696),0),0)</f>
        <v>109.27270000000001</v>
      </c>
      <c r="I725" s="41">
        <f>IF(I17=1,IF(AND(I$17=1,SUM(Calculations!I$693:I$696)&gt;0),'Assumptions - Passenger'!I378/365*SUM(Calculations!I$693:I$696),0),0)</f>
        <v>112.55088100000002</v>
      </c>
      <c r="J725" s="41">
        <f>IF(J17=1,IF(AND(J$17=1,SUM(Calculations!J$693:J$696)&gt;0),'Assumptions - Passenger'!J378/365*SUM(Calculations!J$693:J$696),0),0)</f>
        <v>115.92740743000002</v>
      </c>
      <c r="K725" s="41">
        <f>IF(K17=1,IF(AND(K$17=1,SUM(Calculations!K$693:K$696)&gt;0),'Assumptions - Passenger'!K378/365*SUM(Calculations!K$693:K$696),0),0)</f>
        <v>119.4052296529</v>
      </c>
      <c r="L725" s="41">
        <f>IF(L17=1,IF(AND(L$17=1,SUM(Calculations!L$693:L$696)&gt;0),'Assumptions - Passenger'!L378/365*SUM(Calculations!L$693:L$696),0),0)</f>
        <v>122.98738654248703</v>
      </c>
      <c r="M725" s="41">
        <f>IF(M17=1,IF(AND(M$17=1,SUM(Calculations!M$693:M$696)&gt;0),'Assumptions - Passenger'!M378/365*SUM(Calculations!M$693:M$696),0),0)</f>
        <v>126.67700813876164</v>
      </c>
      <c r="N725" s="41">
        <f>IF(N17=1,IF(AND(N$17=1,SUM(Calculations!N$693:N$696)&gt;0),'Assumptions - Passenger'!N378/365*SUM(Calculations!N$693:N$696),0),0)</f>
        <v>130.47731838292449</v>
      </c>
      <c r="O725" s="41">
        <f>IF(O17=1,IF(AND(O$17=1,SUM(Calculations!O$693:O$696)&gt;0),'Assumptions - Passenger'!O378/365*SUM(Calculations!O$693:O$696),0),0)</f>
        <v>134.39163793441222</v>
      </c>
      <c r="P725" s="41">
        <f>IF(P17=1,IF(AND(P$17=1,SUM(Calculations!P$693:P$696)&gt;0),'Assumptions - Passenger'!P378/365*SUM(Calculations!P$693:P$696),0),0)</f>
        <v>138.4233870724446</v>
      </c>
      <c r="Q725" s="41">
        <f>IF(Q17=1,IF(AND(Q$17=1,SUM(Calculations!Q$693:Q$696)&gt;0),'Assumptions - Passenger'!Q378/365*SUM(Calculations!Q$693:Q$696),0),0)</f>
        <v>142.5760886846179</v>
      </c>
      <c r="R725" s="41">
        <f>IF(R17=1,IF(AND(R$17=1,SUM(Calculations!R$693:R$696)&gt;0),'Assumptions - Passenger'!R378/365*SUM(Calculations!R$693:R$696),0),0)</f>
        <v>146.85337134515649</v>
      </c>
      <c r="S725" s="41">
        <f>IF(S17=1,IF(AND(S$17=1,SUM(Calculations!S$693:S$696)&gt;0),'Assumptions - Passenger'!S378/365*SUM(Calculations!S$693:S$696),0),0)</f>
        <v>151.25897248551115</v>
      </c>
      <c r="T725" s="41">
        <f>IF(T17=1,IF(AND(T$17=1,SUM(Calculations!T$693:T$696)&gt;0),'Assumptions - Passenger'!T378/365*SUM(Calculations!T$693:T$696),0),0)</f>
        <v>155.79674166007649</v>
      </c>
      <c r="U725" s="41">
        <f>IF(U17=1,IF(AND(U$17=1,SUM(Calculations!U$693:U$696)&gt;0),'Assumptions - Passenger'!U378/365*SUM(Calculations!U$693:U$696),0),0)</f>
        <v>160.47064390987876</v>
      </c>
      <c r="V725" s="41">
        <f>IF(V17=1,IF(AND(V$17=1,SUM(Calculations!V$693:V$696)&gt;0),'Assumptions - Passenger'!V378/365*SUM(Calculations!V$693:V$696),0),0)</f>
        <v>165.28476322717512</v>
      </c>
      <c r="W725" s="41">
        <f>IF(W17=1,IF(AND(W$17=1,SUM(Calculations!W$693:W$696)&gt;0),'Assumptions - Passenger'!W378/365*SUM(Calculations!W$693:W$696),0),0)</f>
        <v>170.24330612399038</v>
      </c>
      <c r="X725" s="41">
        <f>IF(X17=1,IF(AND(X$17=1,SUM(Calculations!X$693:X$696)&gt;0),'Assumptions - Passenger'!X378/365*SUM(Calculations!X$693:X$696),0),0)</f>
        <v>175.35060530771014</v>
      </c>
      <c r="Y725" s="41">
        <f>IF(Y17=1,IF(AND(Y$17=1,SUM(Calculations!Y$693:Y$696)&gt;0),'Assumptions - Passenger'!Y378/365*SUM(Calculations!Y$693:Y$696),0),0)</f>
        <v>180.61112346694145</v>
      </c>
      <c r="Z725" s="41">
        <f>IF(Z17=1,IF(AND(Z$17=1,SUM(Calculations!Z$693:Z$696)&gt;0),'Assumptions - Passenger'!Z378/365*SUM(Calculations!Z$693:Z$696),0),0)</f>
        <v>186.02945717094968</v>
      </c>
      <c r="AA725" s="41">
        <f>IF(AA17=1,IF(AND(AA$17=1,SUM(Calculations!AA$693:AA$696)&gt;0),'Assumptions - Passenger'!AA378/365*SUM(Calculations!AA$693:AA$696),0),0)</f>
        <v>191.61034088607818</v>
      </c>
      <c r="AB725" s="41">
        <f>IF(AB17=1,IF(AND(AB$17=1,SUM(Calculations!AB$693:AB$696)&gt;0),'Assumptions - Passenger'!AB378/365*SUM(Calculations!AB$693:AB$696),0),0)</f>
        <v>197.35865111266054</v>
      </c>
      <c r="AC725" s="41">
        <f>IF(AC17=1,IF(AND(AC$17=1,SUM(Calculations!AC$693:AC$696)&gt;0),'Assumptions - Passenger'!AC378/365*SUM(Calculations!AC$693:AC$696),0),0)</f>
        <v>203.27941064604036</v>
      </c>
      <c r="AD725" s="41">
        <f>IF(AD17=1,IF(AND(AD$17=1,SUM(Calculations!AD$693:AD$696)&gt;0),'Assumptions - Passenger'!AD378/365*SUM(Calculations!AD$693:AD$696),0),0)</f>
        <v>209.37779296542155</v>
      </c>
      <c r="AE725" s="41">
        <f>IF(AE17=1,IF(AND(AE$17=1,SUM(Calculations!AE$693:AE$696)&gt;0),'Assumptions - Passenger'!AE378/365*SUM(Calculations!AE$693:AE$696),0),0)</f>
        <v>215.65912675438415</v>
      </c>
      <c r="AF725" s="41">
        <f>IF(AF17=1,IF(AND(AF$17=1,SUM(Calculations!AF$693:AF$696)&gt;0),'Assumptions - Passenger'!AF378/365*SUM(Calculations!AF$693:AF$696),0),0)</f>
        <v>222.1289005570157</v>
      </c>
      <c r="AG725" s="41">
        <f>IF(AG17=1,IF(AND(AG$17=1,SUM(Calculations!AG$693:AG$696)&gt;0),'Assumptions - Passenger'!AG378/365*SUM(Calculations!AG$693:AG$696),0),0)</f>
        <v>228.79276757372622</v>
      </c>
      <c r="AH725" s="41">
        <f>IF(AH17=1,IF(AND(AH$17=1,SUM(Calculations!AH$693:AH$696)&gt;0),'Assumptions - Passenger'!AH378/365*SUM(Calculations!AH$693:AH$696),0),0)</f>
        <v>235.65655060093803</v>
      </c>
    </row>
    <row r="726" spans="1:34" s="20" customFormat="1" ht="14" x14ac:dyDescent="0.2">
      <c r="A726" s="8"/>
      <c r="B726" s="8"/>
      <c r="C726" s="8"/>
      <c r="D726" s="8"/>
      <c r="E726" s="41"/>
      <c r="F726" s="41"/>
      <c r="G726" s="41"/>
      <c r="H726" s="41"/>
      <c r="I726" s="41"/>
      <c r="J726" s="41"/>
      <c r="K726" s="41"/>
      <c r="L726" s="41"/>
      <c r="M726" s="41"/>
      <c r="N726" s="41"/>
      <c r="O726" s="41"/>
      <c r="P726" s="41"/>
      <c r="Q726" s="41"/>
      <c r="R726" s="41"/>
      <c r="S726" s="41"/>
      <c r="T726" s="41"/>
      <c r="U726" s="41"/>
      <c r="V726" s="41"/>
      <c r="W726" s="41"/>
      <c r="X726" s="41"/>
      <c r="Y726" s="41"/>
      <c r="Z726" s="41"/>
      <c r="AA726" s="41"/>
      <c r="AB726" s="41"/>
      <c r="AC726" s="41"/>
      <c r="AD726" s="41"/>
      <c r="AE726" s="41"/>
      <c r="AF726" s="41"/>
      <c r="AG726" s="41"/>
      <c r="AH726" s="41"/>
    </row>
    <row r="727" spans="1:34" s="20" customFormat="1" ht="14" x14ac:dyDescent="0.2">
      <c r="A727" s="8"/>
      <c r="B727" s="8" t="s">
        <v>70</v>
      </c>
      <c r="C727" s="8"/>
      <c r="D727" s="8" t="str">
        <f>'Assumptions - General'!$E$27 &amp;" millions"</f>
        <v>R$ millions</v>
      </c>
      <c r="E727" s="41">
        <f>'Balance sheet'!E103</f>
        <v>100</v>
      </c>
      <c r="F727" s="41">
        <f>'Balance sheet'!F103</f>
        <v>4823.0495548194867</v>
      </c>
      <c r="G727" s="41">
        <f>'Balance sheet'!G103</f>
        <v>9896.4288917163103</v>
      </c>
      <c r="H727" s="41">
        <f>'Balance sheet'!H103</f>
        <v>15446.70946999306</v>
      </c>
      <c r="I727" s="41">
        <f>'Balance sheet'!I103</f>
        <v>21883.348136139841</v>
      </c>
      <c r="J727" s="41">
        <f>'Balance sheet'!J103</f>
        <v>29179.322624664492</v>
      </c>
      <c r="K727" s="41">
        <f>'Balance sheet'!K103</f>
        <v>37251.115702379662</v>
      </c>
      <c r="L727" s="41">
        <f>'Balance sheet'!L103</f>
        <v>46123.844561638121</v>
      </c>
      <c r="M727" s="41">
        <f>'Balance sheet'!M103</f>
        <v>55883.438787693987</v>
      </c>
      <c r="N727" s="41">
        <f>'Balance sheet'!N103</f>
        <v>66581.559186280327</v>
      </c>
      <c r="O727" s="41">
        <f>'Balance sheet'!O103</f>
        <v>78055.744047057262</v>
      </c>
      <c r="P727" s="41">
        <f>'Balance sheet'!P103</f>
        <v>90519.17007940363</v>
      </c>
      <c r="Q727" s="41">
        <f>'Balance sheet'!Q103</f>
        <v>104029.79110020136</v>
      </c>
      <c r="R727" s="41">
        <f>'Balance sheet'!R103</f>
        <v>118647.01134292586</v>
      </c>
      <c r="S727" s="41">
        <f>'Balance sheet'!S103</f>
        <v>134433.02113050004</v>
      </c>
      <c r="T727" s="41">
        <f>'Balance sheet'!T103</f>
        <v>151452.91402097495</v>
      </c>
      <c r="U727" s="41">
        <f>'Balance sheet'!U103</f>
        <v>169750.24604636375</v>
      </c>
      <c r="V727" s="41">
        <f>'Balance sheet'!V103</f>
        <v>189452.6336571002</v>
      </c>
      <c r="W727" s="41">
        <f>'Balance sheet'!W103</f>
        <v>210603.12217767743</v>
      </c>
      <c r="X727" s="41">
        <f>'Balance sheet'!X103</f>
        <v>233279.26136599516</v>
      </c>
      <c r="Y727" s="41">
        <f>'Balance sheet'!Y103</f>
        <v>257560.7532156026</v>
      </c>
      <c r="Z727" s="41">
        <f>'Balance sheet'!Z103</f>
        <v>283532.61573840282</v>
      </c>
      <c r="AA727" s="41">
        <f>'Balance sheet'!AA103</f>
        <v>311286.41666183132</v>
      </c>
      <c r="AB727" s="41">
        <f>'Balance sheet'!AB103</f>
        <v>340915.29702339123</v>
      </c>
      <c r="AC727" s="41">
        <f>'Balance sheet'!AC103</f>
        <v>372516.26608938153</v>
      </c>
      <c r="AD727" s="41">
        <f>'Balance sheet'!AD103</f>
        <v>406191.32387962099</v>
      </c>
      <c r="AE727" s="41">
        <f>'Balance sheet'!AE103</f>
        <v>442022.13191755844</v>
      </c>
      <c r="AF727" s="41">
        <f>'Balance sheet'!AF103</f>
        <v>480169.12063997646</v>
      </c>
      <c r="AG727" s="41">
        <f>'Balance sheet'!AG103</f>
        <v>520723.23663387459</v>
      </c>
      <c r="AH727" s="41">
        <f>'Balance sheet'!AH103</f>
        <v>563805.45490837749</v>
      </c>
    </row>
    <row r="728" spans="1:34" s="20" customFormat="1" ht="14" x14ac:dyDescent="0.2">
      <c r="A728" s="8"/>
      <c r="B728" s="8" t="s">
        <v>69</v>
      </c>
      <c r="C728" s="8"/>
      <c r="D728" s="8" t="str">
        <f>'Assumptions - General'!$E$27 &amp;" millions"</f>
        <v>R$ millions</v>
      </c>
      <c r="E728" s="41">
        <f>'Balance sheet'!E107</f>
        <v>5300</v>
      </c>
      <c r="F728" s="41">
        <f>'Balance sheet'!F107</f>
        <v>10504.656567522527</v>
      </c>
      <c r="G728" s="41">
        <f>'Balance sheet'!G107</f>
        <v>15745.912686229014</v>
      </c>
      <c r="H728" s="41">
        <f>'Balance sheet'!H107</f>
        <v>21817.270858117801</v>
      </c>
      <c r="I728" s="41">
        <f>'Balance sheet'!I107</f>
        <v>29159.673824533947</v>
      </c>
      <c r="J728" s="41">
        <f>'Balance sheet'!J107</f>
        <v>37040.734382045477</v>
      </c>
      <c r="K728" s="41">
        <f>'Balance sheet'!K107</f>
        <v>45726.247142624328</v>
      </c>
      <c r="L728" s="41">
        <f>'Balance sheet'!L107</f>
        <v>55242.520737993786</v>
      </c>
      <c r="M728" s="41">
        <f>'Balance sheet'!M107</f>
        <v>65676.721908888241</v>
      </c>
      <c r="N728" s="41">
        <f>'Balance sheet'!N107</f>
        <v>77081.79600330189</v>
      </c>
      <c r="O728" s="41">
        <f>'Balance sheet'!O107</f>
        <v>89296.614969703864</v>
      </c>
      <c r="P728" s="41">
        <f>'Balance sheet'!P107</f>
        <v>102535.74008373456</v>
      </c>
      <c r="Q728" s="41">
        <f>'Balance sheet'!Q107</f>
        <v>116858.56249014447</v>
      </c>
      <c r="R728" s="41">
        <f>'Balance sheet'!R107</f>
        <v>132325.9784314711</v>
      </c>
      <c r="S728" s="41">
        <f>'Balance sheet'!S107</f>
        <v>149001.7269081698</v>
      </c>
      <c r="T728" s="41">
        <f>'Balance sheet'!T107</f>
        <v>166952.50888159408</v>
      </c>
      <c r="U728" s="41">
        <f>'Balance sheet'!U107</f>
        <v>186223.54864256649</v>
      </c>
      <c r="V728" s="41">
        <f>'Balance sheet'!V107</f>
        <v>206944.19396050414</v>
      </c>
      <c r="W728" s="41">
        <f>'Balance sheet'!W107</f>
        <v>229159.2868212352</v>
      </c>
      <c r="X728" s="41">
        <f>'Balance sheet'!X107</f>
        <v>252948.24134870004</v>
      </c>
      <c r="Y728" s="41">
        <f>'Balance sheet'!Y107</f>
        <v>278392.69405248144</v>
      </c>
      <c r="Z728" s="41">
        <f>'Balance sheet'!Z107</f>
        <v>305579.67014157865</v>
      </c>
      <c r="AA728" s="41">
        <f>'Balance sheet'!AA107</f>
        <v>334602.81984138599</v>
      </c>
      <c r="AB728" s="41">
        <f>'Balance sheet'!AB107</f>
        <v>365557.44469980174</v>
      </c>
      <c r="AC728" s="41">
        <f>'Balance sheet'!AC107</f>
        <v>398542.79531245481</v>
      </c>
      <c r="AD728" s="41">
        <f>'Balance sheet'!AD107</f>
        <v>433663.19675210508</v>
      </c>
      <c r="AE728" s="41">
        <f>'Balance sheet'!AE107</f>
        <v>471002.72232497443</v>
      </c>
      <c r="AF728" s="41">
        <f>'Balance sheet'!AF107</f>
        <v>510724.30409169226</v>
      </c>
      <c r="AG728" s="41">
        <f>'Balance sheet'!AG107</f>
        <v>552921.48332403856</v>
      </c>
      <c r="AH728" s="41">
        <f>'Balance sheet'!AH107</f>
        <v>597717.92610904702</v>
      </c>
    </row>
    <row r="729" spans="1:34" s="20" customFormat="1" ht="14" x14ac:dyDescent="0.2">
      <c r="A729" s="8"/>
      <c r="B729" s="8" t="s">
        <v>77</v>
      </c>
      <c r="C729" s="8"/>
      <c r="D729" s="8" t="str">
        <f>'Assumptions - General'!$E$27 &amp;" millions"</f>
        <v>R$ millions</v>
      </c>
      <c r="E729" s="41">
        <f>'Balance sheet'!E120</f>
        <v>1520</v>
      </c>
      <c r="F729" s="41">
        <f>'Balance sheet'!F120</f>
        <v>1646.3076923076922</v>
      </c>
      <c r="G729" s="41">
        <f>'Balance sheet'!G120</f>
        <v>1689.7969230769229</v>
      </c>
      <c r="H729" s="41">
        <f>'Balance sheet'!H120</f>
        <v>1815.3911615384613</v>
      </c>
      <c r="I729" s="41">
        <f>'Balance sheet'!I120</f>
        <v>2024.9425777692311</v>
      </c>
      <c r="J729" s="41">
        <f>'Balance sheet'!J120</f>
        <v>2165.1982910153847</v>
      </c>
      <c r="K729" s="41">
        <f>'Balance sheet'!K120</f>
        <v>2319.5089054032305</v>
      </c>
      <c r="L729" s="41">
        <f>'Balance sheet'!L120</f>
        <v>2473.6340369571958</v>
      </c>
      <c r="M729" s="41">
        <f>'Balance sheet'!M120</f>
        <v>2634.989257540265</v>
      </c>
      <c r="N729" s="41">
        <f>'Balance sheet'!N120</f>
        <v>2804.2282513018085</v>
      </c>
      <c r="O729" s="41">
        <f>'Balance sheet'!O120</f>
        <v>2955.9406316124991</v>
      </c>
      <c r="P729" s="41">
        <f>'Balance sheet'!P120</f>
        <v>3140.7402845329621</v>
      </c>
      <c r="Q729" s="41">
        <f>'Balance sheet'!Q120</f>
        <v>3333.977231626307</v>
      </c>
      <c r="R729" s="41">
        <f>'Balance sheet'!R120</f>
        <v>3535.992028509585</v>
      </c>
      <c r="S729" s="41">
        <f>'Balance sheet'!S120</f>
        <v>3747.1381132751458</v>
      </c>
      <c r="T729" s="41">
        <f>'Balance sheet'!T120</f>
        <v>4017.7822758316806</v>
      </c>
      <c r="U729" s="41">
        <f>'Balance sheet'!U120</f>
        <v>4184.5806373422247</v>
      </c>
      <c r="V729" s="41">
        <f>'Balance sheet'!V120</f>
        <v>4424.5459694659212</v>
      </c>
      <c r="W729" s="41">
        <f>'Balance sheet'!W120</f>
        <v>4675.1430989434311</v>
      </c>
      <c r="X729" s="41">
        <f>'Balance sheet'!X120</f>
        <v>4936.7939648170704</v>
      </c>
      <c r="Y729" s="41">
        <f>'Balance sheet'!Y120</f>
        <v>5209.9362538540818</v>
      </c>
      <c r="Z729" s="41">
        <f>'Balance sheet'!Z120</f>
        <v>5495.0239656649774</v>
      </c>
      <c r="AA729" s="41">
        <f>'Balance sheet'!AA120</f>
        <v>5792.5279975560588</v>
      </c>
      <c r="AB729" s="41">
        <f>'Balance sheet'!AB120</f>
        <v>6102.9367497915055</v>
      </c>
      <c r="AC729" s="41">
        <f>'Balance sheet'!AC120</f>
        <v>6426.7567519632785</v>
      </c>
      <c r="AD729" s="41">
        <f>'Balance sheet'!AD120</f>
        <v>6814.5133111905452</v>
      </c>
      <c r="AE729" s="41">
        <f>'Balance sheet'!AE120</f>
        <v>7116.7511828946826</v>
      </c>
      <c r="AF729" s="41">
        <f>'Balance sheet'!AF120</f>
        <v>7484.0352649209954</v>
      </c>
      <c r="AG729" s="41">
        <f>'Balance sheet'!AG120</f>
        <v>7866.951315804281</v>
      </c>
      <c r="AH729" s="41">
        <f>'Balance sheet'!AH120</f>
        <v>8266.1066980021351</v>
      </c>
    </row>
    <row r="730" spans="1:34" s="20" customFormat="1" ht="14" x14ac:dyDescent="0.2">
      <c r="A730" s="8"/>
      <c r="B730" s="8" t="s">
        <v>178</v>
      </c>
      <c r="C730" s="8"/>
      <c r="D730" s="8" t="s">
        <v>118</v>
      </c>
      <c r="E730" s="79">
        <f>IF(E17=1,E728/E729,"N/A")</f>
        <v>3.486842105263158</v>
      </c>
      <c r="F730" s="79">
        <f t="shared" ref="F730:AH730" si="284">IF(F17=1,F728/F729,"N/A")</f>
        <v>6.3807370982988907</v>
      </c>
      <c r="G730" s="79">
        <f t="shared" si="284"/>
        <v>9.3182278125809024</v>
      </c>
      <c r="H730" s="79">
        <f t="shared" si="284"/>
        <v>12.017944848662069</v>
      </c>
      <c r="I730" s="79">
        <f t="shared" si="284"/>
        <v>14.400247268570732</v>
      </c>
      <c r="J730" s="79">
        <f t="shared" si="284"/>
        <v>17.107317392475387</v>
      </c>
      <c r="K730" s="79">
        <f t="shared" si="284"/>
        <v>19.713762269291713</v>
      </c>
      <c r="L730" s="79">
        <f t="shared" si="284"/>
        <v>22.332535820839254</v>
      </c>
      <c r="M730" s="79">
        <f t="shared" si="284"/>
        <v>24.924853762097221</v>
      </c>
      <c r="N730" s="79">
        <f t="shared" si="284"/>
        <v>27.487703958305875</v>
      </c>
      <c r="O730" s="79">
        <f t="shared" si="284"/>
        <v>30.209204479520128</v>
      </c>
      <c r="P730" s="79">
        <f t="shared" si="284"/>
        <v>32.646997457474249</v>
      </c>
      <c r="Q730" s="79">
        <f t="shared" si="284"/>
        <v>35.050798002343015</v>
      </c>
      <c r="R730" s="79">
        <f t="shared" si="284"/>
        <v>37.422589577286544</v>
      </c>
      <c r="S730" s="79">
        <f t="shared" si="284"/>
        <v>39.764140633166157</v>
      </c>
      <c r="T730" s="79">
        <f t="shared" si="284"/>
        <v>41.553398720948593</v>
      </c>
      <c r="U730" s="79">
        <f t="shared" si="284"/>
        <v>44.502320490792037</v>
      </c>
      <c r="V730" s="79">
        <f t="shared" si="284"/>
        <v>46.771848544153329</v>
      </c>
      <c r="W730" s="79">
        <f t="shared" si="284"/>
        <v>49.016528900051114</v>
      </c>
      <c r="X730" s="79">
        <f t="shared" si="284"/>
        <v>51.237350221901124</v>
      </c>
      <c r="Y730" s="79">
        <f t="shared" si="284"/>
        <v>53.434952077684017</v>
      </c>
      <c r="Z730" s="79">
        <f t="shared" si="284"/>
        <v>55.610252484967845</v>
      </c>
      <c r="AA730" s="79">
        <f t="shared" si="284"/>
        <v>57.764558062137837</v>
      </c>
      <c r="AB730" s="79">
        <f t="shared" si="284"/>
        <v>59.898612698597979</v>
      </c>
      <c r="AC730" s="79">
        <f t="shared" si="284"/>
        <v>62.013051169348508</v>
      </c>
      <c r="AD730" s="79">
        <f t="shared" si="284"/>
        <v>63.638175897310113</v>
      </c>
      <c r="AE730" s="79">
        <f t="shared" si="284"/>
        <v>66.182266348870414</v>
      </c>
      <c r="AF730" s="79">
        <f t="shared" si="284"/>
        <v>68.241835589090272</v>
      </c>
      <c r="AG730" s="79">
        <f t="shared" si="284"/>
        <v>70.284086061807599</v>
      </c>
      <c r="AH730" s="79">
        <f t="shared" si="284"/>
        <v>72.30948594620871</v>
      </c>
    </row>
    <row r="731" spans="1:34" s="20" customFormat="1" ht="14" x14ac:dyDescent="0.2">
      <c r="A731" s="8"/>
      <c r="B731" s="8" t="s">
        <v>216</v>
      </c>
      <c r="C731" s="8"/>
      <c r="D731" s="8" t="s">
        <v>118</v>
      </c>
      <c r="E731" s="79">
        <f>IF(E17=1,E727/E729,"N/A")</f>
        <v>6.5789473684210523E-2</v>
      </c>
      <c r="F731" s="79">
        <f t="shared" ref="F731:AH731" si="285">IF(F17=1,F727/F729,"N/A")</f>
        <v>2.929616120580008</v>
      </c>
      <c r="G731" s="79">
        <f t="shared" si="285"/>
        <v>5.8565788329736508</v>
      </c>
      <c r="H731" s="79">
        <f t="shared" si="285"/>
        <v>8.5087499582749295</v>
      </c>
      <c r="I731" s="79">
        <f t="shared" si="285"/>
        <v>10.806898119672871</v>
      </c>
      <c r="J731" s="79">
        <f t="shared" si="285"/>
        <v>13.476512865239998</v>
      </c>
      <c r="K731" s="79">
        <f t="shared" si="285"/>
        <v>16.059914930959842</v>
      </c>
      <c r="L731" s="79">
        <f t="shared" si="285"/>
        <v>18.646187703001864</v>
      </c>
      <c r="M731" s="79">
        <f t="shared" si="285"/>
        <v>21.20822262473305</v>
      </c>
      <c r="N731" s="79">
        <f t="shared" si="285"/>
        <v>23.74327380639259</v>
      </c>
      <c r="O731" s="79">
        <f t="shared" si="285"/>
        <v>26.406397751120249</v>
      </c>
      <c r="P731" s="79">
        <f t="shared" si="285"/>
        <v>28.820966357892949</v>
      </c>
      <c r="Q731" s="79">
        <f t="shared" si="285"/>
        <v>31.202909879938154</v>
      </c>
      <c r="R731" s="79">
        <f t="shared" si="285"/>
        <v>33.554094688651034</v>
      </c>
      <c r="S731" s="79">
        <f t="shared" si="285"/>
        <v>35.876185255685783</v>
      </c>
      <c r="T731" s="79">
        <f t="shared" si="285"/>
        <v>37.69564989422534</v>
      </c>
      <c r="U731" s="79">
        <f t="shared" si="285"/>
        <v>40.565652990780492</v>
      </c>
      <c r="V731" s="79">
        <f t="shared" si="285"/>
        <v>42.818547928877926</v>
      </c>
      <c r="W731" s="79">
        <f t="shared" si="285"/>
        <v>45.047417313338094</v>
      </c>
      <c r="X731" s="79">
        <f t="shared" si="285"/>
        <v>47.253189626405479</v>
      </c>
      <c r="Y731" s="79">
        <f t="shared" si="285"/>
        <v>49.436450018955696</v>
      </c>
      <c r="Z731" s="79">
        <f t="shared" si="285"/>
        <v>51.598067180420621</v>
      </c>
      <c r="AA731" s="79">
        <f t="shared" si="285"/>
        <v>53.739302907671231</v>
      </c>
      <c r="AB731" s="79">
        <f t="shared" si="285"/>
        <v>55.860860271088001</v>
      </c>
      <c r="AC731" s="79">
        <f t="shared" si="285"/>
        <v>57.963336791233516</v>
      </c>
      <c r="AD731" s="79">
        <f t="shared" si="285"/>
        <v>59.606798802870983</v>
      </c>
      <c r="AE731" s="79">
        <f t="shared" si="285"/>
        <v>62.110100600393537</v>
      </c>
      <c r="AF731" s="79">
        <f t="shared" si="285"/>
        <v>64.159120533626364</v>
      </c>
      <c r="AG731" s="79">
        <f t="shared" si="285"/>
        <v>66.191236697724278</v>
      </c>
      <c r="AH731" s="79">
        <f t="shared" si="285"/>
        <v>68.206892979574732</v>
      </c>
    </row>
    <row r="733" spans="1:34" x14ac:dyDescent="0.2">
      <c r="A733" s="324"/>
      <c r="B733" s="323" t="str">
        <f>"Cash balance for " &amp;'Assumptions - General'!E25</f>
        <v>Cash balance for Ruritania Passenger Rail Company</v>
      </c>
      <c r="C733" s="324"/>
      <c r="D733" s="324"/>
      <c r="E733" s="324"/>
      <c r="F733" s="324"/>
      <c r="G733" s="324"/>
      <c r="H733" s="324"/>
      <c r="I733" s="324"/>
      <c r="J733" s="324"/>
      <c r="K733" s="324"/>
      <c r="L733" s="324"/>
      <c r="M733" s="324"/>
      <c r="N733" s="324"/>
      <c r="O733" s="324"/>
      <c r="P733" s="324"/>
      <c r="Q733" s="324"/>
      <c r="R733" s="324"/>
      <c r="S733" s="324"/>
      <c r="T733" s="324"/>
      <c r="U733" s="324"/>
      <c r="V733" s="324"/>
      <c r="W733" s="324"/>
      <c r="X733" s="324"/>
      <c r="Y733" s="324"/>
      <c r="Z733" s="324"/>
      <c r="AA733" s="324"/>
      <c r="AB733" s="324"/>
      <c r="AC733" s="324"/>
      <c r="AD733" s="324"/>
      <c r="AE733" s="324"/>
      <c r="AF733" s="324"/>
      <c r="AG733" s="324"/>
      <c r="AH733" s="324"/>
    </row>
    <row r="734" spans="1:34" s="20" customFormat="1" ht="14" x14ac:dyDescent="0.2">
      <c r="A734" s="8"/>
      <c r="B734" s="7"/>
      <c r="C734" s="8"/>
      <c r="D734" s="8"/>
      <c r="E734" s="9"/>
      <c r="F734" s="9"/>
      <c r="G734" s="9"/>
      <c r="H734" s="9"/>
      <c r="I734" s="9"/>
      <c r="J734" s="9"/>
      <c r="K734" s="9"/>
      <c r="L734" s="9"/>
      <c r="M734" s="9"/>
      <c r="N734" s="9"/>
      <c r="O734" s="9"/>
      <c r="P734" s="9"/>
      <c r="Q734" s="9"/>
      <c r="R734" s="9"/>
      <c r="S734" s="9"/>
      <c r="T734" s="9"/>
      <c r="U734" s="9"/>
      <c r="V734" s="9"/>
      <c r="W734" s="9"/>
      <c r="X734" s="9"/>
      <c r="Y734" s="9"/>
      <c r="Z734" s="9"/>
      <c r="AA734" s="9"/>
      <c r="AB734" s="9"/>
      <c r="AC734" s="9"/>
      <c r="AD734" s="9"/>
      <c r="AE734" s="9"/>
      <c r="AF734" s="9"/>
      <c r="AG734" s="9"/>
      <c r="AH734" s="9"/>
    </row>
    <row r="735" spans="1:34" s="20" customFormat="1" ht="14" x14ac:dyDescent="0.2">
      <c r="A735" s="8"/>
      <c r="B735" s="8" t="s">
        <v>146</v>
      </c>
      <c r="C735" s="8"/>
      <c r="D735" s="8" t="str">
        <f>'Assumptions - General'!$E$27 &amp;" millions"</f>
        <v>R$ millions</v>
      </c>
      <c r="E735" s="474"/>
      <c r="F735" s="41">
        <f t="shared" ref="F735:AH735" si="286">IF(F17=1,E737," ")</f>
        <v>100</v>
      </c>
      <c r="G735" s="41">
        <f t="shared" si="286"/>
        <v>4823.0495548194867</v>
      </c>
      <c r="H735" s="41">
        <f t="shared" si="286"/>
        <v>9896.4288917163103</v>
      </c>
      <c r="I735" s="41">
        <f t="shared" si="286"/>
        <v>15446.70946999306</v>
      </c>
      <c r="J735" s="41">
        <f t="shared" si="286"/>
        <v>21883.348136139841</v>
      </c>
      <c r="K735" s="41">
        <f t="shared" si="286"/>
        <v>29179.322624664492</v>
      </c>
      <c r="L735" s="41">
        <f t="shared" si="286"/>
        <v>37251.115702379662</v>
      </c>
      <c r="M735" s="41">
        <f t="shared" si="286"/>
        <v>46123.844561638121</v>
      </c>
      <c r="N735" s="41">
        <f t="shared" si="286"/>
        <v>55883.438787693987</v>
      </c>
      <c r="O735" s="41">
        <f t="shared" si="286"/>
        <v>66581.559186280327</v>
      </c>
      <c r="P735" s="41">
        <f t="shared" si="286"/>
        <v>78055.744047057262</v>
      </c>
      <c r="Q735" s="41">
        <f t="shared" si="286"/>
        <v>90519.17007940363</v>
      </c>
      <c r="R735" s="41">
        <f t="shared" si="286"/>
        <v>104029.79110020136</v>
      </c>
      <c r="S735" s="41">
        <f t="shared" si="286"/>
        <v>118647.01134292586</v>
      </c>
      <c r="T735" s="41">
        <f t="shared" si="286"/>
        <v>134433.02113050004</v>
      </c>
      <c r="U735" s="41">
        <f t="shared" si="286"/>
        <v>151452.91402097495</v>
      </c>
      <c r="V735" s="41">
        <f t="shared" si="286"/>
        <v>169750.24604636375</v>
      </c>
      <c r="W735" s="41">
        <f t="shared" si="286"/>
        <v>189452.6336571002</v>
      </c>
      <c r="X735" s="41">
        <f t="shared" si="286"/>
        <v>210603.12217767743</v>
      </c>
      <c r="Y735" s="41">
        <f t="shared" si="286"/>
        <v>233279.26136599516</v>
      </c>
      <c r="Z735" s="41">
        <f t="shared" si="286"/>
        <v>257560.7532156026</v>
      </c>
      <c r="AA735" s="41">
        <f t="shared" si="286"/>
        <v>283532.61573840282</v>
      </c>
      <c r="AB735" s="41">
        <f t="shared" si="286"/>
        <v>311286.41666183132</v>
      </c>
      <c r="AC735" s="41">
        <f t="shared" si="286"/>
        <v>340915.29702339123</v>
      </c>
      <c r="AD735" s="41">
        <f t="shared" si="286"/>
        <v>372516.26608938153</v>
      </c>
      <c r="AE735" s="41">
        <f t="shared" si="286"/>
        <v>406191.32387962099</v>
      </c>
      <c r="AF735" s="41">
        <f t="shared" si="286"/>
        <v>442022.13191755844</v>
      </c>
      <c r="AG735" s="41">
        <f t="shared" si="286"/>
        <v>480169.12063997646</v>
      </c>
      <c r="AH735" s="41">
        <f t="shared" si="286"/>
        <v>520723.23663387459</v>
      </c>
    </row>
    <row r="736" spans="1:34" s="20" customFormat="1" ht="14" x14ac:dyDescent="0.2">
      <c r="A736" s="8"/>
      <c r="B736" s="8" t="s">
        <v>148</v>
      </c>
      <c r="C736" s="8"/>
      <c r="D736" s="8" t="str">
        <f>'Assumptions - General'!$E$27 &amp;" millions"</f>
        <v>R$ millions</v>
      </c>
      <c r="E736" s="474"/>
      <c r="F736" s="41">
        <f>IF(F17=1,'Cash flow statement'!F135," ")</f>
        <v>4723.0495548194867</v>
      </c>
      <c r="G736" s="41">
        <f>IF(G17=1,'Cash flow statement'!G135," ")</f>
        <v>5073.3793368968227</v>
      </c>
      <c r="H736" s="41">
        <f>IF(H17=1,'Cash flow statement'!H135," ")</f>
        <v>5550.2805782767491</v>
      </c>
      <c r="I736" s="41">
        <f>IF(I17=1,'Cash flow statement'!I135," ")</f>
        <v>6436.6386661467795</v>
      </c>
      <c r="J736" s="41">
        <f>IF(J17=1,'Cash flow statement'!J135," ")</f>
        <v>7295.97448852465</v>
      </c>
      <c r="K736" s="41">
        <f>IF(K17=1,'Cash flow statement'!K135," ")</f>
        <v>8071.7930777151696</v>
      </c>
      <c r="L736" s="41">
        <f>IF(L17=1,'Cash flow statement'!L135," ")</f>
        <v>8872.7288592584609</v>
      </c>
      <c r="M736" s="41">
        <f>IF(M17=1,'Cash flow statement'!M135," ")</f>
        <v>9759.5942260558695</v>
      </c>
      <c r="N736" s="41">
        <f>IF(N17=1,'Cash flow statement'!N135," ")</f>
        <v>10698.120398586338</v>
      </c>
      <c r="O736" s="41">
        <f>IF(O17=1,'Cash flow statement'!O135," ")</f>
        <v>11474.184860776939</v>
      </c>
      <c r="P736" s="41">
        <f>IF(P17=1,'Cash flow statement'!P135," ")</f>
        <v>12463.42603234637</v>
      </c>
      <c r="Q736" s="41">
        <f>IF(Q17=1,'Cash flow statement'!Q135," ")</f>
        <v>13510.621020797729</v>
      </c>
      <c r="R736" s="41">
        <f>IF(R17=1,'Cash flow statement'!R135," ")</f>
        <v>14617.220242724499</v>
      </c>
      <c r="S736" s="41">
        <f>IF(S17=1,'Cash flow statement'!S135," ")</f>
        <v>15786.009787574165</v>
      </c>
      <c r="T736" s="41">
        <f>IF(T17=1,'Cash flow statement'!T135," ")</f>
        <v>17019.892890474915</v>
      </c>
      <c r="U736" s="41">
        <f>IF(U17=1,'Cash flow statement'!U135," ")</f>
        <v>18297.33202538882</v>
      </c>
      <c r="V736" s="41">
        <f>IF(V17=1,'Cash flow statement'!V135," ")</f>
        <v>19702.387610736456</v>
      </c>
      <c r="W736" s="41">
        <f>IF(W17=1,'Cash flow statement'!W135," ")</f>
        <v>21150.488520577226</v>
      </c>
      <c r="X736" s="41">
        <f>IF(X17=1,'Cash flow statement'!X135," ")</f>
        <v>22676.139188317717</v>
      </c>
      <c r="Y736" s="41">
        <f>IF(Y17=1,'Cash flow statement'!Y135," ")</f>
        <v>24281.491849607424</v>
      </c>
      <c r="Z736" s="41">
        <f>IF(Z17=1,'Cash flow statement'!Z135," ")</f>
        <v>25971.862522800217</v>
      </c>
      <c r="AA736" s="41">
        <f>IF(AA17=1,'Cash flow statement'!AA135," ")</f>
        <v>27753.800923428484</v>
      </c>
      <c r="AB736" s="41">
        <f>IF(AB17=1,'Cash flow statement'!AB135," ")</f>
        <v>29628.880361559906</v>
      </c>
      <c r="AC736" s="41">
        <f>IF(AC17=1,'Cash flow statement'!AC135," ")</f>
        <v>31600.969065990306</v>
      </c>
      <c r="AD736" s="41">
        <f>IF(AD17=1,'Cash flow statement'!AD135," ")</f>
        <v>33675.057790239465</v>
      </c>
      <c r="AE736" s="41">
        <f>IF(AE17=1,'Cash flow statement'!AE135," ")</f>
        <v>35830.808037937437</v>
      </c>
      <c r="AF736" s="41">
        <f>IF(AF17=1,'Cash flow statement'!AF135," ")</f>
        <v>38146.988722418013</v>
      </c>
      <c r="AG736" s="41">
        <f>IF(AG17=1,'Cash flow statement'!AG135," ")</f>
        <v>40554.115993898144</v>
      </c>
      <c r="AH736" s="41">
        <f>IF(AH17=1,'Cash flow statement'!AH135," ")</f>
        <v>43082.218274502855</v>
      </c>
    </row>
    <row r="737" spans="1:34" s="20" customFormat="1" ht="14" x14ac:dyDescent="0.2">
      <c r="A737" s="8"/>
      <c r="B737" s="8" t="s">
        <v>147</v>
      </c>
      <c r="C737" s="8"/>
      <c r="D737" s="8" t="str">
        <f>'Assumptions - General'!$E$27 &amp;" millions"</f>
        <v>R$ millions</v>
      </c>
      <c r="E737" s="474">
        <f>IF(E17=1,'Assumptions - Passenger'!E381,0)</f>
        <v>100</v>
      </c>
      <c r="F737" s="41">
        <f t="shared" ref="F737:AH737" si="287">IF(F17=1,F735+F736," ")</f>
        <v>4823.0495548194867</v>
      </c>
      <c r="G737" s="41">
        <f t="shared" si="287"/>
        <v>9896.4288917163103</v>
      </c>
      <c r="H737" s="41">
        <f t="shared" si="287"/>
        <v>15446.70946999306</v>
      </c>
      <c r="I737" s="41">
        <f t="shared" si="287"/>
        <v>21883.348136139841</v>
      </c>
      <c r="J737" s="41">
        <f t="shared" si="287"/>
        <v>29179.322624664492</v>
      </c>
      <c r="K737" s="41">
        <f t="shared" si="287"/>
        <v>37251.115702379662</v>
      </c>
      <c r="L737" s="41">
        <f t="shared" si="287"/>
        <v>46123.844561638121</v>
      </c>
      <c r="M737" s="41">
        <f t="shared" si="287"/>
        <v>55883.438787693987</v>
      </c>
      <c r="N737" s="41">
        <f t="shared" si="287"/>
        <v>66581.559186280327</v>
      </c>
      <c r="O737" s="41">
        <f t="shared" si="287"/>
        <v>78055.744047057262</v>
      </c>
      <c r="P737" s="41">
        <f t="shared" si="287"/>
        <v>90519.17007940363</v>
      </c>
      <c r="Q737" s="41">
        <f t="shared" si="287"/>
        <v>104029.79110020136</v>
      </c>
      <c r="R737" s="41">
        <f t="shared" si="287"/>
        <v>118647.01134292586</v>
      </c>
      <c r="S737" s="41">
        <f t="shared" si="287"/>
        <v>134433.02113050004</v>
      </c>
      <c r="T737" s="41">
        <f t="shared" si="287"/>
        <v>151452.91402097495</v>
      </c>
      <c r="U737" s="41">
        <f t="shared" si="287"/>
        <v>169750.24604636375</v>
      </c>
      <c r="V737" s="41">
        <f t="shared" si="287"/>
        <v>189452.6336571002</v>
      </c>
      <c r="W737" s="41">
        <f t="shared" si="287"/>
        <v>210603.12217767743</v>
      </c>
      <c r="X737" s="41">
        <f t="shared" si="287"/>
        <v>233279.26136599516</v>
      </c>
      <c r="Y737" s="41">
        <f t="shared" si="287"/>
        <v>257560.7532156026</v>
      </c>
      <c r="Z737" s="41">
        <f t="shared" si="287"/>
        <v>283532.61573840282</v>
      </c>
      <c r="AA737" s="41">
        <f t="shared" si="287"/>
        <v>311286.41666183132</v>
      </c>
      <c r="AB737" s="41">
        <f t="shared" si="287"/>
        <v>340915.29702339123</v>
      </c>
      <c r="AC737" s="41">
        <f t="shared" si="287"/>
        <v>372516.26608938153</v>
      </c>
      <c r="AD737" s="41">
        <f t="shared" si="287"/>
        <v>406191.32387962099</v>
      </c>
      <c r="AE737" s="41">
        <f t="shared" si="287"/>
        <v>442022.13191755844</v>
      </c>
      <c r="AF737" s="41">
        <f t="shared" si="287"/>
        <v>480169.12063997646</v>
      </c>
      <c r="AG737" s="41">
        <f t="shared" si="287"/>
        <v>520723.23663387459</v>
      </c>
      <c r="AH737" s="41">
        <f t="shared" si="287"/>
        <v>563805.45490837749</v>
      </c>
    </row>
    <row r="738" spans="1:34" s="20" customFormat="1" ht="14" x14ac:dyDescent="0.2">
      <c r="A738" s="8"/>
      <c r="B738" s="8" t="s">
        <v>419</v>
      </c>
      <c r="C738" s="8"/>
      <c r="D738" s="8" t="s">
        <v>15</v>
      </c>
      <c r="E738" s="243" t="str">
        <f>IF(AND(E17=1,E735&lt;&gt;0),'Assumptions - Passenger'!$E$384+'Assumptions - General'!E38," ")</f>
        <v xml:space="preserve"> </v>
      </c>
      <c r="F738" s="243">
        <f>IF(AND(F17=1,F735&lt;&gt;0),'Assumptions - Passenger'!$E$384+'Assumptions - General'!F38," ")</f>
        <v>2.6299999999999997E-2</v>
      </c>
      <c r="G738" s="243">
        <f>IF(AND(G17=1,G735&lt;&gt;0),'Assumptions - Passenger'!$E$384+'Assumptions - General'!G38," ")</f>
        <v>3.9699999999999999E-2</v>
      </c>
      <c r="H738" s="243">
        <f>IF(AND(H17=1,H735&lt;&gt;0),'Assumptions - Passenger'!$E$384+'Assumptions - General'!H38," ")</f>
        <v>4.9399999999999999E-2</v>
      </c>
      <c r="I738" s="243">
        <f>IF(AND(I17=1,I735&lt;&gt;0),'Assumptions - Passenger'!$E$384+'Assumptions - General'!I38," ")</f>
        <v>5.6300000000000003E-2</v>
      </c>
      <c r="J738" s="243">
        <f>IF(AND(J17=1,J735&lt;&gt;0),'Assumptions - Passenger'!$E$384+'Assumptions - General'!J38," ")</f>
        <v>6.08E-2</v>
      </c>
      <c r="K738" s="243">
        <f>IF(AND(K17=1,K735&lt;&gt;0),'Assumptions - Passenger'!$E$384+'Assumptions - General'!K38," ")</f>
        <v>6.3799999999999996E-2</v>
      </c>
      <c r="L738" s="243">
        <f>IF(AND(L17=1,L735&lt;&gt;0),'Assumptions - Passenger'!$E$384+'Assumptions - General'!L38," ")</f>
        <v>6.5699999999999995E-2</v>
      </c>
      <c r="M738" s="243">
        <f>IF(AND(M17=1,M735&lt;&gt;0),'Assumptions - Passenger'!$E$384+'Assumptions - General'!M38," ")</f>
        <v>6.7699999999999996E-2</v>
      </c>
      <c r="N738" s="243">
        <f>IF(AND(N17=1,N735&lt;&gt;0),'Assumptions - Passenger'!$E$384+'Assumptions - General'!N38," ")</f>
        <v>6.9099999999999995E-2</v>
      </c>
      <c r="O738" s="243">
        <f>IF(AND(O17=1,O735&lt;&gt;0),'Assumptions - Passenger'!$E$384+'Assumptions - General'!O38," ")</f>
        <v>6.0600000000000001E-2</v>
      </c>
      <c r="P738" s="243">
        <f>IF(AND(P17=1,P735&lt;&gt;0),'Assumptions - Passenger'!$E$384+'Assumptions - General'!P38," ")</f>
        <v>6.0000000000000005E-2</v>
      </c>
      <c r="Q738" s="243">
        <f>IF(AND(Q17=1,Q735&lt;&gt;0),'Assumptions - Passenger'!$E$384+'Assumptions - General'!Q38," ")</f>
        <v>6.0000000000000005E-2</v>
      </c>
      <c r="R738" s="243">
        <f>IF(AND(R17=1,R735&lt;&gt;0),'Assumptions - Passenger'!$E$384+'Assumptions - General'!R38," ")</f>
        <v>6.0000000000000005E-2</v>
      </c>
      <c r="S738" s="243">
        <f>IF(AND(S17=1,S735&lt;&gt;0),'Assumptions - Passenger'!$E$384+'Assumptions - General'!S38," ")</f>
        <v>6.0000000000000005E-2</v>
      </c>
      <c r="T738" s="243">
        <f>IF(AND(T17=1,T735&lt;&gt;0),'Assumptions - Passenger'!$E$384+'Assumptions - General'!T38," ")</f>
        <v>6.0000000000000005E-2</v>
      </c>
      <c r="U738" s="243">
        <f>IF(AND(U17=1,U735&lt;&gt;0),'Assumptions - Passenger'!$E$384+'Assumptions - General'!U38," ")</f>
        <v>6.0000000000000005E-2</v>
      </c>
      <c r="V738" s="243">
        <f>IF(AND(V17=1,V735&lt;&gt;0),'Assumptions - Passenger'!$E$384+'Assumptions - General'!V38," ")</f>
        <v>6.0000000000000005E-2</v>
      </c>
      <c r="W738" s="243">
        <f>IF(AND(W17=1,W735&lt;&gt;0),'Assumptions - Passenger'!$E$384+'Assumptions - General'!W38," ")</f>
        <v>6.0000000000000005E-2</v>
      </c>
      <c r="X738" s="243">
        <f>IF(AND(X17=1,X735&lt;&gt;0),'Assumptions - Passenger'!$E$384+'Assumptions - General'!X38," ")</f>
        <v>6.0000000000000005E-2</v>
      </c>
      <c r="Y738" s="243">
        <f>IF(AND(Y17=1,Y735&lt;&gt;0),'Assumptions - Passenger'!$E$384+'Assumptions - General'!Y38," ")</f>
        <v>6.0000000000000005E-2</v>
      </c>
      <c r="Z738" s="243">
        <f>IF(AND(Z17=1,Z735&lt;&gt;0),'Assumptions - Passenger'!$E$384+'Assumptions - General'!Z38," ")</f>
        <v>6.0000000000000005E-2</v>
      </c>
      <c r="AA738" s="243">
        <f>IF(AND(AA17=1,AA735&lt;&gt;0),'Assumptions - Passenger'!$E$384+'Assumptions - General'!AA38," ")</f>
        <v>6.0000000000000005E-2</v>
      </c>
      <c r="AB738" s="243">
        <f>IF(AND(AB17=1,AB735&lt;&gt;0),'Assumptions - Passenger'!$E$384+'Assumptions - General'!AB38," ")</f>
        <v>6.0000000000000005E-2</v>
      </c>
      <c r="AC738" s="243">
        <f>IF(AND(AC17=1,AC735&lt;&gt;0),'Assumptions - Passenger'!$E$384+'Assumptions - General'!AC38," ")</f>
        <v>6.0000000000000005E-2</v>
      </c>
      <c r="AD738" s="243">
        <f>IF(AND(AD17=1,AD735&lt;&gt;0),'Assumptions - Passenger'!$E$384+'Assumptions - General'!AD38," ")</f>
        <v>6.0000000000000005E-2</v>
      </c>
      <c r="AE738" s="243">
        <f>IF(AND(AE17=1,AE735&lt;&gt;0),'Assumptions - Passenger'!$E$384+'Assumptions - General'!AE38," ")</f>
        <v>6.0000000000000005E-2</v>
      </c>
      <c r="AF738" s="243">
        <f>IF(AND(AF17=1,AF735&lt;&gt;0),'Assumptions - Passenger'!$E$384+'Assumptions - General'!AF38," ")</f>
        <v>6.0000000000000005E-2</v>
      </c>
      <c r="AG738" s="243">
        <f>IF(AND(AG17=1,AG735&lt;&gt;0),'Assumptions - Passenger'!$E$384+'Assumptions - General'!AG38," ")</f>
        <v>6.0000000000000005E-2</v>
      </c>
      <c r="AH738" s="243">
        <f>IF(AND(AH17=1,AH735&lt;&gt;0),'Assumptions - Passenger'!$E$384+'Assumptions - General'!AH38," ")</f>
        <v>6.0000000000000005E-2</v>
      </c>
    </row>
    <row r="739" spans="1:34" s="20" customFormat="1" ht="14" x14ac:dyDescent="0.2">
      <c r="A739" s="8"/>
      <c r="B739" s="8" t="s">
        <v>675</v>
      </c>
      <c r="C739" s="8"/>
      <c r="D739" s="8" t="str">
        <f>'Assumptions - General'!$E$27 &amp;" millions"</f>
        <v>R$ millions</v>
      </c>
      <c r="E739" s="244">
        <f>IF(AND(E17=1,'Assumptions - Passenger'!$E$382=1,E738&gt;=0,E738&lt;&gt;" "),E738*E735,0)</f>
        <v>0</v>
      </c>
      <c r="F739" s="244">
        <f>IF(AND(F17=1,'Assumptions - Passenger'!$E$382=1,F738&gt;=0,F738&lt;&gt;" "),F738*F735,0)</f>
        <v>2.63</v>
      </c>
      <c r="G739" s="244">
        <f>IF(AND(G17=1,'Assumptions - Passenger'!$E$382=1,G738&gt;=0,G738&lt;&gt;" "),G738*G735,0)</f>
        <v>191.47506732633363</v>
      </c>
      <c r="H739" s="244">
        <f>IF(AND(H17=1,'Assumptions - Passenger'!$E$382=1,H738&gt;=0,H738&lt;&gt;" "),H738*H735,0)</f>
        <v>488.88358725078575</v>
      </c>
      <c r="I739" s="244">
        <f>IF(AND(I17=1,'Assumptions - Passenger'!$E$382=1,I738&gt;=0,I738&lt;&gt;" "),I738*I735,0)</f>
        <v>869.64974316060932</v>
      </c>
      <c r="J739" s="244">
        <f>IF(AND(J17=1,'Assumptions - Passenger'!$E$382=1,J738&gt;=0,J738&lt;&gt;" "),J738*J735,0)</f>
        <v>1330.5075666773023</v>
      </c>
      <c r="K739" s="244">
        <f>IF(AND(K17=1,'Assumptions - Passenger'!$E$382=1,K738&gt;=0,K738&lt;&gt;" "),K738*K735,0)</f>
        <v>1861.6407834535944</v>
      </c>
      <c r="L739" s="244">
        <f>IF(AND(L17=1,'Assumptions - Passenger'!$E$382=1,L738&gt;=0,L738&lt;&gt;" "),L738*L735,0)</f>
        <v>2447.3983016463435</v>
      </c>
      <c r="M739" s="244">
        <f>IF(AND(M17=1,'Assumptions - Passenger'!$E$382=1,M738&gt;=0,M738&lt;&gt;" "),M738*M735,0)</f>
        <v>3122.5842768229008</v>
      </c>
      <c r="N739" s="244">
        <f>IF(AND(N17=1,'Assumptions - Passenger'!$E$382=1,N738&gt;=0,N738&lt;&gt;" "),N738*N735,0)</f>
        <v>3861.5456202296541</v>
      </c>
      <c r="O739" s="244">
        <f>IF(AND(O17=1,'Assumptions - Passenger'!$E$382=1,O738&gt;=0,O738&lt;&gt;" "),O738*O735,0)</f>
        <v>4034.842486688588</v>
      </c>
      <c r="P739" s="244">
        <f>IF(AND(P17=1,'Assumptions - Passenger'!$E$382=1,P738&gt;=0,P738&lt;&gt;" "),P738*P735,0)</f>
        <v>4683.3446428234365</v>
      </c>
      <c r="Q739" s="244">
        <f>IF(AND(Q17=1,'Assumptions - Passenger'!$E$382=1,Q738&gt;=0,Q738&lt;&gt;" "),Q738*Q735,0)</f>
        <v>5431.150204764218</v>
      </c>
      <c r="R739" s="244">
        <f>IF(AND(R17=1,'Assumptions - Passenger'!$E$382=1,R738&gt;=0,R738&lt;&gt;" "),R738*R735,0)</f>
        <v>6241.7874660120815</v>
      </c>
      <c r="S739" s="244">
        <f>IF(AND(S17=1,'Assumptions - Passenger'!$E$382=1,S738&gt;=0,S738&lt;&gt;" "),S738*S735,0)</f>
        <v>7118.8206805755526</v>
      </c>
      <c r="T739" s="244">
        <f>IF(AND(T17=1,'Assumptions - Passenger'!$E$382=1,T738&gt;=0,T738&lt;&gt;" "),T738*T735,0)</f>
        <v>8065.9812678300032</v>
      </c>
      <c r="U739" s="244">
        <f>IF(AND(U17=1,'Assumptions - Passenger'!$E$382=1,U738&gt;=0,U738&lt;&gt;" "),U738*U735,0)</f>
        <v>9087.1748412584966</v>
      </c>
      <c r="V739" s="244">
        <f>IF(AND(V17=1,'Assumptions - Passenger'!$E$382=1,V738&gt;=0,V738&lt;&gt;" "),V738*V735,0)</f>
        <v>10185.014762781826</v>
      </c>
      <c r="W739" s="244">
        <f>IF(AND(W17=1,'Assumptions - Passenger'!$E$382=1,W738&gt;=0,W738&lt;&gt;" "),W738*W735,0)</f>
        <v>11367.158019426013</v>
      </c>
      <c r="X739" s="244">
        <f>IF(AND(X17=1,'Assumptions - Passenger'!$E$382=1,X738&gt;=0,X738&lt;&gt;" "),X738*X735,0)</f>
        <v>12636.187330660647</v>
      </c>
      <c r="Y739" s="244">
        <f>IF(AND(Y17=1,'Assumptions - Passenger'!$E$382=1,Y738&gt;=0,Y738&lt;&gt;" "),Y738*Y735,0)</f>
        <v>13996.75568195971</v>
      </c>
      <c r="Z739" s="244">
        <f>IF(AND(Z17=1,'Assumptions - Passenger'!$E$382=1,Z738&gt;=0,Z738&lt;&gt;" "),Z738*Z735,0)</f>
        <v>15453.645192936157</v>
      </c>
      <c r="AA739" s="244">
        <f>IF(AND(AA17=1,'Assumptions - Passenger'!$E$382=1,AA738&gt;=0,AA738&lt;&gt;" "),AA738*AA735,0)</f>
        <v>17011.956944304169</v>
      </c>
      <c r="AB739" s="244">
        <f>IF(AND(AB17=1,'Assumptions - Passenger'!$E$382=1,AB738&gt;=0,AB738&lt;&gt;" "),AB738*AB735,0)</f>
        <v>18677.18499970988</v>
      </c>
      <c r="AC739" s="244">
        <f>IF(AND(AC17=1,'Assumptions - Passenger'!$E$382=1,AC738&gt;=0,AC738&lt;&gt;" "),AC738*AC735,0)</f>
        <v>20454.917821403476</v>
      </c>
      <c r="AD739" s="244">
        <f>IF(AND(AD17=1,'Assumptions - Passenger'!$E$382=1,AD738&gt;=0,AD738&lt;&gt;" "),AD738*AD735,0)</f>
        <v>22350.975965362893</v>
      </c>
      <c r="AE739" s="244">
        <f>IF(AND(AE17=1,'Assumptions - Passenger'!$E$382=1,AE738&gt;=0,AE738&lt;&gt;" "),AE738*AE735,0)</f>
        <v>24371.479432777262</v>
      </c>
      <c r="AF739" s="244">
        <f>IF(AND(AF17=1,'Assumptions - Passenger'!$E$382=1,AF738&gt;=0,AF738&lt;&gt;" "),AF738*AF735,0)</f>
        <v>26521.327915053509</v>
      </c>
      <c r="AG739" s="244">
        <f>IF(AND(AG17=1,'Assumptions - Passenger'!$E$382=1,AG738&gt;=0,AG738&lt;&gt;" "),AG738*AG735,0)</f>
        <v>28810.147238398589</v>
      </c>
      <c r="AH739" s="244">
        <f>IF(AND(AH17=1,'Assumptions - Passenger'!$E$382=1,AH738&gt;=0,AH738&lt;&gt;" "),AH738*AH735,0)</f>
        <v>31243.394198032478</v>
      </c>
    </row>
    <row r="740" spans="1:34" s="20" customFormat="1" ht="14" x14ac:dyDescent="0.2">
      <c r="A740" s="8"/>
      <c r="B740" s="8" t="s">
        <v>413</v>
      </c>
      <c r="C740" s="8"/>
      <c r="D740" s="8" t="s">
        <v>657</v>
      </c>
      <c r="E740" s="28">
        <f>IF(E737&gt;=0,1,0)</f>
        <v>1</v>
      </c>
      <c r="F740" s="28">
        <f>IF(F737&gt;=0,1,0)</f>
        <v>1</v>
      </c>
      <c r="G740" s="28">
        <f t="shared" ref="G740:AH740" si="288">IF(G737&gt;=0,1,0)</f>
        <v>1</v>
      </c>
      <c r="H740" s="28">
        <f t="shared" si="288"/>
        <v>1</v>
      </c>
      <c r="I740" s="28">
        <f t="shared" si="288"/>
        <v>1</v>
      </c>
      <c r="J740" s="28">
        <f t="shared" si="288"/>
        <v>1</v>
      </c>
      <c r="K740" s="28">
        <f t="shared" si="288"/>
        <v>1</v>
      </c>
      <c r="L740" s="28">
        <f t="shared" si="288"/>
        <v>1</v>
      </c>
      <c r="M740" s="28">
        <f t="shared" si="288"/>
        <v>1</v>
      </c>
      <c r="N740" s="28">
        <f t="shared" si="288"/>
        <v>1</v>
      </c>
      <c r="O740" s="28">
        <f t="shared" si="288"/>
        <v>1</v>
      </c>
      <c r="P740" s="28">
        <f t="shared" si="288"/>
        <v>1</v>
      </c>
      <c r="Q740" s="28">
        <f t="shared" si="288"/>
        <v>1</v>
      </c>
      <c r="R740" s="28">
        <f t="shared" si="288"/>
        <v>1</v>
      </c>
      <c r="S740" s="28">
        <f t="shared" si="288"/>
        <v>1</v>
      </c>
      <c r="T740" s="28">
        <f t="shared" si="288"/>
        <v>1</v>
      </c>
      <c r="U740" s="28">
        <f t="shared" si="288"/>
        <v>1</v>
      </c>
      <c r="V740" s="28">
        <f t="shared" si="288"/>
        <v>1</v>
      </c>
      <c r="W740" s="28">
        <f t="shared" si="288"/>
        <v>1</v>
      </c>
      <c r="X740" s="28">
        <f t="shared" si="288"/>
        <v>1</v>
      </c>
      <c r="Y740" s="28">
        <f t="shared" si="288"/>
        <v>1</v>
      </c>
      <c r="Z740" s="28">
        <f t="shared" si="288"/>
        <v>1</v>
      </c>
      <c r="AA740" s="28">
        <f t="shared" si="288"/>
        <v>1</v>
      </c>
      <c r="AB740" s="28">
        <f t="shared" si="288"/>
        <v>1</v>
      </c>
      <c r="AC740" s="28">
        <f t="shared" si="288"/>
        <v>1</v>
      </c>
      <c r="AD740" s="28">
        <f t="shared" si="288"/>
        <v>1</v>
      </c>
      <c r="AE740" s="28">
        <f t="shared" si="288"/>
        <v>1</v>
      </c>
      <c r="AF740" s="28">
        <f t="shared" si="288"/>
        <v>1</v>
      </c>
      <c r="AG740" s="28">
        <f t="shared" si="288"/>
        <v>1</v>
      </c>
      <c r="AH740" s="28">
        <f t="shared" si="288"/>
        <v>1</v>
      </c>
    </row>
    <row r="742" spans="1:34" x14ac:dyDescent="0.2">
      <c r="A742" s="324"/>
      <c r="B742" s="323" t="str">
        <f>"Financing sources for " &amp;'Assumptions - General'!E25</f>
        <v>Financing sources for Ruritania Passenger Rail Company</v>
      </c>
      <c r="C742" s="324"/>
      <c r="D742" s="324"/>
      <c r="E742" s="324"/>
      <c r="F742" s="324"/>
      <c r="G742" s="324"/>
      <c r="H742" s="324"/>
      <c r="I742" s="324"/>
      <c r="J742" s="324"/>
      <c r="K742" s="324"/>
      <c r="L742" s="324"/>
      <c r="M742" s="324"/>
      <c r="N742" s="324"/>
      <c r="O742" s="324"/>
      <c r="P742" s="324"/>
      <c r="Q742" s="324"/>
      <c r="R742" s="324"/>
      <c r="S742" s="324"/>
      <c r="T742" s="324"/>
      <c r="U742" s="324"/>
      <c r="V742" s="324"/>
      <c r="W742" s="324"/>
      <c r="X742" s="324"/>
      <c r="Y742" s="324"/>
      <c r="Z742" s="324"/>
      <c r="AA742" s="324"/>
      <c r="AB742" s="324"/>
      <c r="AC742" s="324"/>
      <c r="AD742" s="324"/>
      <c r="AE742" s="324"/>
      <c r="AF742" s="324"/>
      <c r="AG742" s="324"/>
      <c r="AH742" s="324"/>
    </row>
    <row r="743" spans="1:34" s="20" customFormat="1" ht="14" x14ac:dyDescent="0.2">
      <c r="A743" s="8"/>
      <c r="B743" s="7"/>
      <c r="C743" s="8"/>
      <c r="D743" s="8"/>
      <c r="E743" s="9"/>
      <c r="F743" s="9"/>
      <c r="G743" s="9"/>
      <c r="H743" s="9"/>
      <c r="I743" s="9"/>
      <c r="J743" s="9"/>
      <c r="K743" s="9"/>
      <c r="L743" s="9"/>
      <c r="M743" s="9"/>
      <c r="N743" s="9"/>
      <c r="O743" s="9"/>
      <c r="P743" s="9"/>
      <c r="Q743" s="9"/>
      <c r="R743" s="9"/>
      <c r="S743" s="9"/>
      <c r="T743" s="9"/>
      <c r="U743" s="9"/>
      <c r="V743" s="9"/>
      <c r="W743" s="9"/>
      <c r="X743" s="9"/>
      <c r="Y743" s="9"/>
      <c r="Z743" s="9"/>
      <c r="AA743" s="9"/>
      <c r="AB743" s="9"/>
      <c r="AC743" s="9"/>
      <c r="AD743" s="9"/>
      <c r="AE743" s="9"/>
      <c r="AF743" s="9"/>
      <c r="AG743" s="9"/>
      <c r="AH743" s="9"/>
    </row>
    <row r="744" spans="1:34" s="20" customFormat="1" ht="14" x14ac:dyDescent="0.2">
      <c r="B744" s="21" t="str">
        <f>"Existing loan from " &amp; 'Assumptions - Passenger'!E397</f>
        <v>Existing loan from Municipal bank</v>
      </c>
    </row>
    <row r="745" spans="1:34" s="20" customFormat="1" ht="14" x14ac:dyDescent="0.2">
      <c r="B745" s="8" t="s">
        <v>135</v>
      </c>
      <c r="D745" s="20" t="s">
        <v>15</v>
      </c>
      <c r="E745" s="47">
        <f>IF(E$17=1,IF('Assumptions - Passenger'!$E403=1,'Assumptions - Passenger'!$E405,'Assumptions - General'!E$38+'Assumptions - Passenger'!$E406),0)</f>
        <v>0.05</v>
      </c>
      <c r="F745" s="47">
        <f>IF(F$17=1,IF('Assumptions - Passenger'!$E403=1,'Assumptions - Passenger'!$E405,'Assumptions - General'!F$38+'Assumptions - Passenger'!$E406),0)</f>
        <v>0.05</v>
      </c>
      <c r="G745" s="47">
        <f>IF(G$17=1,IF('Assumptions - Passenger'!$E403=1,'Assumptions - Passenger'!$E405,'Assumptions - General'!G$38+'Assumptions - Passenger'!$E406),0)</f>
        <v>0.05</v>
      </c>
      <c r="H745" s="47">
        <f>IF(H$17=1,IF('Assumptions - Passenger'!$E403=1,'Assumptions - Passenger'!$E405,'Assumptions - General'!H$38+'Assumptions - Passenger'!$E406),0)</f>
        <v>0.05</v>
      </c>
      <c r="I745" s="47">
        <f>IF(I$17=1,IF('Assumptions - Passenger'!$E403=1,'Assumptions - Passenger'!$E405,'Assumptions - General'!I$38+'Assumptions - Passenger'!$E406),0)</f>
        <v>0.05</v>
      </c>
      <c r="J745" s="47">
        <f>IF(J$17=1,IF('Assumptions - Passenger'!$E403=1,'Assumptions - Passenger'!$E405,'Assumptions - General'!J$38+'Assumptions - Passenger'!$E406),0)</f>
        <v>0.05</v>
      </c>
      <c r="K745" s="47">
        <f>IF(K$17=1,IF('Assumptions - Passenger'!$E403=1,'Assumptions - Passenger'!$E405,'Assumptions - General'!K$38+'Assumptions - Passenger'!$E406),0)</f>
        <v>0.05</v>
      </c>
      <c r="L745" s="47">
        <f>IF(L$17=1,IF('Assumptions - Passenger'!$E403=1,'Assumptions - Passenger'!$E405,'Assumptions - General'!L$38+'Assumptions - Passenger'!$E406),0)</f>
        <v>0.05</v>
      </c>
      <c r="M745" s="47">
        <f>IF(M$17=1,IF('Assumptions - Passenger'!$E403=1,'Assumptions - Passenger'!$E405,'Assumptions - General'!M$38+'Assumptions - Passenger'!$E406),0)</f>
        <v>0.05</v>
      </c>
      <c r="N745" s="47">
        <f>IF(N$17=1,IF('Assumptions - Passenger'!$E403=1,'Assumptions - Passenger'!$E405,'Assumptions - General'!N$38+'Assumptions - Passenger'!$E406),0)</f>
        <v>0.05</v>
      </c>
      <c r="O745" s="47">
        <f>IF(O$17=1,IF('Assumptions - Passenger'!$E403=1,'Assumptions - Passenger'!$E405,'Assumptions - General'!O$38+'Assumptions - Passenger'!$E406),0)</f>
        <v>0.05</v>
      </c>
      <c r="P745" s="47">
        <f>IF(P$17=1,IF('Assumptions - Passenger'!$E403=1,'Assumptions - Passenger'!$E405,'Assumptions - General'!P$38+'Assumptions - Passenger'!$E406),0)</f>
        <v>0.05</v>
      </c>
      <c r="Q745" s="47">
        <f>IF(Q$17=1,IF('Assumptions - Passenger'!$E403=1,'Assumptions - Passenger'!$E405,'Assumptions - General'!Q$38+'Assumptions - Passenger'!$E406),0)</f>
        <v>0.05</v>
      </c>
      <c r="R745" s="47">
        <f>IF(R$17=1,IF('Assumptions - Passenger'!$E403=1,'Assumptions - Passenger'!$E405,'Assumptions - General'!R$38+'Assumptions - Passenger'!$E406),0)</f>
        <v>0.05</v>
      </c>
      <c r="S745" s="47">
        <f>IF(S$17=1,IF('Assumptions - Passenger'!$E403=1,'Assumptions - Passenger'!$E405,'Assumptions - General'!S$38+'Assumptions - Passenger'!$E406),0)</f>
        <v>0.05</v>
      </c>
      <c r="T745" s="47">
        <f>IF(T$17=1,IF('Assumptions - Passenger'!$E403=1,'Assumptions - Passenger'!$E405,'Assumptions - General'!T$38+'Assumptions - Passenger'!$E406),0)</f>
        <v>0.05</v>
      </c>
      <c r="U745" s="47">
        <f>IF(U$17=1,IF('Assumptions - Passenger'!$E403=1,'Assumptions - Passenger'!$E405,'Assumptions - General'!U$38+'Assumptions - Passenger'!$E406),0)</f>
        <v>0.05</v>
      </c>
      <c r="V745" s="47">
        <f>IF(V$17=1,IF('Assumptions - Passenger'!$E403=1,'Assumptions - Passenger'!$E405,'Assumptions - General'!V$38+'Assumptions - Passenger'!$E406),0)</f>
        <v>0.05</v>
      </c>
      <c r="W745" s="47">
        <f>IF(W$17=1,IF('Assumptions - Passenger'!$E403=1,'Assumptions - Passenger'!$E405,'Assumptions - General'!W$38+'Assumptions - Passenger'!$E406),0)</f>
        <v>0.05</v>
      </c>
      <c r="X745" s="47">
        <f>IF(X$17=1,IF('Assumptions - Passenger'!$E403=1,'Assumptions - Passenger'!$E405,'Assumptions - General'!X$38+'Assumptions - Passenger'!$E406),0)</f>
        <v>0.05</v>
      </c>
      <c r="Y745" s="47">
        <f>IF(Y$17=1,IF('Assumptions - Passenger'!$E403=1,'Assumptions - Passenger'!$E405,'Assumptions - General'!Y$38+'Assumptions - Passenger'!$E406),0)</f>
        <v>0.05</v>
      </c>
      <c r="Z745" s="47">
        <f>IF(Z$17=1,IF('Assumptions - Passenger'!$E403=1,'Assumptions - Passenger'!$E405,'Assumptions - General'!Z$38+'Assumptions - Passenger'!$E406),0)</f>
        <v>0.05</v>
      </c>
      <c r="AA745" s="47">
        <f>IF(AA$17=1,IF('Assumptions - Passenger'!$E403=1,'Assumptions - Passenger'!$E405,'Assumptions - General'!AA$38+'Assumptions - Passenger'!$E406),0)</f>
        <v>0.05</v>
      </c>
      <c r="AB745" s="47">
        <f>IF(AB$17=1,IF('Assumptions - Passenger'!$E403=1,'Assumptions - Passenger'!$E405,'Assumptions - General'!AB$38+'Assumptions - Passenger'!$E406),0)</f>
        <v>0.05</v>
      </c>
      <c r="AC745" s="47">
        <f>IF(AC$17=1,IF('Assumptions - Passenger'!$E403=1,'Assumptions - Passenger'!$E405,'Assumptions - General'!AC$38+'Assumptions - Passenger'!$E406),0)</f>
        <v>0.05</v>
      </c>
      <c r="AD745" s="47">
        <f>IF(AD$17=1,IF('Assumptions - Passenger'!$E403=1,'Assumptions - Passenger'!$E405,'Assumptions - General'!AD$38+'Assumptions - Passenger'!$E406),0)</f>
        <v>0.05</v>
      </c>
      <c r="AE745" s="47">
        <f>IF(AE$17=1,IF('Assumptions - Passenger'!$E403=1,'Assumptions - Passenger'!$E405,'Assumptions - General'!AE$38+'Assumptions - Passenger'!$E406),0)</f>
        <v>0.05</v>
      </c>
      <c r="AF745" s="47">
        <f>IF(AF$17=1,IF('Assumptions - Passenger'!$E403=1,'Assumptions - Passenger'!$E405,'Assumptions - General'!AF$38+'Assumptions - Passenger'!$E406),0)</f>
        <v>0.05</v>
      </c>
      <c r="AG745" s="47">
        <f>IF(AG$17=1,IF('Assumptions - Passenger'!$E403=1,'Assumptions - Passenger'!$E405,'Assumptions - General'!AG$38+'Assumptions - Passenger'!$E406),0)</f>
        <v>0.05</v>
      </c>
      <c r="AH745" s="47">
        <f>IF(AH$17=1,IF('Assumptions - Passenger'!$E403=1,'Assumptions - Passenger'!$E405,'Assumptions - General'!AH$38+'Assumptions - Passenger'!$E406),0)</f>
        <v>0.05</v>
      </c>
    </row>
    <row r="746" spans="1:34" s="20" customFormat="1" ht="14" x14ac:dyDescent="0.2">
      <c r="B746" s="8" t="s">
        <v>136</v>
      </c>
      <c r="D746" s="8" t="str">
        <f>'Assumptions - Passenger'!D400</f>
        <v>R$ millions</v>
      </c>
      <c r="E746" s="463">
        <f>IF(E$17=1,'Assumptions - Passenger'!E400,0)</f>
        <v>50</v>
      </c>
      <c r="F746" s="33">
        <f t="shared" ref="F746:AH746" si="289">E748</f>
        <v>50</v>
      </c>
      <c r="G746" s="33">
        <f t="shared" si="289"/>
        <v>50</v>
      </c>
      <c r="H746" s="33">
        <f t="shared" si="289"/>
        <v>40</v>
      </c>
      <c r="I746" s="33">
        <f t="shared" si="289"/>
        <v>35</v>
      </c>
      <c r="J746" s="33">
        <f t="shared" si="289"/>
        <v>30</v>
      </c>
      <c r="K746" s="33">
        <f t="shared" si="289"/>
        <v>25</v>
      </c>
      <c r="L746" s="33">
        <f t="shared" si="289"/>
        <v>20</v>
      </c>
      <c r="M746" s="33">
        <f t="shared" si="289"/>
        <v>15</v>
      </c>
      <c r="N746" s="33">
        <f t="shared" si="289"/>
        <v>10</v>
      </c>
      <c r="O746" s="33">
        <f t="shared" si="289"/>
        <v>5</v>
      </c>
      <c r="P746" s="33">
        <f t="shared" si="289"/>
        <v>0</v>
      </c>
      <c r="Q746" s="33">
        <f t="shared" si="289"/>
        <v>0</v>
      </c>
      <c r="R746" s="33">
        <f t="shared" si="289"/>
        <v>0</v>
      </c>
      <c r="S746" s="33">
        <f t="shared" si="289"/>
        <v>0</v>
      </c>
      <c r="T746" s="33">
        <f t="shared" si="289"/>
        <v>0</v>
      </c>
      <c r="U746" s="33">
        <f t="shared" si="289"/>
        <v>0</v>
      </c>
      <c r="V746" s="33">
        <f t="shared" si="289"/>
        <v>0</v>
      </c>
      <c r="W746" s="33">
        <f t="shared" si="289"/>
        <v>0</v>
      </c>
      <c r="X746" s="33">
        <f t="shared" si="289"/>
        <v>0</v>
      </c>
      <c r="Y746" s="33">
        <f t="shared" si="289"/>
        <v>0</v>
      </c>
      <c r="Z746" s="33">
        <f t="shared" si="289"/>
        <v>0</v>
      </c>
      <c r="AA746" s="33">
        <f t="shared" si="289"/>
        <v>0</v>
      </c>
      <c r="AB746" s="33">
        <f t="shared" si="289"/>
        <v>0</v>
      </c>
      <c r="AC746" s="33">
        <f t="shared" si="289"/>
        <v>0</v>
      </c>
      <c r="AD746" s="33">
        <f t="shared" si="289"/>
        <v>0</v>
      </c>
      <c r="AE746" s="33">
        <f t="shared" si="289"/>
        <v>0</v>
      </c>
      <c r="AF746" s="33">
        <f t="shared" si="289"/>
        <v>0</v>
      </c>
      <c r="AG746" s="33">
        <f t="shared" si="289"/>
        <v>0</v>
      </c>
      <c r="AH746" s="33">
        <f t="shared" si="289"/>
        <v>0</v>
      </c>
    </row>
    <row r="747" spans="1:34" s="20" customFormat="1" ht="14" x14ac:dyDescent="0.2">
      <c r="B747" s="8" t="s">
        <v>410</v>
      </c>
      <c r="D747" s="8" t="str">
        <f>D746</f>
        <v>R$ millions</v>
      </c>
      <c r="E747" s="33">
        <f>IF(E$17=1,'Assumptions - Passenger'!E402,0)</f>
        <v>0</v>
      </c>
      <c r="F747" s="33">
        <f>IF(F$17=1,'Assumptions - Passenger'!F402,0)</f>
        <v>0</v>
      </c>
      <c r="G747" s="33">
        <f>IF(G$17=1,'Assumptions - Passenger'!G402,0)</f>
        <v>10</v>
      </c>
      <c r="H747" s="33">
        <f>IF(H$17=1,'Assumptions - Passenger'!H402,0)</f>
        <v>5</v>
      </c>
      <c r="I747" s="33">
        <f>IF(I$17=1,'Assumptions - Passenger'!I402,0)</f>
        <v>5</v>
      </c>
      <c r="J747" s="33">
        <f>IF(J$17=1,'Assumptions - Passenger'!J402,0)</f>
        <v>5</v>
      </c>
      <c r="K747" s="33">
        <f>IF(K$17=1,'Assumptions - Passenger'!K402,0)</f>
        <v>5</v>
      </c>
      <c r="L747" s="33">
        <f>IF(L$17=1,'Assumptions - Passenger'!L402,0)</f>
        <v>5</v>
      </c>
      <c r="M747" s="33">
        <f>IF(M$17=1,'Assumptions - Passenger'!M402,0)</f>
        <v>5</v>
      </c>
      <c r="N747" s="33">
        <f>IF(N$17=1,'Assumptions - Passenger'!N402,0)</f>
        <v>5</v>
      </c>
      <c r="O747" s="33">
        <f>IF(O$17=1,'Assumptions - Passenger'!O402,0)</f>
        <v>5</v>
      </c>
      <c r="P747" s="33">
        <f>IF(P$17=1,'Assumptions - Passenger'!P402,0)</f>
        <v>0</v>
      </c>
      <c r="Q747" s="33">
        <f>IF(Q$17=1,'Assumptions - Passenger'!Q402,0)</f>
        <v>0</v>
      </c>
      <c r="R747" s="33">
        <f>IF(R$17=1,'Assumptions - Passenger'!R402,0)</f>
        <v>0</v>
      </c>
      <c r="S747" s="33">
        <f>IF(S$17=1,'Assumptions - Passenger'!S402,0)</f>
        <v>0</v>
      </c>
      <c r="T747" s="33">
        <f>IF(T$17=1,'Assumptions - Passenger'!T402,0)</f>
        <v>0</v>
      </c>
      <c r="U747" s="33">
        <f>IF(U$17=1,'Assumptions - Passenger'!U402,0)</f>
        <v>0</v>
      </c>
      <c r="V747" s="33">
        <f>IF(V$17=1,'Assumptions - Passenger'!V402,0)</f>
        <v>0</v>
      </c>
      <c r="W747" s="33">
        <f>IF(W$17=1,'Assumptions - Passenger'!W402,0)</f>
        <v>0</v>
      </c>
      <c r="X747" s="33">
        <f>IF(X$17=1,'Assumptions - Passenger'!X402,0)</f>
        <v>0</v>
      </c>
      <c r="Y747" s="33">
        <f>IF(Y$17=1,'Assumptions - Passenger'!Y402,0)</f>
        <v>0</v>
      </c>
      <c r="Z747" s="33">
        <f>IF(Z$17=1,'Assumptions - Passenger'!Z402,0)</f>
        <v>0</v>
      </c>
      <c r="AA747" s="33">
        <f>IF(AA$17=1,'Assumptions - Passenger'!AA402,0)</f>
        <v>0</v>
      </c>
      <c r="AB747" s="33">
        <f>IF(AB$17=1,'Assumptions - Passenger'!AB402,0)</f>
        <v>0</v>
      </c>
      <c r="AC747" s="33">
        <f>IF(AC$17=1,'Assumptions - Passenger'!AC402,0)</f>
        <v>0</v>
      </c>
      <c r="AD747" s="33">
        <f>IF(AD$17=1,'Assumptions - Passenger'!AD402,0)</f>
        <v>0</v>
      </c>
      <c r="AE747" s="33">
        <f>IF(AE$17=1,'Assumptions - Passenger'!AE402,0)</f>
        <v>0</v>
      </c>
      <c r="AF747" s="33">
        <f>IF(AF$17=1,'Assumptions - Passenger'!AF402,0)</f>
        <v>0</v>
      </c>
      <c r="AG747" s="33">
        <f>IF(AG$17=1,'Assumptions - Passenger'!AG402,0)</f>
        <v>0</v>
      </c>
      <c r="AH747" s="33">
        <f>IF(AH$17=1,'Assumptions - Passenger'!AH402,0)</f>
        <v>0</v>
      </c>
    </row>
    <row r="748" spans="1:34" s="20" customFormat="1" ht="14" x14ac:dyDescent="0.2">
      <c r="B748" s="8" t="s">
        <v>138</v>
      </c>
      <c r="D748" s="8" t="str">
        <f>D747</f>
        <v>R$ millions</v>
      </c>
      <c r="E748" s="33">
        <f>E746-E747</f>
        <v>50</v>
      </c>
      <c r="F748" s="33">
        <f t="shared" ref="F748:AH748" si="290">F746-F747</f>
        <v>50</v>
      </c>
      <c r="G748" s="33">
        <f t="shared" si="290"/>
        <v>40</v>
      </c>
      <c r="H748" s="33">
        <f t="shared" si="290"/>
        <v>35</v>
      </c>
      <c r="I748" s="33">
        <f t="shared" si="290"/>
        <v>30</v>
      </c>
      <c r="J748" s="33">
        <f t="shared" si="290"/>
        <v>25</v>
      </c>
      <c r="K748" s="33">
        <f t="shared" si="290"/>
        <v>20</v>
      </c>
      <c r="L748" s="33">
        <f t="shared" si="290"/>
        <v>15</v>
      </c>
      <c r="M748" s="33">
        <f t="shared" si="290"/>
        <v>10</v>
      </c>
      <c r="N748" s="33">
        <f t="shared" si="290"/>
        <v>5</v>
      </c>
      <c r="O748" s="33">
        <f t="shared" si="290"/>
        <v>0</v>
      </c>
      <c r="P748" s="33">
        <f t="shared" si="290"/>
        <v>0</v>
      </c>
      <c r="Q748" s="33">
        <f t="shared" si="290"/>
        <v>0</v>
      </c>
      <c r="R748" s="33">
        <f t="shared" si="290"/>
        <v>0</v>
      </c>
      <c r="S748" s="33">
        <f t="shared" si="290"/>
        <v>0</v>
      </c>
      <c r="T748" s="33">
        <f t="shared" si="290"/>
        <v>0</v>
      </c>
      <c r="U748" s="33">
        <f t="shared" si="290"/>
        <v>0</v>
      </c>
      <c r="V748" s="33">
        <f t="shared" si="290"/>
        <v>0</v>
      </c>
      <c r="W748" s="33">
        <f t="shared" si="290"/>
        <v>0</v>
      </c>
      <c r="X748" s="33">
        <f t="shared" si="290"/>
        <v>0</v>
      </c>
      <c r="Y748" s="33">
        <f t="shared" si="290"/>
        <v>0</v>
      </c>
      <c r="Z748" s="33">
        <f t="shared" si="290"/>
        <v>0</v>
      </c>
      <c r="AA748" s="33">
        <f t="shared" si="290"/>
        <v>0</v>
      </c>
      <c r="AB748" s="33">
        <f t="shared" si="290"/>
        <v>0</v>
      </c>
      <c r="AC748" s="33">
        <f t="shared" si="290"/>
        <v>0</v>
      </c>
      <c r="AD748" s="33">
        <f t="shared" si="290"/>
        <v>0</v>
      </c>
      <c r="AE748" s="33">
        <f t="shared" si="290"/>
        <v>0</v>
      </c>
      <c r="AF748" s="33">
        <f t="shared" si="290"/>
        <v>0</v>
      </c>
      <c r="AG748" s="33">
        <f t="shared" si="290"/>
        <v>0</v>
      </c>
      <c r="AH748" s="33">
        <f t="shared" si="290"/>
        <v>0</v>
      </c>
    </row>
    <row r="749" spans="1:34" s="20" customFormat="1" ht="14" x14ac:dyDescent="0.2">
      <c r="B749" s="8" t="s">
        <v>139</v>
      </c>
      <c r="D749" s="8" t="str">
        <f>D748</f>
        <v>R$ millions</v>
      </c>
      <c r="E749" s="463">
        <f>IF(E$17=1,'Assumptions - Passenger'!E401,0)</f>
        <v>2.5</v>
      </c>
      <c r="F749" s="229">
        <f t="shared" ref="F749:AH749" si="291">F745*((F746+F748)/2)</f>
        <v>2.5</v>
      </c>
      <c r="G749" s="229">
        <f t="shared" si="291"/>
        <v>2.25</v>
      </c>
      <c r="H749" s="229">
        <f t="shared" si="291"/>
        <v>1.875</v>
      </c>
      <c r="I749" s="229">
        <f t="shared" si="291"/>
        <v>1.625</v>
      </c>
      <c r="J749" s="229">
        <f t="shared" si="291"/>
        <v>1.375</v>
      </c>
      <c r="K749" s="229">
        <f t="shared" si="291"/>
        <v>1.125</v>
      </c>
      <c r="L749" s="229">
        <f t="shared" si="291"/>
        <v>0.875</v>
      </c>
      <c r="M749" s="229">
        <f t="shared" si="291"/>
        <v>0.625</v>
      </c>
      <c r="N749" s="229">
        <f t="shared" si="291"/>
        <v>0.375</v>
      </c>
      <c r="O749" s="229">
        <f t="shared" si="291"/>
        <v>0.125</v>
      </c>
      <c r="P749" s="229">
        <f t="shared" si="291"/>
        <v>0</v>
      </c>
      <c r="Q749" s="229">
        <f t="shared" si="291"/>
        <v>0</v>
      </c>
      <c r="R749" s="229">
        <f t="shared" si="291"/>
        <v>0</v>
      </c>
      <c r="S749" s="229">
        <f t="shared" si="291"/>
        <v>0</v>
      </c>
      <c r="T749" s="229">
        <f t="shared" si="291"/>
        <v>0</v>
      </c>
      <c r="U749" s="229">
        <f t="shared" si="291"/>
        <v>0</v>
      </c>
      <c r="V749" s="229">
        <f t="shared" si="291"/>
        <v>0</v>
      </c>
      <c r="W749" s="229">
        <f t="shared" si="291"/>
        <v>0</v>
      </c>
      <c r="X749" s="229">
        <f t="shared" si="291"/>
        <v>0</v>
      </c>
      <c r="Y749" s="229">
        <f t="shared" si="291"/>
        <v>0</v>
      </c>
      <c r="Z749" s="229">
        <f t="shared" si="291"/>
        <v>0</v>
      </c>
      <c r="AA749" s="229">
        <f t="shared" si="291"/>
        <v>0</v>
      </c>
      <c r="AB749" s="229">
        <f t="shared" si="291"/>
        <v>0</v>
      </c>
      <c r="AC749" s="229">
        <f t="shared" si="291"/>
        <v>0</v>
      </c>
      <c r="AD749" s="229">
        <f t="shared" si="291"/>
        <v>0</v>
      </c>
      <c r="AE749" s="229">
        <f t="shared" si="291"/>
        <v>0</v>
      </c>
      <c r="AF749" s="229">
        <f t="shared" si="291"/>
        <v>0</v>
      </c>
      <c r="AG749" s="229">
        <f t="shared" si="291"/>
        <v>0</v>
      </c>
      <c r="AH749" s="229">
        <f t="shared" si="291"/>
        <v>0</v>
      </c>
    </row>
    <row r="750" spans="1:34" s="20" customFormat="1" ht="14" x14ac:dyDescent="0.2">
      <c r="B750" s="8" t="s">
        <v>140</v>
      </c>
      <c r="D750" s="8" t="str">
        <f>D749</f>
        <v>R$ millions</v>
      </c>
      <c r="E750" s="44">
        <f t="shared" ref="E750:AH750" si="292">E749+E747</f>
        <v>2.5</v>
      </c>
      <c r="F750" s="44">
        <f t="shared" si="292"/>
        <v>2.5</v>
      </c>
      <c r="G750" s="44">
        <f t="shared" si="292"/>
        <v>12.25</v>
      </c>
      <c r="H750" s="44">
        <f t="shared" si="292"/>
        <v>6.875</v>
      </c>
      <c r="I750" s="44">
        <f t="shared" si="292"/>
        <v>6.625</v>
      </c>
      <c r="J750" s="44">
        <f t="shared" si="292"/>
        <v>6.375</v>
      </c>
      <c r="K750" s="44">
        <f t="shared" si="292"/>
        <v>6.125</v>
      </c>
      <c r="L750" s="44">
        <f t="shared" si="292"/>
        <v>5.875</v>
      </c>
      <c r="M750" s="44">
        <f t="shared" si="292"/>
        <v>5.625</v>
      </c>
      <c r="N750" s="44">
        <f t="shared" si="292"/>
        <v>5.375</v>
      </c>
      <c r="O750" s="33">
        <f t="shared" si="292"/>
        <v>5.125</v>
      </c>
      <c r="P750" s="33">
        <f t="shared" si="292"/>
        <v>0</v>
      </c>
      <c r="Q750" s="33">
        <f t="shared" si="292"/>
        <v>0</v>
      </c>
      <c r="R750" s="33">
        <f t="shared" si="292"/>
        <v>0</v>
      </c>
      <c r="S750" s="33">
        <f t="shared" si="292"/>
        <v>0</v>
      </c>
      <c r="T750" s="33">
        <f t="shared" si="292"/>
        <v>0</v>
      </c>
      <c r="U750" s="33">
        <f t="shared" si="292"/>
        <v>0</v>
      </c>
      <c r="V750" s="33">
        <f t="shared" si="292"/>
        <v>0</v>
      </c>
      <c r="W750" s="33">
        <f t="shared" si="292"/>
        <v>0</v>
      </c>
      <c r="X750" s="33">
        <f t="shared" si="292"/>
        <v>0</v>
      </c>
      <c r="Y750" s="33">
        <f t="shared" si="292"/>
        <v>0</v>
      </c>
      <c r="Z750" s="33">
        <f t="shared" si="292"/>
        <v>0</v>
      </c>
      <c r="AA750" s="33">
        <f t="shared" si="292"/>
        <v>0</v>
      </c>
      <c r="AB750" s="33">
        <f t="shared" si="292"/>
        <v>0</v>
      </c>
      <c r="AC750" s="33">
        <f t="shared" si="292"/>
        <v>0</v>
      </c>
      <c r="AD750" s="33">
        <f t="shared" si="292"/>
        <v>0</v>
      </c>
      <c r="AE750" s="33">
        <f t="shared" si="292"/>
        <v>0</v>
      </c>
      <c r="AF750" s="33">
        <f t="shared" si="292"/>
        <v>0</v>
      </c>
      <c r="AG750" s="33">
        <f t="shared" si="292"/>
        <v>0</v>
      </c>
      <c r="AH750" s="33">
        <f t="shared" si="292"/>
        <v>0</v>
      </c>
    </row>
    <row r="751" spans="1:34" s="20" customFormat="1" ht="14" x14ac:dyDescent="0.2">
      <c r="B751" s="16"/>
      <c r="E751" s="45"/>
      <c r="F751" s="46"/>
      <c r="G751" s="46"/>
      <c r="H751" s="46"/>
      <c r="I751" s="46"/>
      <c r="J751" s="46"/>
      <c r="K751" s="46"/>
      <c r="L751" s="46"/>
      <c r="M751" s="46"/>
      <c r="N751" s="46"/>
    </row>
    <row r="752" spans="1:34" s="20" customFormat="1" ht="14" x14ac:dyDescent="0.2">
      <c r="B752" s="19" t="str">
        <f>B744</f>
        <v>Existing loan from Municipal bank</v>
      </c>
    </row>
    <row r="753" spans="2:34" s="20" customFormat="1" ht="14" x14ac:dyDescent="0.2">
      <c r="B753" s="20" t="s">
        <v>334</v>
      </c>
      <c r="D753" s="8" t="str">
        <f>IF('Assumptions - Passenger'!$E$398=1,"Same as above",IF('Assumptions - Passenger'!$E$398=2,"Local currency/"&amp;'Assumptions - General'!$E$39,"Local currency/"&amp;'Assumptions - General'!$E$40))</f>
        <v>Same as above</v>
      </c>
      <c r="E753" s="124">
        <f>IF('Assumptions - Passenger'!$E$398=1,1,IF('Assumptions - Passenger'!$E$398=2,'Assumptions - General'!E$41,'Assumptions - General'!E$42))</f>
        <v>1</v>
      </c>
      <c r="F753" s="124">
        <f>IF('Assumptions - Passenger'!$E$398=1,1,IF('Assumptions - Passenger'!$E$398=2,'Assumptions - General'!F$41,'Assumptions - General'!F$42))</f>
        <v>1</v>
      </c>
      <c r="G753" s="124">
        <f>IF('Assumptions - Passenger'!$E$398=1,1,IF('Assumptions - Passenger'!$E$398=2,'Assumptions - General'!G$41,'Assumptions - General'!G$42))</f>
        <v>1</v>
      </c>
      <c r="H753" s="124">
        <f>IF('Assumptions - Passenger'!$E$398=1,1,IF('Assumptions - Passenger'!$E$398=2,'Assumptions - General'!H$41,'Assumptions - General'!H$42))</f>
        <v>1</v>
      </c>
      <c r="I753" s="124">
        <f>IF('Assumptions - Passenger'!$E$398=1,1,IF('Assumptions - Passenger'!$E$398=2,'Assumptions - General'!I$41,'Assumptions - General'!I$42))</f>
        <v>1</v>
      </c>
      <c r="J753" s="124">
        <f>IF('Assumptions - Passenger'!$E$398=1,1,IF('Assumptions - Passenger'!$E$398=2,'Assumptions - General'!J$41,'Assumptions - General'!J$42))</f>
        <v>1</v>
      </c>
      <c r="K753" s="124">
        <f>IF('Assumptions - Passenger'!$E$398=1,1,IF('Assumptions - Passenger'!$E$398=2,'Assumptions - General'!K$41,'Assumptions - General'!K$42))</f>
        <v>1</v>
      </c>
      <c r="L753" s="124">
        <f>IF('Assumptions - Passenger'!$E$398=1,1,IF('Assumptions - Passenger'!$E$398=2,'Assumptions - General'!L$41,'Assumptions - General'!L$42))</f>
        <v>1</v>
      </c>
      <c r="M753" s="124">
        <f>IF('Assumptions - Passenger'!$E$398=1,1,IF('Assumptions - Passenger'!$E$398=2,'Assumptions - General'!M$41,'Assumptions - General'!M$42))</f>
        <v>1</v>
      </c>
      <c r="N753" s="124">
        <f>IF('Assumptions - Passenger'!$E$398=1,1,IF('Assumptions - Passenger'!$E$398=2,'Assumptions - General'!N$41,'Assumptions - General'!N$42))</f>
        <v>1</v>
      </c>
      <c r="O753" s="124">
        <f>IF('Assumptions - Passenger'!$E$398=1,1,IF('Assumptions - Passenger'!$E$398=2,'Assumptions - General'!O$41,'Assumptions - General'!O$42))</f>
        <v>1</v>
      </c>
      <c r="P753" s="124">
        <f>IF('Assumptions - Passenger'!$E$398=1,1,IF('Assumptions - Passenger'!$E$398=2,'Assumptions - General'!P$41,'Assumptions - General'!P$42))</f>
        <v>1</v>
      </c>
      <c r="Q753" s="124">
        <f>IF('Assumptions - Passenger'!$E$398=1,1,IF('Assumptions - Passenger'!$E$398=2,'Assumptions - General'!Q$41,'Assumptions - General'!Q$42))</f>
        <v>1</v>
      </c>
      <c r="R753" s="124">
        <f>IF('Assumptions - Passenger'!$E$398=1,1,IF('Assumptions - Passenger'!$E$398=2,'Assumptions - General'!R$41,'Assumptions - General'!R$42))</f>
        <v>1</v>
      </c>
      <c r="S753" s="124">
        <f>IF('Assumptions - Passenger'!$E$398=1,1,IF('Assumptions - Passenger'!$E$398=2,'Assumptions - General'!S$41,'Assumptions - General'!S$42))</f>
        <v>1</v>
      </c>
      <c r="T753" s="124">
        <f>IF('Assumptions - Passenger'!$E$398=1,1,IF('Assumptions - Passenger'!$E$398=2,'Assumptions - General'!T$41,'Assumptions - General'!T$42))</f>
        <v>1</v>
      </c>
      <c r="U753" s="124">
        <f>IF('Assumptions - Passenger'!$E$398=1,1,IF('Assumptions - Passenger'!$E$398=2,'Assumptions - General'!U$41,'Assumptions - General'!U$42))</f>
        <v>1</v>
      </c>
      <c r="V753" s="124">
        <f>IF('Assumptions - Passenger'!$E$398=1,1,IF('Assumptions - Passenger'!$E$398=2,'Assumptions - General'!V$41,'Assumptions - General'!V$42))</f>
        <v>1</v>
      </c>
      <c r="W753" s="124">
        <f>IF('Assumptions - Passenger'!$E$398=1,1,IF('Assumptions - Passenger'!$E$398=2,'Assumptions - General'!W$41,'Assumptions - General'!W$42))</f>
        <v>1</v>
      </c>
      <c r="X753" s="124">
        <f>IF('Assumptions - Passenger'!$E$398=1,1,IF('Assumptions - Passenger'!$E$398=2,'Assumptions - General'!X$41,'Assumptions - General'!X$42))</f>
        <v>1</v>
      </c>
      <c r="Y753" s="124">
        <f>IF('Assumptions - Passenger'!$E$398=1,1,IF('Assumptions - Passenger'!$E$398=2,'Assumptions - General'!Y$41,'Assumptions - General'!Y$42))</f>
        <v>1</v>
      </c>
      <c r="Z753" s="124">
        <f>IF('Assumptions - Passenger'!$E$398=1,1,IF('Assumptions - Passenger'!$E$398=2,'Assumptions - General'!Z$41,'Assumptions - General'!Z$42))</f>
        <v>1</v>
      </c>
      <c r="AA753" s="124">
        <f>IF('Assumptions - Passenger'!$E$398=1,1,IF('Assumptions - Passenger'!$E$398=2,'Assumptions - General'!AA$41,'Assumptions - General'!AA$42))</f>
        <v>1</v>
      </c>
      <c r="AB753" s="124">
        <f>IF('Assumptions - Passenger'!$E$398=1,1,IF('Assumptions - Passenger'!$E$398=2,'Assumptions - General'!AB$41,'Assumptions - General'!AB$42))</f>
        <v>1</v>
      </c>
      <c r="AC753" s="124">
        <f>IF('Assumptions - Passenger'!$E$398=1,1,IF('Assumptions - Passenger'!$E$398=2,'Assumptions - General'!AC$41,'Assumptions - General'!AC$42))</f>
        <v>1</v>
      </c>
      <c r="AD753" s="124">
        <f>IF('Assumptions - Passenger'!$E$398=1,1,IF('Assumptions - Passenger'!$E$398=2,'Assumptions - General'!AD$41,'Assumptions - General'!AD$42))</f>
        <v>1</v>
      </c>
      <c r="AE753" s="124">
        <f>IF('Assumptions - Passenger'!$E$398=1,1,IF('Assumptions - Passenger'!$E$398=2,'Assumptions - General'!AE$41,'Assumptions - General'!AE$42))</f>
        <v>1</v>
      </c>
      <c r="AF753" s="124">
        <f>IF('Assumptions - Passenger'!$E$398=1,1,IF('Assumptions - Passenger'!$E$398=2,'Assumptions - General'!AF$41,'Assumptions - General'!AF$42))</f>
        <v>1</v>
      </c>
      <c r="AG753" s="124">
        <f>IF('Assumptions - Passenger'!$E$398=1,1,IF('Assumptions - Passenger'!$E$398=2,'Assumptions - General'!AG$41,'Assumptions - General'!AG$42))</f>
        <v>1</v>
      </c>
      <c r="AH753" s="124">
        <f>IF('Assumptions - Passenger'!$E$398=1,1,IF('Assumptions - Passenger'!$E$398=2,'Assumptions - General'!AH$41,'Assumptions - General'!AH$42))</f>
        <v>1</v>
      </c>
    </row>
    <row r="754" spans="2:34" s="20" customFormat="1" ht="14" x14ac:dyDescent="0.2">
      <c r="B754" s="8" t="s">
        <v>136</v>
      </c>
      <c r="D754" s="8" t="str">
        <f>'Assumptions - General'!$E$27 &amp;" millions"</f>
        <v>R$ millions</v>
      </c>
      <c r="E754" s="229">
        <f t="shared" ref="E754:AH754" si="293">E$753*E746</f>
        <v>50</v>
      </c>
      <c r="F754" s="229">
        <f t="shared" si="293"/>
        <v>50</v>
      </c>
      <c r="G754" s="229">
        <f t="shared" si="293"/>
        <v>50</v>
      </c>
      <c r="H754" s="229">
        <f t="shared" si="293"/>
        <v>40</v>
      </c>
      <c r="I754" s="229">
        <f t="shared" si="293"/>
        <v>35</v>
      </c>
      <c r="J754" s="229">
        <f t="shared" si="293"/>
        <v>30</v>
      </c>
      <c r="K754" s="229">
        <f t="shared" si="293"/>
        <v>25</v>
      </c>
      <c r="L754" s="229">
        <f t="shared" si="293"/>
        <v>20</v>
      </c>
      <c r="M754" s="229">
        <f t="shared" si="293"/>
        <v>15</v>
      </c>
      <c r="N754" s="229">
        <f t="shared" si="293"/>
        <v>10</v>
      </c>
      <c r="O754" s="229">
        <f t="shared" si="293"/>
        <v>5</v>
      </c>
      <c r="P754" s="229">
        <f t="shared" si="293"/>
        <v>0</v>
      </c>
      <c r="Q754" s="229">
        <f t="shared" si="293"/>
        <v>0</v>
      </c>
      <c r="R754" s="229">
        <f t="shared" si="293"/>
        <v>0</v>
      </c>
      <c r="S754" s="229">
        <f t="shared" si="293"/>
        <v>0</v>
      </c>
      <c r="T754" s="229">
        <f t="shared" si="293"/>
        <v>0</v>
      </c>
      <c r="U754" s="229">
        <f t="shared" si="293"/>
        <v>0</v>
      </c>
      <c r="V754" s="229">
        <f t="shared" si="293"/>
        <v>0</v>
      </c>
      <c r="W754" s="229">
        <f t="shared" si="293"/>
        <v>0</v>
      </c>
      <c r="X754" s="229">
        <f t="shared" si="293"/>
        <v>0</v>
      </c>
      <c r="Y754" s="229">
        <f t="shared" si="293"/>
        <v>0</v>
      </c>
      <c r="Z754" s="229">
        <f t="shared" si="293"/>
        <v>0</v>
      </c>
      <c r="AA754" s="229">
        <f t="shared" si="293"/>
        <v>0</v>
      </c>
      <c r="AB754" s="229">
        <f t="shared" si="293"/>
        <v>0</v>
      </c>
      <c r="AC754" s="229">
        <f t="shared" si="293"/>
        <v>0</v>
      </c>
      <c r="AD754" s="229">
        <f t="shared" si="293"/>
        <v>0</v>
      </c>
      <c r="AE754" s="229">
        <f t="shared" si="293"/>
        <v>0</v>
      </c>
      <c r="AF754" s="229">
        <f t="shared" si="293"/>
        <v>0</v>
      </c>
      <c r="AG754" s="229">
        <f t="shared" si="293"/>
        <v>0</v>
      </c>
      <c r="AH754" s="229">
        <f t="shared" si="293"/>
        <v>0</v>
      </c>
    </row>
    <row r="755" spans="2:34" s="20" customFormat="1" ht="14" x14ac:dyDescent="0.2">
      <c r="B755" s="8" t="s">
        <v>410</v>
      </c>
      <c r="D755" s="8" t="str">
        <f>'Assumptions - General'!$E$27 &amp;" millions"</f>
        <v>R$ millions</v>
      </c>
      <c r="E755" s="229">
        <f t="shared" ref="E755:AH755" si="294">E$753*E747</f>
        <v>0</v>
      </c>
      <c r="F755" s="229">
        <f t="shared" si="294"/>
        <v>0</v>
      </c>
      <c r="G755" s="229">
        <f t="shared" si="294"/>
        <v>10</v>
      </c>
      <c r="H755" s="229">
        <f t="shared" si="294"/>
        <v>5</v>
      </c>
      <c r="I755" s="229">
        <f t="shared" si="294"/>
        <v>5</v>
      </c>
      <c r="J755" s="229">
        <f t="shared" si="294"/>
        <v>5</v>
      </c>
      <c r="K755" s="229">
        <f t="shared" si="294"/>
        <v>5</v>
      </c>
      <c r="L755" s="229">
        <f t="shared" si="294"/>
        <v>5</v>
      </c>
      <c r="M755" s="229">
        <f t="shared" si="294"/>
        <v>5</v>
      </c>
      <c r="N755" s="229">
        <f t="shared" si="294"/>
        <v>5</v>
      </c>
      <c r="O755" s="229">
        <f t="shared" si="294"/>
        <v>5</v>
      </c>
      <c r="P755" s="229">
        <f t="shared" si="294"/>
        <v>0</v>
      </c>
      <c r="Q755" s="229">
        <f t="shared" si="294"/>
        <v>0</v>
      </c>
      <c r="R755" s="229">
        <f t="shared" si="294"/>
        <v>0</v>
      </c>
      <c r="S755" s="229">
        <f t="shared" si="294"/>
        <v>0</v>
      </c>
      <c r="T755" s="229">
        <f t="shared" si="294"/>
        <v>0</v>
      </c>
      <c r="U755" s="229">
        <f t="shared" si="294"/>
        <v>0</v>
      </c>
      <c r="V755" s="229">
        <f t="shared" si="294"/>
        <v>0</v>
      </c>
      <c r="W755" s="229">
        <f t="shared" si="294"/>
        <v>0</v>
      </c>
      <c r="X755" s="229">
        <f t="shared" si="294"/>
        <v>0</v>
      </c>
      <c r="Y755" s="229">
        <f t="shared" si="294"/>
        <v>0</v>
      </c>
      <c r="Z755" s="229">
        <f t="shared" si="294"/>
        <v>0</v>
      </c>
      <c r="AA755" s="229">
        <f t="shared" si="294"/>
        <v>0</v>
      </c>
      <c r="AB755" s="229">
        <f t="shared" si="294"/>
        <v>0</v>
      </c>
      <c r="AC755" s="229">
        <f t="shared" si="294"/>
        <v>0</v>
      </c>
      <c r="AD755" s="229">
        <f t="shared" si="294"/>
        <v>0</v>
      </c>
      <c r="AE755" s="229">
        <f t="shared" si="294"/>
        <v>0</v>
      </c>
      <c r="AF755" s="229">
        <f t="shared" si="294"/>
        <v>0</v>
      </c>
      <c r="AG755" s="229">
        <f t="shared" si="294"/>
        <v>0</v>
      </c>
      <c r="AH755" s="229">
        <f t="shared" si="294"/>
        <v>0</v>
      </c>
    </row>
    <row r="756" spans="2:34" s="20" customFormat="1" ht="14" x14ac:dyDescent="0.2">
      <c r="B756" s="8" t="s">
        <v>138</v>
      </c>
      <c r="D756" s="8" t="str">
        <f>'Assumptions - General'!$E$27 &amp;" millions"</f>
        <v>R$ millions</v>
      </c>
      <c r="E756" s="229">
        <f t="shared" ref="E756:AH756" si="295">E$753*E748</f>
        <v>50</v>
      </c>
      <c r="F756" s="229">
        <f t="shared" si="295"/>
        <v>50</v>
      </c>
      <c r="G756" s="229">
        <f t="shared" si="295"/>
        <v>40</v>
      </c>
      <c r="H756" s="229">
        <f t="shared" si="295"/>
        <v>35</v>
      </c>
      <c r="I756" s="229">
        <f t="shared" si="295"/>
        <v>30</v>
      </c>
      <c r="J756" s="229">
        <f t="shared" si="295"/>
        <v>25</v>
      </c>
      <c r="K756" s="229">
        <f t="shared" si="295"/>
        <v>20</v>
      </c>
      <c r="L756" s="229">
        <f t="shared" si="295"/>
        <v>15</v>
      </c>
      <c r="M756" s="229">
        <f t="shared" si="295"/>
        <v>10</v>
      </c>
      <c r="N756" s="229">
        <f t="shared" si="295"/>
        <v>5</v>
      </c>
      <c r="O756" s="229">
        <f t="shared" si="295"/>
        <v>0</v>
      </c>
      <c r="P756" s="229">
        <f t="shared" si="295"/>
        <v>0</v>
      </c>
      <c r="Q756" s="229">
        <f t="shared" si="295"/>
        <v>0</v>
      </c>
      <c r="R756" s="229">
        <f t="shared" si="295"/>
        <v>0</v>
      </c>
      <c r="S756" s="229">
        <f t="shared" si="295"/>
        <v>0</v>
      </c>
      <c r="T756" s="229">
        <f t="shared" si="295"/>
        <v>0</v>
      </c>
      <c r="U756" s="229">
        <f t="shared" si="295"/>
        <v>0</v>
      </c>
      <c r="V756" s="229">
        <f t="shared" si="295"/>
        <v>0</v>
      </c>
      <c r="W756" s="229">
        <f t="shared" si="295"/>
        <v>0</v>
      </c>
      <c r="X756" s="229">
        <f t="shared" si="295"/>
        <v>0</v>
      </c>
      <c r="Y756" s="229">
        <f t="shared" si="295"/>
        <v>0</v>
      </c>
      <c r="Z756" s="229">
        <f t="shared" si="295"/>
        <v>0</v>
      </c>
      <c r="AA756" s="229">
        <f t="shared" si="295"/>
        <v>0</v>
      </c>
      <c r="AB756" s="229">
        <f t="shared" si="295"/>
        <v>0</v>
      </c>
      <c r="AC756" s="229">
        <f t="shared" si="295"/>
        <v>0</v>
      </c>
      <c r="AD756" s="229">
        <f t="shared" si="295"/>
        <v>0</v>
      </c>
      <c r="AE756" s="229">
        <f t="shared" si="295"/>
        <v>0</v>
      </c>
      <c r="AF756" s="229">
        <f t="shared" si="295"/>
        <v>0</v>
      </c>
      <c r="AG756" s="229">
        <f t="shared" si="295"/>
        <v>0</v>
      </c>
      <c r="AH756" s="229">
        <f t="shared" si="295"/>
        <v>0</v>
      </c>
    </row>
    <row r="757" spans="2:34" s="20" customFormat="1" ht="14" x14ac:dyDescent="0.2">
      <c r="B757" s="8" t="s">
        <v>139</v>
      </c>
      <c r="D757" s="8" t="str">
        <f>'Assumptions - General'!$E$27 &amp;" millions"</f>
        <v>R$ millions</v>
      </c>
      <c r="E757" s="229">
        <f t="shared" ref="E757:AH757" si="296">E$753*E749</f>
        <v>2.5</v>
      </c>
      <c r="F757" s="229">
        <f t="shared" si="296"/>
        <v>2.5</v>
      </c>
      <c r="G757" s="229">
        <f t="shared" si="296"/>
        <v>2.25</v>
      </c>
      <c r="H757" s="229">
        <f t="shared" si="296"/>
        <v>1.875</v>
      </c>
      <c r="I757" s="229">
        <f t="shared" si="296"/>
        <v>1.625</v>
      </c>
      <c r="J757" s="229">
        <f t="shared" si="296"/>
        <v>1.375</v>
      </c>
      <c r="K757" s="229">
        <f t="shared" si="296"/>
        <v>1.125</v>
      </c>
      <c r="L757" s="229">
        <f t="shared" si="296"/>
        <v>0.875</v>
      </c>
      <c r="M757" s="229">
        <f t="shared" si="296"/>
        <v>0.625</v>
      </c>
      <c r="N757" s="229">
        <f t="shared" si="296"/>
        <v>0.375</v>
      </c>
      <c r="O757" s="229">
        <f t="shared" si="296"/>
        <v>0.125</v>
      </c>
      <c r="P757" s="229">
        <f t="shared" si="296"/>
        <v>0</v>
      </c>
      <c r="Q757" s="229">
        <f t="shared" si="296"/>
        <v>0</v>
      </c>
      <c r="R757" s="229">
        <f t="shared" si="296"/>
        <v>0</v>
      </c>
      <c r="S757" s="229">
        <f t="shared" si="296"/>
        <v>0</v>
      </c>
      <c r="T757" s="229">
        <f t="shared" si="296"/>
        <v>0</v>
      </c>
      <c r="U757" s="229">
        <f t="shared" si="296"/>
        <v>0</v>
      </c>
      <c r="V757" s="229">
        <f t="shared" si="296"/>
        <v>0</v>
      </c>
      <c r="W757" s="229">
        <f t="shared" si="296"/>
        <v>0</v>
      </c>
      <c r="X757" s="229">
        <f t="shared" si="296"/>
        <v>0</v>
      </c>
      <c r="Y757" s="229">
        <f t="shared" si="296"/>
        <v>0</v>
      </c>
      <c r="Z757" s="229">
        <f t="shared" si="296"/>
        <v>0</v>
      </c>
      <c r="AA757" s="229">
        <f t="shared" si="296"/>
        <v>0</v>
      </c>
      <c r="AB757" s="229">
        <f t="shared" si="296"/>
        <v>0</v>
      </c>
      <c r="AC757" s="229">
        <f t="shared" si="296"/>
        <v>0</v>
      </c>
      <c r="AD757" s="229">
        <f t="shared" si="296"/>
        <v>0</v>
      </c>
      <c r="AE757" s="229">
        <f t="shared" si="296"/>
        <v>0</v>
      </c>
      <c r="AF757" s="229">
        <f t="shared" si="296"/>
        <v>0</v>
      </c>
      <c r="AG757" s="229">
        <f t="shared" si="296"/>
        <v>0</v>
      </c>
      <c r="AH757" s="229">
        <f t="shared" si="296"/>
        <v>0</v>
      </c>
    </row>
    <row r="758" spans="2:34" s="20" customFormat="1" ht="14" x14ac:dyDescent="0.2">
      <c r="B758" s="8" t="s">
        <v>140</v>
      </c>
      <c r="D758" s="8" t="str">
        <f>'Assumptions - General'!$E$27 &amp;" millions"</f>
        <v>R$ millions</v>
      </c>
      <c r="E758" s="229">
        <f t="shared" ref="E758:AH758" si="297">E$753*E750</f>
        <v>2.5</v>
      </c>
      <c r="F758" s="229">
        <f t="shared" si="297"/>
        <v>2.5</v>
      </c>
      <c r="G758" s="229">
        <f t="shared" si="297"/>
        <v>12.25</v>
      </c>
      <c r="H758" s="229">
        <f t="shared" si="297"/>
        <v>6.875</v>
      </c>
      <c r="I758" s="229">
        <f t="shared" si="297"/>
        <v>6.625</v>
      </c>
      <c r="J758" s="229">
        <f t="shared" si="297"/>
        <v>6.375</v>
      </c>
      <c r="K758" s="229">
        <f t="shared" si="297"/>
        <v>6.125</v>
      </c>
      <c r="L758" s="229">
        <f t="shared" si="297"/>
        <v>5.875</v>
      </c>
      <c r="M758" s="229">
        <f t="shared" si="297"/>
        <v>5.625</v>
      </c>
      <c r="N758" s="229">
        <f t="shared" si="297"/>
        <v>5.375</v>
      </c>
      <c r="O758" s="229">
        <f t="shared" si="297"/>
        <v>5.125</v>
      </c>
      <c r="P758" s="229">
        <f t="shared" si="297"/>
        <v>0</v>
      </c>
      <c r="Q758" s="229">
        <f t="shared" si="297"/>
        <v>0</v>
      </c>
      <c r="R758" s="229">
        <f t="shared" si="297"/>
        <v>0</v>
      </c>
      <c r="S758" s="229">
        <f t="shared" si="297"/>
        <v>0</v>
      </c>
      <c r="T758" s="229">
        <f t="shared" si="297"/>
        <v>0</v>
      </c>
      <c r="U758" s="229">
        <f t="shared" si="297"/>
        <v>0</v>
      </c>
      <c r="V758" s="229">
        <f t="shared" si="297"/>
        <v>0</v>
      </c>
      <c r="W758" s="229">
        <f t="shared" si="297"/>
        <v>0</v>
      </c>
      <c r="X758" s="229">
        <f t="shared" si="297"/>
        <v>0</v>
      </c>
      <c r="Y758" s="229">
        <f t="shared" si="297"/>
        <v>0</v>
      </c>
      <c r="Z758" s="229">
        <f t="shared" si="297"/>
        <v>0</v>
      </c>
      <c r="AA758" s="229">
        <f t="shared" si="297"/>
        <v>0</v>
      </c>
      <c r="AB758" s="229">
        <f t="shared" si="297"/>
        <v>0</v>
      </c>
      <c r="AC758" s="229">
        <f t="shared" si="297"/>
        <v>0</v>
      </c>
      <c r="AD758" s="229">
        <f t="shared" si="297"/>
        <v>0</v>
      </c>
      <c r="AE758" s="229">
        <f t="shared" si="297"/>
        <v>0</v>
      </c>
      <c r="AF758" s="229">
        <f t="shared" si="297"/>
        <v>0</v>
      </c>
      <c r="AG758" s="229">
        <f t="shared" si="297"/>
        <v>0</v>
      </c>
      <c r="AH758" s="229">
        <f t="shared" si="297"/>
        <v>0</v>
      </c>
    </row>
    <row r="759" spans="2:34" s="20" customFormat="1" ht="14" x14ac:dyDescent="0.2">
      <c r="B759" s="16"/>
      <c r="E759" s="45"/>
      <c r="F759" s="46"/>
      <c r="G759" s="46"/>
      <c r="H759" s="46"/>
      <c r="I759" s="46"/>
      <c r="J759" s="46"/>
      <c r="K759" s="46"/>
      <c r="L759" s="46"/>
      <c r="M759" s="46"/>
      <c r="N759" s="46"/>
    </row>
    <row r="760" spans="2:34" s="20" customFormat="1" ht="14" x14ac:dyDescent="0.2">
      <c r="B760" s="21" t="str">
        <f>"Existing loan from " &amp; 'Assumptions - Passenger'!E409</f>
        <v>Existing loan from London bank</v>
      </c>
    </row>
    <row r="761" spans="2:34" s="20" customFormat="1" ht="14" x14ac:dyDescent="0.2">
      <c r="B761" s="8" t="s">
        <v>135</v>
      </c>
      <c r="D761" s="20" t="s">
        <v>15</v>
      </c>
      <c r="E761" s="47">
        <f>IF(E$17=1,IF('Assumptions - Passenger'!$E415=1,'Assumptions - Passenger'!$E417,'Assumptions - General'!E$38+'Assumptions - Passenger'!$E418),0)</f>
        <v>0.05</v>
      </c>
      <c r="F761" s="47">
        <f>IF(F$17=1,IF('Assumptions - Passenger'!$E415=1,'Assumptions - Passenger'!$E417,'Assumptions - General'!F$38+'Assumptions - Passenger'!$E418),0)</f>
        <v>0.05</v>
      </c>
      <c r="G761" s="47">
        <f>IF(G$17=1,IF('Assumptions - Passenger'!$E415=1,'Assumptions - Passenger'!$E417,'Assumptions - General'!G$38+'Assumptions - Passenger'!$E418),0)</f>
        <v>0.05</v>
      </c>
      <c r="H761" s="47">
        <f>IF(H$17=1,IF('Assumptions - Passenger'!$E415=1,'Assumptions - Passenger'!$E417,'Assumptions - General'!H$38+'Assumptions - Passenger'!$E418),0)</f>
        <v>0.05</v>
      </c>
      <c r="I761" s="47">
        <f>IF(I$17=1,IF('Assumptions - Passenger'!$E415=1,'Assumptions - Passenger'!$E417,'Assumptions - General'!I$38+'Assumptions - Passenger'!$E418),0)</f>
        <v>0.05</v>
      </c>
      <c r="J761" s="47">
        <f>IF(J$17=1,IF('Assumptions - Passenger'!$E415=1,'Assumptions - Passenger'!$E417,'Assumptions - General'!J$38+'Assumptions - Passenger'!$E418),0)</f>
        <v>0.05</v>
      </c>
      <c r="K761" s="47">
        <f>IF(K$17=1,IF('Assumptions - Passenger'!$E415=1,'Assumptions - Passenger'!$E417,'Assumptions - General'!K$38+'Assumptions - Passenger'!$E418),0)</f>
        <v>0.05</v>
      </c>
      <c r="L761" s="47">
        <f>IF(L$17=1,IF('Assumptions - Passenger'!$E415=1,'Assumptions - Passenger'!$E417,'Assumptions - General'!L$38+'Assumptions - Passenger'!$E418),0)</f>
        <v>0.05</v>
      </c>
      <c r="M761" s="47">
        <f>IF(M$17=1,IF('Assumptions - Passenger'!$E415=1,'Assumptions - Passenger'!$E417,'Assumptions - General'!M$38+'Assumptions - Passenger'!$E418),0)</f>
        <v>0.05</v>
      </c>
      <c r="N761" s="47">
        <f>IF(N$17=1,IF('Assumptions - Passenger'!$E415=1,'Assumptions - Passenger'!$E417,'Assumptions - General'!N$38+'Assumptions - Passenger'!$E418),0)</f>
        <v>0.05</v>
      </c>
      <c r="O761" s="47">
        <f>IF(O$17=1,IF('Assumptions - Passenger'!$E415=1,'Assumptions - Passenger'!$E417,'Assumptions - General'!O$38+'Assumptions - Passenger'!$E418),0)</f>
        <v>0.05</v>
      </c>
      <c r="P761" s="47">
        <f>IF(P$17=1,IF('Assumptions - Passenger'!$E415=1,'Assumptions - Passenger'!$E417,'Assumptions - General'!P$38+'Assumptions - Passenger'!$E418),0)</f>
        <v>0.05</v>
      </c>
      <c r="Q761" s="47">
        <f>IF(Q$17=1,IF('Assumptions - Passenger'!$E415=1,'Assumptions - Passenger'!$E417,'Assumptions - General'!Q$38+'Assumptions - Passenger'!$E418),0)</f>
        <v>0.05</v>
      </c>
      <c r="R761" s="47">
        <f>IF(R$17=1,IF('Assumptions - Passenger'!$E415=1,'Assumptions - Passenger'!$E417,'Assumptions - General'!R$38+'Assumptions - Passenger'!$E418),0)</f>
        <v>0.05</v>
      </c>
      <c r="S761" s="47">
        <f>IF(S$17=1,IF('Assumptions - Passenger'!$E415=1,'Assumptions - Passenger'!$E417,'Assumptions - General'!S$38+'Assumptions - Passenger'!$E418),0)</f>
        <v>0.05</v>
      </c>
      <c r="T761" s="47">
        <f>IF(T$17=1,IF('Assumptions - Passenger'!$E415=1,'Assumptions - Passenger'!$E417,'Assumptions - General'!T$38+'Assumptions - Passenger'!$E418),0)</f>
        <v>0.05</v>
      </c>
      <c r="U761" s="47">
        <f>IF(U$17=1,IF('Assumptions - Passenger'!$E415=1,'Assumptions - Passenger'!$E417,'Assumptions - General'!U$38+'Assumptions - Passenger'!$E418),0)</f>
        <v>0.05</v>
      </c>
      <c r="V761" s="47">
        <f>IF(V$17=1,IF('Assumptions - Passenger'!$E415=1,'Assumptions - Passenger'!$E417,'Assumptions - General'!V$38+'Assumptions - Passenger'!$E418),0)</f>
        <v>0.05</v>
      </c>
      <c r="W761" s="47">
        <f>IF(W$17=1,IF('Assumptions - Passenger'!$E415=1,'Assumptions - Passenger'!$E417,'Assumptions - General'!W$38+'Assumptions - Passenger'!$E418),0)</f>
        <v>0.05</v>
      </c>
      <c r="X761" s="47">
        <f>IF(X$17=1,IF('Assumptions - Passenger'!$E415=1,'Assumptions - Passenger'!$E417,'Assumptions - General'!X$38+'Assumptions - Passenger'!$E418),0)</f>
        <v>0.05</v>
      </c>
      <c r="Y761" s="47">
        <f>IF(Y$17=1,IF('Assumptions - Passenger'!$E415=1,'Assumptions - Passenger'!$E417,'Assumptions - General'!Y$38+'Assumptions - Passenger'!$E418),0)</f>
        <v>0.05</v>
      </c>
      <c r="Z761" s="47">
        <f>IF(Z$17=1,IF('Assumptions - Passenger'!$E415=1,'Assumptions - Passenger'!$E417,'Assumptions - General'!Z$38+'Assumptions - Passenger'!$E418),0)</f>
        <v>0.05</v>
      </c>
      <c r="AA761" s="47">
        <f>IF(AA$17=1,IF('Assumptions - Passenger'!$E415=1,'Assumptions - Passenger'!$E417,'Assumptions - General'!AA$38+'Assumptions - Passenger'!$E418),0)</f>
        <v>0.05</v>
      </c>
      <c r="AB761" s="47">
        <f>IF(AB$17=1,IF('Assumptions - Passenger'!$E415=1,'Assumptions - Passenger'!$E417,'Assumptions - General'!AB$38+'Assumptions - Passenger'!$E418),0)</f>
        <v>0.05</v>
      </c>
      <c r="AC761" s="47">
        <f>IF(AC$17=1,IF('Assumptions - Passenger'!$E415=1,'Assumptions - Passenger'!$E417,'Assumptions - General'!AC$38+'Assumptions - Passenger'!$E418),0)</f>
        <v>0.05</v>
      </c>
      <c r="AD761" s="47">
        <f>IF(AD$17=1,IF('Assumptions - Passenger'!$E415=1,'Assumptions - Passenger'!$E417,'Assumptions - General'!AD$38+'Assumptions - Passenger'!$E418),0)</f>
        <v>0.05</v>
      </c>
      <c r="AE761" s="47">
        <f>IF(AE$17=1,IF('Assumptions - Passenger'!$E415=1,'Assumptions - Passenger'!$E417,'Assumptions - General'!AE$38+'Assumptions - Passenger'!$E418),0)</f>
        <v>0.05</v>
      </c>
      <c r="AF761" s="47">
        <f>IF(AF$17=1,IF('Assumptions - Passenger'!$E415=1,'Assumptions - Passenger'!$E417,'Assumptions - General'!AF$38+'Assumptions - Passenger'!$E418),0)</f>
        <v>0.05</v>
      </c>
      <c r="AG761" s="47">
        <f>IF(AG$17=1,IF('Assumptions - Passenger'!$E415=1,'Assumptions - Passenger'!$E417,'Assumptions - General'!AG$38+'Assumptions - Passenger'!$E418),0)</f>
        <v>0.05</v>
      </c>
      <c r="AH761" s="47">
        <f>IF(AH$17=1,IF('Assumptions - Passenger'!$E415=1,'Assumptions - Passenger'!$E417,'Assumptions - General'!AH$38+'Assumptions - Passenger'!$E418),0)</f>
        <v>0.05</v>
      </c>
    </row>
    <row r="762" spans="2:34" s="20" customFormat="1" ht="14" x14ac:dyDescent="0.2">
      <c r="B762" s="8" t="s">
        <v>136</v>
      </c>
      <c r="D762" s="8" t="str">
        <f>'Assumptions - Passenger'!D412</f>
        <v>EUR millions</v>
      </c>
      <c r="E762" s="463">
        <f>IF(E$17=1,'Assumptions - Passenger'!E412,0)</f>
        <v>50</v>
      </c>
      <c r="F762" s="33">
        <f t="shared" ref="F762:AH762" si="298">E764</f>
        <v>50</v>
      </c>
      <c r="G762" s="33">
        <f t="shared" si="298"/>
        <v>45</v>
      </c>
      <c r="H762" s="33">
        <f t="shared" si="298"/>
        <v>40</v>
      </c>
      <c r="I762" s="33">
        <f t="shared" si="298"/>
        <v>35</v>
      </c>
      <c r="J762" s="33">
        <f t="shared" si="298"/>
        <v>30</v>
      </c>
      <c r="K762" s="33">
        <f t="shared" si="298"/>
        <v>25</v>
      </c>
      <c r="L762" s="33">
        <f t="shared" si="298"/>
        <v>20</v>
      </c>
      <c r="M762" s="33">
        <f t="shared" si="298"/>
        <v>15</v>
      </c>
      <c r="N762" s="33">
        <f t="shared" si="298"/>
        <v>10</v>
      </c>
      <c r="O762" s="33">
        <f t="shared" si="298"/>
        <v>5</v>
      </c>
      <c r="P762" s="33">
        <f t="shared" si="298"/>
        <v>0</v>
      </c>
      <c r="Q762" s="33">
        <f t="shared" si="298"/>
        <v>0</v>
      </c>
      <c r="R762" s="33">
        <f t="shared" si="298"/>
        <v>0</v>
      </c>
      <c r="S762" s="33">
        <f t="shared" si="298"/>
        <v>0</v>
      </c>
      <c r="T762" s="33">
        <f t="shared" si="298"/>
        <v>0</v>
      </c>
      <c r="U762" s="33">
        <f t="shared" si="298"/>
        <v>0</v>
      </c>
      <c r="V762" s="33">
        <f t="shared" si="298"/>
        <v>0</v>
      </c>
      <c r="W762" s="33">
        <f t="shared" si="298"/>
        <v>0</v>
      </c>
      <c r="X762" s="33">
        <f t="shared" si="298"/>
        <v>0</v>
      </c>
      <c r="Y762" s="33">
        <f t="shared" si="298"/>
        <v>0</v>
      </c>
      <c r="Z762" s="33">
        <f t="shared" si="298"/>
        <v>0</v>
      </c>
      <c r="AA762" s="33">
        <f t="shared" si="298"/>
        <v>0</v>
      </c>
      <c r="AB762" s="33">
        <f t="shared" si="298"/>
        <v>0</v>
      </c>
      <c r="AC762" s="33">
        <f t="shared" si="298"/>
        <v>0</v>
      </c>
      <c r="AD762" s="33">
        <f t="shared" si="298"/>
        <v>0</v>
      </c>
      <c r="AE762" s="33">
        <f t="shared" si="298"/>
        <v>0</v>
      </c>
      <c r="AF762" s="33">
        <f t="shared" si="298"/>
        <v>0</v>
      </c>
      <c r="AG762" s="33">
        <f t="shared" si="298"/>
        <v>0</v>
      </c>
      <c r="AH762" s="33">
        <f t="shared" si="298"/>
        <v>0</v>
      </c>
    </row>
    <row r="763" spans="2:34" s="20" customFormat="1" ht="14" x14ac:dyDescent="0.2">
      <c r="B763" s="8" t="s">
        <v>410</v>
      </c>
      <c r="D763" s="8" t="str">
        <f>D762</f>
        <v>EUR millions</v>
      </c>
      <c r="E763" s="33">
        <f>IF(E$17=1,'Assumptions - Passenger'!E414,0)</f>
        <v>0</v>
      </c>
      <c r="F763" s="33">
        <f>IF(F$17=1,'Assumptions - Passenger'!F414,0)</f>
        <v>5</v>
      </c>
      <c r="G763" s="33">
        <f>IF(G$17=1,'Assumptions - Passenger'!G414,0)</f>
        <v>5</v>
      </c>
      <c r="H763" s="33">
        <f>IF(H$17=1,'Assumptions - Passenger'!H414,0)</f>
        <v>5</v>
      </c>
      <c r="I763" s="33">
        <f>IF(I$17=1,'Assumptions - Passenger'!I414,0)</f>
        <v>5</v>
      </c>
      <c r="J763" s="33">
        <f>IF(J$17=1,'Assumptions - Passenger'!J414,0)</f>
        <v>5</v>
      </c>
      <c r="K763" s="33">
        <f>IF(K$17=1,'Assumptions - Passenger'!K414,0)</f>
        <v>5</v>
      </c>
      <c r="L763" s="33">
        <f>IF(L$17=1,'Assumptions - Passenger'!L414,0)</f>
        <v>5</v>
      </c>
      <c r="M763" s="33">
        <f>IF(M$17=1,'Assumptions - Passenger'!M414,0)</f>
        <v>5</v>
      </c>
      <c r="N763" s="33">
        <f>IF(N$17=1,'Assumptions - Passenger'!N414,0)</f>
        <v>5</v>
      </c>
      <c r="O763" s="33">
        <f>IF(O$17=1,'Assumptions - Passenger'!O414,0)</f>
        <v>5</v>
      </c>
      <c r="P763" s="33">
        <f>IF(P$17=1,'Assumptions - Passenger'!P414,0)</f>
        <v>0</v>
      </c>
      <c r="Q763" s="33">
        <f>IF(Q$17=1,'Assumptions - Passenger'!Q414,0)</f>
        <v>0</v>
      </c>
      <c r="R763" s="33">
        <f>IF(R$17=1,'Assumptions - Passenger'!R414,0)</f>
        <v>0</v>
      </c>
      <c r="S763" s="33">
        <f>IF(S$17=1,'Assumptions - Passenger'!S414,0)</f>
        <v>0</v>
      </c>
      <c r="T763" s="33">
        <f>IF(T$17=1,'Assumptions - Passenger'!T414,0)</f>
        <v>0</v>
      </c>
      <c r="U763" s="33">
        <f>IF(U$17=1,'Assumptions - Passenger'!U414,0)</f>
        <v>0</v>
      </c>
      <c r="V763" s="33">
        <f>IF(V$17=1,'Assumptions - Passenger'!V414,0)</f>
        <v>0</v>
      </c>
      <c r="W763" s="33">
        <f>IF(W$17=1,'Assumptions - Passenger'!W414,0)</f>
        <v>0</v>
      </c>
      <c r="X763" s="33">
        <f>IF(X$17=1,'Assumptions - Passenger'!X414,0)</f>
        <v>0</v>
      </c>
      <c r="Y763" s="33">
        <f>IF(Y$17=1,'Assumptions - Passenger'!Y414,0)</f>
        <v>0</v>
      </c>
      <c r="Z763" s="33">
        <f>IF(Z$17=1,'Assumptions - Passenger'!Z414,0)</f>
        <v>0</v>
      </c>
      <c r="AA763" s="33">
        <f>IF(AA$17=1,'Assumptions - Passenger'!AA414,0)</f>
        <v>0</v>
      </c>
      <c r="AB763" s="33">
        <f>IF(AB$17=1,'Assumptions - Passenger'!AB414,0)</f>
        <v>0</v>
      </c>
      <c r="AC763" s="33">
        <f>IF(AC$17=1,'Assumptions - Passenger'!AC414,0)</f>
        <v>0</v>
      </c>
      <c r="AD763" s="33">
        <f>IF(AD$17=1,'Assumptions - Passenger'!AD414,0)</f>
        <v>0</v>
      </c>
      <c r="AE763" s="33">
        <f>IF(AE$17=1,'Assumptions - Passenger'!AE414,0)</f>
        <v>0</v>
      </c>
      <c r="AF763" s="33">
        <f>IF(AF$17=1,'Assumptions - Passenger'!AF414,0)</f>
        <v>0</v>
      </c>
      <c r="AG763" s="33">
        <f>IF(AG$17=1,'Assumptions - Passenger'!AG414,0)</f>
        <v>0</v>
      </c>
      <c r="AH763" s="33">
        <f>IF(AH$17=1,'Assumptions - Passenger'!AH414,0)</f>
        <v>0</v>
      </c>
    </row>
    <row r="764" spans="2:34" s="20" customFormat="1" ht="14" x14ac:dyDescent="0.2">
      <c r="B764" s="8" t="s">
        <v>138</v>
      </c>
      <c r="D764" s="8" t="str">
        <f>D763</f>
        <v>EUR millions</v>
      </c>
      <c r="E764" s="33">
        <f>E762-E763</f>
        <v>50</v>
      </c>
      <c r="F764" s="33">
        <f t="shared" ref="F764:AH764" si="299">F762-F763</f>
        <v>45</v>
      </c>
      <c r="G764" s="33">
        <f t="shared" si="299"/>
        <v>40</v>
      </c>
      <c r="H764" s="33">
        <f t="shared" si="299"/>
        <v>35</v>
      </c>
      <c r="I764" s="33">
        <f t="shared" si="299"/>
        <v>30</v>
      </c>
      <c r="J764" s="33">
        <f t="shared" si="299"/>
        <v>25</v>
      </c>
      <c r="K764" s="33">
        <f t="shared" si="299"/>
        <v>20</v>
      </c>
      <c r="L764" s="33">
        <f t="shared" si="299"/>
        <v>15</v>
      </c>
      <c r="M764" s="33">
        <f t="shared" si="299"/>
        <v>10</v>
      </c>
      <c r="N764" s="33">
        <f t="shared" si="299"/>
        <v>5</v>
      </c>
      <c r="O764" s="33">
        <f t="shared" si="299"/>
        <v>0</v>
      </c>
      <c r="P764" s="33">
        <f t="shared" si="299"/>
        <v>0</v>
      </c>
      <c r="Q764" s="33">
        <f t="shared" si="299"/>
        <v>0</v>
      </c>
      <c r="R764" s="33">
        <f t="shared" si="299"/>
        <v>0</v>
      </c>
      <c r="S764" s="33">
        <f t="shared" si="299"/>
        <v>0</v>
      </c>
      <c r="T764" s="33">
        <f t="shared" si="299"/>
        <v>0</v>
      </c>
      <c r="U764" s="33">
        <f t="shared" si="299"/>
        <v>0</v>
      </c>
      <c r="V764" s="33">
        <f t="shared" si="299"/>
        <v>0</v>
      </c>
      <c r="W764" s="33">
        <f t="shared" si="299"/>
        <v>0</v>
      </c>
      <c r="X764" s="33">
        <f t="shared" si="299"/>
        <v>0</v>
      </c>
      <c r="Y764" s="33">
        <f t="shared" si="299"/>
        <v>0</v>
      </c>
      <c r="Z764" s="33">
        <f t="shared" si="299"/>
        <v>0</v>
      </c>
      <c r="AA764" s="33">
        <f t="shared" si="299"/>
        <v>0</v>
      </c>
      <c r="AB764" s="33">
        <f t="shared" si="299"/>
        <v>0</v>
      </c>
      <c r="AC764" s="33">
        <f t="shared" si="299"/>
        <v>0</v>
      </c>
      <c r="AD764" s="33">
        <f t="shared" si="299"/>
        <v>0</v>
      </c>
      <c r="AE764" s="33">
        <f t="shared" si="299"/>
        <v>0</v>
      </c>
      <c r="AF764" s="33">
        <f t="shared" si="299"/>
        <v>0</v>
      </c>
      <c r="AG764" s="33">
        <f t="shared" si="299"/>
        <v>0</v>
      </c>
      <c r="AH764" s="33">
        <f t="shared" si="299"/>
        <v>0</v>
      </c>
    </row>
    <row r="765" spans="2:34" s="20" customFormat="1" ht="14" x14ac:dyDescent="0.2">
      <c r="B765" s="8" t="s">
        <v>139</v>
      </c>
      <c r="D765" s="8" t="str">
        <f>D764</f>
        <v>EUR millions</v>
      </c>
      <c r="E765" s="463">
        <f>IF(E$17=1,'Assumptions - Passenger'!E413,0)</f>
        <v>2.5</v>
      </c>
      <c r="F765" s="229">
        <f t="shared" ref="F765:AH765" si="300">F761*((F762+F764)/2)</f>
        <v>2.375</v>
      </c>
      <c r="G765" s="229">
        <f t="shared" si="300"/>
        <v>2.125</v>
      </c>
      <c r="H765" s="229">
        <f t="shared" si="300"/>
        <v>1.875</v>
      </c>
      <c r="I765" s="229">
        <f t="shared" si="300"/>
        <v>1.625</v>
      </c>
      <c r="J765" s="229">
        <f t="shared" si="300"/>
        <v>1.375</v>
      </c>
      <c r="K765" s="229">
        <f t="shared" si="300"/>
        <v>1.125</v>
      </c>
      <c r="L765" s="229">
        <f t="shared" si="300"/>
        <v>0.875</v>
      </c>
      <c r="M765" s="229">
        <f t="shared" si="300"/>
        <v>0.625</v>
      </c>
      <c r="N765" s="229">
        <f t="shared" si="300"/>
        <v>0.375</v>
      </c>
      <c r="O765" s="229">
        <f t="shared" si="300"/>
        <v>0.125</v>
      </c>
      <c r="P765" s="229">
        <f t="shared" si="300"/>
        <v>0</v>
      </c>
      <c r="Q765" s="229">
        <f t="shared" si="300"/>
        <v>0</v>
      </c>
      <c r="R765" s="229">
        <f t="shared" si="300"/>
        <v>0</v>
      </c>
      <c r="S765" s="229">
        <f t="shared" si="300"/>
        <v>0</v>
      </c>
      <c r="T765" s="229">
        <f t="shared" si="300"/>
        <v>0</v>
      </c>
      <c r="U765" s="229">
        <f t="shared" si="300"/>
        <v>0</v>
      </c>
      <c r="V765" s="229">
        <f t="shared" si="300"/>
        <v>0</v>
      </c>
      <c r="W765" s="229">
        <f t="shared" si="300"/>
        <v>0</v>
      </c>
      <c r="X765" s="229">
        <f t="shared" si="300"/>
        <v>0</v>
      </c>
      <c r="Y765" s="229">
        <f t="shared" si="300"/>
        <v>0</v>
      </c>
      <c r="Z765" s="229">
        <f t="shared" si="300"/>
        <v>0</v>
      </c>
      <c r="AA765" s="229">
        <f t="shared" si="300"/>
        <v>0</v>
      </c>
      <c r="AB765" s="229">
        <f t="shared" si="300"/>
        <v>0</v>
      </c>
      <c r="AC765" s="229">
        <f t="shared" si="300"/>
        <v>0</v>
      </c>
      <c r="AD765" s="229">
        <f t="shared" si="300"/>
        <v>0</v>
      </c>
      <c r="AE765" s="229">
        <f t="shared" si="300"/>
        <v>0</v>
      </c>
      <c r="AF765" s="229">
        <f t="shared" si="300"/>
        <v>0</v>
      </c>
      <c r="AG765" s="229">
        <f t="shared" si="300"/>
        <v>0</v>
      </c>
      <c r="AH765" s="229">
        <f t="shared" si="300"/>
        <v>0</v>
      </c>
    </row>
    <row r="766" spans="2:34" s="20" customFormat="1" ht="14" x14ac:dyDescent="0.2">
      <c r="B766" s="8" t="s">
        <v>140</v>
      </c>
      <c r="D766" s="8" t="str">
        <f>D765</f>
        <v>EUR millions</v>
      </c>
      <c r="E766" s="44">
        <f t="shared" ref="E766:AH766" si="301">E765+E763</f>
        <v>2.5</v>
      </c>
      <c r="F766" s="44">
        <f t="shared" si="301"/>
        <v>7.375</v>
      </c>
      <c r="G766" s="44">
        <f t="shared" si="301"/>
        <v>7.125</v>
      </c>
      <c r="H766" s="44">
        <f t="shared" si="301"/>
        <v>6.875</v>
      </c>
      <c r="I766" s="44">
        <f t="shared" si="301"/>
        <v>6.625</v>
      </c>
      <c r="J766" s="44">
        <f t="shared" si="301"/>
        <v>6.375</v>
      </c>
      <c r="K766" s="44">
        <f t="shared" si="301"/>
        <v>6.125</v>
      </c>
      <c r="L766" s="44">
        <f t="shared" si="301"/>
        <v>5.875</v>
      </c>
      <c r="M766" s="44">
        <f t="shared" si="301"/>
        <v>5.625</v>
      </c>
      <c r="N766" s="44">
        <f t="shared" si="301"/>
        <v>5.375</v>
      </c>
      <c r="O766" s="33">
        <f t="shared" si="301"/>
        <v>5.125</v>
      </c>
      <c r="P766" s="33">
        <f t="shared" si="301"/>
        <v>0</v>
      </c>
      <c r="Q766" s="33">
        <f t="shared" si="301"/>
        <v>0</v>
      </c>
      <c r="R766" s="33">
        <f t="shared" si="301"/>
        <v>0</v>
      </c>
      <c r="S766" s="33">
        <f t="shared" si="301"/>
        <v>0</v>
      </c>
      <c r="T766" s="33">
        <f t="shared" si="301"/>
        <v>0</v>
      </c>
      <c r="U766" s="33">
        <f t="shared" si="301"/>
        <v>0</v>
      </c>
      <c r="V766" s="33">
        <f t="shared" si="301"/>
        <v>0</v>
      </c>
      <c r="W766" s="33">
        <f t="shared" si="301"/>
        <v>0</v>
      </c>
      <c r="X766" s="33">
        <f t="shared" si="301"/>
        <v>0</v>
      </c>
      <c r="Y766" s="33">
        <f t="shared" si="301"/>
        <v>0</v>
      </c>
      <c r="Z766" s="33">
        <f t="shared" si="301"/>
        <v>0</v>
      </c>
      <c r="AA766" s="33">
        <f t="shared" si="301"/>
        <v>0</v>
      </c>
      <c r="AB766" s="33">
        <f t="shared" si="301"/>
        <v>0</v>
      </c>
      <c r="AC766" s="33">
        <f t="shared" si="301"/>
        <v>0</v>
      </c>
      <c r="AD766" s="33">
        <f t="shared" si="301"/>
        <v>0</v>
      </c>
      <c r="AE766" s="33">
        <f t="shared" si="301"/>
        <v>0</v>
      </c>
      <c r="AF766" s="33">
        <f t="shared" si="301"/>
        <v>0</v>
      </c>
      <c r="AG766" s="33">
        <f t="shared" si="301"/>
        <v>0</v>
      </c>
      <c r="AH766" s="33">
        <f t="shared" si="301"/>
        <v>0</v>
      </c>
    </row>
    <row r="767" spans="2:34" s="20" customFormat="1" ht="14" x14ac:dyDescent="0.2">
      <c r="B767" s="16"/>
      <c r="E767" s="45"/>
      <c r="F767" s="46"/>
      <c r="G767" s="46"/>
      <c r="H767" s="46"/>
      <c r="I767" s="46"/>
      <c r="J767" s="46"/>
      <c r="K767" s="46"/>
      <c r="L767" s="46"/>
      <c r="M767" s="46"/>
      <c r="N767" s="46"/>
    </row>
    <row r="768" spans="2:34" s="20" customFormat="1" ht="14" x14ac:dyDescent="0.2">
      <c r="B768" s="19" t="str">
        <f>B760</f>
        <v>Existing loan from London bank</v>
      </c>
    </row>
    <row r="769" spans="2:34" s="20" customFormat="1" ht="14" x14ac:dyDescent="0.2">
      <c r="B769" s="20" t="s">
        <v>334</v>
      </c>
      <c r="D769" s="8" t="str">
        <f>IF('Assumptions - Passenger'!$E$410=1,"Same as above",IF('Assumptions - Passenger'!$E$410=2,"Local currency/"&amp;'Assumptions - General'!$E$39,"Local currency/"&amp;'Assumptions - General'!$E$40))</f>
        <v>Local currency/EUR</v>
      </c>
      <c r="E769" s="124">
        <f>IF('Assumptions - Passenger'!$E$410=1,1,IF('Assumptions - Passenger'!$E$410=2,'Assumptions - General'!E$41,'Assumptions - General'!E$42))</f>
        <v>3</v>
      </c>
      <c r="F769" s="124">
        <f>IF('Assumptions - Passenger'!$E$410=1,1,IF('Assumptions - Passenger'!$E$410=2,'Assumptions - General'!F$41,'Assumptions - General'!F$42))</f>
        <v>3</v>
      </c>
      <c r="G769" s="124">
        <f>IF('Assumptions - Passenger'!$E$410=1,1,IF('Assumptions - Passenger'!$E$410=2,'Assumptions - General'!G$41,'Assumptions - General'!G$42))</f>
        <v>3</v>
      </c>
      <c r="H769" s="124">
        <f>IF('Assumptions - Passenger'!$E$410=1,1,IF('Assumptions - Passenger'!$E$410=2,'Assumptions - General'!H$41,'Assumptions - General'!H$42))</f>
        <v>3</v>
      </c>
      <c r="I769" s="124">
        <f>IF('Assumptions - Passenger'!$E$410=1,1,IF('Assumptions - Passenger'!$E$410=2,'Assumptions - General'!I$41,'Assumptions - General'!I$42))</f>
        <v>3</v>
      </c>
      <c r="J769" s="124">
        <f>IF('Assumptions - Passenger'!$E$410=1,1,IF('Assumptions - Passenger'!$E$410=2,'Assumptions - General'!J$41,'Assumptions - General'!J$42))</f>
        <v>3</v>
      </c>
      <c r="K769" s="124">
        <f>IF('Assumptions - Passenger'!$E$410=1,1,IF('Assumptions - Passenger'!$E$410=2,'Assumptions - General'!K$41,'Assumptions - General'!K$42))</f>
        <v>3</v>
      </c>
      <c r="L769" s="124">
        <f>IF('Assumptions - Passenger'!$E$410=1,1,IF('Assumptions - Passenger'!$E$410=2,'Assumptions - General'!L$41,'Assumptions - General'!L$42))</f>
        <v>3</v>
      </c>
      <c r="M769" s="124">
        <f>IF('Assumptions - Passenger'!$E$410=1,1,IF('Assumptions - Passenger'!$E$410=2,'Assumptions - General'!M$41,'Assumptions - General'!M$42))</f>
        <v>3</v>
      </c>
      <c r="N769" s="124">
        <f>IF('Assumptions - Passenger'!$E$410=1,1,IF('Assumptions - Passenger'!$E$410=2,'Assumptions - General'!N$41,'Assumptions - General'!N$42))</f>
        <v>3</v>
      </c>
      <c r="O769" s="124">
        <f>IF('Assumptions - Passenger'!$E$410=1,1,IF('Assumptions - Passenger'!$E$410=2,'Assumptions - General'!O$41,'Assumptions - General'!O$42))</f>
        <v>3</v>
      </c>
      <c r="P769" s="124">
        <f>IF('Assumptions - Passenger'!$E$410=1,1,IF('Assumptions - Passenger'!$E$410=2,'Assumptions - General'!P$41,'Assumptions - General'!P$42))</f>
        <v>3</v>
      </c>
      <c r="Q769" s="124">
        <f>IF('Assumptions - Passenger'!$E$410=1,1,IF('Assumptions - Passenger'!$E$410=2,'Assumptions - General'!Q$41,'Assumptions - General'!Q$42))</f>
        <v>3</v>
      </c>
      <c r="R769" s="124">
        <f>IF('Assumptions - Passenger'!$E$410=1,1,IF('Assumptions - Passenger'!$E$410=2,'Assumptions - General'!R$41,'Assumptions - General'!R$42))</f>
        <v>3</v>
      </c>
      <c r="S769" s="124">
        <f>IF('Assumptions - Passenger'!$E$410=1,1,IF('Assumptions - Passenger'!$E$410=2,'Assumptions - General'!S$41,'Assumptions - General'!S$42))</f>
        <v>3</v>
      </c>
      <c r="T769" s="124">
        <f>IF('Assumptions - Passenger'!$E$410=1,1,IF('Assumptions - Passenger'!$E$410=2,'Assumptions - General'!T$41,'Assumptions - General'!T$42))</f>
        <v>3</v>
      </c>
      <c r="U769" s="124">
        <f>IF('Assumptions - Passenger'!$E$410=1,1,IF('Assumptions - Passenger'!$E$410=2,'Assumptions - General'!U$41,'Assumptions - General'!U$42))</f>
        <v>3</v>
      </c>
      <c r="V769" s="124">
        <f>IF('Assumptions - Passenger'!$E$410=1,1,IF('Assumptions - Passenger'!$E$410=2,'Assumptions - General'!V$41,'Assumptions - General'!V$42))</f>
        <v>3</v>
      </c>
      <c r="W769" s="124">
        <f>IF('Assumptions - Passenger'!$E$410=1,1,IF('Assumptions - Passenger'!$E$410=2,'Assumptions - General'!W$41,'Assumptions - General'!W$42))</f>
        <v>3</v>
      </c>
      <c r="X769" s="124">
        <f>IF('Assumptions - Passenger'!$E$410=1,1,IF('Assumptions - Passenger'!$E$410=2,'Assumptions - General'!X$41,'Assumptions - General'!X$42))</f>
        <v>3</v>
      </c>
      <c r="Y769" s="124">
        <f>IF('Assumptions - Passenger'!$E$410=1,1,IF('Assumptions - Passenger'!$E$410=2,'Assumptions - General'!Y$41,'Assumptions - General'!Y$42))</f>
        <v>3</v>
      </c>
      <c r="Z769" s="124">
        <f>IF('Assumptions - Passenger'!$E$410=1,1,IF('Assumptions - Passenger'!$E$410=2,'Assumptions - General'!Z$41,'Assumptions - General'!Z$42))</f>
        <v>3</v>
      </c>
      <c r="AA769" s="124">
        <f>IF('Assumptions - Passenger'!$E$410=1,1,IF('Assumptions - Passenger'!$E$410=2,'Assumptions - General'!AA$41,'Assumptions - General'!AA$42))</f>
        <v>3</v>
      </c>
      <c r="AB769" s="124">
        <f>IF('Assumptions - Passenger'!$E$410=1,1,IF('Assumptions - Passenger'!$E$410=2,'Assumptions - General'!AB$41,'Assumptions - General'!AB$42))</f>
        <v>3</v>
      </c>
      <c r="AC769" s="124">
        <f>IF('Assumptions - Passenger'!$E$410=1,1,IF('Assumptions - Passenger'!$E$410=2,'Assumptions - General'!AC$41,'Assumptions - General'!AC$42))</f>
        <v>3</v>
      </c>
      <c r="AD769" s="124">
        <f>IF('Assumptions - Passenger'!$E$410=1,1,IF('Assumptions - Passenger'!$E$410=2,'Assumptions - General'!AD$41,'Assumptions - General'!AD$42))</f>
        <v>3</v>
      </c>
      <c r="AE769" s="124">
        <f>IF('Assumptions - Passenger'!$E$410=1,1,IF('Assumptions - Passenger'!$E$410=2,'Assumptions - General'!AE$41,'Assumptions - General'!AE$42))</f>
        <v>3</v>
      </c>
      <c r="AF769" s="124">
        <f>IF('Assumptions - Passenger'!$E$410=1,1,IF('Assumptions - Passenger'!$E$410=2,'Assumptions - General'!AF$41,'Assumptions - General'!AF$42))</f>
        <v>3</v>
      </c>
      <c r="AG769" s="124">
        <f>IF('Assumptions - Passenger'!$E$410=1,1,IF('Assumptions - Passenger'!$E$410=2,'Assumptions - General'!AG$41,'Assumptions - General'!AG$42))</f>
        <v>3</v>
      </c>
      <c r="AH769" s="124">
        <f>IF('Assumptions - Passenger'!$E$410=1,1,IF('Assumptions - Passenger'!$E$410=2,'Assumptions - General'!AH$41,'Assumptions - General'!AH$42))</f>
        <v>3</v>
      </c>
    </row>
    <row r="770" spans="2:34" s="20" customFormat="1" ht="14" x14ac:dyDescent="0.2">
      <c r="B770" s="8" t="s">
        <v>136</v>
      </c>
      <c r="D770" s="8" t="str">
        <f>'Assumptions - General'!$E$27 &amp;" millions"</f>
        <v>R$ millions</v>
      </c>
      <c r="E770" s="229">
        <f t="shared" ref="E770:AH770" si="302">E$769*E762</f>
        <v>150</v>
      </c>
      <c r="F770" s="229">
        <f t="shared" si="302"/>
        <v>150</v>
      </c>
      <c r="G770" s="229">
        <f t="shared" si="302"/>
        <v>135</v>
      </c>
      <c r="H770" s="229">
        <f t="shared" si="302"/>
        <v>120</v>
      </c>
      <c r="I770" s="229">
        <f t="shared" si="302"/>
        <v>105</v>
      </c>
      <c r="J770" s="229">
        <f t="shared" si="302"/>
        <v>90</v>
      </c>
      <c r="K770" s="229">
        <f t="shared" si="302"/>
        <v>75</v>
      </c>
      <c r="L770" s="229">
        <f t="shared" si="302"/>
        <v>60</v>
      </c>
      <c r="M770" s="229">
        <f t="shared" si="302"/>
        <v>45</v>
      </c>
      <c r="N770" s="229">
        <f t="shared" si="302"/>
        <v>30</v>
      </c>
      <c r="O770" s="229">
        <f t="shared" si="302"/>
        <v>15</v>
      </c>
      <c r="P770" s="229">
        <f t="shared" si="302"/>
        <v>0</v>
      </c>
      <c r="Q770" s="229">
        <f t="shared" si="302"/>
        <v>0</v>
      </c>
      <c r="R770" s="229">
        <f t="shared" si="302"/>
        <v>0</v>
      </c>
      <c r="S770" s="229">
        <f t="shared" si="302"/>
        <v>0</v>
      </c>
      <c r="T770" s="229">
        <f t="shared" si="302"/>
        <v>0</v>
      </c>
      <c r="U770" s="229">
        <f t="shared" si="302"/>
        <v>0</v>
      </c>
      <c r="V770" s="229">
        <f t="shared" si="302"/>
        <v>0</v>
      </c>
      <c r="W770" s="229">
        <f t="shared" si="302"/>
        <v>0</v>
      </c>
      <c r="X770" s="229">
        <f t="shared" si="302"/>
        <v>0</v>
      </c>
      <c r="Y770" s="229">
        <f t="shared" si="302"/>
        <v>0</v>
      </c>
      <c r="Z770" s="229">
        <f t="shared" si="302"/>
        <v>0</v>
      </c>
      <c r="AA770" s="229">
        <f t="shared" si="302"/>
        <v>0</v>
      </c>
      <c r="AB770" s="229">
        <f t="shared" si="302"/>
        <v>0</v>
      </c>
      <c r="AC770" s="229">
        <f t="shared" si="302"/>
        <v>0</v>
      </c>
      <c r="AD770" s="229">
        <f t="shared" si="302"/>
        <v>0</v>
      </c>
      <c r="AE770" s="229">
        <f t="shared" si="302"/>
        <v>0</v>
      </c>
      <c r="AF770" s="229">
        <f t="shared" si="302"/>
        <v>0</v>
      </c>
      <c r="AG770" s="229">
        <f t="shared" si="302"/>
        <v>0</v>
      </c>
      <c r="AH770" s="229">
        <f t="shared" si="302"/>
        <v>0</v>
      </c>
    </row>
    <row r="771" spans="2:34" s="20" customFormat="1" ht="14" x14ac:dyDescent="0.2">
      <c r="B771" s="8" t="s">
        <v>410</v>
      </c>
      <c r="D771" s="8" t="str">
        <f>'Assumptions - General'!$E$27 &amp;" millions"</f>
        <v>R$ millions</v>
      </c>
      <c r="E771" s="229">
        <f t="shared" ref="E771:AH771" si="303">E$769*E763</f>
        <v>0</v>
      </c>
      <c r="F771" s="229">
        <f t="shared" si="303"/>
        <v>15</v>
      </c>
      <c r="G771" s="229">
        <f t="shared" si="303"/>
        <v>15</v>
      </c>
      <c r="H771" s="229">
        <f t="shared" si="303"/>
        <v>15</v>
      </c>
      <c r="I771" s="229">
        <f t="shared" si="303"/>
        <v>15</v>
      </c>
      <c r="J771" s="229">
        <f t="shared" si="303"/>
        <v>15</v>
      </c>
      <c r="K771" s="229">
        <f t="shared" si="303"/>
        <v>15</v>
      </c>
      <c r="L771" s="229">
        <f t="shared" si="303"/>
        <v>15</v>
      </c>
      <c r="M771" s="229">
        <f t="shared" si="303"/>
        <v>15</v>
      </c>
      <c r="N771" s="229">
        <f t="shared" si="303"/>
        <v>15</v>
      </c>
      <c r="O771" s="229">
        <f t="shared" si="303"/>
        <v>15</v>
      </c>
      <c r="P771" s="229">
        <f t="shared" si="303"/>
        <v>0</v>
      </c>
      <c r="Q771" s="229">
        <f t="shared" si="303"/>
        <v>0</v>
      </c>
      <c r="R771" s="229">
        <f t="shared" si="303"/>
        <v>0</v>
      </c>
      <c r="S771" s="229">
        <f t="shared" si="303"/>
        <v>0</v>
      </c>
      <c r="T771" s="229">
        <f t="shared" si="303"/>
        <v>0</v>
      </c>
      <c r="U771" s="229">
        <f t="shared" si="303"/>
        <v>0</v>
      </c>
      <c r="V771" s="229">
        <f t="shared" si="303"/>
        <v>0</v>
      </c>
      <c r="W771" s="229">
        <f t="shared" si="303"/>
        <v>0</v>
      </c>
      <c r="X771" s="229">
        <f t="shared" si="303"/>
        <v>0</v>
      </c>
      <c r="Y771" s="229">
        <f t="shared" si="303"/>
        <v>0</v>
      </c>
      <c r="Z771" s="229">
        <f t="shared" si="303"/>
        <v>0</v>
      </c>
      <c r="AA771" s="229">
        <f t="shared" si="303"/>
        <v>0</v>
      </c>
      <c r="AB771" s="229">
        <f t="shared" si="303"/>
        <v>0</v>
      </c>
      <c r="AC771" s="229">
        <f t="shared" si="303"/>
        <v>0</v>
      </c>
      <c r="AD771" s="229">
        <f t="shared" si="303"/>
        <v>0</v>
      </c>
      <c r="AE771" s="229">
        <f t="shared" si="303"/>
        <v>0</v>
      </c>
      <c r="AF771" s="229">
        <f t="shared" si="303"/>
        <v>0</v>
      </c>
      <c r="AG771" s="229">
        <f t="shared" si="303"/>
        <v>0</v>
      </c>
      <c r="AH771" s="229">
        <f t="shared" si="303"/>
        <v>0</v>
      </c>
    </row>
    <row r="772" spans="2:34" s="20" customFormat="1" ht="14" x14ac:dyDescent="0.2">
      <c r="B772" s="8" t="s">
        <v>138</v>
      </c>
      <c r="D772" s="8" t="str">
        <f>'Assumptions - General'!$E$27 &amp;" millions"</f>
        <v>R$ millions</v>
      </c>
      <c r="E772" s="229">
        <f t="shared" ref="E772:AH772" si="304">E$769*E764</f>
        <v>150</v>
      </c>
      <c r="F772" s="229">
        <f t="shared" si="304"/>
        <v>135</v>
      </c>
      <c r="G772" s="229">
        <f t="shared" si="304"/>
        <v>120</v>
      </c>
      <c r="H772" s="229">
        <f t="shared" si="304"/>
        <v>105</v>
      </c>
      <c r="I772" s="229">
        <f t="shared" si="304"/>
        <v>90</v>
      </c>
      <c r="J772" s="229">
        <f t="shared" si="304"/>
        <v>75</v>
      </c>
      <c r="K772" s="229">
        <f t="shared" si="304"/>
        <v>60</v>
      </c>
      <c r="L772" s="229">
        <f t="shared" si="304"/>
        <v>45</v>
      </c>
      <c r="M772" s="229">
        <f t="shared" si="304"/>
        <v>30</v>
      </c>
      <c r="N772" s="229">
        <f t="shared" si="304"/>
        <v>15</v>
      </c>
      <c r="O772" s="229">
        <f t="shared" si="304"/>
        <v>0</v>
      </c>
      <c r="P772" s="229">
        <f t="shared" si="304"/>
        <v>0</v>
      </c>
      <c r="Q772" s="229">
        <f t="shared" si="304"/>
        <v>0</v>
      </c>
      <c r="R772" s="229">
        <f t="shared" si="304"/>
        <v>0</v>
      </c>
      <c r="S772" s="229">
        <f t="shared" si="304"/>
        <v>0</v>
      </c>
      <c r="T772" s="229">
        <f t="shared" si="304"/>
        <v>0</v>
      </c>
      <c r="U772" s="229">
        <f t="shared" si="304"/>
        <v>0</v>
      </c>
      <c r="V772" s="229">
        <f t="shared" si="304"/>
        <v>0</v>
      </c>
      <c r="W772" s="229">
        <f t="shared" si="304"/>
        <v>0</v>
      </c>
      <c r="X772" s="229">
        <f t="shared" si="304"/>
        <v>0</v>
      </c>
      <c r="Y772" s="229">
        <f t="shared" si="304"/>
        <v>0</v>
      </c>
      <c r="Z772" s="229">
        <f t="shared" si="304"/>
        <v>0</v>
      </c>
      <c r="AA772" s="229">
        <f t="shared" si="304"/>
        <v>0</v>
      </c>
      <c r="AB772" s="229">
        <f t="shared" si="304"/>
        <v>0</v>
      </c>
      <c r="AC772" s="229">
        <f t="shared" si="304"/>
        <v>0</v>
      </c>
      <c r="AD772" s="229">
        <f t="shared" si="304"/>
        <v>0</v>
      </c>
      <c r="AE772" s="229">
        <f t="shared" si="304"/>
        <v>0</v>
      </c>
      <c r="AF772" s="229">
        <f t="shared" si="304"/>
        <v>0</v>
      </c>
      <c r="AG772" s="229">
        <f t="shared" si="304"/>
        <v>0</v>
      </c>
      <c r="AH772" s="229">
        <f t="shared" si="304"/>
        <v>0</v>
      </c>
    </row>
    <row r="773" spans="2:34" s="20" customFormat="1" ht="14" x14ac:dyDescent="0.2">
      <c r="B773" s="8" t="s">
        <v>139</v>
      </c>
      <c r="D773" s="8" t="str">
        <f>'Assumptions - General'!$E$27 &amp;" millions"</f>
        <v>R$ millions</v>
      </c>
      <c r="E773" s="229">
        <f t="shared" ref="E773:AH773" si="305">E$769*E765</f>
        <v>7.5</v>
      </c>
      <c r="F773" s="229">
        <f t="shared" si="305"/>
        <v>7.125</v>
      </c>
      <c r="G773" s="229">
        <f t="shared" si="305"/>
        <v>6.375</v>
      </c>
      <c r="H773" s="229">
        <f t="shared" si="305"/>
        <v>5.625</v>
      </c>
      <c r="I773" s="229">
        <f t="shared" si="305"/>
        <v>4.875</v>
      </c>
      <c r="J773" s="229">
        <f t="shared" si="305"/>
        <v>4.125</v>
      </c>
      <c r="K773" s="229">
        <f t="shared" si="305"/>
        <v>3.375</v>
      </c>
      <c r="L773" s="229">
        <f t="shared" si="305"/>
        <v>2.625</v>
      </c>
      <c r="M773" s="229">
        <f t="shared" si="305"/>
        <v>1.875</v>
      </c>
      <c r="N773" s="229">
        <f t="shared" si="305"/>
        <v>1.125</v>
      </c>
      <c r="O773" s="229">
        <f t="shared" si="305"/>
        <v>0.375</v>
      </c>
      <c r="P773" s="229">
        <f t="shared" si="305"/>
        <v>0</v>
      </c>
      <c r="Q773" s="229">
        <f t="shared" si="305"/>
        <v>0</v>
      </c>
      <c r="R773" s="229">
        <f t="shared" si="305"/>
        <v>0</v>
      </c>
      <c r="S773" s="229">
        <f t="shared" si="305"/>
        <v>0</v>
      </c>
      <c r="T773" s="229">
        <f t="shared" si="305"/>
        <v>0</v>
      </c>
      <c r="U773" s="229">
        <f t="shared" si="305"/>
        <v>0</v>
      </c>
      <c r="V773" s="229">
        <f t="shared" si="305"/>
        <v>0</v>
      </c>
      <c r="W773" s="229">
        <f t="shared" si="305"/>
        <v>0</v>
      </c>
      <c r="X773" s="229">
        <f t="shared" si="305"/>
        <v>0</v>
      </c>
      <c r="Y773" s="229">
        <f t="shared" si="305"/>
        <v>0</v>
      </c>
      <c r="Z773" s="229">
        <f t="shared" si="305"/>
        <v>0</v>
      </c>
      <c r="AA773" s="229">
        <f t="shared" si="305"/>
        <v>0</v>
      </c>
      <c r="AB773" s="229">
        <f t="shared" si="305"/>
        <v>0</v>
      </c>
      <c r="AC773" s="229">
        <f t="shared" si="305"/>
        <v>0</v>
      </c>
      <c r="AD773" s="229">
        <f t="shared" si="305"/>
        <v>0</v>
      </c>
      <c r="AE773" s="229">
        <f t="shared" si="305"/>
        <v>0</v>
      </c>
      <c r="AF773" s="229">
        <f t="shared" si="305"/>
        <v>0</v>
      </c>
      <c r="AG773" s="229">
        <f t="shared" si="305"/>
        <v>0</v>
      </c>
      <c r="AH773" s="229">
        <f t="shared" si="305"/>
        <v>0</v>
      </c>
    </row>
    <row r="774" spans="2:34" s="20" customFormat="1" ht="14" x14ac:dyDescent="0.2">
      <c r="B774" s="8" t="s">
        <v>140</v>
      </c>
      <c r="D774" s="8" t="str">
        <f>'Assumptions - General'!$E$27 &amp;" millions"</f>
        <v>R$ millions</v>
      </c>
      <c r="E774" s="229">
        <f t="shared" ref="E774:AH774" si="306">E$769*E766</f>
        <v>7.5</v>
      </c>
      <c r="F774" s="229">
        <f t="shared" si="306"/>
        <v>22.125</v>
      </c>
      <c r="G774" s="229">
        <f t="shared" si="306"/>
        <v>21.375</v>
      </c>
      <c r="H774" s="229">
        <f t="shared" si="306"/>
        <v>20.625</v>
      </c>
      <c r="I774" s="229">
        <f t="shared" si="306"/>
        <v>19.875</v>
      </c>
      <c r="J774" s="229">
        <f t="shared" si="306"/>
        <v>19.125</v>
      </c>
      <c r="K774" s="229">
        <f t="shared" si="306"/>
        <v>18.375</v>
      </c>
      <c r="L774" s="229">
        <f t="shared" si="306"/>
        <v>17.625</v>
      </c>
      <c r="M774" s="229">
        <f t="shared" si="306"/>
        <v>16.875</v>
      </c>
      <c r="N774" s="229">
        <f t="shared" si="306"/>
        <v>16.125</v>
      </c>
      <c r="O774" s="229">
        <f t="shared" si="306"/>
        <v>15.375</v>
      </c>
      <c r="P774" s="229">
        <f t="shared" si="306"/>
        <v>0</v>
      </c>
      <c r="Q774" s="229">
        <f t="shared" si="306"/>
        <v>0</v>
      </c>
      <c r="R774" s="229">
        <f t="shared" si="306"/>
        <v>0</v>
      </c>
      <c r="S774" s="229">
        <f t="shared" si="306"/>
        <v>0</v>
      </c>
      <c r="T774" s="229">
        <f t="shared" si="306"/>
        <v>0</v>
      </c>
      <c r="U774" s="229">
        <f t="shared" si="306"/>
        <v>0</v>
      </c>
      <c r="V774" s="229">
        <f t="shared" si="306"/>
        <v>0</v>
      </c>
      <c r="W774" s="229">
        <f t="shared" si="306"/>
        <v>0</v>
      </c>
      <c r="X774" s="229">
        <f t="shared" si="306"/>
        <v>0</v>
      </c>
      <c r="Y774" s="229">
        <f t="shared" si="306"/>
        <v>0</v>
      </c>
      <c r="Z774" s="229">
        <f t="shared" si="306"/>
        <v>0</v>
      </c>
      <c r="AA774" s="229">
        <f t="shared" si="306"/>
        <v>0</v>
      </c>
      <c r="AB774" s="229">
        <f t="shared" si="306"/>
        <v>0</v>
      </c>
      <c r="AC774" s="229">
        <f t="shared" si="306"/>
        <v>0</v>
      </c>
      <c r="AD774" s="229">
        <f t="shared" si="306"/>
        <v>0</v>
      </c>
      <c r="AE774" s="229">
        <f t="shared" si="306"/>
        <v>0</v>
      </c>
      <c r="AF774" s="229">
        <f t="shared" si="306"/>
        <v>0</v>
      </c>
      <c r="AG774" s="229">
        <f t="shared" si="306"/>
        <v>0</v>
      </c>
      <c r="AH774" s="229">
        <f t="shared" si="306"/>
        <v>0</v>
      </c>
    </row>
    <row r="775" spans="2:34" s="20" customFormat="1" ht="14" x14ac:dyDescent="0.2">
      <c r="B775" s="16"/>
      <c r="E775" s="45"/>
      <c r="F775" s="46"/>
      <c r="G775" s="46"/>
      <c r="H775" s="46"/>
      <c r="I775" s="46"/>
      <c r="J775" s="46"/>
      <c r="K775" s="46"/>
      <c r="L775" s="46"/>
      <c r="M775" s="46"/>
      <c r="N775" s="46"/>
    </row>
    <row r="776" spans="2:34" s="20" customFormat="1" ht="14" x14ac:dyDescent="0.2">
      <c r="B776" s="21" t="str">
        <f>"Existing loan from " &amp; 'Assumptions - Passenger'!E421</f>
        <v>Existing loan from New York bank</v>
      </c>
    </row>
    <row r="777" spans="2:34" s="20" customFormat="1" ht="14" x14ac:dyDescent="0.2">
      <c r="B777" s="8" t="s">
        <v>135</v>
      </c>
      <c r="D777" s="20" t="s">
        <v>15</v>
      </c>
      <c r="E777" s="47">
        <f>IF(E$17=1,IF('Assumptions - Passenger'!$E427=1,'Assumptions - Passenger'!$E429,'Assumptions - General'!E$38+'Assumptions - Passenger'!$E430),0)</f>
        <v>2.4E-2</v>
      </c>
      <c r="F777" s="47">
        <f>IF(F$17=1,IF('Assumptions - Passenger'!$E427=1,'Assumptions - Passenger'!$E429,'Assumptions - General'!F$38+'Assumptions - Passenger'!$E430),0)</f>
        <v>3.6299999999999999E-2</v>
      </c>
      <c r="G777" s="47">
        <f>IF(G$17=1,IF('Assumptions - Passenger'!$E427=1,'Assumptions - Passenger'!$E429,'Assumptions - General'!G$38+'Assumptions - Passenger'!$E430),0)</f>
        <v>4.9700000000000001E-2</v>
      </c>
      <c r="H777" s="47">
        <f>IF(H$17=1,IF('Assumptions - Passenger'!$E427=1,'Assumptions - Passenger'!$E429,'Assumptions - General'!H$38+'Assumptions - Passenger'!$E430),0)</f>
        <v>5.9399999999999994E-2</v>
      </c>
      <c r="I777" s="47">
        <f>IF(I$17=1,IF('Assumptions - Passenger'!$E427=1,'Assumptions - Passenger'!$E429,'Assumptions - General'!I$38+'Assumptions - Passenger'!$E430),0)</f>
        <v>6.6299999999999998E-2</v>
      </c>
      <c r="J777" s="47">
        <f>IF(J$17=1,IF('Assumptions - Passenger'!$E427=1,'Assumptions - Passenger'!$E429,'Assumptions - General'!J$38+'Assumptions - Passenger'!$E430),0)</f>
        <v>7.0800000000000002E-2</v>
      </c>
      <c r="K777" s="47">
        <f>IF(K$17=1,IF('Assumptions - Passenger'!$E427=1,'Assumptions - Passenger'!$E429,'Assumptions - General'!K$38+'Assumptions - Passenger'!$E430),0)</f>
        <v>7.3800000000000004E-2</v>
      </c>
      <c r="L777" s="47">
        <f>IF(L$17=1,IF('Assumptions - Passenger'!$E427=1,'Assumptions - Passenger'!$E429,'Assumptions - General'!L$38+'Assumptions - Passenger'!$E430),0)</f>
        <v>7.5700000000000003E-2</v>
      </c>
      <c r="M777" s="47">
        <f>IF(M$17=1,IF('Assumptions - Passenger'!$E427=1,'Assumptions - Passenger'!$E429,'Assumptions - General'!M$38+'Assumptions - Passenger'!$E430),0)</f>
        <v>7.7700000000000005E-2</v>
      </c>
      <c r="N777" s="47">
        <f>IF(N$17=1,IF('Assumptions - Passenger'!$E427=1,'Assumptions - Passenger'!$E429,'Assumptions - General'!N$38+'Assumptions - Passenger'!$E430),0)</f>
        <v>7.9100000000000004E-2</v>
      </c>
      <c r="O777" s="47">
        <f>IF(O$17=1,IF('Assumptions - Passenger'!$E427=1,'Assumptions - Passenger'!$E429,'Assumptions - General'!O$38+'Assumptions - Passenger'!$E430),0)</f>
        <v>7.0599999999999996E-2</v>
      </c>
      <c r="P777" s="47">
        <f>IF(P$17=1,IF('Assumptions - Passenger'!$E427=1,'Assumptions - Passenger'!$E429,'Assumptions - General'!P$38+'Assumptions - Passenger'!$E430),0)</f>
        <v>7.0000000000000007E-2</v>
      </c>
      <c r="Q777" s="47">
        <f>IF(Q$17=1,IF('Assumptions - Passenger'!$E427=1,'Assumptions - Passenger'!$E429,'Assumptions - General'!Q$38+'Assumptions - Passenger'!$E430),0)</f>
        <v>7.0000000000000007E-2</v>
      </c>
      <c r="R777" s="47">
        <f>IF(R$17=1,IF('Assumptions - Passenger'!$E427=1,'Assumptions - Passenger'!$E429,'Assumptions - General'!R$38+'Assumptions - Passenger'!$E430),0)</f>
        <v>7.0000000000000007E-2</v>
      </c>
      <c r="S777" s="47">
        <f>IF(S$17=1,IF('Assumptions - Passenger'!$E427=1,'Assumptions - Passenger'!$E429,'Assumptions - General'!S$38+'Assumptions - Passenger'!$E430),0)</f>
        <v>7.0000000000000007E-2</v>
      </c>
      <c r="T777" s="47">
        <f>IF(T$17=1,IF('Assumptions - Passenger'!$E427=1,'Assumptions - Passenger'!$E429,'Assumptions - General'!T$38+'Assumptions - Passenger'!$E430),0)</f>
        <v>7.0000000000000007E-2</v>
      </c>
      <c r="U777" s="47">
        <f>IF(U$17=1,IF('Assumptions - Passenger'!$E427=1,'Assumptions - Passenger'!$E429,'Assumptions - General'!U$38+'Assumptions - Passenger'!$E430),0)</f>
        <v>7.0000000000000007E-2</v>
      </c>
      <c r="V777" s="47">
        <f>IF(V$17=1,IF('Assumptions - Passenger'!$E427=1,'Assumptions - Passenger'!$E429,'Assumptions - General'!V$38+'Assumptions - Passenger'!$E430),0)</f>
        <v>7.0000000000000007E-2</v>
      </c>
      <c r="W777" s="47">
        <f>IF(W$17=1,IF('Assumptions - Passenger'!$E427=1,'Assumptions - Passenger'!$E429,'Assumptions - General'!W$38+'Assumptions - Passenger'!$E430),0)</f>
        <v>7.0000000000000007E-2</v>
      </c>
      <c r="X777" s="47">
        <f>IF(X$17=1,IF('Assumptions - Passenger'!$E427=1,'Assumptions - Passenger'!$E429,'Assumptions - General'!X$38+'Assumptions - Passenger'!$E430),0)</f>
        <v>7.0000000000000007E-2</v>
      </c>
      <c r="Y777" s="47">
        <f>IF(Y$17=1,IF('Assumptions - Passenger'!$E427=1,'Assumptions - Passenger'!$E429,'Assumptions - General'!Y$38+'Assumptions - Passenger'!$E430),0)</f>
        <v>7.0000000000000007E-2</v>
      </c>
      <c r="Z777" s="47">
        <f>IF(Z$17=1,IF('Assumptions - Passenger'!$E427=1,'Assumptions - Passenger'!$E429,'Assumptions - General'!Z$38+'Assumptions - Passenger'!$E430),0)</f>
        <v>7.0000000000000007E-2</v>
      </c>
      <c r="AA777" s="47">
        <f>IF(AA$17=1,IF('Assumptions - Passenger'!$E427=1,'Assumptions - Passenger'!$E429,'Assumptions - General'!AA$38+'Assumptions - Passenger'!$E430),0)</f>
        <v>7.0000000000000007E-2</v>
      </c>
      <c r="AB777" s="47">
        <f>IF(AB$17=1,IF('Assumptions - Passenger'!$E427=1,'Assumptions - Passenger'!$E429,'Assumptions - General'!AB$38+'Assumptions - Passenger'!$E430),0)</f>
        <v>7.0000000000000007E-2</v>
      </c>
      <c r="AC777" s="47">
        <f>IF(AC$17=1,IF('Assumptions - Passenger'!$E427=1,'Assumptions - Passenger'!$E429,'Assumptions - General'!AC$38+'Assumptions - Passenger'!$E430),0)</f>
        <v>7.0000000000000007E-2</v>
      </c>
      <c r="AD777" s="47">
        <f>IF(AD$17=1,IF('Assumptions - Passenger'!$E427=1,'Assumptions - Passenger'!$E429,'Assumptions - General'!AD$38+'Assumptions - Passenger'!$E430),0)</f>
        <v>7.0000000000000007E-2</v>
      </c>
      <c r="AE777" s="47">
        <f>IF(AE$17=1,IF('Assumptions - Passenger'!$E427=1,'Assumptions - Passenger'!$E429,'Assumptions - General'!AE$38+'Assumptions - Passenger'!$E430),0)</f>
        <v>7.0000000000000007E-2</v>
      </c>
      <c r="AF777" s="47">
        <f>IF(AF$17=1,IF('Assumptions - Passenger'!$E427=1,'Assumptions - Passenger'!$E429,'Assumptions - General'!AF$38+'Assumptions - Passenger'!$E430),0)</f>
        <v>7.0000000000000007E-2</v>
      </c>
      <c r="AG777" s="47">
        <f>IF(AG$17=1,IF('Assumptions - Passenger'!$E427=1,'Assumptions - Passenger'!$E429,'Assumptions - General'!AG$38+'Assumptions - Passenger'!$E430),0)</f>
        <v>7.0000000000000007E-2</v>
      </c>
      <c r="AH777" s="47">
        <f>IF(AH$17=1,IF('Assumptions - Passenger'!$E427=1,'Assumptions - Passenger'!$E429,'Assumptions - General'!AH$38+'Assumptions - Passenger'!$E430),0)</f>
        <v>7.0000000000000007E-2</v>
      </c>
    </row>
    <row r="778" spans="2:34" s="20" customFormat="1" ht="14" x14ac:dyDescent="0.2">
      <c r="B778" s="8" t="s">
        <v>136</v>
      </c>
      <c r="D778" s="8" t="str">
        <f>'Assumptions - Passenger'!D424</f>
        <v>R$ millions</v>
      </c>
      <c r="E778" s="463">
        <f>IF(E$17=1,'Assumptions - Passenger'!E424,0)</f>
        <v>50</v>
      </c>
      <c r="F778" s="33">
        <f t="shared" ref="F778:AH778" si="307">E780</f>
        <v>50</v>
      </c>
      <c r="G778" s="33">
        <f t="shared" si="307"/>
        <v>45</v>
      </c>
      <c r="H778" s="33">
        <f t="shared" si="307"/>
        <v>40</v>
      </c>
      <c r="I778" s="33">
        <f t="shared" si="307"/>
        <v>35</v>
      </c>
      <c r="J778" s="33">
        <f t="shared" si="307"/>
        <v>30</v>
      </c>
      <c r="K778" s="33">
        <f t="shared" si="307"/>
        <v>25</v>
      </c>
      <c r="L778" s="33">
        <f t="shared" si="307"/>
        <v>20</v>
      </c>
      <c r="M778" s="33">
        <f t="shared" si="307"/>
        <v>15</v>
      </c>
      <c r="N778" s="33">
        <f t="shared" si="307"/>
        <v>10</v>
      </c>
      <c r="O778" s="33">
        <f t="shared" si="307"/>
        <v>5</v>
      </c>
      <c r="P778" s="33">
        <f t="shared" si="307"/>
        <v>0</v>
      </c>
      <c r="Q778" s="33">
        <f t="shared" si="307"/>
        <v>0</v>
      </c>
      <c r="R778" s="33">
        <f t="shared" si="307"/>
        <v>0</v>
      </c>
      <c r="S778" s="33">
        <f t="shared" si="307"/>
        <v>0</v>
      </c>
      <c r="T778" s="33">
        <f t="shared" si="307"/>
        <v>0</v>
      </c>
      <c r="U778" s="33">
        <f t="shared" si="307"/>
        <v>0</v>
      </c>
      <c r="V778" s="33">
        <f t="shared" si="307"/>
        <v>0</v>
      </c>
      <c r="W778" s="33">
        <f t="shared" si="307"/>
        <v>0</v>
      </c>
      <c r="X778" s="33">
        <f t="shared" si="307"/>
        <v>0</v>
      </c>
      <c r="Y778" s="33">
        <f t="shared" si="307"/>
        <v>0</v>
      </c>
      <c r="Z778" s="33">
        <f t="shared" si="307"/>
        <v>0</v>
      </c>
      <c r="AA778" s="33">
        <f t="shared" si="307"/>
        <v>0</v>
      </c>
      <c r="AB778" s="33">
        <f t="shared" si="307"/>
        <v>0</v>
      </c>
      <c r="AC778" s="33">
        <f t="shared" si="307"/>
        <v>0</v>
      </c>
      <c r="AD778" s="33">
        <f t="shared" si="307"/>
        <v>0</v>
      </c>
      <c r="AE778" s="33">
        <f t="shared" si="307"/>
        <v>0</v>
      </c>
      <c r="AF778" s="33">
        <f t="shared" si="307"/>
        <v>0</v>
      </c>
      <c r="AG778" s="33">
        <f t="shared" si="307"/>
        <v>0</v>
      </c>
      <c r="AH778" s="33">
        <f t="shared" si="307"/>
        <v>0</v>
      </c>
    </row>
    <row r="779" spans="2:34" s="20" customFormat="1" ht="14" x14ac:dyDescent="0.2">
      <c r="B779" s="8" t="s">
        <v>410</v>
      </c>
      <c r="D779" s="8" t="str">
        <f>D778</f>
        <v>R$ millions</v>
      </c>
      <c r="E779" s="33">
        <f>IF(E$17=1,'Assumptions - Passenger'!E426,0)</f>
        <v>0</v>
      </c>
      <c r="F779" s="33">
        <f>IF(F$17=1,'Assumptions - Passenger'!F426,0)</f>
        <v>5</v>
      </c>
      <c r="G779" s="33">
        <f>IF(G$17=1,'Assumptions - Passenger'!G426,0)</f>
        <v>5</v>
      </c>
      <c r="H779" s="33">
        <f>IF(H$17=1,'Assumptions - Passenger'!H426,0)</f>
        <v>5</v>
      </c>
      <c r="I779" s="33">
        <f>IF(I$17=1,'Assumptions - Passenger'!I426,0)</f>
        <v>5</v>
      </c>
      <c r="J779" s="33">
        <f>IF(J$17=1,'Assumptions - Passenger'!J426,0)</f>
        <v>5</v>
      </c>
      <c r="K779" s="33">
        <f>IF(K$17=1,'Assumptions - Passenger'!K426,0)</f>
        <v>5</v>
      </c>
      <c r="L779" s="33">
        <f>IF(L$17=1,'Assumptions - Passenger'!L426,0)</f>
        <v>5</v>
      </c>
      <c r="M779" s="33">
        <f>IF(M$17=1,'Assumptions - Passenger'!M426,0)</f>
        <v>5</v>
      </c>
      <c r="N779" s="33">
        <f>IF(N$17=1,'Assumptions - Passenger'!N426,0)</f>
        <v>5</v>
      </c>
      <c r="O779" s="33">
        <f>IF(O$17=1,'Assumptions - Passenger'!O426,0)</f>
        <v>5</v>
      </c>
      <c r="P779" s="33">
        <f>IF(P$17=1,'Assumptions - Passenger'!P426,0)</f>
        <v>0</v>
      </c>
      <c r="Q779" s="33">
        <f>IF(Q$17=1,'Assumptions - Passenger'!Q426,0)</f>
        <v>0</v>
      </c>
      <c r="R779" s="33">
        <f>IF(R$17=1,'Assumptions - Passenger'!R426,0)</f>
        <v>0</v>
      </c>
      <c r="S779" s="33">
        <f>IF(S$17=1,'Assumptions - Passenger'!S426,0)</f>
        <v>0</v>
      </c>
      <c r="T779" s="33">
        <f>IF(T$17=1,'Assumptions - Passenger'!T426,0)</f>
        <v>0</v>
      </c>
      <c r="U779" s="33">
        <f>IF(U$17=1,'Assumptions - Passenger'!U426,0)</f>
        <v>0</v>
      </c>
      <c r="V779" s="33">
        <f>IF(V$17=1,'Assumptions - Passenger'!V426,0)</f>
        <v>0</v>
      </c>
      <c r="W779" s="33">
        <f>IF(W$17=1,'Assumptions - Passenger'!W426,0)</f>
        <v>0</v>
      </c>
      <c r="X779" s="33">
        <f>IF(X$17=1,'Assumptions - Passenger'!X426,0)</f>
        <v>0</v>
      </c>
      <c r="Y779" s="33">
        <f>IF(Y$17=1,'Assumptions - Passenger'!Y426,0)</f>
        <v>0</v>
      </c>
      <c r="Z779" s="33">
        <f>IF(Z$17=1,'Assumptions - Passenger'!Z426,0)</f>
        <v>0</v>
      </c>
      <c r="AA779" s="33">
        <f>IF(AA$17=1,'Assumptions - Passenger'!AA426,0)</f>
        <v>0</v>
      </c>
      <c r="AB779" s="33">
        <f>IF(AB$17=1,'Assumptions - Passenger'!AB426,0)</f>
        <v>0</v>
      </c>
      <c r="AC779" s="33">
        <f>IF(AC$17=1,'Assumptions - Passenger'!AC426,0)</f>
        <v>0</v>
      </c>
      <c r="AD779" s="33">
        <f>IF(AD$17=1,'Assumptions - Passenger'!AD426,0)</f>
        <v>0</v>
      </c>
      <c r="AE779" s="33">
        <f>IF(AE$17=1,'Assumptions - Passenger'!AE426,0)</f>
        <v>0</v>
      </c>
      <c r="AF779" s="33">
        <f>IF(AF$17=1,'Assumptions - Passenger'!AF426,0)</f>
        <v>0</v>
      </c>
      <c r="AG779" s="33">
        <f>IF(AG$17=1,'Assumptions - Passenger'!AG426,0)</f>
        <v>0</v>
      </c>
      <c r="AH779" s="33">
        <f>IF(AH$17=1,'Assumptions - Passenger'!AH426,0)</f>
        <v>0</v>
      </c>
    </row>
    <row r="780" spans="2:34" s="20" customFormat="1" ht="14" x14ac:dyDescent="0.2">
      <c r="B780" s="8" t="s">
        <v>138</v>
      </c>
      <c r="D780" s="8" t="str">
        <f>D779</f>
        <v>R$ millions</v>
      </c>
      <c r="E780" s="33">
        <f>E778-E779</f>
        <v>50</v>
      </c>
      <c r="F780" s="33">
        <f t="shared" ref="F780:AH780" si="308">F778-F779</f>
        <v>45</v>
      </c>
      <c r="G780" s="33">
        <f t="shared" si="308"/>
        <v>40</v>
      </c>
      <c r="H780" s="33">
        <f t="shared" si="308"/>
        <v>35</v>
      </c>
      <c r="I780" s="33">
        <f t="shared" si="308"/>
        <v>30</v>
      </c>
      <c r="J780" s="33">
        <f t="shared" si="308"/>
        <v>25</v>
      </c>
      <c r="K780" s="33">
        <f t="shared" si="308"/>
        <v>20</v>
      </c>
      <c r="L780" s="33">
        <f t="shared" si="308"/>
        <v>15</v>
      </c>
      <c r="M780" s="33">
        <f t="shared" si="308"/>
        <v>10</v>
      </c>
      <c r="N780" s="33">
        <f t="shared" si="308"/>
        <v>5</v>
      </c>
      <c r="O780" s="33">
        <f t="shared" si="308"/>
        <v>0</v>
      </c>
      <c r="P780" s="33">
        <f t="shared" si="308"/>
        <v>0</v>
      </c>
      <c r="Q780" s="33">
        <f t="shared" si="308"/>
        <v>0</v>
      </c>
      <c r="R780" s="33">
        <f t="shared" si="308"/>
        <v>0</v>
      </c>
      <c r="S780" s="33">
        <f t="shared" si="308"/>
        <v>0</v>
      </c>
      <c r="T780" s="33">
        <f t="shared" si="308"/>
        <v>0</v>
      </c>
      <c r="U780" s="33">
        <f t="shared" si="308"/>
        <v>0</v>
      </c>
      <c r="V780" s="33">
        <f t="shared" si="308"/>
        <v>0</v>
      </c>
      <c r="W780" s="33">
        <f t="shared" si="308"/>
        <v>0</v>
      </c>
      <c r="X780" s="33">
        <f t="shared" si="308"/>
        <v>0</v>
      </c>
      <c r="Y780" s="33">
        <f t="shared" si="308"/>
        <v>0</v>
      </c>
      <c r="Z780" s="33">
        <f t="shared" si="308"/>
        <v>0</v>
      </c>
      <c r="AA780" s="33">
        <f t="shared" si="308"/>
        <v>0</v>
      </c>
      <c r="AB780" s="33">
        <f t="shared" si="308"/>
        <v>0</v>
      </c>
      <c r="AC780" s="33">
        <f t="shared" si="308"/>
        <v>0</v>
      </c>
      <c r="AD780" s="33">
        <f t="shared" si="308"/>
        <v>0</v>
      </c>
      <c r="AE780" s="33">
        <f t="shared" si="308"/>
        <v>0</v>
      </c>
      <c r="AF780" s="33">
        <f t="shared" si="308"/>
        <v>0</v>
      </c>
      <c r="AG780" s="33">
        <f t="shared" si="308"/>
        <v>0</v>
      </c>
      <c r="AH780" s="33">
        <f t="shared" si="308"/>
        <v>0</v>
      </c>
    </row>
    <row r="781" spans="2:34" s="20" customFormat="1" ht="14" x14ac:dyDescent="0.2">
      <c r="B781" s="8" t="s">
        <v>139</v>
      </c>
      <c r="D781" s="8" t="str">
        <f>D780</f>
        <v>R$ millions</v>
      </c>
      <c r="E781" s="463">
        <f>IF(E$17=1,'Assumptions - Passenger'!E425,0)</f>
        <v>2.5</v>
      </c>
      <c r="F781" s="229">
        <f t="shared" ref="F781:AH781" si="309">F777*((F778+F780)/2)</f>
        <v>1.7242500000000001</v>
      </c>
      <c r="G781" s="229">
        <f t="shared" si="309"/>
        <v>2.11225</v>
      </c>
      <c r="H781" s="229">
        <f t="shared" si="309"/>
        <v>2.2274999999999996</v>
      </c>
      <c r="I781" s="229">
        <f t="shared" si="309"/>
        <v>2.1547499999999999</v>
      </c>
      <c r="J781" s="229">
        <f t="shared" si="309"/>
        <v>1.9470000000000001</v>
      </c>
      <c r="K781" s="229">
        <f t="shared" si="309"/>
        <v>1.6605000000000001</v>
      </c>
      <c r="L781" s="229">
        <f t="shared" si="309"/>
        <v>1.3247500000000001</v>
      </c>
      <c r="M781" s="229">
        <f t="shared" si="309"/>
        <v>0.97125000000000006</v>
      </c>
      <c r="N781" s="229">
        <f t="shared" si="309"/>
        <v>0.59325000000000006</v>
      </c>
      <c r="O781" s="229">
        <f t="shared" si="309"/>
        <v>0.17649999999999999</v>
      </c>
      <c r="P781" s="229">
        <f t="shared" si="309"/>
        <v>0</v>
      </c>
      <c r="Q781" s="229">
        <f t="shared" si="309"/>
        <v>0</v>
      </c>
      <c r="R781" s="229">
        <f t="shared" si="309"/>
        <v>0</v>
      </c>
      <c r="S781" s="229">
        <f t="shared" si="309"/>
        <v>0</v>
      </c>
      <c r="T781" s="229">
        <f t="shared" si="309"/>
        <v>0</v>
      </c>
      <c r="U781" s="229">
        <f t="shared" si="309"/>
        <v>0</v>
      </c>
      <c r="V781" s="229">
        <f t="shared" si="309"/>
        <v>0</v>
      </c>
      <c r="W781" s="229">
        <f t="shared" si="309"/>
        <v>0</v>
      </c>
      <c r="X781" s="229">
        <f t="shared" si="309"/>
        <v>0</v>
      </c>
      <c r="Y781" s="229">
        <f t="shared" si="309"/>
        <v>0</v>
      </c>
      <c r="Z781" s="229">
        <f t="shared" si="309"/>
        <v>0</v>
      </c>
      <c r="AA781" s="229">
        <f t="shared" si="309"/>
        <v>0</v>
      </c>
      <c r="AB781" s="229">
        <f t="shared" si="309"/>
        <v>0</v>
      </c>
      <c r="AC781" s="229">
        <f t="shared" si="309"/>
        <v>0</v>
      </c>
      <c r="AD781" s="229">
        <f t="shared" si="309"/>
        <v>0</v>
      </c>
      <c r="AE781" s="229">
        <f t="shared" si="309"/>
        <v>0</v>
      </c>
      <c r="AF781" s="229">
        <f t="shared" si="309"/>
        <v>0</v>
      </c>
      <c r="AG781" s="229">
        <f t="shared" si="309"/>
        <v>0</v>
      </c>
      <c r="AH781" s="229">
        <f t="shared" si="309"/>
        <v>0</v>
      </c>
    </row>
    <row r="782" spans="2:34" s="20" customFormat="1" ht="14" x14ac:dyDescent="0.2">
      <c r="B782" s="8" t="s">
        <v>140</v>
      </c>
      <c r="D782" s="8" t="str">
        <f>D781</f>
        <v>R$ millions</v>
      </c>
      <c r="E782" s="44">
        <f t="shared" ref="E782:AH782" si="310">E781+E779</f>
        <v>2.5</v>
      </c>
      <c r="F782" s="44">
        <f t="shared" si="310"/>
        <v>6.7242499999999996</v>
      </c>
      <c r="G782" s="44">
        <f t="shared" si="310"/>
        <v>7.1122499999999995</v>
      </c>
      <c r="H782" s="44">
        <f t="shared" si="310"/>
        <v>7.2274999999999991</v>
      </c>
      <c r="I782" s="44">
        <f t="shared" si="310"/>
        <v>7.1547499999999999</v>
      </c>
      <c r="J782" s="44">
        <f t="shared" si="310"/>
        <v>6.9470000000000001</v>
      </c>
      <c r="K782" s="44">
        <f t="shared" si="310"/>
        <v>6.6604999999999999</v>
      </c>
      <c r="L782" s="44">
        <f t="shared" si="310"/>
        <v>6.3247499999999999</v>
      </c>
      <c r="M782" s="44">
        <f t="shared" si="310"/>
        <v>5.9712500000000004</v>
      </c>
      <c r="N782" s="44">
        <f t="shared" si="310"/>
        <v>5.5932500000000003</v>
      </c>
      <c r="O782" s="33">
        <f t="shared" si="310"/>
        <v>5.1764999999999999</v>
      </c>
      <c r="P782" s="33">
        <f t="shared" si="310"/>
        <v>0</v>
      </c>
      <c r="Q782" s="33">
        <f t="shared" si="310"/>
        <v>0</v>
      </c>
      <c r="R782" s="33">
        <f t="shared" si="310"/>
        <v>0</v>
      </c>
      <c r="S782" s="33">
        <f t="shared" si="310"/>
        <v>0</v>
      </c>
      <c r="T782" s="33">
        <f t="shared" si="310"/>
        <v>0</v>
      </c>
      <c r="U782" s="33">
        <f t="shared" si="310"/>
        <v>0</v>
      </c>
      <c r="V782" s="33">
        <f t="shared" si="310"/>
        <v>0</v>
      </c>
      <c r="W782" s="33">
        <f t="shared" si="310"/>
        <v>0</v>
      </c>
      <c r="X782" s="33">
        <f t="shared" si="310"/>
        <v>0</v>
      </c>
      <c r="Y782" s="33">
        <f t="shared" si="310"/>
        <v>0</v>
      </c>
      <c r="Z782" s="33">
        <f t="shared" si="310"/>
        <v>0</v>
      </c>
      <c r="AA782" s="33">
        <f t="shared" si="310"/>
        <v>0</v>
      </c>
      <c r="AB782" s="33">
        <f t="shared" si="310"/>
        <v>0</v>
      </c>
      <c r="AC782" s="33">
        <f t="shared" si="310"/>
        <v>0</v>
      </c>
      <c r="AD782" s="33">
        <f t="shared" si="310"/>
        <v>0</v>
      </c>
      <c r="AE782" s="33">
        <f t="shared" si="310"/>
        <v>0</v>
      </c>
      <c r="AF782" s="33">
        <f t="shared" si="310"/>
        <v>0</v>
      </c>
      <c r="AG782" s="33">
        <f t="shared" si="310"/>
        <v>0</v>
      </c>
      <c r="AH782" s="33">
        <f t="shared" si="310"/>
        <v>0</v>
      </c>
    </row>
    <row r="783" spans="2:34" s="20" customFormat="1" ht="14" x14ac:dyDescent="0.2">
      <c r="B783" s="16"/>
      <c r="E783" s="45"/>
      <c r="F783" s="46"/>
      <c r="G783" s="46"/>
      <c r="H783" s="46"/>
      <c r="I783" s="46"/>
      <c r="J783" s="46"/>
      <c r="K783" s="46"/>
      <c r="L783" s="46"/>
      <c r="M783" s="46"/>
      <c r="N783" s="46"/>
    </row>
    <row r="784" spans="2:34" s="20" customFormat="1" ht="14" x14ac:dyDescent="0.2">
      <c r="B784" s="19" t="str">
        <f>B776</f>
        <v>Existing loan from New York bank</v>
      </c>
    </row>
    <row r="785" spans="1:34" s="20" customFormat="1" ht="14" x14ac:dyDescent="0.2">
      <c r="B785" s="20" t="s">
        <v>334</v>
      </c>
      <c r="D785" s="8" t="str">
        <f>IF('Assumptions - Passenger'!$E$422=1,"Same as above",IF('Assumptions - Passenger'!$E$422=2,"Local currency/"&amp;'Assumptions - General'!$E$39,"Local currency/"&amp;'Assumptions - General'!$E$40))</f>
        <v>Same as above</v>
      </c>
      <c r="E785" s="124">
        <f>IF('Assumptions - Passenger'!$E$422=1,1,IF('Assumptions - Passenger'!$E$422=2,'Assumptions - General'!E$41,'Assumptions - General'!E$42))</f>
        <v>1</v>
      </c>
      <c r="F785" s="124">
        <f>IF('Assumptions - Passenger'!$E$422=1,1,IF('Assumptions - Passenger'!$E$422=2,'Assumptions - General'!F$41,'Assumptions - General'!F$42))</f>
        <v>1</v>
      </c>
      <c r="G785" s="124">
        <f>IF('Assumptions - Passenger'!$E$422=1,1,IF('Assumptions - Passenger'!$E$422=2,'Assumptions - General'!G$41,'Assumptions - General'!G$42))</f>
        <v>1</v>
      </c>
      <c r="H785" s="124">
        <f>IF('Assumptions - Passenger'!$E$422=1,1,IF('Assumptions - Passenger'!$E$422=2,'Assumptions - General'!H$41,'Assumptions - General'!H$42))</f>
        <v>1</v>
      </c>
      <c r="I785" s="124">
        <f>IF('Assumptions - Passenger'!$E$422=1,1,IF('Assumptions - Passenger'!$E$422=2,'Assumptions - General'!I$41,'Assumptions - General'!I$42))</f>
        <v>1</v>
      </c>
      <c r="J785" s="124">
        <f>IF('Assumptions - Passenger'!$E$422=1,1,IF('Assumptions - Passenger'!$E$422=2,'Assumptions - General'!J$41,'Assumptions - General'!J$42))</f>
        <v>1</v>
      </c>
      <c r="K785" s="124">
        <f>IF('Assumptions - Passenger'!$E$422=1,1,IF('Assumptions - Passenger'!$E$422=2,'Assumptions - General'!K$41,'Assumptions - General'!K$42))</f>
        <v>1</v>
      </c>
      <c r="L785" s="124">
        <f>IF('Assumptions - Passenger'!$E$422=1,1,IF('Assumptions - Passenger'!$E$422=2,'Assumptions - General'!L$41,'Assumptions - General'!L$42))</f>
        <v>1</v>
      </c>
      <c r="M785" s="124">
        <f>IF('Assumptions - Passenger'!$E$422=1,1,IF('Assumptions - Passenger'!$E$422=2,'Assumptions - General'!M$41,'Assumptions - General'!M$42))</f>
        <v>1</v>
      </c>
      <c r="N785" s="124">
        <f>IF('Assumptions - Passenger'!$E$422=1,1,IF('Assumptions - Passenger'!$E$422=2,'Assumptions - General'!N$41,'Assumptions - General'!N$42))</f>
        <v>1</v>
      </c>
      <c r="O785" s="124">
        <f>IF('Assumptions - Passenger'!$E$422=1,1,IF('Assumptions - Passenger'!$E$422=2,'Assumptions - General'!O$41,'Assumptions - General'!O$42))</f>
        <v>1</v>
      </c>
      <c r="P785" s="124">
        <f>IF('Assumptions - Passenger'!$E$422=1,1,IF('Assumptions - Passenger'!$E$422=2,'Assumptions - General'!P$41,'Assumptions - General'!P$42))</f>
        <v>1</v>
      </c>
      <c r="Q785" s="124">
        <f>IF('Assumptions - Passenger'!$E$422=1,1,IF('Assumptions - Passenger'!$E$422=2,'Assumptions - General'!Q$41,'Assumptions - General'!Q$42))</f>
        <v>1</v>
      </c>
      <c r="R785" s="124">
        <f>IF('Assumptions - Passenger'!$E$422=1,1,IF('Assumptions - Passenger'!$E$422=2,'Assumptions - General'!R$41,'Assumptions - General'!R$42))</f>
        <v>1</v>
      </c>
      <c r="S785" s="124">
        <f>IF('Assumptions - Passenger'!$E$422=1,1,IF('Assumptions - Passenger'!$E$422=2,'Assumptions - General'!S$41,'Assumptions - General'!S$42))</f>
        <v>1</v>
      </c>
      <c r="T785" s="124">
        <f>IF('Assumptions - Passenger'!$E$422=1,1,IF('Assumptions - Passenger'!$E$422=2,'Assumptions - General'!T$41,'Assumptions - General'!T$42))</f>
        <v>1</v>
      </c>
      <c r="U785" s="124">
        <f>IF('Assumptions - Passenger'!$E$422=1,1,IF('Assumptions - Passenger'!$E$422=2,'Assumptions - General'!U$41,'Assumptions - General'!U$42))</f>
        <v>1</v>
      </c>
      <c r="V785" s="124">
        <f>IF('Assumptions - Passenger'!$E$422=1,1,IF('Assumptions - Passenger'!$E$422=2,'Assumptions - General'!V$41,'Assumptions - General'!V$42))</f>
        <v>1</v>
      </c>
      <c r="W785" s="124">
        <f>IF('Assumptions - Passenger'!$E$422=1,1,IF('Assumptions - Passenger'!$E$422=2,'Assumptions - General'!W$41,'Assumptions - General'!W$42))</f>
        <v>1</v>
      </c>
      <c r="X785" s="124">
        <f>IF('Assumptions - Passenger'!$E$422=1,1,IF('Assumptions - Passenger'!$E$422=2,'Assumptions - General'!X$41,'Assumptions - General'!X$42))</f>
        <v>1</v>
      </c>
      <c r="Y785" s="124">
        <f>IF('Assumptions - Passenger'!$E$422=1,1,IF('Assumptions - Passenger'!$E$422=2,'Assumptions - General'!Y$41,'Assumptions - General'!Y$42))</f>
        <v>1</v>
      </c>
      <c r="Z785" s="124">
        <f>IF('Assumptions - Passenger'!$E$422=1,1,IF('Assumptions - Passenger'!$E$422=2,'Assumptions - General'!Z$41,'Assumptions - General'!Z$42))</f>
        <v>1</v>
      </c>
      <c r="AA785" s="124">
        <f>IF('Assumptions - Passenger'!$E$422=1,1,IF('Assumptions - Passenger'!$E$422=2,'Assumptions - General'!AA$41,'Assumptions - General'!AA$42))</f>
        <v>1</v>
      </c>
      <c r="AB785" s="124">
        <f>IF('Assumptions - Passenger'!$E$422=1,1,IF('Assumptions - Passenger'!$E$422=2,'Assumptions - General'!AB$41,'Assumptions - General'!AB$42))</f>
        <v>1</v>
      </c>
      <c r="AC785" s="124">
        <f>IF('Assumptions - Passenger'!$E$422=1,1,IF('Assumptions - Passenger'!$E$422=2,'Assumptions - General'!AC$41,'Assumptions - General'!AC$42))</f>
        <v>1</v>
      </c>
      <c r="AD785" s="124">
        <f>IF('Assumptions - Passenger'!$E$422=1,1,IF('Assumptions - Passenger'!$E$422=2,'Assumptions - General'!AD$41,'Assumptions - General'!AD$42))</f>
        <v>1</v>
      </c>
      <c r="AE785" s="124">
        <f>IF('Assumptions - Passenger'!$E$422=1,1,IF('Assumptions - Passenger'!$E$422=2,'Assumptions - General'!AE$41,'Assumptions - General'!AE$42))</f>
        <v>1</v>
      </c>
      <c r="AF785" s="124">
        <f>IF('Assumptions - Passenger'!$E$422=1,1,IF('Assumptions - Passenger'!$E$422=2,'Assumptions - General'!AF$41,'Assumptions - General'!AF$42))</f>
        <v>1</v>
      </c>
      <c r="AG785" s="124">
        <f>IF('Assumptions - Passenger'!$E$422=1,1,IF('Assumptions - Passenger'!$E$422=2,'Assumptions - General'!AG$41,'Assumptions - General'!AG$42))</f>
        <v>1</v>
      </c>
      <c r="AH785" s="124">
        <f>IF('Assumptions - Passenger'!$E$422=1,1,IF('Assumptions - Passenger'!$E$422=2,'Assumptions - General'!AH$41,'Assumptions - General'!AH$42))</f>
        <v>1</v>
      </c>
    </row>
    <row r="786" spans="1:34" s="20" customFormat="1" ht="14" x14ac:dyDescent="0.2">
      <c r="B786" s="8" t="s">
        <v>136</v>
      </c>
      <c r="D786" s="8" t="str">
        <f>'Assumptions - General'!$E$27 &amp;" millions"</f>
        <v>R$ millions</v>
      </c>
      <c r="E786" s="229">
        <f t="shared" ref="E786:AH786" si="311">E$785*E778</f>
        <v>50</v>
      </c>
      <c r="F786" s="229">
        <f t="shared" si="311"/>
        <v>50</v>
      </c>
      <c r="G786" s="229">
        <f t="shared" si="311"/>
        <v>45</v>
      </c>
      <c r="H786" s="229">
        <f t="shared" si="311"/>
        <v>40</v>
      </c>
      <c r="I786" s="229">
        <f t="shared" si="311"/>
        <v>35</v>
      </c>
      <c r="J786" s="229">
        <f t="shared" si="311"/>
        <v>30</v>
      </c>
      <c r="K786" s="229">
        <f t="shared" si="311"/>
        <v>25</v>
      </c>
      <c r="L786" s="229">
        <f t="shared" si="311"/>
        <v>20</v>
      </c>
      <c r="M786" s="229">
        <f t="shared" si="311"/>
        <v>15</v>
      </c>
      <c r="N786" s="229">
        <f t="shared" si="311"/>
        <v>10</v>
      </c>
      <c r="O786" s="229">
        <f t="shared" si="311"/>
        <v>5</v>
      </c>
      <c r="P786" s="229">
        <f t="shared" si="311"/>
        <v>0</v>
      </c>
      <c r="Q786" s="229">
        <f t="shared" si="311"/>
        <v>0</v>
      </c>
      <c r="R786" s="229">
        <f t="shared" si="311"/>
        <v>0</v>
      </c>
      <c r="S786" s="229">
        <f t="shared" si="311"/>
        <v>0</v>
      </c>
      <c r="T786" s="229">
        <f t="shared" si="311"/>
        <v>0</v>
      </c>
      <c r="U786" s="229">
        <f t="shared" si="311"/>
        <v>0</v>
      </c>
      <c r="V786" s="229">
        <f t="shared" si="311"/>
        <v>0</v>
      </c>
      <c r="W786" s="229">
        <f t="shared" si="311"/>
        <v>0</v>
      </c>
      <c r="X786" s="229">
        <f t="shared" si="311"/>
        <v>0</v>
      </c>
      <c r="Y786" s="229">
        <f t="shared" si="311"/>
        <v>0</v>
      </c>
      <c r="Z786" s="229">
        <f t="shared" si="311"/>
        <v>0</v>
      </c>
      <c r="AA786" s="229">
        <f t="shared" si="311"/>
        <v>0</v>
      </c>
      <c r="AB786" s="229">
        <f t="shared" si="311"/>
        <v>0</v>
      </c>
      <c r="AC786" s="229">
        <f t="shared" si="311"/>
        <v>0</v>
      </c>
      <c r="AD786" s="229">
        <f t="shared" si="311"/>
        <v>0</v>
      </c>
      <c r="AE786" s="229">
        <f t="shared" si="311"/>
        <v>0</v>
      </c>
      <c r="AF786" s="229">
        <f t="shared" si="311"/>
        <v>0</v>
      </c>
      <c r="AG786" s="229">
        <f t="shared" si="311"/>
        <v>0</v>
      </c>
      <c r="AH786" s="229">
        <f t="shared" si="311"/>
        <v>0</v>
      </c>
    </row>
    <row r="787" spans="1:34" s="20" customFormat="1" ht="14" x14ac:dyDescent="0.2">
      <c r="B787" s="8" t="s">
        <v>410</v>
      </c>
      <c r="D787" s="8" t="str">
        <f>'Assumptions - General'!$E$27 &amp;" millions"</f>
        <v>R$ millions</v>
      </c>
      <c r="E787" s="229">
        <f t="shared" ref="E787:AH787" si="312">E$785*E779</f>
        <v>0</v>
      </c>
      <c r="F787" s="229">
        <f t="shared" si="312"/>
        <v>5</v>
      </c>
      <c r="G787" s="229">
        <f t="shared" si="312"/>
        <v>5</v>
      </c>
      <c r="H787" s="229">
        <f t="shared" si="312"/>
        <v>5</v>
      </c>
      <c r="I787" s="229">
        <f t="shared" si="312"/>
        <v>5</v>
      </c>
      <c r="J787" s="229">
        <f t="shared" si="312"/>
        <v>5</v>
      </c>
      <c r="K787" s="229">
        <f t="shared" si="312"/>
        <v>5</v>
      </c>
      <c r="L787" s="229">
        <f t="shared" si="312"/>
        <v>5</v>
      </c>
      <c r="M787" s="229">
        <f t="shared" si="312"/>
        <v>5</v>
      </c>
      <c r="N787" s="229">
        <f t="shared" si="312"/>
        <v>5</v>
      </c>
      <c r="O787" s="229">
        <f t="shared" si="312"/>
        <v>5</v>
      </c>
      <c r="P787" s="229">
        <f t="shared" si="312"/>
        <v>0</v>
      </c>
      <c r="Q787" s="229">
        <f t="shared" si="312"/>
        <v>0</v>
      </c>
      <c r="R787" s="229">
        <f t="shared" si="312"/>
        <v>0</v>
      </c>
      <c r="S787" s="229">
        <f t="shared" si="312"/>
        <v>0</v>
      </c>
      <c r="T787" s="229">
        <f t="shared" si="312"/>
        <v>0</v>
      </c>
      <c r="U787" s="229">
        <f t="shared" si="312"/>
        <v>0</v>
      </c>
      <c r="V787" s="229">
        <f t="shared" si="312"/>
        <v>0</v>
      </c>
      <c r="W787" s="229">
        <f t="shared" si="312"/>
        <v>0</v>
      </c>
      <c r="X787" s="229">
        <f t="shared" si="312"/>
        <v>0</v>
      </c>
      <c r="Y787" s="229">
        <f t="shared" si="312"/>
        <v>0</v>
      </c>
      <c r="Z787" s="229">
        <f t="shared" si="312"/>
        <v>0</v>
      </c>
      <c r="AA787" s="229">
        <f t="shared" si="312"/>
        <v>0</v>
      </c>
      <c r="AB787" s="229">
        <f t="shared" si="312"/>
        <v>0</v>
      </c>
      <c r="AC787" s="229">
        <f t="shared" si="312"/>
        <v>0</v>
      </c>
      <c r="AD787" s="229">
        <f t="shared" si="312"/>
        <v>0</v>
      </c>
      <c r="AE787" s="229">
        <f t="shared" si="312"/>
        <v>0</v>
      </c>
      <c r="AF787" s="229">
        <f t="shared" si="312"/>
        <v>0</v>
      </c>
      <c r="AG787" s="229">
        <f t="shared" si="312"/>
        <v>0</v>
      </c>
      <c r="AH787" s="229">
        <f t="shared" si="312"/>
        <v>0</v>
      </c>
    </row>
    <row r="788" spans="1:34" s="20" customFormat="1" ht="14" x14ac:dyDescent="0.2">
      <c r="B788" s="8" t="s">
        <v>138</v>
      </c>
      <c r="D788" s="8" t="str">
        <f>'Assumptions - General'!$E$27 &amp;" millions"</f>
        <v>R$ millions</v>
      </c>
      <c r="E788" s="229">
        <f t="shared" ref="E788:AH788" si="313">E$785*E780</f>
        <v>50</v>
      </c>
      <c r="F788" s="229">
        <f t="shared" si="313"/>
        <v>45</v>
      </c>
      <c r="G788" s="229">
        <f t="shared" si="313"/>
        <v>40</v>
      </c>
      <c r="H788" s="229">
        <f t="shared" si="313"/>
        <v>35</v>
      </c>
      <c r="I788" s="229">
        <f t="shared" si="313"/>
        <v>30</v>
      </c>
      <c r="J788" s="229">
        <f t="shared" si="313"/>
        <v>25</v>
      </c>
      <c r="K788" s="229">
        <f t="shared" si="313"/>
        <v>20</v>
      </c>
      <c r="L788" s="229">
        <f t="shared" si="313"/>
        <v>15</v>
      </c>
      <c r="M788" s="229">
        <f t="shared" si="313"/>
        <v>10</v>
      </c>
      <c r="N788" s="229">
        <f t="shared" si="313"/>
        <v>5</v>
      </c>
      <c r="O788" s="229">
        <f t="shared" si="313"/>
        <v>0</v>
      </c>
      <c r="P788" s="229">
        <f t="shared" si="313"/>
        <v>0</v>
      </c>
      <c r="Q788" s="229">
        <f t="shared" si="313"/>
        <v>0</v>
      </c>
      <c r="R788" s="229">
        <f t="shared" si="313"/>
        <v>0</v>
      </c>
      <c r="S788" s="229">
        <f t="shared" si="313"/>
        <v>0</v>
      </c>
      <c r="T788" s="229">
        <f t="shared" si="313"/>
        <v>0</v>
      </c>
      <c r="U788" s="229">
        <f t="shared" si="313"/>
        <v>0</v>
      </c>
      <c r="V788" s="229">
        <f t="shared" si="313"/>
        <v>0</v>
      </c>
      <c r="W788" s="229">
        <f t="shared" si="313"/>
        <v>0</v>
      </c>
      <c r="X788" s="229">
        <f t="shared" si="313"/>
        <v>0</v>
      </c>
      <c r="Y788" s="229">
        <f t="shared" si="313"/>
        <v>0</v>
      </c>
      <c r="Z788" s="229">
        <f t="shared" si="313"/>
        <v>0</v>
      </c>
      <c r="AA788" s="229">
        <f t="shared" si="313"/>
        <v>0</v>
      </c>
      <c r="AB788" s="229">
        <f t="shared" si="313"/>
        <v>0</v>
      </c>
      <c r="AC788" s="229">
        <f t="shared" si="313"/>
        <v>0</v>
      </c>
      <c r="AD788" s="229">
        <f t="shared" si="313"/>
        <v>0</v>
      </c>
      <c r="AE788" s="229">
        <f t="shared" si="313"/>
        <v>0</v>
      </c>
      <c r="AF788" s="229">
        <f t="shared" si="313"/>
        <v>0</v>
      </c>
      <c r="AG788" s="229">
        <f t="shared" si="313"/>
        <v>0</v>
      </c>
      <c r="AH788" s="229">
        <f t="shared" si="313"/>
        <v>0</v>
      </c>
    </row>
    <row r="789" spans="1:34" s="20" customFormat="1" ht="14" x14ac:dyDescent="0.2">
      <c r="B789" s="8" t="s">
        <v>139</v>
      </c>
      <c r="D789" s="8" t="str">
        <f>'Assumptions - General'!$E$27 &amp;" millions"</f>
        <v>R$ millions</v>
      </c>
      <c r="E789" s="229">
        <f t="shared" ref="E789:AH789" si="314">E$785*E781</f>
        <v>2.5</v>
      </c>
      <c r="F789" s="229">
        <f t="shared" si="314"/>
        <v>1.7242500000000001</v>
      </c>
      <c r="G789" s="229">
        <f t="shared" si="314"/>
        <v>2.11225</v>
      </c>
      <c r="H789" s="229">
        <f t="shared" si="314"/>
        <v>2.2274999999999996</v>
      </c>
      <c r="I789" s="229">
        <f t="shared" si="314"/>
        <v>2.1547499999999999</v>
      </c>
      <c r="J789" s="229">
        <f t="shared" si="314"/>
        <v>1.9470000000000001</v>
      </c>
      <c r="K789" s="229">
        <f t="shared" si="314"/>
        <v>1.6605000000000001</v>
      </c>
      <c r="L789" s="229">
        <f t="shared" si="314"/>
        <v>1.3247500000000001</v>
      </c>
      <c r="M789" s="229">
        <f t="shared" si="314"/>
        <v>0.97125000000000006</v>
      </c>
      <c r="N789" s="229">
        <f t="shared" si="314"/>
        <v>0.59325000000000006</v>
      </c>
      <c r="O789" s="229">
        <f t="shared" si="314"/>
        <v>0.17649999999999999</v>
      </c>
      <c r="P789" s="229">
        <f t="shared" si="314"/>
        <v>0</v>
      </c>
      <c r="Q789" s="229">
        <f t="shared" si="314"/>
        <v>0</v>
      </c>
      <c r="R789" s="229">
        <f t="shared" si="314"/>
        <v>0</v>
      </c>
      <c r="S789" s="229">
        <f t="shared" si="314"/>
        <v>0</v>
      </c>
      <c r="T789" s="229">
        <f t="shared" si="314"/>
        <v>0</v>
      </c>
      <c r="U789" s="229">
        <f t="shared" si="314"/>
        <v>0</v>
      </c>
      <c r="V789" s="229">
        <f t="shared" si="314"/>
        <v>0</v>
      </c>
      <c r="W789" s="229">
        <f t="shared" si="314"/>
        <v>0</v>
      </c>
      <c r="X789" s="229">
        <f t="shared" si="314"/>
        <v>0</v>
      </c>
      <c r="Y789" s="229">
        <f t="shared" si="314"/>
        <v>0</v>
      </c>
      <c r="Z789" s="229">
        <f t="shared" si="314"/>
        <v>0</v>
      </c>
      <c r="AA789" s="229">
        <f t="shared" si="314"/>
        <v>0</v>
      </c>
      <c r="AB789" s="229">
        <f t="shared" si="314"/>
        <v>0</v>
      </c>
      <c r="AC789" s="229">
        <f t="shared" si="314"/>
        <v>0</v>
      </c>
      <c r="AD789" s="229">
        <f t="shared" si="314"/>
        <v>0</v>
      </c>
      <c r="AE789" s="229">
        <f t="shared" si="314"/>
        <v>0</v>
      </c>
      <c r="AF789" s="229">
        <f t="shared" si="314"/>
        <v>0</v>
      </c>
      <c r="AG789" s="229">
        <f t="shared" si="314"/>
        <v>0</v>
      </c>
      <c r="AH789" s="229">
        <f t="shared" si="314"/>
        <v>0</v>
      </c>
    </row>
    <row r="790" spans="1:34" s="20" customFormat="1" ht="14" x14ac:dyDescent="0.2">
      <c r="B790" s="8" t="s">
        <v>140</v>
      </c>
      <c r="D790" s="8" t="str">
        <f>'Assumptions - General'!$E$27 &amp;" millions"</f>
        <v>R$ millions</v>
      </c>
      <c r="E790" s="229">
        <f t="shared" ref="E790:AH790" si="315">E$785*E782</f>
        <v>2.5</v>
      </c>
      <c r="F790" s="229">
        <f t="shared" si="315"/>
        <v>6.7242499999999996</v>
      </c>
      <c r="G790" s="229">
        <f t="shared" si="315"/>
        <v>7.1122499999999995</v>
      </c>
      <c r="H790" s="229">
        <f t="shared" si="315"/>
        <v>7.2274999999999991</v>
      </c>
      <c r="I790" s="229">
        <f t="shared" si="315"/>
        <v>7.1547499999999999</v>
      </c>
      <c r="J790" s="229">
        <f t="shared" si="315"/>
        <v>6.9470000000000001</v>
      </c>
      <c r="K790" s="229">
        <f t="shared" si="315"/>
        <v>6.6604999999999999</v>
      </c>
      <c r="L790" s="229">
        <f t="shared" si="315"/>
        <v>6.3247499999999999</v>
      </c>
      <c r="M790" s="229">
        <f t="shared" si="315"/>
        <v>5.9712500000000004</v>
      </c>
      <c r="N790" s="229">
        <f t="shared" si="315"/>
        <v>5.5932500000000003</v>
      </c>
      <c r="O790" s="229">
        <f t="shared" si="315"/>
        <v>5.1764999999999999</v>
      </c>
      <c r="P790" s="229">
        <f t="shared" si="315"/>
        <v>0</v>
      </c>
      <c r="Q790" s="229">
        <f t="shared" si="315"/>
        <v>0</v>
      </c>
      <c r="R790" s="229">
        <f t="shared" si="315"/>
        <v>0</v>
      </c>
      <c r="S790" s="229">
        <f t="shared" si="315"/>
        <v>0</v>
      </c>
      <c r="T790" s="229">
        <f t="shared" si="315"/>
        <v>0</v>
      </c>
      <c r="U790" s="229">
        <f t="shared" si="315"/>
        <v>0</v>
      </c>
      <c r="V790" s="229">
        <f t="shared" si="315"/>
        <v>0</v>
      </c>
      <c r="W790" s="229">
        <f t="shared" si="315"/>
        <v>0</v>
      </c>
      <c r="X790" s="229">
        <f t="shared" si="315"/>
        <v>0</v>
      </c>
      <c r="Y790" s="229">
        <f t="shared" si="315"/>
        <v>0</v>
      </c>
      <c r="Z790" s="229">
        <f t="shared" si="315"/>
        <v>0</v>
      </c>
      <c r="AA790" s="229">
        <f t="shared" si="315"/>
        <v>0</v>
      </c>
      <c r="AB790" s="229">
        <f t="shared" si="315"/>
        <v>0</v>
      </c>
      <c r="AC790" s="229">
        <f t="shared" si="315"/>
        <v>0</v>
      </c>
      <c r="AD790" s="229">
        <f t="shared" si="315"/>
        <v>0</v>
      </c>
      <c r="AE790" s="229">
        <f t="shared" si="315"/>
        <v>0</v>
      </c>
      <c r="AF790" s="229">
        <f t="shared" si="315"/>
        <v>0</v>
      </c>
      <c r="AG790" s="229">
        <f t="shared" si="315"/>
        <v>0</v>
      </c>
      <c r="AH790" s="229">
        <f t="shared" si="315"/>
        <v>0</v>
      </c>
    </row>
    <row r="791" spans="1:34" s="20" customFormat="1" ht="14" x14ac:dyDescent="0.2">
      <c r="B791" s="16"/>
      <c r="E791" s="45"/>
      <c r="F791" s="46"/>
      <c r="G791" s="46"/>
      <c r="H791" s="46"/>
      <c r="I791" s="46"/>
      <c r="J791" s="46"/>
      <c r="K791" s="46"/>
      <c r="L791" s="46"/>
      <c r="M791" s="46"/>
      <c r="N791" s="46"/>
    </row>
    <row r="792" spans="1:34" s="20" customFormat="1" ht="14" x14ac:dyDescent="0.2">
      <c r="A792" s="8"/>
      <c r="B792" s="21" t="str">
        <f>"New loan from " &amp; 'Assumptions - Passenger'!E433</f>
        <v>New loan from Local bank</v>
      </c>
      <c r="C792" s="8"/>
      <c r="D792" s="8"/>
      <c r="E792" s="8"/>
      <c r="F792" s="8"/>
      <c r="G792" s="8"/>
      <c r="H792" s="8"/>
      <c r="I792" s="8"/>
      <c r="J792" s="8"/>
      <c r="K792" s="8"/>
      <c r="L792" s="8"/>
      <c r="M792" s="8"/>
      <c r="N792" s="8"/>
      <c r="O792" s="8"/>
      <c r="P792" s="8"/>
      <c r="Q792" s="8"/>
      <c r="R792" s="8"/>
      <c r="S792" s="8"/>
      <c r="T792" s="8"/>
      <c r="U792" s="8"/>
      <c r="V792" s="8"/>
      <c r="W792" s="8"/>
      <c r="X792" s="8"/>
      <c r="Y792" s="8"/>
      <c r="Z792" s="8"/>
      <c r="AA792" s="8"/>
      <c r="AB792" s="8"/>
      <c r="AC792" s="8"/>
      <c r="AD792" s="8"/>
      <c r="AE792" s="8"/>
      <c r="AF792" s="8"/>
      <c r="AG792" s="8"/>
      <c r="AH792" s="8"/>
    </row>
    <row r="793" spans="1:34" s="20" customFormat="1" ht="14" x14ac:dyDescent="0.2">
      <c r="A793" s="8"/>
      <c r="B793" s="8" t="s">
        <v>293</v>
      </c>
      <c r="C793" s="8"/>
      <c r="D793" s="8" t="s">
        <v>99</v>
      </c>
      <c r="E793" s="8"/>
      <c r="F793" s="8">
        <f>IF('Assumptions - Passenger'!$E$437&lt;&gt;0,IF(F$4&lt;'Assumptions - Passenger'!$E$434+'Assumptions - Passenger'!$E$444,0,E793+1),0)</f>
        <v>0</v>
      </c>
      <c r="G793" s="8">
        <f>IF('Assumptions - Passenger'!$E$437&lt;&gt;0,IF(G$4&lt;'Assumptions - Passenger'!$E$434+'Assumptions - Passenger'!$E$444,0,F793+1),0)</f>
        <v>0</v>
      </c>
      <c r="H793" s="8">
        <f>IF('Assumptions - Passenger'!$E$437&lt;&gt;0,IF(H$4&lt;'Assumptions - Passenger'!$E$434+'Assumptions - Passenger'!$E$444,0,G793+1),0)</f>
        <v>0</v>
      </c>
      <c r="I793" s="8">
        <f>IF('Assumptions - Passenger'!$E$437&lt;&gt;0,IF(I$4&lt;'Assumptions - Passenger'!$E$434+'Assumptions - Passenger'!$E$444,0,H793+1),0)</f>
        <v>0</v>
      </c>
      <c r="J793" s="8">
        <f>IF('Assumptions - Passenger'!$E$437&lt;&gt;0,IF(J$4&lt;'Assumptions - Passenger'!$E$434+'Assumptions - Passenger'!$E$444,0,I793+1),0)</f>
        <v>0</v>
      </c>
      <c r="K793" s="8">
        <f>IF('Assumptions - Passenger'!$E$437&lt;&gt;0,IF(K$4&lt;'Assumptions - Passenger'!$E$434+'Assumptions - Passenger'!$E$444,0,J793+1),0)</f>
        <v>0</v>
      </c>
      <c r="L793" s="8">
        <f>IF('Assumptions - Passenger'!$E$437&lt;&gt;0,IF(L$4&lt;'Assumptions - Passenger'!$E$434+'Assumptions - Passenger'!$E$444,0,K793+1),0)</f>
        <v>1</v>
      </c>
      <c r="M793" s="8">
        <f>IF('Assumptions - Passenger'!$E$437&lt;&gt;0,IF(M$4&lt;'Assumptions - Passenger'!$E$434+'Assumptions - Passenger'!$E$444,0,L793+1),0)</f>
        <v>2</v>
      </c>
      <c r="N793" s="8">
        <f>IF('Assumptions - Passenger'!$E$437&lt;&gt;0,IF(N$4&lt;'Assumptions - Passenger'!$E$434+'Assumptions - Passenger'!$E$444,0,M793+1),0)</f>
        <v>3</v>
      </c>
      <c r="O793" s="8">
        <f>IF('Assumptions - Passenger'!$E$437&lt;&gt;0,IF(O$4&lt;'Assumptions - Passenger'!$E$434+'Assumptions - Passenger'!$E$444,0,N793+1),0)</f>
        <v>4</v>
      </c>
      <c r="P793" s="8">
        <f>IF('Assumptions - Passenger'!$E$437&lt;&gt;0,IF(P$4&lt;'Assumptions - Passenger'!$E$434+'Assumptions - Passenger'!$E$444,0,O793+1),0)</f>
        <v>5</v>
      </c>
      <c r="Q793" s="8">
        <f>IF('Assumptions - Passenger'!$E$437&lt;&gt;0,IF(Q$4&lt;'Assumptions - Passenger'!$E$434+'Assumptions - Passenger'!$E$444,0,P793+1),0)</f>
        <v>6</v>
      </c>
      <c r="R793" s="8">
        <f>IF('Assumptions - Passenger'!$E$437&lt;&gt;0,IF(R$4&lt;'Assumptions - Passenger'!$E$434+'Assumptions - Passenger'!$E$444,0,Q793+1),0)</f>
        <v>7</v>
      </c>
      <c r="S793" s="8">
        <f>IF('Assumptions - Passenger'!$E$437&lt;&gt;0,IF(S$4&lt;'Assumptions - Passenger'!$E$434+'Assumptions - Passenger'!$E$444,0,R793+1),0)</f>
        <v>8</v>
      </c>
      <c r="T793" s="8">
        <f>IF('Assumptions - Passenger'!$E$437&lt;&gt;0,IF(T$4&lt;'Assumptions - Passenger'!$E$434+'Assumptions - Passenger'!$E$444,0,S793+1),0)</f>
        <v>9</v>
      </c>
      <c r="U793" s="8">
        <f>IF('Assumptions - Passenger'!$E$437&lt;&gt;0,IF(U$4&lt;'Assumptions - Passenger'!$E$434+'Assumptions - Passenger'!$E$444,0,T793+1),0)</f>
        <v>10</v>
      </c>
      <c r="V793" s="8">
        <f>IF('Assumptions - Passenger'!$E$437&lt;&gt;0,IF(V$4&lt;'Assumptions - Passenger'!$E$434+'Assumptions - Passenger'!$E$444,0,U793+1),0)</f>
        <v>11</v>
      </c>
      <c r="W793" s="8">
        <f>IF('Assumptions - Passenger'!$E$437&lt;&gt;0,IF(W$4&lt;'Assumptions - Passenger'!$E$434+'Assumptions - Passenger'!$E$444,0,V793+1),0)</f>
        <v>12</v>
      </c>
      <c r="X793" s="8">
        <f>IF('Assumptions - Passenger'!$E$437&lt;&gt;0,IF(X$4&lt;'Assumptions - Passenger'!$E$434+'Assumptions - Passenger'!$E$444,0,W793+1),0)</f>
        <v>13</v>
      </c>
      <c r="Y793" s="8">
        <f>IF('Assumptions - Passenger'!$E$437&lt;&gt;0,IF(Y$4&lt;'Assumptions - Passenger'!$E$434+'Assumptions - Passenger'!$E$444,0,X793+1),0)</f>
        <v>14</v>
      </c>
      <c r="Z793" s="8">
        <f>IF('Assumptions - Passenger'!$E$437&lt;&gt;0,IF(Z$4&lt;'Assumptions - Passenger'!$E$434+'Assumptions - Passenger'!$E$444,0,Y793+1),0)</f>
        <v>15</v>
      </c>
      <c r="AA793" s="8">
        <f>IF('Assumptions - Passenger'!$E$437&lt;&gt;0,IF(AA$4&lt;'Assumptions - Passenger'!$E$434+'Assumptions - Passenger'!$E$444,0,Z793+1),0)</f>
        <v>16</v>
      </c>
      <c r="AB793" s="8">
        <f>IF('Assumptions - Passenger'!$E$437&lt;&gt;0,IF(AB$4&lt;'Assumptions - Passenger'!$E$434+'Assumptions - Passenger'!$E$444,0,AA793+1),0)</f>
        <v>17</v>
      </c>
      <c r="AC793" s="8">
        <f>IF('Assumptions - Passenger'!$E$437&lt;&gt;0,IF(AC$4&lt;'Assumptions - Passenger'!$E$434+'Assumptions - Passenger'!$E$444,0,AB793+1),0)</f>
        <v>18</v>
      </c>
      <c r="AD793" s="8">
        <f>IF('Assumptions - Passenger'!$E$437&lt;&gt;0,IF(AD$4&lt;'Assumptions - Passenger'!$E$434+'Assumptions - Passenger'!$E$444,0,AC793+1),0)</f>
        <v>19</v>
      </c>
      <c r="AE793" s="8">
        <f>IF('Assumptions - Passenger'!$E$437&lt;&gt;0,IF(AE$4&lt;'Assumptions - Passenger'!$E$434+'Assumptions - Passenger'!$E$444,0,AD793+1),0)</f>
        <v>20</v>
      </c>
      <c r="AF793" s="8">
        <f>IF('Assumptions - Passenger'!$E$437&lt;&gt;0,IF(AF$4&lt;'Assumptions - Passenger'!$E$434+'Assumptions - Passenger'!$E$444,0,AE793+1),0)</f>
        <v>21</v>
      </c>
      <c r="AG793" s="8">
        <f>IF('Assumptions - Passenger'!$E$437&lt;&gt;0,IF(AG$4&lt;'Assumptions - Passenger'!$E$434+'Assumptions - Passenger'!$E$444,0,AF793+1),0)</f>
        <v>22</v>
      </c>
      <c r="AH793" s="8">
        <f>IF('Assumptions - Passenger'!$E$437&lt;&gt;0,IF(AH$4&lt;'Assumptions - Passenger'!$E$434+'Assumptions - Passenger'!$E$444,0,AG793+1),0)</f>
        <v>23</v>
      </c>
    </row>
    <row r="794" spans="1:34" s="20" customFormat="1" ht="14" x14ac:dyDescent="0.2">
      <c r="A794" s="8"/>
      <c r="B794" s="8" t="s">
        <v>135</v>
      </c>
      <c r="C794" s="8"/>
      <c r="D794" s="8" t="s">
        <v>15</v>
      </c>
      <c r="E794" s="47">
        <f>IF(E$17=1,IF('Assumptions - Passenger'!$E439=1,'Assumptions - Passenger'!$E441,'Assumptions - General'!E$38+'Assumptions - Passenger'!$E442),0)</f>
        <v>0.05</v>
      </c>
      <c r="F794" s="47">
        <f>IF(F$17=1,IF('Assumptions - Passenger'!$E439=1,'Assumptions - Passenger'!$E441,'Assumptions - General'!F$38+'Assumptions - Passenger'!$E442),0)</f>
        <v>0.05</v>
      </c>
      <c r="G794" s="47">
        <f>IF(G$17=1,IF('Assumptions - Passenger'!$E439=1,'Assumptions - Passenger'!$E441,'Assumptions - General'!G$38+'Assumptions - Passenger'!$E442),0)</f>
        <v>0.05</v>
      </c>
      <c r="H794" s="47">
        <f>IF(H$17=1,IF('Assumptions - Passenger'!$E439=1,'Assumptions - Passenger'!$E441,'Assumptions - General'!H$38+'Assumptions - Passenger'!$E442),0)</f>
        <v>0.05</v>
      </c>
      <c r="I794" s="47">
        <f>IF(I$17=1,IF('Assumptions - Passenger'!$E439=1,'Assumptions - Passenger'!$E441,'Assumptions - General'!I$38+'Assumptions - Passenger'!$E442),0)</f>
        <v>0.05</v>
      </c>
      <c r="J794" s="47">
        <f>IF(J$17=1,IF('Assumptions - Passenger'!$E439=1,'Assumptions - Passenger'!$E441,'Assumptions - General'!J$38+'Assumptions - Passenger'!$E442),0)</f>
        <v>0.05</v>
      </c>
      <c r="K794" s="47">
        <f>IF(K$17=1,IF('Assumptions - Passenger'!$E439=1,'Assumptions - Passenger'!$E441,'Assumptions - General'!K$38+'Assumptions - Passenger'!$E442),0)</f>
        <v>0.05</v>
      </c>
      <c r="L794" s="47">
        <f>IF(L$17=1,IF('Assumptions - Passenger'!$E439=1,'Assumptions - Passenger'!$E441,'Assumptions - General'!L$38+'Assumptions - Passenger'!$E442),0)</f>
        <v>0.05</v>
      </c>
      <c r="M794" s="47">
        <f>IF(M$17=1,IF('Assumptions - Passenger'!$E439=1,'Assumptions - Passenger'!$E441,'Assumptions - General'!M$38+'Assumptions - Passenger'!$E442),0)</f>
        <v>0.05</v>
      </c>
      <c r="N794" s="47">
        <f>IF(N$17=1,IF('Assumptions - Passenger'!$E439=1,'Assumptions - Passenger'!$E441,'Assumptions - General'!N$38+'Assumptions - Passenger'!$E442),0)</f>
        <v>0.05</v>
      </c>
      <c r="O794" s="47">
        <f>IF(O$17=1,IF('Assumptions - Passenger'!$E439=1,'Assumptions - Passenger'!$E441,'Assumptions - General'!O$38+'Assumptions - Passenger'!$E442),0)</f>
        <v>0.05</v>
      </c>
      <c r="P794" s="47">
        <f>IF(P$17=1,IF('Assumptions - Passenger'!$E439=1,'Assumptions - Passenger'!$E441,'Assumptions - General'!P$38+'Assumptions - Passenger'!$E442),0)</f>
        <v>0.05</v>
      </c>
      <c r="Q794" s="47">
        <f>IF(Q$17=1,IF('Assumptions - Passenger'!$E439=1,'Assumptions - Passenger'!$E441,'Assumptions - General'!Q$38+'Assumptions - Passenger'!$E442),0)</f>
        <v>0.05</v>
      </c>
      <c r="R794" s="47">
        <f>IF(R$17=1,IF('Assumptions - Passenger'!$E439=1,'Assumptions - Passenger'!$E441,'Assumptions - General'!R$38+'Assumptions - Passenger'!$E442),0)</f>
        <v>0.05</v>
      </c>
      <c r="S794" s="47">
        <f>IF(S$17=1,IF('Assumptions - Passenger'!$E439=1,'Assumptions - Passenger'!$E441,'Assumptions - General'!S$38+'Assumptions - Passenger'!$E442),0)</f>
        <v>0.05</v>
      </c>
      <c r="T794" s="47">
        <f>IF(T$17=1,IF('Assumptions - Passenger'!$E439=1,'Assumptions - Passenger'!$E441,'Assumptions - General'!T$38+'Assumptions - Passenger'!$E442),0)</f>
        <v>0.05</v>
      </c>
      <c r="U794" s="47">
        <f>IF(U$17=1,IF('Assumptions - Passenger'!$E439=1,'Assumptions - Passenger'!$E441,'Assumptions - General'!U$38+'Assumptions - Passenger'!$E442),0)</f>
        <v>0.05</v>
      </c>
      <c r="V794" s="47">
        <f>IF(V$17=1,IF('Assumptions - Passenger'!$E439=1,'Assumptions - Passenger'!$E441,'Assumptions - General'!V$38+'Assumptions - Passenger'!$E442),0)</f>
        <v>0.05</v>
      </c>
      <c r="W794" s="47">
        <f>IF(W$17=1,IF('Assumptions - Passenger'!$E439=1,'Assumptions - Passenger'!$E441,'Assumptions - General'!W$38+'Assumptions - Passenger'!$E442),0)</f>
        <v>0.05</v>
      </c>
      <c r="X794" s="47">
        <f>IF(X$17=1,IF('Assumptions - Passenger'!$E439=1,'Assumptions - Passenger'!$E441,'Assumptions - General'!X$38+'Assumptions - Passenger'!$E442),0)</f>
        <v>0.05</v>
      </c>
      <c r="Y794" s="47">
        <f>IF(Y$17=1,IF('Assumptions - Passenger'!$E439=1,'Assumptions - Passenger'!$E441,'Assumptions - General'!Y$38+'Assumptions - Passenger'!$E442),0)</f>
        <v>0.05</v>
      </c>
      <c r="Z794" s="47">
        <f>IF(Z$17=1,IF('Assumptions - Passenger'!$E439=1,'Assumptions - Passenger'!$E441,'Assumptions - General'!Z$38+'Assumptions - Passenger'!$E442),0)</f>
        <v>0.05</v>
      </c>
      <c r="AA794" s="47">
        <f>IF(AA$17=1,IF('Assumptions - Passenger'!$E439=1,'Assumptions - Passenger'!$E441,'Assumptions - General'!AA$38+'Assumptions - Passenger'!$E442),0)</f>
        <v>0.05</v>
      </c>
      <c r="AB794" s="47">
        <f>IF(AB$17=1,IF('Assumptions - Passenger'!$E439=1,'Assumptions - Passenger'!$E441,'Assumptions - General'!AB$38+'Assumptions - Passenger'!$E442),0)</f>
        <v>0.05</v>
      </c>
      <c r="AC794" s="47">
        <f>IF(AC$17=1,IF('Assumptions - Passenger'!$E439=1,'Assumptions - Passenger'!$E441,'Assumptions - General'!AC$38+'Assumptions - Passenger'!$E442),0)</f>
        <v>0.05</v>
      </c>
      <c r="AD794" s="47">
        <f>IF(AD$17=1,IF('Assumptions - Passenger'!$E439=1,'Assumptions - Passenger'!$E441,'Assumptions - General'!AD$38+'Assumptions - Passenger'!$E442),0)</f>
        <v>0.05</v>
      </c>
      <c r="AE794" s="47">
        <f>IF(AE$17=1,IF('Assumptions - Passenger'!$E439=1,'Assumptions - Passenger'!$E441,'Assumptions - General'!AE$38+'Assumptions - Passenger'!$E442),0)</f>
        <v>0.05</v>
      </c>
      <c r="AF794" s="47">
        <f>IF(AF$17=1,IF('Assumptions - Passenger'!$E439=1,'Assumptions - Passenger'!$E441,'Assumptions - General'!AF$38+'Assumptions - Passenger'!$E442),0)</f>
        <v>0.05</v>
      </c>
      <c r="AG794" s="47">
        <f>IF(AG$17=1,IF('Assumptions - Passenger'!$E439=1,'Assumptions - Passenger'!$E441,'Assumptions - General'!AG$38+'Assumptions - Passenger'!$E442),0)</f>
        <v>0.05</v>
      </c>
      <c r="AH794" s="47">
        <f>IF(AH$17=1,IF('Assumptions - Passenger'!$E439=1,'Assumptions - Passenger'!$E441,'Assumptions - General'!AH$38+'Assumptions - Passenger'!$E442),0)</f>
        <v>0.05</v>
      </c>
    </row>
    <row r="795" spans="1:34" s="20" customFormat="1" ht="14" x14ac:dyDescent="0.2">
      <c r="A795" s="8"/>
      <c r="B795" s="8" t="s">
        <v>136</v>
      </c>
      <c r="C795" s="8"/>
      <c r="D795" s="8" t="str">
        <f>'Assumptions - Passenger'!D437</f>
        <v>R$ millions</v>
      </c>
      <c r="E795" s="468">
        <v>0</v>
      </c>
      <c r="F795" s="126">
        <f t="shared" ref="F795:AH795" si="316">E803</f>
        <v>0</v>
      </c>
      <c r="G795" s="126">
        <f t="shared" si="316"/>
        <v>0</v>
      </c>
      <c r="H795" s="126">
        <f t="shared" si="316"/>
        <v>10</v>
      </c>
      <c r="I795" s="126">
        <f t="shared" si="316"/>
        <v>20</v>
      </c>
      <c r="J795" s="126">
        <f t="shared" si="316"/>
        <v>30</v>
      </c>
      <c r="K795" s="126">
        <f t="shared" si="316"/>
        <v>40</v>
      </c>
      <c r="L795" s="126">
        <f t="shared" si="316"/>
        <v>50</v>
      </c>
      <c r="M795" s="126">
        <f t="shared" si="316"/>
        <v>46.024771251727159</v>
      </c>
      <c r="N795" s="126">
        <f t="shared" si="316"/>
        <v>41.850781066040682</v>
      </c>
      <c r="O795" s="126">
        <f t="shared" si="316"/>
        <v>37.468091371069882</v>
      </c>
      <c r="P795" s="126">
        <f t="shared" si="316"/>
        <v>32.866267191350538</v>
      </c>
      <c r="Q795" s="126">
        <f t="shared" si="316"/>
        <v>28.034351802645233</v>
      </c>
      <c r="R795" s="126">
        <f t="shared" si="316"/>
        <v>22.96084064450466</v>
      </c>
      <c r="S795" s="126">
        <f t="shared" si="316"/>
        <v>17.633653928457061</v>
      </c>
      <c r="T795" s="126">
        <f t="shared" si="316"/>
        <v>12.040107876607081</v>
      </c>
      <c r="U795" s="126">
        <f t="shared" si="316"/>
        <v>6.1668845221646027</v>
      </c>
      <c r="V795" s="126">
        <f t="shared" si="316"/>
        <v>0</v>
      </c>
      <c r="W795" s="126">
        <f t="shared" si="316"/>
        <v>0</v>
      </c>
      <c r="X795" s="126">
        <f t="shared" si="316"/>
        <v>0</v>
      </c>
      <c r="Y795" s="126">
        <f t="shared" si="316"/>
        <v>0</v>
      </c>
      <c r="Z795" s="126">
        <f t="shared" si="316"/>
        <v>0</v>
      </c>
      <c r="AA795" s="126">
        <f t="shared" si="316"/>
        <v>0</v>
      </c>
      <c r="AB795" s="126">
        <f t="shared" si="316"/>
        <v>0</v>
      </c>
      <c r="AC795" s="126">
        <f t="shared" si="316"/>
        <v>0</v>
      </c>
      <c r="AD795" s="126">
        <f t="shared" si="316"/>
        <v>0</v>
      </c>
      <c r="AE795" s="126">
        <f t="shared" si="316"/>
        <v>0</v>
      </c>
      <c r="AF795" s="126">
        <f t="shared" si="316"/>
        <v>0</v>
      </c>
      <c r="AG795" s="126">
        <f t="shared" si="316"/>
        <v>0</v>
      </c>
      <c r="AH795" s="126">
        <f t="shared" si="316"/>
        <v>0</v>
      </c>
    </row>
    <row r="796" spans="1:34" s="20" customFormat="1" ht="14" x14ac:dyDescent="0.2">
      <c r="A796" s="8"/>
      <c r="B796" s="8" t="s">
        <v>410</v>
      </c>
      <c r="C796" s="8"/>
      <c r="D796" s="8" t="str">
        <f>D795</f>
        <v>R$ millions</v>
      </c>
      <c r="E796" s="126">
        <f>IF(E$17=1,IF('Assumptions - Passenger'!$E$437&lt;&gt;0,IF('Assumptions - Passenger'!$E$445=1,Calculations!E797,IF('Assumptions - Passenger'!$E$445=2,Calculations!E798,IF('Assumptions - Passenger'!$E$445=3,IF(E793=('Assumptions - Passenger'!$E$443-'Assumptions - Passenger'!$E$444),Calculations!D803,Calculations!E799),0))),0),0)</f>
        <v>0</v>
      </c>
      <c r="F796" s="126">
        <f>IF(F$17=1,IF('Assumptions - Passenger'!$E$437&lt;&gt;0,IF('Assumptions - Passenger'!$E$445=1,Calculations!F797,IF('Assumptions - Passenger'!$E$445=2,Calculations!F798,IF('Assumptions - Passenger'!$E$445=3,IF(F793=('Assumptions - Passenger'!$E$443-'Assumptions - Passenger'!$E$444),Calculations!E803,Calculations!F799),0))),0),0)</f>
        <v>0</v>
      </c>
      <c r="G796" s="126">
        <f>IF(G$17=1,IF('Assumptions - Passenger'!$E$437&lt;&gt;0,IF('Assumptions - Passenger'!$E$445=1,Calculations!G797,IF('Assumptions - Passenger'!$E$445=2,Calculations!G798,IF('Assumptions - Passenger'!$E$445=3,IF(G793=('Assumptions - Passenger'!$E$443-'Assumptions - Passenger'!$E$444),Calculations!F803,Calculations!G799),0))),0),0)</f>
        <v>0</v>
      </c>
      <c r="H796" s="126">
        <f>IF(H$17=1,IF('Assumptions - Passenger'!$E$437&lt;&gt;0,IF('Assumptions - Passenger'!$E$445=1,Calculations!H797,IF('Assumptions - Passenger'!$E$445=2,Calculations!H798,IF('Assumptions - Passenger'!$E$445=3,IF(H793=('Assumptions - Passenger'!$E$443-'Assumptions - Passenger'!$E$444),Calculations!G803,Calculations!H799),0))),0),0)</f>
        <v>0</v>
      </c>
      <c r="I796" s="126">
        <f>IF(I$17=1,IF('Assumptions - Passenger'!$E$437&lt;&gt;0,IF('Assumptions - Passenger'!$E$445=1,Calculations!I797,IF('Assumptions - Passenger'!$E$445=2,Calculations!I798,IF('Assumptions - Passenger'!$E$445=3,IF(I793=('Assumptions - Passenger'!$E$443-'Assumptions - Passenger'!$E$444),Calculations!H803,Calculations!I799),0))),0),0)</f>
        <v>0</v>
      </c>
      <c r="J796" s="126">
        <f>IF(J$17=1,IF('Assumptions - Passenger'!$E$437&lt;&gt;0,IF('Assumptions - Passenger'!$E$445=1,Calculations!J797,IF('Assumptions - Passenger'!$E$445=2,Calculations!J798,IF('Assumptions - Passenger'!$E$445=3,IF(J793=('Assumptions - Passenger'!$E$443-'Assumptions - Passenger'!$E$444),Calculations!I803,Calculations!J799),0))),0),0)</f>
        <v>0</v>
      </c>
      <c r="K796" s="126">
        <f>IF(K$17=1,IF('Assumptions - Passenger'!$E$437&lt;&gt;0,IF('Assumptions - Passenger'!$E$445=1,Calculations!K797,IF('Assumptions - Passenger'!$E$445=2,Calculations!K798,IF('Assumptions - Passenger'!$E$445=3,IF(K793=('Assumptions - Passenger'!$E$443-'Assumptions - Passenger'!$E$444),Calculations!J803,Calculations!K799),0))),0),0)</f>
        <v>0</v>
      </c>
      <c r="L796" s="126">
        <f>IF(L$17=1,IF('Assumptions - Passenger'!$E$437&lt;&gt;0,IF('Assumptions - Passenger'!$E$445=1,Calculations!L797,IF('Assumptions - Passenger'!$E$445=2,Calculations!L798,IF('Assumptions - Passenger'!$E$445=3,IF(L793=('Assumptions - Passenger'!$E$443-'Assumptions - Passenger'!$E$444),Calculations!K803,Calculations!L799),0))),0),0)</f>
        <v>3.975228748272837</v>
      </c>
      <c r="M796" s="126">
        <f>IF(M$17=1,IF('Assumptions - Passenger'!$E$437&lt;&gt;0,IF('Assumptions - Passenger'!$E$445=1,Calculations!M797,IF('Assumptions - Passenger'!$E$445=2,Calculations!M798,IF('Assumptions - Passenger'!$E$445=3,IF(M793=('Assumptions - Passenger'!$E$443-'Assumptions - Passenger'!$E$444),Calculations!L803,Calculations!M799),0))),0),0)</f>
        <v>4.1739901856864758</v>
      </c>
      <c r="N796" s="126">
        <f>IF(N$17=1,IF('Assumptions - Passenger'!$E$437&lt;&gt;0,IF('Assumptions - Passenger'!$E$445=1,Calculations!N797,IF('Assumptions - Passenger'!$E$445=2,Calculations!N798,IF('Assumptions - Passenger'!$E$445=3,IF(N793=('Assumptions - Passenger'!$E$443-'Assumptions - Passenger'!$E$444),Calculations!M803,Calculations!N799),0))),0),0)</f>
        <v>4.382689694970801</v>
      </c>
      <c r="O796" s="126">
        <f>IF(O$17=1,IF('Assumptions - Passenger'!$E$437&lt;&gt;0,IF('Assumptions - Passenger'!$E$445=1,Calculations!O797,IF('Assumptions - Passenger'!$E$445=2,Calculations!O798,IF('Assumptions - Passenger'!$E$445=3,IF(O793=('Assumptions - Passenger'!$E$443-'Assumptions - Passenger'!$E$444),Calculations!N803,Calculations!O799),0))),0),0)</f>
        <v>4.6018241797193413</v>
      </c>
      <c r="P796" s="126">
        <f>IF(P$17=1,IF('Assumptions - Passenger'!$E$437&lt;&gt;0,IF('Assumptions - Passenger'!$E$445=1,Calculations!P797,IF('Assumptions - Passenger'!$E$445=2,Calculations!P798,IF('Assumptions - Passenger'!$E$445=3,IF(P793=('Assumptions - Passenger'!$E$443-'Assumptions - Passenger'!$E$444),Calculations!O803,Calculations!P799),0))),0),0)</f>
        <v>4.8319153887053066</v>
      </c>
      <c r="Q796" s="126">
        <f>IF(Q$17=1,IF('Assumptions - Passenger'!$E$437&lt;&gt;0,IF('Assumptions - Passenger'!$E$445=1,Calculations!Q797,IF('Assumptions - Passenger'!$E$445=2,Calculations!Q798,IF('Assumptions - Passenger'!$E$445=3,IF(Q793=('Assumptions - Passenger'!$E$443-'Assumptions - Passenger'!$E$444),Calculations!P803,Calculations!Q799),0))),0),0)</f>
        <v>5.0735111581405716</v>
      </c>
      <c r="R796" s="126">
        <f>IF(R$17=1,IF('Assumptions - Passenger'!$E$437&lt;&gt;0,IF('Assumptions - Passenger'!$E$445=1,Calculations!R797,IF('Assumptions - Passenger'!$E$445=2,Calculations!R798,IF('Assumptions - Passenger'!$E$445=3,IF(R793=('Assumptions - Passenger'!$E$443-'Assumptions - Passenger'!$E$444),Calculations!Q803,Calculations!R799),0))),0),0)</f>
        <v>5.3271867160476001</v>
      </c>
      <c r="S796" s="126">
        <f>IF(S$17=1,IF('Assumptions - Passenger'!$E$437&lt;&gt;0,IF('Assumptions - Passenger'!$E$445=1,Calculations!S797,IF('Assumptions - Passenger'!$E$445=2,Calculations!S798,IF('Assumptions - Passenger'!$E$445=3,IF(S793=('Assumptions - Passenger'!$E$443-'Assumptions - Passenger'!$E$444),Calculations!R803,Calculations!S799),0))),0),0)</f>
        <v>5.5935460518499802</v>
      </c>
      <c r="T796" s="126">
        <f>IF(T$17=1,IF('Assumptions - Passenger'!$E$437&lt;&gt;0,IF('Assumptions - Passenger'!$E$445=1,Calculations!T797,IF('Assumptions - Passenger'!$E$445=2,Calculations!T798,IF('Assumptions - Passenger'!$E$445=3,IF(T793=('Assumptions - Passenger'!$E$443-'Assumptions - Passenger'!$E$444),Calculations!S803,Calculations!T799),0))),0),0)</f>
        <v>5.8732233544424783</v>
      </c>
      <c r="U796" s="126">
        <f>IF(U$17=1,IF('Assumptions - Passenger'!$E$437&lt;&gt;0,IF('Assumptions - Passenger'!$E$445=1,Calculations!U797,IF('Assumptions - Passenger'!$E$445=2,Calculations!U798,IF('Assumptions - Passenger'!$E$445=3,IF(U793=('Assumptions - Passenger'!$E$443-'Assumptions - Passenger'!$E$444),Calculations!T803,Calculations!U799),0))),0),0)</f>
        <v>6.1668845221646027</v>
      </c>
      <c r="V796" s="126">
        <f>IF(V$17=1,IF('Assumptions - Passenger'!$E$437&lt;&gt;0,IF('Assumptions - Passenger'!$E$445=1,Calculations!V797,IF('Assumptions - Passenger'!$E$445=2,Calculations!V798,IF('Assumptions - Passenger'!$E$445=3,IF(V793=('Assumptions - Passenger'!$E$443-'Assumptions - Passenger'!$E$444),Calculations!U803,Calculations!V799),0))),0),0)</f>
        <v>0</v>
      </c>
      <c r="W796" s="126">
        <f>IF(W$17=1,IF('Assumptions - Passenger'!$E$437&lt;&gt;0,IF('Assumptions - Passenger'!$E$445=1,Calculations!W797,IF('Assumptions - Passenger'!$E$445=2,Calculations!W798,IF('Assumptions - Passenger'!$E$445=3,IF(W793=('Assumptions - Passenger'!$E$443-'Assumptions - Passenger'!$E$444),Calculations!V803,Calculations!W799),0))),0),0)</f>
        <v>0</v>
      </c>
      <c r="X796" s="126">
        <f>IF(X$17=1,IF('Assumptions - Passenger'!$E$437&lt;&gt;0,IF('Assumptions - Passenger'!$E$445=1,Calculations!X797,IF('Assumptions - Passenger'!$E$445=2,Calculations!X798,IF('Assumptions - Passenger'!$E$445=3,IF(X793=('Assumptions - Passenger'!$E$443-'Assumptions - Passenger'!$E$444),Calculations!W803,Calculations!X799),0))),0),0)</f>
        <v>0</v>
      </c>
      <c r="Y796" s="126">
        <f>IF(Y$17=1,IF('Assumptions - Passenger'!$E$437&lt;&gt;0,IF('Assumptions - Passenger'!$E$445=1,Calculations!Y797,IF('Assumptions - Passenger'!$E$445=2,Calculations!Y798,IF('Assumptions - Passenger'!$E$445=3,IF(Y793=('Assumptions - Passenger'!$E$443-'Assumptions - Passenger'!$E$444),Calculations!X803,Calculations!Y799),0))),0),0)</f>
        <v>0</v>
      </c>
      <c r="Z796" s="126">
        <f>IF(Z$17=1,IF('Assumptions - Passenger'!$E$437&lt;&gt;0,IF('Assumptions - Passenger'!$E$445=1,Calculations!Z797,IF('Assumptions - Passenger'!$E$445=2,Calculations!Z798,IF('Assumptions - Passenger'!$E$445=3,IF(Z793=('Assumptions - Passenger'!$E$443-'Assumptions - Passenger'!$E$444),Calculations!Y803,Calculations!Z799),0))),0),0)</f>
        <v>0</v>
      </c>
      <c r="AA796" s="126">
        <f>IF(AA$17=1,IF('Assumptions - Passenger'!$E$437&lt;&gt;0,IF('Assumptions - Passenger'!$E$445=1,Calculations!AA797,IF('Assumptions - Passenger'!$E$445=2,Calculations!AA798,IF('Assumptions - Passenger'!$E$445=3,IF(AA793=('Assumptions - Passenger'!$E$443-'Assumptions - Passenger'!$E$444),Calculations!Z803,Calculations!AA799),0))),0),0)</f>
        <v>0</v>
      </c>
      <c r="AB796" s="126">
        <f>IF(AB$17=1,IF('Assumptions - Passenger'!$E$437&lt;&gt;0,IF('Assumptions - Passenger'!$E$445=1,Calculations!AB797,IF('Assumptions - Passenger'!$E$445=2,Calculations!AB798,IF('Assumptions - Passenger'!$E$445=3,IF(AB793=('Assumptions - Passenger'!$E$443-'Assumptions - Passenger'!$E$444),Calculations!AA803,Calculations!AB799),0))),0),0)</f>
        <v>0</v>
      </c>
      <c r="AC796" s="126">
        <f>IF(AC$17=1,IF('Assumptions - Passenger'!$E$437&lt;&gt;0,IF('Assumptions - Passenger'!$E$445=1,Calculations!AC797,IF('Assumptions - Passenger'!$E$445=2,Calculations!AC798,IF('Assumptions - Passenger'!$E$445=3,IF(AC793=('Assumptions - Passenger'!$E$443-'Assumptions - Passenger'!$E$444),Calculations!AB803,Calculations!AC799),0))),0),0)</f>
        <v>0</v>
      </c>
      <c r="AD796" s="126">
        <f>IF(AD$17=1,IF('Assumptions - Passenger'!$E$437&lt;&gt;0,IF('Assumptions - Passenger'!$E$445=1,Calculations!AD797,IF('Assumptions - Passenger'!$E$445=2,Calculations!AD798,IF('Assumptions - Passenger'!$E$445=3,IF(AD793=('Assumptions - Passenger'!$E$443-'Assumptions - Passenger'!$E$444),Calculations!AC803,Calculations!AD799),0))),0),0)</f>
        <v>0</v>
      </c>
      <c r="AE796" s="126">
        <f>IF(AE$17=1,IF('Assumptions - Passenger'!$E$437&lt;&gt;0,IF('Assumptions - Passenger'!$E$445=1,Calculations!AE797,IF('Assumptions - Passenger'!$E$445=2,Calculations!AE798,IF('Assumptions - Passenger'!$E$445=3,IF(AE793=('Assumptions - Passenger'!$E$443-'Assumptions - Passenger'!$E$444),Calculations!AD803,Calculations!AE799),0))),0),0)</f>
        <v>0</v>
      </c>
      <c r="AF796" s="126">
        <f>IF(AF$17=1,IF('Assumptions - Passenger'!$E$437&lt;&gt;0,IF('Assumptions - Passenger'!$E$445=1,Calculations!AF797,IF('Assumptions - Passenger'!$E$445=2,Calculations!AF798,IF('Assumptions - Passenger'!$E$445=3,IF(AF793=('Assumptions - Passenger'!$E$443-'Assumptions - Passenger'!$E$444),Calculations!AE803,Calculations!AF799),0))),0),0)</f>
        <v>0</v>
      </c>
      <c r="AG796" s="126">
        <f>IF(AG$17=1,IF('Assumptions - Passenger'!$E$437&lt;&gt;0,IF('Assumptions - Passenger'!$E$445=1,Calculations!AG797,IF('Assumptions - Passenger'!$E$445=2,Calculations!AG798,IF('Assumptions - Passenger'!$E$445=3,IF(AG793=('Assumptions - Passenger'!$E$443-'Assumptions - Passenger'!$E$444),Calculations!AF803,Calculations!AG799),0))),0),0)</f>
        <v>0</v>
      </c>
      <c r="AH796" s="126">
        <f>IF(AH$17=1,IF('Assumptions - Passenger'!$E$437&lt;&gt;0,IF('Assumptions - Passenger'!$E$445=1,Calculations!AH797,IF('Assumptions - Passenger'!$E$445=2,Calculations!AH798,IF('Assumptions - Passenger'!$E$445=3,IF(AH793=('Assumptions - Passenger'!$E$443-'Assumptions - Passenger'!$E$444),Calculations!AG803,Calculations!AH799),0))),0),0)</f>
        <v>0</v>
      </c>
    </row>
    <row r="797" spans="1:34" s="20" customFormat="1" ht="14" x14ac:dyDescent="0.2">
      <c r="A797" s="8"/>
      <c r="B797" s="125" t="s">
        <v>295</v>
      </c>
      <c r="C797" s="8"/>
      <c r="D797" s="8" t="str">
        <f t="shared" ref="D797:D808" si="317">D796</f>
        <v>R$ millions</v>
      </c>
      <c r="E797" s="126">
        <f>IF('Assumptions - Passenger'!$E$437&lt;&gt;0,IF(AND('Assumptions - Passenger'!$E$445=1,E$793=('Assumptions - Passenger'!$E$443-'Assumptions - Passenger'!$E$444)),'Assumptions - Passenger'!$E$437,0),0)</f>
        <v>0</v>
      </c>
      <c r="F797" s="126">
        <f>IF('Assumptions - Passenger'!$E$437&lt;&gt;0,IF(AND('Assumptions - Passenger'!$E$445=1,F$793=('Assumptions - Passenger'!$E$443-'Assumptions - Passenger'!$E$444)),'Assumptions - Passenger'!$E$437,0),0)</f>
        <v>0</v>
      </c>
      <c r="G797" s="126">
        <f>IF('Assumptions - Passenger'!$E$437&lt;&gt;0,IF(AND('Assumptions - Passenger'!$E$445=1,G$793=('Assumptions - Passenger'!$E$443-'Assumptions - Passenger'!$E$444)),'Assumptions - Passenger'!$E$437,0),0)</f>
        <v>0</v>
      </c>
      <c r="H797" s="126">
        <f>IF('Assumptions - Passenger'!$E$437&lt;&gt;0,IF(AND('Assumptions - Passenger'!$E$445=1,H$793=('Assumptions - Passenger'!$E$443-'Assumptions - Passenger'!$E$444)),'Assumptions - Passenger'!$E$437,0),0)</f>
        <v>0</v>
      </c>
      <c r="I797" s="126">
        <f>IF('Assumptions - Passenger'!$E$437&lt;&gt;0,IF(AND('Assumptions - Passenger'!$E$445=1,I$793=('Assumptions - Passenger'!$E$443-'Assumptions - Passenger'!$E$444)),'Assumptions - Passenger'!$E$437,0),0)</f>
        <v>0</v>
      </c>
      <c r="J797" s="126">
        <f>IF('Assumptions - Passenger'!$E$437&lt;&gt;0,IF(AND('Assumptions - Passenger'!$E$445=1,J$793=('Assumptions - Passenger'!$E$443-'Assumptions - Passenger'!$E$444)),'Assumptions - Passenger'!$E$437,0),0)</f>
        <v>0</v>
      </c>
      <c r="K797" s="126">
        <f>IF('Assumptions - Passenger'!$E$437&lt;&gt;0,IF(AND('Assumptions - Passenger'!$E$445=1,K$793=('Assumptions - Passenger'!$E$443-'Assumptions - Passenger'!$E$444)),'Assumptions - Passenger'!$E$437,0),0)</f>
        <v>0</v>
      </c>
      <c r="L797" s="126">
        <f>IF('Assumptions - Passenger'!$E$437&lt;&gt;0,IF(AND('Assumptions - Passenger'!$E$445=1,L$793=('Assumptions - Passenger'!$E$443-'Assumptions - Passenger'!$E$444)),'Assumptions - Passenger'!$E$437,0),0)</f>
        <v>0</v>
      </c>
      <c r="M797" s="126">
        <f>IF('Assumptions - Passenger'!$E$437&lt;&gt;0,IF(AND('Assumptions - Passenger'!$E$445=1,M$793=('Assumptions - Passenger'!$E$443-'Assumptions - Passenger'!$E$444)),'Assumptions - Passenger'!$E$437,0),0)</f>
        <v>0</v>
      </c>
      <c r="N797" s="126">
        <f>IF('Assumptions - Passenger'!$E$437&lt;&gt;0,IF(AND('Assumptions - Passenger'!$E$445=1,N$793=('Assumptions - Passenger'!$E$443-'Assumptions - Passenger'!$E$444)),'Assumptions - Passenger'!$E$437,0),0)</f>
        <v>0</v>
      </c>
      <c r="O797" s="126">
        <f>IF('Assumptions - Passenger'!$E$437&lt;&gt;0,IF(AND('Assumptions - Passenger'!$E$445=1,O$793=('Assumptions - Passenger'!$E$443-'Assumptions - Passenger'!$E$444)),'Assumptions - Passenger'!$E$437,0),0)</f>
        <v>0</v>
      </c>
      <c r="P797" s="126">
        <f>IF('Assumptions - Passenger'!$E$437&lt;&gt;0,IF(AND('Assumptions - Passenger'!$E$445=1,P$793=('Assumptions - Passenger'!$E$443-'Assumptions - Passenger'!$E$444)),'Assumptions - Passenger'!$E$437,0),0)</f>
        <v>0</v>
      </c>
      <c r="Q797" s="126">
        <f>IF('Assumptions - Passenger'!$E$437&lt;&gt;0,IF(AND('Assumptions - Passenger'!$E$445=1,Q$793=('Assumptions - Passenger'!$E$443-'Assumptions - Passenger'!$E$444)),'Assumptions - Passenger'!$E$437,0),0)</f>
        <v>0</v>
      </c>
      <c r="R797" s="126">
        <f>IF('Assumptions - Passenger'!$E$437&lt;&gt;0,IF(AND('Assumptions - Passenger'!$E$445=1,R$793=('Assumptions - Passenger'!$E$443-'Assumptions - Passenger'!$E$444)),'Assumptions - Passenger'!$E$437,0),0)</f>
        <v>0</v>
      </c>
      <c r="S797" s="126">
        <f>IF('Assumptions - Passenger'!$E$437&lt;&gt;0,IF(AND('Assumptions - Passenger'!$E$445=1,S$793=('Assumptions - Passenger'!$E$443-'Assumptions - Passenger'!$E$444)),'Assumptions - Passenger'!$E$437,0),0)</f>
        <v>0</v>
      </c>
      <c r="T797" s="126">
        <f>IF('Assumptions - Passenger'!$E$437&lt;&gt;0,IF(AND('Assumptions - Passenger'!$E$445=1,T$793=('Assumptions - Passenger'!$E$443-'Assumptions - Passenger'!$E$444)),'Assumptions - Passenger'!$E$437,0),0)</f>
        <v>0</v>
      </c>
      <c r="U797" s="126">
        <f>IF('Assumptions - Passenger'!$E$437&lt;&gt;0,IF(AND('Assumptions - Passenger'!$E$445=1,U$793=('Assumptions - Passenger'!$E$443-'Assumptions - Passenger'!$E$444)),'Assumptions - Passenger'!$E$437,0),0)</f>
        <v>0</v>
      </c>
      <c r="V797" s="126">
        <f>IF('Assumptions - Passenger'!$E$437&lt;&gt;0,IF(AND('Assumptions - Passenger'!$E$445=1,V$793=('Assumptions - Passenger'!$E$443-'Assumptions - Passenger'!$E$444)),'Assumptions - Passenger'!$E$437,0),0)</f>
        <v>0</v>
      </c>
      <c r="W797" s="126">
        <f>IF('Assumptions - Passenger'!$E$437&lt;&gt;0,IF(AND('Assumptions - Passenger'!$E$445=1,W$793=('Assumptions - Passenger'!$E$443-'Assumptions - Passenger'!$E$444)),'Assumptions - Passenger'!$E$437,0),0)</f>
        <v>0</v>
      </c>
      <c r="X797" s="126">
        <f>IF('Assumptions - Passenger'!$E$437&lt;&gt;0,IF(AND('Assumptions - Passenger'!$E$445=1,X$793=('Assumptions - Passenger'!$E$443-'Assumptions - Passenger'!$E$444)),'Assumptions - Passenger'!$E$437,0),0)</f>
        <v>0</v>
      </c>
      <c r="Y797" s="126">
        <f>IF('Assumptions - Passenger'!$E$437&lt;&gt;0,IF(AND('Assumptions - Passenger'!$E$445=1,Y$793=('Assumptions - Passenger'!$E$443-'Assumptions - Passenger'!$E$444)),'Assumptions - Passenger'!$E$437,0),0)</f>
        <v>0</v>
      </c>
      <c r="Z797" s="126">
        <f>IF('Assumptions - Passenger'!$E$437&lt;&gt;0,IF(AND('Assumptions - Passenger'!$E$445=1,Z$793=('Assumptions - Passenger'!$E$443-'Assumptions - Passenger'!$E$444)),'Assumptions - Passenger'!$E$437,0),0)</f>
        <v>0</v>
      </c>
      <c r="AA797" s="126">
        <f>IF('Assumptions - Passenger'!$E$437&lt;&gt;0,IF(AND('Assumptions - Passenger'!$E$445=1,AA$793=('Assumptions - Passenger'!$E$443-'Assumptions - Passenger'!$E$444)),'Assumptions - Passenger'!$E$437,0),0)</f>
        <v>0</v>
      </c>
      <c r="AB797" s="126">
        <f>IF('Assumptions - Passenger'!$E$437&lt;&gt;0,IF(AND('Assumptions - Passenger'!$E$445=1,AB$793=('Assumptions - Passenger'!$E$443-'Assumptions - Passenger'!$E$444)),'Assumptions - Passenger'!$E$437,0),0)</f>
        <v>0</v>
      </c>
      <c r="AC797" s="126">
        <f>IF('Assumptions - Passenger'!$E$437&lt;&gt;0,IF(AND('Assumptions - Passenger'!$E$445=1,AC$793=('Assumptions - Passenger'!$E$443-'Assumptions - Passenger'!$E$444)),'Assumptions - Passenger'!$E$437,0),0)</f>
        <v>0</v>
      </c>
      <c r="AD797" s="126">
        <f>IF('Assumptions - Passenger'!$E$437&lt;&gt;0,IF(AND('Assumptions - Passenger'!$E$445=1,AD$793=('Assumptions - Passenger'!$E$443-'Assumptions - Passenger'!$E$444)),'Assumptions - Passenger'!$E$437,0),0)</f>
        <v>0</v>
      </c>
      <c r="AE797" s="126">
        <f>IF('Assumptions - Passenger'!$E$437&lt;&gt;0,IF(AND('Assumptions - Passenger'!$E$445=1,AE$793=('Assumptions - Passenger'!$E$443-'Assumptions - Passenger'!$E$444)),'Assumptions - Passenger'!$E$437,0),0)</f>
        <v>0</v>
      </c>
      <c r="AF797" s="126">
        <f>IF('Assumptions - Passenger'!$E$437&lt;&gt;0,IF(AND('Assumptions - Passenger'!$E$445=1,AF$793=('Assumptions - Passenger'!$E$443-'Assumptions - Passenger'!$E$444)),'Assumptions - Passenger'!$E$437,0),0)</f>
        <v>0</v>
      </c>
      <c r="AG797" s="126">
        <f>IF('Assumptions - Passenger'!$E$437&lt;&gt;0,IF(AND('Assumptions - Passenger'!$E$445=1,AG$793=('Assumptions - Passenger'!$E$443-'Assumptions - Passenger'!$E$444)),'Assumptions - Passenger'!$E$437,0),0)</f>
        <v>0</v>
      </c>
      <c r="AH797" s="126">
        <f>IF('Assumptions - Passenger'!$E$437&lt;&gt;0,IF(AND('Assumptions - Passenger'!$E$445=1,AH$793=('Assumptions - Passenger'!$E$443-'Assumptions - Passenger'!$E$444)),'Assumptions - Passenger'!$E$437,0),0)</f>
        <v>0</v>
      </c>
    </row>
    <row r="798" spans="1:34" s="20" customFormat="1" ht="14" x14ac:dyDescent="0.2">
      <c r="A798" s="8"/>
      <c r="B798" s="125" t="s">
        <v>294</v>
      </c>
      <c r="C798" s="8"/>
      <c r="D798" s="8" t="str">
        <f t="shared" si="317"/>
        <v>R$ millions</v>
      </c>
      <c r="E798" s="126">
        <f>IF('Assumptions - Passenger'!$E$437&lt;&gt;0,IF(AND('Assumptions - Passenger'!$E$445=2,Calculations!E$793&gt;0,Calculations!E$793&lt;=('Assumptions - Passenger'!$E$443-'Assumptions - Passenger'!$E$444)),'Assumptions - Passenger'!$E$437/('Assumptions - Passenger'!$E$443-'Assumptions - Passenger'!$E$444),0),0)</f>
        <v>0</v>
      </c>
      <c r="F798" s="126">
        <f>IF('Assumptions - Passenger'!$E$437&lt;&gt;0,IF(AND('Assumptions - Passenger'!$E$445=2,Calculations!F$793&gt;0,Calculations!F$793&lt;=('Assumptions - Passenger'!$E$443-'Assumptions - Passenger'!$E$444)),'Assumptions - Passenger'!$E$437/('Assumptions - Passenger'!$E$443-'Assumptions - Passenger'!$E$444),0),0)</f>
        <v>0</v>
      </c>
      <c r="G798" s="126">
        <f>IF('Assumptions - Passenger'!$E$437&lt;&gt;0,IF(AND('Assumptions - Passenger'!$E$445=2,Calculations!G$793&gt;0,Calculations!G$793&lt;=('Assumptions - Passenger'!$E$443-'Assumptions - Passenger'!$E$444)),'Assumptions - Passenger'!$E$437/('Assumptions - Passenger'!$E$443-'Assumptions - Passenger'!$E$444),0),0)</f>
        <v>0</v>
      </c>
      <c r="H798" s="126">
        <f>IF('Assumptions - Passenger'!$E$437&lt;&gt;0,IF(AND('Assumptions - Passenger'!$E$445=2,Calculations!H$793&gt;0,Calculations!H$793&lt;=('Assumptions - Passenger'!$E$443-'Assumptions - Passenger'!$E$444)),'Assumptions - Passenger'!$E$437/('Assumptions - Passenger'!$E$443-'Assumptions - Passenger'!$E$444),0),0)</f>
        <v>0</v>
      </c>
      <c r="I798" s="126">
        <f>IF('Assumptions - Passenger'!$E$437&lt;&gt;0,IF(AND('Assumptions - Passenger'!$E$445=2,Calculations!I$793&gt;0,Calculations!I$793&lt;=('Assumptions - Passenger'!$E$443-'Assumptions - Passenger'!$E$444)),'Assumptions - Passenger'!$E$437/('Assumptions - Passenger'!$E$443-'Assumptions - Passenger'!$E$444),0),0)</f>
        <v>0</v>
      </c>
      <c r="J798" s="126">
        <f>IF('Assumptions - Passenger'!$E$437&lt;&gt;0,IF(AND('Assumptions - Passenger'!$E$445=2,Calculations!J$793&gt;0,Calculations!J$793&lt;=('Assumptions - Passenger'!$E$443-'Assumptions - Passenger'!$E$444)),'Assumptions - Passenger'!$E$437/('Assumptions - Passenger'!$E$443-'Assumptions - Passenger'!$E$444),0),0)</f>
        <v>0</v>
      </c>
      <c r="K798" s="126">
        <f>IF('Assumptions - Passenger'!$E$437&lt;&gt;0,IF(AND('Assumptions - Passenger'!$E$445=2,Calculations!K$793&gt;0,Calculations!K$793&lt;=('Assumptions - Passenger'!$E$443-'Assumptions - Passenger'!$E$444)),'Assumptions - Passenger'!$E$437/('Assumptions - Passenger'!$E$443-'Assumptions - Passenger'!$E$444),0),0)</f>
        <v>0</v>
      </c>
      <c r="L798" s="126">
        <f>IF('Assumptions - Passenger'!$E$437&lt;&gt;0,IF(AND('Assumptions - Passenger'!$E$445=2,Calculations!L$793&gt;0,Calculations!L$793&lt;=('Assumptions - Passenger'!$E$443-'Assumptions - Passenger'!$E$444)),'Assumptions - Passenger'!$E$437/('Assumptions - Passenger'!$E$443-'Assumptions - Passenger'!$E$444),0),0)</f>
        <v>0</v>
      </c>
      <c r="M798" s="126">
        <f>IF('Assumptions - Passenger'!$E$437&lt;&gt;0,IF(AND('Assumptions - Passenger'!$E$445=2,Calculations!M$793&gt;0,Calculations!M$793&lt;=('Assumptions - Passenger'!$E$443-'Assumptions - Passenger'!$E$444)),'Assumptions - Passenger'!$E$437/('Assumptions - Passenger'!$E$443-'Assumptions - Passenger'!$E$444),0),0)</f>
        <v>0</v>
      </c>
      <c r="N798" s="126">
        <f>IF('Assumptions - Passenger'!$E$437&lt;&gt;0,IF(AND('Assumptions - Passenger'!$E$445=2,Calculations!N$793&gt;0,Calculations!N$793&lt;=('Assumptions - Passenger'!$E$443-'Assumptions - Passenger'!$E$444)),'Assumptions - Passenger'!$E$437/('Assumptions - Passenger'!$E$443-'Assumptions - Passenger'!$E$444),0),0)</f>
        <v>0</v>
      </c>
      <c r="O798" s="126">
        <f>IF('Assumptions - Passenger'!$E$437&lt;&gt;0,IF(AND('Assumptions - Passenger'!$E$445=2,Calculations!O$793&gt;0,Calculations!O$793&lt;=('Assumptions - Passenger'!$E$443-'Assumptions - Passenger'!$E$444)),'Assumptions - Passenger'!$E$437/('Assumptions - Passenger'!$E$443-'Assumptions - Passenger'!$E$444),0),0)</f>
        <v>0</v>
      </c>
      <c r="P798" s="126">
        <f>IF('Assumptions - Passenger'!$E$437&lt;&gt;0,IF(AND('Assumptions - Passenger'!$E$445=2,Calculations!P$793&gt;0,Calculations!P$793&lt;=('Assumptions - Passenger'!$E$443-'Assumptions - Passenger'!$E$444)),'Assumptions - Passenger'!$E$437/('Assumptions - Passenger'!$E$443-'Assumptions - Passenger'!$E$444),0),0)</f>
        <v>0</v>
      </c>
      <c r="Q798" s="126">
        <f>IF('Assumptions - Passenger'!$E$437&lt;&gt;0,IF(AND('Assumptions - Passenger'!$E$445=2,Calculations!Q$793&gt;0,Calculations!Q$793&lt;=('Assumptions - Passenger'!$E$443-'Assumptions - Passenger'!$E$444)),'Assumptions - Passenger'!$E$437/('Assumptions - Passenger'!$E$443-'Assumptions - Passenger'!$E$444),0),0)</f>
        <v>0</v>
      </c>
      <c r="R798" s="126">
        <f>IF('Assumptions - Passenger'!$E$437&lt;&gt;0,IF(AND('Assumptions - Passenger'!$E$445=2,Calculations!R$793&gt;0,Calculations!R$793&lt;=('Assumptions - Passenger'!$E$443-'Assumptions - Passenger'!$E$444)),'Assumptions - Passenger'!$E$437/('Assumptions - Passenger'!$E$443-'Assumptions - Passenger'!$E$444),0),0)</f>
        <v>0</v>
      </c>
      <c r="S798" s="126">
        <f>IF('Assumptions - Passenger'!$E$437&lt;&gt;0,IF(AND('Assumptions - Passenger'!$E$445=2,Calculations!S$793&gt;0,Calculations!S$793&lt;=('Assumptions - Passenger'!$E$443-'Assumptions - Passenger'!$E$444)),'Assumptions - Passenger'!$E$437/('Assumptions - Passenger'!$E$443-'Assumptions - Passenger'!$E$444),0),0)</f>
        <v>0</v>
      </c>
      <c r="T798" s="126">
        <f>IF('Assumptions - Passenger'!$E$437&lt;&gt;0,IF(AND('Assumptions - Passenger'!$E$445=2,Calculations!T$793&gt;0,Calculations!T$793&lt;=('Assumptions - Passenger'!$E$443-'Assumptions - Passenger'!$E$444)),'Assumptions - Passenger'!$E$437/('Assumptions - Passenger'!$E$443-'Assumptions - Passenger'!$E$444),0),0)</f>
        <v>0</v>
      </c>
      <c r="U798" s="126">
        <f>IF('Assumptions - Passenger'!$E$437&lt;&gt;0,IF(AND('Assumptions - Passenger'!$E$445=2,Calculations!U$793&gt;0,Calculations!U$793&lt;=('Assumptions - Passenger'!$E$443-'Assumptions - Passenger'!$E$444)),'Assumptions - Passenger'!$E$437/('Assumptions - Passenger'!$E$443-'Assumptions - Passenger'!$E$444),0),0)</f>
        <v>0</v>
      </c>
      <c r="V798" s="126">
        <f>IF('Assumptions - Passenger'!$E$437&lt;&gt;0,IF(AND('Assumptions - Passenger'!$E$445=2,Calculations!V$793&gt;0,Calculations!V$793&lt;=('Assumptions - Passenger'!$E$443-'Assumptions - Passenger'!$E$444)),'Assumptions - Passenger'!$E$437/('Assumptions - Passenger'!$E$443-'Assumptions - Passenger'!$E$444),0),0)</f>
        <v>0</v>
      </c>
      <c r="W798" s="126">
        <f>IF('Assumptions - Passenger'!$E$437&lt;&gt;0,IF(AND('Assumptions - Passenger'!$E$445=2,Calculations!W$793&gt;0,Calculations!W$793&lt;=('Assumptions - Passenger'!$E$443-'Assumptions - Passenger'!$E$444)),'Assumptions - Passenger'!$E$437/('Assumptions - Passenger'!$E$443-'Assumptions - Passenger'!$E$444),0),0)</f>
        <v>0</v>
      </c>
      <c r="X798" s="126">
        <f>IF('Assumptions - Passenger'!$E$437&lt;&gt;0,IF(AND('Assumptions - Passenger'!$E$445=2,Calculations!X$793&gt;0,Calculations!X$793&lt;=('Assumptions - Passenger'!$E$443-'Assumptions - Passenger'!$E$444)),'Assumptions - Passenger'!$E$437/('Assumptions - Passenger'!$E$443-'Assumptions - Passenger'!$E$444),0),0)</f>
        <v>0</v>
      </c>
      <c r="Y798" s="126">
        <f>IF('Assumptions - Passenger'!$E$437&lt;&gt;0,IF(AND('Assumptions - Passenger'!$E$445=2,Calculations!Y$793&gt;0,Calculations!Y$793&lt;=('Assumptions - Passenger'!$E$443-'Assumptions - Passenger'!$E$444)),'Assumptions - Passenger'!$E$437/('Assumptions - Passenger'!$E$443-'Assumptions - Passenger'!$E$444),0),0)</f>
        <v>0</v>
      </c>
      <c r="Z798" s="126">
        <f>IF('Assumptions - Passenger'!$E$437&lt;&gt;0,IF(AND('Assumptions - Passenger'!$E$445=2,Calculations!Z$793&gt;0,Calculations!Z$793&lt;=('Assumptions - Passenger'!$E$443-'Assumptions - Passenger'!$E$444)),'Assumptions - Passenger'!$E$437/('Assumptions - Passenger'!$E$443-'Assumptions - Passenger'!$E$444),0),0)</f>
        <v>0</v>
      </c>
      <c r="AA798" s="126">
        <f>IF('Assumptions - Passenger'!$E$437&lt;&gt;0,IF(AND('Assumptions - Passenger'!$E$445=2,Calculations!AA$793&gt;0,Calculations!AA$793&lt;=('Assumptions - Passenger'!$E$443-'Assumptions - Passenger'!$E$444)),'Assumptions - Passenger'!$E$437/('Assumptions - Passenger'!$E$443-'Assumptions - Passenger'!$E$444),0),0)</f>
        <v>0</v>
      </c>
      <c r="AB798" s="126">
        <f>IF('Assumptions - Passenger'!$E$437&lt;&gt;0,IF(AND('Assumptions - Passenger'!$E$445=2,Calculations!AB$793&gt;0,Calculations!AB$793&lt;=('Assumptions - Passenger'!$E$443-'Assumptions - Passenger'!$E$444)),'Assumptions - Passenger'!$E$437/('Assumptions - Passenger'!$E$443-'Assumptions - Passenger'!$E$444),0),0)</f>
        <v>0</v>
      </c>
      <c r="AC798" s="126">
        <f>IF('Assumptions - Passenger'!$E$437&lt;&gt;0,IF(AND('Assumptions - Passenger'!$E$445=2,Calculations!AC$793&gt;0,Calculations!AC$793&lt;=('Assumptions - Passenger'!$E$443-'Assumptions - Passenger'!$E$444)),'Assumptions - Passenger'!$E$437/('Assumptions - Passenger'!$E$443-'Assumptions - Passenger'!$E$444),0),0)</f>
        <v>0</v>
      </c>
      <c r="AD798" s="126">
        <f>IF('Assumptions - Passenger'!$E$437&lt;&gt;0,IF(AND('Assumptions - Passenger'!$E$445=2,Calculations!AD$793&gt;0,Calculations!AD$793&lt;=('Assumptions - Passenger'!$E$443-'Assumptions - Passenger'!$E$444)),'Assumptions - Passenger'!$E$437/('Assumptions - Passenger'!$E$443-'Assumptions - Passenger'!$E$444),0),0)</f>
        <v>0</v>
      </c>
      <c r="AE798" s="126">
        <f>IF('Assumptions - Passenger'!$E$437&lt;&gt;0,IF(AND('Assumptions - Passenger'!$E$445=2,Calculations!AE$793&gt;0,Calculations!AE$793&lt;=('Assumptions - Passenger'!$E$443-'Assumptions - Passenger'!$E$444)),'Assumptions - Passenger'!$E$437/('Assumptions - Passenger'!$E$443-'Assumptions - Passenger'!$E$444),0),0)</f>
        <v>0</v>
      </c>
      <c r="AF798" s="126">
        <f>IF('Assumptions - Passenger'!$E$437&lt;&gt;0,IF(AND('Assumptions - Passenger'!$E$445=2,Calculations!AF$793&gt;0,Calculations!AF$793&lt;=('Assumptions - Passenger'!$E$443-'Assumptions - Passenger'!$E$444)),'Assumptions - Passenger'!$E$437/('Assumptions - Passenger'!$E$443-'Assumptions - Passenger'!$E$444),0),0)</f>
        <v>0</v>
      </c>
      <c r="AG798" s="126">
        <f>IF('Assumptions - Passenger'!$E$437&lt;&gt;0,IF(AND('Assumptions - Passenger'!$E$445=2,Calculations!AG$793&gt;0,Calculations!AG$793&lt;=('Assumptions - Passenger'!$E$443-'Assumptions - Passenger'!$E$444)),'Assumptions - Passenger'!$E$437/('Assumptions - Passenger'!$E$443-'Assumptions - Passenger'!$E$444),0),0)</f>
        <v>0</v>
      </c>
      <c r="AH798" s="126">
        <f>IF('Assumptions - Passenger'!$E$437&lt;&gt;0,IF(AND('Assumptions - Passenger'!$E$445=2,Calculations!AH$793&gt;0,Calculations!AH$793&lt;=('Assumptions - Passenger'!$E$443-'Assumptions - Passenger'!$E$444)),'Assumptions - Passenger'!$E$437/('Assumptions - Passenger'!$E$443-'Assumptions - Passenger'!$E$444),0),0)</f>
        <v>0</v>
      </c>
    </row>
    <row r="799" spans="1:34" s="20" customFormat="1" ht="14" x14ac:dyDescent="0.2">
      <c r="A799" s="8"/>
      <c r="B799" s="125" t="s">
        <v>678</v>
      </c>
      <c r="C799" s="8"/>
      <c r="D799" s="8" t="str">
        <f t="shared" si="317"/>
        <v>R$ millions</v>
      </c>
      <c r="E799" s="126">
        <f>IF('Assumptions - Passenger'!$E$437&lt;&gt;0,IF(AND('Assumptions - Passenger'!$E445=3,E793&gt;0,E793&lt;=('Assumptions - Passenger'!$E$443-'Assumptions - Passenger'!$E$444)),E795*D800/SUM(E800:$AH800)-E801,0),0)</f>
        <v>0</v>
      </c>
      <c r="F799" s="126">
        <f>IF('Assumptions - Passenger'!$E$437&lt;&gt;0,IF(AND('Assumptions - Passenger'!$E445=3,F793&gt;0,F793&lt;=('Assumptions - Passenger'!$E$443-'Assumptions - Passenger'!$E$444)),F795*E800/SUM(F800:$AH800)-F801,0),0)</f>
        <v>0</v>
      </c>
      <c r="G799" s="126">
        <f>IF('Assumptions - Passenger'!$E$437&lt;&gt;0,IF(AND('Assumptions - Passenger'!$E445=3,G793&gt;0,G793&lt;=('Assumptions - Passenger'!$E$443-'Assumptions - Passenger'!$E$444)),G795*F800/SUM(G800:$AH800)-G801,0),0)</f>
        <v>0</v>
      </c>
      <c r="H799" s="126">
        <f>IF('Assumptions - Passenger'!$E$437&lt;&gt;0,IF(AND('Assumptions - Passenger'!$E445=3,H793&gt;0,H793&lt;=('Assumptions - Passenger'!$E$443-'Assumptions - Passenger'!$E$444)),H795*G800/SUM(H800:$AH800)-H801,0),0)</f>
        <v>0</v>
      </c>
      <c r="I799" s="126">
        <f>IF('Assumptions - Passenger'!$E$437&lt;&gt;0,IF(AND('Assumptions - Passenger'!$E445=3,I793&gt;0,I793&lt;=('Assumptions - Passenger'!$E$443-'Assumptions - Passenger'!$E$444)),I795*H800/SUM(I800:$AH800)-I801,0),0)</f>
        <v>0</v>
      </c>
      <c r="J799" s="126">
        <f>IF('Assumptions - Passenger'!$E$437&lt;&gt;0,IF(AND('Assumptions - Passenger'!$E445=3,J793&gt;0,J793&lt;=('Assumptions - Passenger'!$E$443-'Assumptions - Passenger'!$E$444)),J795*I800/SUM(J800:$AH800)-J801,0),0)</f>
        <v>0</v>
      </c>
      <c r="K799" s="126">
        <f>IF('Assumptions - Passenger'!$E$437&lt;&gt;0,IF(AND('Assumptions - Passenger'!$E445=3,K793&gt;0,K793&lt;=('Assumptions - Passenger'!$E$443-'Assumptions - Passenger'!$E$444)),K795*J800/SUM(K800:$AH800)-K801,0),0)</f>
        <v>0</v>
      </c>
      <c r="L799" s="126">
        <f>IF('Assumptions - Passenger'!$E$437&lt;&gt;0,IF(AND('Assumptions - Passenger'!$E445=3,L793&gt;0,L793&lt;=('Assumptions - Passenger'!$E$443-'Assumptions - Passenger'!$E$444)),L795*K800/SUM(L800:$AH800)-L801,0),0)</f>
        <v>3.975228748272837</v>
      </c>
      <c r="M799" s="126">
        <f>IF('Assumptions - Passenger'!$E$437&lt;&gt;0,IF(AND('Assumptions - Passenger'!$E445=3,M793&gt;0,M793&lt;=('Assumptions - Passenger'!$E$443-'Assumptions - Passenger'!$E$444)),M795*L800/SUM(M800:$AH800)-M801,0),0)</f>
        <v>4.1739901856864758</v>
      </c>
      <c r="N799" s="126">
        <f>IF('Assumptions - Passenger'!$E$437&lt;&gt;0,IF(AND('Assumptions - Passenger'!$E445=3,N793&gt;0,N793&lt;=('Assumptions - Passenger'!$E$443-'Assumptions - Passenger'!$E$444)),N795*M800/SUM(N800:$AH800)-N801,0),0)</f>
        <v>4.382689694970801</v>
      </c>
      <c r="O799" s="126">
        <f>IF('Assumptions - Passenger'!$E$437&lt;&gt;0,IF(AND('Assumptions - Passenger'!$E445=3,O793&gt;0,O793&lt;=('Assumptions - Passenger'!$E$443-'Assumptions - Passenger'!$E$444)),O795*N800/SUM(O800:$AH800)-O801,0),0)</f>
        <v>4.6018241797193413</v>
      </c>
      <c r="P799" s="126">
        <f>IF('Assumptions - Passenger'!$E$437&lt;&gt;0,IF(AND('Assumptions - Passenger'!$E445=3,P793&gt;0,P793&lt;=('Assumptions - Passenger'!$E$443-'Assumptions - Passenger'!$E$444)),P795*O800/SUM(P800:$AH800)-P801,0),0)</f>
        <v>4.8319153887053066</v>
      </c>
      <c r="Q799" s="126">
        <f>IF('Assumptions - Passenger'!$E$437&lt;&gt;0,IF(AND('Assumptions - Passenger'!$E445=3,Q793&gt;0,Q793&lt;=('Assumptions - Passenger'!$E$443-'Assumptions - Passenger'!$E$444)),Q795*P800/SUM(Q800:$AH800)-Q801,0),0)</f>
        <v>5.0735111581405716</v>
      </c>
      <c r="R799" s="126">
        <f>IF('Assumptions - Passenger'!$E$437&lt;&gt;0,IF(AND('Assumptions - Passenger'!$E445=3,R793&gt;0,R793&lt;=('Assumptions - Passenger'!$E$443-'Assumptions - Passenger'!$E$444)),R795*Q800/SUM(R800:$AH800)-R801,0),0)</f>
        <v>5.3271867160476001</v>
      </c>
      <c r="S799" s="126">
        <f>IF('Assumptions - Passenger'!$E$437&lt;&gt;0,IF(AND('Assumptions - Passenger'!$E445=3,S793&gt;0,S793&lt;=('Assumptions - Passenger'!$E$443-'Assumptions - Passenger'!$E$444)),S795*R800/SUM(S800:$AH800)-S801,0),0)</f>
        <v>5.5935460518499802</v>
      </c>
      <c r="T799" s="126">
        <f>IF('Assumptions - Passenger'!$E$437&lt;&gt;0,IF(AND('Assumptions - Passenger'!$E445=3,T793&gt;0,T793&lt;=('Assumptions - Passenger'!$E$443-'Assumptions - Passenger'!$E$444)),T795*S800/SUM(T800:$AH800)-T801,0),0)</f>
        <v>5.8732233544424783</v>
      </c>
      <c r="U799" s="126">
        <f>IF('Assumptions - Passenger'!$E$437&lt;&gt;0,IF(AND('Assumptions - Passenger'!$E445=3,U793&gt;0,U793&lt;=('Assumptions - Passenger'!$E$443-'Assumptions - Passenger'!$E$444)),U795*T800/SUM(U800:$AH800)-U801,0),0)</f>
        <v>6.1668845221646036</v>
      </c>
      <c r="V799" s="126">
        <f>IF('Assumptions - Passenger'!$E$437&lt;&gt;0,IF(AND('Assumptions - Passenger'!$E445=3,V793&gt;0,V793&lt;=('Assumptions - Passenger'!$E$443-'Assumptions - Passenger'!$E$444)),V795*U800/SUM(V800:$AH800)-V801,0),0)</f>
        <v>0</v>
      </c>
      <c r="W799" s="126">
        <f>IF('Assumptions - Passenger'!$E$437&lt;&gt;0,IF(AND('Assumptions - Passenger'!$E445=3,W793&gt;0,W793&lt;=('Assumptions - Passenger'!$E$443-'Assumptions - Passenger'!$E$444)),W795*V800/SUM(W800:$AH800)-W801,0),0)</f>
        <v>0</v>
      </c>
      <c r="X799" s="126">
        <f>IF('Assumptions - Passenger'!$E$437&lt;&gt;0,IF(AND('Assumptions - Passenger'!$E445=3,X793&gt;0,X793&lt;=('Assumptions - Passenger'!$E$443-'Assumptions - Passenger'!$E$444)),X795*W800/SUM(X800:$AH800)-X801,0),0)</f>
        <v>0</v>
      </c>
      <c r="Y799" s="126">
        <f>IF('Assumptions - Passenger'!$E$437&lt;&gt;0,IF(AND('Assumptions - Passenger'!$E445=3,Y793&gt;0,Y793&lt;=('Assumptions - Passenger'!$E$443-'Assumptions - Passenger'!$E$444)),Y795*X800/SUM(Y800:$AH800)-Y801,0),0)</f>
        <v>0</v>
      </c>
      <c r="Z799" s="126">
        <f>IF('Assumptions - Passenger'!$E$437&lt;&gt;0,IF(AND('Assumptions - Passenger'!$E445=3,Z793&gt;0,Z793&lt;=('Assumptions - Passenger'!$E$443-'Assumptions - Passenger'!$E$444)),Z795*Y800/SUM(Z800:$AH800)-Z801,0),0)</f>
        <v>0</v>
      </c>
      <c r="AA799" s="126">
        <f>IF('Assumptions - Passenger'!$E$437&lt;&gt;0,IF(AND('Assumptions - Passenger'!$E445=3,AA793&gt;0,AA793&lt;=('Assumptions - Passenger'!$E$443-'Assumptions - Passenger'!$E$444)),AA795*Z800/SUM(AA800:$AH800)-AA801,0),0)</f>
        <v>0</v>
      </c>
      <c r="AB799" s="126">
        <f>IF('Assumptions - Passenger'!$E$437&lt;&gt;0,IF(AND('Assumptions - Passenger'!$E445=3,AB793&gt;0,AB793&lt;=('Assumptions - Passenger'!$E$443-'Assumptions - Passenger'!$E$444)),AB795*AA800/SUM(AB800:$AH800)-AB801,0),0)</f>
        <v>0</v>
      </c>
      <c r="AC799" s="126">
        <f>IF('Assumptions - Passenger'!$E$437&lt;&gt;0,IF(AND('Assumptions - Passenger'!$E445=3,AC793&gt;0,AC793&lt;=('Assumptions - Passenger'!$E$443-'Assumptions - Passenger'!$E$444)),AC795*AB800/SUM(AC800:$AH800)-AC801,0),0)</f>
        <v>0</v>
      </c>
      <c r="AD799" s="126">
        <f>IF('Assumptions - Passenger'!$E$437&lt;&gt;0,IF(AND('Assumptions - Passenger'!$E445=3,AD793&gt;0,AD793&lt;=('Assumptions - Passenger'!$E$443-'Assumptions - Passenger'!$E$444)),AD795*AC800/SUM(AD800:$AH800)-AD801,0),0)</f>
        <v>0</v>
      </c>
      <c r="AE799" s="126">
        <f>IF('Assumptions - Passenger'!$E$437&lt;&gt;0,IF(AND('Assumptions - Passenger'!$E445=3,AE793&gt;0,AE793&lt;=('Assumptions - Passenger'!$E$443-'Assumptions - Passenger'!$E$444)),AE795*AD800/SUM(AE800:$AH800)-AE801,0),0)</f>
        <v>0</v>
      </c>
      <c r="AF799" s="126">
        <f>IF('Assumptions - Passenger'!$E$437&lt;&gt;0,IF(AND('Assumptions - Passenger'!$E445=3,AF793&gt;0,AF793&lt;=('Assumptions - Passenger'!$E$443-'Assumptions - Passenger'!$E$444)),AF795*AE800/SUM(AF800:$AH800)-AF801,0),0)</f>
        <v>0</v>
      </c>
      <c r="AG799" s="126">
        <f>IF('Assumptions - Passenger'!$E$437&lt;&gt;0,IF(AND('Assumptions - Passenger'!$E445=3,AG793&gt;0,AG793&lt;=('Assumptions - Passenger'!$E$443-'Assumptions - Passenger'!$E$444)),AG795*AF800/SUM(AG800:$AH800)-AG801,0),0)</f>
        <v>0</v>
      </c>
      <c r="AH799" s="126">
        <f>IF('Assumptions - Passenger'!$E$437&lt;&gt;0,IF(AND('Assumptions - Passenger'!$E445=3,AH793&gt;0,AH793&lt;=('Assumptions - Passenger'!$E$443-'Assumptions - Passenger'!$E$444)),AH795*AG800/SUM(AH800:$AH800)-AH801,0),0)</f>
        <v>0</v>
      </c>
    </row>
    <row r="800" spans="1:34" s="20" customFormat="1" ht="14" x14ac:dyDescent="0.2">
      <c r="B800" s="127" t="s">
        <v>677</v>
      </c>
      <c r="D800" s="87">
        <v>1</v>
      </c>
      <c r="E800" s="126">
        <f>IF('Assumptions - Passenger'!$E$437&lt;&gt;0,IF(AND('Assumptions - Passenger'!$E445=3,E793&lt;=('Assumptions - Passenger'!$E$443-'Assumptions - Passenger'!$E$444)),D800/(1+E794),0),0)</f>
        <v>0.95238095238095233</v>
      </c>
      <c r="F800" s="126">
        <f>IF('Assumptions - Passenger'!$E$437&lt;&gt;0,IF(AND('Assumptions - Passenger'!$E445=3,F793&lt;=('Assumptions - Passenger'!$E$443-'Assumptions - Passenger'!$E$444)),E800/(1+F794),0),0)</f>
        <v>0.90702947845804982</v>
      </c>
      <c r="G800" s="126">
        <f>IF('Assumptions - Passenger'!$E$437&lt;&gt;0,IF(AND('Assumptions - Passenger'!$E445=3,G793&lt;=('Assumptions - Passenger'!$E$443-'Assumptions - Passenger'!$E$444)),F800/(1+G794),0),0)</f>
        <v>0.86383759853147601</v>
      </c>
      <c r="H800" s="126">
        <f>IF('Assumptions - Passenger'!$E$437&lt;&gt;0,IF(AND('Assumptions - Passenger'!$E445=3,H793&lt;=('Assumptions - Passenger'!$E$443-'Assumptions - Passenger'!$E$444)),G800/(1+H794),0),0)</f>
        <v>0.82270247479188185</v>
      </c>
      <c r="I800" s="126">
        <f>IF('Assumptions - Passenger'!$E$437&lt;&gt;0,IF(AND('Assumptions - Passenger'!$E445=3,I793&lt;=('Assumptions - Passenger'!$E$443-'Assumptions - Passenger'!$E$444)),H800/(1+I794),0),0)</f>
        <v>0.78352616646845885</v>
      </c>
      <c r="J800" s="126">
        <f>IF('Assumptions - Passenger'!$E$437&lt;&gt;0,IF(AND('Assumptions - Passenger'!$E445=3,J793&lt;=('Assumptions - Passenger'!$E$443-'Assumptions - Passenger'!$E$444)),I800/(1+J794),0),0)</f>
        <v>0.74621539663662739</v>
      </c>
      <c r="K800" s="126">
        <f>IF('Assumptions - Passenger'!$E$437&lt;&gt;0,IF(AND('Assumptions - Passenger'!$E445=3,K793&lt;=('Assumptions - Passenger'!$E$443-'Assumptions - Passenger'!$E$444)),J800/(1+K794),0),0)</f>
        <v>0.71068133013012125</v>
      </c>
      <c r="L800" s="126">
        <f>IF('Assumptions - Passenger'!$E$437&lt;&gt;0,IF(AND('Assumptions - Passenger'!$E445=3,L793&lt;=('Assumptions - Passenger'!$E$443-'Assumptions - Passenger'!$E$444)),K800/(1+L794),0),0)</f>
        <v>0.67683936202868689</v>
      </c>
      <c r="M800" s="126">
        <f>IF('Assumptions - Passenger'!$E$437&lt;&gt;0,IF(AND('Assumptions - Passenger'!$E445=3,M793&lt;=('Assumptions - Passenger'!$E$443-'Assumptions - Passenger'!$E$444)),L800/(1+M794),0),0)</f>
        <v>0.64460891621779703</v>
      </c>
      <c r="N800" s="126">
        <f>IF('Assumptions - Passenger'!$E$437&lt;&gt;0,IF(AND('Assumptions - Passenger'!$E445=3,N793&lt;=('Assumptions - Passenger'!$E$443-'Assumptions - Passenger'!$E$444)),M800/(1+N794),0),0)</f>
        <v>0.6139132535407591</v>
      </c>
      <c r="O800" s="126">
        <f>IF('Assumptions - Passenger'!$E$437&lt;&gt;0,IF(AND('Assumptions - Passenger'!$E445=3,O793&lt;=('Assumptions - Passenger'!$E$443-'Assumptions - Passenger'!$E$444)),N800/(1+O794),0),0)</f>
        <v>0.58467928908643718</v>
      </c>
      <c r="P800" s="126">
        <f>IF('Assumptions - Passenger'!$E$437&lt;&gt;0,IF(AND('Assumptions - Passenger'!$E445=3,P793&lt;=('Assumptions - Passenger'!$E$443-'Assumptions - Passenger'!$E$444)),O800/(1+P794),0),0)</f>
        <v>0.55683741817755916</v>
      </c>
      <c r="Q800" s="126">
        <f>IF('Assumptions - Passenger'!$E$437&lt;&gt;0,IF(AND('Assumptions - Passenger'!$E445=3,Q793&lt;=('Assumptions - Passenger'!$E$443-'Assumptions - Passenger'!$E$444)),P800/(1+Q794),0),0)</f>
        <v>0.5303213506452944</v>
      </c>
      <c r="R800" s="126">
        <f>IF('Assumptions - Passenger'!$E$437&lt;&gt;0,IF(AND('Assumptions - Passenger'!$E445=3,R793&lt;=('Assumptions - Passenger'!$E$443-'Assumptions - Passenger'!$E$444)),Q800/(1+R794),0),0)</f>
        <v>0.50506795299551843</v>
      </c>
      <c r="S800" s="126">
        <f>IF('Assumptions - Passenger'!$E$437&lt;&gt;0,IF(AND('Assumptions - Passenger'!$E445=3,S793&lt;=('Assumptions - Passenger'!$E$443-'Assumptions - Passenger'!$E$444)),R800/(1+S794),0),0)</f>
        <v>0.48101709809096993</v>
      </c>
      <c r="T800" s="126">
        <f>IF('Assumptions - Passenger'!$E$437&lt;&gt;0,IF(AND('Assumptions - Passenger'!$E445=3,T793&lt;=('Assumptions - Passenger'!$E$443-'Assumptions - Passenger'!$E$444)),S800/(1+T794),0),0)</f>
        <v>0.45811152199139993</v>
      </c>
      <c r="U800" s="126">
        <f>IF('Assumptions - Passenger'!$E$437&lt;&gt;0,IF(AND('Assumptions - Passenger'!$E445=3,U793&lt;=('Assumptions - Passenger'!$E$443-'Assumptions - Passenger'!$E$444)),T800/(1+U794),0),0)</f>
        <v>0.43629668761085705</v>
      </c>
      <c r="V800" s="126">
        <f>IF('Assumptions - Passenger'!$E$437&lt;&gt;0,IF(AND('Assumptions - Passenger'!$E445=3,V793&lt;=('Assumptions - Passenger'!$E$443-'Assumptions - Passenger'!$E$444)),U800/(1+V794),0),0)</f>
        <v>0</v>
      </c>
      <c r="W800" s="126">
        <f>IF('Assumptions - Passenger'!$E$437&lt;&gt;0,IF(AND('Assumptions - Passenger'!$E445=3,W793&lt;=('Assumptions - Passenger'!$E$443-'Assumptions - Passenger'!$E$444)),V800/(1+W794),0),0)</f>
        <v>0</v>
      </c>
      <c r="X800" s="126">
        <f>IF('Assumptions - Passenger'!$E$437&lt;&gt;0,IF(AND('Assumptions - Passenger'!$E445=3,X793&lt;=('Assumptions - Passenger'!$E$443-'Assumptions - Passenger'!$E$444)),W800/(1+X794),0),0)</f>
        <v>0</v>
      </c>
      <c r="Y800" s="126">
        <f>IF('Assumptions - Passenger'!$E$437&lt;&gt;0,IF(AND('Assumptions - Passenger'!$E445=3,Y793&lt;=('Assumptions - Passenger'!$E$443-'Assumptions - Passenger'!$E$444)),X800/(1+Y794),0),0)</f>
        <v>0</v>
      </c>
      <c r="Z800" s="126">
        <f>IF('Assumptions - Passenger'!$E$437&lt;&gt;0,IF(AND('Assumptions - Passenger'!$E445=3,Z793&lt;=('Assumptions - Passenger'!$E$443-'Assumptions - Passenger'!$E$444)),Y800/(1+Z794),0),0)</f>
        <v>0</v>
      </c>
      <c r="AA800" s="126">
        <f>IF('Assumptions - Passenger'!$E$437&lt;&gt;0,IF(AND('Assumptions - Passenger'!$E445=3,AA793&lt;=('Assumptions - Passenger'!$E$443-'Assumptions - Passenger'!$E$444)),Z800/(1+AA794),0),0)</f>
        <v>0</v>
      </c>
      <c r="AB800" s="126">
        <f>IF('Assumptions - Passenger'!$E$437&lt;&gt;0,IF(AND('Assumptions - Passenger'!$E445=3,AB793&lt;=('Assumptions - Passenger'!$E$443-'Assumptions - Passenger'!$E$444)),AA800/(1+AB794),0),0)</f>
        <v>0</v>
      </c>
      <c r="AC800" s="126">
        <f>IF('Assumptions - Passenger'!$E$437&lt;&gt;0,IF(AND('Assumptions - Passenger'!$E445=3,AC793&lt;=('Assumptions - Passenger'!$E$443-'Assumptions - Passenger'!$E$444)),AB800/(1+AC794),0),0)</f>
        <v>0</v>
      </c>
      <c r="AD800" s="126">
        <f>IF('Assumptions - Passenger'!$E$437&lt;&gt;0,IF(AND('Assumptions - Passenger'!$E445=3,AD793&lt;=('Assumptions - Passenger'!$E$443-'Assumptions - Passenger'!$E$444)),AC800/(1+AD794),0),0)</f>
        <v>0</v>
      </c>
      <c r="AE800" s="126">
        <f>IF('Assumptions - Passenger'!$E$437&lt;&gt;0,IF(AND('Assumptions - Passenger'!$E445=3,AE793&lt;=('Assumptions - Passenger'!$E$443-'Assumptions - Passenger'!$E$444)),AD800/(1+AE794),0),0)</f>
        <v>0</v>
      </c>
      <c r="AF800" s="126">
        <f>IF('Assumptions - Passenger'!$E$437&lt;&gt;0,IF(AND('Assumptions - Passenger'!$E445=3,AF793&lt;=('Assumptions - Passenger'!$E$443-'Assumptions - Passenger'!$E$444)),AE800/(1+AF794),0),0)</f>
        <v>0</v>
      </c>
      <c r="AG800" s="126">
        <f>IF('Assumptions - Passenger'!$E$437&lt;&gt;0,IF(AND('Assumptions - Passenger'!$E445=3,AG793&lt;=('Assumptions - Passenger'!$E$443-'Assumptions - Passenger'!$E$444)),AF800/(1+AG794),0),0)</f>
        <v>0</v>
      </c>
      <c r="AH800" s="126">
        <f>IF('Assumptions - Passenger'!$E$437&lt;&gt;0,IF(AND('Assumptions - Passenger'!$E445=3,AH793&lt;=('Assumptions - Passenger'!$E$443-'Assumptions - Passenger'!$E$444)),AG800/(1+AH794),0),0)</f>
        <v>0</v>
      </c>
    </row>
    <row r="801" spans="1:34" s="20" customFormat="1" ht="14" x14ac:dyDescent="0.2">
      <c r="A801" s="8"/>
      <c r="B801" s="125" t="s">
        <v>679</v>
      </c>
      <c r="C801" s="8"/>
      <c r="D801" s="8" t="str">
        <f>D799</f>
        <v>R$ millions</v>
      </c>
      <c r="E801" s="126">
        <f>IF('Assumptions - Passenger'!$E$437&lt;&gt;0,IF('Assumptions - Passenger'!$E445=3,E794*E795,0),0)</f>
        <v>0</v>
      </c>
      <c r="F801" s="126">
        <f>IF('Assumptions - Passenger'!$E$437&lt;&gt;0,IF('Assumptions - Passenger'!$E445=3,F794*F795,0),0)</f>
        <v>0</v>
      </c>
      <c r="G801" s="126">
        <f>IF('Assumptions - Passenger'!$E$437&lt;&gt;0,IF('Assumptions - Passenger'!$E445=3,G794*G795,0),0)</f>
        <v>0</v>
      </c>
      <c r="H801" s="126">
        <f>IF('Assumptions - Passenger'!$E$437&lt;&gt;0,IF('Assumptions - Passenger'!$E445=3,H794*H795,0),0)</f>
        <v>0.5</v>
      </c>
      <c r="I801" s="126">
        <f>IF('Assumptions - Passenger'!$E$437&lt;&gt;0,IF('Assumptions - Passenger'!$E445=3,I794*I795,0),0)</f>
        <v>1</v>
      </c>
      <c r="J801" s="126">
        <f>IF('Assumptions - Passenger'!$E$437&lt;&gt;0,IF('Assumptions - Passenger'!$E445=3,J794*J795,0),0)</f>
        <v>1.5</v>
      </c>
      <c r="K801" s="126">
        <f>IF('Assumptions - Passenger'!$E$437&lt;&gt;0,IF('Assumptions - Passenger'!$E445=3,K794*K795,0),0)</f>
        <v>2</v>
      </c>
      <c r="L801" s="126">
        <f>IF('Assumptions - Passenger'!$E$437&lt;&gt;0,IF('Assumptions - Passenger'!$E445=3,L794*L795,0),0)</f>
        <v>2.5</v>
      </c>
      <c r="M801" s="126">
        <f>IF('Assumptions - Passenger'!$E$437&lt;&gt;0,IF('Assumptions - Passenger'!$E445=3,M794*M795,0),0)</f>
        <v>2.3012385625863581</v>
      </c>
      <c r="N801" s="126">
        <f>IF('Assumptions - Passenger'!$E$437&lt;&gt;0,IF('Assumptions - Passenger'!$E445=3,N794*N795,0),0)</f>
        <v>2.0925390533020343</v>
      </c>
      <c r="O801" s="126">
        <f>IF('Assumptions - Passenger'!$E$437&lt;&gt;0,IF('Assumptions - Passenger'!$E445=3,O794*O795,0),0)</f>
        <v>1.8734045685534941</v>
      </c>
      <c r="P801" s="126">
        <f>IF('Assumptions - Passenger'!$E$437&lt;&gt;0,IF('Assumptions - Passenger'!$E445=3,P794*P795,0),0)</f>
        <v>1.6433133595675269</v>
      </c>
      <c r="Q801" s="126">
        <f>IF('Assumptions - Passenger'!$E$437&lt;&gt;0,IF('Assumptions - Passenger'!$E445=3,Q794*Q795,0),0)</f>
        <v>1.4017175901322618</v>
      </c>
      <c r="R801" s="126">
        <f>IF('Assumptions - Passenger'!$E$437&lt;&gt;0,IF('Assumptions - Passenger'!$E445=3,R794*R795,0),0)</f>
        <v>1.1480420322252332</v>
      </c>
      <c r="S801" s="126">
        <f>IF('Assumptions - Passenger'!$E$437&lt;&gt;0,IF('Assumptions - Passenger'!$E445=3,S794*S795,0),0)</f>
        <v>0.88168269642285313</v>
      </c>
      <c r="T801" s="126">
        <f>IF('Assumptions - Passenger'!$E$437&lt;&gt;0,IF('Assumptions - Passenger'!$E445=3,T794*T795,0),0)</f>
        <v>0.60200539383035412</v>
      </c>
      <c r="U801" s="126">
        <f>IF('Assumptions - Passenger'!$E$437&lt;&gt;0,IF('Assumptions - Passenger'!$E445=3,U794*U795,0),0)</f>
        <v>0.30834422610823015</v>
      </c>
      <c r="V801" s="126">
        <f>IF('Assumptions - Passenger'!$E$437&lt;&gt;0,IF('Assumptions - Passenger'!$E445=3,V794*V795,0),0)</f>
        <v>0</v>
      </c>
      <c r="W801" s="126">
        <f>IF('Assumptions - Passenger'!$E$437&lt;&gt;0,IF('Assumptions - Passenger'!$E445=3,W794*W795,0),0)</f>
        <v>0</v>
      </c>
      <c r="X801" s="126">
        <f>IF('Assumptions - Passenger'!$E$437&lt;&gt;0,IF('Assumptions - Passenger'!$E445=3,X794*X795,0),0)</f>
        <v>0</v>
      </c>
      <c r="Y801" s="126">
        <f>IF('Assumptions - Passenger'!$E$437&lt;&gt;0,IF('Assumptions - Passenger'!$E445=3,Y794*Y795,0),0)</f>
        <v>0</v>
      </c>
      <c r="Z801" s="126">
        <f>IF('Assumptions - Passenger'!$E$437&lt;&gt;0,IF('Assumptions - Passenger'!$E445=3,Z794*Z795,0),0)</f>
        <v>0</v>
      </c>
      <c r="AA801" s="126">
        <f>IF('Assumptions - Passenger'!$E$437&lt;&gt;0,IF('Assumptions - Passenger'!$E445=3,AA794*AA795,0),0)</f>
        <v>0</v>
      </c>
      <c r="AB801" s="126">
        <f>IF('Assumptions - Passenger'!$E$437&lt;&gt;0,IF('Assumptions - Passenger'!$E445=3,AB794*AB795,0),0)</f>
        <v>0</v>
      </c>
      <c r="AC801" s="126">
        <f>IF('Assumptions - Passenger'!$E$437&lt;&gt;0,IF('Assumptions - Passenger'!$E445=3,AC794*AC795,0),0)</f>
        <v>0</v>
      </c>
      <c r="AD801" s="126">
        <f>IF('Assumptions - Passenger'!$E$437&lt;&gt;0,IF('Assumptions - Passenger'!$E445=3,AD794*AD795,0),0)</f>
        <v>0</v>
      </c>
      <c r="AE801" s="126">
        <f>IF('Assumptions - Passenger'!$E$437&lt;&gt;0,IF('Assumptions - Passenger'!$E445=3,AE794*AE795,0),0)</f>
        <v>0</v>
      </c>
      <c r="AF801" s="126">
        <f>IF('Assumptions - Passenger'!$E$437&lt;&gt;0,IF('Assumptions - Passenger'!$E445=3,AF794*AF795,0),0)</f>
        <v>0</v>
      </c>
      <c r="AG801" s="126">
        <f>IF('Assumptions - Passenger'!$E$437&lt;&gt;0,IF('Assumptions - Passenger'!$E445=3,AG794*AG795,0),0)</f>
        <v>0</v>
      </c>
      <c r="AH801" s="126">
        <f>IF('Assumptions - Passenger'!$E$437&lt;&gt;0,IF('Assumptions - Passenger'!$E445=3,AH794*AH795,0),0)</f>
        <v>0</v>
      </c>
    </row>
    <row r="802" spans="1:34" s="20" customFormat="1" ht="14" x14ac:dyDescent="0.2">
      <c r="A802" s="8"/>
      <c r="B802" s="8" t="s">
        <v>137</v>
      </c>
      <c r="C802" s="8"/>
      <c r="D802" s="8" t="str">
        <f t="shared" si="317"/>
        <v>R$ millions</v>
      </c>
      <c r="E802" s="126">
        <f>IF(E$17=1,IF('Assumptions - Passenger'!$E$437&gt;0,'Assumptions - Passenger'!E438,0),)</f>
        <v>0</v>
      </c>
      <c r="F802" s="126">
        <f>IF(F$17=1,IF('Assumptions - Passenger'!$E$437&gt;0,'Assumptions - Passenger'!F438,0),)</f>
        <v>0</v>
      </c>
      <c r="G802" s="126">
        <f>IF(G$17=1,IF('Assumptions - Passenger'!$E$437&gt;0,'Assumptions - Passenger'!G438,0),)</f>
        <v>10</v>
      </c>
      <c r="H802" s="126">
        <f>IF(H$17=1,IF('Assumptions - Passenger'!$E$437&gt;0,'Assumptions - Passenger'!H438,0),)</f>
        <v>10</v>
      </c>
      <c r="I802" s="126">
        <f>IF(I$17=1,IF('Assumptions - Passenger'!$E$437&gt;0,'Assumptions - Passenger'!I438,0),)</f>
        <v>10</v>
      </c>
      <c r="J802" s="126">
        <f>IF(J$17=1,IF('Assumptions - Passenger'!$E$437&gt;0,'Assumptions - Passenger'!J438,0),)</f>
        <v>10</v>
      </c>
      <c r="K802" s="126">
        <f>IF(K$17=1,IF('Assumptions - Passenger'!$E$437&gt;0,'Assumptions - Passenger'!K438,0),)</f>
        <v>10</v>
      </c>
      <c r="L802" s="126">
        <f>IF(L$17=1,IF('Assumptions - Passenger'!$E$437&gt;0,'Assumptions - Passenger'!L438,0),)</f>
        <v>0</v>
      </c>
      <c r="M802" s="126">
        <f>IF(M$17=1,IF('Assumptions - Passenger'!$E$437&gt;0,'Assumptions - Passenger'!M438,0),)</f>
        <v>0</v>
      </c>
      <c r="N802" s="126">
        <f>IF(N$17=1,IF('Assumptions - Passenger'!$E$437&gt;0,'Assumptions - Passenger'!N438,0),)</f>
        <v>0</v>
      </c>
      <c r="O802" s="126">
        <f>IF(O$17=1,IF('Assumptions - Passenger'!$E$437&gt;0,'Assumptions - Passenger'!O438,0),)</f>
        <v>0</v>
      </c>
      <c r="P802" s="126">
        <f>IF(P$17=1,IF('Assumptions - Passenger'!$E$437&gt;0,'Assumptions - Passenger'!P438,0),)</f>
        <v>0</v>
      </c>
      <c r="Q802" s="126">
        <f>IF(Q$17=1,IF('Assumptions - Passenger'!$E$437&gt;0,'Assumptions - Passenger'!Q438,0),)</f>
        <v>0</v>
      </c>
      <c r="R802" s="126">
        <f>IF(R$17=1,IF('Assumptions - Passenger'!$E$437&gt;0,'Assumptions - Passenger'!R438,0),)</f>
        <v>0</v>
      </c>
      <c r="S802" s="126">
        <f>IF(S$17=1,IF('Assumptions - Passenger'!$E$437&gt;0,'Assumptions - Passenger'!S438,0),)</f>
        <v>0</v>
      </c>
      <c r="T802" s="126">
        <f>IF(T$17=1,IF('Assumptions - Passenger'!$E$437&gt;0,'Assumptions - Passenger'!T438,0),)</f>
        <v>0</v>
      </c>
      <c r="U802" s="126">
        <f>IF(U$17=1,IF('Assumptions - Passenger'!$E$437&gt;0,'Assumptions - Passenger'!U438,0),)</f>
        <v>0</v>
      </c>
      <c r="V802" s="126">
        <f>IF(V$17=1,IF('Assumptions - Passenger'!$E$437&gt;0,'Assumptions - Passenger'!V438,0),)</f>
        <v>0</v>
      </c>
      <c r="W802" s="126">
        <f>IF(W$17=1,IF('Assumptions - Passenger'!$E$437&gt;0,'Assumptions - Passenger'!W438,0),)</f>
        <v>0</v>
      </c>
      <c r="X802" s="126">
        <f>IF(X$17=1,IF('Assumptions - Passenger'!$E$437&gt;0,'Assumptions - Passenger'!X438,0),)</f>
        <v>0</v>
      </c>
      <c r="Y802" s="126">
        <f>IF(Y$17=1,IF('Assumptions - Passenger'!$E$437&gt;0,'Assumptions - Passenger'!Y438,0),)</f>
        <v>0</v>
      </c>
      <c r="Z802" s="126">
        <f>IF(Z$17=1,IF('Assumptions - Passenger'!$E$437&gt;0,'Assumptions - Passenger'!Z438,0),)</f>
        <v>0</v>
      </c>
      <c r="AA802" s="126">
        <f>IF(AA$17=1,IF('Assumptions - Passenger'!$E$437&gt;0,'Assumptions - Passenger'!AA438,0),)</f>
        <v>0</v>
      </c>
      <c r="AB802" s="126">
        <f>IF(AB$17=1,IF('Assumptions - Passenger'!$E$437&gt;0,'Assumptions - Passenger'!AB438,0),)</f>
        <v>0</v>
      </c>
      <c r="AC802" s="126">
        <f>IF(AC$17=1,IF('Assumptions - Passenger'!$E$437&gt;0,'Assumptions - Passenger'!AC438,0),)</f>
        <v>0</v>
      </c>
      <c r="AD802" s="126">
        <f>IF(AD$17=1,IF('Assumptions - Passenger'!$E$437&gt;0,'Assumptions - Passenger'!AD438,0),)</f>
        <v>0</v>
      </c>
      <c r="AE802" s="126">
        <f>IF(AE$17=1,IF('Assumptions - Passenger'!$E$437&gt;0,'Assumptions - Passenger'!AE438,0),)</f>
        <v>0</v>
      </c>
      <c r="AF802" s="126">
        <f>IF(AF$17=1,IF('Assumptions - Passenger'!$E$437&gt;0,'Assumptions - Passenger'!AF438,0),)</f>
        <v>0</v>
      </c>
      <c r="AG802" s="126">
        <f>IF(AG$17=1,IF('Assumptions - Passenger'!$E$437&gt;0,'Assumptions - Passenger'!AG438,0),)</f>
        <v>0</v>
      </c>
      <c r="AH802" s="126">
        <f>IF(AH$17=1,IF('Assumptions - Passenger'!$E$437&gt;0,'Assumptions - Passenger'!AH438,0),)</f>
        <v>0</v>
      </c>
    </row>
    <row r="803" spans="1:34" s="20" customFormat="1" ht="14" x14ac:dyDescent="0.2">
      <c r="A803" s="8"/>
      <c r="B803" s="8" t="s">
        <v>138</v>
      </c>
      <c r="C803" s="8"/>
      <c r="D803" s="8" t="str">
        <f t="shared" si="317"/>
        <v>R$ millions</v>
      </c>
      <c r="E803" s="126">
        <f>IF('Assumptions - Passenger'!$E$437&lt;&gt;0,E795-E796+E802,0)</f>
        <v>0</v>
      </c>
      <c r="F803" s="126">
        <f>IF('Assumptions - Passenger'!$E$437&lt;&gt;0,F795-F796+F802,0)</f>
        <v>0</v>
      </c>
      <c r="G803" s="126">
        <f>IF('Assumptions - Passenger'!$E$437&lt;&gt;0,G795-G796+G802,0)</f>
        <v>10</v>
      </c>
      <c r="H803" s="126">
        <f>IF('Assumptions - Passenger'!$E$437&lt;&gt;0,H795-H796+H802,0)</f>
        <v>20</v>
      </c>
      <c r="I803" s="126">
        <f>IF('Assumptions - Passenger'!$E$437&lt;&gt;0,I795-I796+I802,0)</f>
        <v>30</v>
      </c>
      <c r="J803" s="126">
        <f>IF('Assumptions - Passenger'!$E$437&lt;&gt;0,J795-J796+J802,0)</f>
        <v>40</v>
      </c>
      <c r="K803" s="126">
        <f>IF('Assumptions - Passenger'!$E$437&lt;&gt;0,K795-K796+K802,0)</f>
        <v>50</v>
      </c>
      <c r="L803" s="126">
        <f>IF('Assumptions - Passenger'!$E$437&lt;&gt;0,L795-L796+L802,0)</f>
        <v>46.024771251727159</v>
      </c>
      <c r="M803" s="126">
        <f>IF('Assumptions - Passenger'!$E$437&lt;&gt;0,M795-M796+M802,0)</f>
        <v>41.850781066040682</v>
      </c>
      <c r="N803" s="126">
        <f>IF('Assumptions - Passenger'!$E$437&lt;&gt;0,N795-N796+N802,0)</f>
        <v>37.468091371069882</v>
      </c>
      <c r="O803" s="126">
        <f>IF('Assumptions - Passenger'!$E$437&lt;&gt;0,O795-O796+O802,0)</f>
        <v>32.866267191350538</v>
      </c>
      <c r="P803" s="126">
        <f>IF('Assumptions - Passenger'!$E$437&lt;&gt;0,P795-P796+P802,0)</f>
        <v>28.034351802645233</v>
      </c>
      <c r="Q803" s="126">
        <f>IF('Assumptions - Passenger'!$E$437&lt;&gt;0,Q795-Q796+Q802,0)</f>
        <v>22.96084064450466</v>
      </c>
      <c r="R803" s="126">
        <f>IF('Assumptions - Passenger'!$E$437&lt;&gt;0,R795-R796+R802,0)</f>
        <v>17.633653928457061</v>
      </c>
      <c r="S803" s="126">
        <f>IF('Assumptions - Passenger'!$E$437&lt;&gt;0,S795-S796+S802,0)</f>
        <v>12.040107876607081</v>
      </c>
      <c r="T803" s="126">
        <f>IF('Assumptions - Passenger'!$E$437&lt;&gt;0,T795-T796+T802,0)</f>
        <v>6.1668845221646027</v>
      </c>
      <c r="U803" s="126">
        <f>IF('Assumptions - Passenger'!$E$437&lt;&gt;0,U795-U796+U802,0)</f>
        <v>0</v>
      </c>
      <c r="V803" s="126">
        <f>IF('Assumptions - Passenger'!$E$437&lt;&gt;0,V795-V796+V802,0)</f>
        <v>0</v>
      </c>
      <c r="W803" s="126">
        <f>IF('Assumptions - Passenger'!$E$437&lt;&gt;0,W795-W796+W802,0)</f>
        <v>0</v>
      </c>
      <c r="X803" s="126">
        <f>IF('Assumptions - Passenger'!$E$437&lt;&gt;0,X795-X796+X802,0)</f>
        <v>0</v>
      </c>
      <c r="Y803" s="126">
        <f>IF('Assumptions - Passenger'!$E$437&lt;&gt;0,Y795-Y796+Y802,0)</f>
        <v>0</v>
      </c>
      <c r="Z803" s="126">
        <f>IF('Assumptions - Passenger'!$E$437&lt;&gt;0,Z795-Z796+Z802,0)</f>
        <v>0</v>
      </c>
      <c r="AA803" s="126">
        <f>IF('Assumptions - Passenger'!$E$437&lt;&gt;0,AA795-AA796+AA802,0)</f>
        <v>0</v>
      </c>
      <c r="AB803" s="126">
        <f>IF('Assumptions - Passenger'!$E$437&lt;&gt;0,AB795-AB796+AB802,0)</f>
        <v>0</v>
      </c>
      <c r="AC803" s="126">
        <f>IF('Assumptions - Passenger'!$E$437&lt;&gt;0,AC795-AC796+AC802,0)</f>
        <v>0</v>
      </c>
      <c r="AD803" s="126">
        <f>IF('Assumptions - Passenger'!$E$437&lt;&gt;0,AD795-AD796+AD802,0)</f>
        <v>0</v>
      </c>
      <c r="AE803" s="126">
        <f>IF('Assumptions - Passenger'!$E$437&lt;&gt;0,AE795-AE796+AE802,0)</f>
        <v>0</v>
      </c>
      <c r="AF803" s="126">
        <f>IF('Assumptions - Passenger'!$E$437&lt;&gt;0,AF795-AF796+AF802,0)</f>
        <v>0</v>
      </c>
      <c r="AG803" s="126">
        <f>IF('Assumptions - Passenger'!$E$437&lt;&gt;0,AG795-AG796+AG802,0)</f>
        <v>0</v>
      </c>
      <c r="AH803" s="126">
        <f>IF('Assumptions - Passenger'!$E$437&lt;&gt;0,AH795-AH796+AH802,0)</f>
        <v>0</v>
      </c>
    </row>
    <row r="804" spans="1:34" s="20" customFormat="1" ht="14" x14ac:dyDescent="0.2">
      <c r="A804" s="8"/>
      <c r="B804" s="8" t="s">
        <v>139</v>
      </c>
      <c r="C804" s="8"/>
      <c r="D804" s="8" t="str">
        <f t="shared" si="317"/>
        <v>R$ millions</v>
      </c>
      <c r="E804" s="126">
        <f>IF(E$17=1,IF('Assumptions - Passenger'!$E$437&lt;&gt;0,IF(AND('Assumptions - Passenger'!$E$445=3,E793&gt;0),Calculations!E801,((E795+E803)/2)*E794),0),0)</f>
        <v>0</v>
      </c>
      <c r="F804" s="126">
        <f>IF(F$17=1,IF('Assumptions - Passenger'!$E$437&lt;&gt;0,IF(AND('Assumptions - Passenger'!$E$445=3,F793&gt;0),Calculations!F801,((F795+F803)/2)*F794),0),0)</f>
        <v>0</v>
      </c>
      <c r="G804" s="126">
        <f>IF(G$17=1,IF('Assumptions - Passenger'!$E$437&lt;&gt;0,IF(AND('Assumptions - Passenger'!$E$445=3,G793&gt;0),Calculations!G801,((G795+G803)/2)*G794),0),0)</f>
        <v>0.25</v>
      </c>
      <c r="H804" s="126">
        <f>IF(H$17=1,IF('Assumptions - Passenger'!$E$437&lt;&gt;0,IF(AND('Assumptions - Passenger'!$E$445=3,H793&gt;0),Calculations!H801,((H795+H803)/2)*H794),0),0)</f>
        <v>0.75</v>
      </c>
      <c r="I804" s="126">
        <f>IF(I$17=1,IF('Assumptions - Passenger'!$E$437&lt;&gt;0,IF(AND('Assumptions - Passenger'!$E$445=3,I793&gt;0),Calculations!I801,((I795+I803)/2)*I794),0),0)</f>
        <v>1.25</v>
      </c>
      <c r="J804" s="126">
        <f>IF(J$17=1,IF('Assumptions - Passenger'!$E$437&lt;&gt;0,IF(AND('Assumptions - Passenger'!$E$445=3,J793&gt;0),Calculations!J801,((J795+J803)/2)*J794),0),0)</f>
        <v>1.75</v>
      </c>
      <c r="K804" s="126">
        <f>IF(K$17=1,IF('Assumptions - Passenger'!$E$437&lt;&gt;0,IF(AND('Assumptions - Passenger'!$E$445=3,K793&gt;0),Calculations!K801,((K795+K803)/2)*K794),0),0)</f>
        <v>2.25</v>
      </c>
      <c r="L804" s="126">
        <f>IF(L$17=1,IF('Assumptions - Passenger'!$E$437&lt;&gt;0,IF(AND('Assumptions - Passenger'!$E$445=3,L793&gt;0),Calculations!L801,((L795+L803)/2)*L794),0),0)</f>
        <v>2.5</v>
      </c>
      <c r="M804" s="126">
        <f>IF(M$17=1,IF('Assumptions - Passenger'!$E$437&lt;&gt;0,IF(AND('Assumptions - Passenger'!$E$445=3,M793&gt;0),Calculations!M801,((M795+M803)/2)*M794),0),0)</f>
        <v>2.3012385625863581</v>
      </c>
      <c r="N804" s="126">
        <f>IF(N$17=1,IF('Assumptions - Passenger'!$E$437&lt;&gt;0,IF(AND('Assumptions - Passenger'!$E$445=3,N793&gt;0),Calculations!N801,((N795+N803)/2)*N794),0),0)</f>
        <v>2.0925390533020343</v>
      </c>
      <c r="O804" s="126">
        <f>IF(O$17=1,IF('Assumptions - Passenger'!$E$437&lt;&gt;0,IF(AND('Assumptions - Passenger'!$E$445=3,O793&gt;0),Calculations!O801,((O795+O803)/2)*O794),0),0)</f>
        <v>1.8734045685534941</v>
      </c>
      <c r="P804" s="126">
        <f>IF(P$17=1,IF('Assumptions - Passenger'!$E$437&lt;&gt;0,IF(AND('Assumptions - Passenger'!$E$445=3,P793&gt;0),Calculations!P801,((P795+P803)/2)*P794),0),0)</f>
        <v>1.6433133595675269</v>
      </c>
      <c r="Q804" s="126">
        <f>IF(Q$17=1,IF('Assumptions - Passenger'!$E$437&lt;&gt;0,IF(AND('Assumptions - Passenger'!$E$445=3,Q793&gt;0),Calculations!Q801,((Q795+Q803)/2)*Q794),0),0)</f>
        <v>1.4017175901322618</v>
      </c>
      <c r="R804" s="126">
        <f>IF(R$17=1,IF('Assumptions - Passenger'!$E$437&lt;&gt;0,IF(AND('Assumptions - Passenger'!$E$445=3,R793&gt;0),Calculations!R801,((R795+R803)/2)*R794),0),0)</f>
        <v>1.1480420322252332</v>
      </c>
      <c r="S804" s="126">
        <f>IF(S$17=1,IF('Assumptions - Passenger'!$E$437&lt;&gt;0,IF(AND('Assumptions - Passenger'!$E$445=3,S793&gt;0),Calculations!S801,((S795+S803)/2)*S794),0),0)</f>
        <v>0.88168269642285313</v>
      </c>
      <c r="T804" s="126">
        <f>IF(T$17=1,IF('Assumptions - Passenger'!$E$437&lt;&gt;0,IF(AND('Assumptions - Passenger'!$E$445=3,T793&gt;0),Calculations!T801,((T795+T803)/2)*T794),0),0)</f>
        <v>0.60200539383035412</v>
      </c>
      <c r="U804" s="126">
        <f>IF(U$17=1,IF('Assumptions - Passenger'!$E$437&lt;&gt;0,IF(AND('Assumptions - Passenger'!$E$445=3,U793&gt;0),Calculations!U801,((U795+U803)/2)*U794),0),0)</f>
        <v>0.30834422610823015</v>
      </c>
      <c r="V804" s="126">
        <f>IF(V$17=1,IF('Assumptions - Passenger'!$E$437&lt;&gt;0,IF(AND('Assumptions - Passenger'!$E$445=3,V793&gt;0),Calculations!V801,((V795+V803)/2)*V794),0),0)</f>
        <v>0</v>
      </c>
      <c r="W804" s="126">
        <f>IF(W$17=1,IF('Assumptions - Passenger'!$E$437&lt;&gt;0,IF(AND('Assumptions - Passenger'!$E$445=3,W793&gt;0),Calculations!W801,((W795+W803)/2)*W794),0),0)</f>
        <v>0</v>
      </c>
      <c r="X804" s="126">
        <f>IF(X$17=1,IF('Assumptions - Passenger'!$E$437&lt;&gt;0,IF(AND('Assumptions - Passenger'!$E$445=3,X793&gt;0),Calculations!X801,((X795+X803)/2)*X794),0),0)</f>
        <v>0</v>
      </c>
      <c r="Y804" s="126">
        <f>IF(Y$17=1,IF('Assumptions - Passenger'!$E$437&lt;&gt;0,IF(AND('Assumptions - Passenger'!$E$445=3,Y793&gt;0),Calculations!Y801,((Y795+Y803)/2)*Y794),0),0)</f>
        <v>0</v>
      </c>
      <c r="Z804" s="126">
        <f>IF(Z$17=1,IF('Assumptions - Passenger'!$E$437&lt;&gt;0,IF(AND('Assumptions - Passenger'!$E$445=3,Z793&gt;0),Calculations!Z801,((Z795+Z803)/2)*Z794),0),0)</f>
        <v>0</v>
      </c>
      <c r="AA804" s="126">
        <f>IF(AA$17=1,IF('Assumptions - Passenger'!$E$437&lt;&gt;0,IF(AND('Assumptions - Passenger'!$E$445=3,AA793&gt;0),Calculations!AA801,((AA795+AA803)/2)*AA794),0),0)</f>
        <v>0</v>
      </c>
      <c r="AB804" s="126">
        <f>IF(AB$17=1,IF('Assumptions - Passenger'!$E$437&lt;&gt;0,IF(AND('Assumptions - Passenger'!$E$445=3,AB793&gt;0),Calculations!AB801,((AB795+AB803)/2)*AB794),0),0)</f>
        <v>0</v>
      </c>
      <c r="AC804" s="126">
        <f>IF(AC$17=1,IF('Assumptions - Passenger'!$E$437&lt;&gt;0,IF(AND('Assumptions - Passenger'!$E$445=3,AC793&gt;0),Calculations!AC801,((AC795+AC803)/2)*AC794),0),0)</f>
        <v>0</v>
      </c>
      <c r="AD804" s="126">
        <f>IF(AD$17=1,IF('Assumptions - Passenger'!$E$437&lt;&gt;0,IF(AND('Assumptions - Passenger'!$E$445=3,AD793&gt;0),Calculations!AD801,((AD795+AD803)/2)*AD794),0),0)</f>
        <v>0</v>
      </c>
      <c r="AE804" s="126">
        <f>IF(AE$17=1,IF('Assumptions - Passenger'!$E$437&lt;&gt;0,IF(AND('Assumptions - Passenger'!$E$445=3,AE793&gt;0),Calculations!AE801,((AE795+AE803)/2)*AE794),0),0)</f>
        <v>0</v>
      </c>
      <c r="AF804" s="126">
        <f>IF(AF$17=1,IF('Assumptions - Passenger'!$E$437&lt;&gt;0,IF(AND('Assumptions - Passenger'!$E$445=3,AF793&gt;0),Calculations!AF801,((AF795+AF803)/2)*AF794),0),0)</f>
        <v>0</v>
      </c>
      <c r="AG804" s="126">
        <f>IF(AG$17=1,IF('Assumptions - Passenger'!$E$437&lt;&gt;0,IF(AND('Assumptions - Passenger'!$E$445=3,AG793&gt;0),Calculations!AG801,((AG795+AG803)/2)*AG794),0),0)</f>
        <v>0</v>
      </c>
      <c r="AH804" s="126">
        <f>IF(AH$17=1,IF('Assumptions - Passenger'!$E$437&lt;&gt;0,IF(AND('Assumptions - Passenger'!$E$445=3,AH793&gt;0),Calculations!AH801,((AH795+AH803)/2)*AH794),0),0)</f>
        <v>0</v>
      </c>
    </row>
    <row r="805" spans="1:34" s="20" customFormat="1" ht="14" x14ac:dyDescent="0.2">
      <c r="A805" s="8"/>
      <c r="B805" s="8" t="s">
        <v>53</v>
      </c>
      <c r="C805" s="8"/>
      <c r="D805" s="8" t="str">
        <f t="shared" si="317"/>
        <v>R$ millions</v>
      </c>
      <c r="E805" s="126">
        <f>IF(E$17=1,IF('Assumptions - Passenger'!$E$434=Calculations!E$4,'Assumptions - Passenger'!$E$447*'Assumptions - Passenger'!$E$437,0),0)</f>
        <v>0</v>
      </c>
      <c r="F805" s="126">
        <f>IF(F$17=1,IF('Assumptions - Passenger'!$E$434=Calculations!F$4,'Assumptions - Passenger'!$E$447*'Assumptions - Passenger'!$E$437,0),0)</f>
        <v>0</v>
      </c>
      <c r="G805" s="126">
        <f>IF(G$17=1,IF('Assumptions - Passenger'!$E$434=Calculations!G$4,'Assumptions - Passenger'!$E$447*'Assumptions - Passenger'!$E$437,0),0)</f>
        <v>0.125</v>
      </c>
      <c r="H805" s="126">
        <f>IF(H$17=1,IF('Assumptions - Passenger'!$E$434=Calculations!H$4,'Assumptions - Passenger'!$E$447*'Assumptions - Passenger'!$E$437,0),0)</f>
        <v>0</v>
      </c>
      <c r="I805" s="126">
        <f>IF(I$17=1,IF('Assumptions - Passenger'!$E$434=Calculations!I$4,'Assumptions - Passenger'!$E$447*'Assumptions - Passenger'!$E$437,0),0)</f>
        <v>0</v>
      </c>
      <c r="J805" s="126">
        <f>IF(J$17=1,IF('Assumptions - Passenger'!$E$434=Calculations!J$4,'Assumptions - Passenger'!$E$447*'Assumptions - Passenger'!$E$437,0),0)</f>
        <v>0</v>
      </c>
      <c r="K805" s="126">
        <f>IF(K$17=1,IF('Assumptions - Passenger'!$E$434=Calculations!K$4,'Assumptions - Passenger'!$E$447*'Assumptions - Passenger'!$E$437,0),0)</f>
        <v>0</v>
      </c>
      <c r="L805" s="126">
        <f>IF(L$17=1,IF('Assumptions - Passenger'!$E$434=Calculations!L$4,'Assumptions - Passenger'!$E$447*'Assumptions - Passenger'!$E$437,0),0)</f>
        <v>0</v>
      </c>
      <c r="M805" s="126">
        <f>IF(M$17=1,IF('Assumptions - Passenger'!$E$434=Calculations!M$4,'Assumptions - Passenger'!$E$447*'Assumptions - Passenger'!$E$437,0),0)</f>
        <v>0</v>
      </c>
      <c r="N805" s="126">
        <f>IF(N$17=1,IF('Assumptions - Passenger'!$E$434=Calculations!N$4,'Assumptions - Passenger'!$E$447*'Assumptions - Passenger'!$E$437,0),0)</f>
        <v>0</v>
      </c>
      <c r="O805" s="126">
        <f>IF(O$17=1,IF('Assumptions - Passenger'!$E$434=Calculations!O$4,'Assumptions - Passenger'!$E$447*'Assumptions - Passenger'!$E$437,0),0)</f>
        <v>0</v>
      </c>
      <c r="P805" s="126">
        <f>IF(P$17=1,IF('Assumptions - Passenger'!$E$434=Calculations!P$4,'Assumptions - Passenger'!$E$447*'Assumptions - Passenger'!$E$437,0),0)</f>
        <v>0</v>
      </c>
      <c r="Q805" s="126">
        <f>IF(Q$17=1,IF('Assumptions - Passenger'!$E$434=Calculations!Q$4,'Assumptions - Passenger'!$E$447*'Assumptions - Passenger'!$E$437,0),0)</f>
        <v>0</v>
      </c>
      <c r="R805" s="126">
        <f>IF(R$17=1,IF('Assumptions - Passenger'!$E$434=Calculations!R$4,'Assumptions - Passenger'!$E$447*'Assumptions - Passenger'!$E$437,0),0)</f>
        <v>0</v>
      </c>
      <c r="S805" s="126">
        <f>IF(S$17=1,IF('Assumptions - Passenger'!$E$434=Calculations!S$4,'Assumptions - Passenger'!$E$447*'Assumptions - Passenger'!$E$437,0),0)</f>
        <v>0</v>
      </c>
      <c r="T805" s="126">
        <f>IF(T$17=1,IF('Assumptions - Passenger'!$E$434=Calculations!T$4,'Assumptions - Passenger'!$E$447*'Assumptions - Passenger'!$E$437,0),0)</f>
        <v>0</v>
      </c>
      <c r="U805" s="126">
        <f>IF(U$17=1,IF('Assumptions - Passenger'!$E$434=Calculations!U$4,'Assumptions - Passenger'!$E$447*'Assumptions - Passenger'!$E$437,0),0)</f>
        <v>0</v>
      </c>
      <c r="V805" s="126">
        <f>IF(V$17=1,IF('Assumptions - Passenger'!$E$434=Calculations!V$4,'Assumptions - Passenger'!$E$447*'Assumptions - Passenger'!$E$437,0),0)</f>
        <v>0</v>
      </c>
      <c r="W805" s="126">
        <f>IF(W$17=1,IF('Assumptions - Passenger'!$E$434=Calculations!W$4,'Assumptions - Passenger'!$E$447*'Assumptions - Passenger'!$E$437,0),0)</f>
        <v>0</v>
      </c>
      <c r="X805" s="126">
        <f>IF(X$17=1,IF('Assumptions - Passenger'!$E$434=Calculations!X$4,'Assumptions - Passenger'!$E$447*'Assumptions - Passenger'!$E$437,0),0)</f>
        <v>0</v>
      </c>
      <c r="Y805" s="126">
        <f>IF(Y$17=1,IF('Assumptions - Passenger'!$E$434=Calculations!Y$4,'Assumptions - Passenger'!$E$447*'Assumptions - Passenger'!$E$437,0),0)</f>
        <v>0</v>
      </c>
      <c r="Z805" s="126">
        <f>IF(Z$17=1,IF('Assumptions - Passenger'!$E$434=Calculations!Z$4,'Assumptions - Passenger'!$E$447*'Assumptions - Passenger'!$E$437,0),0)</f>
        <v>0</v>
      </c>
      <c r="AA805" s="126">
        <f>IF(AA$17=1,IF('Assumptions - Passenger'!$E$434=Calculations!AA$4,'Assumptions - Passenger'!$E$447*'Assumptions - Passenger'!$E$437,0),0)</f>
        <v>0</v>
      </c>
      <c r="AB805" s="126">
        <f>IF(AB$17=1,IF('Assumptions - Passenger'!$E$434=Calculations!AB$4,'Assumptions - Passenger'!$E$447*'Assumptions - Passenger'!$E$437,0),0)</f>
        <v>0</v>
      </c>
      <c r="AC805" s="126">
        <f>IF(AC$17=1,IF('Assumptions - Passenger'!$E$434=Calculations!AC$4,'Assumptions - Passenger'!$E$447*'Assumptions - Passenger'!$E$437,0),0)</f>
        <v>0</v>
      </c>
      <c r="AD805" s="126">
        <f>IF(AD$17=1,IF('Assumptions - Passenger'!$E$434=Calculations!AD$4,'Assumptions - Passenger'!$E$447*'Assumptions - Passenger'!$E$437,0),0)</f>
        <v>0</v>
      </c>
      <c r="AE805" s="126">
        <f>IF(AE$17=1,IF('Assumptions - Passenger'!$E$434=Calculations!AE$4,'Assumptions - Passenger'!$E$447*'Assumptions - Passenger'!$E$437,0),0)</f>
        <v>0</v>
      </c>
      <c r="AF805" s="126">
        <f>IF(AF$17=1,IF('Assumptions - Passenger'!$E$434=Calculations!AF$4,'Assumptions - Passenger'!$E$447*'Assumptions - Passenger'!$E$437,0),0)</f>
        <v>0</v>
      </c>
      <c r="AG805" s="126">
        <f>IF(AG$17=1,IF('Assumptions - Passenger'!$E$434=Calculations!AG$4,'Assumptions - Passenger'!$E$447*'Assumptions - Passenger'!$E$437,0),0)</f>
        <v>0</v>
      </c>
      <c r="AH805" s="126">
        <f>IF(AH$17=1,IF('Assumptions - Passenger'!$E$434=Calculations!AH$4,'Assumptions - Passenger'!$E$447*'Assumptions - Passenger'!$E$437,0),0)</f>
        <v>0</v>
      </c>
    </row>
    <row r="806" spans="1:34" s="20" customFormat="1" ht="14" x14ac:dyDescent="0.2">
      <c r="A806" s="8"/>
      <c r="B806" s="8" t="s">
        <v>142</v>
      </c>
      <c r="C806" s="8"/>
      <c r="D806" s="8" t="str">
        <f t="shared" si="317"/>
        <v>R$ millions</v>
      </c>
      <c r="E806" s="126">
        <f>IF(E$17=1,IF(AND(E4&lt;=('Assumptions - Passenger'!$E$434+'Assumptions - Passenger'!$E$444),E4&gt;='Assumptions - Passenger'!$E$434),'Assumptions - Passenger'!$E$437-Calculations!E795-E802,0),0)</f>
        <v>0</v>
      </c>
      <c r="F806" s="126">
        <f>IF(F$17=1,IF(AND(F4&lt;=('Assumptions - Passenger'!$E$434+'Assumptions - Passenger'!$E$444),F4&gt;='Assumptions - Passenger'!$E$434),'Assumptions - Passenger'!$E$437-Calculations!F795-F802,0),0)</f>
        <v>0</v>
      </c>
      <c r="G806" s="126">
        <f>IF(G$17=1,IF(AND(G4&lt;=('Assumptions - Passenger'!$E$434+'Assumptions - Passenger'!$E$444),G4&gt;='Assumptions - Passenger'!$E$434),'Assumptions - Passenger'!$E$437-Calculations!G795-G802,0),0)</f>
        <v>40</v>
      </c>
      <c r="H806" s="126">
        <f>IF(H$17=1,IF(AND(H4&lt;=('Assumptions - Passenger'!$E$434+'Assumptions - Passenger'!$E$444),H4&gt;='Assumptions - Passenger'!$E$434),'Assumptions - Passenger'!$E$437-Calculations!H795-H802,0),0)</f>
        <v>30</v>
      </c>
      <c r="I806" s="126">
        <f>IF(I$17=1,IF(AND(I4&lt;=('Assumptions - Passenger'!$E$434+'Assumptions - Passenger'!$E$444),I4&gt;='Assumptions - Passenger'!$E$434),'Assumptions - Passenger'!$E$437-Calculations!I795-I802,0),0)</f>
        <v>20</v>
      </c>
      <c r="J806" s="126">
        <f>IF(J$17=1,IF(AND(J4&lt;=('Assumptions - Passenger'!$E$434+'Assumptions - Passenger'!$E$444),J4&gt;='Assumptions - Passenger'!$E$434),'Assumptions - Passenger'!$E$437-Calculations!J795-J802,0),0)</f>
        <v>10</v>
      </c>
      <c r="K806" s="126">
        <f>IF(K$17=1,IF(AND(K4&lt;=('Assumptions - Passenger'!$E$434+'Assumptions - Passenger'!$E$444),K4&gt;='Assumptions - Passenger'!$E$434),'Assumptions - Passenger'!$E$437-Calculations!K795-K802,0),0)</f>
        <v>0</v>
      </c>
      <c r="L806" s="126">
        <f>IF(L$17=1,IF(AND(L4&lt;=('Assumptions - Passenger'!$E$434+'Assumptions - Passenger'!$E$444),L4&gt;='Assumptions - Passenger'!$E$434),'Assumptions - Passenger'!$E$437-Calculations!L795-L802,0),0)</f>
        <v>0</v>
      </c>
      <c r="M806" s="126">
        <f>IF(M$17=1,IF(AND(M4&lt;=('Assumptions - Passenger'!$E$434+'Assumptions - Passenger'!$E$444),M4&gt;='Assumptions - Passenger'!$E$434),'Assumptions - Passenger'!$E$437-Calculations!M795-M802,0),0)</f>
        <v>0</v>
      </c>
      <c r="N806" s="126">
        <f>IF(N$17=1,IF(AND(N4&lt;=('Assumptions - Passenger'!$E$434+'Assumptions - Passenger'!$E$444),N4&gt;='Assumptions - Passenger'!$E$434),'Assumptions - Passenger'!$E$437-Calculations!N795-N802,0),0)</f>
        <v>0</v>
      </c>
      <c r="O806" s="126">
        <f>IF(O$17=1,IF(AND(O4&lt;=('Assumptions - Passenger'!$E$434+'Assumptions - Passenger'!$E$444),O4&gt;='Assumptions - Passenger'!$E$434),'Assumptions - Passenger'!$E$437-Calculations!O795-O802,0),0)</f>
        <v>0</v>
      </c>
      <c r="P806" s="126">
        <f>IF(P$17=1,IF(AND(P4&lt;=('Assumptions - Passenger'!$E$434+'Assumptions - Passenger'!$E$444),P4&gt;='Assumptions - Passenger'!$E$434),'Assumptions - Passenger'!$E$437-Calculations!P795-P802,0),0)</f>
        <v>0</v>
      </c>
      <c r="Q806" s="126">
        <f>IF(Q$17=1,IF(AND(Q4&lt;=('Assumptions - Passenger'!$E$434+'Assumptions - Passenger'!$E$444),Q4&gt;='Assumptions - Passenger'!$E$434),'Assumptions - Passenger'!$E$437-Calculations!Q795-Q802,0),0)</f>
        <v>0</v>
      </c>
      <c r="R806" s="126">
        <f>IF(R$17=1,IF(AND(R4&lt;=('Assumptions - Passenger'!$E$434+'Assumptions - Passenger'!$E$444),R4&gt;='Assumptions - Passenger'!$E$434),'Assumptions - Passenger'!$E$437-Calculations!R795-R802,0),0)</f>
        <v>0</v>
      </c>
      <c r="S806" s="126">
        <f>IF(S$17=1,IF(AND(S4&lt;=('Assumptions - Passenger'!$E$434+'Assumptions - Passenger'!$E$444),S4&gt;='Assumptions - Passenger'!$E$434),'Assumptions - Passenger'!$E$437-Calculations!S795-S802,0),0)</f>
        <v>0</v>
      </c>
      <c r="T806" s="126">
        <f>IF(T$17=1,IF(AND(T4&lt;=('Assumptions - Passenger'!$E$434+'Assumptions - Passenger'!$E$444),T4&gt;='Assumptions - Passenger'!$E$434),'Assumptions - Passenger'!$E$437-Calculations!T795-T802,0),0)</f>
        <v>0</v>
      </c>
      <c r="U806" s="126">
        <f>IF(U$17=1,IF(AND(U4&lt;=('Assumptions - Passenger'!$E$434+'Assumptions - Passenger'!$E$444),U4&gt;='Assumptions - Passenger'!$E$434),'Assumptions - Passenger'!$E$437-Calculations!U795-U802,0),0)</f>
        <v>0</v>
      </c>
      <c r="V806" s="126">
        <f>IF(V$17=1,IF(AND(V4&lt;=('Assumptions - Passenger'!$E$434+'Assumptions - Passenger'!$E$444),V4&gt;='Assumptions - Passenger'!$E$434),'Assumptions - Passenger'!$E$437-Calculations!V795-V802,0),0)</f>
        <v>0</v>
      </c>
      <c r="W806" s="126">
        <f>IF(W$17=1,IF(AND(W4&lt;=('Assumptions - Passenger'!$E$434+'Assumptions - Passenger'!$E$444),W4&gt;='Assumptions - Passenger'!$E$434),'Assumptions - Passenger'!$E$437-Calculations!W795-W802,0),0)</f>
        <v>0</v>
      </c>
      <c r="X806" s="126">
        <f>IF(X$17=1,IF(AND(X4&lt;=('Assumptions - Passenger'!$E$434+'Assumptions - Passenger'!$E$444),X4&gt;='Assumptions - Passenger'!$E$434),'Assumptions - Passenger'!$E$437-Calculations!X795-X802,0),0)</f>
        <v>0</v>
      </c>
      <c r="Y806" s="126">
        <f>IF(Y$17=1,IF(AND(Y4&lt;=('Assumptions - Passenger'!$E$434+'Assumptions - Passenger'!$E$444),Y4&gt;='Assumptions - Passenger'!$E$434),'Assumptions - Passenger'!$E$437-Calculations!Y795-Y802,0),0)</f>
        <v>0</v>
      </c>
      <c r="Z806" s="126">
        <f>IF(Z$17=1,IF(AND(Z4&lt;=('Assumptions - Passenger'!$E$434+'Assumptions - Passenger'!$E$444),Z4&gt;='Assumptions - Passenger'!$E$434),'Assumptions - Passenger'!$E$437-Calculations!Z795-Z802,0),0)</f>
        <v>0</v>
      </c>
      <c r="AA806" s="126">
        <f>IF(AA$17=1,IF(AND(AA4&lt;=('Assumptions - Passenger'!$E$434+'Assumptions - Passenger'!$E$444),AA4&gt;='Assumptions - Passenger'!$E$434),'Assumptions - Passenger'!$E$437-Calculations!AA795-AA802,0),0)</f>
        <v>0</v>
      </c>
      <c r="AB806" s="126">
        <f>IF(AB$17=1,IF(AND(AB4&lt;=('Assumptions - Passenger'!$E$434+'Assumptions - Passenger'!$E$444),AB4&gt;='Assumptions - Passenger'!$E$434),'Assumptions - Passenger'!$E$437-Calculations!AB795-AB802,0),0)</f>
        <v>0</v>
      </c>
      <c r="AC806" s="126">
        <f>IF(AC$17=1,IF(AND(AC4&lt;=('Assumptions - Passenger'!$E$434+'Assumptions - Passenger'!$E$444),AC4&gt;='Assumptions - Passenger'!$E$434),'Assumptions - Passenger'!$E$437-Calculations!AC795-AC802,0),0)</f>
        <v>0</v>
      </c>
      <c r="AD806" s="126">
        <f>IF(AD$17=1,IF(AND(AD4&lt;=('Assumptions - Passenger'!$E$434+'Assumptions - Passenger'!$E$444),AD4&gt;='Assumptions - Passenger'!$E$434),'Assumptions - Passenger'!$E$437-Calculations!AD795-AD802,0),0)</f>
        <v>0</v>
      </c>
      <c r="AE806" s="126">
        <f>IF(AE$17=1,IF(AND(AE4&lt;=('Assumptions - Passenger'!$E$434+'Assumptions - Passenger'!$E$444),AE4&gt;='Assumptions - Passenger'!$E$434),'Assumptions - Passenger'!$E$437-Calculations!AE795-AE802,0),0)</f>
        <v>0</v>
      </c>
      <c r="AF806" s="126">
        <f>IF(AF$17=1,IF(AND(AF4&lt;=('Assumptions - Passenger'!$E$434+'Assumptions - Passenger'!$E$444),AF4&gt;='Assumptions - Passenger'!$E$434),'Assumptions - Passenger'!$E$437-Calculations!AF795-AF802,0),0)</f>
        <v>0</v>
      </c>
      <c r="AG806" s="126">
        <f>IF(AG$17=1,IF(AND(AG4&lt;=('Assumptions - Passenger'!$E$434+'Assumptions - Passenger'!$E$444),AG4&gt;='Assumptions - Passenger'!$E$434),'Assumptions - Passenger'!$E$437-Calculations!AG795-AG802,0),0)</f>
        <v>0</v>
      </c>
      <c r="AH806" s="126">
        <f>IF(AH$17=1,IF(AND(AH4&lt;=('Assumptions - Passenger'!$E$434+'Assumptions - Passenger'!$E$444),AH4&gt;='Assumptions - Passenger'!$E$434),'Assumptions - Passenger'!$E$437-Calculations!AH795-AH802,0),0)</f>
        <v>0</v>
      </c>
    </row>
    <row r="807" spans="1:34" s="20" customFormat="1" ht="14" x14ac:dyDescent="0.2">
      <c r="A807" s="8"/>
      <c r="B807" s="8" t="s">
        <v>55</v>
      </c>
      <c r="C807" s="8"/>
      <c r="D807" s="8" t="str">
        <f t="shared" si="317"/>
        <v>R$ millions</v>
      </c>
      <c r="E807" s="126">
        <f>IF(E$17=1,'Assumptions - Passenger'!$E$448*Calculations!E806,0)</f>
        <v>0</v>
      </c>
      <c r="F807" s="126">
        <f>IF(F$17=1,'Assumptions - Passenger'!$E$448*Calculations!F806,0)</f>
        <v>0</v>
      </c>
      <c r="G807" s="126">
        <f>IF(G$17=1,'Assumptions - Passenger'!$E$448*Calculations!G806,0)</f>
        <v>0</v>
      </c>
      <c r="H807" s="126">
        <f>IF(H$17=1,'Assumptions - Passenger'!$E$448*Calculations!H806,0)</f>
        <v>0</v>
      </c>
      <c r="I807" s="126">
        <f>IF(I$17=1,'Assumptions - Passenger'!$E$448*Calculations!I806,0)</f>
        <v>0</v>
      </c>
      <c r="J807" s="126">
        <f>IF(J$17=1,'Assumptions - Passenger'!$E$448*Calculations!J806,0)</f>
        <v>0</v>
      </c>
      <c r="K807" s="126">
        <f>IF(K$17=1,'Assumptions - Passenger'!$E$448*Calculations!K806,0)</f>
        <v>0</v>
      </c>
      <c r="L807" s="126">
        <f>IF(L$17=1,'Assumptions - Passenger'!$E$448*Calculations!L806,0)</f>
        <v>0</v>
      </c>
      <c r="M807" s="126">
        <f>IF(M$17=1,'Assumptions - Passenger'!$E$448*Calculations!M806,0)</f>
        <v>0</v>
      </c>
      <c r="N807" s="126">
        <f>IF(N$17=1,'Assumptions - Passenger'!$E$448*Calculations!N806,0)</f>
        <v>0</v>
      </c>
      <c r="O807" s="126">
        <f>IF(O$17=1,'Assumptions - Passenger'!$E$448*Calculations!O806,0)</f>
        <v>0</v>
      </c>
      <c r="P807" s="126">
        <f>IF(P$17=1,'Assumptions - Passenger'!$E$448*Calculations!P806,0)</f>
        <v>0</v>
      </c>
      <c r="Q807" s="126">
        <f>IF(Q$17=1,'Assumptions - Passenger'!$E$448*Calculations!Q806,0)</f>
        <v>0</v>
      </c>
      <c r="R807" s="126">
        <f>IF(R$17=1,'Assumptions - Passenger'!$E$448*Calculations!R806,0)</f>
        <v>0</v>
      </c>
      <c r="S807" s="126">
        <f>IF(S$17=1,'Assumptions - Passenger'!$E$448*Calculations!S806,0)</f>
        <v>0</v>
      </c>
      <c r="T807" s="126">
        <f>IF(T$17=1,'Assumptions - Passenger'!$E$448*Calculations!T806,0)</f>
        <v>0</v>
      </c>
      <c r="U807" s="126">
        <f>IF(U$17=1,'Assumptions - Passenger'!$E$448*Calculations!U806,0)</f>
        <v>0</v>
      </c>
      <c r="V807" s="126">
        <f>IF(V$17=1,'Assumptions - Passenger'!$E$448*Calculations!V806,0)</f>
        <v>0</v>
      </c>
      <c r="W807" s="126">
        <f>IF(W$17=1,'Assumptions - Passenger'!$E$448*Calculations!W806,0)</f>
        <v>0</v>
      </c>
      <c r="X807" s="126">
        <f>IF(X$17=1,'Assumptions - Passenger'!$E$448*Calculations!X806,0)</f>
        <v>0</v>
      </c>
      <c r="Y807" s="126">
        <f>IF(Y$17=1,'Assumptions - Passenger'!$E$448*Calculations!Y806,0)</f>
        <v>0</v>
      </c>
      <c r="Z807" s="126">
        <f>IF(Z$17=1,'Assumptions - Passenger'!$E$448*Calculations!Z806,0)</f>
        <v>0</v>
      </c>
      <c r="AA807" s="126">
        <f>IF(AA$17=1,'Assumptions - Passenger'!$E$448*Calculations!AA806,0)</f>
        <v>0</v>
      </c>
      <c r="AB807" s="126">
        <f>IF(AB$17=1,'Assumptions - Passenger'!$E$448*Calculations!AB806,0)</f>
        <v>0</v>
      </c>
      <c r="AC807" s="126">
        <f>IF(AC$17=1,'Assumptions - Passenger'!$E$448*Calculations!AC806,0)</f>
        <v>0</v>
      </c>
      <c r="AD807" s="126">
        <f>IF(AD$17=1,'Assumptions - Passenger'!$E$448*Calculations!AD806,0)</f>
        <v>0</v>
      </c>
      <c r="AE807" s="126">
        <f>IF(AE$17=1,'Assumptions - Passenger'!$E$448*Calculations!AE806,0)</f>
        <v>0</v>
      </c>
      <c r="AF807" s="126">
        <f>IF(AF$17=1,'Assumptions - Passenger'!$E$448*Calculations!AF806,0)</f>
        <v>0</v>
      </c>
      <c r="AG807" s="126">
        <f>IF(AG$17=1,'Assumptions - Passenger'!$E$448*Calculations!AG806,0)</f>
        <v>0</v>
      </c>
      <c r="AH807" s="126">
        <f>IF(AH$17=1,'Assumptions - Passenger'!$E$448*Calculations!AH806,0)</f>
        <v>0</v>
      </c>
    </row>
    <row r="808" spans="1:34" s="20" customFormat="1" ht="14" x14ac:dyDescent="0.2">
      <c r="A808" s="8"/>
      <c r="B808" s="8" t="s">
        <v>140</v>
      </c>
      <c r="C808" s="8"/>
      <c r="D808" s="8" t="str">
        <f t="shared" si="317"/>
        <v>R$ millions</v>
      </c>
      <c r="E808" s="126">
        <f t="shared" ref="E808:AH808" si="318">E796+E804+E805+E807</f>
        <v>0</v>
      </c>
      <c r="F808" s="126">
        <f t="shared" si="318"/>
        <v>0</v>
      </c>
      <c r="G808" s="126">
        <f t="shared" si="318"/>
        <v>0.375</v>
      </c>
      <c r="H808" s="126">
        <f t="shared" si="318"/>
        <v>0.75</v>
      </c>
      <c r="I808" s="126">
        <f t="shared" si="318"/>
        <v>1.25</v>
      </c>
      <c r="J808" s="126">
        <f t="shared" si="318"/>
        <v>1.75</v>
      </c>
      <c r="K808" s="126">
        <f t="shared" si="318"/>
        <v>2.25</v>
      </c>
      <c r="L808" s="126">
        <f t="shared" si="318"/>
        <v>6.475228748272837</v>
      </c>
      <c r="M808" s="126">
        <f t="shared" si="318"/>
        <v>6.4752287482728335</v>
      </c>
      <c r="N808" s="126">
        <f t="shared" si="318"/>
        <v>6.4752287482728352</v>
      </c>
      <c r="O808" s="126">
        <f t="shared" si="318"/>
        <v>6.4752287482728352</v>
      </c>
      <c r="P808" s="126">
        <f t="shared" si="318"/>
        <v>6.4752287482728335</v>
      </c>
      <c r="Q808" s="126">
        <f t="shared" si="318"/>
        <v>6.4752287482728335</v>
      </c>
      <c r="R808" s="126">
        <f t="shared" si="318"/>
        <v>6.4752287482728335</v>
      </c>
      <c r="S808" s="126">
        <f t="shared" si="318"/>
        <v>6.4752287482728335</v>
      </c>
      <c r="T808" s="126">
        <f t="shared" si="318"/>
        <v>6.4752287482728326</v>
      </c>
      <c r="U808" s="126">
        <f t="shared" si="318"/>
        <v>6.4752287482728326</v>
      </c>
      <c r="V808" s="126">
        <f t="shared" si="318"/>
        <v>0</v>
      </c>
      <c r="W808" s="126">
        <f t="shared" si="318"/>
        <v>0</v>
      </c>
      <c r="X808" s="126">
        <f t="shared" si="318"/>
        <v>0</v>
      </c>
      <c r="Y808" s="126">
        <f t="shared" si="318"/>
        <v>0</v>
      </c>
      <c r="Z808" s="126">
        <f t="shared" si="318"/>
        <v>0</v>
      </c>
      <c r="AA808" s="126">
        <f t="shared" si="318"/>
        <v>0</v>
      </c>
      <c r="AB808" s="126">
        <f t="shared" si="318"/>
        <v>0</v>
      </c>
      <c r="AC808" s="126">
        <f t="shared" si="318"/>
        <v>0</v>
      </c>
      <c r="AD808" s="126">
        <f t="shared" si="318"/>
        <v>0</v>
      </c>
      <c r="AE808" s="126">
        <f t="shared" si="318"/>
        <v>0</v>
      </c>
      <c r="AF808" s="126">
        <f t="shared" si="318"/>
        <v>0</v>
      </c>
      <c r="AG808" s="126">
        <f t="shared" si="318"/>
        <v>0</v>
      </c>
      <c r="AH808" s="126">
        <f t="shared" si="318"/>
        <v>0</v>
      </c>
    </row>
    <row r="809" spans="1:34" s="20" customFormat="1" ht="14" x14ac:dyDescent="0.2">
      <c r="A809" s="8"/>
      <c r="B809" s="8"/>
      <c r="C809" s="8"/>
      <c r="D809" s="8"/>
      <c r="E809" s="16"/>
      <c r="F809" s="8"/>
      <c r="G809" s="8"/>
      <c r="H809" s="8"/>
      <c r="I809" s="8"/>
      <c r="J809" s="8"/>
      <c r="K809" s="8"/>
      <c r="L809" s="8"/>
      <c r="M809" s="8"/>
      <c r="N809" s="8"/>
      <c r="O809" s="8"/>
      <c r="P809" s="8"/>
      <c r="Q809" s="8"/>
      <c r="R809" s="8"/>
      <c r="S809" s="8"/>
      <c r="T809" s="8"/>
      <c r="U809" s="8"/>
      <c r="V809" s="8"/>
      <c r="W809" s="8"/>
      <c r="X809" s="8"/>
      <c r="Y809" s="8"/>
      <c r="Z809" s="8"/>
      <c r="AA809" s="8"/>
      <c r="AB809" s="8"/>
      <c r="AC809" s="8"/>
      <c r="AD809" s="8"/>
      <c r="AE809" s="8"/>
      <c r="AF809" s="8"/>
      <c r="AG809" s="8"/>
      <c r="AH809" s="8"/>
    </row>
    <row r="810" spans="1:34" s="20" customFormat="1" ht="14" x14ac:dyDescent="0.2">
      <c r="A810" s="8"/>
      <c r="B810" s="21" t="str">
        <f>B792</f>
        <v>New loan from Local bank</v>
      </c>
      <c r="C810" s="8"/>
      <c r="D810" s="8"/>
      <c r="E810" s="8"/>
      <c r="F810" s="8"/>
      <c r="G810" s="8"/>
      <c r="H810" s="8"/>
      <c r="I810" s="8"/>
      <c r="J810" s="8"/>
      <c r="K810" s="8"/>
      <c r="L810" s="8"/>
      <c r="M810" s="8"/>
      <c r="N810" s="8"/>
      <c r="O810" s="8"/>
      <c r="P810" s="8"/>
      <c r="Q810" s="8"/>
      <c r="R810" s="8"/>
      <c r="S810" s="8"/>
      <c r="T810" s="8"/>
      <c r="U810" s="8"/>
      <c r="V810" s="8"/>
      <c r="W810" s="8"/>
      <c r="X810" s="8"/>
      <c r="Y810" s="8"/>
      <c r="Z810" s="8"/>
      <c r="AA810" s="8"/>
      <c r="AB810" s="8"/>
      <c r="AC810" s="8"/>
      <c r="AD810" s="8"/>
      <c r="AE810" s="8"/>
      <c r="AF810" s="8"/>
      <c r="AG810" s="8"/>
      <c r="AH810" s="8"/>
    </row>
    <row r="811" spans="1:34" s="20" customFormat="1" ht="14" x14ac:dyDescent="0.2">
      <c r="A811" s="8"/>
      <c r="B811" s="8" t="s">
        <v>334</v>
      </c>
      <c r="C811" s="8"/>
      <c r="D811" s="8" t="str">
        <f>IF('Assumptions - Passenger'!$E$435=1,"Same as above",IF('Assumptions - Passenger'!$E$435=2,"Local currency/"&amp;'Assumptions - General'!$E$39,"Local currency/"&amp;'Assumptions - General'!$E$40))</f>
        <v>Same as above</v>
      </c>
      <c r="E811" s="124">
        <f>IF('Assumptions - Passenger'!$E$435=1,1,IF('Assumptions - Passenger'!$E$435=2,'Assumptions - General'!E$41,'Assumptions - General'!E$42))</f>
        <v>1</v>
      </c>
      <c r="F811" s="124">
        <f>IF('Assumptions - Passenger'!$E$435=1,1,IF('Assumptions - Passenger'!$E$435=2,'Assumptions - General'!F$41,'Assumptions - General'!F$42))</f>
        <v>1</v>
      </c>
      <c r="G811" s="124">
        <f>IF('Assumptions - Passenger'!$E$435=1,1,IF('Assumptions - Passenger'!$E$435=2,'Assumptions - General'!G$41,'Assumptions - General'!G$42))</f>
        <v>1</v>
      </c>
      <c r="H811" s="124">
        <f>IF('Assumptions - Passenger'!$E$435=1,1,IF('Assumptions - Passenger'!$E$435=2,'Assumptions - General'!H$41,'Assumptions - General'!H$42))</f>
        <v>1</v>
      </c>
      <c r="I811" s="124">
        <f>IF('Assumptions - Passenger'!$E$435=1,1,IF('Assumptions - Passenger'!$E$435=2,'Assumptions - General'!I$41,'Assumptions - General'!I$42))</f>
        <v>1</v>
      </c>
      <c r="J811" s="124">
        <f>IF('Assumptions - Passenger'!$E$435=1,1,IF('Assumptions - Passenger'!$E$435=2,'Assumptions - General'!J$41,'Assumptions - General'!J$42))</f>
        <v>1</v>
      </c>
      <c r="K811" s="124">
        <f>IF('Assumptions - Passenger'!$E$435=1,1,IF('Assumptions - Passenger'!$E$435=2,'Assumptions - General'!K$41,'Assumptions - General'!K$42))</f>
        <v>1</v>
      </c>
      <c r="L811" s="124">
        <f>IF('Assumptions - Passenger'!$E$435=1,1,IF('Assumptions - Passenger'!$E$435=2,'Assumptions - General'!L$41,'Assumptions - General'!L$42))</f>
        <v>1</v>
      </c>
      <c r="M811" s="124">
        <f>IF('Assumptions - Passenger'!$E$435=1,1,IF('Assumptions - Passenger'!$E$435=2,'Assumptions - General'!M$41,'Assumptions - General'!M$42))</f>
        <v>1</v>
      </c>
      <c r="N811" s="124">
        <f>IF('Assumptions - Passenger'!$E$435=1,1,IF('Assumptions - Passenger'!$E$435=2,'Assumptions - General'!N$41,'Assumptions - General'!N$42))</f>
        <v>1</v>
      </c>
      <c r="O811" s="124">
        <f>IF('Assumptions - Passenger'!$E$435=1,1,IF('Assumptions - Passenger'!$E$435=2,'Assumptions - General'!O$41,'Assumptions - General'!O$42))</f>
        <v>1</v>
      </c>
      <c r="P811" s="124">
        <f>IF('Assumptions - Passenger'!$E$435=1,1,IF('Assumptions - Passenger'!$E$435=2,'Assumptions - General'!P$41,'Assumptions - General'!P$42))</f>
        <v>1</v>
      </c>
      <c r="Q811" s="124">
        <f>IF('Assumptions - Passenger'!$E$435=1,1,IF('Assumptions - Passenger'!$E$435=2,'Assumptions - General'!Q$41,'Assumptions - General'!Q$42))</f>
        <v>1</v>
      </c>
      <c r="R811" s="124">
        <f>IF('Assumptions - Passenger'!$E$435=1,1,IF('Assumptions - Passenger'!$E$435=2,'Assumptions - General'!R$41,'Assumptions - General'!R$42))</f>
        <v>1</v>
      </c>
      <c r="S811" s="124">
        <f>IF('Assumptions - Passenger'!$E$435=1,1,IF('Assumptions - Passenger'!$E$435=2,'Assumptions - General'!S$41,'Assumptions - General'!S$42))</f>
        <v>1</v>
      </c>
      <c r="T811" s="124">
        <f>IF('Assumptions - Passenger'!$E$435=1,1,IF('Assumptions - Passenger'!$E$435=2,'Assumptions - General'!T$41,'Assumptions - General'!T$42))</f>
        <v>1</v>
      </c>
      <c r="U811" s="124">
        <f>IF('Assumptions - Passenger'!$E$435=1,1,IF('Assumptions - Passenger'!$E$435=2,'Assumptions - General'!U$41,'Assumptions - General'!U$42))</f>
        <v>1</v>
      </c>
      <c r="V811" s="124">
        <f>IF('Assumptions - Passenger'!$E$435=1,1,IF('Assumptions - Passenger'!$E$435=2,'Assumptions - General'!V$41,'Assumptions - General'!V$42))</f>
        <v>1</v>
      </c>
      <c r="W811" s="124">
        <f>IF('Assumptions - Passenger'!$E$435=1,1,IF('Assumptions - Passenger'!$E$435=2,'Assumptions - General'!W$41,'Assumptions - General'!W$42))</f>
        <v>1</v>
      </c>
      <c r="X811" s="124">
        <f>IF('Assumptions - Passenger'!$E$435=1,1,IF('Assumptions - Passenger'!$E$435=2,'Assumptions - General'!X$41,'Assumptions - General'!X$42))</f>
        <v>1</v>
      </c>
      <c r="Y811" s="124">
        <f>IF('Assumptions - Passenger'!$E$435=1,1,IF('Assumptions - Passenger'!$E$435=2,'Assumptions - General'!Y$41,'Assumptions - General'!Y$42))</f>
        <v>1</v>
      </c>
      <c r="Z811" s="124">
        <f>IF('Assumptions - Passenger'!$E$435=1,1,IF('Assumptions - Passenger'!$E$435=2,'Assumptions - General'!Z$41,'Assumptions - General'!Z$42))</f>
        <v>1</v>
      </c>
      <c r="AA811" s="124">
        <f>IF('Assumptions - Passenger'!$E$435=1,1,IF('Assumptions - Passenger'!$E$435=2,'Assumptions - General'!AA$41,'Assumptions - General'!AA$42))</f>
        <v>1</v>
      </c>
      <c r="AB811" s="124">
        <f>IF('Assumptions - Passenger'!$E$435=1,1,IF('Assumptions - Passenger'!$E$435=2,'Assumptions - General'!AB$41,'Assumptions - General'!AB$42))</f>
        <v>1</v>
      </c>
      <c r="AC811" s="124">
        <f>IF('Assumptions - Passenger'!$E$435=1,1,IF('Assumptions - Passenger'!$E$435=2,'Assumptions - General'!AC$41,'Assumptions - General'!AC$42))</f>
        <v>1</v>
      </c>
      <c r="AD811" s="124">
        <f>IF('Assumptions - Passenger'!$E$435=1,1,IF('Assumptions - Passenger'!$E$435=2,'Assumptions - General'!AD$41,'Assumptions - General'!AD$42))</f>
        <v>1</v>
      </c>
      <c r="AE811" s="124">
        <f>IF('Assumptions - Passenger'!$E$435=1,1,IF('Assumptions - Passenger'!$E$435=2,'Assumptions - General'!AE$41,'Assumptions - General'!AE$42))</f>
        <v>1</v>
      </c>
      <c r="AF811" s="124">
        <f>IF('Assumptions - Passenger'!$E$435=1,1,IF('Assumptions - Passenger'!$E$435=2,'Assumptions - General'!AF$41,'Assumptions - General'!AF$42))</f>
        <v>1</v>
      </c>
      <c r="AG811" s="124">
        <f>IF('Assumptions - Passenger'!$E$435=1,1,IF('Assumptions - Passenger'!$E$435=2,'Assumptions - General'!AG$41,'Assumptions - General'!AG$42))</f>
        <v>1</v>
      </c>
      <c r="AH811" s="124">
        <f>IF('Assumptions - Passenger'!$E$435=1,1,IF('Assumptions - Passenger'!$E$435=2,'Assumptions - General'!AH$41,'Assumptions - General'!AH$42))</f>
        <v>1</v>
      </c>
    </row>
    <row r="812" spans="1:34" s="20" customFormat="1" ht="14" x14ac:dyDescent="0.2">
      <c r="A812" s="8"/>
      <c r="B812" s="8" t="s">
        <v>136</v>
      </c>
      <c r="C812" s="8"/>
      <c r="D812" s="8" t="str">
        <f>'Assumptions - General'!$E$27 &amp;" millions"</f>
        <v>R$ millions</v>
      </c>
      <c r="E812" s="126">
        <f t="shared" ref="E812:AH812" si="319">E795*E$811</f>
        <v>0</v>
      </c>
      <c r="F812" s="126">
        <f t="shared" si="319"/>
        <v>0</v>
      </c>
      <c r="G812" s="126">
        <f t="shared" si="319"/>
        <v>0</v>
      </c>
      <c r="H812" s="126">
        <f t="shared" si="319"/>
        <v>10</v>
      </c>
      <c r="I812" s="126">
        <f t="shared" si="319"/>
        <v>20</v>
      </c>
      <c r="J812" s="126">
        <f t="shared" si="319"/>
        <v>30</v>
      </c>
      <c r="K812" s="126">
        <f t="shared" si="319"/>
        <v>40</v>
      </c>
      <c r="L812" s="126">
        <f t="shared" si="319"/>
        <v>50</v>
      </c>
      <c r="M812" s="126">
        <f t="shared" si="319"/>
        <v>46.024771251727159</v>
      </c>
      <c r="N812" s="126">
        <f t="shared" si="319"/>
        <v>41.850781066040682</v>
      </c>
      <c r="O812" s="126">
        <f t="shared" si="319"/>
        <v>37.468091371069882</v>
      </c>
      <c r="P812" s="126">
        <f t="shared" si="319"/>
        <v>32.866267191350538</v>
      </c>
      <c r="Q812" s="126">
        <f t="shared" si="319"/>
        <v>28.034351802645233</v>
      </c>
      <c r="R812" s="126">
        <f t="shared" si="319"/>
        <v>22.96084064450466</v>
      </c>
      <c r="S812" s="126">
        <f t="shared" si="319"/>
        <v>17.633653928457061</v>
      </c>
      <c r="T812" s="126">
        <f t="shared" si="319"/>
        <v>12.040107876607081</v>
      </c>
      <c r="U812" s="126">
        <f t="shared" si="319"/>
        <v>6.1668845221646027</v>
      </c>
      <c r="V812" s="126">
        <f t="shared" si="319"/>
        <v>0</v>
      </c>
      <c r="W812" s="126">
        <f t="shared" si="319"/>
        <v>0</v>
      </c>
      <c r="X812" s="126">
        <f t="shared" si="319"/>
        <v>0</v>
      </c>
      <c r="Y812" s="126">
        <f t="shared" si="319"/>
        <v>0</v>
      </c>
      <c r="Z812" s="126">
        <f t="shared" si="319"/>
        <v>0</v>
      </c>
      <c r="AA812" s="126">
        <f t="shared" si="319"/>
        <v>0</v>
      </c>
      <c r="AB812" s="126">
        <f t="shared" si="319"/>
        <v>0</v>
      </c>
      <c r="AC812" s="126">
        <f t="shared" si="319"/>
        <v>0</v>
      </c>
      <c r="AD812" s="126">
        <f t="shared" si="319"/>
        <v>0</v>
      </c>
      <c r="AE812" s="126">
        <f t="shared" si="319"/>
        <v>0</v>
      </c>
      <c r="AF812" s="126">
        <f t="shared" si="319"/>
        <v>0</v>
      </c>
      <c r="AG812" s="126">
        <f t="shared" si="319"/>
        <v>0</v>
      </c>
      <c r="AH812" s="126">
        <f t="shared" si="319"/>
        <v>0</v>
      </c>
    </row>
    <row r="813" spans="1:34" s="20" customFormat="1" ht="14" x14ac:dyDescent="0.2">
      <c r="A813" s="8"/>
      <c r="B813" s="8" t="s">
        <v>410</v>
      </c>
      <c r="C813" s="8"/>
      <c r="D813" s="8" t="str">
        <f>'Assumptions - General'!$E$27 &amp;" millions"</f>
        <v>R$ millions</v>
      </c>
      <c r="E813" s="126">
        <f t="shared" ref="E813:AH813" si="320">E796*E$811</f>
        <v>0</v>
      </c>
      <c r="F813" s="126">
        <f t="shared" si="320"/>
        <v>0</v>
      </c>
      <c r="G813" s="126">
        <f t="shared" si="320"/>
        <v>0</v>
      </c>
      <c r="H813" s="126">
        <f t="shared" si="320"/>
        <v>0</v>
      </c>
      <c r="I813" s="126">
        <f t="shared" si="320"/>
        <v>0</v>
      </c>
      <c r="J813" s="126">
        <f t="shared" si="320"/>
        <v>0</v>
      </c>
      <c r="K813" s="126">
        <f t="shared" si="320"/>
        <v>0</v>
      </c>
      <c r="L813" s="126">
        <f t="shared" si="320"/>
        <v>3.975228748272837</v>
      </c>
      <c r="M813" s="126">
        <f t="shared" si="320"/>
        <v>4.1739901856864758</v>
      </c>
      <c r="N813" s="126">
        <f t="shared" si="320"/>
        <v>4.382689694970801</v>
      </c>
      <c r="O813" s="126">
        <f t="shared" si="320"/>
        <v>4.6018241797193413</v>
      </c>
      <c r="P813" s="126">
        <f t="shared" si="320"/>
        <v>4.8319153887053066</v>
      </c>
      <c r="Q813" s="126">
        <f t="shared" si="320"/>
        <v>5.0735111581405716</v>
      </c>
      <c r="R813" s="126">
        <f t="shared" si="320"/>
        <v>5.3271867160476001</v>
      </c>
      <c r="S813" s="126">
        <f t="shared" si="320"/>
        <v>5.5935460518499802</v>
      </c>
      <c r="T813" s="126">
        <f t="shared" si="320"/>
        <v>5.8732233544424783</v>
      </c>
      <c r="U813" s="126">
        <f t="shared" si="320"/>
        <v>6.1668845221646027</v>
      </c>
      <c r="V813" s="126">
        <f t="shared" si="320"/>
        <v>0</v>
      </c>
      <c r="W813" s="126">
        <f t="shared" si="320"/>
        <v>0</v>
      </c>
      <c r="X813" s="126">
        <f t="shared" si="320"/>
        <v>0</v>
      </c>
      <c r="Y813" s="126">
        <f t="shared" si="320"/>
        <v>0</v>
      </c>
      <c r="Z813" s="126">
        <f t="shared" si="320"/>
        <v>0</v>
      </c>
      <c r="AA813" s="126">
        <f t="shared" si="320"/>
        <v>0</v>
      </c>
      <c r="AB813" s="126">
        <f t="shared" si="320"/>
        <v>0</v>
      </c>
      <c r="AC813" s="126">
        <f t="shared" si="320"/>
        <v>0</v>
      </c>
      <c r="AD813" s="126">
        <f t="shared" si="320"/>
        <v>0</v>
      </c>
      <c r="AE813" s="126">
        <f t="shared" si="320"/>
        <v>0</v>
      </c>
      <c r="AF813" s="126">
        <f t="shared" si="320"/>
        <v>0</v>
      </c>
      <c r="AG813" s="126">
        <f t="shared" si="320"/>
        <v>0</v>
      </c>
      <c r="AH813" s="126">
        <f t="shared" si="320"/>
        <v>0</v>
      </c>
    </row>
    <row r="814" spans="1:34" s="20" customFormat="1" ht="14" x14ac:dyDescent="0.2">
      <c r="A814" s="8"/>
      <c r="B814" s="8" t="s">
        <v>137</v>
      </c>
      <c r="C814" s="8"/>
      <c r="D814" s="8" t="str">
        <f>'Assumptions - General'!$E$27 &amp;" millions"</f>
        <v>R$ millions</v>
      </c>
      <c r="E814" s="126">
        <f t="shared" ref="E814:AH814" si="321">E802*E$811</f>
        <v>0</v>
      </c>
      <c r="F814" s="126">
        <f t="shared" si="321"/>
        <v>0</v>
      </c>
      <c r="G814" s="126">
        <f t="shared" si="321"/>
        <v>10</v>
      </c>
      <c r="H814" s="126">
        <f t="shared" si="321"/>
        <v>10</v>
      </c>
      <c r="I814" s="126">
        <f t="shared" si="321"/>
        <v>10</v>
      </c>
      <c r="J814" s="126">
        <f t="shared" si="321"/>
        <v>10</v>
      </c>
      <c r="K814" s="126">
        <f t="shared" si="321"/>
        <v>10</v>
      </c>
      <c r="L814" s="126">
        <f t="shared" si="321"/>
        <v>0</v>
      </c>
      <c r="M814" s="126">
        <f t="shared" si="321"/>
        <v>0</v>
      </c>
      <c r="N814" s="126">
        <f t="shared" si="321"/>
        <v>0</v>
      </c>
      <c r="O814" s="126">
        <f t="shared" si="321"/>
        <v>0</v>
      </c>
      <c r="P814" s="126">
        <f t="shared" si="321"/>
        <v>0</v>
      </c>
      <c r="Q814" s="126">
        <f t="shared" si="321"/>
        <v>0</v>
      </c>
      <c r="R814" s="126">
        <f t="shared" si="321"/>
        <v>0</v>
      </c>
      <c r="S814" s="126">
        <f t="shared" si="321"/>
        <v>0</v>
      </c>
      <c r="T814" s="126">
        <f t="shared" si="321"/>
        <v>0</v>
      </c>
      <c r="U814" s="126">
        <f t="shared" si="321"/>
        <v>0</v>
      </c>
      <c r="V814" s="126">
        <f t="shared" si="321"/>
        <v>0</v>
      </c>
      <c r="W814" s="126">
        <f t="shared" si="321"/>
        <v>0</v>
      </c>
      <c r="X814" s="126">
        <f t="shared" si="321"/>
        <v>0</v>
      </c>
      <c r="Y814" s="126">
        <f t="shared" si="321"/>
        <v>0</v>
      </c>
      <c r="Z814" s="126">
        <f t="shared" si="321"/>
        <v>0</v>
      </c>
      <c r="AA814" s="126">
        <f t="shared" si="321"/>
        <v>0</v>
      </c>
      <c r="AB814" s="126">
        <f t="shared" si="321"/>
        <v>0</v>
      </c>
      <c r="AC814" s="126">
        <f t="shared" si="321"/>
        <v>0</v>
      </c>
      <c r="AD814" s="126">
        <f t="shared" si="321"/>
        <v>0</v>
      </c>
      <c r="AE814" s="126">
        <f t="shared" si="321"/>
        <v>0</v>
      </c>
      <c r="AF814" s="126">
        <f t="shared" si="321"/>
        <v>0</v>
      </c>
      <c r="AG814" s="126">
        <f t="shared" si="321"/>
        <v>0</v>
      </c>
      <c r="AH814" s="126">
        <f t="shared" si="321"/>
        <v>0</v>
      </c>
    </row>
    <row r="815" spans="1:34" s="20" customFormat="1" ht="14" x14ac:dyDescent="0.2">
      <c r="A815" s="8"/>
      <c r="B815" s="8" t="s">
        <v>138</v>
      </c>
      <c r="C815" s="8"/>
      <c r="D815" s="8" t="str">
        <f>'Assumptions - General'!$E$27 &amp;" millions"</f>
        <v>R$ millions</v>
      </c>
      <c r="E815" s="126">
        <f t="shared" ref="E815:AH815" si="322">E803*E$811</f>
        <v>0</v>
      </c>
      <c r="F815" s="126">
        <f t="shared" si="322"/>
        <v>0</v>
      </c>
      <c r="G815" s="126">
        <f t="shared" si="322"/>
        <v>10</v>
      </c>
      <c r="H815" s="126">
        <f t="shared" si="322"/>
        <v>20</v>
      </c>
      <c r="I815" s="126">
        <f t="shared" si="322"/>
        <v>30</v>
      </c>
      <c r="J815" s="126">
        <f t="shared" si="322"/>
        <v>40</v>
      </c>
      <c r="K815" s="126">
        <f t="shared" si="322"/>
        <v>50</v>
      </c>
      <c r="L815" s="126">
        <f t="shared" si="322"/>
        <v>46.024771251727159</v>
      </c>
      <c r="M815" s="126">
        <f t="shared" si="322"/>
        <v>41.850781066040682</v>
      </c>
      <c r="N815" s="126">
        <f t="shared" si="322"/>
        <v>37.468091371069882</v>
      </c>
      <c r="O815" s="126">
        <f t="shared" si="322"/>
        <v>32.866267191350538</v>
      </c>
      <c r="P815" s="126">
        <f t="shared" si="322"/>
        <v>28.034351802645233</v>
      </c>
      <c r="Q815" s="126">
        <f t="shared" si="322"/>
        <v>22.96084064450466</v>
      </c>
      <c r="R815" s="126">
        <f t="shared" si="322"/>
        <v>17.633653928457061</v>
      </c>
      <c r="S815" s="126">
        <f t="shared" si="322"/>
        <v>12.040107876607081</v>
      </c>
      <c r="T815" s="126">
        <f t="shared" si="322"/>
        <v>6.1668845221646027</v>
      </c>
      <c r="U815" s="126">
        <f t="shared" si="322"/>
        <v>0</v>
      </c>
      <c r="V815" s="126">
        <f t="shared" si="322"/>
        <v>0</v>
      </c>
      <c r="W815" s="126">
        <f t="shared" si="322"/>
        <v>0</v>
      </c>
      <c r="X815" s="126">
        <f t="shared" si="322"/>
        <v>0</v>
      </c>
      <c r="Y815" s="126">
        <f t="shared" si="322"/>
        <v>0</v>
      </c>
      <c r="Z815" s="126">
        <f t="shared" si="322"/>
        <v>0</v>
      </c>
      <c r="AA815" s="126">
        <f t="shared" si="322"/>
        <v>0</v>
      </c>
      <c r="AB815" s="126">
        <f t="shared" si="322"/>
        <v>0</v>
      </c>
      <c r="AC815" s="126">
        <f t="shared" si="322"/>
        <v>0</v>
      </c>
      <c r="AD815" s="126">
        <f t="shared" si="322"/>
        <v>0</v>
      </c>
      <c r="AE815" s="126">
        <f t="shared" si="322"/>
        <v>0</v>
      </c>
      <c r="AF815" s="126">
        <f t="shared" si="322"/>
        <v>0</v>
      </c>
      <c r="AG815" s="126">
        <f t="shared" si="322"/>
        <v>0</v>
      </c>
      <c r="AH815" s="126">
        <f t="shared" si="322"/>
        <v>0</v>
      </c>
    </row>
    <row r="816" spans="1:34" s="20" customFormat="1" ht="14" x14ac:dyDescent="0.2">
      <c r="A816" s="8"/>
      <c r="B816" s="8" t="s">
        <v>139</v>
      </c>
      <c r="C816" s="8"/>
      <c r="D816" s="8" t="str">
        <f>'Assumptions - General'!$E$27 &amp;" millions"</f>
        <v>R$ millions</v>
      </c>
      <c r="E816" s="126">
        <f t="shared" ref="E816:AH816" si="323">E804*E$811</f>
        <v>0</v>
      </c>
      <c r="F816" s="126">
        <f t="shared" si="323"/>
        <v>0</v>
      </c>
      <c r="G816" s="126">
        <f t="shared" si="323"/>
        <v>0.25</v>
      </c>
      <c r="H816" s="126">
        <f t="shared" si="323"/>
        <v>0.75</v>
      </c>
      <c r="I816" s="126">
        <f t="shared" si="323"/>
        <v>1.25</v>
      </c>
      <c r="J816" s="126">
        <f t="shared" si="323"/>
        <v>1.75</v>
      </c>
      <c r="K816" s="126">
        <f t="shared" si="323"/>
        <v>2.25</v>
      </c>
      <c r="L816" s="126">
        <f t="shared" si="323"/>
        <v>2.5</v>
      </c>
      <c r="M816" s="126">
        <f t="shared" si="323"/>
        <v>2.3012385625863581</v>
      </c>
      <c r="N816" s="126">
        <f t="shared" si="323"/>
        <v>2.0925390533020343</v>
      </c>
      <c r="O816" s="126">
        <f t="shared" si="323"/>
        <v>1.8734045685534941</v>
      </c>
      <c r="P816" s="126">
        <f t="shared" si="323"/>
        <v>1.6433133595675269</v>
      </c>
      <c r="Q816" s="126">
        <f t="shared" si="323"/>
        <v>1.4017175901322618</v>
      </c>
      <c r="R816" s="126">
        <f t="shared" si="323"/>
        <v>1.1480420322252332</v>
      </c>
      <c r="S816" s="126">
        <f t="shared" si="323"/>
        <v>0.88168269642285313</v>
      </c>
      <c r="T816" s="126">
        <f t="shared" si="323"/>
        <v>0.60200539383035412</v>
      </c>
      <c r="U816" s="126">
        <f t="shared" si="323"/>
        <v>0.30834422610823015</v>
      </c>
      <c r="V816" s="126">
        <f t="shared" si="323"/>
        <v>0</v>
      </c>
      <c r="W816" s="126">
        <f t="shared" si="323"/>
        <v>0</v>
      </c>
      <c r="X816" s="126">
        <f t="shared" si="323"/>
        <v>0</v>
      </c>
      <c r="Y816" s="126">
        <f t="shared" si="323"/>
        <v>0</v>
      </c>
      <c r="Z816" s="126">
        <f t="shared" si="323"/>
        <v>0</v>
      </c>
      <c r="AA816" s="126">
        <f t="shared" si="323"/>
        <v>0</v>
      </c>
      <c r="AB816" s="126">
        <f t="shared" si="323"/>
        <v>0</v>
      </c>
      <c r="AC816" s="126">
        <f t="shared" si="323"/>
        <v>0</v>
      </c>
      <c r="AD816" s="126">
        <f t="shared" si="323"/>
        <v>0</v>
      </c>
      <c r="AE816" s="126">
        <f t="shared" si="323"/>
        <v>0</v>
      </c>
      <c r="AF816" s="126">
        <f t="shared" si="323"/>
        <v>0</v>
      </c>
      <c r="AG816" s="126">
        <f t="shared" si="323"/>
        <v>0</v>
      </c>
      <c r="AH816" s="126">
        <f t="shared" si="323"/>
        <v>0</v>
      </c>
    </row>
    <row r="817" spans="1:34" s="20" customFormat="1" ht="14" x14ac:dyDescent="0.2">
      <c r="A817" s="8"/>
      <c r="B817" s="8" t="s">
        <v>53</v>
      </c>
      <c r="C817" s="8"/>
      <c r="D817" s="8" t="str">
        <f>'Assumptions - General'!$E$27 &amp;" millions"</f>
        <v>R$ millions</v>
      </c>
      <c r="E817" s="126">
        <f t="shared" ref="E817:AH817" si="324">E805*E$811</f>
        <v>0</v>
      </c>
      <c r="F817" s="126">
        <f t="shared" si="324"/>
        <v>0</v>
      </c>
      <c r="G817" s="126">
        <f t="shared" si="324"/>
        <v>0.125</v>
      </c>
      <c r="H817" s="126">
        <f t="shared" si="324"/>
        <v>0</v>
      </c>
      <c r="I817" s="126">
        <f t="shared" si="324"/>
        <v>0</v>
      </c>
      <c r="J817" s="126">
        <f t="shared" si="324"/>
        <v>0</v>
      </c>
      <c r="K817" s="126">
        <f t="shared" si="324"/>
        <v>0</v>
      </c>
      <c r="L817" s="126">
        <f t="shared" si="324"/>
        <v>0</v>
      </c>
      <c r="M817" s="126">
        <f t="shared" si="324"/>
        <v>0</v>
      </c>
      <c r="N817" s="126">
        <f t="shared" si="324"/>
        <v>0</v>
      </c>
      <c r="O817" s="126">
        <f t="shared" si="324"/>
        <v>0</v>
      </c>
      <c r="P817" s="126">
        <f t="shared" si="324"/>
        <v>0</v>
      </c>
      <c r="Q817" s="126">
        <f t="shared" si="324"/>
        <v>0</v>
      </c>
      <c r="R817" s="126">
        <f t="shared" si="324"/>
        <v>0</v>
      </c>
      <c r="S817" s="126">
        <f t="shared" si="324"/>
        <v>0</v>
      </c>
      <c r="T817" s="126">
        <f t="shared" si="324"/>
        <v>0</v>
      </c>
      <c r="U817" s="126">
        <f t="shared" si="324"/>
        <v>0</v>
      </c>
      <c r="V817" s="126">
        <f t="shared" si="324"/>
        <v>0</v>
      </c>
      <c r="W817" s="126">
        <f t="shared" si="324"/>
        <v>0</v>
      </c>
      <c r="X817" s="126">
        <f t="shared" si="324"/>
        <v>0</v>
      </c>
      <c r="Y817" s="126">
        <f t="shared" si="324"/>
        <v>0</v>
      </c>
      <c r="Z817" s="126">
        <f t="shared" si="324"/>
        <v>0</v>
      </c>
      <c r="AA817" s="126">
        <f t="shared" si="324"/>
        <v>0</v>
      </c>
      <c r="AB817" s="126">
        <f t="shared" si="324"/>
        <v>0</v>
      </c>
      <c r="AC817" s="126">
        <f t="shared" si="324"/>
        <v>0</v>
      </c>
      <c r="AD817" s="126">
        <f t="shared" si="324"/>
        <v>0</v>
      </c>
      <c r="AE817" s="126">
        <f t="shared" si="324"/>
        <v>0</v>
      </c>
      <c r="AF817" s="126">
        <f t="shared" si="324"/>
        <v>0</v>
      </c>
      <c r="AG817" s="126">
        <f t="shared" si="324"/>
        <v>0</v>
      </c>
      <c r="AH817" s="126">
        <f t="shared" si="324"/>
        <v>0</v>
      </c>
    </row>
    <row r="818" spans="1:34" s="20" customFormat="1" ht="14" x14ac:dyDescent="0.2">
      <c r="A818" s="8"/>
      <c r="B818" s="8" t="s">
        <v>142</v>
      </c>
      <c r="C818" s="8"/>
      <c r="D818" s="8" t="str">
        <f>'Assumptions - General'!$E$27 &amp;" millions"</f>
        <v>R$ millions</v>
      </c>
      <c r="E818" s="126">
        <f t="shared" ref="E818:AH818" si="325">E806*E$811</f>
        <v>0</v>
      </c>
      <c r="F818" s="126">
        <f t="shared" si="325"/>
        <v>0</v>
      </c>
      <c r="G818" s="126">
        <f t="shared" si="325"/>
        <v>40</v>
      </c>
      <c r="H818" s="126">
        <f t="shared" si="325"/>
        <v>30</v>
      </c>
      <c r="I818" s="126">
        <f t="shared" si="325"/>
        <v>20</v>
      </c>
      <c r="J818" s="126">
        <f t="shared" si="325"/>
        <v>10</v>
      </c>
      <c r="K818" s="126">
        <f t="shared" si="325"/>
        <v>0</v>
      </c>
      <c r="L818" s="126">
        <f t="shared" si="325"/>
        <v>0</v>
      </c>
      <c r="M818" s="126">
        <f t="shared" si="325"/>
        <v>0</v>
      </c>
      <c r="N818" s="126">
        <f t="shared" si="325"/>
        <v>0</v>
      </c>
      <c r="O818" s="126">
        <f t="shared" si="325"/>
        <v>0</v>
      </c>
      <c r="P818" s="126">
        <f t="shared" si="325"/>
        <v>0</v>
      </c>
      <c r="Q818" s="126">
        <f t="shared" si="325"/>
        <v>0</v>
      </c>
      <c r="R818" s="126">
        <f t="shared" si="325"/>
        <v>0</v>
      </c>
      <c r="S818" s="126">
        <f t="shared" si="325"/>
        <v>0</v>
      </c>
      <c r="T818" s="126">
        <f t="shared" si="325"/>
        <v>0</v>
      </c>
      <c r="U818" s="126">
        <f t="shared" si="325"/>
        <v>0</v>
      </c>
      <c r="V818" s="126">
        <f t="shared" si="325"/>
        <v>0</v>
      </c>
      <c r="W818" s="126">
        <f t="shared" si="325"/>
        <v>0</v>
      </c>
      <c r="X818" s="126">
        <f t="shared" si="325"/>
        <v>0</v>
      </c>
      <c r="Y818" s="126">
        <f t="shared" si="325"/>
        <v>0</v>
      </c>
      <c r="Z818" s="126">
        <f t="shared" si="325"/>
        <v>0</v>
      </c>
      <c r="AA818" s="126">
        <f t="shared" si="325"/>
        <v>0</v>
      </c>
      <c r="AB818" s="126">
        <f t="shared" si="325"/>
        <v>0</v>
      </c>
      <c r="AC818" s="126">
        <f t="shared" si="325"/>
        <v>0</v>
      </c>
      <c r="AD818" s="126">
        <f t="shared" si="325"/>
        <v>0</v>
      </c>
      <c r="AE818" s="126">
        <f t="shared" si="325"/>
        <v>0</v>
      </c>
      <c r="AF818" s="126">
        <f t="shared" si="325"/>
        <v>0</v>
      </c>
      <c r="AG818" s="126">
        <f t="shared" si="325"/>
        <v>0</v>
      </c>
      <c r="AH818" s="126">
        <f t="shared" si="325"/>
        <v>0</v>
      </c>
    </row>
    <row r="819" spans="1:34" s="20" customFormat="1" ht="14" x14ac:dyDescent="0.2">
      <c r="A819" s="8"/>
      <c r="B819" s="8" t="s">
        <v>55</v>
      </c>
      <c r="C819" s="8"/>
      <c r="D819" s="8" t="str">
        <f>'Assumptions - General'!$E$27 &amp;" millions"</f>
        <v>R$ millions</v>
      </c>
      <c r="E819" s="126">
        <f t="shared" ref="E819:AH819" si="326">E807*E$811</f>
        <v>0</v>
      </c>
      <c r="F819" s="126">
        <f t="shared" si="326"/>
        <v>0</v>
      </c>
      <c r="G819" s="126">
        <f t="shared" si="326"/>
        <v>0</v>
      </c>
      <c r="H819" s="126">
        <f t="shared" si="326"/>
        <v>0</v>
      </c>
      <c r="I819" s="126">
        <f t="shared" si="326"/>
        <v>0</v>
      </c>
      <c r="J819" s="126">
        <f t="shared" si="326"/>
        <v>0</v>
      </c>
      <c r="K819" s="126">
        <f t="shared" si="326"/>
        <v>0</v>
      </c>
      <c r="L819" s="126">
        <f t="shared" si="326"/>
        <v>0</v>
      </c>
      <c r="M819" s="126">
        <f t="shared" si="326"/>
        <v>0</v>
      </c>
      <c r="N819" s="126">
        <f t="shared" si="326"/>
        <v>0</v>
      </c>
      <c r="O819" s="126">
        <f t="shared" si="326"/>
        <v>0</v>
      </c>
      <c r="P819" s="126">
        <f t="shared" si="326"/>
        <v>0</v>
      </c>
      <c r="Q819" s="126">
        <f t="shared" si="326"/>
        <v>0</v>
      </c>
      <c r="R819" s="126">
        <f t="shared" si="326"/>
        <v>0</v>
      </c>
      <c r="S819" s="126">
        <f t="shared" si="326"/>
        <v>0</v>
      </c>
      <c r="T819" s="126">
        <f t="shared" si="326"/>
        <v>0</v>
      </c>
      <c r="U819" s="126">
        <f t="shared" si="326"/>
        <v>0</v>
      </c>
      <c r="V819" s="126">
        <f t="shared" si="326"/>
        <v>0</v>
      </c>
      <c r="W819" s="126">
        <f t="shared" si="326"/>
        <v>0</v>
      </c>
      <c r="X819" s="126">
        <f t="shared" si="326"/>
        <v>0</v>
      </c>
      <c r="Y819" s="126">
        <f t="shared" si="326"/>
        <v>0</v>
      </c>
      <c r="Z819" s="126">
        <f t="shared" si="326"/>
        <v>0</v>
      </c>
      <c r="AA819" s="126">
        <f t="shared" si="326"/>
        <v>0</v>
      </c>
      <c r="AB819" s="126">
        <f t="shared" si="326"/>
        <v>0</v>
      </c>
      <c r="AC819" s="126">
        <f t="shared" si="326"/>
        <v>0</v>
      </c>
      <c r="AD819" s="126">
        <f t="shared" si="326"/>
        <v>0</v>
      </c>
      <c r="AE819" s="126">
        <f t="shared" si="326"/>
        <v>0</v>
      </c>
      <c r="AF819" s="126">
        <f t="shared" si="326"/>
        <v>0</v>
      </c>
      <c r="AG819" s="126">
        <f t="shared" si="326"/>
        <v>0</v>
      </c>
      <c r="AH819" s="126">
        <f t="shared" si="326"/>
        <v>0</v>
      </c>
    </row>
    <row r="820" spans="1:34" s="20" customFormat="1" ht="14" x14ac:dyDescent="0.2">
      <c r="A820" s="8"/>
      <c r="B820" s="8" t="s">
        <v>140</v>
      </c>
      <c r="C820" s="8"/>
      <c r="D820" s="8" t="str">
        <f>'Assumptions - General'!$E$27 &amp;" millions"</f>
        <v>R$ millions</v>
      </c>
      <c r="E820" s="126">
        <f t="shared" ref="E820:AH820" si="327">E808*E$811</f>
        <v>0</v>
      </c>
      <c r="F820" s="126">
        <f t="shared" si="327"/>
        <v>0</v>
      </c>
      <c r="G820" s="126">
        <f t="shared" si="327"/>
        <v>0.375</v>
      </c>
      <c r="H820" s="126">
        <f t="shared" si="327"/>
        <v>0.75</v>
      </c>
      <c r="I820" s="126">
        <f t="shared" si="327"/>
        <v>1.25</v>
      </c>
      <c r="J820" s="126">
        <f t="shared" si="327"/>
        <v>1.75</v>
      </c>
      <c r="K820" s="126">
        <f t="shared" si="327"/>
        <v>2.25</v>
      </c>
      <c r="L820" s="126">
        <f t="shared" si="327"/>
        <v>6.475228748272837</v>
      </c>
      <c r="M820" s="126">
        <f t="shared" si="327"/>
        <v>6.4752287482728335</v>
      </c>
      <c r="N820" s="126">
        <f t="shared" si="327"/>
        <v>6.4752287482728352</v>
      </c>
      <c r="O820" s="126">
        <f t="shared" si="327"/>
        <v>6.4752287482728352</v>
      </c>
      <c r="P820" s="126">
        <f t="shared" si="327"/>
        <v>6.4752287482728335</v>
      </c>
      <c r="Q820" s="126">
        <f t="shared" si="327"/>
        <v>6.4752287482728335</v>
      </c>
      <c r="R820" s="126">
        <f t="shared" si="327"/>
        <v>6.4752287482728335</v>
      </c>
      <c r="S820" s="126">
        <f t="shared" si="327"/>
        <v>6.4752287482728335</v>
      </c>
      <c r="T820" s="126">
        <f t="shared" si="327"/>
        <v>6.4752287482728326</v>
      </c>
      <c r="U820" s="126">
        <f t="shared" si="327"/>
        <v>6.4752287482728326</v>
      </c>
      <c r="V820" s="126">
        <f t="shared" si="327"/>
        <v>0</v>
      </c>
      <c r="W820" s="126">
        <f t="shared" si="327"/>
        <v>0</v>
      </c>
      <c r="X820" s="126">
        <f t="shared" si="327"/>
        <v>0</v>
      </c>
      <c r="Y820" s="126">
        <f t="shared" si="327"/>
        <v>0</v>
      </c>
      <c r="Z820" s="126">
        <f t="shared" si="327"/>
        <v>0</v>
      </c>
      <c r="AA820" s="126">
        <f t="shared" si="327"/>
        <v>0</v>
      </c>
      <c r="AB820" s="126">
        <f t="shared" si="327"/>
        <v>0</v>
      </c>
      <c r="AC820" s="126">
        <f t="shared" si="327"/>
        <v>0</v>
      </c>
      <c r="AD820" s="126">
        <f t="shared" si="327"/>
        <v>0</v>
      </c>
      <c r="AE820" s="126">
        <f t="shared" si="327"/>
        <v>0</v>
      </c>
      <c r="AF820" s="126">
        <f t="shared" si="327"/>
        <v>0</v>
      </c>
      <c r="AG820" s="126">
        <f t="shared" si="327"/>
        <v>0</v>
      </c>
      <c r="AH820" s="126">
        <f t="shared" si="327"/>
        <v>0</v>
      </c>
    </row>
    <row r="821" spans="1:34" s="20" customFormat="1" ht="14" x14ac:dyDescent="0.2">
      <c r="A821" s="8"/>
      <c r="B821" s="8"/>
      <c r="C821" s="8"/>
      <c r="D821" s="8"/>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c r="AA821" s="126"/>
      <c r="AB821" s="126"/>
      <c r="AC821" s="126"/>
      <c r="AD821" s="126"/>
      <c r="AE821" s="126"/>
      <c r="AF821" s="126"/>
      <c r="AG821" s="126"/>
      <c r="AH821" s="126"/>
    </row>
    <row r="822" spans="1:34" s="20" customFormat="1" ht="14" x14ac:dyDescent="0.2">
      <c r="A822" s="8"/>
      <c r="B822" s="21" t="str">
        <f>"New loan from " &amp; 'Assumptions - Passenger'!E451</f>
        <v>New loan from International bank</v>
      </c>
      <c r="C822" s="8"/>
      <c r="D822" s="8"/>
      <c r="E822" s="8"/>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row>
    <row r="823" spans="1:34" s="20" customFormat="1" ht="14" x14ac:dyDescent="0.2">
      <c r="A823" s="8"/>
      <c r="B823" s="8" t="s">
        <v>293</v>
      </c>
      <c r="C823" s="8"/>
      <c r="D823" s="8" t="s">
        <v>99</v>
      </c>
      <c r="E823" s="8"/>
      <c r="F823" s="8">
        <f>IF('Assumptions - Passenger'!$E$455&lt;&gt;0,IF(F$4&lt;'Assumptions - Passenger'!$E$452+'Assumptions - Passenger'!$E$462,0,E823+1),0)</f>
        <v>0</v>
      </c>
      <c r="G823" s="8">
        <f>IF('Assumptions - Passenger'!$E$455&lt;&gt;0,IF(G$4&lt;'Assumptions - Passenger'!$E$452+'Assumptions - Passenger'!$E$462,0,F823+1),0)</f>
        <v>0</v>
      </c>
      <c r="H823" s="8">
        <f>IF('Assumptions - Passenger'!$E$455&lt;&gt;0,IF(H$4&lt;'Assumptions - Passenger'!$E$452+'Assumptions - Passenger'!$E$462,0,G823+1),0)</f>
        <v>0</v>
      </c>
      <c r="I823" s="8">
        <f>IF('Assumptions - Passenger'!$E$455&lt;&gt;0,IF(I$4&lt;'Assumptions - Passenger'!$E$452+'Assumptions - Passenger'!$E$462,0,H823+1),0)</f>
        <v>0</v>
      </c>
      <c r="J823" s="8">
        <f>IF('Assumptions - Passenger'!$E$455&lt;&gt;0,IF(J$4&lt;'Assumptions - Passenger'!$E$452+'Assumptions - Passenger'!$E$462,0,I823+1),0)</f>
        <v>0</v>
      </c>
      <c r="K823" s="8">
        <f>IF('Assumptions - Passenger'!$E$455&lt;&gt;0,IF(K$4&lt;'Assumptions - Passenger'!$E$452+'Assumptions - Passenger'!$E$462,0,J823+1),0)</f>
        <v>0</v>
      </c>
      <c r="L823" s="8">
        <f>IF('Assumptions - Passenger'!$E$455&lt;&gt;0,IF(L$4&lt;'Assumptions - Passenger'!$E$452+'Assumptions - Passenger'!$E$462,0,K823+1),0)</f>
        <v>1</v>
      </c>
      <c r="M823" s="8">
        <f>IF('Assumptions - Passenger'!$E$455&lt;&gt;0,IF(M$4&lt;'Assumptions - Passenger'!$E$452+'Assumptions - Passenger'!$E$462,0,L823+1),0)</f>
        <v>2</v>
      </c>
      <c r="N823" s="8">
        <f>IF('Assumptions - Passenger'!$E$455&lt;&gt;0,IF(N$4&lt;'Assumptions - Passenger'!$E$452+'Assumptions - Passenger'!$E$462,0,M823+1),0)</f>
        <v>3</v>
      </c>
      <c r="O823" s="8">
        <f>IF('Assumptions - Passenger'!$E$455&lt;&gt;0,IF(O$4&lt;'Assumptions - Passenger'!$E$452+'Assumptions - Passenger'!$E$462,0,N823+1),0)</f>
        <v>4</v>
      </c>
      <c r="P823" s="8">
        <f>IF('Assumptions - Passenger'!$E$455&lt;&gt;0,IF(P$4&lt;'Assumptions - Passenger'!$E$452+'Assumptions - Passenger'!$E$462,0,O823+1),0)</f>
        <v>5</v>
      </c>
      <c r="Q823" s="8">
        <f>IF('Assumptions - Passenger'!$E$455&lt;&gt;0,IF(Q$4&lt;'Assumptions - Passenger'!$E$452+'Assumptions - Passenger'!$E$462,0,P823+1),0)</f>
        <v>6</v>
      </c>
      <c r="R823" s="8">
        <f>IF('Assumptions - Passenger'!$E$455&lt;&gt;0,IF(R$4&lt;'Assumptions - Passenger'!$E$452+'Assumptions - Passenger'!$E$462,0,Q823+1),0)</f>
        <v>7</v>
      </c>
      <c r="S823" s="8">
        <f>IF('Assumptions - Passenger'!$E$455&lt;&gt;0,IF(S$4&lt;'Assumptions - Passenger'!$E$452+'Assumptions - Passenger'!$E$462,0,R823+1),0)</f>
        <v>8</v>
      </c>
      <c r="T823" s="8">
        <f>IF('Assumptions - Passenger'!$E$455&lt;&gt;0,IF(T$4&lt;'Assumptions - Passenger'!$E$452+'Assumptions - Passenger'!$E$462,0,S823+1),0)</f>
        <v>9</v>
      </c>
      <c r="U823" s="8">
        <f>IF('Assumptions - Passenger'!$E$455&lt;&gt;0,IF(U$4&lt;'Assumptions - Passenger'!$E$452+'Assumptions - Passenger'!$E$462,0,T823+1),0)</f>
        <v>10</v>
      </c>
      <c r="V823" s="8">
        <f>IF('Assumptions - Passenger'!$E$455&lt;&gt;0,IF(V$4&lt;'Assumptions - Passenger'!$E$452+'Assumptions - Passenger'!$E$462,0,U823+1),0)</f>
        <v>11</v>
      </c>
      <c r="W823" s="8">
        <f>IF('Assumptions - Passenger'!$E$455&lt;&gt;0,IF(W$4&lt;'Assumptions - Passenger'!$E$452+'Assumptions - Passenger'!$E$462,0,V823+1),0)</f>
        <v>12</v>
      </c>
      <c r="X823" s="8">
        <f>IF('Assumptions - Passenger'!$E$455&lt;&gt;0,IF(X$4&lt;'Assumptions - Passenger'!$E$452+'Assumptions - Passenger'!$E$462,0,W823+1),0)</f>
        <v>13</v>
      </c>
      <c r="Y823" s="8">
        <f>IF('Assumptions - Passenger'!$E$455&lt;&gt;0,IF(Y$4&lt;'Assumptions - Passenger'!$E$452+'Assumptions - Passenger'!$E$462,0,X823+1),0)</f>
        <v>14</v>
      </c>
      <c r="Z823" s="8">
        <f>IF('Assumptions - Passenger'!$E$455&lt;&gt;0,IF(Z$4&lt;'Assumptions - Passenger'!$E$452+'Assumptions - Passenger'!$E$462,0,Y823+1),0)</f>
        <v>15</v>
      </c>
      <c r="AA823" s="8">
        <f>IF('Assumptions - Passenger'!$E$455&lt;&gt;0,IF(AA$4&lt;'Assumptions - Passenger'!$E$452+'Assumptions - Passenger'!$E$462,0,Z823+1),0)</f>
        <v>16</v>
      </c>
      <c r="AB823" s="8">
        <f>IF('Assumptions - Passenger'!$E$455&lt;&gt;0,IF(AB$4&lt;'Assumptions - Passenger'!$E$452+'Assumptions - Passenger'!$E$462,0,AA823+1),0)</f>
        <v>17</v>
      </c>
      <c r="AC823" s="8">
        <f>IF('Assumptions - Passenger'!$E$455&lt;&gt;0,IF(AC$4&lt;'Assumptions - Passenger'!$E$452+'Assumptions - Passenger'!$E$462,0,AB823+1),0)</f>
        <v>18</v>
      </c>
      <c r="AD823" s="8">
        <f>IF('Assumptions - Passenger'!$E$455&lt;&gt;0,IF(AD$4&lt;'Assumptions - Passenger'!$E$452+'Assumptions - Passenger'!$E$462,0,AC823+1),0)</f>
        <v>19</v>
      </c>
      <c r="AE823" s="8">
        <f>IF('Assumptions - Passenger'!$E$455&lt;&gt;0,IF(AE$4&lt;'Assumptions - Passenger'!$E$452+'Assumptions - Passenger'!$E$462,0,AD823+1),0)</f>
        <v>20</v>
      </c>
      <c r="AF823" s="8">
        <f>IF('Assumptions - Passenger'!$E$455&lt;&gt;0,IF(AF$4&lt;'Assumptions - Passenger'!$E$452+'Assumptions - Passenger'!$E$462,0,AE823+1),0)</f>
        <v>21</v>
      </c>
      <c r="AG823" s="8">
        <f>IF('Assumptions - Passenger'!$E$455&lt;&gt;0,IF(AG$4&lt;'Assumptions - Passenger'!$E$452+'Assumptions - Passenger'!$E$462,0,AF823+1),0)</f>
        <v>22</v>
      </c>
      <c r="AH823" s="8">
        <f>IF('Assumptions - Passenger'!$E$455&lt;&gt;0,IF(AH$4&lt;'Assumptions - Passenger'!$E$452+'Assumptions - Passenger'!$E$462,0,AG823+1),0)</f>
        <v>23</v>
      </c>
    </row>
    <row r="824" spans="1:34" s="20" customFormat="1" ht="14" x14ac:dyDescent="0.2">
      <c r="A824" s="8"/>
      <c r="B824" s="8" t="s">
        <v>135</v>
      </c>
      <c r="C824" s="8"/>
      <c r="D824" s="8" t="s">
        <v>15</v>
      </c>
      <c r="E824" s="47">
        <f>IF(E$17=1,IF('Assumptions - Passenger'!$E457=1,'Assumptions - Passenger'!$E459,'Assumptions - General'!E$38+'Assumptions - Passenger'!$E460),0)</f>
        <v>2.4E-2</v>
      </c>
      <c r="F824" s="47">
        <f>IF(F$17=1,IF('Assumptions - Passenger'!$E457=1,'Assumptions - Passenger'!$E459,'Assumptions - General'!F$38+'Assumptions - Passenger'!$E460),0)</f>
        <v>3.6299999999999999E-2</v>
      </c>
      <c r="G824" s="47">
        <f>IF(G$17=1,IF('Assumptions - Passenger'!$E457=1,'Assumptions - Passenger'!$E459,'Assumptions - General'!G$38+'Assumptions - Passenger'!$E460),0)</f>
        <v>4.9700000000000001E-2</v>
      </c>
      <c r="H824" s="47">
        <f>IF(H$17=1,IF('Assumptions - Passenger'!$E457=1,'Assumptions - Passenger'!$E459,'Assumptions - General'!H$38+'Assumptions - Passenger'!$E460),0)</f>
        <v>5.9399999999999994E-2</v>
      </c>
      <c r="I824" s="47">
        <f>IF(I$17=1,IF('Assumptions - Passenger'!$E457=1,'Assumptions - Passenger'!$E459,'Assumptions - General'!I$38+'Assumptions - Passenger'!$E460),0)</f>
        <v>6.6299999999999998E-2</v>
      </c>
      <c r="J824" s="47">
        <f>IF(J$17=1,IF('Assumptions - Passenger'!$E457=1,'Assumptions - Passenger'!$E459,'Assumptions - General'!J$38+'Assumptions - Passenger'!$E460),0)</f>
        <v>7.0800000000000002E-2</v>
      </c>
      <c r="K824" s="47">
        <f>IF(K$17=1,IF('Assumptions - Passenger'!$E457=1,'Assumptions - Passenger'!$E459,'Assumptions - General'!K$38+'Assumptions - Passenger'!$E460),0)</f>
        <v>7.3800000000000004E-2</v>
      </c>
      <c r="L824" s="47">
        <f>IF(L$17=1,IF('Assumptions - Passenger'!$E457=1,'Assumptions - Passenger'!$E459,'Assumptions - General'!L$38+'Assumptions - Passenger'!$E460),0)</f>
        <v>7.5700000000000003E-2</v>
      </c>
      <c r="M824" s="47">
        <f>IF(M$17=1,IF('Assumptions - Passenger'!$E457=1,'Assumptions - Passenger'!$E459,'Assumptions - General'!M$38+'Assumptions - Passenger'!$E460),0)</f>
        <v>7.7700000000000005E-2</v>
      </c>
      <c r="N824" s="47">
        <f>IF(N$17=1,IF('Assumptions - Passenger'!$E457=1,'Assumptions - Passenger'!$E459,'Assumptions - General'!N$38+'Assumptions - Passenger'!$E460),0)</f>
        <v>7.9100000000000004E-2</v>
      </c>
      <c r="O824" s="47">
        <f>IF(O$17=1,IF('Assumptions - Passenger'!$E457=1,'Assumptions - Passenger'!$E459,'Assumptions - General'!O$38+'Assumptions - Passenger'!$E460),0)</f>
        <v>7.0599999999999996E-2</v>
      </c>
      <c r="P824" s="47">
        <f>IF(P$17=1,IF('Assumptions - Passenger'!$E457=1,'Assumptions - Passenger'!$E459,'Assumptions - General'!P$38+'Assumptions - Passenger'!$E460),0)</f>
        <v>7.0000000000000007E-2</v>
      </c>
      <c r="Q824" s="47">
        <f>IF(Q$17=1,IF('Assumptions - Passenger'!$E457=1,'Assumptions - Passenger'!$E459,'Assumptions - General'!Q$38+'Assumptions - Passenger'!$E460),0)</f>
        <v>7.0000000000000007E-2</v>
      </c>
      <c r="R824" s="47">
        <f>IF(R$17=1,IF('Assumptions - Passenger'!$E457=1,'Assumptions - Passenger'!$E459,'Assumptions - General'!R$38+'Assumptions - Passenger'!$E460),0)</f>
        <v>7.0000000000000007E-2</v>
      </c>
      <c r="S824" s="47">
        <f>IF(S$17=1,IF('Assumptions - Passenger'!$E457=1,'Assumptions - Passenger'!$E459,'Assumptions - General'!S$38+'Assumptions - Passenger'!$E460),0)</f>
        <v>7.0000000000000007E-2</v>
      </c>
      <c r="T824" s="47">
        <f>IF(T$17=1,IF('Assumptions - Passenger'!$E457=1,'Assumptions - Passenger'!$E459,'Assumptions - General'!T$38+'Assumptions - Passenger'!$E460),0)</f>
        <v>7.0000000000000007E-2</v>
      </c>
      <c r="U824" s="47">
        <f>IF(U$17=1,IF('Assumptions - Passenger'!$E457=1,'Assumptions - Passenger'!$E459,'Assumptions - General'!U$38+'Assumptions - Passenger'!$E460),0)</f>
        <v>7.0000000000000007E-2</v>
      </c>
      <c r="V824" s="47">
        <f>IF(V$17=1,IF('Assumptions - Passenger'!$E457=1,'Assumptions - Passenger'!$E459,'Assumptions - General'!V$38+'Assumptions - Passenger'!$E460),0)</f>
        <v>7.0000000000000007E-2</v>
      </c>
      <c r="W824" s="47">
        <f>IF(W$17=1,IF('Assumptions - Passenger'!$E457=1,'Assumptions - Passenger'!$E459,'Assumptions - General'!W$38+'Assumptions - Passenger'!$E460),0)</f>
        <v>7.0000000000000007E-2</v>
      </c>
      <c r="X824" s="47">
        <f>IF(X$17=1,IF('Assumptions - Passenger'!$E457=1,'Assumptions - Passenger'!$E459,'Assumptions - General'!X$38+'Assumptions - Passenger'!$E460),0)</f>
        <v>7.0000000000000007E-2</v>
      </c>
      <c r="Y824" s="47">
        <f>IF(Y$17=1,IF('Assumptions - Passenger'!$E457=1,'Assumptions - Passenger'!$E459,'Assumptions - General'!Y$38+'Assumptions - Passenger'!$E460),0)</f>
        <v>7.0000000000000007E-2</v>
      </c>
      <c r="Z824" s="47">
        <f>IF(Z$17=1,IF('Assumptions - Passenger'!$E457=1,'Assumptions - Passenger'!$E459,'Assumptions - General'!Z$38+'Assumptions - Passenger'!$E460),0)</f>
        <v>7.0000000000000007E-2</v>
      </c>
      <c r="AA824" s="47">
        <f>IF(AA$17=1,IF('Assumptions - Passenger'!$E457=1,'Assumptions - Passenger'!$E459,'Assumptions - General'!AA$38+'Assumptions - Passenger'!$E460),0)</f>
        <v>7.0000000000000007E-2</v>
      </c>
      <c r="AB824" s="47">
        <f>IF(AB$17=1,IF('Assumptions - Passenger'!$E457=1,'Assumptions - Passenger'!$E459,'Assumptions - General'!AB$38+'Assumptions - Passenger'!$E460),0)</f>
        <v>7.0000000000000007E-2</v>
      </c>
      <c r="AC824" s="47">
        <f>IF(AC$17=1,IF('Assumptions - Passenger'!$E457=1,'Assumptions - Passenger'!$E459,'Assumptions - General'!AC$38+'Assumptions - Passenger'!$E460),0)</f>
        <v>7.0000000000000007E-2</v>
      </c>
      <c r="AD824" s="47">
        <f>IF(AD$17=1,IF('Assumptions - Passenger'!$E457=1,'Assumptions - Passenger'!$E459,'Assumptions - General'!AD$38+'Assumptions - Passenger'!$E460),0)</f>
        <v>7.0000000000000007E-2</v>
      </c>
      <c r="AE824" s="47">
        <f>IF(AE$17=1,IF('Assumptions - Passenger'!$E457=1,'Assumptions - Passenger'!$E459,'Assumptions - General'!AE$38+'Assumptions - Passenger'!$E460),0)</f>
        <v>7.0000000000000007E-2</v>
      </c>
      <c r="AF824" s="47">
        <f>IF(AF$17=1,IF('Assumptions - Passenger'!$E457=1,'Assumptions - Passenger'!$E459,'Assumptions - General'!AF$38+'Assumptions - Passenger'!$E460),0)</f>
        <v>7.0000000000000007E-2</v>
      </c>
      <c r="AG824" s="47">
        <f>IF(AG$17=1,IF('Assumptions - Passenger'!$E457=1,'Assumptions - Passenger'!$E459,'Assumptions - General'!AG$38+'Assumptions - Passenger'!$E460),0)</f>
        <v>7.0000000000000007E-2</v>
      </c>
      <c r="AH824" s="47">
        <f>IF(AH$17=1,IF('Assumptions - Passenger'!$E457=1,'Assumptions - Passenger'!$E459,'Assumptions - General'!AH$38+'Assumptions - Passenger'!$E460),0)</f>
        <v>7.0000000000000007E-2</v>
      </c>
    </row>
    <row r="825" spans="1:34" s="20" customFormat="1" ht="14" x14ac:dyDescent="0.2">
      <c r="A825" s="8"/>
      <c r="B825" s="8" t="s">
        <v>136</v>
      </c>
      <c r="C825" s="8"/>
      <c r="D825" s="8" t="str">
        <f>'Assumptions - Passenger'!D455</f>
        <v>R$ millions</v>
      </c>
      <c r="E825" s="468">
        <v>0</v>
      </c>
      <c r="F825" s="126">
        <f t="shared" ref="F825:AH825" si="328">E833</f>
        <v>0</v>
      </c>
      <c r="G825" s="126">
        <f t="shared" si="328"/>
        <v>0</v>
      </c>
      <c r="H825" s="126">
        <f t="shared" si="328"/>
        <v>10</v>
      </c>
      <c r="I825" s="126">
        <f t="shared" si="328"/>
        <v>20</v>
      </c>
      <c r="J825" s="126">
        <f t="shared" si="328"/>
        <v>30</v>
      </c>
      <c r="K825" s="126">
        <f t="shared" si="328"/>
        <v>40</v>
      </c>
      <c r="L825" s="126">
        <f t="shared" si="328"/>
        <v>50</v>
      </c>
      <c r="M825" s="126">
        <f t="shared" si="328"/>
        <v>46.535722081357534</v>
      </c>
      <c r="N825" s="126">
        <f t="shared" si="328"/>
        <v>42.902269768436554</v>
      </c>
      <c r="O825" s="126">
        <f t="shared" si="328"/>
        <v>39.046561388477429</v>
      </c>
      <c r="P825" s="126">
        <f t="shared" si="328"/>
        <v>34.553970703861474</v>
      </c>
      <c r="Q825" s="126">
        <f t="shared" si="328"/>
        <v>29.723470734489318</v>
      </c>
      <c r="R825" s="126">
        <f t="shared" si="328"/>
        <v>24.55483576726111</v>
      </c>
      <c r="S825" s="126">
        <f t="shared" si="328"/>
        <v>19.024396352326928</v>
      </c>
      <c r="T825" s="126">
        <f t="shared" si="328"/>
        <v>13.106826178347355</v>
      </c>
      <c r="U825" s="126">
        <f t="shared" si="328"/>
        <v>6.7750260921892114</v>
      </c>
      <c r="V825" s="126">
        <f t="shared" si="328"/>
        <v>0</v>
      </c>
      <c r="W825" s="126">
        <f t="shared" si="328"/>
        <v>0</v>
      </c>
      <c r="X825" s="126">
        <f t="shared" si="328"/>
        <v>0</v>
      </c>
      <c r="Y825" s="126">
        <f t="shared" si="328"/>
        <v>0</v>
      </c>
      <c r="Z825" s="126">
        <f t="shared" si="328"/>
        <v>0</v>
      </c>
      <c r="AA825" s="126">
        <f t="shared" si="328"/>
        <v>0</v>
      </c>
      <c r="AB825" s="126">
        <f t="shared" si="328"/>
        <v>0</v>
      </c>
      <c r="AC825" s="126">
        <f t="shared" si="328"/>
        <v>0</v>
      </c>
      <c r="AD825" s="126">
        <f t="shared" si="328"/>
        <v>0</v>
      </c>
      <c r="AE825" s="126">
        <f t="shared" si="328"/>
        <v>0</v>
      </c>
      <c r="AF825" s="126">
        <f t="shared" si="328"/>
        <v>0</v>
      </c>
      <c r="AG825" s="126">
        <f t="shared" si="328"/>
        <v>0</v>
      </c>
      <c r="AH825" s="126">
        <f t="shared" si="328"/>
        <v>0</v>
      </c>
    </row>
    <row r="826" spans="1:34" s="20" customFormat="1" ht="14" x14ac:dyDescent="0.2">
      <c r="A826" s="8"/>
      <c r="B826" s="8" t="s">
        <v>410</v>
      </c>
      <c r="C826" s="8"/>
      <c r="D826" s="8" t="str">
        <f>D825</f>
        <v>R$ millions</v>
      </c>
      <c r="E826" s="126">
        <f>IF(E$17=1,IF('Assumptions - Passenger'!$E$455&lt;&gt;0,IF('Assumptions - Passenger'!$E$463=1,Calculations!E827,IF('Assumptions - Passenger'!$E$463=2,Calculations!E828,IF('Assumptions - Passenger'!$E$463=3,IF(E823=('Assumptions - Passenger'!$E$461-'Assumptions - Passenger'!$E$462),Calculations!D833,Calculations!E829),0))),0),0)</f>
        <v>0</v>
      </c>
      <c r="F826" s="126">
        <f>IF(F$17=1,IF('Assumptions - Passenger'!$E$455&lt;&gt;0,IF('Assumptions - Passenger'!$E$463=1,Calculations!F827,IF('Assumptions - Passenger'!$E$463=2,Calculations!F828,IF('Assumptions - Passenger'!$E$463=3,IF(F823=('Assumptions - Passenger'!$E$461-'Assumptions - Passenger'!$E$462),Calculations!E833,Calculations!F829),0))),0),0)</f>
        <v>0</v>
      </c>
      <c r="G826" s="126">
        <f>IF(G$17=1,IF('Assumptions - Passenger'!$E$455&lt;&gt;0,IF('Assumptions - Passenger'!$E$463=1,Calculations!G827,IF('Assumptions - Passenger'!$E$463=2,Calculations!G828,IF('Assumptions - Passenger'!$E$463=3,IF(G823=('Assumptions - Passenger'!$E$461-'Assumptions - Passenger'!$E$462),Calculations!F833,Calculations!G829),0))),0),0)</f>
        <v>0</v>
      </c>
      <c r="H826" s="126">
        <f>IF(H$17=1,IF('Assumptions - Passenger'!$E$455&lt;&gt;0,IF('Assumptions - Passenger'!$E$463=1,Calculations!H827,IF('Assumptions - Passenger'!$E$463=2,Calculations!H828,IF('Assumptions - Passenger'!$E$463=3,IF(H823=('Assumptions - Passenger'!$E$461-'Assumptions - Passenger'!$E$462),Calculations!G833,Calculations!H829),0))),0),0)</f>
        <v>0</v>
      </c>
      <c r="I826" s="126">
        <f>IF(I$17=1,IF('Assumptions - Passenger'!$E$455&lt;&gt;0,IF('Assumptions - Passenger'!$E$463=1,Calculations!I827,IF('Assumptions - Passenger'!$E$463=2,Calculations!I828,IF('Assumptions - Passenger'!$E$463=3,IF(I823=('Assumptions - Passenger'!$E$461-'Assumptions - Passenger'!$E$462),Calculations!H833,Calculations!I829),0))),0),0)</f>
        <v>0</v>
      </c>
      <c r="J826" s="126">
        <f>IF(J$17=1,IF('Assumptions - Passenger'!$E$455&lt;&gt;0,IF('Assumptions - Passenger'!$E$463=1,Calculations!J827,IF('Assumptions - Passenger'!$E$463=2,Calculations!J828,IF('Assumptions - Passenger'!$E$463=3,IF(J823=('Assumptions - Passenger'!$E$461-'Assumptions - Passenger'!$E$462),Calculations!I833,Calculations!J829),0))),0),0)</f>
        <v>0</v>
      </c>
      <c r="K826" s="126">
        <f>IF(K$17=1,IF('Assumptions - Passenger'!$E$455&lt;&gt;0,IF('Assumptions - Passenger'!$E$463=1,Calculations!K827,IF('Assumptions - Passenger'!$E$463=2,Calculations!K828,IF('Assumptions - Passenger'!$E$463=3,IF(K823=('Assumptions - Passenger'!$E$461-'Assumptions - Passenger'!$E$462),Calculations!J833,Calculations!K829),0))),0),0)</f>
        <v>0</v>
      </c>
      <c r="L826" s="126">
        <f>IF(L$17=1,IF('Assumptions - Passenger'!$E$455&lt;&gt;0,IF('Assumptions - Passenger'!$E$463=1,Calculations!L827,IF('Assumptions - Passenger'!$E$463=2,Calculations!L828,IF('Assumptions - Passenger'!$E$463=3,IF(L823=('Assumptions - Passenger'!$E$461-'Assumptions - Passenger'!$E$462),Calculations!K833,Calculations!L829),0))),0),0)</f>
        <v>3.4642779186424626</v>
      </c>
      <c r="M826" s="126">
        <f>IF(M$17=1,IF('Assumptions - Passenger'!$E$455&lt;&gt;0,IF('Assumptions - Passenger'!$E$463=1,Calculations!M827,IF('Assumptions - Passenger'!$E$463=2,Calculations!M828,IF('Assumptions - Passenger'!$E$463=3,IF(M823=('Assumptions - Passenger'!$E$461-'Assumptions - Passenger'!$E$462),Calculations!L833,Calculations!M829),0))),0),0)</f>
        <v>3.6334523129209804</v>
      </c>
      <c r="N826" s="126">
        <f>IF(N$17=1,IF('Assumptions - Passenger'!$E$455&lt;&gt;0,IF('Assumptions - Passenger'!$E$463=1,Calculations!N827,IF('Assumptions - Passenger'!$E$463=2,Calculations!N828,IF('Assumptions - Passenger'!$E$463=3,IF(N823=('Assumptions - Passenger'!$E$461-'Assumptions - Passenger'!$E$462),Calculations!M833,Calculations!N829),0))),0),0)</f>
        <v>3.8557083799591276</v>
      </c>
      <c r="O826" s="126">
        <f>IF(O$17=1,IF('Assumptions - Passenger'!$E$455&lt;&gt;0,IF('Assumptions - Passenger'!$E$463=1,Calculations!O827,IF('Assumptions - Passenger'!$E$463=2,Calculations!O828,IF('Assumptions - Passenger'!$E$463=3,IF(O823=('Assumptions - Passenger'!$E$461-'Assumptions - Passenger'!$E$462),Calculations!N833,Calculations!O829),0))),0),0)</f>
        <v>4.4925906846159549</v>
      </c>
      <c r="P826" s="126">
        <f>IF(P$17=1,IF('Assumptions - Passenger'!$E$455&lt;&gt;0,IF('Assumptions - Passenger'!$E$463=1,Calculations!P827,IF('Assumptions - Passenger'!$E$463=2,Calculations!P828,IF('Assumptions - Passenger'!$E$463=3,IF(P823=('Assumptions - Passenger'!$E$461-'Assumptions - Passenger'!$E$462),Calculations!O833,Calculations!P829),0))),0),0)</f>
        <v>4.8304999693721555</v>
      </c>
      <c r="Q826" s="126">
        <f>IF(Q$17=1,IF('Assumptions - Passenger'!$E$455&lt;&gt;0,IF('Assumptions - Passenger'!$E$463=1,Calculations!Q827,IF('Assumptions - Passenger'!$E$463=2,Calculations!Q828,IF('Assumptions - Passenger'!$E$463=3,IF(Q823=('Assumptions - Passenger'!$E$461-'Assumptions - Passenger'!$E$462),Calculations!P833,Calculations!Q829),0))),0),0)</f>
        <v>5.1686349672282077</v>
      </c>
      <c r="R826" s="126">
        <f>IF(R$17=1,IF('Assumptions - Passenger'!$E$455&lt;&gt;0,IF('Assumptions - Passenger'!$E$463=1,Calculations!R827,IF('Assumptions - Passenger'!$E$463=2,Calculations!R828,IF('Assumptions - Passenger'!$E$463=3,IF(R823=('Assumptions - Passenger'!$E$461-'Assumptions - Passenger'!$E$462),Calculations!Q833,Calculations!R829),0))),0),0)</f>
        <v>5.5304394149341833</v>
      </c>
      <c r="S826" s="126">
        <f>IF(S$17=1,IF('Assumptions - Passenger'!$E$455&lt;&gt;0,IF('Assumptions - Passenger'!$E$463=1,Calculations!S827,IF('Assumptions - Passenger'!$E$463=2,Calculations!S828,IF('Assumptions - Passenger'!$E$463=3,IF(S823=('Assumptions - Passenger'!$E$461-'Assumptions - Passenger'!$E$462),Calculations!R833,Calculations!S829),0))),0),0)</f>
        <v>5.9175701739795743</v>
      </c>
      <c r="T826" s="126">
        <f>IF(T$17=1,IF('Assumptions - Passenger'!$E$455&lt;&gt;0,IF('Assumptions - Passenger'!$E$463=1,Calculations!T827,IF('Assumptions - Passenger'!$E$463=2,Calculations!T828,IF('Assumptions - Passenger'!$E$463=3,IF(T823=('Assumptions - Passenger'!$E$461-'Assumptions - Passenger'!$E$462),Calculations!S833,Calculations!T829),0))),0),0)</f>
        <v>6.3318000861581432</v>
      </c>
      <c r="U826" s="126">
        <f>IF(U$17=1,IF('Assumptions - Passenger'!$E$455&lt;&gt;0,IF('Assumptions - Passenger'!$E$463=1,Calculations!U827,IF('Assumptions - Passenger'!$E$463=2,Calculations!U828,IF('Assumptions - Passenger'!$E$463=3,IF(U823=('Assumptions - Passenger'!$E$461-'Assumptions - Passenger'!$E$462),Calculations!T833,Calculations!U829),0))),0),0)</f>
        <v>6.7750260921892114</v>
      </c>
      <c r="V826" s="126">
        <f>IF(V$17=1,IF('Assumptions - Passenger'!$E$455&lt;&gt;0,IF('Assumptions - Passenger'!$E$463=1,Calculations!V827,IF('Assumptions - Passenger'!$E$463=2,Calculations!V828,IF('Assumptions - Passenger'!$E$463=3,IF(V823=('Assumptions - Passenger'!$E$461-'Assumptions - Passenger'!$E$462),Calculations!U833,Calculations!V829),0))),0),0)</f>
        <v>0</v>
      </c>
      <c r="W826" s="126">
        <f>IF(W$17=1,IF('Assumptions - Passenger'!$E$455&lt;&gt;0,IF('Assumptions - Passenger'!$E$463=1,Calculations!W827,IF('Assumptions - Passenger'!$E$463=2,Calculations!W828,IF('Assumptions - Passenger'!$E$463=3,IF(W823=('Assumptions - Passenger'!$E$461-'Assumptions - Passenger'!$E$462),Calculations!V833,Calculations!W829),0))),0),0)</f>
        <v>0</v>
      </c>
      <c r="X826" s="126">
        <f>IF(X$17=1,IF('Assumptions - Passenger'!$E$455&lt;&gt;0,IF('Assumptions - Passenger'!$E$463=1,Calculations!X827,IF('Assumptions - Passenger'!$E$463=2,Calculations!X828,IF('Assumptions - Passenger'!$E$463=3,IF(X823=('Assumptions - Passenger'!$E$461-'Assumptions - Passenger'!$E$462),Calculations!W833,Calculations!X829),0))),0),0)</f>
        <v>0</v>
      </c>
      <c r="Y826" s="126">
        <f>IF(Y$17=1,IF('Assumptions - Passenger'!$E$455&lt;&gt;0,IF('Assumptions - Passenger'!$E$463=1,Calculations!Y827,IF('Assumptions - Passenger'!$E$463=2,Calculations!Y828,IF('Assumptions - Passenger'!$E$463=3,IF(Y823=('Assumptions - Passenger'!$E$461-'Assumptions - Passenger'!$E$462),Calculations!X833,Calculations!Y829),0))),0),0)</f>
        <v>0</v>
      </c>
      <c r="Z826" s="126">
        <f>IF(Z$17=1,IF('Assumptions - Passenger'!$E$455&lt;&gt;0,IF('Assumptions - Passenger'!$E$463=1,Calculations!Z827,IF('Assumptions - Passenger'!$E$463=2,Calculations!Z828,IF('Assumptions - Passenger'!$E$463=3,IF(Z823=('Assumptions - Passenger'!$E$461-'Assumptions - Passenger'!$E$462),Calculations!Y833,Calculations!Z829),0))),0),0)</f>
        <v>0</v>
      </c>
      <c r="AA826" s="126">
        <f>IF(AA$17=1,IF('Assumptions - Passenger'!$E$455&lt;&gt;0,IF('Assumptions - Passenger'!$E$463=1,Calculations!AA827,IF('Assumptions - Passenger'!$E$463=2,Calculations!AA828,IF('Assumptions - Passenger'!$E$463=3,IF(AA823=('Assumptions - Passenger'!$E$461-'Assumptions - Passenger'!$E$462),Calculations!Z833,Calculations!AA829),0))),0),0)</f>
        <v>0</v>
      </c>
      <c r="AB826" s="126">
        <f>IF(AB$17=1,IF('Assumptions - Passenger'!$E$455&lt;&gt;0,IF('Assumptions - Passenger'!$E$463=1,Calculations!AB827,IF('Assumptions - Passenger'!$E$463=2,Calculations!AB828,IF('Assumptions - Passenger'!$E$463=3,IF(AB823=('Assumptions - Passenger'!$E$461-'Assumptions - Passenger'!$E$462),Calculations!AA833,Calculations!AB829),0))),0),0)</f>
        <v>0</v>
      </c>
      <c r="AC826" s="126">
        <f>IF(AC$17=1,IF('Assumptions - Passenger'!$E$455&lt;&gt;0,IF('Assumptions - Passenger'!$E$463=1,Calculations!AC827,IF('Assumptions - Passenger'!$E$463=2,Calculations!AC828,IF('Assumptions - Passenger'!$E$463=3,IF(AC823=('Assumptions - Passenger'!$E$461-'Assumptions - Passenger'!$E$462),Calculations!AB833,Calculations!AC829),0))),0),0)</f>
        <v>0</v>
      </c>
      <c r="AD826" s="126">
        <f>IF(AD$17=1,IF('Assumptions - Passenger'!$E$455&lt;&gt;0,IF('Assumptions - Passenger'!$E$463=1,Calculations!AD827,IF('Assumptions - Passenger'!$E$463=2,Calculations!AD828,IF('Assumptions - Passenger'!$E$463=3,IF(AD823=('Assumptions - Passenger'!$E$461-'Assumptions - Passenger'!$E$462),Calculations!AC833,Calculations!AD829),0))),0),0)</f>
        <v>0</v>
      </c>
      <c r="AE826" s="126">
        <f>IF(AE$17=1,IF('Assumptions - Passenger'!$E$455&lt;&gt;0,IF('Assumptions - Passenger'!$E$463=1,Calculations!AE827,IF('Assumptions - Passenger'!$E$463=2,Calculations!AE828,IF('Assumptions - Passenger'!$E$463=3,IF(AE823=('Assumptions - Passenger'!$E$461-'Assumptions - Passenger'!$E$462),Calculations!AD833,Calculations!AE829),0))),0),0)</f>
        <v>0</v>
      </c>
      <c r="AF826" s="126">
        <f>IF(AF$17=1,IF('Assumptions - Passenger'!$E$455&lt;&gt;0,IF('Assumptions - Passenger'!$E$463=1,Calculations!AF827,IF('Assumptions - Passenger'!$E$463=2,Calculations!AF828,IF('Assumptions - Passenger'!$E$463=3,IF(AF823=('Assumptions - Passenger'!$E$461-'Assumptions - Passenger'!$E$462),Calculations!AE833,Calculations!AF829),0))),0),0)</f>
        <v>0</v>
      </c>
      <c r="AG826" s="126">
        <f>IF(AG$17=1,IF('Assumptions - Passenger'!$E$455&lt;&gt;0,IF('Assumptions - Passenger'!$E$463=1,Calculations!AG827,IF('Assumptions - Passenger'!$E$463=2,Calculations!AG828,IF('Assumptions - Passenger'!$E$463=3,IF(AG823=('Assumptions - Passenger'!$E$461-'Assumptions - Passenger'!$E$462),Calculations!AF833,Calculations!AG829),0))),0),0)</f>
        <v>0</v>
      </c>
      <c r="AH826" s="126">
        <f>IF(AH$17=1,IF('Assumptions - Passenger'!$E$455&lt;&gt;0,IF('Assumptions - Passenger'!$E$463=1,Calculations!AH827,IF('Assumptions - Passenger'!$E$463=2,Calculations!AH828,IF('Assumptions - Passenger'!$E$463=3,IF(AH823=('Assumptions - Passenger'!$E$461-'Assumptions - Passenger'!$E$462),Calculations!AG833,Calculations!AH829),0))),0),0)</f>
        <v>0</v>
      </c>
    </row>
    <row r="827" spans="1:34" s="20" customFormat="1" ht="14" x14ac:dyDescent="0.2">
      <c r="A827" s="8"/>
      <c r="B827" s="125" t="s">
        <v>295</v>
      </c>
      <c r="C827" s="8"/>
      <c r="D827" s="8" t="str">
        <f t="shared" ref="D827:D838" si="329">D826</f>
        <v>R$ millions</v>
      </c>
      <c r="E827" s="126">
        <f>IF('Assumptions - Passenger'!$E$455&lt;&gt;0,IF(AND('Assumptions - Passenger'!$E$463=1,E$823=('Assumptions - Passenger'!$E$461-'Assumptions - Passenger'!$E$462)),'Assumptions - Passenger'!$E$455,0),0)</f>
        <v>0</v>
      </c>
      <c r="F827" s="126">
        <f>IF('Assumptions - Passenger'!$E$455&lt;&gt;0,IF(AND('Assumptions - Passenger'!$E$463=1,F$823=('Assumptions - Passenger'!$E$461-'Assumptions - Passenger'!$E$462)),'Assumptions - Passenger'!$E$455,0),0)</f>
        <v>0</v>
      </c>
      <c r="G827" s="126">
        <f>IF('Assumptions - Passenger'!$E$455&lt;&gt;0,IF(AND('Assumptions - Passenger'!$E$463=1,G$823=('Assumptions - Passenger'!$E$461-'Assumptions - Passenger'!$E$462)),'Assumptions - Passenger'!$E$455,0),0)</f>
        <v>0</v>
      </c>
      <c r="H827" s="126">
        <f>IF('Assumptions - Passenger'!$E$455&lt;&gt;0,IF(AND('Assumptions - Passenger'!$E$463=1,H$823=('Assumptions - Passenger'!$E$461-'Assumptions - Passenger'!$E$462)),'Assumptions - Passenger'!$E$455,0),0)</f>
        <v>0</v>
      </c>
      <c r="I827" s="126">
        <f>IF('Assumptions - Passenger'!$E$455&lt;&gt;0,IF(AND('Assumptions - Passenger'!$E$463=1,I$823=('Assumptions - Passenger'!$E$461-'Assumptions - Passenger'!$E$462)),'Assumptions - Passenger'!$E$455,0),0)</f>
        <v>0</v>
      </c>
      <c r="J827" s="126">
        <f>IF('Assumptions - Passenger'!$E$455&lt;&gt;0,IF(AND('Assumptions - Passenger'!$E$463=1,J$823=('Assumptions - Passenger'!$E$461-'Assumptions - Passenger'!$E$462)),'Assumptions - Passenger'!$E$455,0),0)</f>
        <v>0</v>
      </c>
      <c r="K827" s="126">
        <f>IF('Assumptions - Passenger'!$E$455&lt;&gt;0,IF(AND('Assumptions - Passenger'!$E$463=1,K$823=('Assumptions - Passenger'!$E$461-'Assumptions - Passenger'!$E$462)),'Assumptions - Passenger'!$E$455,0),0)</f>
        <v>0</v>
      </c>
      <c r="L827" s="126">
        <f>IF('Assumptions - Passenger'!$E$455&lt;&gt;0,IF(AND('Assumptions - Passenger'!$E$463=1,L$823=('Assumptions - Passenger'!$E$461-'Assumptions - Passenger'!$E$462)),'Assumptions - Passenger'!$E$455,0),0)</f>
        <v>0</v>
      </c>
      <c r="M827" s="126">
        <f>IF('Assumptions - Passenger'!$E$455&lt;&gt;0,IF(AND('Assumptions - Passenger'!$E$463=1,M$823=('Assumptions - Passenger'!$E$461-'Assumptions - Passenger'!$E$462)),'Assumptions - Passenger'!$E$455,0),0)</f>
        <v>0</v>
      </c>
      <c r="N827" s="126">
        <f>IF('Assumptions - Passenger'!$E$455&lt;&gt;0,IF(AND('Assumptions - Passenger'!$E$463=1,N$823=('Assumptions - Passenger'!$E$461-'Assumptions - Passenger'!$E$462)),'Assumptions - Passenger'!$E$455,0),0)</f>
        <v>0</v>
      </c>
      <c r="O827" s="126">
        <f>IF('Assumptions - Passenger'!$E$455&lt;&gt;0,IF(AND('Assumptions - Passenger'!$E$463=1,O$823=('Assumptions - Passenger'!$E$461-'Assumptions - Passenger'!$E$462)),'Assumptions - Passenger'!$E$455,0),0)</f>
        <v>0</v>
      </c>
      <c r="P827" s="126">
        <f>IF('Assumptions - Passenger'!$E$455&lt;&gt;0,IF(AND('Assumptions - Passenger'!$E$463=1,P$823=('Assumptions - Passenger'!$E$461-'Assumptions - Passenger'!$E$462)),'Assumptions - Passenger'!$E$455,0),0)</f>
        <v>0</v>
      </c>
      <c r="Q827" s="126">
        <f>IF('Assumptions - Passenger'!$E$455&lt;&gt;0,IF(AND('Assumptions - Passenger'!$E$463=1,Q$823=('Assumptions - Passenger'!$E$461-'Assumptions - Passenger'!$E$462)),'Assumptions - Passenger'!$E$455,0),0)</f>
        <v>0</v>
      </c>
      <c r="R827" s="126">
        <f>IF('Assumptions - Passenger'!$E$455&lt;&gt;0,IF(AND('Assumptions - Passenger'!$E$463=1,R$823=('Assumptions - Passenger'!$E$461-'Assumptions - Passenger'!$E$462)),'Assumptions - Passenger'!$E$455,0),0)</f>
        <v>0</v>
      </c>
      <c r="S827" s="126">
        <f>IF('Assumptions - Passenger'!$E$455&lt;&gt;0,IF(AND('Assumptions - Passenger'!$E$463=1,S$823=('Assumptions - Passenger'!$E$461-'Assumptions - Passenger'!$E$462)),'Assumptions - Passenger'!$E$455,0),0)</f>
        <v>0</v>
      </c>
      <c r="T827" s="126">
        <f>IF('Assumptions - Passenger'!$E$455&lt;&gt;0,IF(AND('Assumptions - Passenger'!$E$463=1,T$823=('Assumptions - Passenger'!$E$461-'Assumptions - Passenger'!$E$462)),'Assumptions - Passenger'!$E$455,0),0)</f>
        <v>0</v>
      </c>
      <c r="U827" s="126">
        <f>IF('Assumptions - Passenger'!$E$455&lt;&gt;0,IF(AND('Assumptions - Passenger'!$E$463=1,U$823=('Assumptions - Passenger'!$E$461-'Assumptions - Passenger'!$E$462)),'Assumptions - Passenger'!$E$455,0),0)</f>
        <v>0</v>
      </c>
      <c r="V827" s="126">
        <f>IF('Assumptions - Passenger'!$E$455&lt;&gt;0,IF(AND('Assumptions - Passenger'!$E$463=1,V$823=('Assumptions - Passenger'!$E$461-'Assumptions - Passenger'!$E$462)),'Assumptions - Passenger'!$E$455,0),0)</f>
        <v>0</v>
      </c>
      <c r="W827" s="126">
        <f>IF('Assumptions - Passenger'!$E$455&lt;&gt;0,IF(AND('Assumptions - Passenger'!$E$463=1,W$823=('Assumptions - Passenger'!$E$461-'Assumptions - Passenger'!$E$462)),'Assumptions - Passenger'!$E$455,0),0)</f>
        <v>0</v>
      </c>
      <c r="X827" s="126">
        <f>IF('Assumptions - Passenger'!$E$455&lt;&gt;0,IF(AND('Assumptions - Passenger'!$E$463=1,X$823=('Assumptions - Passenger'!$E$461-'Assumptions - Passenger'!$E$462)),'Assumptions - Passenger'!$E$455,0),0)</f>
        <v>0</v>
      </c>
      <c r="Y827" s="126">
        <f>IF('Assumptions - Passenger'!$E$455&lt;&gt;0,IF(AND('Assumptions - Passenger'!$E$463=1,Y$823=('Assumptions - Passenger'!$E$461-'Assumptions - Passenger'!$E$462)),'Assumptions - Passenger'!$E$455,0),0)</f>
        <v>0</v>
      </c>
      <c r="Z827" s="126">
        <f>IF('Assumptions - Passenger'!$E$455&lt;&gt;0,IF(AND('Assumptions - Passenger'!$E$463=1,Z$823=('Assumptions - Passenger'!$E$461-'Assumptions - Passenger'!$E$462)),'Assumptions - Passenger'!$E$455,0),0)</f>
        <v>0</v>
      </c>
      <c r="AA827" s="126">
        <f>IF('Assumptions - Passenger'!$E$455&lt;&gt;0,IF(AND('Assumptions - Passenger'!$E$463=1,AA$823=('Assumptions - Passenger'!$E$461-'Assumptions - Passenger'!$E$462)),'Assumptions - Passenger'!$E$455,0),0)</f>
        <v>0</v>
      </c>
      <c r="AB827" s="126">
        <f>IF('Assumptions - Passenger'!$E$455&lt;&gt;0,IF(AND('Assumptions - Passenger'!$E$463=1,AB$823=('Assumptions - Passenger'!$E$461-'Assumptions - Passenger'!$E$462)),'Assumptions - Passenger'!$E$455,0),0)</f>
        <v>0</v>
      </c>
      <c r="AC827" s="126">
        <f>IF('Assumptions - Passenger'!$E$455&lt;&gt;0,IF(AND('Assumptions - Passenger'!$E$463=1,AC$823=('Assumptions - Passenger'!$E$461-'Assumptions - Passenger'!$E$462)),'Assumptions - Passenger'!$E$455,0),0)</f>
        <v>0</v>
      </c>
      <c r="AD827" s="126">
        <f>IF('Assumptions - Passenger'!$E$455&lt;&gt;0,IF(AND('Assumptions - Passenger'!$E$463=1,AD$823=('Assumptions - Passenger'!$E$461-'Assumptions - Passenger'!$E$462)),'Assumptions - Passenger'!$E$455,0),0)</f>
        <v>0</v>
      </c>
      <c r="AE827" s="126">
        <f>IF('Assumptions - Passenger'!$E$455&lt;&gt;0,IF(AND('Assumptions - Passenger'!$E$463=1,AE$823=('Assumptions - Passenger'!$E$461-'Assumptions - Passenger'!$E$462)),'Assumptions - Passenger'!$E$455,0),0)</f>
        <v>0</v>
      </c>
      <c r="AF827" s="126">
        <f>IF('Assumptions - Passenger'!$E$455&lt;&gt;0,IF(AND('Assumptions - Passenger'!$E$463=1,AF$823=('Assumptions - Passenger'!$E$461-'Assumptions - Passenger'!$E$462)),'Assumptions - Passenger'!$E$455,0),0)</f>
        <v>0</v>
      </c>
      <c r="AG827" s="126">
        <f>IF('Assumptions - Passenger'!$E$455&lt;&gt;0,IF(AND('Assumptions - Passenger'!$E$463=1,AG$823=('Assumptions - Passenger'!$E$461-'Assumptions - Passenger'!$E$462)),'Assumptions - Passenger'!$E$455,0),0)</f>
        <v>0</v>
      </c>
      <c r="AH827" s="126">
        <f>IF('Assumptions - Passenger'!$E$455&lt;&gt;0,IF(AND('Assumptions - Passenger'!$E$463=1,AH$823=('Assumptions - Passenger'!$E$461-'Assumptions - Passenger'!$E$462)),'Assumptions - Passenger'!$E$455,0),0)</f>
        <v>0</v>
      </c>
    </row>
    <row r="828" spans="1:34" s="20" customFormat="1" ht="14" x14ac:dyDescent="0.2">
      <c r="A828" s="8"/>
      <c r="B828" s="125" t="s">
        <v>294</v>
      </c>
      <c r="C828" s="8"/>
      <c r="D828" s="8" t="str">
        <f t="shared" si="329"/>
        <v>R$ millions</v>
      </c>
      <c r="E828" s="126">
        <f>IF('Assumptions - Passenger'!$E$455&lt;&gt;0,IF(AND('Assumptions - Passenger'!$E$463=2,Calculations!E$823&gt;0,Calculations!E$823&lt;=('Assumptions - Passenger'!$E$461-'Assumptions - Passenger'!$E$462)),'Assumptions - Passenger'!$E$455/('Assumptions - Passenger'!$E$461-'Assumptions - Passenger'!$E$462),0),0)</f>
        <v>0</v>
      </c>
      <c r="F828" s="126">
        <f>IF('Assumptions - Passenger'!$E$455&lt;&gt;0,IF(AND('Assumptions - Passenger'!$E$463=2,Calculations!F$823&gt;0,Calculations!F$823&lt;=('Assumptions - Passenger'!$E$461-'Assumptions - Passenger'!$E$462)),'Assumptions - Passenger'!$E$455/('Assumptions - Passenger'!$E$461-'Assumptions - Passenger'!$E$462),0),0)</f>
        <v>0</v>
      </c>
      <c r="G828" s="126">
        <f>IF('Assumptions - Passenger'!$E$455&lt;&gt;0,IF(AND('Assumptions - Passenger'!$E$463=2,Calculations!G$823&gt;0,Calculations!G$823&lt;=('Assumptions - Passenger'!$E$461-'Assumptions - Passenger'!$E$462)),'Assumptions - Passenger'!$E$455/('Assumptions - Passenger'!$E$461-'Assumptions - Passenger'!$E$462),0),0)</f>
        <v>0</v>
      </c>
      <c r="H828" s="126">
        <f>IF('Assumptions - Passenger'!$E$455&lt;&gt;0,IF(AND('Assumptions - Passenger'!$E$463=2,Calculations!H$823&gt;0,Calculations!H$823&lt;=('Assumptions - Passenger'!$E$461-'Assumptions - Passenger'!$E$462)),'Assumptions - Passenger'!$E$455/('Assumptions - Passenger'!$E$461-'Assumptions - Passenger'!$E$462),0),0)</f>
        <v>0</v>
      </c>
      <c r="I828" s="126">
        <f>IF('Assumptions - Passenger'!$E$455&lt;&gt;0,IF(AND('Assumptions - Passenger'!$E$463=2,Calculations!I$823&gt;0,Calculations!I$823&lt;=('Assumptions - Passenger'!$E$461-'Assumptions - Passenger'!$E$462)),'Assumptions - Passenger'!$E$455/('Assumptions - Passenger'!$E$461-'Assumptions - Passenger'!$E$462),0),0)</f>
        <v>0</v>
      </c>
      <c r="J828" s="126">
        <f>IF('Assumptions - Passenger'!$E$455&lt;&gt;0,IF(AND('Assumptions - Passenger'!$E$463=2,Calculations!J$823&gt;0,Calculations!J$823&lt;=('Assumptions - Passenger'!$E$461-'Assumptions - Passenger'!$E$462)),'Assumptions - Passenger'!$E$455/('Assumptions - Passenger'!$E$461-'Assumptions - Passenger'!$E$462),0),0)</f>
        <v>0</v>
      </c>
      <c r="K828" s="126">
        <f>IF('Assumptions - Passenger'!$E$455&lt;&gt;0,IF(AND('Assumptions - Passenger'!$E$463=2,Calculations!K$823&gt;0,Calculations!K$823&lt;=('Assumptions - Passenger'!$E$461-'Assumptions - Passenger'!$E$462)),'Assumptions - Passenger'!$E$455/('Assumptions - Passenger'!$E$461-'Assumptions - Passenger'!$E$462),0),0)</f>
        <v>0</v>
      </c>
      <c r="L828" s="126">
        <f>IF('Assumptions - Passenger'!$E$455&lt;&gt;0,IF(AND('Assumptions - Passenger'!$E$463=2,Calculations!L$823&gt;0,Calculations!L$823&lt;=('Assumptions - Passenger'!$E$461-'Assumptions - Passenger'!$E$462)),'Assumptions - Passenger'!$E$455/('Assumptions - Passenger'!$E$461-'Assumptions - Passenger'!$E$462),0),0)</f>
        <v>0</v>
      </c>
      <c r="M828" s="126">
        <f>IF('Assumptions - Passenger'!$E$455&lt;&gt;0,IF(AND('Assumptions - Passenger'!$E$463=2,Calculations!M$823&gt;0,Calculations!M$823&lt;=('Assumptions - Passenger'!$E$461-'Assumptions - Passenger'!$E$462)),'Assumptions - Passenger'!$E$455/('Assumptions - Passenger'!$E$461-'Assumptions - Passenger'!$E$462),0),0)</f>
        <v>0</v>
      </c>
      <c r="N828" s="126">
        <f>IF('Assumptions - Passenger'!$E$455&lt;&gt;0,IF(AND('Assumptions - Passenger'!$E$463=2,Calculations!N$823&gt;0,Calculations!N$823&lt;=('Assumptions - Passenger'!$E$461-'Assumptions - Passenger'!$E$462)),'Assumptions - Passenger'!$E$455/('Assumptions - Passenger'!$E$461-'Assumptions - Passenger'!$E$462),0),0)</f>
        <v>0</v>
      </c>
      <c r="O828" s="126">
        <f>IF('Assumptions - Passenger'!$E$455&lt;&gt;0,IF(AND('Assumptions - Passenger'!$E$463=2,Calculations!O$823&gt;0,Calculations!O$823&lt;=('Assumptions - Passenger'!$E$461-'Assumptions - Passenger'!$E$462)),'Assumptions - Passenger'!$E$455/('Assumptions - Passenger'!$E$461-'Assumptions - Passenger'!$E$462),0),0)</f>
        <v>0</v>
      </c>
      <c r="P828" s="126">
        <f>IF('Assumptions - Passenger'!$E$455&lt;&gt;0,IF(AND('Assumptions - Passenger'!$E$463=2,Calculations!P$823&gt;0,Calculations!P$823&lt;=('Assumptions - Passenger'!$E$461-'Assumptions - Passenger'!$E$462)),'Assumptions - Passenger'!$E$455/('Assumptions - Passenger'!$E$461-'Assumptions - Passenger'!$E$462),0),0)</f>
        <v>0</v>
      </c>
      <c r="Q828" s="126">
        <f>IF('Assumptions - Passenger'!$E$455&lt;&gt;0,IF(AND('Assumptions - Passenger'!$E$463=2,Calculations!Q$823&gt;0,Calculations!Q$823&lt;=('Assumptions - Passenger'!$E$461-'Assumptions - Passenger'!$E$462)),'Assumptions - Passenger'!$E$455/('Assumptions - Passenger'!$E$461-'Assumptions - Passenger'!$E$462),0),0)</f>
        <v>0</v>
      </c>
      <c r="R828" s="126">
        <f>IF('Assumptions - Passenger'!$E$455&lt;&gt;0,IF(AND('Assumptions - Passenger'!$E$463=2,Calculations!R$823&gt;0,Calculations!R$823&lt;=('Assumptions - Passenger'!$E$461-'Assumptions - Passenger'!$E$462)),'Assumptions - Passenger'!$E$455/('Assumptions - Passenger'!$E$461-'Assumptions - Passenger'!$E$462),0),0)</f>
        <v>0</v>
      </c>
      <c r="S828" s="126">
        <f>IF('Assumptions - Passenger'!$E$455&lt;&gt;0,IF(AND('Assumptions - Passenger'!$E$463=2,Calculations!S$823&gt;0,Calculations!S$823&lt;=('Assumptions - Passenger'!$E$461-'Assumptions - Passenger'!$E$462)),'Assumptions - Passenger'!$E$455/('Assumptions - Passenger'!$E$461-'Assumptions - Passenger'!$E$462),0),0)</f>
        <v>0</v>
      </c>
      <c r="T828" s="126">
        <f>IF('Assumptions - Passenger'!$E$455&lt;&gt;0,IF(AND('Assumptions - Passenger'!$E$463=2,Calculations!T$823&gt;0,Calculations!T$823&lt;=('Assumptions - Passenger'!$E$461-'Assumptions - Passenger'!$E$462)),'Assumptions - Passenger'!$E$455/('Assumptions - Passenger'!$E$461-'Assumptions - Passenger'!$E$462),0),0)</f>
        <v>0</v>
      </c>
      <c r="U828" s="126">
        <f>IF('Assumptions - Passenger'!$E$455&lt;&gt;0,IF(AND('Assumptions - Passenger'!$E$463=2,Calculations!U$823&gt;0,Calculations!U$823&lt;=('Assumptions - Passenger'!$E$461-'Assumptions - Passenger'!$E$462)),'Assumptions - Passenger'!$E$455/('Assumptions - Passenger'!$E$461-'Assumptions - Passenger'!$E$462),0),0)</f>
        <v>0</v>
      </c>
      <c r="V828" s="126">
        <f>IF('Assumptions - Passenger'!$E$455&lt;&gt;0,IF(AND('Assumptions - Passenger'!$E$463=2,Calculations!V$823&gt;0,Calculations!V$823&lt;=('Assumptions - Passenger'!$E$461-'Assumptions - Passenger'!$E$462)),'Assumptions - Passenger'!$E$455/('Assumptions - Passenger'!$E$461-'Assumptions - Passenger'!$E$462),0),0)</f>
        <v>0</v>
      </c>
      <c r="W828" s="126">
        <f>IF('Assumptions - Passenger'!$E$455&lt;&gt;0,IF(AND('Assumptions - Passenger'!$E$463=2,Calculations!W$823&gt;0,Calculations!W$823&lt;=('Assumptions - Passenger'!$E$461-'Assumptions - Passenger'!$E$462)),'Assumptions - Passenger'!$E$455/('Assumptions - Passenger'!$E$461-'Assumptions - Passenger'!$E$462),0),0)</f>
        <v>0</v>
      </c>
      <c r="X828" s="126">
        <f>IF('Assumptions - Passenger'!$E$455&lt;&gt;0,IF(AND('Assumptions - Passenger'!$E$463=2,Calculations!X$823&gt;0,Calculations!X$823&lt;=('Assumptions - Passenger'!$E$461-'Assumptions - Passenger'!$E$462)),'Assumptions - Passenger'!$E$455/('Assumptions - Passenger'!$E$461-'Assumptions - Passenger'!$E$462),0),0)</f>
        <v>0</v>
      </c>
      <c r="Y828" s="126">
        <f>IF('Assumptions - Passenger'!$E$455&lt;&gt;0,IF(AND('Assumptions - Passenger'!$E$463=2,Calculations!Y$823&gt;0,Calculations!Y$823&lt;=('Assumptions - Passenger'!$E$461-'Assumptions - Passenger'!$E$462)),'Assumptions - Passenger'!$E$455/('Assumptions - Passenger'!$E$461-'Assumptions - Passenger'!$E$462),0),0)</f>
        <v>0</v>
      </c>
      <c r="Z828" s="126">
        <f>IF('Assumptions - Passenger'!$E$455&lt;&gt;0,IF(AND('Assumptions - Passenger'!$E$463=2,Calculations!Z$823&gt;0,Calculations!Z$823&lt;=('Assumptions - Passenger'!$E$461-'Assumptions - Passenger'!$E$462)),'Assumptions - Passenger'!$E$455/('Assumptions - Passenger'!$E$461-'Assumptions - Passenger'!$E$462),0),0)</f>
        <v>0</v>
      </c>
      <c r="AA828" s="126">
        <f>IF('Assumptions - Passenger'!$E$455&lt;&gt;0,IF(AND('Assumptions - Passenger'!$E$463=2,Calculations!AA$823&gt;0,Calculations!AA$823&lt;=('Assumptions - Passenger'!$E$461-'Assumptions - Passenger'!$E$462)),'Assumptions - Passenger'!$E$455/('Assumptions - Passenger'!$E$461-'Assumptions - Passenger'!$E$462),0),0)</f>
        <v>0</v>
      </c>
      <c r="AB828" s="126">
        <f>IF('Assumptions - Passenger'!$E$455&lt;&gt;0,IF(AND('Assumptions - Passenger'!$E$463=2,Calculations!AB$823&gt;0,Calculations!AB$823&lt;=('Assumptions - Passenger'!$E$461-'Assumptions - Passenger'!$E$462)),'Assumptions - Passenger'!$E$455/('Assumptions - Passenger'!$E$461-'Assumptions - Passenger'!$E$462),0),0)</f>
        <v>0</v>
      </c>
      <c r="AC828" s="126">
        <f>IF('Assumptions - Passenger'!$E$455&lt;&gt;0,IF(AND('Assumptions - Passenger'!$E$463=2,Calculations!AC$823&gt;0,Calculations!AC$823&lt;=('Assumptions - Passenger'!$E$461-'Assumptions - Passenger'!$E$462)),'Assumptions - Passenger'!$E$455/('Assumptions - Passenger'!$E$461-'Assumptions - Passenger'!$E$462),0),0)</f>
        <v>0</v>
      </c>
      <c r="AD828" s="126">
        <f>IF('Assumptions - Passenger'!$E$455&lt;&gt;0,IF(AND('Assumptions - Passenger'!$E$463=2,Calculations!AD$823&gt;0,Calculations!AD$823&lt;=('Assumptions - Passenger'!$E$461-'Assumptions - Passenger'!$E$462)),'Assumptions - Passenger'!$E$455/('Assumptions - Passenger'!$E$461-'Assumptions - Passenger'!$E$462),0),0)</f>
        <v>0</v>
      </c>
      <c r="AE828" s="126">
        <f>IF('Assumptions - Passenger'!$E$455&lt;&gt;0,IF(AND('Assumptions - Passenger'!$E$463=2,Calculations!AE$823&gt;0,Calculations!AE$823&lt;=('Assumptions - Passenger'!$E$461-'Assumptions - Passenger'!$E$462)),'Assumptions - Passenger'!$E$455/('Assumptions - Passenger'!$E$461-'Assumptions - Passenger'!$E$462),0),0)</f>
        <v>0</v>
      </c>
      <c r="AF828" s="126">
        <f>IF('Assumptions - Passenger'!$E$455&lt;&gt;0,IF(AND('Assumptions - Passenger'!$E$463=2,Calculations!AF$823&gt;0,Calculations!AF$823&lt;=('Assumptions - Passenger'!$E$461-'Assumptions - Passenger'!$E$462)),'Assumptions - Passenger'!$E$455/('Assumptions - Passenger'!$E$461-'Assumptions - Passenger'!$E$462),0),0)</f>
        <v>0</v>
      </c>
      <c r="AG828" s="126">
        <f>IF('Assumptions - Passenger'!$E$455&lt;&gt;0,IF(AND('Assumptions - Passenger'!$E$463=2,Calculations!AG$823&gt;0,Calculations!AG$823&lt;=('Assumptions - Passenger'!$E$461-'Assumptions - Passenger'!$E$462)),'Assumptions - Passenger'!$E$455/('Assumptions - Passenger'!$E$461-'Assumptions - Passenger'!$E$462),0),0)</f>
        <v>0</v>
      </c>
      <c r="AH828" s="126">
        <f>IF('Assumptions - Passenger'!$E$455&lt;&gt;0,IF(AND('Assumptions - Passenger'!$E$463=2,Calculations!AH$823&gt;0,Calculations!AH$823&lt;=('Assumptions - Passenger'!$E$461-'Assumptions - Passenger'!$E$462)),'Assumptions - Passenger'!$E$455/('Assumptions - Passenger'!$E$461-'Assumptions - Passenger'!$E$462),0),0)</f>
        <v>0</v>
      </c>
    </row>
    <row r="829" spans="1:34" s="20" customFormat="1" ht="14" x14ac:dyDescent="0.2">
      <c r="A829" s="8"/>
      <c r="B829" s="125" t="s">
        <v>678</v>
      </c>
      <c r="C829" s="8"/>
      <c r="D829" s="8" t="str">
        <f t="shared" si="329"/>
        <v>R$ millions</v>
      </c>
      <c r="E829" s="126">
        <f>IF('Assumptions - Passenger'!$E$455&lt;&gt;0,IF(AND('Assumptions - Passenger'!$E463=3,E823&gt;0,E823&lt;=('Assumptions - Passenger'!$E$461-'Assumptions - Passenger'!$E$462)),E825*D830/SUM(E830:$AH830)-E831,0),0)</f>
        <v>0</v>
      </c>
      <c r="F829" s="126">
        <f>IF('Assumptions - Passenger'!$E$455&lt;&gt;0,IF(AND('Assumptions - Passenger'!$E463=3,F823&gt;0,F823&lt;=('Assumptions - Passenger'!$E$461-'Assumptions - Passenger'!$E$462)),F825*E830/SUM(F830:$AH830)-F831,0),0)</f>
        <v>0</v>
      </c>
      <c r="G829" s="126">
        <f>IF('Assumptions - Passenger'!$E$455&lt;&gt;0,IF(AND('Assumptions - Passenger'!$E463=3,G823&gt;0,G823&lt;=('Assumptions - Passenger'!$E$461-'Assumptions - Passenger'!$E$462)),G825*F830/SUM(G830:$AH830)-G831,0),0)</f>
        <v>0</v>
      </c>
      <c r="H829" s="126">
        <f>IF('Assumptions - Passenger'!$E$455&lt;&gt;0,IF(AND('Assumptions - Passenger'!$E463=3,H823&gt;0,H823&lt;=('Assumptions - Passenger'!$E$461-'Assumptions - Passenger'!$E$462)),H825*G830/SUM(H830:$AH830)-H831,0),0)</f>
        <v>0</v>
      </c>
      <c r="I829" s="126">
        <f>IF('Assumptions - Passenger'!$E$455&lt;&gt;0,IF(AND('Assumptions - Passenger'!$E463=3,I823&gt;0,I823&lt;=('Assumptions - Passenger'!$E$461-'Assumptions - Passenger'!$E$462)),I825*H830/SUM(I830:$AH830)-I831,0),0)</f>
        <v>0</v>
      </c>
      <c r="J829" s="126">
        <f>IF('Assumptions - Passenger'!$E$455&lt;&gt;0,IF(AND('Assumptions - Passenger'!$E463=3,J823&gt;0,J823&lt;=('Assumptions - Passenger'!$E$461-'Assumptions - Passenger'!$E$462)),J825*I830/SUM(J830:$AH830)-J831,0),0)</f>
        <v>0</v>
      </c>
      <c r="K829" s="126">
        <f>IF('Assumptions - Passenger'!$E$455&lt;&gt;0,IF(AND('Assumptions - Passenger'!$E463=3,K823&gt;0,K823&lt;=('Assumptions - Passenger'!$E$461-'Assumptions - Passenger'!$E$462)),K825*J830/SUM(K830:$AH830)-K831,0),0)</f>
        <v>0</v>
      </c>
      <c r="L829" s="126">
        <f>IF('Assumptions - Passenger'!$E$455&lt;&gt;0,IF(AND('Assumptions - Passenger'!$E463=3,L823&gt;0,L823&lt;=('Assumptions - Passenger'!$E$461-'Assumptions - Passenger'!$E$462)),L825*K830/SUM(L830:$AH830)-L831,0),0)</f>
        <v>3.4642779186424626</v>
      </c>
      <c r="M829" s="126">
        <f>IF('Assumptions - Passenger'!$E$455&lt;&gt;0,IF(AND('Assumptions - Passenger'!$E463=3,M823&gt;0,M823&lt;=('Assumptions - Passenger'!$E$461-'Assumptions - Passenger'!$E$462)),M825*L830/SUM(M830:$AH830)-M831,0),0)</f>
        <v>3.6334523129209804</v>
      </c>
      <c r="N829" s="126">
        <f>IF('Assumptions - Passenger'!$E$455&lt;&gt;0,IF(AND('Assumptions - Passenger'!$E463=3,N823&gt;0,N823&lt;=('Assumptions - Passenger'!$E$461-'Assumptions - Passenger'!$E$462)),N825*M830/SUM(N830:$AH830)-N831,0),0)</f>
        <v>3.8557083799591276</v>
      </c>
      <c r="O829" s="126">
        <f>IF('Assumptions - Passenger'!$E$455&lt;&gt;0,IF(AND('Assumptions - Passenger'!$E463=3,O823&gt;0,O823&lt;=('Assumptions - Passenger'!$E$461-'Assumptions - Passenger'!$E$462)),O825*N830/SUM(O830:$AH830)-O831,0),0)</f>
        <v>4.4925906846159549</v>
      </c>
      <c r="P829" s="126">
        <f>IF('Assumptions - Passenger'!$E$455&lt;&gt;0,IF(AND('Assumptions - Passenger'!$E463=3,P823&gt;0,P823&lt;=('Assumptions - Passenger'!$E$461-'Assumptions - Passenger'!$E$462)),P825*O830/SUM(P830:$AH830)-P831,0),0)</f>
        <v>4.8304999693721555</v>
      </c>
      <c r="Q829" s="126">
        <f>IF('Assumptions - Passenger'!$E$455&lt;&gt;0,IF(AND('Assumptions - Passenger'!$E463=3,Q823&gt;0,Q823&lt;=('Assumptions - Passenger'!$E$461-'Assumptions - Passenger'!$E$462)),Q825*P830/SUM(Q830:$AH830)-Q831,0),0)</f>
        <v>5.1686349672282077</v>
      </c>
      <c r="R829" s="126">
        <f>IF('Assumptions - Passenger'!$E$455&lt;&gt;0,IF(AND('Assumptions - Passenger'!$E463=3,R823&gt;0,R823&lt;=('Assumptions - Passenger'!$E$461-'Assumptions - Passenger'!$E$462)),R825*Q830/SUM(R830:$AH830)-R831,0),0)</f>
        <v>5.5304394149341833</v>
      </c>
      <c r="S829" s="126">
        <f>IF('Assumptions - Passenger'!$E$455&lt;&gt;0,IF(AND('Assumptions - Passenger'!$E463=3,S823&gt;0,S823&lt;=('Assumptions - Passenger'!$E$461-'Assumptions - Passenger'!$E$462)),S825*R830/SUM(S830:$AH830)-S831,0),0)</f>
        <v>5.9175701739795743</v>
      </c>
      <c r="T829" s="126">
        <f>IF('Assumptions - Passenger'!$E$455&lt;&gt;0,IF(AND('Assumptions - Passenger'!$E463=3,T823&gt;0,T823&lt;=('Assumptions - Passenger'!$E$461-'Assumptions - Passenger'!$E$462)),T825*S830/SUM(T830:$AH830)-T831,0),0)</f>
        <v>6.3318000861581432</v>
      </c>
      <c r="U829" s="126">
        <f>IF('Assumptions - Passenger'!$E$455&lt;&gt;0,IF(AND('Assumptions - Passenger'!$E463=3,U823&gt;0,U823&lt;=('Assumptions - Passenger'!$E$461-'Assumptions - Passenger'!$E$462)),U825*T830/SUM(U830:$AH830)-U831,0),0)</f>
        <v>6.7750260921892114</v>
      </c>
      <c r="V829" s="126">
        <f>IF('Assumptions - Passenger'!$E$455&lt;&gt;0,IF(AND('Assumptions - Passenger'!$E463=3,V823&gt;0,V823&lt;=('Assumptions - Passenger'!$E$461-'Assumptions - Passenger'!$E$462)),V825*U830/SUM(V830:$AH830)-V831,0),0)</f>
        <v>0</v>
      </c>
      <c r="W829" s="126">
        <f>IF('Assumptions - Passenger'!$E$455&lt;&gt;0,IF(AND('Assumptions - Passenger'!$E463=3,W823&gt;0,W823&lt;=('Assumptions - Passenger'!$E$461-'Assumptions - Passenger'!$E$462)),W825*V830/SUM(W830:$AH830)-W831,0),0)</f>
        <v>0</v>
      </c>
      <c r="X829" s="126">
        <f>IF('Assumptions - Passenger'!$E$455&lt;&gt;0,IF(AND('Assumptions - Passenger'!$E463=3,X823&gt;0,X823&lt;=('Assumptions - Passenger'!$E$461-'Assumptions - Passenger'!$E$462)),X825*W830/SUM(X830:$AH830)-X831,0),0)</f>
        <v>0</v>
      </c>
      <c r="Y829" s="126">
        <f>IF('Assumptions - Passenger'!$E$455&lt;&gt;0,IF(AND('Assumptions - Passenger'!$E463=3,Y823&gt;0,Y823&lt;=('Assumptions - Passenger'!$E$461-'Assumptions - Passenger'!$E$462)),Y825*X830/SUM(Y830:$AH830)-Y831,0),0)</f>
        <v>0</v>
      </c>
      <c r="Z829" s="126">
        <f>IF('Assumptions - Passenger'!$E$455&lt;&gt;0,IF(AND('Assumptions - Passenger'!$E463=3,Z823&gt;0,Z823&lt;=('Assumptions - Passenger'!$E$461-'Assumptions - Passenger'!$E$462)),Z825*Y830/SUM(Z830:$AH830)-Z831,0),0)</f>
        <v>0</v>
      </c>
      <c r="AA829" s="126">
        <f>IF('Assumptions - Passenger'!$E$455&lt;&gt;0,IF(AND('Assumptions - Passenger'!$E463=3,AA823&gt;0,AA823&lt;=('Assumptions - Passenger'!$E$461-'Assumptions - Passenger'!$E$462)),AA825*Z830/SUM(AA830:$AH830)-AA831,0),0)</f>
        <v>0</v>
      </c>
      <c r="AB829" s="126">
        <f>IF('Assumptions - Passenger'!$E$455&lt;&gt;0,IF(AND('Assumptions - Passenger'!$E463=3,AB823&gt;0,AB823&lt;=('Assumptions - Passenger'!$E$461-'Assumptions - Passenger'!$E$462)),AB825*AA830/SUM(AB830:$AH830)-AB831,0),0)</f>
        <v>0</v>
      </c>
      <c r="AC829" s="126">
        <f>IF('Assumptions - Passenger'!$E$455&lt;&gt;0,IF(AND('Assumptions - Passenger'!$E463=3,AC823&gt;0,AC823&lt;=('Assumptions - Passenger'!$E$461-'Assumptions - Passenger'!$E$462)),AC825*AB830/SUM(AC830:$AH830)-AC831,0),0)</f>
        <v>0</v>
      </c>
      <c r="AD829" s="126">
        <f>IF('Assumptions - Passenger'!$E$455&lt;&gt;0,IF(AND('Assumptions - Passenger'!$E463=3,AD823&gt;0,AD823&lt;=('Assumptions - Passenger'!$E$461-'Assumptions - Passenger'!$E$462)),AD825*AC830/SUM(AD830:$AH830)-AD831,0),0)</f>
        <v>0</v>
      </c>
      <c r="AE829" s="126">
        <f>IF('Assumptions - Passenger'!$E$455&lt;&gt;0,IF(AND('Assumptions - Passenger'!$E463=3,AE823&gt;0,AE823&lt;=('Assumptions - Passenger'!$E$461-'Assumptions - Passenger'!$E$462)),AE825*AD830/SUM(AE830:$AH830)-AE831,0),0)</f>
        <v>0</v>
      </c>
      <c r="AF829" s="126">
        <f>IF('Assumptions - Passenger'!$E$455&lt;&gt;0,IF(AND('Assumptions - Passenger'!$E463=3,AF823&gt;0,AF823&lt;=('Assumptions - Passenger'!$E$461-'Assumptions - Passenger'!$E$462)),AF825*AE830/SUM(AF830:$AH830)-AF831,0),0)</f>
        <v>0</v>
      </c>
      <c r="AG829" s="126">
        <f>IF('Assumptions - Passenger'!$E$455&lt;&gt;0,IF(AND('Assumptions - Passenger'!$E463=3,AG823&gt;0,AG823&lt;=('Assumptions - Passenger'!$E$461-'Assumptions - Passenger'!$E$462)),AG825*AF830/SUM(AG830:$AH830)-AG831,0),0)</f>
        <v>0</v>
      </c>
      <c r="AH829" s="126">
        <f>IF('Assumptions - Passenger'!$E$455&lt;&gt;0,IF(AND('Assumptions - Passenger'!$E463=3,AH823&gt;0,AH823&lt;=('Assumptions - Passenger'!$E$461-'Assumptions - Passenger'!$E$462)),AH825*AG830/SUM(AH830:$AH830)-AH831,0),0)</f>
        <v>0</v>
      </c>
    </row>
    <row r="830" spans="1:34" s="20" customFormat="1" ht="14" x14ac:dyDescent="0.2">
      <c r="B830" s="127" t="s">
        <v>677</v>
      </c>
      <c r="D830" s="87">
        <v>1</v>
      </c>
      <c r="E830" s="126">
        <f>IF('Assumptions - Passenger'!$E$455&lt;&gt;0,IF(AND('Assumptions - Passenger'!$E463=3,E823&lt;=('Assumptions - Passenger'!$E$461-'Assumptions - Passenger'!$E$462)),D830/(1+E824),0),0)</f>
        <v>0.9765625</v>
      </c>
      <c r="F830" s="126">
        <f>IF('Assumptions - Passenger'!$E$455&lt;&gt;0,IF(AND('Assumptions - Passenger'!$E463=3,F823&lt;=('Assumptions - Passenger'!$E$461-'Assumptions - Passenger'!$E$462)),E830/(1+F824),0),0)</f>
        <v>0.94235501302711566</v>
      </c>
      <c r="G830" s="126">
        <f>IF('Assumptions - Passenger'!$E$455&lt;&gt;0,IF(AND('Assumptions - Passenger'!$E463=3,G823&lt;=('Assumptions - Passenger'!$E$461-'Assumptions - Passenger'!$E$462)),F830/(1+G824),0),0)</f>
        <v>0.89773746120521636</v>
      </c>
      <c r="H830" s="126">
        <f>IF('Assumptions - Passenger'!$E$455&lt;&gt;0,IF(AND('Assumptions - Passenger'!$E463=3,H823&lt;=('Assumptions - Passenger'!$E$461-'Assumptions - Passenger'!$E$462)),G830/(1+H824),0),0)</f>
        <v>0.84740179460564136</v>
      </c>
      <c r="I830" s="126">
        <f>IF('Assumptions - Passenger'!$E$455&lt;&gt;0,IF(AND('Assumptions - Passenger'!$E463=3,I823&lt;=('Assumptions - Passenger'!$E$461-'Assumptions - Passenger'!$E$462)),H830/(1+I824),0),0)</f>
        <v>0.79471236481819496</v>
      </c>
      <c r="J830" s="126">
        <f>IF('Assumptions - Passenger'!$E$455&lt;&gt;0,IF(AND('Assumptions - Passenger'!$E463=3,J823&lt;=('Assumptions - Passenger'!$E$461-'Assumptions - Passenger'!$E$462)),I830/(1+J824),0),0)</f>
        <v>0.74216694510477677</v>
      </c>
      <c r="K830" s="126">
        <f>IF('Assumptions - Passenger'!$E$455&lt;&gt;0,IF(AND('Assumptions - Passenger'!$E463=3,K823&lt;=('Assumptions - Passenger'!$E$461-'Assumptions - Passenger'!$E$462)),J830/(1+K824),0),0)</f>
        <v>0.69115938266416155</v>
      </c>
      <c r="L830" s="126">
        <f>IF('Assumptions - Passenger'!$E$455&lt;&gt;0,IF(AND('Assumptions - Passenger'!$E463=3,L823&lt;=('Assumptions - Passenger'!$E$461-'Assumptions - Passenger'!$E$462)),K830/(1+L824),0),0)</f>
        <v>0.64252057512704419</v>
      </c>
      <c r="M830" s="126">
        <f>IF('Assumptions - Passenger'!$E$455&lt;&gt;0,IF(AND('Assumptions - Passenger'!$E463=3,M823&lt;=('Assumptions - Passenger'!$E$461-'Assumptions - Passenger'!$E$462)),L830/(1+M824),0),0)</f>
        <v>0.59619613540599803</v>
      </c>
      <c r="N830" s="126">
        <f>IF('Assumptions - Passenger'!$E$455&lt;&gt;0,IF(AND('Assumptions - Passenger'!$E463=3,N823&lt;=('Assumptions - Passenger'!$E$461-'Assumptions - Passenger'!$E$462)),M830/(1+N824),0),0)</f>
        <v>0.55249387026781394</v>
      </c>
      <c r="O830" s="126">
        <f>IF('Assumptions - Passenger'!$E$455&lt;&gt;0,IF(AND('Assumptions - Passenger'!$E463=3,O823&lt;=('Assumptions - Passenger'!$E$461-'Assumptions - Passenger'!$E$462)),N830/(1+O824),0),0)</f>
        <v>0.51606003200804584</v>
      </c>
      <c r="P830" s="126">
        <f>IF('Assumptions - Passenger'!$E$455&lt;&gt;0,IF(AND('Assumptions - Passenger'!$E463=3,P823&lt;=('Assumptions - Passenger'!$E$461-'Assumptions - Passenger'!$E$462)),O830/(1+P824),0),0)</f>
        <v>0.48229909533462223</v>
      </c>
      <c r="Q830" s="126">
        <f>IF('Assumptions - Passenger'!$E$455&lt;&gt;0,IF(AND('Assumptions - Passenger'!$E463=3,Q823&lt;=('Assumptions - Passenger'!$E$461-'Assumptions - Passenger'!$E$462)),P830/(1+Q824),0),0)</f>
        <v>0.45074681806974037</v>
      </c>
      <c r="R830" s="126">
        <f>IF('Assumptions - Passenger'!$E$455&lt;&gt;0,IF(AND('Assumptions - Passenger'!$E463=3,R823&lt;=('Assumptions - Passenger'!$E$461-'Assumptions - Passenger'!$E$462)),Q830/(1+R824),0),0)</f>
        <v>0.42125870847639285</v>
      </c>
      <c r="S830" s="126">
        <f>IF('Assumptions - Passenger'!$E$455&lt;&gt;0,IF(AND('Assumptions - Passenger'!$E463=3,S823&lt;=('Assumptions - Passenger'!$E$461-'Assumptions - Passenger'!$E$462)),R830/(1+S824),0),0)</f>
        <v>0.39369972754803068</v>
      </c>
      <c r="T830" s="126">
        <f>IF('Assumptions - Passenger'!$E$455&lt;&gt;0,IF(AND('Assumptions - Passenger'!$E463=3,T823&lt;=('Assumptions - Passenger'!$E$461-'Assumptions - Passenger'!$E$462)),S830/(1+T824),0),0)</f>
        <v>0.3679436706056361</v>
      </c>
      <c r="U830" s="126">
        <f>IF('Assumptions - Passenger'!$E$455&lt;&gt;0,IF(AND('Assumptions - Passenger'!$E463=3,U823&lt;=('Assumptions - Passenger'!$E$461-'Assumptions - Passenger'!$E$462)),T830/(1+U824),0),0)</f>
        <v>0.34387258935106174</v>
      </c>
      <c r="V830" s="126">
        <f>IF('Assumptions - Passenger'!$E$455&lt;&gt;0,IF(AND('Assumptions - Passenger'!$E463=3,V823&lt;=('Assumptions - Passenger'!$E$461-'Assumptions - Passenger'!$E$462)),U830/(1+V824),0),0)</f>
        <v>0</v>
      </c>
      <c r="W830" s="126">
        <f>IF('Assumptions - Passenger'!$E$455&lt;&gt;0,IF(AND('Assumptions - Passenger'!$E463=3,W823&lt;=('Assumptions - Passenger'!$E$461-'Assumptions - Passenger'!$E$462)),V830/(1+W824),0),0)</f>
        <v>0</v>
      </c>
      <c r="X830" s="126">
        <f>IF('Assumptions - Passenger'!$E$455&lt;&gt;0,IF(AND('Assumptions - Passenger'!$E463=3,X823&lt;=('Assumptions - Passenger'!$E$461-'Assumptions - Passenger'!$E$462)),W830/(1+X824),0),0)</f>
        <v>0</v>
      </c>
      <c r="Y830" s="126">
        <f>IF('Assumptions - Passenger'!$E$455&lt;&gt;0,IF(AND('Assumptions - Passenger'!$E463=3,Y823&lt;=('Assumptions - Passenger'!$E$461-'Assumptions - Passenger'!$E$462)),X830/(1+Y824),0),0)</f>
        <v>0</v>
      </c>
      <c r="Z830" s="126">
        <f>IF('Assumptions - Passenger'!$E$455&lt;&gt;0,IF(AND('Assumptions - Passenger'!$E463=3,Z823&lt;=('Assumptions - Passenger'!$E$461-'Assumptions - Passenger'!$E$462)),Y830/(1+Z824),0),0)</f>
        <v>0</v>
      </c>
      <c r="AA830" s="126">
        <f>IF('Assumptions - Passenger'!$E$455&lt;&gt;0,IF(AND('Assumptions - Passenger'!$E463=3,AA823&lt;=('Assumptions - Passenger'!$E$461-'Assumptions - Passenger'!$E$462)),Z830/(1+AA824),0),0)</f>
        <v>0</v>
      </c>
      <c r="AB830" s="126">
        <f>IF('Assumptions - Passenger'!$E$455&lt;&gt;0,IF(AND('Assumptions - Passenger'!$E463=3,AB823&lt;=('Assumptions - Passenger'!$E$461-'Assumptions - Passenger'!$E$462)),AA830/(1+AB824),0),0)</f>
        <v>0</v>
      </c>
      <c r="AC830" s="126">
        <f>IF('Assumptions - Passenger'!$E$455&lt;&gt;0,IF(AND('Assumptions - Passenger'!$E463=3,AC823&lt;=('Assumptions - Passenger'!$E$461-'Assumptions - Passenger'!$E$462)),AB830/(1+AC824),0),0)</f>
        <v>0</v>
      </c>
      <c r="AD830" s="126">
        <f>IF('Assumptions - Passenger'!$E$455&lt;&gt;0,IF(AND('Assumptions - Passenger'!$E463=3,AD823&lt;=('Assumptions - Passenger'!$E$461-'Assumptions - Passenger'!$E$462)),AC830/(1+AD824),0),0)</f>
        <v>0</v>
      </c>
      <c r="AE830" s="126">
        <f>IF('Assumptions - Passenger'!$E$455&lt;&gt;0,IF(AND('Assumptions - Passenger'!$E463=3,AE823&lt;=('Assumptions - Passenger'!$E$461-'Assumptions - Passenger'!$E$462)),AD830/(1+AE824),0),0)</f>
        <v>0</v>
      </c>
      <c r="AF830" s="126">
        <f>IF('Assumptions - Passenger'!$E$455&lt;&gt;0,IF(AND('Assumptions - Passenger'!$E463=3,AF823&lt;=('Assumptions - Passenger'!$E$461-'Assumptions - Passenger'!$E$462)),AE830/(1+AF824),0),0)</f>
        <v>0</v>
      </c>
      <c r="AG830" s="126">
        <f>IF('Assumptions - Passenger'!$E$455&lt;&gt;0,IF(AND('Assumptions - Passenger'!$E463=3,AG823&lt;=('Assumptions - Passenger'!$E$461-'Assumptions - Passenger'!$E$462)),AF830/(1+AG824),0),0)</f>
        <v>0</v>
      </c>
      <c r="AH830" s="126">
        <f>IF('Assumptions - Passenger'!$E$455&lt;&gt;0,IF(AND('Assumptions - Passenger'!$E463=3,AH823&lt;=('Assumptions - Passenger'!$E$461-'Assumptions - Passenger'!$E$462)),AG830/(1+AH824),0),0)</f>
        <v>0</v>
      </c>
    </row>
    <row r="831" spans="1:34" s="20" customFormat="1" ht="14" x14ac:dyDescent="0.2">
      <c r="A831" s="8"/>
      <c r="B831" s="125" t="s">
        <v>679</v>
      </c>
      <c r="C831" s="8"/>
      <c r="D831" s="8" t="str">
        <f>D829</f>
        <v>R$ millions</v>
      </c>
      <c r="E831" s="126">
        <f>IF('Assumptions - Passenger'!$E$455&lt;&gt;0,IF('Assumptions - Passenger'!$E463=3,E824*E825,0),0)</f>
        <v>0</v>
      </c>
      <c r="F831" s="126">
        <f>IF('Assumptions - Passenger'!$E$455&lt;&gt;0,IF('Assumptions - Passenger'!$E463=3,F824*F825,0),0)</f>
        <v>0</v>
      </c>
      <c r="G831" s="126">
        <f>IF('Assumptions - Passenger'!$E$455&lt;&gt;0,IF('Assumptions - Passenger'!$E463=3,G824*G825,0),0)</f>
        <v>0</v>
      </c>
      <c r="H831" s="126">
        <f>IF('Assumptions - Passenger'!$E$455&lt;&gt;0,IF('Assumptions - Passenger'!$E463=3,H824*H825,0),0)</f>
        <v>0.59399999999999997</v>
      </c>
      <c r="I831" s="126">
        <f>IF('Assumptions - Passenger'!$E$455&lt;&gt;0,IF('Assumptions - Passenger'!$E463=3,I824*I825,0),0)</f>
        <v>1.3260000000000001</v>
      </c>
      <c r="J831" s="126">
        <f>IF('Assumptions - Passenger'!$E$455&lt;&gt;0,IF('Assumptions - Passenger'!$E463=3,J824*J825,0),0)</f>
        <v>2.1240000000000001</v>
      </c>
      <c r="K831" s="126">
        <f>IF('Assumptions - Passenger'!$E$455&lt;&gt;0,IF('Assumptions - Passenger'!$E463=3,K824*K825,0),0)</f>
        <v>2.952</v>
      </c>
      <c r="L831" s="126">
        <f>IF('Assumptions - Passenger'!$E$455&lt;&gt;0,IF('Assumptions - Passenger'!$E463=3,L824*L825,0),0)</f>
        <v>3.7850000000000001</v>
      </c>
      <c r="M831" s="126">
        <f>IF('Assumptions - Passenger'!$E$455&lt;&gt;0,IF('Assumptions - Passenger'!$E463=3,M824*M825,0),0)</f>
        <v>3.6158256057214806</v>
      </c>
      <c r="N831" s="126">
        <f>IF('Assumptions - Passenger'!$E$455&lt;&gt;0,IF('Assumptions - Passenger'!$E463=3,N824*N825,0),0)</f>
        <v>3.3935695386833316</v>
      </c>
      <c r="O831" s="126">
        <f>IF('Assumptions - Passenger'!$E$455&lt;&gt;0,IF('Assumptions - Passenger'!$E463=3,O824*O825,0),0)</f>
        <v>2.7566872340265065</v>
      </c>
      <c r="P831" s="126">
        <f>IF('Assumptions - Passenger'!$E$455&lt;&gt;0,IF('Assumptions - Passenger'!$E463=3,P824*P825,0),0)</f>
        <v>2.4187779492703032</v>
      </c>
      <c r="Q831" s="126">
        <f>IF('Assumptions - Passenger'!$E$455&lt;&gt;0,IF('Assumptions - Passenger'!$E463=3,Q824*Q825,0),0)</f>
        <v>2.0806429514142524</v>
      </c>
      <c r="R831" s="126">
        <f>IF('Assumptions - Passenger'!$E$455&lt;&gt;0,IF('Assumptions - Passenger'!$E463=3,R824*R825,0),0)</f>
        <v>1.7188385037082778</v>
      </c>
      <c r="S831" s="126">
        <f>IF('Assumptions - Passenger'!$E$455&lt;&gt;0,IF('Assumptions - Passenger'!$E463=3,S824*S825,0),0)</f>
        <v>1.3317077446628851</v>
      </c>
      <c r="T831" s="126">
        <f>IF('Assumptions - Passenger'!$E$455&lt;&gt;0,IF('Assumptions - Passenger'!$E463=3,T824*T825,0),0)</f>
        <v>0.91747783248431491</v>
      </c>
      <c r="U831" s="126">
        <f>IF('Assumptions - Passenger'!$E$455&lt;&gt;0,IF('Assumptions - Passenger'!$E463=3,U824*U825,0),0)</f>
        <v>0.47425182645324482</v>
      </c>
      <c r="V831" s="126">
        <f>IF('Assumptions - Passenger'!$E$455&lt;&gt;0,IF('Assumptions - Passenger'!$E463=3,V824*V825,0),0)</f>
        <v>0</v>
      </c>
      <c r="W831" s="126">
        <f>IF('Assumptions - Passenger'!$E$455&lt;&gt;0,IF('Assumptions - Passenger'!$E463=3,W824*W825,0),0)</f>
        <v>0</v>
      </c>
      <c r="X831" s="126">
        <f>IF('Assumptions - Passenger'!$E$455&lt;&gt;0,IF('Assumptions - Passenger'!$E463=3,X824*X825,0),0)</f>
        <v>0</v>
      </c>
      <c r="Y831" s="126">
        <f>IF('Assumptions - Passenger'!$E$455&lt;&gt;0,IF('Assumptions - Passenger'!$E463=3,Y824*Y825,0),0)</f>
        <v>0</v>
      </c>
      <c r="Z831" s="126">
        <f>IF('Assumptions - Passenger'!$E$455&lt;&gt;0,IF('Assumptions - Passenger'!$E463=3,Z824*Z825,0),0)</f>
        <v>0</v>
      </c>
      <c r="AA831" s="126">
        <f>IF('Assumptions - Passenger'!$E$455&lt;&gt;0,IF('Assumptions - Passenger'!$E463=3,AA824*AA825,0),0)</f>
        <v>0</v>
      </c>
      <c r="AB831" s="126">
        <f>IF('Assumptions - Passenger'!$E$455&lt;&gt;0,IF('Assumptions - Passenger'!$E463=3,AB824*AB825,0),0)</f>
        <v>0</v>
      </c>
      <c r="AC831" s="126">
        <f>IF('Assumptions - Passenger'!$E$455&lt;&gt;0,IF('Assumptions - Passenger'!$E463=3,AC824*AC825,0),0)</f>
        <v>0</v>
      </c>
      <c r="AD831" s="126">
        <f>IF('Assumptions - Passenger'!$E$455&lt;&gt;0,IF('Assumptions - Passenger'!$E463=3,AD824*AD825,0),0)</f>
        <v>0</v>
      </c>
      <c r="AE831" s="126">
        <f>IF('Assumptions - Passenger'!$E$455&lt;&gt;0,IF('Assumptions - Passenger'!$E463=3,AE824*AE825,0),0)</f>
        <v>0</v>
      </c>
      <c r="AF831" s="126">
        <f>IF('Assumptions - Passenger'!$E$455&lt;&gt;0,IF('Assumptions - Passenger'!$E463=3,AF824*AF825,0),0)</f>
        <v>0</v>
      </c>
      <c r="AG831" s="126">
        <f>IF('Assumptions - Passenger'!$E$455&lt;&gt;0,IF('Assumptions - Passenger'!$E463=3,AG824*AG825,0),0)</f>
        <v>0</v>
      </c>
      <c r="AH831" s="126">
        <f>IF('Assumptions - Passenger'!$E$455&lt;&gt;0,IF('Assumptions - Passenger'!$E463=3,AH824*AH825,0),0)</f>
        <v>0</v>
      </c>
    </row>
    <row r="832" spans="1:34" s="20" customFormat="1" ht="14" x14ac:dyDescent="0.2">
      <c r="A832" s="8"/>
      <c r="B832" s="8" t="s">
        <v>137</v>
      </c>
      <c r="C832" s="8"/>
      <c r="D832" s="8" t="str">
        <f t="shared" si="329"/>
        <v>R$ millions</v>
      </c>
      <c r="E832" s="126">
        <f>IF(E$17=1,IF('Assumptions - Passenger'!$E$455&gt;0,'Assumptions - Passenger'!E456,0),0)</f>
        <v>0</v>
      </c>
      <c r="F832" s="126">
        <f>IF(F$17=1,IF('Assumptions - Passenger'!$E$455&gt;0,'Assumptions - Passenger'!F456,0),0)</f>
        <v>0</v>
      </c>
      <c r="G832" s="126">
        <f>IF(G$17=1,IF('Assumptions - Passenger'!$E$455&gt;0,'Assumptions - Passenger'!G456,0),0)</f>
        <v>10</v>
      </c>
      <c r="H832" s="126">
        <f>IF(H$17=1,IF('Assumptions - Passenger'!$E$455&gt;0,'Assumptions - Passenger'!H456,0),0)</f>
        <v>10</v>
      </c>
      <c r="I832" s="126">
        <f>IF(I$17=1,IF('Assumptions - Passenger'!$E$455&gt;0,'Assumptions - Passenger'!I456,0),0)</f>
        <v>10</v>
      </c>
      <c r="J832" s="126">
        <f>IF(J$17=1,IF('Assumptions - Passenger'!$E$455&gt;0,'Assumptions - Passenger'!J456,0),0)</f>
        <v>10</v>
      </c>
      <c r="K832" s="126">
        <f>IF(K$17=1,IF('Assumptions - Passenger'!$E$455&gt;0,'Assumptions - Passenger'!K456,0),0)</f>
        <v>10</v>
      </c>
      <c r="L832" s="126">
        <f>IF(L$17=1,IF('Assumptions - Passenger'!$E$455&gt;0,'Assumptions - Passenger'!L456,0),0)</f>
        <v>0</v>
      </c>
      <c r="M832" s="126">
        <f>IF(M$17=1,IF('Assumptions - Passenger'!$E$455&gt;0,'Assumptions - Passenger'!M456,0),0)</f>
        <v>0</v>
      </c>
      <c r="N832" s="126">
        <f>IF(N$17=1,IF('Assumptions - Passenger'!$E$455&gt;0,'Assumptions - Passenger'!N456,0),0)</f>
        <v>0</v>
      </c>
      <c r="O832" s="126">
        <f>IF(O$17=1,IF('Assumptions - Passenger'!$E$455&gt;0,'Assumptions - Passenger'!O456,0),0)</f>
        <v>0</v>
      </c>
      <c r="P832" s="126">
        <f>IF(P$17=1,IF('Assumptions - Passenger'!$E$455&gt;0,'Assumptions - Passenger'!P456,0),0)</f>
        <v>0</v>
      </c>
      <c r="Q832" s="126">
        <f>IF(Q$17=1,IF('Assumptions - Passenger'!$E$455&gt;0,'Assumptions - Passenger'!Q456,0),0)</f>
        <v>0</v>
      </c>
      <c r="R832" s="126">
        <f>IF(R$17=1,IF('Assumptions - Passenger'!$E$455&gt;0,'Assumptions - Passenger'!R456,0),0)</f>
        <v>0</v>
      </c>
      <c r="S832" s="126">
        <f>IF(S$17=1,IF('Assumptions - Passenger'!$E$455&gt;0,'Assumptions - Passenger'!S456,0),0)</f>
        <v>0</v>
      </c>
      <c r="T832" s="126">
        <f>IF(T$17=1,IF('Assumptions - Passenger'!$E$455&gt;0,'Assumptions - Passenger'!T456,0),0)</f>
        <v>0</v>
      </c>
      <c r="U832" s="126">
        <f>IF(U$17=1,IF('Assumptions - Passenger'!$E$455&gt;0,'Assumptions - Passenger'!U456,0),0)</f>
        <v>0</v>
      </c>
      <c r="V832" s="126">
        <f>IF(V$17=1,IF('Assumptions - Passenger'!$E$455&gt;0,'Assumptions - Passenger'!V456,0),0)</f>
        <v>0</v>
      </c>
      <c r="W832" s="126">
        <f>IF(W$17=1,IF('Assumptions - Passenger'!$E$455&gt;0,'Assumptions - Passenger'!W456,0),0)</f>
        <v>0</v>
      </c>
      <c r="X832" s="126">
        <f>IF(X$17=1,IF('Assumptions - Passenger'!$E$455&gt;0,'Assumptions - Passenger'!X456,0),0)</f>
        <v>0</v>
      </c>
      <c r="Y832" s="126">
        <f>IF(Y$17=1,IF('Assumptions - Passenger'!$E$455&gt;0,'Assumptions - Passenger'!Y456,0),0)</f>
        <v>0</v>
      </c>
      <c r="Z832" s="126">
        <f>IF(Z$17=1,IF('Assumptions - Passenger'!$E$455&gt;0,'Assumptions - Passenger'!Z456,0),0)</f>
        <v>0</v>
      </c>
      <c r="AA832" s="126">
        <f>IF(AA$17=1,IF('Assumptions - Passenger'!$E$455&gt;0,'Assumptions - Passenger'!AA456,0),0)</f>
        <v>0</v>
      </c>
      <c r="AB832" s="126">
        <f>IF(AB$17=1,IF('Assumptions - Passenger'!$E$455&gt;0,'Assumptions - Passenger'!AB456,0),0)</f>
        <v>0</v>
      </c>
      <c r="AC832" s="126">
        <f>IF(AC$17=1,IF('Assumptions - Passenger'!$E$455&gt;0,'Assumptions - Passenger'!AC456,0),0)</f>
        <v>0</v>
      </c>
      <c r="AD832" s="126">
        <f>IF(AD$17=1,IF('Assumptions - Passenger'!$E$455&gt;0,'Assumptions - Passenger'!AD456,0),0)</f>
        <v>0</v>
      </c>
      <c r="AE832" s="126">
        <f>IF(AE$17=1,IF('Assumptions - Passenger'!$E$455&gt;0,'Assumptions - Passenger'!AE456,0),0)</f>
        <v>0</v>
      </c>
      <c r="AF832" s="126">
        <f>IF(AF$17=1,IF('Assumptions - Passenger'!$E$455&gt;0,'Assumptions - Passenger'!AF456,0),0)</f>
        <v>0</v>
      </c>
      <c r="AG832" s="126">
        <f>IF(AG$17=1,IF('Assumptions - Passenger'!$E$455&gt;0,'Assumptions - Passenger'!AG456,0),0)</f>
        <v>0</v>
      </c>
      <c r="AH832" s="126">
        <f>IF(AH$17=1,IF('Assumptions - Passenger'!$E$455&gt;0,'Assumptions - Passenger'!AH456,0),0)</f>
        <v>0</v>
      </c>
    </row>
    <row r="833" spans="1:34" s="20" customFormat="1" ht="14" x14ac:dyDescent="0.2">
      <c r="A833" s="8"/>
      <c r="B833" s="8" t="s">
        <v>138</v>
      </c>
      <c r="C833" s="8"/>
      <c r="D833" s="8" t="str">
        <f t="shared" si="329"/>
        <v>R$ millions</v>
      </c>
      <c r="E833" s="126">
        <f>IF('Assumptions - Passenger'!$E$455&lt;&gt;0,E825-E826+E832,0)</f>
        <v>0</v>
      </c>
      <c r="F833" s="126">
        <f>IF('Assumptions - Passenger'!$E$455&lt;&gt;0,F825-F826+F832,0)</f>
        <v>0</v>
      </c>
      <c r="G833" s="126">
        <f>IF('Assumptions - Passenger'!$E$455&lt;&gt;0,G825-G826+G832,0)</f>
        <v>10</v>
      </c>
      <c r="H833" s="126">
        <f>IF('Assumptions - Passenger'!$E$455&lt;&gt;0,H825-H826+H832,0)</f>
        <v>20</v>
      </c>
      <c r="I833" s="126">
        <f>IF('Assumptions - Passenger'!$E$455&lt;&gt;0,I825-I826+I832,0)</f>
        <v>30</v>
      </c>
      <c r="J833" s="126">
        <f>IF('Assumptions - Passenger'!$E$455&lt;&gt;0,J825-J826+J832,0)</f>
        <v>40</v>
      </c>
      <c r="K833" s="126">
        <f>IF('Assumptions - Passenger'!$E$455&lt;&gt;0,K825-K826+K832,0)</f>
        <v>50</v>
      </c>
      <c r="L833" s="126">
        <f>IF('Assumptions - Passenger'!$E$455&lt;&gt;0,L825-L826+L832,0)</f>
        <v>46.535722081357534</v>
      </c>
      <c r="M833" s="126">
        <f>IF('Assumptions - Passenger'!$E$455&lt;&gt;0,M825-M826+M832,0)</f>
        <v>42.902269768436554</v>
      </c>
      <c r="N833" s="126">
        <f>IF('Assumptions - Passenger'!$E$455&lt;&gt;0,N825-N826+N832,0)</f>
        <v>39.046561388477429</v>
      </c>
      <c r="O833" s="126">
        <f>IF('Assumptions - Passenger'!$E$455&lt;&gt;0,O825-O826+O832,0)</f>
        <v>34.553970703861474</v>
      </c>
      <c r="P833" s="126">
        <f>IF('Assumptions - Passenger'!$E$455&lt;&gt;0,P825-P826+P832,0)</f>
        <v>29.723470734489318</v>
      </c>
      <c r="Q833" s="126">
        <f>IF('Assumptions - Passenger'!$E$455&lt;&gt;0,Q825-Q826+Q832,0)</f>
        <v>24.55483576726111</v>
      </c>
      <c r="R833" s="126">
        <f>IF('Assumptions - Passenger'!$E$455&lt;&gt;0,R825-R826+R832,0)</f>
        <v>19.024396352326928</v>
      </c>
      <c r="S833" s="126">
        <f>IF('Assumptions - Passenger'!$E$455&lt;&gt;0,S825-S826+S832,0)</f>
        <v>13.106826178347355</v>
      </c>
      <c r="T833" s="126">
        <f>IF('Assumptions - Passenger'!$E$455&lt;&gt;0,T825-T826+T832,0)</f>
        <v>6.7750260921892114</v>
      </c>
      <c r="U833" s="126">
        <f>IF('Assumptions - Passenger'!$E$455&lt;&gt;0,U825-U826+U832,0)</f>
        <v>0</v>
      </c>
      <c r="V833" s="126">
        <f>IF('Assumptions - Passenger'!$E$455&lt;&gt;0,V825-V826+V832,0)</f>
        <v>0</v>
      </c>
      <c r="W833" s="126">
        <f>IF('Assumptions - Passenger'!$E$455&lt;&gt;0,W825-W826+W832,0)</f>
        <v>0</v>
      </c>
      <c r="X833" s="126">
        <f>IF('Assumptions - Passenger'!$E$455&lt;&gt;0,X825-X826+X832,0)</f>
        <v>0</v>
      </c>
      <c r="Y833" s="126">
        <f>IF('Assumptions - Passenger'!$E$455&lt;&gt;0,Y825-Y826+Y832,0)</f>
        <v>0</v>
      </c>
      <c r="Z833" s="126">
        <f>IF('Assumptions - Passenger'!$E$455&lt;&gt;0,Z825-Z826+Z832,0)</f>
        <v>0</v>
      </c>
      <c r="AA833" s="126">
        <f>IF('Assumptions - Passenger'!$E$455&lt;&gt;0,AA825-AA826+AA832,0)</f>
        <v>0</v>
      </c>
      <c r="AB833" s="126">
        <f>IF('Assumptions - Passenger'!$E$455&lt;&gt;0,AB825-AB826+AB832,0)</f>
        <v>0</v>
      </c>
      <c r="AC833" s="126">
        <f>IF('Assumptions - Passenger'!$E$455&lt;&gt;0,AC825-AC826+AC832,0)</f>
        <v>0</v>
      </c>
      <c r="AD833" s="126">
        <f>IF('Assumptions - Passenger'!$E$455&lt;&gt;0,AD825-AD826+AD832,0)</f>
        <v>0</v>
      </c>
      <c r="AE833" s="126">
        <f>IF('Assumptions - Passenger'!$E$455&lt;&gt;0,AE825-AE826+AE832,0)</f>
        <v>0</v>
      </c>
      <c r="AF833" s="126">
        <f>IF('Assumptions - Passenger'!$E$455&lt;&gt;0,AF825-AF826+AF832,0)</f>
        <v>0</v>
      </c>
      <c r="AG833" s="126">
        <f>IF('Assumptions - Passenger'!$E$455&lt;&gt;0,AG825-AG826+AG832,0)</f>
        <v>0</v>
      </c>
      <c r="AH833" s="126">
        <f>IF('Assumptions - Passenger'!$E$455&lt;&gt;0,AH825-AH826+AH832,0)</f>
        <v>0</v>
      </c>
    </row>
    <row r="834" spans="1:34" s="20" customFormat="1" ht="14" x14ac:dyDescent="0.2">
      <c r="A834" s="8"/>
      <c r="B834" s="8" t="s">
        <v>139</v>
      </c>
      <c r="C834" s="8"/>
      <c r="D834" s="8" t="str">
        <f t="shared" si="329"/>
        <v>R$ millions</v>
      </c>
      <c r="E834" s="126">
        <f>IF(E$17=1,IF('Assumptions - Passenger'!$E$455&lt;&gt;0,IF(AND('Assumptions - Passenger'!$E$463=3,E823&gt;0),Calculations!E831,((E825+E833)/2)*E824),0),0)</f>
        <v>0</v>
      </c>
      <c r="F834" s="126">
        <f>IF(F$17=1,IF('Assumptions - Passenger'!$E$455&lt;&gt;0,IF(AND('Assumptions - Passenger'!$E$463=3,F823&gt;0),Calculations!F831,((F825+F833)/2)*F824),0),0)</f>
        <v>0</v>
      </c>
      <c r="G834" s="126">
        <f>IF(G$17=1,IF('Assumptions - Passenger'!$E$455&lt;&gt;0,IF(AND('Assumptions - Passenger'!$E$463=3,G823&gt;0),Calculations!G831,((G825+G833)/2)*G824),0),0)</f>
        <v>0.2485</v>
      </c>
      <c r="H834" s="126">
        <f>IF(H$17=1,IF('Assumptions - Passenger'!$E$455&lt;&gt;0,IF(AND('Assumptions - Passenger'!$E$463=3,H823&gt;0),Calculations!H831,((H825+H833)/2)*H824),0),0)</f>
        <v>0.8909999999999999</v>
      </c>
      <c r="I834" s="126">
        <f>IF(I$17=1,IF('Assumptions - Passenger'!$E$455&lt;&gt;0,IF(AND('Assumptions - Passenger'!$E$463=3,I823&gt;0),Calculations!I831,((I825+I833)/2)*I824),0),0)</f>
        <v>1.6575</v>
      </c>
      <c r="J834" s="126">
        <f>IF(J$17=1,IF('Assumptions - Passenger'!$E$455&lt;&gt;0,IF(AND('Assumptions - Passenger'!$E$463=3,J823&gt;0),Calculations!J831,((J825+J833)/2)*J824),0),0)</f>
        <v>2.4780000000000002</v>
      </c>
      <c r="K834" s="126">
        <f>IF(K$17=1,IF('Assumptions - Passenger'!$E$455&lt;&gt;0,IF(AND('Assumptions - Passenger'!$E$463=3,K823&gt;0),Calculations!K831,((K825+K833)/2)*K824),0),0)</f>
        <v>3.3210000000000002</v>
      </c>
      <c r="L834" s="126">
        <f>IF(L$17=1,IF('Assumptions - Passenger'!$E$455&lt;&gt;0,IF(AND('Assumptions - Passenger'!$E$463=3,L823&gt;0),Calculations!L831,((L825+L833)/2)*L824),0),0)</f>
        <v>3.7850000000000001</v>
      </c>
      <c r="M834" s="126">
        <f>IF(M$17=1,IF('Assumptions - Passenger'!$E$455&lt;&gt;0,IF(AND('Assumptions - Passenger'!$E$463=3,M823&gt;0),Calculations!M831,((M825+M833)/2)*M824),0),0)</f>
        <v>3.6158256057214806</v>
      </c>
      <c r="N834" s="126">
        <f>IF(N$17=1,IF('Assumptions - Passenger'!$E$455&lt;&gt;0,IF(AND('Assumptions - Passenger'!$E$463=3,N823&gt;0),Calculations!N831,((N825+N833)/2)*N824),0),0)</f>
        <v>3.3935695386833316</v>
      </c>
      <c r="O834" s="126">
        <f>IF(O$17=1,IF('Assumptions - Passenger'!$E$455&lt;&gt;0,IF(AND('Assumptions - Passenger'!$E$463=3,O823&gt;0),Calculations!O831,((O825+O833)/2)*O824),0),0)</f>
        <v>2.7566872340265065</v>
      </c>
      <c r="P834" s="126">
        <f>IF(P$17=1,IF('Assumptions - Passenger'!$E$455&lt;&gt;0,IF(AND('Assumptions - Passenger'!$E$463=3,P823&gt;0),Calculations!P831,((P825+P833)/2)*P824),0),0)</f>
        <v>2.4187779492703032</v>
      </c>
      <c r="Q834" s="126">
        <f>IF(Q$17=1,IF('Assumptions - Passenger'!$E$455&lt;&gt;0,IF(AND('Assumptions - Passenger'!$E$463=3,Q823&gt;0),Calculations!Q831,((Q825+Q833)/2)*Q824),0),0)</f>
        <v>2.0806429514142524</v>
      </c>
      <c r="R834" s="126">
        <f>IF(R$17=1,IF('Assumptions - Passenger'!$E$455&lt;&gt;0,IF(AND('Assumptions - Passenger'!$E$463=3,R823&gt;0),Calculations!R831,((R825+R833)/2)*R824),0),0)</f>
        <v>1.7188385037082778</v>
      </c>
      <c r="S834" s="126">
        <f>IF(S$17=1,IF('Assumptions - Passenger'!$E$455&lt;&gt;0,IF(AND('Assumptions - Passenger'!$E$463=3,S823&gt;0),Calculations!S831,((S825+S833)/2)*S824),0),0)</f>
        <v>1.3317077446628851</v>
      </c>
      <c r="T834" s="126">
        <f>IF(T$17=1,IF('Assumptions - Passenger'!$E$455&lt;&gt;0,IF(AND('Assumptions - Passenger'!$E$463=3,T823&gt;0),Calculations!T831,((T825+T833)/2)*T824),0),0)</f>
        <v>0.91747783248431491</v>
      </c>
      <c r="U834" s="126">
        <f>IF(U$17=1,IF('Assumptions - Passenger'!$E$455&lt;&gt;0,IF(AND('Assumptions - Passenger'!$E$463=3,U823&gt;0),Calculations!U831,((U825+U833)/2)*U824),0),0)</f>
        <v>0.47425182645324482</v>
      </c>
      <c r="V834" s="126">
        <f>IF(V$17=1,IF('Assumptions - Passenger'!$E$455&lt;&gt;0,IF(AND('Assumptions - Passenger'!$E$463=3,V823&gt;0),Calculations!V831,((V825+V833)/2)*V824),0),0)</f>
        <v>0</v>
      </c>
      <c r="W834" s="126">
        <f>IF(W$17=1,IF('Assumptions - Passenger'!$E$455&lt;&gt;0,IF(AND('Assumptions - Passenger'!$E$463=3,W823&gt;0),Calculations!W831,((W825+W833)/2)*W824),0),0)</f>
        <v>0</v>
      </c>
      <c r="X834" s="126">
        <f>IF(X$17=1,IF('Assumptions - Passenger'!$E$455&lt;&gt;0,IF(AND('Assumptions - Passenger'!$E$463=3,X823&gt;0),Calculations!X831,((X825+X833)/2)*X824),0),0)</f>
        <v>0</v>
      </c>
      <c r="Y834" s="126">
        <f>IF(Y$17=1,IF('Assumptions - Passenger'!$E$455&lt;&gt;0,IF(AND('Assumptions - Passenger'!$E$463=3,Y823&gt;0),Calculations!Y831,((Y825+Y833)/2)*Y824),0),0)</f>
        <v>0</v>
      </c>
      <c r="Z834" s="126">
        <f>IF(Z$17=1,IF('Assumptions - Passenger'!$E$455&lt;&gt;0,IF(AND('Assumptions - Passenger'!$E$463=3,Z823&gt;0),Calculations!Z831,((Z825+Z833)/2)*Z824),0),0)</f>
        <v>0</v>
      </c>
      <c r="AA834" s="126">
        <f>IF(AA$17=1,IF('Assumptions - Passenger'!$E$455&lt;&gt;0,IF(AND('Assumptions - Passenger'!$E$463=3,AA823&gt;0),Calculations!AA831,((AA825+AA833)/2)*AA824),0),0)</f>
        <v>0</v>
      </c>
      <c r="AB834" s="126">
        <f>IF(AB$17=1,IF('Assumptions - Passenger'!$E$455&lt;&gt;0,IF(AND('Assumptions - Passenger'!$E$463=3,AB823&gt;0),Calculations!AB831,((AB825+AB833)/2)*AB824),0),0)</f>
        <v>0</v>
      </c>
      <c r="AC834" s="126">
        <f>IF(AC$17=1,IF('Assumptions - Passenger'!$E$455&lt;&gt;0,IF(AND('Assumptions - Passenger'!$E$463=3,AC823&gt;0),Calculations!AC831,((AC825+AC833)/2)*AC824),0),0)</f>
        <v>0</v>
      </c>
      <c r="AD834" s="126">
        <f>IF(AD$17=1,IF('Assumptions - Passenger'!$E$455&lt;&gt;0,IF(AND('Assumptions - Passenger'!$E$463=3,AD823&gt;0),Calculations!AD831,((AD825+AD833)/2)*AD824),0),0)</f>
        <v>0</v>
      </c>
      <c r="AE834" s="126">
        <f>IF(AE$17=1,IF('Assumptions - Passenger'!$E$455&lt;&gt;0,IF(AND('Assumptions - Passenger'!$E$463=3,AE823&gt;0),Calculations!AE831,((AE825+AE833)/2)*AE824),0),0)</f>
        <v>0</v>
      </c>
      <c r="AF834" s="126">
        <f>IF(AF$17=1,IF('Assumptions - Passenger'!$E$455&lt;&gt;0,IF(AND('Assumptions - Passenger'!$E$463=3,AF823&gt;0),Calculations!AF831,((AF825+AF833)/2)*AF824),0),0)</f>
        <v>0</v>
      </c>
      <c r="AG834" s="126">
        <f>IF(AG$17=1,IF('Assumptions - Passenger'!$E$455&lt;&gt;0,IF(AND('Assumptions - Passenger'!$E$463=3,AG823&gt;0),Calculations!AG831,((AG825+AG833)/2)*AG824),0),0)</f>
        <v>0</v>
      </c>
      <c r="AH834" s="126">
        <f>IF(AH$17=1,IF('Assumptions - Passenger'!$E$455&lt;&gt;0,IF(AND('Assumptions - Passenger'!$E$463=3,AH823&gt;0),Calculations!AH831,((AH825+AH833)/2)*AH824),0),0)</f>
        <v>0</v>
      </c>
    </row>
    <row r="835" spans="1:34" s="20" customFormat="1" ht="14" x14ac:dyDescent="0.2">
      <c r="A835" s="8"/>
      <c r="B835" s="8" t="s">
        <v>53</v>
      </c>
      <c r="C835" s="8"/>
      <c r="D835" s="8" t="str">
        <f t="shared" si="329"/>
        <v>R$ millions</v>
      </c>
      <c r="E835" s="126">
        <f>IF(E$17=1,IF('Assumptions - Passenger'!$E$452=Calculations!E$4,'Assumptions - Passenger'!$E$455*'Assumptions - Passenger'!$E$465,0),0)</f>
        <v>0</v>
      </c>
      <c r="F835" s="126">
        <f>IF(F$17=1,IF('Assumptions - Passenger'!$E$452=Calculations!F$4,'Assumptions - Passenger'!$E$455*'Assumptions - Passenger'!$E$465,0),0)</f>
        <v>0</v>
      </c>
      <c r="G835" s="126">
        <f>IF(G$17=1,IF('Assumptions - Passenger'!$E$452=Calculations!G$4,'Assumptions - Passenger'!$E$455*'Assumptions - Passenger'!$E$465,0),0)</f>
        <v>0.125</v>
      </c>
      <c r="H835" s="126">
        <f>IF(H$17=1,IF('Assumptions - Passenger'!$E$452=Calculations!H$4,'Assumptions - Passenger'!$E$455*'Assumptions - Passenger'!$E$465,0),0)</f>
        <v>0</v>
      </c>
      <c r="I835" s="126">
        <f>IF(I$17=1,IF('Assumptions - Passenger'!$E$452=Calculations!I$4,'Assumptions - Passenger'!$E$455*'Assumptions - Passenger'!$E$465,0),0)</f>
        <v>0</v>
      </c>
      <c r="J835" s="126">
        <f>IF(J$17=1,IF('Assumptions - Passenger'!$E$452=Calculations!J$4,'Assumptions - Passenger'!$E$455*'Assumptions - Passenger'!$E$465,0),0)</f>
        <v>0</v>
      </c>
      <c r="K835" s="126">
        <f>IF(K$17=1,IF('Assumptions - Passenger'!$E$452=Calculations!K$4,'Assumptions - Passenger'!$E$455*'Assumptions - Passenger'!$E$465,0),0)</f>
        <v>0</v>
      </c>
      <c r="L835" s="126">
        <f>IF(L$17=1,IF('Assumptions - Passenger'!$E$452=Calculations!L$4,'Assumptions - Passenger'!$E$455*'Assumptions - Passenger'!$E$465,0),0)</f>
        <v>0</v>
      </c>
      <c r="M835" s="126">
        <f>IF(M$17=1,IF('Assumptions - Passenger'!$E$452=Calculations!M$4,'Assumptions - Passenger'!$E$455*'Assumptions - Passenger'!$E$465,0),0)</f>
        <v>0</v>
      </c>
      <c r="N835" s="126">
        <f>IF(N$17=1,IF('Assumptions - Passenger'!$E$452=Calculations!N$4,'Assumptions - Passenger'!$E$455*'Assumptions - Passenger'!$E$465,0),0)</f>
        <v>0</v>
      </c>
      <c r="O835" s="126">
        <f>IF(O$17=1,IF('Assumptions - Passenger'!$E$452=Calculations!O$4,'Assumptions - Passenger'!$E$455*'Assumptions - Passenger'!$E$465,0),0)</f>
        <v>0</v>
      </c>
      <c r="P835" s="126">
        <f>IF(P$17=1,IF('Assumptions - Passenger'!$E$452=Calculations!P$4,'Assumptions - Passenger'!$E$455*'Assumptions - Passenger'!$E$465,0),0)</f>
        <v>0</v>
      </c>
      <c r="Q835" s="126">
        <f>IF(Q$17=1,IF('Assumptions - Passenger'!$E$452=Calculations!Q$4,'Assumptions - Passenger'!$E$455*'Assumptions - Passenger'!$E$465,0),0)</f>
        <v>0</v>
      </c>
      <c r="R835" s="126">
        <f>IF(R$17=1,IF('Assumptions - Passenger'!$E$452=Calculations!R$4,'Assumptions - Passenger'!$E$455*'Assumptions - Passenger'!$E$465,0),0)</f>
        <v>0</v>
      </c>
      <c r="S835" s="126">
        <f>IF(S$17=1,IF('Assumptions - Passenger'!$E$452=Calculations!S$4,'Assumptions - Passenger'!$E$455*'Assumptions - Passenger'!$E$465,0),0)</f>
        <v>0</v>
      </c>
      <c r="T835" s="126">
        <f>IF(T$17=1,IF('Assumptions - Passenger'!$E$452=Calculations!T$4,'Assumptions - Passenger'!$E$455*'Assumptions - Passenger'!$E$465,0),0)</f>
        <v>0</v>
      </c>
      <c r="U835" s="126">
        <f>IF(U$17=1,IF('Assumptions - Passenger'!$E$452=Calculations!U$4,'Assumptions - Passenger'!$E$455*'Assumptions - Passenger'!$E$465,0),0)</f>
        <v>0</v>
      </c>
      <c r="V835" s="126">
        <f>IF(V$17=1,IF('Assumptions - Passenger'!$E$452=Calculations!V$4,'Assumptions - Passenger'!$E$455*'Assumptions - Passenger'!$E$465,0),0)</f>
        <v>0</v>
      </c>
      <c r="W835" s="126">
        <f>IF(W$17=1,IF('Assumptions - Passenger'!$E$452=Calculations!W$4,'Assumptions - Passenger'!$E$455*'Assumptions - Passenger'!$E$465,0),0)</f>
        <v>0</v>
      </c>
      <c r="X835" s="126">
        <f>IF(X$17=1,IF('Assumptions - Passenger'!$E$452=Calculations!X$4,'Assumptions - Passenger'!$E$455*'Assumptions - Passenger'!$E$465,0),0)</f>
        <v>0</v>
      </c>
      <c r="Y835" s="126">
        <f>IF(Y$17=1,IF('Assumptions - Passenger'!$E$452=Calculations!Y$4,'Assumptions - Passenger'!$E$455*'Assumptions - Passenger'!$E$465,0),0)</f>
        <v>0</v>
      </c>
      <c r="Z835" s="126">
        <f>IF(Z$17=1,IF('Assumptions - Passenger'!$E$452=Calculations!Z$4,'Assumptions - Passenger'!$E$455*'Assumptions - Passenger'!$E$465,0),0)</f>
        <v>0</v>
      </c>
      <c r="AA835" s="126">
        <f>IF(AA$17=1,IF('Assumptions - Passenger'!$E$452=Calculations!AA$4,'Assumptions - Passenger'!$E$455*'Assumptions - Passenger'!$E$465,0),0)</f>
        <v>0</v>
      </c>
      <c r="AB835" s="126">
        <f>IF(AB$17=1,IF('Assumptions - Passenger'!$E$452=Calculations!AB$4,'Assumptions - Passenger'!$E$455*'Assumptions - Passenger'!$E$465,0),0)</f>
        <v>0</v>
      </c>
      <c r="AC835" s="126">
        <f>IF(AC$17=1,IF('Assumptions - Passenger'!$E$452=Calculations!AC$4,'Assumptions - Passenger'!$E$455*'Assumptions - Passenger'!$E$465,0),0)</f>
        <v>0</v>
      </c>
      <c r="AD835" s="126">
        <f>IF(AD$17=1,IF('Assumptions - Passenger'!$E$452=Calculations!AD$4,'Assumptions - Passenger'!$E$455*'Assumptions - Passenger'!$E$465,0),0)</f>
        <v>0</v>
      </c>
      <c r="AE835" s="126">
        <f>IF(AE$17=1,IF('Assumptions - Passenger'!$E$452=Calculations!AE$4,'Assumptions - Passenger'!$E$455*'Assumptions - Passenger'!$E$465,0),0)</f>
        <v>0</v>
      </c>
      <c r="AF835" s="126">
        <f>IF(AF$17=1,IF('Assumptions - Passenger'!$E$452=Calculations!AF$4,'Assumptions - Passenger'!$E$455*'Assumptions - Passenger'!$E$465,0),0)</f>
        <v>0</v>
      </c>
      <c r="AG835" s="126">
        <f>IF(AG$17=1,IF('Assumptions - Passenger'!$E$452=Calculations!AG$4,'Assumptions - Passenger'!$E$455*'Assumptions - Passenger'!$E$465,0),0)</f>
        <v>0</v>
      </c>
      <c r="AH835" s="126">
        <f>IF(AH$17=1,IF('Assumptions - Passenger'!$E$452=Calculations!AH$4,'Assumptions - Passenger'!$E$455*'Assumptions - Passenger'!$E$465,0),0)</f>
        <v>0</v>
      </c>
    </row>
    <row r="836" spans="1:34" s="20" customFormat="1" ht="14" x14ac:dyDescent="0.2">
      <c r="A836" s="8"/>
      <c r="B836" s="8" t="s">
        <v>142</v>
      </c>
      <c r="C836" s="8"/>
      <c r="D836" s="8" t="str">
        <f t="shared" si="329"/>
        <v>R$ millions</v>
      </c>
      <c r="E836" s="126">
        <f>IF(E$17=1,IF(AND(E$4&lt;=('Assumptions - Passenger'!$E$452+'Assumptions - Passenger'!$E$462),E$4&gt;='Assumptions - Passenger'!$E$452),'Assumptions - Passenger'!$E$455-Calculations!E825-E832,0),0)</f>
        <v>0</v>
      </c>
      <c r="F836" s="126">
        <f>IF(F$17=1,IF(AND(F$4&lt;=('Assumptions - Passenger'!$E$452+'Assumptions - Passenger'!$E$462),F$4&gt;='Assumptions - Passenger'!$E$452),'Assumptions - Passenger'!$E$455-Calculations!F825-F832,0),0)</f>
        <v>0</v>
      </c>
      <c r="G836" s="126">
        <f>IF(G$17=1,IF(AND(G$4&lt;=('Assumptions - Passenger'!$E$452+'Assumptions - Passenger'!$E$462),G$4&gt;='Assumptions - Passenger'!$E$452),'Assumptions - Passenger'!$E$455-Calculations!G825-G832,0),0)</f>
        <v>40</v>
      </c>
      <c r="H836" s="126">
        <f>IF(H$17=1,IF(AND(H$4&lt;=('Assumptions - Passenger'!$E$452+'Assumptions - Passenger'!$E$462),H$4&gt;='Assumptions - Passenger'!$E$452),'Assumptions - Passenger'!$E$455-Calculations!H825-H832,0),0)</f>
        <v>30</v>
      </c>
      <c r="I836" s="126">
        <f>IF(I$17=1,IF(AND(I$4&lt;=('Assumptions - Passenger'!$E$452+'Assumptions - Passenger'!$E$462),I$4&gt;='Assumptions - Passenger'!$E$452),'Assumptions - Passenger'!$E$455-Calculations!I825-I832,0),0)</f>
        <v>20</v>
      </c>
      <c r="J836" s="126">
        <f>IF(J$17=1,IF(AND(J$4&lt;=('Assumptions - Passenger'!$E$452+'Assumptions - Passenger'!$E$462),J$4&gt;='Assumptions - Passenger'!$E$452),'Assumptions - Passenger'!$E$455-Calculations!J825-J832,0),0)</f>
        <v>10</v>
      </c>
      <c r="K836" s="126">
        <f>IF(K$17=1,IF(AND(K$4&lt;=('Assumptions - Passenger'!$E$452+'Assumptions - Passenger'!$E$462),K$4&gt;='Assumptions - Passenger'!$E$452),'Assumptions - Passenger'!$E$455-Calculations!K825-K832,0),0)</f>
        <v>0</v>
      </c>
      <c r="L836" s="126">
        <f>IF(L$17=1,IF(AND(L$4&lt;=('Assumptions - Passenger'!$E$452+'Assumptions - Passenger'!$E$462),L$4&gt;='Assumptions - Passenger'!$E$452),'Assumptions - Passenger'!$E$455-Calculations!L825-L832,0),0)</f>
        <v>0</v>
      </c>
      <c r="M836" s="126">
        <f>IF(M$17=1,IF(AND(M$4&lt;=('Assumptions - Passenger'!$E$452+'Assumptions - Passenger'!$E$462),M$4&gt;='Assumptions - Passenger'!$E$452),'Assumptions - Passenger'!$E$455-Calculations!M825-M832,0),0)</f>
        <v>0</v>
      </c>
      <c r="N836" s="126">
        <f>IF(N$17=1,IF(AND(N$4&lt;=('Assumptions - Passenger'!$E$452+'Assumptions - Passenger'!$E$462),N$4&gt;='Assumptions - Passenger'!$E$452),'Assumptions - Passenger'!$E$455-Calculations!N825-N832,0),0)</f>
        <v>0</v>
      </c>
      <c r="O836" s="126">
        <f>IF(O$17=1,IF(AND(O$4&lt;=('Assumptions - Passenger'!$E$452+'Assumptions - Passenger'!$E$462),O$4&gt;='Assumptions - Passenger'!$E$452),'Assumptions - Passenger'!$E$455-Calculations!O825-O832,0),0)</f>
        <v>0</v>
      </c>
      <c r="P836" s="126">
        <f>IF(P$17=1,IF(AND(P$4&lt;=('Assumptions - Passenger'!$E$452+'Assumptions - Passenger'!$E$462),P$4&gt;='Assumptions - Passenger'!$E$452),'Assumptions - Passenger'!$E$455-Calculations!P825-P832,0),0)</f>
        <v>0</v>
      </c>
      <c r="Q836" s="126">
        <f>IF(Q$17=1,IF(AND(Q$4&lt;=('Assumptions - Passenger'!$E$452+'Assumptions - Passenger'!$E$462),Q$4&gt;='Assumptions - Passenger'!$E$452),'Assumptions - Passenger'!$E$455-Calculations!Q825-Q832,0),0)</f>
        <v>0</v>
      </c>
      <c r="R836" s="126">
        <f>IF(R$17=1,IF(AND(R$4&lt;=('Assumptions - Passenger'!$E$452+'Assumptions - Passenger'!$E$462),R$4&gt;='Assumptions - Passenger'!$E$452),'Assumptions - Passenger'!$E$455-Calculations!R825-R832,0),0)</f>
        <v>0</v>
      </c>
      <c r="S836" s="126">
        <f>IF(S$17=1,IF(AND(S$4&lt;=('Assumptions - Passenger'!$E$452+'Assumptions - Passenger'!$E$462),S$4&gt;='Assumptions - Passenger'!$E$452),'Assumptions - Passenger'!$E$455-Calculations!S825-S832,0),0)</f>
        <v>0</v>
      </c>
      <c r="T836" s="126">
        <f>IF(T$17=1,IF(AND(T$4&lt;=('Assumptions - Passenger'!$E$452+'Assumptions - Passenger'!$E$462),T$4&gt;='Assumptions - Passenger'!$E$452),'Assumptions - Passenger'!$E$455-Calculations!T825-T832,0),0)</f>
        <v>0</v>
      </c>
      <c r="U836" s="126">
        <f>IF(U$17=1,IF(AND(U$4&lt;=('Assumptions - Passenger'!$E$452+'Assumptions - Passenger'!$E$462),U$4&gt;='Assumptions - Passenger'!$E$452),'Assumptions - Passenger'!$E$455-Calculations!U825-U832,0),0)</f>
        <v>0</v>
      </c>
      <c r="V836" s="126">
        <f>IF(V$17=1,IF(AND(V$4&lt;=('Assumptions - Passenger'!$E$452+'Assumptions - Passenger'!$E$462),V$4&gt;='Assumptions - Passenger'!$E$452),'Assumptions - Passenger'!$E$455-Calculations!V825-V832,0),0)</f>
        <v>0</v>
      </c>
      <c r="W836" s="126">
        <f>IF(W$17=1,IF(AND(W$4&lt;=('Assumptions - Passenger'!$E$452+'Assumptions - Passenger'!$E$462),W$4&gt;='Assumptions - Passenger'!$E$452),'Assumptions - Passenger'!$E$455-Calculations!W825-W832,0),0)</f>
        <v>0</v>
      </c>
      <c r="X836" s="126">
        <f>IF(X$17=1,IF(AND(X$4&lt;=('Assumptions - Passenger'!$E$452+'Assumptions - Passenger'!$E$462),X$4&gt;='Assumptions - Passenger'!$E$452),'Assumptions - Passenger'!$E$455-Calculations!X825-X832,0),0)</f>
        <v>0</v>
      </c>
      <c r="Y836" s="126">
        <f>IF(Y$17=1,IF(AND(Y$4&lt;=('Assumptions - Passenger'!$E$452+'Assumptions - Passenger'!$E$462),Y$4&gt;='Assumptions - Passenger'!$E$452),'Assumptions - Passenger'!$E$455-Calculations!Y825-Y832,0),0)</f>
        <v>0</v>
      </c>
      <c r="Z836" s="126">
        <f>IF(Z$17=1,IF(AND(Z$4&lt;=('Assumptions - Passenger'!$E$452+'Assumptions - Passenger'!$E$462),Z$4&gt;='Assumptions - Passenger'!$E$452),'Assumptions - Passenger'!$E$455-Calculations!Z825-Z832,0),0)</f>
        <v>0</v>
      </c>
      <c r="AA836" s="126">
        <f>IF(AA$17=1,IF(AND(AA$4&lt;=('Assumptions - Passenger'!$E$452+'Assumptions - Passenger'!$E$462),AA$4&gt;='Assumptions - Passenger'!$E$452),'Assumptions - Passenger'!$E$455-Calculations!AA825-AA832,0),0)</f>
        <v>0</v>
      </c>
      <c r="AB836" s="126">
        <f>IF(AB$17=1,IF(AND(AB$4&lt;=('Assumptions - Passenger'!$E$452+'Assumptions - Passenger'!$E$462),AB$4&gt;='Assumptions - Passenger'!$E$452),'Assumptions - Passenger'!$E$455-Calculations!AB825-AB832,0),0)</f>
        <v>0</v>
      </c>
      <c r="AC836" s="126">
        <f>IF(AC$17=1,IF(AND(AC$4&lt;=('Assumptions - Passenger'!$E$452+'Assumptions - Passenger'!$E$462),AC$4&gt;='Assumptions - Passenger'!$E$452),'Assumptions - Passenger'!$E$455-Calculations!AC825-AC832,0),0)</f>
        <v>0</v>
      </c>
      <c r="AD836" s="126">
        <f>IF(AD$17=1,IF(AND(AD$4&lt;=('Assumptions - Passenger'!$E$452+'Assumptions - Passenger'!$E$462),AD$4&gt;='Assumptions - Passenger'!$E$452),'Assumptions - Passenger'!$E$455-Calculations!AD825-AD832,0),0)</f>
        <v>0</v>
      </c>
      <c r="AE836" s="126">
        <f>IF(AE$17=1,IF(AND(AE$4&lt;=('Assumptions - Passenger'!$E$452+'Assumptions - Passenger'!$E$462),AE$4&gt;='Assumptions - Passenger'!$E$452),'Assumptions - Passenger'!$E$455-Calculations!AE825-AE832,0),0)</f>
        <v>0</v>
      </c>
      <c r="AF836" s="126">
        <f>IF(AF$17=1,IF(AND(AF$4&lt;=('Assumptions - Passenger'!$E$452+'Assumptions - Passenger'!$E$462),AF$4&gt;='Assumptions - Passenger'!$E$452),'Assumptions - Passenger'!$E$455-Calculations!AF825-AF832,0),0)</f>
        <v>0</v>
      </c>
      <c r="AG836" s="126">
        <f>IF(AG$17=1,IF(AND(AG$4&lt;=('Assumptions - Passenger'!$E$452+'Assumptions - Passenger'!$E$462),AG$4&gt;='Assumptions - Passenger'!$E$452),'Assumptions - Passenger'!$E$455-Calculations!AG825-AG832,0),0)</f>
        <v>0</v>
      </c>
      <c r="AH836" s="126">
        <f>IF(AH$17=1,IF(AND(AH$4&lt;=('Assumptions - Passenger'!$E$452+'Assumptions - Passenger'!$E$462),AH$4&gt;='Assumptions - Passenger'!$E$452),'Assumptions - Passenger'!$E$455-Calculations!AH825-AH832,0),0)</f>
        <v>0</v>
      </c>
    </row>
    <row r="837" spans="1:34" s="20" customFormat="1" ht="14" x14ac:dyDescent="0.2">
      <c r="A837" s="8"/>
      <c r="B837" s="8" t="s">
        <v>55</v>
      </c>
      <c r="C837" s="8"/>
      <c r="D837" s="8" t="str">
        <f t="shared" si="329"/>
        <v>R$ millions</v>
      </c>
      <c r="E837" s="126">
        <f>IF(E$17=1,'Assumptions - Passenger'!$E$466*Calculations!E836,0)</f>
        <v>0</v>
      </c>
      <c r="F837" s="126">
        <f>IF(F$17=1,'Assumptions - Passenger'!$E$466*Calculations!F836,0)</f>
        <v>0</v>
      </c>
      <c r="G837" s="126">
        <f>IF(G$17=1,'Assumptions - Passenger'!$E$466*Calculations!G836,0)</f>
        <v>0</v>
      </c>
      <c r="H837" s="126">
        <f>IF(H$17=1,'Assumptions - Passenger'!$E$466*Calculations!H836,0)</f>
        <v>0</v>
      </c>
      <c r="I837" s="126">
        <f>IF(I$17=1,'Assumptions - Passenger'!$E$466*Calculations!I836,0)</f>
        <v>0</v>
      </c>
      <c r="J837" s="126">
        <f>IF(J$17=1,'Assumptions - Passenger'!$E$466*Calculations!J836,0)</f>
        <v>0</v>
      </c>
      <c r="K837" s="126">
        <f>IF(K$17=1,'Assumptions - Passenger'!$E$466*Calculations!K836,0)</f>
        <v>0</v>
      </c>
      <c r="L837" s="126">
        <f>IF(L$17=1,'Assumptions - Passenger'!$E$466*Calculations!L836,0)</f>
        <v>0</v>
      </c>
      <c r="M837" s="126">
        <f>IF(M$17=1,'Assumptions - Passenger'!$E$466*Calculations!M836,0)</f>
        <v>0</v>
      </c>
      <c r="N837" s="126">
        <f>IF(N$17=1,'Assumptions - Passenger'!$E$466*Calculations!N836,0)</f>
        <v>0</v>
      </c>
      <c r="O837" s="126">
        <f>IF(O$17=1,'Assumptions - Passenger'!$E$466*Calculations!O836,0)</f>
        <v>0</v>
      </c>
      <c r="P837" s="126">
        <f>IF(P$17=1,'Assumptions - Passenger'!$E$466*Calculations!P836,0)</f>
        <v>0</v>
      </c>
      <c r="Q837" s="126">
        <f>IF(Q$17=1,'Assumptions - Passenger'!$E$466*Calculations!Q836,0)</f>
        <v>0</v>
      </c>
      <c r="R837" s="126">
        <f>IF(R$17=1,'Assumptions - Passenger'!$E$466*Calculations!R836,0)</f>
        <v>0</v>
      </c>
      <c r="S837" s="126">
        <f>IF(S$17=1,'Assumptions - Passenger'!$E$466*Calculations!S836,0)</f>
        <v>0</v>
      </c>
      <c r="T837" s="126">
        <f>IF(T$17=1,'Assumptions - Passenger'!$E$466*Calculations!T836,0)</f>
        <v>0</v>
      </c>
      <c r="U837" s="126">
        <f>IF(U$17=1,'Assumptions - Passenger'!$E$466*Calculations!U836,0)</f>
        <v>0</v>
      </c>
      <c r="V837" s="126">
        <f>IF(V$17=1,'Assumptions - Passenger'!$E$466*Calculations!V836,0)</f>
        <v>0</v>
      </c>
      <c r="W837" s="126">
        <f>IF(W$17=1,'Assumptions - Passenger'!$E$466*Calculations!W836,0)</f>
        <v>0</v>
      </c>
      <c r="X837" s="126">
        <f>IF(X$17=1,'Assumptions - Passenger'!$E$466*Calculations!X836,0)</f>
        <v>0</v>
      </c>
      <c r="Y837" s="126">
        <f>IF(Y$17=1,'Assumptions - Passenger'!$E$466*Calculations!Y836,0)</f>
        <v>0</v>
      </c>
      <c r="Z837" s="126">
        <f>IF(Z$17=1,'Assumptions - Passenger'!$E$466*Calculations!Z836,0)</f>
        <v>0</v>
      </c>
      <c r="AA837" s="126">
        <f>IF(AA$17=1,'Assumptions - Passenger'!$E$466*Calculations!AA836,0)</f>
        <v>0</v>
      </c>
      <c r="AB837" s="126">
        <f>IF(AB$17=1,'Assumptions - Passenger'!$E$466*Calculations!AB836,0)</f>
        <v>0</v>
      </c>
      <c r="AC837" s="126">
        <f>IF(AC$17=1,'Assumptions - Passenger'!$E$466*Calculations!AC836,0)</f>
        <v>0</v>
      </c>
      <c r="AD837" s="126">
        <f>IF(AD$17=1,'Assumptions - Passenger'!$E$466*Calculations!AD836,0)</f>
        <v>0</v>
      </c>
      <c r="AE837" s="126">
        <f>IF(AE$17=1,'Assumptions - Passenger'!$E$466*Calculations!AE836,0)</f>
        <v>0</v>
      </c>
      <c r="AF837" s="126">
        <f>IF(AF$17=1,'Assumptions - Passenger'!$E$466*Calculations!AF836,0)</f>
        <v>0</v>
      </c>
      <c r="AG837" s="126">
        <f>IF(AG$17=1,'Assumptions - Passenger'!$E$466*Calculations!AG836,0)</f>
        <v>0</v>
      </c>
      <c r="AH837" s="126">
        <f>IF(AH$17=1,'Assumptions - Passenger'!$E$466*Calculations!AH836,0)</f>
        <v>0</v>
      </c>
    </row>
    <row r="838" spans="1:34" s="20" customFormat="1" ht="14" x14ac:dyDescent="0.2">
      <c r="A838" s="8"/>
      <c r="B838" s="8" t="s">
        <v>140</v>
      </c>
      <c r="C838" s="8"/>
      <c r="D838" s="8" t="str">
        <f t="shared" si="329"/>
        <v>R$ millions</v>
      </c>
      <c r="E838" s="126">
        <f>E826+E834+E835+E837</f>
        <v>0</v>
      </c>
      <c r="F838" s="126">
        <f t="shared" ref="F838:AH838" si="330">F826+F834+F835+F837</f>
        <v>0</v>
      </c>
      <c r="G838" s="126">
        <f t="shared" si="330"/>
        <v>0.3735</v>
      </c>
      <c r="H838" s="126">
        <f t="shared" si="330"/>
        <v>0.8909999999999999</v>
      </c>
      <c r="I838" s="126">
        <f t="shared" si="330"/>
        <v>1.6575</v>
      </c>
      <c r="J838" s="126">
        <f t="shared" si="330"/>
        <v>2.4780000000000002</v>
      </c>
      <c r="K838" s="126">
        <f t="shared" si="330"/>
        <v>3.3210000000000002</v>
      </c>
      <c r="L838" s="126">
        <f t="shared" si="330"/>
        <v>7.2492779186424627</v>
      </c>
      <c r="M838" s="126">
        <f t="shared" si="330"/>
        <v>7.249277918642461</v>
      </c>
      <c r="N838" s="126">
        <f t="shared" si="330"/>
        <v>7.2492779186424592</v>
      </c>
      <c r="O838" s="126">
        <f t="shared" si="330"/>
        <v>7.249277918642461</v>
      </c>
      <c r="P838" s="126">
        <f t="shared" si="330"/>
        <v>7.2492779186424592</v>
      </c>
      <c r="Q838" s="126">
        <f t="shared" si="330"/>
        <v>7.2492779186424601</v>
      </c>
      <c r="R838" s="126">
        <f t="shared" si="330"/>
        <v>7.249277918642461</v>
      </c>
      <c r="S838" s="126">
        <f t="shared" si="330"/>
        <v>7.2492779186424592</v>
      </c>
      <c r="T838" s="126">
        <f t="shared" si="330"/>
        <v>7.2492779186424583</v>
      </c>
      <c r="U838" s="126">
        <f t="shared" si="330"/>
        <v>7.2492779186424565</v>
      </c>
      <c r="V838" s="126">
        <f t="shared" si="330"/>
        <v>0</v>
      </c>
      <c r="W838" s="126">
        <f t="shared" si="330"/>
        <v>0</v>
      </c>
      <c r="X838" s="126">
        <f t="shared" si="330"/>
        <v>0</v>
      </c>
      <c r="Y838" s="126">
        <f t="shared" si="330"/>
        <v>0</v>
      </c>
      <c r="Z838" s="126">
        <f t="shared" si="330"/>
        <v>0</v>
      </c>
      <c r="AA838" s="126">
        <f t="shared" si="330"/>
        <v>0</v>
      </c>
      <c r="AB838" s="126">
        <f t="shared" si="330"/>
        <v>0</v>
      </c>
      <c r="AC838" s="126">
        <f t="shared" si="330"/>
        <v>0</v>
      </c>
      <c r="AD838" s="126">
        <f t="shared" si="330"/>
        <v>0</v>
      </c>
      <c r="AE838" s="126">
        <f t="shared" si="330"/>
        <v>0</v>
      </c>
      <c r="AF838" s="126">
        <f t="shared" si="330"/>
        <v>0</v>
      </c>
      <c r="AG838" s="126">
        <f t="shared" si="330"/>
        <v>0</v>
      </c>
      <c r="AH838" s="126">
        <f t="shared" si="330"/>
        <v>0</v>
      </c>
    </row>
    <row r="839" spans="1:34" s="20" customFormat="1" ht="14" x14ac:dyDescent="0.2">
      <c r="A839" s="8"/>
      <c r="B839" s="8"/>
      <c r="C839" s="8"/>
      <c r="D839" s="8"/>
      <c r="E839" s="16"/>
      <c r="F839" s="8"/>
      <c r="G839" s="8"/>
      <c r="H839" s="8"/>
      <c r="I839" s="8"/>
      <c r="J839" s="8"/>
      <c r="K839" s="8"/>
      <c r="L839" s="8"/>
      <c r="M839" s="8"/>
      <c r="N839" s="8"/>
      <c r="O839" s="8"/>
      <c r="P839" s="8"/>
      <c r="Q839" s="8"/>
      <c r="R839" s="8"/>
      <c r="S839" s="8"/>
      <c r="T839" s="8"/>
      <c r="U839" s="8"/>
      <c r="V839" s="8"/>
      <c r="W839" s="8"/>
      <c r="X839" s="8"/>
      <c r="Y839" s="8"/>
      <c r="Z839" s="8"/>
      <c r="AA839" s="8"/>
      <c r="AB839" s="8"/>
      <c r="AC839" s="8"/>
      <c r="AD839" s="8"/>
      <c r="AE839" s="8"/>
      <c r="AF839" s="8"/>
      <c r="AG839" s="8"/>
      <c r="AH839" s="8"/>
    </row>
    <row r="840" spans="1:34" s="20" customFormat="1" ht="14" x14ac:dyDescent="0.2">
      <c r="A840" s="8"/>
      <c r="B840" s="21" t="str">
        <f>B822</f>
        <v>New loan from International bank</v>
      </c>
      <c r="C840" s="8"/>
      <c r="D840" s="8"/>
      <c r="E840" s="8"/>
      <c r="F840" s="8"/>
      <c r="G840" s="8"/>
      <c r="H840" s="8"/>
      <c r="I840" s="8"/>
      <c r="J840" s="8"/>
      <c r="K840" s="8"/>
      <c r="L840" s="8"/>
      <c r="M840" s="8"/>
      <c r="N840" s="8"/>
      <c r="O840" s="8"/>
      <c r="P840" s="8"/>
      <c r="Q840" s="8"/>
      <c r="R840" s="8"/>
      <c r="S840" s="8"/>
      <c r="T840" s="8"/>
      <c r="U840" s="8"/>
      <c r="V840" s="8"/>
      <c r="W840" s="8"/>
      <c r="X840" s="8"/>
      <c r="Y840" s="8"/>
      <c r="Z840" s="8"/>
      <c r="AA840" s="8"/>
      <c r="AB840" s="8"/>
      <c r="AC840" s="8"/>
      <c r="AD840" s="8"/>
      <c r="AE840" s="8"/>
      <c r="AF840" s="8"/>
      <c r="AG840" s="8"/>
      <c r="AH840" s="8"/>
    </row>
    <row r="841" spans="1:34" s="20" customFormat="1" ht="14" x14ac:dyDescent="0.2">
      <c r="A841" s="8"/>
      <c r="B841" s="8" t="s">
        <v>334</v>
      </c>
      <c r="C841" s="8"/>
      <c r="D841" s="8" t="str">
        <f>IF('Assumptions - Passenger'!$E$453=1,"Same as above",IF('Assumptions - Passenger'!$E$453=2,"Local currency/"&amp;'Assumptions - General'!$E$39,"Local currency/"&amp;'Assumptions - General'!$E$40))</f>
        <v>Same as above</v>
      </c>
      <c r="E841" s="124">
        <f>IF('Assumptions - Passenger'!$E$453=1,1,IF('Assumptions - Passenger'!$E$453=2,'Assumptions - General'!E$41,'Assumptions - General'!E$42))</f>
        <v>1</v>
      </c>
      <c r="F841" s="124">
        <f>IF('Assumptions - Passenger'!$E$453=1,1,IF('Assumptions - Passenger'!$E$453=2,'Assumptions - General'!F$41,'Assumptions - General'!F$42))</f>
        <v>1</v>
      </c>
      <c r="G841" s="124">
        <f>IF('Assumptions - Passenger'!$E$453=1,1,IF('Assumptions - Passenger'!$E$453=2,'Assumptions - General'!G$41,'Assumptions - General'!G$42))</f>
        <v>1</v>
      </c>
      <c r="H841" s="124">
        <f>IF('Assumptions - Passenger'!$E$453=1,1,IF('Assumptions - Passenger'!$E$453=2,'Assumptions - General'!H$41,'Assumptions - General'!H$42))</f>
        <v>1</v>
      </c>
      <c r="I841" s="124">
        <f>IF('Assumptions - Passenger'!$E$453=1,1,IF('Assumptions - Passenger'!$E$453=2,'Assumptions - General'!I$41,'Assumptions - General'!I$42))</f>
        <v>1</v>
      </c>
      <c r="J841" s="124">
        <f>IF('Assumptions - Passenger'!$E$453=1,1,IF('Assumptions - Passenger'!$E$453=2,'Assumptions - General'!J$41,'Assumptions - General'!J$42))</f>
        <v>1</v>
      </c>
      <c r="K841" s="124">
        <f>IF('Assumptions - Passenger'!$E$453=1,1,IF('Assumptions - Passenger'!$E$453=2,'Assumptions - General'!K$41,'Assumptions - General'!K$42))</f>
        <v>1</v>
      </c>
      <c r="L841" s="124">
        <f>IF('Assumptions - Passenger'!$E$453=1,1,IF('Assumptions - Passenger'!$E$453=2,'Assumptions - General'!L$41,'Assumptions - General'!L$42))</f>
        <v>1</v>
      </c>
      <c r="M841" s="124">
        <f>IF('Assumptions - Passenger'!$E$453=1,1,IF('Assumptions - Passenger'!$E$453=2,'Assumptions - General'!M$41,'Assumptions - General'!M$42))</f>
        <v>1</v>
      </c>
      <c r="N841" s="124">
        <f>IF('Assumptions - Passenger'!$E$453=1,1,IF('Assumptions - Passenger'!$E$453=2,'Assumptions - General'!N$41,'Assumptions - General'!N$42))</f>
        <v>1</v>
      </c>
      <c r="O841" s="124">
        <f>IF('Assumptions - Passenger'!$E$453=1,1,IF('Assumptions - Passenger'!$E$453=2,'Assumptions - General'!O$41,'Assumptions - General'!O$42))</f>
        <v>1</v>
      </c>
      <c r="P841" s="124">
        <f>IF('Assumptions - Passenger'!$E$453=1,1,IF('Assumptions - Passenger'!$E$453=2,'Assumptions - General'!P$41,'Assumptions - General'!P$42))</f>
        <v>1</v>
      </c>
      <c r="Q841" s="124">
        <f>IF('Assumptions - Passenger'!$E$453=1,1,IF('Assumptions - Passenger'!$E$453=2,'Assumptions - General'!Q$41,'Assumptions - General'!Q$42))</f>
        <v>1</v>
      </c>
      <c r="R841" s="124">
        <f>IF('Assumptions - Passenger'!$E$453=1,1,IF('Assumptions - Passenger'!$E$453=2,'Assumptions - General'!R$41,'Assumptions - General'!R$42))</f>
        <v>1</v>
      </c>
      <c r="S841" s="124">
        <f>IF('Assumptions - Passenger'!$E$453=1,1,IF('Assumptions - Passenger'!$E$453=2,'Assumptions - General'!S$41,'Assumptions - General'!S$42))</f>
        <v>1</v>
      </c>
      <c r="T841" s="124">
        <f>IF('Assumptions - Passenger'!$E$453=1,1,IF('Assumptions - Passenger'!$E$453=2,'Assumptions - General'!T$41,'Assumptions - General'!T$42))</f>
        <v>1</v>
      </c>
      <c r="U841" s="124">
        <f>IF('Assumptions - Passenger'!$E$453=1,1,IF('Assumptions - Passenger'!$E$453=2,'Assumptions - General'!U$41,'Assumptions - General'!U$42))</f>
        <v>1</v>
      </c>
      <c r="V841" s="124">
        <f>IF('Assumptions - Passenger'!$E$453=1,1,IF('Assumptions - Passenger'!$E$453=2,'Assumptions - General'!V$41,'Assumptions - General'!V$42))</f>
        <v>1</v>
      </c>
      <c r="W841" s="124">
        <f>IF('Assumptions - Passenger'!$E$453=1,1,IF('Assumptions - Passenger'!$E$453=2,'Assumptions - General'!W$41,'Assumptions - General'!W$42))</f>
        <v>1</v>
      </c>
      <c r="X841" s="124">
        <f>IF('Assumptions - Passenger'!$E$453=1,1,IF('Assumptions - Passenger'!$E$453=2,'Assumptions - General'!X$41,'Assumptions - General'!X$42))</f>
        <v>1</v>
      </c>
      <c r="Y841" s="124">
        <f>IF('Assumptions - Passenger'!$E$453=1,1,IF('Assumptions - Passenger'!$E$453=2,'Assumptions - General'!Y$41,'Assumptions - General'!Y$42))</f>
        <v>1</v>
      </c>
      <c r="Z841" s="124">
        <f>IF('Assumptions - Passenger'!$E$453=1,1,IF('Assumptions - Passenger'!$E$453=2,'Assumptions - General'!Z$41,'Assumptions - General'!Z$42))</f>
        <v>1</v>
      </c>
      <c r="AA841" s="124">
        <f>IF('Assumptions - Passenger'!$E$453=1,1,IF('Assumptions - Passenger'!$E$453=2,'Assumptions - General'!AA$41,'Assumptions - General'!AA$42))</f>
        <v>1</v>
      </c>
      <c r="AB841" s="124">
        <f>IF('Assumptions - Passenger'!$E$453=1,1,IF('Assumptions - Passenger'!$E$453=2,'Assumptions - General'!AB$41,'Assumptions - General'!AB$42))</f>
        <v>1</v>
      </c>
      <c r="AC841" s="124">
        <f>IF('Assumptions - Passenger'!$E$453=1,1,IF('Assumptions - Passenger'!$E$453=2,'Assumptions - General'!AC$41,'Assumptions - General'!AC$42))</f>
        <v>1</v>
      </c>
      <c r="AD841" s="124">
        <f>IF('Assumptions - Passenger'!$E$453=1,1,IF('Assumptions - Passenger'!$E$453=2,'Assumptions - General'!AD$41,'Assumptions - General'!AD$42))</f>
        <v>1</v>
      </c>
      <c r="AE841" s="124">
        <f>IF('Assumptions - Passenger'!$E$453=1,1,IF('Assumptions - Passenger'!$E$453=2,'Assumptions - General'!AE$41,'Assumptions - General'!AE$42))</f>
        <v>1</v>
      </c>
      <c r="AF841" s="124">
        <f>IF('Assumptions - Passenger'!$E$453=1,1,IF('Assumptions - Passenger'!$E$453=2,'Assumptions - General'!AF$41,'Assumptions - General'!AF$42))</f>
        <v>1</v>
      </c>
      <c r="AG841" s="124">
        <f>IF('Assumptions - Passenger'!$E$453=1,1,IF('Assumptions - Passenger'!$E$453=2,'Assumptions - General'!AG$41,'Assumptions - General'!AG$42))</f>
        <v>1</v>
      </c>
      <c r="AH841" s="124">
        <f>IF('Assumptions - Passenger'!$E$453=1,1,IF('Assumptions - Passenger'!$E$453=2,'Assumptions - General'!AH$41,'Assumptions - General'!AH$42))</f>
        <v>1</v>
      </c>
    </row>
    <row r="842" spans="1:34" s="20" customFormat="1" ht="14" x14ac:dyDescent="0.2">
      <c r="A842" s="8"/>
      <c r="B842" s="8" t="s">
        <v>136</v>
      </c>
      <c r="C842" s="8"/>
      <c r="D842" s="8" t="str">
        <f>'Assumptions - General'!$E$27 &amp;" millions"</f>
        <v>R$ millions</v>
      </c>
      <c r="E842" s="126">
        <f t="shared" ref="E842:AH842" si="331">E825*E$841</f>
        <v>0</v>
      </c>
      <c r="F842" s="126">
        <f t="shared" si="331"/>
        <v>0</v>
      </c>
      <c r="G842" s="126">
        <f t="shared" si="331"/>
        <v>0</v>
      </c>
      <c r="H842" s="126">
        <f t="shared" si="331"/>
        <v>10</v>
      </c>
      <c r="I842" s="126">
        <f t="shared" si="331"/>
        <v>20</v>
      </c>
      <c r="J842" s="126">
        <f t="shared" si="331"/>
        <v>30</v>
      </c>
      <c r="K842" s="126">
        <f t="shared" si="331"/>
        <v>40</v>
      </c>
      <c r="L842" s="126">
        <f t="shared" si="331"/>
        <v>50</v>
      </c>
      <c r="M842" s="126">
        <f t="shared" si="331"/>
        <v>46.535722081357534</v>
      </c>
      <c r="N842" s="126">
        <f t="shared" si="331"/>
        <v>42.902269768436554</v>
      </c>
      <c r="O842" s="126">
        <f t="shared" si="331"/>
        <v>39.046561388477429</v>
      </c>
      <c r="P842" s="126">
        <f t="shared" si="331"/>
        <v>34.553970703861474</v>
      </c>
      <c r="Q842" s="126">
        <f t="shared" si="331"/>
        <v>29.723470734489318</v>
      </c>
      <c r="R842" s="126">
        <f t="shared" si="331"/>
        <v>24.55483576726111</v>
      </c>
      <c r="S842" s="126">
        <f t="shared" si="331"/>
        <v>19.024396352326928</v>
      </c>
      <c r="T842" s="126">
        <f t="shared" si="331"/>
        <v>13.106826178347355</v>
      </c>
      <c r="U842" s="126">
        <f t="shared" si="331"/>
        <v>6.7750260921892114</v>
      </c>
      <c r="V842" s="126">
        <f t="shared" si="331"/>
        <v>0</v>
      </c>
      <c r="W842" s="126">
        <f t="shared" si="331"/>
        <v>0</v>
      </c>
      <c r="X842" s="126">
        <f t="shared" si="331"/>
        <v>0</v>
      </c>
      <c r="Y842" s="126">
        <f t="shared" si="331"/>
        <v>0</v>
      </c>
      <c r="Z842" s="126">
        <f t="shared" si="331"/>
        <v>0</v>
      </c>
      <c r="AA842" s="126">
        <f t="shared" si="331"/>
        <v>0</v>
      </c>
      <c r="AB842" s="126">
        <f t="shared" si="331"/>
        <v>0</v>
      </c>
      <c r="AC842" s="126">
        <f t="shared" si="331"/>
        <v>0</v>
      </c>
      <c r="AD842" s="126">
        <f t="shared" si="331"/>
        <v>0</v>
      </c>
      <c r="AE842" s="126">
        <f t="shared" si="331"/>
        <v>0</v>
      </c>
      <c r="AF842" s="126">
        <f t="shared" si="331"/>
        <v>0</v>
      </c>
      <c r="AG842" s="126">
        <f t="shared" si="331"/>
        <v>0</v>
      </c>
      <c r="AH842" s="126">
        <f t="shared" si="331"/>
        <v>0</v>
      </c>
    </row>
    <row r="843" spans="1:34" s="20" customFormat="1" ht="14" x14ac:dyDescent="0.2">
      <c r="A843" s="8"/>
      <c r="B843" s="8" t="s">
        <v>410</v>
      </c>
      <c r="C843" s="8"/>
      <c r="D843" s="8" t="str">
        <f>'Assumptions - General'!$E$27 &amp;" millions"</f>
        <v>R$ millions</v>
      </c>
      <c r="E843" s="126">
        <f t="shared" ref="E843:AH843" si="332">E826*E$841</f>
        <v>0</v>
      </c>
      <c r="F843" s="126">
        <f t="shared" si="332"/>
        <v>0</v>
      </c>
      <c r="G843" s="126">
        <f t="shared" si="332"/>
        <v>0</v>
      </c>
      <c r="H843" s="126">
        <f t="shared" si="332"/>
        <v>0</v>
      </c>
      <c r="I843" s="126">
        <f t="shared" si="332"/>
        <v>0</v>
      </c>
      <c r="J843" s="126">
        <f t="shared" si="332"/>
        <v>0</v>
      </c>
      <c r="K843" s="126">
        <f t="shared" si="332"/>
        <v>0</v>
      </c>
      <c r="L843" s="126">
        <f t="shared" si="332"/>
        <v>3.4642779186424626</v>
      </c>
      <c r="M843" s="126">
        <f t="shared" si="332"/>
        <v>3.6334523129209804</v>
      </c>
      <c r="N843" s="126">
        <f t="shared" si="332"/>
        <v>3.8557083799591276</v>
      </c>
      <c r="O843" s="126">
        <f t="shared" si="332"/>
        <v>4.4925906846159549</v>
      </c>
      <c r="P843" s="126">
        <f t="shared" si="332"/>
        <v>4.8304999693721555</v>
      </c>
      <c r="Q843" s="126">
        <f t="shared" si="332"/>
        <v>5.1686349672282077</v>
      </c>
      <c r="R843" s="126">
        <f t="shared" si="332"/>
        <v>5.5304394149341833</v>
      </c>
      <c r="S843" s="126">
        <f t="shared" si="332"/>
        <v>5.9175701739795743</v>
      </c>
      <c r="T843" s="126">
        <f t="shared" si="332"/>
        <v>6.3318000861581432</v>
      </c>
      <c r="U843" s="126">
        <f t="shared" si="332"/>
        <v>6.7750260921892114</v>
      </c>
      <c r="V843" s="126">
        <f t="shared" si="332"/>
        <v>0</v>
      </c>
      <c r="W843" s="126">
        <f t="shared" si="332"/>
        <v>0</v>
      </c>
      <c r="X843" s="126">
        <f t="shared" si="332"/>
        <v>0</v>
      </c>
      <c r="Y843" s="126">
        <f t="shared" si="332"/>
        <v>0</v>
      </c>
      <c r="Z843" s="126">
        <f t="shared" si="332"/>
        <v>0</v>
      </c>
      <c r="AA843" s="126">
        <f t="shared" si="332"/>
        <v>0</v>
      </c>
      <c r="AB843" s="126">
        <f t="shared" si="332"/>
        <v>0</v>
      </c>
      <c r="AC843" s="126">
        <f t="shared" si="332"/>
        <v>0</v>
      </c>
      <c r="AD843" s="126">
        <f t="shared" si="332"/>
        <v>0</v>
      </c>
      <c r="AE843" s="126">
        <f t="shared" si="332"/>
        <v>0</v>
      </c>
      <c r="AF843" s="126">
        <f t="shared" si="332"/>
        <v>0</v>
      </c>
      <c r="AG843" s="126">
        <f t="shared" si="332"/>
        <v>0</v>
      </c>
      <c r="AH843" s="126">
        <f t="shared" si="332"/>
        <v>0</v>
      </c>
    </row>
    <row r="844" spans="1:34" s="20" customFormat="1" ht="14" x14ac:dyDescent="0.2">
      <c r="A844" s="8"/>
      <c r="B844" s="8" t="s">
        <v>137</v>
      </c>
      <c r="C844" s="8"/>
      <c r="D844" s="8" t="str">
        <f>'Assumptions - General'!$E$27 &amp;" millions"</f>
        <v>R$ millions</v>
      </c>
      <c r="E844" s="126">
        <f t="shared" ref="E844:AH844" si="333">E832*E$841</f>
        <v>0</v>
      </c>
      <c r="F844" s="126">
        <f t="shared" si="333"/>
        <v>0</v>
      </c>
      <c r="G844" s="126">
        <f t="shared" si="333"/>
        <v>10</v>
      </c>
      <c r="H844" s="126">
        <f t="shared" si="333"/>
        <v>10</v>
      </c>
      <c r="I844" s="126">
        <f t="shared" si="333"/>
        <v>10</v>
      </c>
      <c r="J844" s="126">
        <f t="shared" si="333"/>
        <v>10</v>
      </c>
      <c r="K844" s="126">
        <f t="shared" si="333"/>
        <v>10</v>
      </c>
      <c r="L844" s="126">
        <f t="shared" si="333"/>
        <v>0</v>
      </c>
      <c r="M844" s="126">
        <f t="shared" si="333"/>
        <v>0</v>
      </c>
      <c r="N844" s="126">
        <f t="shared" si="333"/>
        <v>0</v>
      </c>
      <c r="O844" s="126">
        <f t="shared" si="333"/>
        <v>0</v>
      </c>
      <c r="P844" s="126">
        <f t="shared" si="333"/>
        <v>0</v>
      </c>
      <c r="Q844" s="126">
        <f t="shared" si="333"/>
        <v>0</v>
      </c>
      <c r="R844" s="126">
        <f t="shared" si="333"/>
        <v>0</v>
      </c>
      <c r="S844" s="126">
        <f t="shared" si="333"/>
        <v>0</v>
      </c>
      <c r="T844" s="126">
        <f t="shared" si="333"/>
        <v>0</v>
      </c>
      <c r="U844" s="126">
        <f t="shared" si="333"/>
        <v>0</v>
      </c>
      <c r="V844" s="126">
        <f t="shared" si="333"/>
        <v>0</v>
      </c>
      <c r="W844" s="126">
        <f t="shared" si="333"/>
        <v>0</v>
      </c>
      <c r="X844" s="126">
        <f t="shared" si="333"/>
        <v>0</v>
      </c>
      <c r="Y844" s="126">
        <f t="shared" si="333"/>
        <v>0</v>
      </c>
      <c r="Z844" s="126">
        <f t="shared" si="333"/>
        <v>0</v>
      </c>
      <c r="AA844" s="126">
        <f t="shared" si="333"/>
        <v>0</v>
      </c>
      <c r="AB844" s="126">
        <f t="shared" si="333"/>
        <v>0</v>
      </c>
      <c r="AC844" s="126">
        <f t="shared" si="333"/>
        <v>0</v>
      </c>
      <c r="AD844" s="126">
        <f t="shared" si="333"/>
        <v>0</v>
      </c>
      <c r="AE844" s="126">
        <f t="shared" si="333"/>
        <v>0</v>
      </c>
      <c r="AF844" s="126">
        <f t="shared" si="333"/>
        <v>0</v>
      </c>
      <c r="AG844" s="126">
        <f t="shared" si="333"/>
        <v>0</v>
      </c>
      <c r="AH844" s="126">
        <f t="shared" si="333"/>
        <v>0</v>
      </c>
    </row>
    <row r="845" spans="1:34" s="20" customFormat="1" ht="14" x14ac:dyDescent="0.2">
      <c r="A845" s="8"/>
      <c r="B845" s="8" t="s">
        <v>138</v>
      </c>
      <c r="C845" s="8"/>
      <c r="D845" s="8" t="str">
        <f>'Assumptions - General'!$E$27 &amp;" millions"</f>
        <v>R$ millions</v>
      </c>
      <c r="E845" s="126">
        <f t="shared" ref="E845:AH845" si="334">E833*E$841</f>
        <v>0</v>
      </c>
      <c r="F845" s="126">
        <f t="shared" si="334"/>
        <v>0</v>
      </c>
      <c r="G845" s="126">
        <f t="shared" si="334"/>
        <v>10</v>
      </c>
      <c r="H845" s="126">
        <f t="shared" si="334"/>
        <v>20</v>
      </c>
      <c r="I845" s="126">
        <f t="shared" si="334"/>
        <v>30</v>
      </c>
      <c r="J845" s="126">
        <f t="shared" si="334"/>
        <v>40</v>
      </c>
      <c r="K845" s="126">
        <f t="shared" si="334"/>
        <v>50</v>
      </c>
      <c r="L845" s="126">
        <f t="shared" si="334"/>
        <v>46.535722081357534</v>
      </c>
      <c r="M845" s="126">
        <f t="shared" si="334"/>
        <v>42.902269768436554</v>
      </c>
      <c r="N845" s="126">
        <f t="shared" si="334"/>
        <v>39.046561388477429</v>
      </c>
      <c r="O845" s="126">
        <f t="shared" si="334"/>
        <v>34.553970703861474</v>
      </c>
      <c r="P845" s="126">
        <f t="shared" si="334"/>
        <v>29.723470734489318</v>
      </c>
      <c r="Q845" s="126">
        <f t="shared" si="334"/>
        <v>24.55483576726111</v>
      </c>
      <c r="R845" s="126">
        <f t="shared" si="334"/>
        <v>19.024396352326928</v>
      </c>
      <c r="S845" s="126">
        <f t="shared" si="334"/>
        <v>13.106826178347355</v>
      </c>
      <c r="T845" s="126">
        <f t="shared" si="334"/>
        <v>6.7750260921892114</v>
      </c>
      <c r="U845" s="126">
        <f t="shared" si="334"/>
        <v>0</v>
      </c>
      <c r="V845" s="126">
        <f t="shared" si="334"/>
        <v>0</v>
      </c>
      <c r="W845" s="126">
        <f t="shared" si="334"/>
        <v>0</v>
      </c>
      <c r="X845" s="126">
        <f t="shared" si="334"/>
        <v>0</v>
      </c>
      <c r="Y845" s="126">
        <f t="shared" si="334"/>
        <v>0</v>
      </c>
      <c r="Z845" s="126">
        <f t="shared" si="334"/>
        <v>0</v>
      </c>
      <c r="AA845" s="126">
        <f t="shared" si="334"/>
        <v>0</v>
      </c>
      <c r="AB845" s="126">
        <f t="shared" si="334"/>
        <v>0</v>
      </c>
      <c r="AC845" s="126">
        <f t="shared" si="334"/>
        <v>0</v>
      </c>
      <c r="AD845" s="126">
        <f t="shared" si="334"/>
        <v>0</v>
      </c>
      <c r="AE845" s="126">
        <f t="shared" si="334"/>
        <v>0</v>
      </c>
      <c r="AF845" s="126">
        <f t="shared" si="334"/>
        <v>0</v>
      </c>
      <c r="AG845" s="126">
        <f t="shared" si="334"/>
        <v>0</v>
      </c>
      <c r="AH845" s="126">
        <f t="shared" si="334"/>
        <v>0</v>
      </c>
    </row>
    <row r="846" spans="1:34" s="20" customFormat="1" ht="14" x14ac:dyDescent="0.2">
      <c r="A846" s="8"/>
      <c r="B846" s="8" t="s">
        <v>139</v>
      </c>
      <c r="C846" s="8"/>
      <c r="D846" s="8" t="str">
        <f>'Assumptions - General'!$E$27 &amp;" millions"</f>
        <v>R$ millions</v>
      </c>
      <c r="E846" s="126">
        <f t="shared" ref="E846:AH846" si="335">E834*E$841</f>
        <v>0</v>
      </c>
      <c r="F846" s="126">
        <f t="shared" si="335"/>
        <v>0</v>
      </c>
      <c r="G846" s="126">
        <f t="shared" si="335"/>
        <v>0.2485</v>
      </c>
      <c r="H846" s="126">
        <f t="shared" si="335"/>
        <v>0.8909999999999999</v>
      </c>
      <c r="I846" s="126">
        <f t="shared" si="335"/>
        <v>1.6575</v>
      </c>
      <c r="J846" s="126">
        <f t="shared" si="335"/>
        <v>2.4780000000000002</v>
      </c>
      <c r="K846" s="126">
        <f t="shared" si="335"/>
        <v>3.3210000000000002</v>
      </c>
      <c r="L846" s="126">
        <f t="shared" si="335"/>
        <v>3.7850000000000001</v>
      </c>
      <c r="M846" s="126">
        <f t="shared" si="335"/>
        <v>3.6158256057214806</v>
      </c>
      <c r="N846" s="126">
        <f t="shared" si="335"/>
        <v>3.3935695386833316</v>
      </c>
      <c r="O846" s="126">
        <f t="shared" si="335"/>
        <v>2.7566872340265065</v>
      </c>
      <c r="P846" s="126">
        <f t="shared" si="335"/>
        <v>2.4187779492703032</v>
      </c>
      <c r="Q846" s="126">
        <f t="shared" si="335"/>
        <v>2.0806429514142524</v>
      </c>
      <c r="R846" s="126">
        <f t="shared" si="335"/>
        <v>1.7188385037082778</v>
      </c>
      <c r="S846" s="126">
        <f t="shared" si="335"/>
        <v>1.3317077446628851</v>
      </c>
      <c r="T846" s="126">
        <f t="shared" si="335"/>
        <v>0.91747783248431491</v>
      </c>
      <c r="U846" s="126">
        <f t="shared" si="335"/>
        <v>0.47425182645324482</v>
      </c>
      <c r="V846" s="126">
        <f t="shared" si="335"/>
        <v>0</v>
      </c>
      <c r="W846" s="126">
        <f t="shared" si="335"/>
        <v>0</v>
      </c>
      <c r="X846" s="126">
        <f t="shared" si="335"/>
        <v>0</v>
      </c>
      <c r="Y846" s="126">
        <f t="shared" si="335"/>
        <v>0</v>
      </c>
      <c r="Z846" s="126">
        <f t="shared" si="335"/>
        <v>0</v>
      </c>
      <c r="AA846" s="126">
        <f t="shared" si="335"/>
        <v>0</v>
      </c>
      <c r="AB846" s="126">
        <f t="shared" si="335"/>
        <v>0</v>
      </c>
      <c r="AC846" s="126">
        <f t="shared" si="335"/>
        <v>0</v>
      </c>
      <c r="AD846" s="126">
        <f t="shared" si="335"/>
        <v>0</v>
      </c>
      <c r="AE846" s="126">
        <f t="shared" si="335"/>
        <v>0</v>
      </c>
      <c r="AF846" s="126">
        <f t="shared" si="335"/>
        <v>0</v>
      </c>
      <c r="AG846" s="126">
        <f t="shared" si="335"/>
        <v>0</v>
      </c>
      <c r="AH846" s="126">
        <f t="shared" si="335"/>
        <v>0</v>
      </c>
    </row>
    <row r="847" spans="1:34" s="20" customFormat="1" ht="14" x14ac:dyDescent="0.2">
      <c r="A847" s="8"/>
      <c r="B847" s="8" t="s">
        <v>53</v>
      </c>
      <c r="C847" s="8"/>
      <c r="D847" s="8" t="str">
        <f>'Assumptions - General'!$E$27 &amp;" millions"</f>
        <v>R$ millions</v>
      </c>
      <c r="E847" s="126">
        <f t="shared" ref="E847:AH847" si="336">E835*E$841</f>
        <v>0</v>
      </c>
      <c r="F847" s="126">
        <f t="shared" si="336"/>
        <v>0</v>
      </c>
      <c r="G847" s="126">
        <f t="shared" si="336"/>
        <v>0.125</v>
      </c>
      <c r="H847" s="126">
        <f t="shared" si="336"/>
        <v>0</v>
      </c>
      <c r="I847" s="126">
        <f t="shared" si="336"/>
        <v>0</v>
      </c>
      <c r="J847" s="126">
        <f t="shared" si="336"/>
        <v>0</v>
      </c>
      <c r="K847" s="126">
        <f t="shared" si="336"/>
        <v>0</v>
      </c>
      <c r="L847" s="126">
        <f t="shared" si="336"/>
        <v>0</v>
      </c>
      <c r="M847" s="126">
        <f t="shared" si="336"/>
        <v>0</v>
      </c>
      <c r="N847" s="126">
        <f t="shared" si="336"/>
        <v>0</v>
      </c>
      <c r="O847" s="126">
        <f t="shared" si="336"/>
        <v>0</v>
      </c>
      <c r="P847" s="126">
        <f t="shared" si="336"/>
        <v>0</v>
      </c>
      <c r="Q847" s="126">
        <f t="shared" si="336"/>
        <v>0</v>
      </c>
      <c r="R847" s="126">
        <f t="shared" si="336"/>
        <v>0</v>
      </c>
      <c r="S847" s="126">
        <f t="shared" si="336"/>
        <v>0</v>
      </c>
      <c r="T847" s="126">
        <f t="shared" si="336"/>
        <v>0</v>
      </c>
      <c r="U847" s="126">
        <f t="shared" si="336"/>
        <v>0</v>
      </c>
      <c r="V847" s="126">
        <f t="shared" si="336"/>
        <v>0</v>
      </c>
      <c r="W847" s="126">
        <f t="shared" si="336"/>
        <v>0</v>
      </c>
      <c r="X847" s="126">
        <f t="shared" si="336"/>
        <v>0</v>
      </c>
      <c r="Y847" s="126">
        <f t="shared" si="336"/>
        <v>0</v>
      </c>
      <c r="Z847" s="126">
        <f t="shared" si="336"/>
        <v>0</v>
      </c>
      <c r="AA847" s="126">
        <f t="shared" si="336"/>
        <v>0</v>
      </c>
      <c r="AB847" s="126">
        <f t="shared" si="336"/>
        <v>0</v>
      </c>
      <c r="AC847" s="126">
        <f t="shared" si="336"/>
        <v>0</v>
      </c>
      <c r="AD847" s="126">
        <f t="shared" si="336"/>
        <v>0</v>
      </c>
      <c r="AE847" s="126">
        <f t="shared" si="336"/>
        <v>0</v>
      </c>
      <c r="AF847" s="126">
        <f t="shared" si="336"/>
        <v>0</v>
      </c>
      <c r="AG847" s="126">
        <f t="shared" si="336"/>
        <v>0</v>
      </c>
      <c r="AH847" s="126">
        <f t="shared" si="336"/>
        <v>0</v>
      </c>
    </row>
    <row r="848" spans="1:34" s="20" customFormat="1" ht="14" x14ac:dyDescent="0.2">
      <c r="A848" s="8"/>
      <c r="B848" s="8" t="s">
        <v>142</v>
      </c>
      <c r="C848" s="8"/>
      <c r="D848" s="8" t="str">
        <f>'Assumptions - General'!$E$27 &amp;" millions"</f>
        <v>R$ millions</v>
      </c>
      <c r="E848" s="126">
        <f t="shared" ref="E848:AH848" si="337">E836*E$841</f>
        <v>0</v>
      </c>
      <c r="F848" s="126">
        <f t="shared" si="337"/>
        <v>0</v>
      </c>
      <c r="G848" s="126">
        <f t="shared" si="337"/>
        <v>40</v>
      </c>
      <c r="H848" s="126">
        <f t="shared" si="337"/>
        <v>30</v>
      </c>
      <c r="I848" s="126">
        <f t="shared" si="337"/>
        <v>20</v>
      </c>
      <c r="J848" s="126">
        <f t="shared" si="337"/>
        <v>10</v>
      </c>
      <c r="K848" s="126">
        <f t="shared" si="337"/>
        <v>0</v>
      </c>
      <c r="L848" s="126">
        <f t="shared" si="337"/>
        <v>0</v>
      </c>
      <c r="M848" s="126">
        <f t="shared" si="337"/>
        <v>0</v>
      </c>
      <c r="N848" s="126">
        <f t="shared" si="337"/>
        <v>0</v>
      </c>
      <c r="O848" s="126">
        <f t="shared" si="337"/>
        <v>0</v>
      </c>
      <c r="P848" s="126">
        <f t="shared" si="337"/>
        <v>0</v>
      </c>
      <c r="Q848" s="126">
        <f t="shared" si="337"/>
        <v>0</v>
      </c>
      <c r="R848" s="126">
        <f t="shared" si="337"/>
        <v>0</v>
      </c>
      <c r="S848" s="126">
        <f t="shared" si="337"/>
        <v>0</v>
      </c>
      <c r="T848" s="126">
        <f t="shared" si="337"/>
        <v>0</v>
      </c>
      <c r="U848" s="126">
        <f t="shared" si="337"/>
        <v>0</v>
      </c>
      <c r="V848" s="126">
        <f t="shared" si="337"/>
        <v>0</v>
      </c>
      <c r="W848" s="126">
        <f t="shared" si="337"/>
        <v>0</v>
      </c>
      <c r="X848" s="126">
        <f t="shared" si="337"/>
        <v>0</v>
      </c>
      <c r="Y848" s="126">
        <f t="shared" si="337"/>
        <v>0</v>
      </c>
      <c r="Z848" s="126">
        <f t="shared" si="337"/>
        <v>0</v>
      </c>
      <c r="AA848" s="126">
        <f t="shared" si="337"/>
        <v>0</v>
      </c>
      <c r="AB848" s="126">
        <f t="shared" si="337"/>
        <v>0</v>
      </c>
      <c r="AC848" s="126">
        <f t="shared" si="337"/>
        <v>0</v>
      </c>
      <c r="AD848" s="126">
        <f t="shared" si="337"/>
        <v>0</v>
      </c>
      <c r="AE848" s="126">
        <f t="shared" si="337"/>
        <v>0</v>
      </c>
      <c r="AF848" s="126">
        <f t="shared" si="337"/>
        <v>0</v>
      </c>
      <c r="AG848" s="126">
        <f t="shared" si="337"/>
        <v>0</v>
      </c>
      <c r="AH848" s="126">
        <f t="shared" si="337"/>
        <v>0</v>
      </c>
    </row>
    <row r="849" spans="1:34" s="20" customFormat="1" ht="14" x14ac:dyDescent="0.2">
      <c r="A849" s="8"/>
      <c r="B849" s="8" t="s">
        <v>55</v>
      </c>
      <c r="C849" s="8"/>
      <c r="D849" s="8" t="str">
        <f>'Assumptions - General'!$E$27 &amp;" millions"</f>
        <v>R$ millions</v>
      </c>
      <c r="E849" s="126">
        <f t="shared" ref="E849:AH849" si="338">E837*E$841</f>
        <v>0</v>
      </c>
      <c r="F849" s="126">
        <f t="shared" si="338"/>
        <v>0</v>
      </c>
      <c r="G849" s="126">
        <f t="shared" si="338"/>
        <v>0</v>
      </c>
      <c r="H849" s="126">
        <f t="shared" si="338"/>
        <v>0</v>
      </c>
      <c r="I849" s="126">
        <f t="shared" si="338"/>
        <v>0</v>
      </c>
      <c r="J849" s="126">
        <f t="shared" si="338"/>
        <v>0</v>
      </c>
      <c r="K849" s="126">
        <f t="shared" si="338"/>
        <v>0</v>
      </c>
      <c r="L849" s="126">
        <f t="shared" si="338"/>
        <v>0</v>
      </c>
      <c r="M849" s="126">
        <f t="shared" si="338"/>
        <v>0</v>
      </c>
      <c r="N849" s="126">
        <f t="shared" si="338"/>
        <v>0</v>
      </c>
      <c r="O849" s="126">
        <f t="shared" si="338"/>
        <v>0</v>
      </c>
      <c r="P849" s="126">
        <f t="shared" si="338"/>
        <v>0</v>
      </c>
      <c r="Q849" s="126">
        <f t="shared" si="338"/>
        <v>0</v>
      </c>
      <c r="R849" s="126">
        <f t="shared" si="338"/>
        <v>0</v>
      </c>
      <c r="S849" s="126">
        <f t="shared" si="338"/>
        <v>0</v>
      </c>
      <c r="T849" s="126">
        <f t="shared" si="338"/>
        <v>0</v>
      </c>
      <c r="U849" s="126">
        <f t="shared" si="338"/>
        <v>0</v>
      </c>
      <c r="V849" s="126">
        <f t="shared" si="338"/>
        <v>0</v>
      </c>
      <c r="W849" s="126">
        <f t="shared" si="338"/>
        <v>0</v>
      </c>
      <c r="X849" s="126">
        <f t="shared" si="338"/>
        <v>0</v>
      </c>
      <c r="Y849" s="126">
        <f t="shared" si="338"/>
        <v>0</v>
      </c>
      <c r="Z849" s="126">
        <f t="shared" si="338"/>
        <v>0</v>
      </c>
      <c r="AA849" s="126">
        <f t="shared" si="338"/>
        <v>0</v>
      </c>
      <c r="AB849" s="126">
        <f t="shared" si="338"/>
        <v>0</v>
      </c>
      <c r="AC849" s="126">
        <f t="shared" si="338"/>
        <v>0</v>
      </c>
      <c r="AD849" s="126">
        <f t="shared" si="338"/>
        <v>0</v>
      </c>
      <c r="AE849" s="126">
        <f t="shared" si="338"/>
        <v>0</v>
      </c>
      <c r="AF849" s="126">
        <f t="shared" si="338"/>
        <v>0</v>
      </c>
      <c r="AG849" s="126">
        <f t="shared" si="338"/>
        <v>0</v>
      </c>
      <c r="AH849" s="126">
        <f t="shared" si="338"/>
        <v>0</v>
      </c>
    </row>
    <row r="850" spans="1:34" s="20" customFormat="1" ht="14" x14ac:dyDescent="0.2">
      <c r="A850" s="8"/>
      <c r="B850" s="8" t="s">
        <v>140</v>
      </c>
      <c r="C850" s="8"/>
      <c r="D850" s="8" t="str">
        <f>'Assumptions - General'!$E$27 &amp;" millions"</f>
        <v>R$ millions</v>
      </c>
      <c r="E850" s="126">
        <f t="shared" ref="E850:AH850" si="339">E838*E$841</f>
        <v>0</v>
      </c>
      <c r="F850" s="126">
        <f t="shared" si="339"/>
        <v>0</v>
      </c>
      <c r="G850" s="126">
        <f t="shared" si="339"/>
        <v>0.3735</v>
      </c>
      <c r="H850" s="126">
        <f t="shared" si="339"/>
        <v>0.8909999999999999</v>
      </c>
      <c r="I850" s="126">
        <f t="shared" si="339"/>
        <v>1.6575</v>
      </c>
      <c r="J850" s="126">
        <f t="shared" si="339"/>
        <v>2.4780000000000002</v>
      </c>
      <c r="K850" s="126">
        <f t="shared" si="339"/>
        <v>3.3210000000000002</v>
      </c>
      <c r="L850" s="126">
        <f t="shared" si="339"/>
        <v>7.2492779186424627</v>
      </c>
      <c r="M850" s="126">
        <f t="shared" si="339"/>
        <v>7.249277918642461</v>
      </c>
      <c r="N850" s="126">
        <f t="shared" si="339"/>
        <v>7.2492779186424592</v>
      </c>
      <c r="O850" s="126">
        <f t="shared" si="339"/>
        <v>7.249277918642461</v>
      </c>
      <c r="P850" s="126">
        <f t="shared" si="339"/>
        <v>7.2492779186424592</v>
      </c>
      <c r="Q850" s="126">
        <f t="shared" si="339"/>
        <v>7.2492779186424601</v>
      </c>
      <c r="R850" s="126">
        <f t="shared" si="339"/>
        <v>7.249277918642461</v>
      </c>
      <c r="S850" s="126">
        <f t="shared" si="339"/>
        <v>7.2492779186424592</v>
      </c>
      <c r="T850" s="126">
        <f t="shared" si="339"/>
        <v>7.2492779186424583</v>
      </c>
      <c r="U850" s="126">
        <f t="shared" si="339"/>
        <v>7.2492779186424565</v>
      </c>
      <c r="V850" s="126">
        <f t="shared" si="339"/>
        <v>0</v>
      </c>
      <c r="W850" s="126">
        <f t="shared" si="339"/>
        <v>0</v>
      </c>
      <c r="X850" s="126">
        <f t="shared" si="339"/>
        <v>0</v>
      </c>
      <c r="Y850" s="126">
        <f t="shared" si="339"/>
        <v>0</v>
      </c>
      <c r="Z850" s="126">
        <f t="shared" si="339"/>
        <v>0</v>
      </c>
      <c r="AA850" s="126">
        <f t="shared" si="339"/>
        <v>0</v>
      </c>
      <c r="AB850" s="126">
        <f t="shared" si="339"/>
        <v>0</v>
      </c>
      <c r="AC850" s="126">
        <f t="shared" si="339"/>
        <v>0</v>
      </c>
      <c r="AD850" s="126">
        <f t="shared" si="339"/>
        <v>0</v>
      </c>
      <c r="AE850" s="126">
        <f t="shared" si="339"/>
        <v>0</v>
      </c>
      <c r="AF850" s="126">
        <f t="shared" si="339"/>
        <v>0</v>
      </c>
      <c r="AG850" s="126">
        <f t="shared" si="339"/>
        <v>0</v>
      </c>
      <c r="AH850" s="126">
        <f t="shared" si="339"/>
        <v>0</v>
      </c>
    </row>
    <row r="851" spans="1:34" s="20" customFormat="1" ht="14" x14ac:dyDescent="0.2">
      <c r="A851" s="8"/>
      <c r="B851" s="8"/>
      <c r="C851" s="8"/>
      <c r="D851" s="8"/>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row>
    <row r="852" spans="1:34" s="20" customFormat="1" ht="14" x14ac:dyDescent="0.2">
      <c r="A852" s="8"/>
      <c r="B852" s="21" t="str">
        <f>"New loan from " &amp; 'Assumptions - Passenger'!E469</f>
        <v>New loan from Multilateral bank</v>
      </c>
      <c r="C852" s="8"/>
      <c r="D852" s="8"/>
      <c r="E852" s="8"/>
      <c r="F852" s="8"/>
      <c r="G852" s="8"/>
      <c r="H852" s="8"/>
      <c r="I852" s="8"/>
      <c r="J852" s="8"/>
      <c r="K852" s="8"/>
      <c r="L852" s="8"/>
      <c r="M852" s="8"/>
      <c r="N852" s="8"/>
      <c r="O852" s="8"/>
      <c r="P852" s="8"/>
      <c r="Q852" s="8"/>
      <c r="R852" s="8"/>
      <c r="S852" s="8"/>
      <c r="T852" s="8"/>
      <c r="U852" s="8"/>
      <c r="V852" s="8"/>
      <c r="W852" s="8"/>
      <c r="X852" s="8"/>
      <c r="Y852" s="8"/>
      <c r="Z852" s="8"/>
      <c r="AA852" s="8"/>
      <c r="AB852" s="8"/>
      <c r="AC852" s="8"/>
      <c r="AD852" s="8"/>
      <c r="AE852" s="8"/>
      <c r="AF852" s="8"/>
      <c r="AG852" s="8"/>
      <c r="AH852" s="8"/>
    </row>
    <row r="853" spans="1:34" s="20" customFormat="1" ht="14" x14ac:dyDescent="0.2">
      <c r="A853" s="8"/>
      <c r="B853" s="8" t="s">
        <v>293</v>
      </c>
      <c r="C853" s="8"/>
      <c r="D853" s="8" t="s">
        <v>99</v>
      </c>
      <c r="E853" s="8"/>
      <c r="F853" s="8">
        <f>IF('Assumptions - Passenger'!$E$473&lt;&gt;0,IF(F$4&lt;'Assumptions - Passenger'!$E$470+'Assumptions - Passenger'!$E$480,0,E853+1),0)</f>
        <v>0</v>
      </c>
      <c r="G853" s="8">
        <f>IF('Assumptions - Passenger'!$E$473&lt;&gt;0,IF(G$4&lt;'Assumptions - Passenger'!$E$470+'Assumptions - Passenger'!$E$480,0,F853+1),0)</f>
        <v>0</v>
      </c>
      <c r="H853" s="8">
        <f>IF('Assumptions - Passenger'!$E$473&lt;&gt;0,IF(H$4&lt;'Assumptions - Passenger'!$E$470+'Assumptions - Passenger'!$E$480,0,G853+1),0)</f>
        <v>0</v>
      </c>
      <c r="I853" s="8">
        <f>IF('Assumptions - Passenger'!$E$473&lt;&gt;0,IF(I$4&lt;'Assumptions - Passenger'!$E$470+'Assumptions - Passenger'!$E$480,0,H853+1),0)</f>
        <v>0</v>
      </c>
      <c r="J853" s="8">
        <f>IF('Assumptions - Passenger'!$E$473&lt;&gt;0,IF(J$4&lt;'Assumptions - Passenger'!$E$470+'Assumptions - Passenger'!$E$480,0,I853+1),0)</f>
        <v>0</v>
      </c>
      <c r="K853" s="8">
        <f>IF('Assumptions - Passenger'!$E$473&lt;&gt;0,IF(K$4&lt;'Assumptions - Passenger'!$E$470+'Assumptions - Passenger'!$E$480,0,J853+1),0)</f>
        <v>0</v>
      </c>
      <c r="L853" s="8">
        <f>IF('Assumptions - Passenger'!$E$473&lt;&gt;0,IF(L$4&lt;'Assumptions - Passenger'!$E$470+'Assumptions - Passenger'!$E$480,0,K853+1),0)</f>
        <v>1</v>
      </c>
      <c r="M853" s="8">
        <f>IF('Assumptions - Passenger'!$E$473&lt;&gt;0,IF(M$4&lt;'Assumptions - Passenger'!$E$470+'Assumptions - Passenger'!$E$480,0,L853+1),0)</f>
        <v>2</v>
      </c>
      <c r="N853" s="8">
        <f>IF('Assumptions - Passenger'!$E$473&lt;&gt;0,IF(N$4&lt;'Assumptions - Passenger'!$E$470+'Assumptions - Passenger'!$E$480,0,M853+1),0)</f>
        <v>3</v>
      </c>
      <c r="O853" s="8">
        <f>IF('Assumptions - Passenger'!$E$473&lt;&gt;0,IF(O$4&lt;'Assumptions - Passenger'!$E$470+'Assumptions - Passenger'!$E$480,0,N853+1),0)</f>
        <v>4</v>
      </c>
      <c r="P853" s="8">
        <f>IF('Assumptions - Passenger'!$E$473&lt;&gt;0,IF(P$4&lt;'Assumptions - Passenger'!$E$470+'Assumptions - Passenger'!$E$480,0,O853+1),0)</f>
        <v>5</v>
      </c>
      <c r="Q853" s="8">
        <f>IF('Assumptions - Passenger'!$E$473&lt;&gt;0,IF(Q$4&lt;'Assumptions - Passenger'!$E$470+'Assumptions - Passenger'!$E$480,0,P853+1),0)</f>
        <v>6</v>
      </c>
      <c r="R853" s="8">
        <f>IF('Assumptions - Passenger'!$E$473&lt;&gt;0,IF(R$4&lt;'Assumptions - Passenger'!$E$470+'Assumptions - Passenger'!$E$480,0,Q853+1),0)</f>
        <v>7</v>
      </c>
      <c r="S853" s="8">
        <f>IF('Assumptions - Passenger'!$E$473&lt;&gt;0,IF(S$4&lt;'Assumptions - Passenger'!$E$470+'Assumptions - Passenger'!$E$480,0,R853+1),0)</f>
        <v>8</v>
      </c>
      <c r="T853" s="8">
        <f>IF('Assumptions - Passenger'!$E$473&lt;&gt;0,IF(T$4&lt;'Assumptions - Passenger'!$E$470+'Assumptions - Passenger'!$E$480,0,S853+1),0)</f>
        <v>9</v>
      </c>
      <c r="U853" s="8">
        <f>IF('Assumptions - Passenger'!$E$473&lt;&gt;0,IF(U$4&lt;'Assumptions - Passenger'!$E$470+'Assumptions - Passenger'!$E$480,0,T853+1),0)</f>
        <v>10</v>
      </c>
      <c r="V853" s="8">
        <f>IF('Assumptions - Passenger'!$E$473&lt;&gt;0,IF(V$4&lt;'Assumptions - Passenger'!$E$470+'Assumptions - Passenger'!$E$480,0,U853+1),0)</f>
        <v>11</v>
      </c>
      <c r="W853" s="8">
        <f>IF('Assumptions - Passenger'!$E$473&lt;&gt;0,IF(W$4&lt;'Assumptions - Passenger'!$E$470+'Assumptions - Passenger'!$E$480,0,V853+1),0)</f>
        <v>12</v>
      </c>
      <c r="X853" s="8">
        <f>IF('Assumptions - Passenger'!$E$473&lt;&gt;0,IF(X$4&lt;'Assumptions - Passenger'!$E$470+'Assumptions - Passenger'!$E$480,0,W853+1),0)</f>
        <v>13</v>
      </c>
      <c r="Y853" s="8">
        <f>IF('Assumptions - Passenger'!$E$473&lt;&gt;0,IF(Y$4&lt;'Assumptions - Passenger'!$E$470+'Assumptions - Passenger'!$E$480,0,X853+1),0)</f>
        <v>14</v>
      </c>
      <c r="Z853" s="8">
        <f>IF('Assumptions - Passenger'!$E$473&lt;&gt;0,IF(Z$4&lt;'Assumptions - Passenger'!$E$470+'Assumptions - Passenger'!$E$480,0,Y853+1),0)</f>
        <v>15</v>
      </c>
      <c r="AA853" s="8">
        <f>IF('Assumptions - Passenger'!$E$473&lt;&gt;0,IF(AA$4&lt;'Assumptions - Passenger'!$E$470+'Assumptions - Passenger'!$E$480,0,Z853+1),0)</f>
        <v>16</v>
      </c>
      <c r="AB853" s="8">
        <f>IF('Assumptions - Passenger'!$E$473&lt;&gt;0,IF(AB$4&lt;'Assumptions - Passenger'!$E$470+'Assumptions - Passenger'!$E$480,0,AA853+1),0)</f>
        <v>17</v>
      </c>
      <c r="AC853" s="8">
        <f>IF('Assumptions - Passenger'!$E$473&lt;&gt;0,IF(AC$4&lt;'Assumptions - Passenger'!$E$470+'Assumptions - Passenger'!$E$480,0,AB853+1),0)</f>
        <v>18</v>
      </c>
      <c r="AD853" s="8">
        <f>IF('Assumptions - Passenger'!$E$473&lt;&gt;0,IF(AD$4&lt;'Assumptions - Passenger'!$E$470+'Assumptions - Passenger'!$E$480,0,AC853+1),0)</f>
        <v>19</v>
      </c>
      <c r="AE853" s="8">
        <f>IF('Assumptions - Passenger'!$E$473&lt;&gt;0,IF(AE$4&lt;'Assumptions - Passenger'!$E$470+'Assumptions - Passenger'!$E$480,0,AD853+1),0)</f>
        <v>20</v>
      </c>
      <c r="AF853" s="8">
        <f>IF('Assumptions - Passenger'!$E$473&lt;&gt;0,IF(AF$4&lt;'Assumptions - Passenger'!$E$470+'Assumptions - Passenger'!$E$480,0,AE853+1),0)</f>
        <v>21</v>
      </c>
      <c r="AG853" s="8">
        <f>IF('Assumptions - Passenger'!$E$473&lt;&gt;0,IF(AG$4&lt;'Assumptions - Passenger'!$E$470+'Assumptions - Passenger'!$E$480,0,AF853+1),0)</f>
        <v>22</v>
      </c>
      <c r="AH853" s="8">
        <f>IF('Assumptions - Passenger'!$E$473&lt;&gt;0,IF(AH$4&lt;'Assumptions - Passenger'!$E$470+'Assumptions - Passenger'!$E$480,0,AG853+1),0)</f>
        <v>23</v>
      </c>
    </row>
    <row r="854" spans="1:34" s="20" customFormat="1" ht="14" x14ac:dyDescent="0.2">
      <c r="A854" s="8"/>
      <c r="B854" s="8" t="s">
        <v>135</v>
      </c>
      <c r="C854" s="8"/>
      <c r="D854" s="8" t="s">
        <v>15</v>
      </c>
      <c r="E854" s="47">
        <f>IF(E$17=1,IF('Assumptions - Passenger'!$E475=1,'Assumptions - Passenger'!$E477,'Assumptions - General'!E$38+'Assumptions - Passenger'!$E478),0)</f>
        <v>0.05</v>
      </c>
      <c r="F854" s="47">
        <f>IF(F$17=1,IF('Assumptions - Passenger'!$E475=1,'Assumptions - Passenger'!$E477,'Assumptions - General'!F$38+'Assumptions - Passenger'!$E478),0)</f>
        <v>0.05</v>
      </c>
      <c r="G854" s="47">
        <f>IF(G$17=1,IF('Assumptions - Passenger'!$E475=1,'Assumptions - Passenger'!$E477,'Assumptions - General'!G$38+'Assumptions - Passenger'!$E478),0)</f>
        <v>0.05</v>
      </c>
      <c r="H854" s="47">
        <f>IF(H$17=1,IF('Assumptions - Passenger'!$E475=1,'Assumptions - Passenger'!$E477,'Assumptions - General'!H$38+'Assumptions - Passenger'!$E478),0)</f>
        <v>0.05</v>
      </c>
      <c r="I854" s="47">
        <f>IF(I$17=1,IF('Assumptions - Passenger'!$E475=1,'Assumptions - Passenger'!$E477,'Assumptions - General'!I$38+'Assumptions - Passenger'!$E478),0)</f>
        <v>0.05</v>
      </c>
      <c r="J854" s="47">
        <f>IF(J$17=1,IF('Assumptions - Passenger'!$E475=1,'Assumptions - Passenger'!$E477,'Assumptions - General'!J$38+'Assumptions - Passenger'!$E478),0)</f>
        <v>0.05</v>
      </c>
      <c r="K854" s="47">
        <f>IF(K$17=1,IF('Assumptions - Passenger'!$E475=1,'Assumptions - Passenger'!$E477,'Assumptions - General'!K$38+'Assumptions - Passenger'!$E478),0)</f>
        <v>0.05</v>
      </c>
      <c r="L854" s="47">
        <f>IF(L$17=1,IF('Assumptions - Passenger'!$E475=1,'Assumptions - Passenger'!$E477,'Assumptions - General'!L$38+'Assumptions - Passenger'!$E478),0)</f>
        <v>0.05</v>
      </c>
      <c r="M854" s="47">
        <f>IF(M$17=1,IF('Assumptions - Passenger'!$E475=1,'Assumptions - Passenger'!$E477,'Assumptions - General'!M$38+'Assumptions - Passenger'!$E478),0)</f>
        <v>0.05</v>
      </c>
      <c r="N854" s="47">
        <f>IF(N$17=1,IF('Assumptions - Passenger'!$E475=1,'Assumptions - Passenger'!$E477,'Assumptions - General'!N$38+'Assumptions - Passenger'!$E478),0)</f>
        <v>0.05</v>
      </c>
      <c r="O854" s="47">
        <f>IF(O$17=1,IF('Assumptions - Passenger'!$E475=1,'Assumptions - Passenger'!$E477,'Assumptions - General'!O$38+'Assumptions - Passenger'!$E478),0)</f>
        <v>0.05</v>
      </c>
      <c r="P854" s="47">
        <f>IF(P$17=1,IF('Assumptions - Passenger'!$E475=1,'Assumptions - Passenger'!$E477,'Assumptions - General'!P$38+'Assumptions - Passenger'!$E478),0)</f>
        <v>0.05</v>
      </c>
      <c r="Q854" s="47">
        <f>IF(Q$17=1,IF('Assumptions - Passenger'!$E475=1,'Assumptions - Passenger'!$E477,'Assumptions - General'!Q$38+'Assumptions - Passenger'!$E478),0)</f>
        <v>0.05</v>
      </c>
      <c r="R854" s="47">
        <f>IF(R$17=1,IF('Assumptions - Passenger'!$E475=1,'Assumptions - Passenger'!$E477,'Assumptions - General'!R$38+'Assumptions - Passenger'!$E478),0)</f>
        <v>0.05</v>
      </c>
      <c r="S854" s="47">
        <f>IF(S$17=1,IF('Assumptions - Passenger'!$E475=1,'Assumptions - Passenger'!$E477,'Assumptions - General'!S$38+'Assumptions - Passenger'!$E478),0)</f>
        <v>0.05</v>
      </c>
      <c r="T854" s="47">
        <f>IF(T$17=1,IF('Assumptions - Passenger'!$E475=1,'Assumptions - Passenger'!$E477,'Assumptions - General'!T$38+'Assumptions - Passenger'!$E478),0)</f>
        <v>0.05</v>
      </c>
      <c r="U854" s="47">
        <f>IF(U$17=1,IF('Assumptions - Passenger'!$E475=1,'Assumptions - Passenger'!$E477,'Assumptions - General'!U$38+'Assumptions - Passenger'!$E478),0)</f>
        <v>0.05</v>
      </c>
      <c r="V854" s="47">
        <f>IF(V$17=1,IF('Assumptions - Passenger'!$E475=1,'Assumptions - Passenger'!$E477,'Assumptions - General'!V$38+'Assumptions - Passenger'!$E478),0)</f>
        <v>0.05</v>
      </c>
      <c r="W854" s="47">
        <f>IF(W$17=1,IF('Assumptions - Passenger'!$E475=1,'Assumptions - Passenger'!$E477,'Assumptions - General'!W$38+'Assumptions - Passenger'!$E478),0)</f>
        <v>0.05</v>
      </c>
      <c r="X854" s="47">
        <f>IF(X$17=1,IF('Assumptions - Passenger'!$E475=1,'Assumptions - Passenger'!$E477,'Assumptions - General'!X$38+'Assumptions - Passenger'!$E478),0)</f>
        <v>0.05</v>
      </c>
      <c r="Y854" s="47">
        <f>IF(Y$17=1,IF('Assumptions - Passenger'!$E475=1,'Assumptions - Passenger'!$E477,'Assumptions - General'!Y$38+'Assumptions - Passenger'!$E478),0)</f>
        <v>0.05</v>
      </c>
      <c r="Z854" s="47">
        <f>IF(Z$17=1,IF('Assumptions - Passenger'!$E475=1,'Assumptions - Passenger'!$E477,'Assumptions - General'!Z$38+'Assumptions - Passenger'!$E478),0)</f>
        <v>0.05</v>
      </c>
      <c r="AA854" s="47">
        <f>IF(AA$17=1,IF('Assumptions - Passenger'!$E475=1,'Assumptions - Passenger'!$E477,'Assumptions - General'!AA$38+'Assumptions - Passenger'!$E478),0)</f>
        <v>0.05</v>
      </c>
      <c r="AB854" s="47">
        <f>IF(AB$17=1,IF('Assumptions - Passenger'!$E475=1,'Assumptions - Passenger'!$E477,'Assumptions - General'!AB$38+'Assumptions - Passenger'!$E478),0)</f>
        <v>0.05</v>
      </c>
      <c r="AC854" s="47">
        <f>IF(AC$17=1,IF('Assumptions - Passenger'!$E475=1,'Assumptions - Passenger'!$E477,'Assumptions - General'!AC$38+'Assumptions - Passenger'!$E478),0)</f>
        <v>0.05</v>
      </c>
      <c r="AD854" s="47">
        <f>IF(AD$17=1,IF('Assumptions - Passenger'!$E475=1,'Assumptions - Passenger'!$E477,'Assumptions - General'!AD$38+'Assumptions - Passenger'!$E478),0)</f>
        <v>0.05</v>
      </c>
      <c r="AE854" s="47">
        <f>IF(AE$17=1,IF('Assumptions - Passenger'!$E475=1,'Assumptions - Passenger'!$E477,'Assumptions - General'!AE$38+'Assumptions - Passenger'!$E478),0)</f>
        <v>0.05</v>
      </c>
      <c r="AF854" s="47">
        <f>IF(AF$17=1,IF('Assumptions - Passenger'!$E475=1,'Assumptions - Passenger'!$E477,'Assumptions - General'!AF$38+'Assumptions - Passenger'!$E478),0)</f>
        <v>0.05</v>
      </c>
      <c r="AG854" s="47">
        <f>IF(AG$17=1,IF('Assumptions - Passenger'!$E475=1,'Assumptions - Passenger'!$E477,'Assumptions - General'!AG$38+'Assumptions - Passenger'!$E478),0)</f>
        <v>0.05</v>
      </c>
      <c r="AH854" s="47">
        <f>IF(AH$17=1,IF('Assumptions - Passenger'!$E475=1,'Assumptions - Passenger'!$E477,'Assumptions - General'!AH$38+'Assumptions - Passenger'!$E478),0)</f>
        <v>0.05</v>
      </c>
    </row>
    <row r="855" spans="1:34" s="20" customFormat="1" ht="14" x14ac:dyDescent="0.2">
      <c r="A855" s="8"/>
      <c r="B855" s="8" t="s">
        <v>136</v>
      </c>
      <c r="C855" s="8"/>
      <c r="D855" s="8" t="str">
        <f>'Assumptions - Passenger'!D473</f>
        <v>R$ millions</v>
      </c>
      <c r="E855" s="468">
        <v>0</v>
      </c>
      <c r="F855" s="126">
        <f t="shared" ref="F855:AH855" si="340">E863</f>
        <v>0</v>
      </c>
      <c r="G855" s="126">
        <f t="shared" si="340"/>
        <v>0</v>
      </c>
      <c r="H855" s="126">
        <f t="shared" si="340"/>
        <v>10</v>
      </c>
      <c r="I855" s="126">
        <f t="shared" si="340"/>
        <v>20</v>
      </c>
      <c r="J855" s="126">
        <f t="shared" si="340"/>
        <v>30</v>
      </c>
      <c r="K855" s="126">
        <f t="shared" si="340"/>
        <v>40</v>
      </c>
      <c r="L855" s="126">
        <f t="shared" si="340"/>
        <v>50</v>
      </c>
      <c r="M855" s="126">
        <f t="shared" si="340"/>
        <v>50</v>
      </c>
      <c r="N855" s="126">
        <f t="shared" si="340"/>
        <v>50</v>
      </c>
      <c r="O855" s="126">
        <f t="shared" si="340"/>
        <v>50</v>
      </c>
      <c r="P855" s="126">
        <f t="shared" si="340"/>
        <v>50</v>
      </c>
      <c r="Q855" s="126">
        <f t="shared" si="340"/>
        <v>50</v>
      </c>
      <c r="R855" s="126">
        <f t="shared" si="340"/>
        <v>50</v>
      </c>
      <c r="S855" s="126">
        <f t="shared" si="340"/>
        <v>50</v>
      </c>
      <c r="T855" s="126">
        <f t="shared" si="340"/>
        <v>50</v>
      </c>
      <c r="U855" s="126">
        <f t="shared" si="340"/>
        <v>50</v>
      </c>
      <c r="V855" s="126">
        <f t="shared" si="340"/>
        <v>50</v>
      </c>
      <c r="W855" s="126">
        <f t="shared" si="340"/>
        <v>50</v>
      </c>
      <c r="X855" s="126">
        <f t="shared" si="340"/>
        <v>50</v>
      </c>
      <c r="Y855" s="126">
        <f t="shared" si="340"/>
        <v>50</v>
      </c>
      <c r="Z855" s="126">
        <f t="shared" si="340"/>
        <v>50</v>
      </c>
      <c r="AA855" s="126">
        <f t="shared" si="340"/>
        <v>50</v>
      </c>
      <c r="AB855" s="126">
        <f t="shared" si="340"/>
        <v>50</v>
      </c>
      <c r="AC855" s="126">
        <f t="shared" si="340"/>
        <v>50</v>
      </c>
      <c r="AD855" s="126">
        <f t="shared" si="340"/>
        <v>50</v>
      </c>
      <c r="AE855" s="126">
        <f t="shared" si="340"/>
        <v>50</v>
      </c>
      <c r="AF855" s="126">
        <f t="shared" si="340"/>
        <v>0</v>
      </c>
      <c r="AG855" s="126">
        <f t="shared" si="340"/>
        <v>0</v>
      </c>
      <c r="AH855" s="126">
        <f t="shared" si="340"/>
        <v>0</v>
      </c>
    </row>
    <row r="856" spans="1:34" s="20" customFormat="1" ht="14" x14ac:dyDescent="0.2">
      <c r="A856" s="8"/>
      <c r="B856" s="8" t="s">
        <v>410</v>
      </c>
      <c r="C856" s="8"/>
      <c r="D856" s="8" t="str">
        <f>D855</f>
        <v>R$ millions</v>
      </c>
      <c r="E856" s="126">
        <f>IF(E$17=1,IF('Assumptions - Passenger'!$E$473&lt;&gt;0,IF('Assumptions - Passenger'!$E$481=1,Calculations!E857,IF('Assumptions - Passenger'!$E$481=2,Calculations!E858,IF('Assumptions - Passenger'!$E$481=3,IF(E853=('Assumptions - Passenger'!$E$479-'Assumptions - Passenger'!$E$480),Calculations!D863,Calculations!E859),0))),0),0)</f>
        <v>0</v>
      </c>
      <c r="F856" s="126">
        <f>IF(F$17=1,IF('Assumptions - Passenger'!$E$473&lt;&gt;0,IF('Assumptions - Passenger'!$E$481=1,Calculations!F857,IF('Assumptions - Passenger'!$E$481=2,Calculations!F858,IF('Assumptions - Passenger'!$E$481=3,IF(F853=('Assumptions - Passenger'!$E$479-'Assumptions - Passenger'!$E$480),Calculations!E863,Calculations!F859),0))),0),0)</f>
        <v>0</v>
      </c>
      <c r="G856" s="126">
        <f>IF(G$17=1,IF('Assumptions - Passenger'!$E$473&lt;&gt;0,IF('Assumptions - Passenger'!$E$481=1,Calculations!G857,IF('Assumptions - Passenger'!$E$481=2,Calculations!G858,IF('Assumptions - Passenger'!$E$481=3,IF(G853=('Assumptions - Passenger'!$E$479-'Assumptions - Passenger'!$E$480),Calculations!F863,Calculations!G859),0))),0),0)</f>
        <v>0</v>
      </c>
      <c r="H856" s="126">
        <f>IF(H$17=1,IF('Assumptions - Passenger'!$E$473&lt;&gt;0,IF('Assumptions - Passenger'!$E$481=1,Calculations!H857,IF('Assumptions - Passenger'!$E$481=2,Calculations!H858,IF('Assumptions - Passenger'!$E$481=3,IF(H853=('Assumptions - Passenger'!$E$479-'Assumptions - Passenger'!$E$480),Calculations!G863,Calculations!H859),0))),0),0)</f>
        <v>0</v>
      </c>
      <c r="I856" s="126">
        <f>IF(I$17=1,IF('Assumptions - Passenger'!$E$473&lt;&gt;0,IF('Assumptions - Passenger'!$E$481=1,Calculations!I857,IF('Assumptions - Passenger'!$E$481=2,Calculations!I858,IF('Assumptions - Passenger'!$E$481=3,IF(I853=('Assumptions - Passenger'!$E$479-'Assumptions - Passenger'!$E$480),Calculations!H863,Calculations!I859),0))),0),0)</f>
        <v>0</v>
      </c>
      <c r="J856" s="126">
        <f>IF(J$17=1,IF('Assumptions - Passenger'!$E$473&lt;&gt;0,IF('Assumptions - Passenger'!$E$481=1,Calculations!J857,IF('Assumptions - Passenger'!$E$481=2,Calculations!J858,IF('Assumptions - Passenger'!$E$481=3,IF(J853=('Assumptions - Passenger'!$E$479-'Assumptions - Passenger'!$E$480),Calculations!I863,Calculations!J859),0))),0),0)</f>
        <v>0</v>
      </c>
      <c r="K856" s="126">
        <f>IF(K$17=1,IF('Assumptions - Passenger'!$E$473&lt;&gt;0,IF('Assumptions - Passenger'!$E$481=1,Calculations!K857,IF('Assumptions - Passenger'!$E$481=2,Calculations!K858,IF('Assumptions - Passenger'!$E$481=3,IF(K853=('Assumptions - Passenger'!$E$479-'Assumptions - Passenger'!$E$480),Calculations!J863,Calculations!K859),0))),0),0)</f>
        <v>0</v>
      </c>
      <c r="L856" s="126">
        <f>IF(L$17=1,IF('Assumptions - Passenger'!$E$473&lt;&gt;0,IF('Assumptions - Passenger'!$E$481=1,Calculations!L857,IF('Assumptions - Passenger'!$E$481=2,Calculations!L858,IF('Assumptions - Passenger'!$E$481=3,IF(L853=('Assumptions - Passenger'!$E$479-'Assumptions - Passenger'!$E$480),Calculations!K863,Calculations!L859),0))),0),0)</f>
        <v>0</v>
      </c>
      <c r="M856" s="126">
        <f>IF(M$17=1,IF('Assumptions - Passenger'!$E$473&lt;&gt;0,IF('Assumptions - Passenger'!$E$481=1,Calculations!M857,IF('Assumptions - Passenger'!$E$481=2,Calculations!M858,IF('Assumptions - Passenger'!$E$481=3,IF(M853=('Assumptions - Passenger'!$E$479-'Assumptions - Passenger'!$E$480),Calculations!L863,Calculations!M859),0))),0),0)</f>
        <v>0</v>
      </c>
      <c r="N856" s="126">
        <f>IF(N$17=1,IF('Assumptions - Passenger'!$E$473&lt;&gt;0,IF('Assumptions - Passenger'!$E$481=1,Calculations!N857,IF('Assumptions - Passenger'!$E$481=2,Calculations!N858,IF('Assumptions - Passenger'!$E$481=3,IF(N853=('Assumptions - Passenger'!$E$479-'Assumptions - Passenger'!$E$480),Calculations!M863,Calculations!N859),0))),0),0)</f>
        <v>0</v>
      </c>
      <c r="O856" s="126">
        <f>IF(O$17=1,IF('Assumptions - Passenger'!$E$473&lt;&gt;0,IF('Assumptions - Passenger'!$E$481=1,Calculations!O857,IF('Assumptions - Passenger'!$E$481=2,Calculations!O858,IF('Assumptions - Passenger'!$E$481=3,IF(O853=('Assumptions - Passenger'!$E$479-'Assumptions - Passenger'!$E$480),Calculations!N863,Calculations!O859),0))),0),0)</f>
        <v>0</v>
      </c>
      <c r="P856" s="126">
        <f>IF(P$17=1,IF('Assumptions - Passenger'!$E$473&lt;&gt;0,IF('Assumptions - Passenger'!$E$481=1,Calculations!P857,IF('Assumptions - Passenger'!$E$481=2,Calculations!P858,IF('Assumptions - Passenger'!$E$481=3,IF(P853=('Assumptions - Passenger'!$E$479-'Assumptions - Passenger'!$E$480),Calculations!O863,Calculations!P859),0))),0),0)</f>
        <v>0</v>
      </c>
      <c r="Q856" s="126">
        <f>IF(Q$17=1,IF('Assumptions - Passenger'!$E$473&lt;&gt;0,IF('Assumptions - Passenger'!$E$481=1,Calculations!Q857,IF('Assumptions - Passenger'!$E$481=2,Calculations!Q858,IF('Assumptions - Passenger'!$E$481=3,IF(Q853=('Assumptions - Passenger'!$E$479-'Assumptions - Passenger'!$E$480),Calculations!P863,Calculations!Q859),0))),0),0)</f>
        <v>0</v>
      </c>
      <c r="R856" s="126">
        <f>IF(R$17=1,IF('Assumptions - Passenger'!$E$473&lt;&gt;0,IF('Assumptions - Passenger'!$E$481=1,Calculations!R857,IF('Assumptions - Passenger'!$E$481=2,Calculations!R858,IF('Assumptions - Passenger'!$E$481=3,IF(R853=('Assumptions - Passenger'!$E$479-'Assumptions - Passenger'!$E$480),Calculations!Q863,Calculations!R859),0))),0),0)</f>
        <v>0</v>
      </c>
      <c r="S856" s="126">
        <f>IF(S$17=1,IF('Assumptions - Passenger'!$E$473&lt;&gt;0,IF('Assumptions - Passenger'!$E$481=1,Calculations!S857,IF('Assumptions - Passenger'!$E$481=2,Calculations!S858,IF('Assumptions - Passenger'!$E$481=3,IF(S853=('Assumptions - Passenger'!$E$479-'Assumptions - Passenger'!$E$480),Calculations!R863,Calculations!S859),0))),0),0)</f>
        <v>0</v>
      </c>
      <c r="T856" s="126">
        <f>IF(T$17=1,IF('Assumptions - Passenger'!$E$473&lt;&gt;0,IF('Assumptions - Passenger'!$E$481=1,Calculations!T857,IF('Assumptions - Passenger'!$E$481=2,Calculations!T858,IF('Assumptions - Passenger'!$E$481=3,IF(T853=('Assumptions - Passenger'!$E$479-'Assumptions - Passenger'!$E$480),Calculations!S863,Calculations!T859),0))),0),0)</f>
        <v>0</v>
      </c>
      <c r="U856" s="126">
        <f>IF(U$17=1,IF('Assumptions - Passenger'!$E$473&lt;&gt;0,IF('Assumptions - Passenger'!$E$481=1,Calculations!U857,IF('Assumptions - Passenger'!$E$481=2,Calculations!U858,IF('Assumptions - Passenger'!$E$481=3,IF(U853=('Assumptions - Passenger'!$E$479-'Assumptions - Passenger'!$E$480),Calculations!T863,Calculations!U859),0))),0),0)</f>
        <v>0</v>
      </c>
      <c r="V856" s="126">
        <f>IF(V$17=1,IF('Assumptions - Passenger'!$E$473&lt;&gt;0,IF('Assumptions - Passenger'!$E$481=1,Calculations!V857,IF('Assumptions - Passenger'!$E$481=2,Calculations!V858,IF('Assumptions - Passenger'!$E$481=3,IF(V853=('Assumptions - Passenger'!$E$479-'Assumptions - Passenger'!$E$480),Calculations!U863,Calculations!V859),0))),0),0)</f>
        <v>0</v>
      </c>
      <c r="W856" s="126">
        <f>IF(W$17=1,IF('Assumptions - Passenger'!$E$473&lt;&gt;0,IF('Assumptions - Passenger'!$E$481=1,Calculations!W857,IF('Assumptions - Passenger'!$E$481=2,Calculations!W858,IF('Assumptions - Passenger'!$E$481=3,IF(W853=('Assumptions - Passenger'!$E$479-'Assumptions - Passenger'!$E$480),Calculations!V863,Calculations!W859),0))),0),0)</f>
        <v>0</v>
      </c>
      <c r="X856" s="126">
        <f>IF(X$17=1,IF('Assumptions - Passenger'!$E$473&lt;&gt;0,IF('Assumptions - Passenger'!$E$481=1,Calculations!X857,IF('Assumptions - Passenger'!$E$481=2,Calculations!X858,IF('Assumptions - Passenger'!$E$481=3,IF(X853=('Assumptions - Passenger'!$E$479-'Assumptions - Passenger'!$E$480),Calculations!W863,Calculations!X859),0))),0),0)</f>
        <v>0</v>
      </c>
      <c r="Y856" s="126">
        <f>IF(Y$17=1,IF('Assumptions - Passenger'!$E$473&lt;&gt;0,IF('Assumptions - Passenger'!$E$481=1,Calculations!Y857,IF('Assumptions - Passenger'!$E$481=2,Calculations!Y858,IF('Assumptions - Passenger'!$E$481=3,IF(Y853=('Assumptions - Passenger'!$E$479-'Assumptions - Passenger'!$E$480),Calculations!X863,Calculations!Y859),0))),0),0)</f>
        <v>0</v>
      </c>
      <c r="Z856" s="126">
        <f>IF(Z$17=1,IF('Assumptions - Passenger'!$E$473&lt;&gt;0,IF('Assumptions - Passenger'!$E$481=1,Calculations!Z857,IF('Assumptions - Passenger'!$E$481=2,Calculations!Z858,IF('Assumptions - Passenger'!$E$481=3,IF(Z853=('Assumptions - Passenger'!$E$479-'Assumptions - Passenger'!$E$480),Calculations!Y863,Calculations!Z859),0))),0),0)</f>
        <v>0</v>
      </c>
      <c r="AA856" s="126">
        <f>IF(AA$17=1,IF('Assumptions - Passenger'!$E$473&lt;&gt;0,IF('Assumptions - Passenger'!$E$481=1,Calculations!AA857,IF('Assumptions - Passenger'!$E$481=2,Calculations!AA858,IF('Assumptions - Passenger'!$E$481=3,IF(AA853=('Assumptions - Passenger'!$E$479-'Assumptions - Passenger'!$E$480),Calculations!Z863,Calculations!AA859),0))),0),0)</f>
        <v>0</v>
      </c>
      <c r="AB856" s="126">
        <f>IF(AB$17=1,IF('Assumptions - Passenger'!$E$473&lt;&gt;0,IF('Assumptions - Passenger'!$E$481=1,Calculations!AB857,IF('Assumptions - Passenger'!$E$481=2,Calculations!AB858,IF('Assumptions - Passenger'!$E$481=3,IF(AB853=('Assumptions - Passenger'!$E$479-'Assumptions - Passenger'!$E$480),Calculations!AA863,Calculations!AB859),0))),0),0)</f>
        <v>0</v>
      </c>
      <c r="AC856" s="126">
        <f>IF(AC$17=1,IF('Assumptions - Passenger'!$E$473&lt;&gt;0,IF('Assumptions - Passenger'!$E$481=1,Calculations!AC857,IF('Assumptions - Passenger'!$E$481=2,Calculations!AC858,IF('Assumptions - Passenger'!$E$481=3,IF(AC853=('Assumptions - Passenger'!$E$479-'Assumptions - Passenger'!$E$480),Calculations!AB863,Calculations!AC859),0))),0),0)</f>
        <v>0</v>
      </c>
      <c r="AD856" s="126">
        <f>IF(AD$17=1,IF('Assumptions - Passenger'!$E$473&lt;&gt;0,IF('Assumptions - Passenger'!$E$481=1,Calculations!AD857,IF('Assumptions - Passenger'!$E$481=2,Calculations!AD858,IF('Assumptions - Passenger'!$E$481=3,IF(AD853=('Assumptions - Passenger'!$E$479-'Assumptions - Passenger'!$E$480),Calculations!AC863,Calculations!AD859),0))),0),0)</f>
        <v>0</v>
      </c>
      <c r="AE856" s="126">
        <f>IF(AE$17=1,IF('Assumptions - Passenger'!$E$473&lt;&gt;0,IF('Assumptions - Passenger'!$E$481=1,Calculations!AE857,IF('Assumptions - Passenger'!$E$481=2,Calculations!AE858,IF('Assumptions - Passenger'!$E$481=3,IF(AE853=('Assumptions - Passenger'!$E$479-'Assumptions - Passenger'!$E$480),Calculations!AD863,Calculations!AE859),0))),0),0)</f>
        <v>50</v>
      </c>
      <c r="AF856" s="126">
        <f>IF(AF$17=1,IF('Assumptions - Passenger'!$E$473&lt;&gt;0,IF('Assumptions - Passenger'!$E$481=1,Calculations!AF857,IF('Assumptions - Passenger'!$E$481=2,Calculations!AF858,IF('Assumptions - Passenger'!$E$481=3,IF(AF853=('Assumptions - Passenger'!$E$479-'Assumptions - Passenger'!$E$480),Calculations!AE863,Calculations!AF859),0))),0),0)</f>
        <v>0</v>
      </c>
      <c r="AG856" s="126">
        <f>IF(AG$17=1,IF('Assumptions - Passenger'!$E$473&lt;&gt;0,IF('Assumptions - Passenger'!$E$481=1,Calculations!AG857,IF('Assumptions - Passenger'!$E$481=2,Calculations!AG858,IF('Assumptions - Passenger'!$E$481=3,IF(AG853=('Assumptions - Passenger'!$E$479-'Assumptions - Passenger'!$E$480),Calculations!AF863,Calculations!AG859),0))),0),0)</f>
        <v>0</v>
      </c>
      <c r="AH856" s="126">
        <f>IF(AH$17=1,IF('Assumptions - Passenger'!$E$473&lt;&gt;0,IF('Assumptions - Passenger'!$E$481=1,Calculations!AH857,IF('Assumptions - Passenger'!$E$481=2,Calculations!AH858,IF('Assumptions - Passenger'!$E$481=3,IF(AH853=('Assumptions - Passenger'!$E$479-'Assumptions - Passenger'!$E$480),Calculations!AG863,Calculations!AH859),0))),0),0)</f>
        <v>0</v>
      </c>
    </row>
    <row r="857" spans="1:34" s="20" customFormat="1" ht="14" x14ac:dyDescent="0.2">
      <c r="A857" s="8"/>
      <c r="B857" s="125" t="s">
        <v>295</v>
      </c>
      <c r="C857" s="8"/>
      <c r="D857" s="8" t="str">
        <f t="shared" ref="D857:D868" si="341">D856</f>
        <v>R$ millions</v>
      </c>
      <c r="E857" s="126">
        <f>IF('Assumptions - Passenger'!$E$473&lt;&gt;0,IF(AND('Assumptions - Passenger'!$E$481=1,E$853=('Assumptions - Passenger'!$E$479-'Assumptions - Passenger'!$E$480)),'Assumptions - Passenger'!$E$473,0),0)</f>
        <v>0</v>
      </c>
      <c r="F857" s="126">
        <f>IF('Assumptions - Passenger'!$E$473&lt;&gt;0,IF(AND('Assumptions - Passenger'!$E$481=1,F$853=('Assumptions - Passenger'!$E$479-'Assumptions - Passenger'!$E$480)),'Assumptions - Passenger'!$E$473,0),0)</f>
        <v>0</v>
      </c>
      <c r="G857" s="126">
        <f>IF('Assumptions - Passenger'!$E$473&lt;&gt;0,IF(AND('Assumptions - Passenger'!$E$481=1,G$853=('Assumptions - Passenger'!$E$479-'Assumptions - Passenger'!$E$480)),'Assumptions - Passenger'!$E$473,0),0)</f>
        <v>0</v>
      </c>
      <c r="H857" s="126">
        <f>IF('Assumptions - Passenger'!$E$473&lt;&gt;0,IF(AND('Assumptions - Passenger'!$E$481=1,H$853=('Assumptions - Passenger'!$E$479-'Assumptions - Passenger'!$E$480)),'Assumptions - Passenger'!$E$473,0),0)</f>
        <v>0</v>
      </c>
      <c r="I857" s="126">
        <f>IF('Assumptions - Passenger'!$E$473&lt;&gt;0,IF(AND('Assumptions - Passenger'!$E$481=1,I$853=('Assumptions - Passenger'!$E$479-'Assumptions - Passenger'!$E$480)),'Assumptions - Passenger'!$E$473,0),0)</f>
        <v>0</v>
      </c>
      <c r="J857" s="126">
        <f>IF('Assumptions - Passenger'!$E$473&lt;&gt;0,IF(AND('Assumptions - Passenger'!$E$481=1,J$853=('Assumptions - Passenger'!$E$479-'Assumptions - Passenger'!$E$480)),'Assumptions - Passenger'!$E$473,0),0)</f>
        <v>0</v>
      </c>
      <c r="K857" s="126">
        <f>IF('Assumptions - Passenger'!$E$473&lt;&gt;0,IF(AND('Assumptions - Passenger'!$E$481=1,K$853=('Assumptions - Passenger'!$E$479-'Assumptions - Passenger'!$E$480)),'Assumptions - Passenger'!$E$473,0),0)</f>
        <v>0</v>
      </c>
      <c r="L857" s="126">
        <f>IF('Assumptions - Passenger'!$E$473&lt;&gt;0,IF(AND('Assumptions - Passenger'!$E$481=1,L$853=('Assumptions - Passenger'!$E$479-'Assumptions - Passenger'!$E$480)),'Assumptions - Passenger'!$E$473,0),0)</f>
        <v>0</v>
      </c>
      <c r="M857" s="126">
        <f>IF('Assumptions - Passenger'!$E$473&lt;&gt;0,IF(AND('Assumptions - Passenger'!$E$481=1,M$853=('Assumptions - Passenger'!$E$479-'Assumptions - Passenger'!$E$480)),'Assumptions - Passenger'!$E$473,0),0)</f>
        <v>0</v>
      </c>
      <c r="N857" s="126">
        <f>IF('Assumptions - Passenger'!$E$473&lt;&gt;0,IF(AND('Assumptions - Passenger'!$E$481=1,N$853=('Assumptions - Passenger'!$E$479-'Assumptions - Passenger'!$E$480)),'Assumptions - Passenger'!$E$473,0),0)</f>
        <v>0</v>
      </c>
      <c r="O857" s="126">
        <f>IF('Assumptions - Passenger'!$E$473&lt;&gt;0,IF(AND('Assumptions - Passenger'!$E$481=1,O$853=('Assumptions - Passenger'!$E$479-'Assumptions - Passenger'!$E$480)),'Assumptions - Passenger'!$E$473,0),0)</f>
        <v>0</v>
      </c>
      <c r="P857" s="126">
        <f>IF('Assumptions - Passenger'!$E$473&lt;&gt;0,IF(AND('Assumptions - Passenger'!$E$481=1,P$853=('Assumptions - Passenger'!$E$479-'Assumptions - Passenger'!$E$480)),'Assumptions - Passenger'!$E$473,0),0)</f>
        <v>0</v>
      </c>
      <c r="Q857" s="126">
        <f>IF('Assumptions - Passenger'!$E$473&lt;&gt;0,IF(AND('Assumptions - Passenger'!$E$481=1,Q$853=('Assumptions - Passenger'!$E$479-'Assumptions - Passenger'!$E$480)),'Assumptions - Passenger'!$E$473,0),0)</f>
        <v>0</v>
      </c>
      <c r="R857" s="126">
        <f>IF('Assumptions - Passenger'!$E$473&lt;&gt;0,IF(AND('Assumptions - Passenger'!$E$481=1,R$853=('Assumptions - Passenger'!$E$479-'Assumptions - Passenger'!$E$480)),'Assumptions - Passenger'!$E$473,0),0)</f>
        <v>0</v>
      </c>
      <c r="S857" s="126">
        <f>IF('Assumptions - Passenger'!$E$473&lt;&gt;0,IF(AND('Assumptions - Passenger'!$E$481=1,S$853=('Assumptions - Passenger'!$E$479-'Assumptions - Passenger'!$E$480)),'Assumptions - Passenger'!$E$473,0),0)</f>
        <v>0</v>
      </c>
      <c r="T857" s="126">
        <f>IF('Assumptions - Passenger'!$E$473&lt;&gt;0,IF(AND('Assumptions - Passenger'!$E$481=1,T$853=('Assumptions - Passenger'!$E$479-'Assumptions - Passenger'!$E$480)),'Assumptions - Passenger'!$E$473,0),0)</f>
        <v>0</v>
      </c>
      <c r="U857" s="126">
        <f>IF('Assumptions - Passenger'!$E$473&lt;&gt;0,IF(AND('Assumptions - Passenger'!$E$481=1,U$853=('Assumptions - Passenger'!$E$479-'Assumptions - Passenger'!$E$480)),'Assumptions - Passenger'!$E$473,0),0)</f>
        <v>0</v>
      </c>
      <c r="V857" s="126">
        <f>IF('Assumptions - Passenger'!$E$473&lt;&gt;0,IF(AND('Assumptions - Passenger'!$E$481=1,V$853=('Assumptions - Passenger'!$E$479-'Assumptions - Passenger'!$E$480)),'Assumptions - Passenger'!$E$473,0),0)</f>
        <v>0</v>
      </c>
      <c r="W857" s="126">
        <f>IF('Assumptions - Passenger'!$E$473&lt;&gt;0,IF(AND('Assumptions - Passenger'!$E$481=1,W$853=('Assumptions - Passenger'!$E$479-'Assumptions - Passenger'!$E$480)),'Assumptions - Passenger'!$E$473,0),0)</f>
        <v>0</v>
      </c>
      <c r="X857" s="126">
        <f>IF('Assumptions - Passenger'!$E$473&lt;&gt;0,IF(AND('Assumptions - Passenger'!$E$481=1,X$853=('Assumptions - Passenger'!$E$479-'Assumptions - Passenger'!$E$480)),'Assumptions - Passenger'!$E$473,0),0)</f>
        <v>0</v>
      </c>
      <c r="Y857" s="126">
        <f>IF('Assumptions - Passenger'!$E$473&lt;&gt;0,IF(AND('Assumptions - Passenger'!$E$481=1,Y$853=('Assumptions - Passenger'!$E$479-'Assumptions - Passenger'!$E$480)),'Assumptions - Passenger'!$E$473,0),0)</f>
        <v>0</v>
      </c>
      <c r="Z857" s="126">
        <f>IF('Assumptions - Passenger'!$E$473&lt;&gt;0,IF(AND('Assumptions - Passenger'!$E$481=1,Z$853=('Assumptions - Passenger'!$E$479-'Assumptions - Passenger'!$E$480)),'Assumptions - Passenger'!$E$473,0),0)</f>
        <v>0</v>
      </c>
      <c r="AA857" s="126">
        <f>IF('Assumptions - Passenger'!$E$473&lt;&gt;0,IF(AND('Assumptions - Passenger'!$E$481=1,AA$853=('Assumptions - Passenger'!$E$479-'Assumptions - Passenger'!$E$480)),'Assumptions - Passenger'!$E$473,0),0)</f>
        <v>0</v>
      </c>
      <c r="AB857" s="126">
        <f>IF('Assumptions - Passenger'!$E$473&lt;&gt;0,IF(AND('Assumptions - Passenger'!$E$481=1,AB$853=('Assumptions - Passenger'!$E$479-'Assumptions - Passenger'!$E$480)),'Assumptions - Passenger'!$E$473,0),0)</f>
        <v>0</v>
      </c>
      <c r="AC857" s="126">
        <f>IF('Assumptions - Passenger'!$E$473&lt;&gt;0,IF(AND('Assumptions - Passenger'!$E$481=1,AC$853=('Assumptions - Passenger'!$E$479-'Assumptions - Passenger'!$E$480)),'Assumptions - Passenger'!$E$473,0),0)</f>
        <v>0</v>
      </c>
      <c r="AD857" s="126">
        <f>IF('Assumptions - Passenger'!$E$473&lt;&gt;0,IF(AND('Assumptions - Passenger'!$E$481=1,AD$853=('Assumptions - Passenger'!$E$479-'Assumptions - Passenger'!$E$480)),'Assumptions - Passenger'!$E$473,0),0)</f>
        <v>0</v>
      </c>
      <c r="AE857" s="126">
        <f>IF('Assumptions - Passenger'!$E$473&lt;&gt;0,IF(AND('Assumptions - Passenger'!$E$481=1,AE$853=('Assumptions - Passenger'!$E$479-'Assumptions - Passenger'!$E$480)),'Assumptions - Passenger'!$E$473,0),0)</f>
        <v>50</v>
      </c>
      <c r="AF857" s="126">
        <f>IF('Assumptions - Passenger'!$E$473&lt;&gt;0,IF(AND('Assumptions - Passenger'!$E$481=1,AF$853=('Assumptions - Passenger'!$E$479-'Assumptions - Passenger'!$E$480)),'Assumptions - Passenger'!$E$473,0),0)</f>
        <v>0</v>
      </c>
      <c r="AG857" s="126">
        <f>IF('Assumptions - Passenger'!$E$473&lt;&gt;0,IF(AND('Assumptions - Passenger'!$E$481=1,AG$853=('Assumptions - Passenger'!$E$479-'Assumptions - Passenger'!$E$480)),'Assumptions - Passenger'!$E$473,0),0)</f>
        <v>0</v>
      </c>
      <c r="AH857" s="126">
        <f>IF('Assumptions - Passenger'!$E$473&lt;&gt;0,IF(AND('Assumptions - Passenger'!$E$481=1,AH$853=('Assumptions - Passenger'!$E$479-'Assumptions - Passenger'!$E$480)),'Assumptions - Passenger'!$E$473,0),0)</f>
        <v>0</v>
      </c>
    </row>
    <row r="858" spans="1:34" s="20" customFormat="1" ht="14" x14ac:dyDescent="0.2">
      <c r="A858" s="8"/>
      <c r="B858" s="125" t="s">
        <v>294</v>
      </c>
      <c r="C858" s="8"/>
      <c r="D858" s="8" t="str">
        <f t="shared" si="341"/>
        <v>R$ millions</v>
      </c>
      <c r="E858" s="126">
        <f>IF('Assumptions - Passenger'!$E$473&lt;&gt;0,IF(AND('Assumptions - Passenger'!$E$481=2,Calculations!E$853&gt;0,Calculations!E$853&lt;=('Assumptions - Passenger'!$E$479-'Assumptions - Passenger'!$E$480)),'Assumptions - Passenger'!$E$473/('Assumptions - Passenger'!$E$479-'Assumptions - Passenger'!$E$480),0),0)</f>
        <v>0</v>
      </c>
      <c r="F858" s="126">
        <f>IF('Assumptions - Passenger'!$E$473&lt;&gt;0,IF(AND('Assumptions - Passenger'!$E$481=2,Calculations!F$853&gt;0,Calculations!F$853&lt;=('Assumptions - Passenger'!$E$479-'Assumptions - Passenger'!$E$480)),'Assumptions - Passenger'!$E$473/('Assumptions - Passenger'!$E$479-'Assumptions - Passenger'!$E$480),0),0)</f>
        <v>0</v>
      </c>
      <c r="G858" s="126">
        <f>IF('Assumptions - Passenger'!$E$473&lt;&gt;0,IF(AND('Assumptions - Passenger'!$E$481=2,Calculations!G$853&gt;0,Calculations!G$853&lt;=('Assumptions - Passenger'!$E$479-'Assumptions - Passenger'!$E$480)),'Assumptions - Passenger'!$E$473/('Assumptions - Passenger'!$E$479-'Assumptions - Passenger'!$E$480),0),0)</f>
        <v>0</v>
      </c>
      <c r="H858" s="126">
        <f>IF('Assumptions - Passenger'!$E$473&lt;&gt;0,IF(AND('Assumptions - Passenger'!$E$481=2,Calculations!H$853&gt;0,Calculations!H$853&lt;=('Assumptions - Passenger'!$E$479-'Assumptions - Passenger'!$E$480)),'Assumptions - Passenger'!$E$473/('Assumptions - Passenger'!$E$479-'Assumptions - Passenger'!$E$480),0),0)</f>
        <v>0</v>
      </c>
      <c r="I858" s="126">
        <f>IF('Assumptions - Passenger'!$E$473&lt;&gt;0,IF(AND('Assumptions - Passenger'!$E$481=2,Calculations!I$853&gt;0,Calculations!I$853&lt;=('Assumptions - Passenger'!$E$479-'Assumptions - Passenger'!$E$480)),'Assumptions - Passenger'!$E$473/('Assumptions - Passenger'!$E$479-'Assumptions - Passenger'!$E$480),0),0)</f>
        <v>0</v>
      </c>
      <c r="J858" s="126">
        <f>IF('Assumptions - Passenger'!$E$473&lt;&gt;0,IF(AND('Assumptions - Passenger'!$E$481=2,Calculations!J$853&gt;0,Calculations!J$853&lt;=('Assumptions - Passenger'!$E$479-'Assumptions - Passenger'!$E$480)),'Assumptions - Passenger'!$E$473/('Assumptions - Passenger'!$E$479-'Assumptions - Passenger'!$E$480),0),0)</f>
        <v>0</v>
      </c>
      <c r="K858" s="126">
        <f>IF('Assumptions - Passenger'!$E$473&lt;&gt;0,IF(AND('Assumptions - Passenger'!$E$481=2,Calculations!K$853&gt;0,Calculations!K$853&lt;=('Assumptions - Passenger'!$E$479-'Assumptions - Passenger'!$E$480)),'Assumptions - Passenger'!$E$473/('Assumptions - Passenger'!$E$479-'Assumptions - Passenger'!$E$480),0),0)</f>
        <v>0</v>
      </c>
      <c r="L858" s="126">
        <f>IF('Assumptions - Passenger'!$E$473&lt;&gt;0,IF(AND('Assumptions - Passenger'!$E$481=2,Calculations!L$853&gt;0,Calculations!L$853&lt;=('Assumptions - Passenger'!$E$479-'Assumptions - Passenger'!$E$480)),'Assumptions - Passenger'!$E$473/('Assumptions - Passenger'!$E$479-'Assumptions - Passenger'!$E$480),0),0)</f>
        <v>0</v>
      </c>
      <c r="M858" s="126">
        <f>IF('Assumptions - Passenger'!$E$473&lt;&gt;0,IF(AND('Assumptions - Passenger'!$E$481=2,Calculations!M$853&gt;0,Calculations!M$853&lt;=('Assumptions - Passenger'!$E$479-'Assumptions - Passenger'!$E$480)),'Assumptions - Passenger'!$E$473/('Assumptions - Passenger'!$E$479-'Assumptions - Passenger'!$E$480),0),0)</f>
        <v>0</v>
      </c>
      <c r="N858" s="126">
        <f>IF('Assumptions - Passenger'!$E$473&lt;&gt;0,IF(AND('Assumptions - Passenger'!$E$481=2,Calculations!N$853&gt;0,Calculations!N$853&lt;=('Assumptions - Passenger'!$E$479-'Assumptions - Passenger'!$E$480)),'Assumptions - Passenger'!$E$473/('Assumptions - Passenger'!$E$479-'Assumptions - Passenger'!$E$480),0),0)</f>
        <v>0</v>
      </c>
      <c r="O858" s="126">
        <f>IF('Assumptions - Passenger'!$E$473&lt;&gt;0,IF(AND('Assumptions - Passenger'!$E$481=2,Calculations!O$853&gt;0,Calculations!O$853&lt;=('Assumptions - Passenger'!$E$479-'Assumptions - Passenger'!$E$480)),'Assumptions - Passenger'!$E$473/('Assumptions - Passenger'!$E$479-'Assumptions - Passenger'!$E$480),0),0)</f>
        <v>0</v>
      </c>
      <c r="P858" s="126">
        <f>IF('Assumptions - Passenger'!$E$473&lt;&gt;0,IF(AND('Assumptions - Passenger'!$E$481=2,Calculations!P$853&gt;0,Calculations!P$853&lt;=('Assumptions - Passenger'!$E$479-'Assumptions - Passenger'!$E$480)),'Assumptions - Passenger'!$E$473/('Assumptions - Passenger'!$E$479-'Assumptions - Passenger'!$E$480),0),0)</f>
        <v>0</v>
      </c>
      <c r="Q858" s="126">
        <f>IF('Assumptions - Passenger'!$E$473&lt;&gt;0,IF(AND('Assumptions - Passenger'!$E$481=2,Calculations!Q$853&gt;0,Calculations!Q$853&lt;=('Assumptions - Passenger'!$E$479-'Assumptions - Passenger'!$E$480)),'Assumptions - Passenger'!$E$473/('Assumptions - Passenger'!$E$479-'Assumptions - Passenger'!$E$480),0),0)</f>
        <v>0</v>
      </c>
      <c r="R858" s="126">
        <f>IF('Assumptions - Passenger'!$E$473&lt;&gt;0,IF(AND('Assumptions - Passenger'!$E$481=2,Calculations!R$853&gt;0,Calculations!R$853&lt;=('Assumptions - Passenger'!$E$479-'Assumptions - Passenger'!$E$480)),'Assumptions - Passenger'!$E$473/('Assumptions - Passenger'!$E$479-'Assumptions - Passenger'!$E$480),0),0)</f>
        <v>0</v>
      </c>
      <c r="S858" s="126">
        <f>IF('Assumptions - Passenger'!$E$473&lt;&gt;0,IF(AND('Assumptions - Passenger'!$E$481=2,Calculations!S$853&gt;0,Calculations!S$853&lt;=('Assumptions - Passenger'!$E$479-'Assumptions - Passenger'!$E$480)),'Assumptions - Passenger'!$E$473/('Assumptions - Passenger'!$E$479-'Assumptions - Passenger'!$E$480),0),0)</f>
        <v>0</v>
      </c>
      <c r="T858" s="126">
        <f>IF('Assumptions - Passenger'!$E$473&lt;&gt;0,IF(AND('Assumptions - Passenger'!$E$481=2,Calculations!T$853&gt;0,Calculations!T$853&lt;=('Assumptions - Passenger'!$E$479-'Assumptions - Passenger'!$E$480)),'Assumptions - Passenger'!$E$473/('Assumptions - Passenger'!$E$479-'Assumptions - Passenger'!$E$480),0),0)</f>
        <v>0</v>
      </c>
      <c r="U858" s="126">
        <f>IF('Assumptions - Passenger'!$E$473&lt;&gt;0,IF(AND('Assumptions - Passenger'!$E$481=2,Calculations!U$853&gt;0,Calculations!U$853&lt;=('Assumptions - Passenger'!$E$479-'Assumptions - Passenger'!$E$480)),'Assumptions - Passenger'!$E$473/('Assumptions - Passenger'!$E$479-'Assumptions - Passenger'!$E$480),0),0)</f>
        <v>0</v>
      </c>
      <c r="V858" s="126">
        <f>IF('Assumptions - Passenger'!$E$473&lt;&gt;0,IF(AND('Assumptions - Passenger'!$E$481=2,Calculations!V$853&gt;0,Calculations!V$853&lt;=('Assumptions - Passenger'!$E$479-'Assumptions - Passenger'!$E$480)),'Assumptions - Passenger'!$E$473/('Assumptions - Passenger'!$E$479-'Assumptions - Passenger'!$E$480),0),0)</f>
        <v>0</v>
      </c>
      <c r="W858" s="126">
        <f>IF('Assumptions - Passenger'!$E$473&lt;&gt;0,IF(AND('Assumptions - Passenger'!$E$481=2,Calculations!W$853&gt;0,Calculations!W$853&lt;=('Assumptions - Passenger'!$E$479-'Assumptions - Passenger'!$E$480)),'Assumptions - Passenger'!$E$473/('Assumptions - Passenger'!$E$479-'Assumptions - Passenger'!$E$480),0),0)</f>
        <v>0</v>
      </c>
      <c r="X858" s="126">
        <f>IF('Assumptions - Passenger'!$E$473&lt;&gt;0,IF(AND('Assumptions - Passenger'!$E$481=2,Calculations!X$853&gt;0,Calculations!X$853&lt;=('Assumptions - Passenger'!$E$479-'Assumptions - Passenger'!$E$480)),'Assumptions - Passenger'!$E$473/('Assumptions - Passenger'!$E$479-'Assumptions - Passenger'!$E$480),0),0)</f>
        <v>0</v>
      </c>
      <c r="Y858" s="126">
        <f>IF('Assumptions - Passenger'!$E$473&lt;&gt;0,IF(AND('Assumptions - Passenger'!$E$481=2,Calculations!Y$853&gt;0,Calculations!Y$853&lt;=('Assumptions - Passenger'!$E$479-'Assumptions - Passenger'!$E$480)),'Assumptions - Passenger'!$E$473/('Assumptions - Passenger'!$E$479-'Assumptions - Passenger'!$E$480),0),0)</f>
        <v>0</v>
      </c>
      <c r="Z858" s="126">
        <f>IF('Assumptions - Passenger'!$E$473&lt;&gt;0,IF(AND('Assumptions - Passenger'!$E$481=2,Calculations!Z$853&gt;0,Calculations!Z$853&lt;=('Assumptions - Passenger'!$E$479-'Assumptions - Passenger'!$E$480)),'Assumptions - Passenger'!$E$473/('Assumptions - Passenger'!$E$479-'Assumptions - Passenger'!$E$480),0),0)</f>
        <v>0</v>
      </c>
      <c r="AA858" s="126">
        <f>IF('Assumptions - Passenger'!$E$473&lt;&gt;0,IF(AND('Assumptions - Passenger'!$E$481=2,Calculations!AA$853&gt;0,Calculations!AA$853&lt;=('Assumptions - Passenger'!$E$479-'Assumptions - Passenger'!$E$480)),'Assumptions - Passenger'!$E$473/('Assumptions - Passenger'!$E$479-'Assumptions - Passenger'!$E$480),0),0)</f>
        <v>0</v>
      </c>
      <c r="AB858" s="126">
        <f>IF('Assumptions - Passenger'!$E$473&lt;&gt;0,IF(AND('Assumptions - Passenger'!$E$481=2,Calculations!AB$853&gt;0,Calculations!AB$853&lt;=('Assumptions - Passenger'!$E$479-'Assumptions - Passenger'!$E$480)),'Assumptions - Passenger'!$E$473/('Assumptions - Passenger'!$E$479-'Assumptions - Passenger'!$E$480),0),0)</f>
        <v>0</v>
      </c>
      <c r="AC858" s="126">
        <f>IF('Assumptions - Passenger'!$E$473&lt;&gt;0,IF(AND('Assumptions - Passenger'!$E$481=2,Calculations!AC$853&gt;0,Calculations!AC$853&lt;=('Assumptions - Passenger'!$E$479-'Assumptions - Passenger'!$E$480)),'Assumptions - Passenger'!$E$473/('Assumptions - Passenger'!$E$479-'Assumptions - Passenger'!$E$480),0),0)</f>
        <v>0</v>
      </c>
      <c r="AD858" s="126">
        <f>IF('Assumptions - Passenger'!$E$473&lt;&gt;0,IF(AND('Assumptions - Passenger'!$E$481=2,Calculations!AD$853&gt;0,Calculations!AD$853&lt;=('Assumptions - Passenger'!$E$479-'Assumptions - Passenger'!$E$480)),'Assumptions - Passenger'!$E$473/('Assumptions - Passenger'!$E$479-'Assumptions - Passenger'!$E$480),0),0)</f>
        <v>0</v>
      </c>
      <c r="AE858" s="126">
        <f>IF('Assumptions - Passenger'!$E$473&lt;&gt;0,IF(AND('Assumptions - Passenger'!$E$481=2,Calculations!AE$853&gt;0,Calculations!AE$853&lt;=('Assumptions - Passenger'!$E$479-'Assumptions - Passenger'!$E$480)),'Assumptions - Passenger'!$E$473/('Assumptions - Passenger'!$E$479-'Assumptions - Passenger'!$E$480),0),0)</f>
        <v>0</v>
      </c>
      <c r="AF858" s="126">
        <f>IF('Assumptions - Passenger'!$E$473&lt;&gt;0,IF(AND('Assumptions - Passenger'!$E$481=2,Calculations!AF$853&gt;0,Calculations!AF$853&lt;=('Assumptions - Passenger'!$E$479-'Assumptions - Passenger'!$E$480)),'Assumptions - Passenger'!$E$473/('Assumptions - Passenger'!$E$479-'Assumptions - Passenger'!$E$480),0),0)</f>
        <v>0</v>
      </c>
      <c r="AG858" s="126">
        <f>IF('Assumptions - Passenger'!$E$473&lt;&gt;0,IF(AND('Assumptions - Passenger'!$E$481=2,Calculations!AG$853&gt;0,Calculations!AG$853&lt;=('Assumptions - Passenger'!$E$479-'Assumptions - Passenger'!$E$480)),'Assumptions - Passenger'!$E$473/('Assumptions - Passenger'!$E$479-'Assumptions - Passenger'!$E$480),0),0)</f>
        <v>0</v>
      </c>
      <c r="AH858" s="126">
        <f>IF('Assumptions - Passenger'!$E$473&lt;&gt;0,IF(AND('Assumptions - Passenger'!$E$481=2,Calculations!AH$853&gt;0,Calculations!AH$853&lt;=('Assumptions - Passenger'!$E$479-'Assumptions - Passenger'!$E$480)),'Assumptions - Passenger'!$E$473/('Assumptions - Passenger'!$E$479-'Assumptions - Passenger'!$E$480),0),0)</f>
        <v>0</v>
      </c>
    </row>
    <row r="859" spans="1:34" s="20" customFormat="1" ht="14" x14ac:dyDescent="0.2">
      <c r="A859" s="8"/>
      <c r="B859" s="125" t="s">
        <v>678</v>
      </c>
      <c r="C859" s="8"/>
      <c r="D859" s="8" t="str">
        <f t="shared" si="341"/>
        <v>R$ millions</v>
      </c>
      <c r="E859" s="126">
        <f>IF('Assumptions - Passenger'!$E$473&lt;&gt;0,IF(AND('Assumptions - Passenger'!$E481=3,E853&gt;0,E853&lt;=('Assumptions - Passenger'!$E$479-'Assumptions - Passenger'!$E$480)),E855*D860/SUM(E860:$AH860)-E861,0),0)</f>
        <v>0</v>
      </c>
      <c r="F859" s="126">
        <f>IF('Assumptions - Passenger'!$E$473&lt;&gt;0,IF(AND('Assumptions - Passenger'!$E481=3,F853&gt;0,F853&lt;=('Assumptions - Passenger'!$E$479-'Assumptions - Passenger'!$E$480)),F855*E860/SUM(F860:$AH860)-F861,0),0)</f>
        <v>0</v>
      </c>
      <c r="G859" s="126">
        <f>IF('Assumptions - Passenger'!$E$473&lt;&gt;0,IF(AND('Assumptions - Passenger'!$E481=3,G853&gt;0,G853&lt;=('Assumptions - Passenger'!$E$479-'Assumptions - Passenger'!$E$480)),G855*F860/SUM(G860:$AH860)-G861,0),0)</f>
        <v>0</v>
      </c>
      <c r="H859" s="126">
        <f>IF('Assumptions - Passenger'!$E$473&lt;&gt;0,IF(AND('Assumptions - Passenger'!$E481=3,H853&gt;0,H853&lt;=('Assumptions - Passenger'!$E$479-'Assumptions - Passenger'!$E$480)),H855*G860/SUM(H860:$AH860)-H861,0),0)</f>
        <v>0</v>
      </c>
      <c r="I859" s="126">
        <f>IF('Assumptions - Passenger'!$E$473&lt;&gt;0,IF(AND('Assumptions - Passenger'!$E481=3,I853&gt;0,I853&lt;=('Assumptions - Passenger'!$E$479-'Assumptions - Passenger'!$E$480)),I855*H860/SUM(I860:$AH860)-I861,0),0)</f>
        <v>0</v>
      </c>
      <c r="J859" s="126">
        <f>IF('Assumptions - Passenger'!$E$473&lt;&gt;0,IF(AND('Assumptions - Passenger'!$E481=3,J853&gt;0,J853&lt;=('Assumptions - Passenger'!$E$479-'Assumptions - Passenger'!$E$480)),J855*I860/SUM(J860:$AH860)-J861,0),0)</f>
        <v>0</v>
      </c>
      <c r="K859" s="126">
        <f>IF('Assumptions - Passenger'!$E$473&lt;&gt;0,IF(AND('Assumptions - Passenger'!$E481=3,K853&gt;0,K853&lt;=('Assumptions - Passenger'!$E$479-'Assumptions - Passenger'!$E$480)),K855*J860/SUM(K860:$AH860)-K861,0),0)</f>
        <v>0</v>
      </c>
      <c r="L859" s="126">
        <f>IF('Assumptions - Passenger'!$E$473&lt;&gt;0,IF(AND('Assumptions - Passenger'!$E481=3,L853&gt;0,L853&lt;=('Assumptions - Passenger'!$E$479-'Assumptions - Passenger'!$E$480)),L855*K860/SUM(L860:$AH860)-L861,0),0)</f>
        <v>0</v>
      </c>
      <c r="M859" s="126">
        <f>IF('Assumptions - Passenger'!$E$473&lt;&gt;0,IF(AND('Assumptions - Passenger'!$E481=3,M853&gt;0,M853&lt;=('Assumptions - Passenger'!$E$479-'Assumptions - Passenger'!$E$480)),M855*L860/SUM(M860:$AH860)-M861,0),0)</f>
        <v>0</v>
      </c>
      <c r="N859" s="126">
        <f>IF('Assumptions - Passenger'!$E$473&lt;&gt;0,IF(AND('Assumptions - Passenger'!$E481=3,N853&gt;0,N853&lt;=('Assumptions - Passenger'!$E$479-'Assumptions - Passenger'!$E$480)),N855*M860/SUM(N860:$AH860)-N861,0),0)</f>
        <v>0</v>
      </c>
      <c r="O859" s="126">
        <f>IF('Assumptions - Passenger'!$E$473&lt;&gt;0,IF(AND('Assumptions - Passenger'!$E481=3,O853&gt;0,O853&lt;=('Assumptions - Passenger'!$E$479-'Assumptions - Passenger'!$E$480)),O855*N860/SUM(O860:$AH860)-O861,0),0)</f>
        <v>0</v>
      </c>
      <c r="P859" s="126">
        <f>IF('Assumptions - Passenger'!$E$473&lt;&gt;0,IF(AND('Assumptions - Passenger'!$E481=3,P853&gt;0,P853&lt;=('Assumptions - Passenger'!$E$479-'Assumptions - Passenger'!$E$480)),P855*O860/SUM(P860:$AH860)-P861,0),0)</f>
        <v>0</v>
      </c>
      <c r="Q859" s="126">
        <f>IF('Assumptions - Passenger'!$E$473&lt;&gt;0,IF(AND('Assumptions - Passenger'!$E481=3,Q853&gt;0,Q853&lt;=('Assumptions - Passenger'!$E$479-'Assumptions - Passenger'!$E$480)),Q855*P860/SUM(Q860:$AH860)-Q861,0),0)</f>
        <v>0</v>
      </c>
      <c r="R859" s="126">
        <f>IF('Assumptions - Passenger'!$E$473&lt;&gt;0,IF(AND('Assumptions - Passenger'!$E481=3,R853&gt;0,R853&lt;=('Assumptions - Passenger'!$E$479-'Assumptions - Passenger'!$E$480)),R855*Q860/SUM(R860:$AH860)-R861,0),0)</f>
        <v>0</v>
      </c>
      <c r="S859" s="126">
        <f>IF('Assumptions - Passenger'!$E$473&lt;&gt;0,IF(AND('Assumptions - Passenger'!$E481=3,S853&gt;0,S853&lt;=('Assumptions - Passenger'!$E$479-'Assumptions - Passenger'!$E$480)),S855*R860/SUM(S860:$AH860)-S861,0),0)</f>
        <v>0</v>
      </c>
      <c r="T859" s="126">
        <f>IF('Assumptions - Passenger'!$E$473&lt;&gt;0,IF(AND('Assumptions - Passenger'!$E481=3,T853&gt;0,T853&lt;=('Assumptions - Passenger'!$E$479-'Assumptions - Passenger'!$E$480)),T855*S860/SUM(T860:$AH860)-T861,0),0)</f>
        <v>0</v>
      </c>
      <c r="U859" s="126">
        <f>IF('Assumptions - Passenger'!$E$473&lt;&gt;0,IF(AND('Assumptions - Passenger'!$E481=3,U853&gt;0,U853&lt;=('Assumptions - Passenger'!$E$479-'Assumptions - Passenger'!$E$480)),U855*T860/SUM(U860:$AH860)-U861,0),0)</f>
        <v>0</v>
      </c>
      <c r="V859" s="126">
        <f>IF('Assumptions - Passenger'!$E$473&lt;&gt;0,IF(AND('Assumptions - Passenger'!$E481=3,V853&gt;0,V853&lt;=('Assumptions - Passenger'!$E$479-'Assumptions - Passenger'!$E$480)),V855*U860/SUM(V860:$AH860)-V861,0),0)</f>
        <v>0</v>
      </c>
      <c r="W859" s="126">
        <f>IF('Assumptions - Passenger'!$E$473&lt;&gt;0,IF(AND('Assumptions - Passenger'!$E481=3,W853&gt;0,W853&lt;=('Assumptions - Passenger'!$E$479-'Assumptions - Passenger'!$E$480)),W855*V860/SUM(W860:$AH860)-W861,0),0)</f>
        <v>0</v>
      </c>
      <c r="X859" s="126">
        <f>IF('Assumptions - Passenger'!$E$473&lt;&gt;0,IF(AND('Assumptions - Passenger'!$E481=3,X853&gt;0,X853&lt;=('Assumptions - Passenger'!$E$479-'Assumptions - Passenger'!$E$480)),X855*W860/SUM(X860:$AH860)-X861,0),0)</f>
        <v>0</v>
      </c>
      <c r="Y859" s="126">
        <f>IF('Assumptions - Passenger'!$E$473&lt;&gt;0,IF(AND('Assumptions - Passenger'!$E481=3,Y853&gt;0,Y853&lt;=('Assumptions - Passenger'!$E$479-'Assumptions - Passenger'!$E$480)),Y855*X860/SUM(Y860:$AH860)-Y861,0),0)</f>
        <v>0</v>
      </c>
      <c r="Z859" s="126">
        <f>IF('Assumptions - Passenger'!$E$473&lt;&gt;0,IF(AND('Assumptions - Passenger'!$E481=3,Z853&gt;0,Z853&lt;=('Assumptions - Passenger'!$E$479-'Assumptions - Passenger'!$E$480)),Z855*Y860/SUM(Z860:$AH860)-Z861,0),0)</f>
        <v>0</v>
      </c>
      <c r="AA859" s="126">
        <f>IF('Assumptions - Passenger'!$E$473&lt;&gt;0,IF(AND('Assumptions - Passenger'!$E481=3,AA853&gt;0,AA853&lt;=('Assumptions - Passenger'!$E$479-'Assumptions - Passenger'!$E$480)),AA855*Z860/SUM(AA860:$AH860)-AA861,0),0)</f>
        <v>0</v>
      </c>
      <c r="AB859" s="126">
        <f>IF('Assumptions - Passenger'!$E$473&lt;&gt;0,IF(AND('Assumptions - Passenger'!$E481=3,AB853&gt;0,AB853&lt;=('Assumptions - Passenger'!$E$479-'Assumptions - Passenger'!$E$480)),AB855*AA860/SUM(AB860:$AH860)-AB861,0),0)</f>
        <v>0</v>
      </c>
      <c r="AC859" s="126">
        <f>IF('Assumptions - Passenger'!$E$473&lt;&gt;0,IF(AND('Assumptions - Passenger'!$E481=3,AC853&gt;0,AC853&lt;=('Assumptions - Passenger'!$E$479-'Assumptions - Passenger'!$E$480)),AC855*AB860/SUM(AC860:$AH860)-AC861,0),0)</f>
        <v>0</v>
      </c>
      <c r="AD859" s="126">
        <f>IF('Assumptions - Passenger'!$E$473&lt;&gt;0,IF(AND('Assumptions - Passenger'!$E481=3,AD853&gt;0,AD853&lt;=('Assumptions - Passenger'!$E$479-'Assumptions - Passenger'!$E$480)),AD855*AC860/SUM(AD860:$AH860)-AD861,0),0)</f>
        <v>0</v>
      </c>
      <c r="AE859" s="126">
        <f>IF('Assumptions - Passenger'!$E$473&lt;&gt;0,IF(AND('Assumptions - Passenger'!$E481=3,AE853&gt;0,AE853&lt;=('Assumptions - Passenger'!$E$479-'Assumptions - Passenger'!$E$480)),AE855*AD860/SUM(AE860:$AH860)-AE861,0),0)</f>
        <v>0</v>
      </c>
      <c r="AF859" s="126">
        <f>IF('Assumptions - Passenger'!$E$473&lt;&gt;0,IF(AND('Assumptions - Passenger'!$E481=3,AF853&gt;0,AF853&lt;=('Assumptions - Passenger'!$E$479-'Assumptions - Passenger'!$E$480)),AF855*AE860/SUM(AF860:$AH860)-AF861,0),0)</f>
        <v>0</v>
      </c>
      <c r="AG859" s="126">
        <f>IF('Assumptions - Passenger'!$E$473&lt;&gt;0,IF(AND('Assumptions - Passenger'!$E481=3,AG853&gt;0,AG853&lt;=('Assumptions - Passenger'!$E$479-'Assumptions - Passenger'!$E$480)),AG855*AF860/SUM(AG860:$AH860)-AG861,0),0)</f>
        <v>0</v>
      </c>
      <c r="AH859" s="126">
        <f>IF('Assumptions - Passenger'!$E$473&lt;&gt;0,IF(AND('Assumptions - Passenger'!$E481=3,AH853&gt;0,AH853&lt;=('Assumptions - Passenger'!$E$479-'Assumptions - Passenger'!$E$480)),AH855*AG860/SUM(AH860:$AH860)-AH861,0),0)</f>
        <v>0</v>
      </c>
    </row>
    <row r="860" spans="1:34" s="20" customFormat="1" ht="14" x14ac:dyDescent="0.2">
      <c r="B860" s="127" t="s">
        <v>677</v>
      </c>
      <c r="D860" s="87">
        <v>1</v>
      </c>
      <c r="E860" s="126">
        <f>IF('Assumptions - Passenger'!$E$473&lt;&gt;0,IF(AND('Assumptions - Passenger'!$E481=3,E853&lt;=('Assumptions - Passenger'!$E$479-'Assumptions - Passenger'!$E$480)),D860/(1+E854),0),0)</f>
        <v>0</v>
      </c>
      <c r="F860" s="126">
        <f>IF('Assumptions - Passenger'!$E$473&lt;&gt;0,IF(AND('Assumptions - Passenger'!$E481=3,F853&lt;=('Assumptions - Passenger'!$E$479-'Assumptions - Passenger'!$E$480)),E860/(1+F854),0),0)</f>
        <v>0</v>
      </c>
      <c r="G860" s="126">
        <f>IF('Assumptions - Passenger'!$E$473&lt;&gt;0,IF(AND('Assumptions - Passenger'!$E481=3,G853&lt;=('Assumptions - Passenger'!$E$479-'Assumptions - Passenger'!$E$480)),F860/(1+G854),0),0)</f>
        <v>0</v>
      </c>
      <c r="H860" s="126">
        <f>IF('Assumptions - Passenger'!$E$473&lt;&gt;0,IF(AND('Assumptions - Passenger'!$E481=3,H853&lt;=('Assumptions - Passenger'!$E$479-'Assumptions - Passenger'!$E$480)),G860/(1+H854),0),0)</f>
        <v>0</v>
      </c>
      <c r="I860" s="126">
        <f>IF('Assumptions - Passenger'!$E$473&lt;&gt;0,IF(AND('Assumptions - Passenger'!$E481=3,I853&lt;=('Assumptions - Passenger'!$E$479-'Assumptions - Passenger'!$E$480)),H860/(1+I854),0),0)</f>
        <v>0</v>
      </c>
      <c r="J860" s="126">
        <f>IF('Assumptions - Passenger'!$E$473&lt;&gt;0,IF(AND('Assumptions - Passenger'!$E481=3,J853&lt;=('Assumptions - Passenger'!$E$479-'Assumptions - Passenger'!$E$480)),I860/(1+J854),0),0)</f>
        <v>0</v>
      </c>
      <c r="K860" s="126">
        <f>IF('Assumptions - Passenger'!$E$473&lt;&gt;0,IF(AND('Assumptions - Passenger'!$E481=3,K853&lt;=('Assumptions - Passenger'!$E$479-'Assumptions - Passenger'!$E$480)),J860/(1+K854),0),0)</f>
        <v>0</v>
      </c>
      <c r="L860" s="126">
        <f>IF('Assumptions - Passenger'!$E$473&lt;&gt;0,IF(AND('Assumptions - Passenger'!$E481=3,L853&lt;=('Assumptions - Passenger'!$E$479-'Assumptions - Passenger'!$E$480)),K860/(1+L854),0),0)</f>
        <v>0</v>
      </c>
      <c r="M860" s="126">
        <f>IF('Assumptions - Passenger'!$E$473&lt;&gt;0,IF(AND('Assumptions - Passenger'!$E481=3,M853&lt;=('Assumptions - Passenger'!$E$479-'Assumptions - Passenger'!$E$480)),L860/(1+M854),0),0)</f>
        <v>0</v>
      </c>
      <c r="N860" s="126">
        <f>IF('Assumptions - Passenger'!$E$473&lt;&gt;0,IF(AND('Assumptions - Passenger'!$E481=3,N853&lt;=('Assumptions - Passenger'!$E$479-'Assumptions - Passenger'!$E$480)),M860/(1+N854),0),0)</f>
        <v>0</v>
      </c>
      <c r="O860" s="126">
        <f>IF('Assumptions - Passenger'!$E$473&lt;&gt;0,IF(AND('Assumptions - Passenger'!$E481=3,O853&lt;=('Assumptions - Passenger'!$E$479-'Assumptions - Passenger'!$E$480)),N860/(1+O854),0),0)</f>
        <v>0</v>
      </c>
      <c r="P860" s="126">
        <f>IF('Assumptions - Passenger'!$E$473&lt;&gt;0,IF(AND('Assumptions - Passenger'!$E481=3,P853&lt;=('Assumptions - Passenger'!$E$479-'Assumptions - Passenger'!$E$480)),O860/(1+P854),0),0)</f>
        <v>0</v>
      </c>
      <c r="Q860" s="126">
        <f>IF('Assumptions - Passenger'!$E$473&lt;&gt;0,IF(AND('Assumptions - Passenger'!$E481=3,Q853&lt;=('Assumptions - Passenger'!$E$479-'Assumptions - Passenger'!$E$480)),P860/(1+Q854),0),0)</f>
        <v>0</v>
      </c>
      <c r="R860" s="126">
        <f>IF('Assumptions - Passenger'!$E$473&lt;&gt;0,IF(AND('Assumptions - Passenger'!$E481=3,R853&lt;=('Assumptions - Passenger'!$E$479-'Assumptions - Passenger'!$E$480)),Q860/(1+R854),0),0)</f>
        <v>0</v>
      </c>
      <c r="S860" s="126">
        <f>IF('Assumptions - Passenger'!$E$473&lt;&gt;0,IF(AND('Assumptions - Passenger'!$E481=3,S853&lt;=('Assumptions - Passenger'!$E$479-'Assumptions - Passenger'!$E$480)),R860/(1+S854),0),0)</f>
        <v>0</v>
      </c>
      <c r="T860" s="126">
        <f>IF('Assumptions - Passenger'!$E$473&lt;&gt;0,IF(AND('Assumptions - Passenger'!$E481=3,T853&lt;=('Assumptions - Passenger'!$E$479-'Assumptions - Passenger'!$E$480)),S860/(1+T854),0),0)</f>
        <v>0</v>
      </c>
      <c r="U860" s="126">
        <f>IF('Assumptions - Passenger'!$E$473&lt;&gt;0,IF(AND('Assumptions - Passenger'!$E481=3,U853&lt;=('Assumptions - Passenger'!$E$479-'Assumptions - Passenger'!$E$480)),T860/(1+U854),0),0)</f>
        <v>0</v>
      </c>
      <c r="V860" s="126">
        <f>IF('Assumptions - Passenger'!$E$473&lt;&gt;0,IF(AND('Assumptions - Passenger'!$E481=3,V853&lt;=('Assumptions - Passenger'!$E$479-'Assumptions - Passenger'!$E$480)),U860/(1+V854),0),0)</f>
        <v>0</v>
      </c>
      <c r="W860" s="126">
        <f>IF('Assumptions - Passenger'!$E$473&lt;&gt;0,IF(AND('Assumptions - Passenger'!$E481=3,W853&lt;=('Assumptions - Passenger'!$E$479-'Assumptions - Passenger'!$E$480)),V860/(1+W854),0),0)</f>
        <v>0</v>
      </c>
      <c r="X860" s="126">
        <f>IF('Assumptions - Passenger'!$E$473&lt;&gt;0,IF(AND('Assumptions - Passenger'!$E481=3,X853&lt;=('Assumptions - Passenger'!$E$479-'Assumptions - Passenger'!$E$480)),W860/(1+X854),0),0)</f>
        <v>0</v>
      </c>
      <c r="Y860" s="126">
        <f>IF('Assumptions - Passenger'!$E$473&lt;&gt;0,IF(AND('Assumptions - Passenger'!$E481=3,Y853&lt;=('Assumptions - Passenger'!$E$479-'Assumptions - Passenger'!$E$480)),X860/(1+Y854),0),0)</f>
        <v>0</v>
      </c>
      <c r="Z860" s="126">
        <f>IF('Assumptions - Passenger'!$E$473&lt;&gt;0,IF(AND('Assumptions - Passenger'!$E481=3,Z853&lt;=('Assumptions - Passenger'!$E$479-'Assumptions - Passenger'!$E$480)),Y860/(1+Z854),0),0)</f>
        <v>0</v>
      </c>
      <c r="AA860" s="126">
        <f>IF('Assumptions - Passenger'!$E$473&lt;&gt;0,IF(AND('Assumptions - Passenger'!$E481=3,AA853&lt;=('Assumptions - Passenger'!$E$479-'Assumptions - Passenger'!$E$480)),Z860/(1+AA854),0),0)</f>
        <v>0</v>
      </c>
      <c r="AB860" s="126">
        <f>IF('Assumptions - Passenger'!$E$473&lt;&gt;0,IF(AND('Assumptions - Passenger'!$E481=3,AB853&lt;=('Assumptions - Passenger'!$E$479-'Assumptions - Passenger'!$E$480)),AA860/(1+AB854),0),0)</f>
        <v>0</v>
      </c>
      <c r="AC860" s="126">
        <f>IF('Assumptions - Passenger'!$E$473&lt;&gt;0,IF(AND('Assumptions - Passenger'!$E481=3,AC853&lt;=('Assumptions - Passenger'!$E$479-'Assumptions - Passenger'!$E$480)),AB860/(1+AC854),0),0)</f>
        <v>0</v>
      </c>
      <c r="AD860" s="126">
        <f>IF('Assumptions - Passenger'!$E$473&lt;&gt;0,IF(AND('Assumptions - Passenger'!$E481=3,AD853&lt;=('Assumptions - Passenger'!$E$479-'Assumptions - Passenger'!$E$480)),AC860/(1+AD854),0),0)</f>
        <v>0</v>
      </c>
      <c r="AE860" s="126">
        <f>IF('Assumptions - Passenger'!$E$473&lt;&gt;0,IF(AND('Assumptions - Passenger'!$E481=3,AE853&lt;=('Assumptions - Passenger'!$E$479-'Assumptions - Passenger'!$E$480)),AD860/(1+AE854),0),0)</f>
        <v>0</v>
      </c>
      <c r="AF860" s="126">
        <f>IF('Assumptions - Passenger'!$E$473&lt;&gt;0,IF(AND('Assumptions - Passenger'!$E481=3,AF853&lt;=('Assumptions - Passenger'!$E$479-'Assumptions - Passenger'!$E$480)),AE860/(1+AF854),0),0)</f>
        <v>0</v>
      </c>
      <c r="AG860" s="126">
        <f>IF('Assumptions - Passenger'!$E$473&lt;&gt;0,IF(AND('Assumptions - Passenger'!$E481=3,AG853&lt;=('Assumptions - Passenger'!$E$479-'Assumptions - Passenger'!$E$480)),AF860/(1+AG854),0),0)</f>
        <v>0</v>
      </c>
      <c r="AH860" s="126">
        <f>IF('Assumptions - Passenger'!$E$473&lt;&gt;0,IF(AND('Assumptions - Passenger'!$E481=3,AH853&lt;=('Assumptions - Passenger'!$E$479-'Assumptions - Passenger'!$E$480)),AG860/(1+AH854),0),0)</f>
        <v>0</v>
      </c>
    </row>
    <row r="861" spans="1:34" s="20" customFormat="1" ht="14" x14ac:dyDescent="0.2">
      <c r="A861" s="8"/>
      <c r="B861" s="125" t="s">
        <v>679</v>
      </c>
      <c r="C861" s="8"/>
      <c r="D861" s="8" t="str">
        <f>D859</f>
        <v>R$ millions</v>
      </c>
      <c r="E861" s="126">
        <f>IF('Assumptions - Passenger'!$E$473&lt;&gt;0,IF('Assumptions - Passenger'!$E481=3,E854*E855,0),0)</f>
        <v>0</v>
      </c>
      <c r="F861" s="126">
        <f>IF('Assumptions - Passenger'!$E$473&lt;&gt;0,IF('Assumptions - Passenger'!$E481=3,F854*F855,0),0)</f>
        <v>0</v>
      </c>
      <c r="G861" s="126">
        <f>IF('Assumptions - Passenger'!$E$473&lt;&gt;0,IF('Assumptions - Passenger'!$E481=3,G854*G855,0),0)</f>
        <v>0</v>
      </c>
      <c r="H861" s="126">
        <f>IF('Assumptions - Passenger'!$E$473&lt;&gt;0,IF('Assumptions - Passenger'!$E481=3,H854*H855,0),0)</f>
        <v>0</v>
      </c>
      <c r="I861" s="126">
        <f>IF('Assumptions - Passenger'!$E$473&lt;&gt;0,IF('Assumptions - Passenger'!$E481=3,I854*I855,0),0)</f>
        <v>0</v>
      </c>
      <c r="J861" s="126">
        <f>IF('Assumptions - Passenger'!$E$473&lt;&gt;0,IF('Assumptions - Passenger'!$E481=3,J854*J855,0),0)</f>
        <v>0</v>
      </c>
      <c r="K861" s="126">
        <f>IF('Assumptions - Passenger'!$E$473&lt;&gt;0,IF('Assumptions - Passenger'!$E481=3,K854*K855,0),0)</f>
        <v>0</v>
      </c>
      <c r="L861" s="126">
        <f>IF('Assumptions - Passenger'!$E$473&lt;&gt;0,IF('Assumptions - Passenger'!$E481=3,L854*L855,0),0)</f>
        <v>0</v>
      </c>
      <c r="M861" s="126">
        <f>IF('Assumptions - Passenger'!$E$473&lt;&gt;0,IF('Assumptions - Passenger'!$E481=3,M854*M855,0),0)</f>
        <v>0</v>
      </c>
      <c r="N861" s="126">
        <f>IF('Assumptions - Passenger'!$E$473&lt;&gt;0,IF('Assumptions - Passenger'!$E481=3,N854*N855,0),0)</f>
        <v>0</v>
      </c>
      <c r="O861" s="126">
        <f>IF('Assumptions - Passenger'!$E$473&lt;&gt;0,IF('Assumptions - Passenger'!$E481=3,O854*O855,0),0)</f>
        <v>0</v>
      </c>
      <c r="P861" s="126">
        <f>IF('Assumptions - Passenger'!$E$473&lt;&gt;0,IF('Assumptions - Passenger'!$E481=3,P854*P855,0),0)</f>
        <v>0</v>
      </c>
      <c r="Q861" s="126">
        <f>IF('Assumptions - Passenger'!$E$473&lt;&gt;0,IF('Assumptions - Passenger'!$E481=3,Q854*Q855,0),0)</f>
        <v>0</v>
      </c>
      <c r="R861" s="126">
        <f>IF('Assumptions - Passenger'!$E$473&lt;&gt;0,IF('Assumptions - Passenger'!$E481=3,R854*R855,0),0)</f>
        <v>0</v>
      </c>
      <c r="S861" s="126">
        <f>IF('Assumptions - Passenger'!$E$473&lt;&gt;0,IF('Assumptions - Passenger'!$E481=3,S854*S855,0),0)</f>
        <v>0</v>
      </c>
      <c r="T861" s="126">
        <f>IF('Assumptions - Passenger'!$E$473&lt;&gt;0,IF('Assumptions - Passenger'!$E481=3,T854*T855,0),0)</f>
        <v>0</v>
      </c>
      <c r="U861" s="126">
        <f>IF('Assumptions - Passenger'!$E$473&lt;&gt;0,IF('Assumptions - Passenger'!$E481=3,U854*U855,0),0)</f>
        <v>0</v>
      </c>
      <c r="V861" s="126">
        <f>IF('Assumptions - Passenger'!$E$473&lt;&gt;0,IF('Assumptions - Passenger'!$E481=3,V854*V855,0),0)</f>
        <v>0</v>
      </c>
      <c r="W861" s="126">
        <f>IF('Assumptions - Passenger'!$E$473&lt;&gt;0,IF('Assumptions - Passenger'!$E481=3,W854*W855,0),0)</f>
        <v>0</v>
      </c>
      <c r="X861" s="126">
        <f>IF('Assumptions - Passenger'!$E$473&lt;&gt;0,IF('Assumptions - Passenger'!$E481=3,X854*X855,0),0)</f>
        <v>0</v>
      </c>
      <c r="Y861" s="126">
        <f>IF('Assumptions - Passenger'!$E$473&lt;&gt;0,IF('Assumptions - Passenger'!$E481=3,Y854*Y855,0),0)</f>
        <v>0</v>
      </c>
      <c r="Z861" s="126">
        <f>IF('Assumptions - Passenger'!$E$473&lt;&gt;0,IF('Assumptions - Passenger'!$E481=3,Z854*Z855,0),0)</f>
        <v>0</v>
      </c>
      <c r="AA861" s="126">
        <f>IF('Assumptions - Passenger'!$E$473&lt;&gt;0,IF('Assumptions - Passenger'!$E481=3,AA854*AA855,0),0)</f>
        <v>0</v>
      </c>
      <c r="AB861" s="126">
        <f>IF('Assumptions - Passenger'!$E$473&lt;&gt;0,IF('Assumptions - Passenger'!$E481=3,AB854*AB855,0),0)</f>
        <v>0</v>
      </c>
      <c r="AC861" s="126">
        <f>IF('Assumptions - Passenger'!$E$473&lt;&gt;0,IF('Assumptions - Passenger'!$E481=3,AC854*AC855,0),0)</f>
        <v>0</v>
      </c>
      <c r="AD861" s="126">
        <f>IF('Assumptions - Passenger'!$E$473&lt;&gt;0,IF('Assumptions - Passenger'!$E481=3,AD854*AD855,0),0)</f>
        <v>0</v>
      </c>
      <c r="AE861" s="126">
        <f>IF('Assumptions - Passenger'!$E$473&lt;&gt;0,IF('Assumptions - Passenger'!$E481=3,AE854*AE855,0),0)</f>
        <v>0</v>
      </c>
      <c r="AF861" s="126">
        <f>IF('Assumptions - Passenger'!$E$473&lt;&gt;0,IF('Assumptions - Passenger'!$E481=3,AF854*AF855,0),0)</f>
        <v>0</v>
      </c>
      <c r="AG861" s="126">
        <f>IF('Assumptions - Passenger'!$E$473&lt;&gt;0,IF('Assumptions - Passenger'!$E481=3,AG854*AG855,0),0)</f>
        <v>0</v>
      </c>
      <c r="AH861" s="126">
        <f>IF('Assumptions - Passenger'!$E$473&lt;&gt;0,IF('Assumptions - Passenger'!$E481=3,AH854*AH855,0),0)</f>
        <v>0</v>
      </c>
    </row>
    <row r="862" spans="1:34" s="20" customFormat="1" ht="14" x14ac:dyDescent="0.2">
      <c r="A862" s="8"/>
      <c r="B862" s="8" t="s">
        <v>137</v>
      </c>
      <c r="C862" s="8"/>
      <c r="D862" s="8" t="str">
        <f t="shared" si="341"/>
        <v>R$ millions</v>
      </c>
      <c r="E862" s="126">
        <f>IF(E$17=1,IF('Assumptions - Passenger'!$E$473&gt;0,'Assumptions - Passenger'!E474,0),0)</f>
        <v>0</v>
      </c>
      <c r="F862" s="126">
        <f>IF(F$17=1,IF('Assumptions - Passenger'!$E$473&gt;0,'Assumptions - Passenger'!F474,0),0)</f>
        <v>0</v>
      </c>
      <c r="G862" s="126">
        <f>IF(G$17=1,IF('Assumptions - Passenger'!$E$473&gt;0,'Assumptions - Passenger'!G474,0),0)</f>
        <v>10</v>
      </c>
      <c r="H862" s="126">
        <f>IF(H$17=1,IF('Assumptions - Passenger'!$E$473&gt;0,'Assumptions - Passenger'!H474,0),0)</f>
        <v>10</v>
      </c>
      <c r="I862" s="126">
        <f>IF(I$17=1,IF('Assumptions - Passenger'!$E$473&gt;0,'Assumptions - Passenger'!I474,0),0)</f>
        <v>10</v>
      </c>
      <c r="J862" s="126">
        <f>IF(J$17=1,IF('Assumptions - Passenger'!$E$473&gt;0,'Assumptions - Passenger'!J474,0),0)</f>
        <v>10</v>
      </c>
      <c r="K862" s="126">
        <f>IF(K$17=1,IF('Assumptions - Passenger'!$E$473&gt;0,'Assumptions - Passenger'!K474,0),0)</f>
        <v>10</v>
      </c>
      <c r="L862" s="126">
        <f>IF(L$17=1,IF('Assumptions - Passenger'!$E$473&gt;0,'Assumptions - Passenger'!L474,0),0)</f>
        <v>0</v>
      </c>
      <c r="M862" s="126">
        <f>IF(M$17=1,IF('Assumptions - Passenger'!$E$473&gt;0,'Assumptions - Passenger'!M474,0),0)</f>
        <v>0</v>
      </c>
      <c r="N862" s="126">
        <f>IF(N$17=1,IF('Assumptions - Passenger'!$E$473&gt;0,'Assumptions - Passenger'!N474,0),0)</f>
        <v>0</v>
      </c>
      <c r="O862" s="126">
        <f>IF(O$17=1,IF('Assumptions - Passenger'!$E$473&gt;0,'Assumptions - Passenger'!O474,0),0)</f>
        <v>0</v>
      </c>
      <c r="P862" s="126">
        <f>IF(P$17=1,IF('Assumptions - Passenger'!$E$473&gt;0,'Assumptions - Passenger'!P474,0),0)</f>
        <v>0</v>
      </c>
      <c r="Q862" s="126">
        <f>IF(Q$17=1,IF('Assumptions - Passenger'!$E$473&gt;0,'Assumptions - Passenger'!Q474,0),0)</f>
        <v>0</v>
      </c>
      <c r="R862" s="126">
        <f>IF(R$17=1,IF('Assumptions - Passenger'!$E$473&gt;0,'Assumptions - Passenger'!R474,0),0)</f>
        <v>0</v>
      </c>
      <c r="S862" s="126">
        <f>IF(S$17=1,IF('Assumptions - Passenger'!$E$473&gt;0,'Assumptions - Passenger'!S474,0),0)</f>
        <v>0</v>
      </c>
      <c r="T862" s="126">
        <f>IF(T$17=1,IF('Assumptions - Passenger'!$E$473&gt;0,'Assumptions - Passenger'!T474,0),0)</f>
        <v>0</v>
      </c>
      <c r="U862" s="126">
        <f>IF(U$17=1,IF('Assumptions - Passenger'!$E$473&gt;0,'Assumptions - Passenger'!U474,0),0)</f>
        <v>0</v>
      </c>
      <c r="V862" s="126">
        <f>IF(V$17=1,IF('Assumptions - Passenger'!$E$473&gt;0,'Assumptions - Passenger'!V474,0),0)</f>
        <v>0</v>
      </c>
      <c r="W862" s="126">
        <f>IF(W$17=1,IF('Assumptions - Passenger'!$E$473&gt;0,'Assumptions - Passenger'!W474,0),0)</f>
        <v>0</v>
      </c>
      <c r="X862" s="126">
        <f>IF(X$17=1,IF('Assumptions - Passenger'!$E$473&gt;0,'Assumptions - Passenger'!X474,0),0)</f>
        <v>0</v>
      </c>
      <c r="Y862" s="126">
        <f>IF(Y$17=1,IF('Assumptions - Passenger'!$E$473&gt;0,'Assumptions - Passenger'!Y474,0),0)</f>
        <v>0</v>
      </c>
      <c r="Z862" s="126">
        <f>IF(Z$17=1,IF('Assumptions - Passenger'!$E$473&gt;0,'Assumptions - Passenger'!Z474,0),0)</f>
        <v>0</v>
      </c>
      <c r="AA862" s="126">
        <f>IF(AA$17=1,IF('Assumptions - Passenger'!$E$473&gt;0,'Assumptions - Passenger'!AA474,0),0)</f>
        <v>0</v>
      </c>
      <c r="AB862" s="126">
        <f>IF(AB$17=1,IF('Assumptions - Passenger'!$E$473&gt;0,'Assumptions - Passenger'!AB474,0),0)</f>
        <v>0</v>
      </c>
      <c r="AC862" s="126">
        <f>IF(AC$17=1,IF('Assumptions - Passenger'!$E$473&gt;0,'Assumptions - Passenger'!AC474,0),0)</f>
        <v>0</v>
      </c>
      <c r="AD862" s="126">
        <f>IF(AD$17=1,IF('Assumptions - Passenger'!$E$473&gt;0,'Assumptions - Passenger'!AD474,0),0)</f>
        <v>0</v>
      </c>
      <c r="AE862" s="126">
        <f>IF(AE$17=1,IF('Assumptions - Passenger'!$E$473&gt;0,'Assumptions - Passenger'!AE474,0),0)</f>
        <v>0</v>
      </c>
      <c r="AF862" s="126">
        <f>IF(AF$17=1,IF('Assumptions - Passenger'!$E$473&gt;0,'Assumptions - Passenger'!AF474,0),0)</f>
        <v>0</v>
      </c>
      <c r="AG862" s="126">
        <f>IF(AG$17=1,IF('Assumptions - Passenger'!$E$473&gt;0,'Assumptions - Passenger'!AG474,0),0)</f>
        <v>0</v>
      </c>
      <c r="AH862" s="126">
        <f>IF(AH$17=1,IF('Assumptions - Passenger'!$E$473&gt;0,'Assumptions - Passenger'!AH474,0),0)</f>
        <v>0</v>
      </c>
    </row>
    <row r="863" spans="1:34" s="20" customFormat="1" ht="14" x14ac:dyDescent="0.2">
      <c r="A863" s="8"/>
      <c r="B863" s="8" t="s">
        <v>138</v>
      </c>
      <c r="C863" s="8"/>
      <c r="D863" s="8" t="str">
        <f t="shared" si="341"/>
        <v>R$ millions</v>
      </c>
      <c r="E863" s="126">
        <f>IF('Assumptions - Passenger'!$E$473&lt;&gt;0,E855-E856+E862,0)</f>
        <v>0</v>
      </c>
      <c r="F863" s="126">
        <f>IF('Assumptions - Passenger'!$E$473&lt;&gt;0,F855-F856+F862,0)</f>
        <v>0</v>
      </c>
      <c r="G863" s="126">
        <f>IF('Assumptions - Passenger'!$E$473&lt;&gt;0,G855-G856+G862,0)</f>
        <v>10</v>
      </c>
      <c r="H863" s="126">
        <f>IF('Assumptions - Passenger'!$E$473&lt;&gt;0,H855-H856+H862,0)</f>
        <v>20</v>
      </c>
      <c r="I863" s="126">
        <f>IF('Assumptions - Passenger'!$E$473&lt;&gt;0,I855-I856+I862,0)</f>
        <v>30</v>
      </c>
      <c r="J863" s="126">
        <f>IF('Assumptions - Passenger'!$E$473&lt;&gt;0,J855-J856+J862,0)</f>
        <v>40</v>
      </c>
      <c r="K863" s="126">
        <f>IF('Assumptions - Passenger'!$E$473&lt;&gt;0,K855-K856+K862,0)</f>
        <v>50</v>
      </c>
      <c r="L863" s="126">
        <f>IF('Assumptions - Passenger'!$E$473&lt;&gt;0,L855-L856+L862,0)</f>
        <v>50</v>
      </c>
      <c r="M863" s="126">
        <f>IF('Assumptions - Passenger'!$E$473&lt;&gt;0,M855-M856+M862,0)</f>
        <v>50</v>
      </c>
      <c r="N863" s="126">
        <f>IF('Assumptions - Passenger'!$E$473&lt;&gt;0,N855-N856+N862,0)</f>
        <v>50</v>
      </c>
      <c r="O863" s="126">
        <f>IF('Assumptions - Passenger'!$E$473&lt;&gt;0,O855-O856+O862,0)</f>
        <v>50</v>
      </c>
      <c r="P863" s="126">
        <f>IF('Assumptions - Passenger'!$E$473&lt;&gt;0,P855-P856+P862,0)</f>
        <v>50</v>
      </c>
      <c r="Q863" s="126">
        <f>IF('Assumptions - Passenger'!$E$473&lt;&gt;0,Q855-Q856+Q862,0)</f>
        <v>50</v>
      </c>
      <c r="R863" s="126">
        <f>IF('Assumptions - Passenger'!$E$473&lt;&gt;0,R855-R856+R862,0)</f>
        <v>50</v>
      </c>
      <c r="S863" s="126">
        <f>IF('Assumptions - Passenger'!$E$473&lt;&gt;0,S855-S856+S862,0)</f>
        <v>50</v>
      </c>
      <c r="T863" s="126">
        <f>IF('Assumptions - Passenger'!$E$473&lt;&gt;0,T855-T856+T862,0)</f>
        <v>50</v>
      </c>
      <c r="U863" s="126">
        <f>IF('Assumptions - Passenger'!$E$473&lt;&gt;0,U855-U856+U862,0)</f>
        <v>50</v>
      </c>
      <c r="V863" s="126">
        <f>IF('Assumptions - Passenger'!$E$473&lt;&gt;0,V855-V856+V862,0)</f>
        <v>50</v>
      </c>
      <c r="W863" s="126">
        <f>IF('Assumptions - Passenger'!$E$473&lt;&gt;0,W855-W856+W862,0)</f>
        <v>50</v>
      </c>
      <c r="X863" s="126">
        <f>IF('Assumptions - Passenger'!$E$473&lt;&gt;0,X855-X856+X862,0)</f>
        <v>50</v>
      </c>
      <c r="Y863" s="126">
        <f>IF('Assumptions - Passenger'!$E$473&lt;&gt;0,Y855-Y856+Y862,0)</f>
        <v>50</v>
      </c>
      <c r="Z863" s="126">
        <f>IF('Assumptions - Passenger'!$E$473&lt;&gt;0,Z855-Z856+Z862,0)</f>
        <v>50</v>
      </c>
      <c r="AA863" s="126">
        <f>IF('Assumptions - Passenger'!$E$473&lt;&gt;0,AA855-AA856+AA862,0)</f>
        <v>50</v>
      </c>
      <c r="AB863" s="126">
        <f>IF('Assumptions - Passenger'!$E$473&lt;&gt;0,AB855-AB856+AB862,0)</f>
        <v>50</v>
      </c>
      <c r="AC863" s="126">
        <f>IF('Assumptions - Passenger'!$E$473&lt;&gt;0,AC855-AC856+AC862,0)</f>
        <v>50</v>
      </c>
      <c r="AD863" s="126">
        <f>IF('Assumptions - Passenger'!$E$473&lt;&gt;0,AD855-AD856+AD862,0)</f>
        <v>50</v>
      </c>
      <c r="AE863" s="126">
        <f>IF('Assumptions - Passenger'!$E$473&lt;&gt;0,AE855-AE856+AE862,0)</f>
        <v>0</v>
      </c>
      <c r="AF863" s="126">
        <f>IF('Assumptions - Passenger'!$E$473&lt;&gt;0,AF855-AF856+AF862,0)</f>
        <v>0</v>
      </c>
      <c r="AG863" s="126">
        <f>IF('Assumptions - Passenger'!$E$473&lt;&gt;0,AG855-AG856+AG862,0)</f>
        <v>0</v>
      </c>
      <c r="AH863" s="126">
        <f>IF('Assumptions - Passenger'!$E$473&lt;&gt;0,AH855-AH856+AH862,0)</f>
        <v>0</v>
      </c>
    </row>
    <row r="864" spans="1:34" s="20" customFormat="1" ht="14" x14ac:dyDescent="0.2">
      <c r="A864" s="8"/>
      <c r="B864" s="8" t="s">
        <v>139</v>
      </c>
      <c r="C864" s="8"/>
      <c r="D864" s="8" t="str">
        <f t="shared" si="341"/>
        <v>R$ millions</v>
      </c>
      <c r="E864" s="126">
        <f>IF(E$17=1,IF('Assumptions - Passenger'!$E$473&lt;&gt;0,IF(AND('Assumptions - Passenger'!$E$481=3,E853&gt;0),Calculations!E861,((E855+E863)/2)*E854),0),0)</f>
        <v>0</v>
      </c>
      <c r="F864" s="126">
        <f>IF(F$17=1,IF('Assumptions - Passenger'!$E$473&lt;&gt;0,IF(AND('Assumptions - Passenger'!$E$481=3,F853&gt;0),Calculations!F861,((F855+F863)/2)*F854),0),0)</f>
        <v>0</v>
      </c>
      <c r="G864" s="126">
        <f>IF(G$17=1,IF('Assumptions - Passenger'!$E$473&lt;&gt;0,IF(AND('Assumptions - Passenger'!$E$481=3,G853&gt;0),Calculations!G861,((G855+G863)/2)*G854),0),0)</f>
        <v>0.25</v>
      </c>
      <c r="H864" s="126">
        <f>IF(H$17=1,IF('Assumptions - Passenger'!$E$473&lt;&gt;0,IF(AND('Assumptions - Passenger'!$E$481=3,H853&gt;0),Calculations!H861,((H855+H863)/2)*H854),0),0)</f>
        <v>0.75</v>
      </c>
      <c r="I864" s="126">
        <f>IF(I$17=1,IF('Assumptions - Passenger'!$E$473&lt;&gt;0,IF(AND('Assumptions - Passenger'!$E$481=3,I853&gt;0),Calculations!I861,((I855+I863)/2)*I854),0),0)</f>
        <v>1.25</v>
      </c>
      <c r="J864" s="126">
        <f>IF(J$17=1,IF('Assumptions - Passenger'!$E$473&lt;&gt;0,IF(AND('Assumptions - Passenger'!$E$481=3,J853&gt;0),Calculations!J861,((J855+J863)/2)*J854),0),0)</f>
        <v>1.75</v>
      </c>
      <c r="K864" s="126">
        <f>IF(K$17=1,IF('Assumptions - Passenger'!$E$473&lt;&gt;0,IF(AND('Assumptions - Passenger'!$E$481=3,K853&gt;0),Calculations!K861,((K855+K863)/2)*K854),0),0)</f>
        <v>2.25</v>
      </c>
      <c r="L864" s="126">
        <f>IF(L$17=1,IF('Assumptions - Passenger'!$E$473&lt;&gt;0,IF(AND('Assumptions - Passenger'!$E$481=3,L853&gt;0),Calculations!L861,((L855+L863)/2)*L854),0),0)</f>
        <v>2.5</v>
      </c>
      <c r="M864" s="126">
        <f>IF(M$17=1,IF('Assumptions - Passenger'!$E$473&lt;&gt;0,IF(AND('Assumptions - Passenger'!$E$481=3,M853&gt;0),Calculations!M861,((M855+M863)/2)*M854),0),0)</f>
        <v>2.5</v>
      </c>
      <c r="N864" s="126">
        <f>IF(N$17=1,IF('Assumptions - Passenger'!$E$473&lt;&gt;0,IF(AND('Assumptions - Passenger'!$E$481=3,N853&gt;0),Calculations!N861,((N855+N863)/2)*N854),0),0)</f>
        <v>2.5</v>
      </c>
      <c r="O864" s="126">
        <f>IF(O$17=1,IF('Assumptions - Passenger'!$E$473&lt;&gt;0,IF(AND('Assumptions - Passenger'!$E$481=3,O853&gt;0),Calculations!O861,((O855+O863)/2)*O854),0),0)</f>
        <v>2.5</v>
      </c>
      <c r="P864" s="126">
        <f>IF(P$17=1,IF('Assumptions - Passenger'!$E$473&lt;&gt;0,IF(AND('Assumptions - Passenger'!$E$481=3,P853&gt;0),Calculations!P861,((P855+P863)/2)*P854),0),0)</f>
        <v>2.5</v>
      </c>
      <c r="Q864" s="126">
        <f>IF(Q$17=1,IF('Assumptions - Passenger'!$E$473&lt;&gt;0,IF(AND('Assumptions - Passenger'!$E$481=3,Q853&gt;0),Calculations!Q861,((Q855+Q863)/2)*Q854),0),0)</f>
        <v>2.5</v>
      </c>
      <c r="R864" s="126">
        <f>IF(R$17=1,IF('Assumptions - Passenger'!$E$473&lt;&gt;0,IF(AND('Assumptions - Passenger'!$E$481=3,R853&gt;0),Calculations!R861,((R855+R863)/2)*R854),0),0)</f>
        <v>2.5</v>
      </c>
      <c r="S864" s="126">
        <f>IF(S$17=1,IF('Assumptions - Passenger'!$E$473&lt;&gt;0,IF(AND('Assumptions - Passenger'!$E$481=3,S853&gt;0),Calculations!S861,((S855+S863)/2)*S854),0),0)</f>
        <v>2.5</v>
      </c>
      <c r="T864" s="126">
        <f>IF(T$17=1,IF('Assumptions - Passenger'!$E$473&lt;&gt;0,IF(AND('Assumptions - Passenger'!$E$481=3,T853&gt;0),Calculations!T861,((T855+T863)/2)*T854),0),0)</f>
        <v>2.5</v>
      </c>
      <c r="U864" s="126">
        <f>IF(U$17=1,IF('Assumptions - Passenger'!$E$473&lt;&gt;0,IF(AND('Assumptions - Passenger'!$E$481=3,U853&gt;0),Calculations!U861,((U855+U863)/2)*U854),0),0)</f>
        <v>2.5</v>
      </c>
      <c r="V864" s="126">
        <f>IF(V$17=1,IF('Assumptions - Passenger'!$E$473&lt;&gt;0,IF(AND('Assumptions - Passenger'!$E$481=3,V853&gt;0),Calculations!V861,((V855+V863)/2)*V854),0),0)</f>
        <v>2.5</v>
      </c>
      <c r="W864" s="126">
        <f>IF(W$17=1,IF('Assumptions - Passenger'!$E$473&lt;&gt;0,IF(AND('Assumptions - Passenger'!$E$481=3,W853&gt;0),Calculations!W861,((W855+W863)/2)*W854),0),0)</f>
        <v>2.5</v>
      </c>
      <c r="X864" s="126">
        <f>IF(X$17=1,IF('Assumptions - Passenger'!$E$473&lt;&gt;0,IF(AND('Assumptions - Passenger'!$E$481=3,X853&gt;0),Calculations!X861,((X855+X863)/2)*X854),0),0)</f>
        <v>2.5</v>
      </c>
      <c r="Y864" s="126">
        <f>IF(Y$17=1,IF('Assumptions - Passenger'!$E$473&lt;&gt;0,IF(AND('Assumptions - Passenger'!$E$481=3,Y853&gt;0),Calculations!Y861,((Y855+Y863)/2)*Y854),0),0)</f>
        <v>2.5</v>
      </c>
      <c r="Z864" s="126">
        <f>IF(Z$17=1,IF('Assumptions - Passenger'!$E$473&lt;&gt;0,IF(AND('Assumptions - Passenger'!$E$481=3,Z853&gt;0),Calculations!Z861,((Z855+Z863)/2)*Z854),0),0)</f>
        <v>2.5</v>
      </c>
      <c r="AA864" s="126">
        <f>IF(AA$17=1,IF('Assumptions - Passenger'!$E$473&lt;&gt;0,IF(AND('Assumptions - Passenger'!$E$481=3,AA853&gt;0),Calculations!AA861,((AA855+AA863)/2)*AA854),0),0)</f>
        <v>2.5</v>
      </c>
      <c r="AB864" s="126">
        <f>IF(AB$17=1,IF('Assumptions - Passenger'!$E$473&lt;&gt;0,IF(AND('Assumptions - Passenger'!$E$481=3,AB853&gt;0),Calculations!AB861,((AB855+AB863)/2)*AB854),0),0)</f>
        <v>2.5</v>
      </c>
      <c r="AC864" s="126">
        <f>IF(AC$17=1,IF('Assumptions - Passenger'!$E$473&lt;&gt;0,IF(AND('Assumptions - Passenger'!$E$481=3,AC853&gt;0),Calculations!AC861,((AC855+AC863)/2)*AC854),0),0)</f>
        <v>2.5</v>
      </c>
      <c r="AD864" s="126">
        <f>IF(AD$17=1,IF('Assumptions - Passenger'!$E$473&lt;&gt;0,IF(AND('Assumptions - Passenger'!$E$481=3,AD853&gt;0),Calculations!AD861,((AD855+AD863)/2)*AD854),0),0)</f>
        <v>2.5</v>
      </c>
      <c r="AE864" s="126">
        <f>IF(AE$17=1,IF('Assumptions - Passenger'!$E$473&lt;&gt;0,IF(AND('Assumptions - Passenger'!$E$481=3,AE853&gt;0),Calculations!AE861,((AE855+AE863)/2)*AE854),0),0)</f>
        <v>1.25</v>
      </c>
      <c r="AF864" s="126">
        <f>IF(AF$17=1,IF('Assumptions - Passenger'!$E$473&lt;&gt;0,IF(AND('Assumptions - Passenger'!$E$481=3,AF853&gt;0),Calculations!AF861,((AF855+AF863)/2)*AF854),0),0)</f>
        <v>0</v>
      </c>
      <c r="AG864" s="126">
        <f>IF(AG$17=1,IF('Assumptions - Passenger'!$E$473&lt;&gt;0,IF(AND('Assumptions - Passenger'!$E$481=3,AG853&gt;0),Calculations!AG861,((AG855+AG863)/2)*AG854),0),0)</f>
        <v>0</v>
      </c>
      <c r="AH864" s="126">
        <f>IF(AH$17=1,IF('Assumptions - Passenger'!$E$473&lt;&gt;0,IF(AND('Assumptions - Passenger'!$E$481=3,AH853&gt;0),Calculations!AH861,((AH855+AH863)/2)*AH854),0),0)</f>
        <v>0</v>
      </c>
    </row>
    <row r="865" spans="1:34" s="20" customFormat="1" ht="14" x14ac:dyDescent="0.2">
      <c r="A865" s="8"/>
      <c r="B865" s="8" t="s">
        <v>53</v>
      </c>
      <c r="C865" s="8"/>
      <c r="D865" s="8" t="str">
        <f t="shared" si="341"/>
        <v>R$ millions</v>
      </c>
      <c r="E865" s="126">
        <f>IF(E$17=1,IF('Assumptions - Passenger'!$E$470=Calculations!E$4,'Assumptions - Passenger'!$E$473*'Assumptions - Passenger'!$E$483,0),0)</f>
        <v>0</v>
      </c>
      <c r="F865" s="126">
        <f>IF(F$17=1,IF('Assumptions - Passenger'!$E$470=Calculations!F$4,'Assumptions - Passenger'!$E$473*'Assumptions - Passenger'!$E$483,0),0)</f>
        <v>0</v>
      </c>
      <c r="G865" s="126">
        <f>IF(G$17=1,IF('Assumptions - Passenger'!$E$470=Calculations!G$4,'Assumptions - Passenger'!$E$473*'Assumptions - Passenger'!$E$483,0),0)</f>
        <v>0.125</v>
      </c>
      <c r="H865" s="126">
        <f>IF(H$17=1,IF('Assumptions - Passenger'!$E$470=Calculations!H$4,'Assumptions - Passenger'!$E$473*'Assumptions - Passenger'!$E$483,0),0)</f>
        <v>0</v>
      </c>
      <c r="I865" s="126">
        <f>IF(I$17=1,IF('Assumptions - Passenger'!$E$470=Calculations!I$4,'Assumptions - Passenger'!$E$473*'Assumptions - Passenger'!$E$483,0),0)</f>
        <v>0</v>
      </c>
      <c r="J865" s="126">
        <f>IF(J$17=1,IF('Assumptions - Passenger'!$E$470=Calculations!J$4,'Assumptions - Passenger'!$E$473*'Assumptions - Passenger'!$E$483,0),0)</f>
        <v>0</v>
      </c>
      <c r="K865" s="126">
        <f>IF(K$17=1,IF('Assumptions - Passenger'!$E$470=Calculations!K$4,'Assumptions - Passenger'!$E$473*'Assumptions - Passenger'!$E$483,0),0)</f>
        <v>0</v>
      </c>
      <c r="L865" s="126">
        <f>IF(L$17=1,IF('Assumptions - Passenger'!$E$470=Calculations!L$4,'Assumptions - Passenger'!$E$473*'Assumptions - Passenger'!$E$483,0),0)</f>
        <v>0</v>
      </c>
      <c r="M865" s="126">
        <f>IF(M$17=1,IF('Assumptions - Passenger'!$E$470=Calculations!M$4,'Assumptions - Passenger'!$E$473*'Assumptions - Passenger'!$E$483,0),0)</f>
        <v>0</v>
      </c>
      <c r="N865" s="126">
        <f>IF(N$17=1,IF('Assumptions - Passenger'!$E$470=Calculations!N$4,'Assumptions - Passenger'!$E$473*'Assumptions - Passenger'!$E$483,0),0)</f>
        <v>0</v>
      </c>
      <c r="O865" s="126">
        <f>IF(O$17=1,IF('Assumptions - Passenger'!$E$470=Calculations!O$4,'Assumptions - Passenger'!$E$473*'Assumptions - Passenger'!$E$483,0),0)</f>
        <v>0</v>
      </c>
      <c r="P865" s="126">
        <f>IF(P$17=1,IF('Assumptions - Passenger'!$E$470=Calculations!P$4,'Assumptions - Passenger'!$E$473*'Assumptions - Passenger'!$E$483,0),0)</f>
        <v>0</v>
      </c>
      <c r="Q865" s="126">
        <f>IF(Q$17=1,IF('Assumptions - Passenger'!$E$470=Calculations!Q$4,'Assumptions - Passenger'!$E$473*'Assumptions - Passenger'!$E$483,0),0)</f>
        <v>0</v>
      </c>
      <c r="R865" s="126">
        <f>IF(R$17=1,IF('Assumptions - Passenger'!$E$470=Calculations!R$4,'Assumptions - Passenger'!$E$473*'Assumptions - Passenger'!$E$483,0),0)</f>
        <v>0</v>
      </c>
      <c r="S865" s="126">
        <f>IF(S$17=1,IF('Assumptions - Passenger'!$E$470=Calculations!S$4,'Assumptions - Passenger'!$E$473*'Assumptions - Passenger'!$E$483,0),0)</f>
        <v>0</v>
      </c>
      <c r="T865" s="126">
        <f>IF(T$17=1,IF('Assumptions - Passenger'!$E$470=Calculations!T$4,'Assumptions - Passenger'!$E$473*'Assumptions - Passenger'!$E$483,0),0)</f>
        <v>0</v>
      </c>
      <c r="U865" s="126">
        <f>IF(U$17=1,IF('Assumptions - Passenger'!$E$470=Calculations!U$4,'Assumptions - Passenger'!$E$473*'Assumptions - Passenger'!$E$483,0),0)</f>
        <v>0</v>
      </c>
      <c r="V865" s="126">
        <f>IF(V$17=1,IF('Assumptions - Passenger'!$E$470=Calculations!V$4,'Assumptions - Passenger'!$E$473*'Assumptions - Passenger'!$E$483,0),0)</f>
        <v>0</v>
      </c>
      <c r="W865" s="126">
        <f>IF(W$17=1,IF('Assumptions - Passenger'!$E$470=Calculations!W$4,'Assumptions - Passenger'!$E$473*'Assumptions - Passenger'!$E$483,0),0)</f>
        <v>0</v>
      </c>
      <c r="X865" s="126">
        <f>IF(X$17=1,IF('Assumptions - Passenger'!$E$470=Calculations!X$4,'Assumptions - Passenger'!$E$473*'Assumptions - Passenger'!$E$483,0),0)</f>
        <v>0</v>
      </c>
      <c r="Y865" s="126">
        <f>IF(Y$17=1,IF('Assumptions - Passenger'!$E$470=Calculations!Y$4,'Assumptions - Passenger'!$E$473*'Assumptions - Passenger'!$E$483,0),0)</f>
        <v>0</v>
      </c>
      <c r="Z865" s="126">
        <f>IF(Z$17=1,IF('Assumptions - Passenger'!$E$470=Calculations!Z$4,'Assumptions - Passenger'!$E$473*'Assumptions - Passenger'!$E$483,0),0)</f>
        <v>0</v>
      </c>
      <c r="AA865" s="126">
        <f>IF(AA$17=1,IF('Assumptions - Passenger'!$E$470=Calculations!AA$4,'Assumptions - Passenger'!$E$473*'Assumptions - Passenger'!$E$483,0),0)</f>
        <v>0</v>
      </c>
      <c r="AB865" s="126">
        <f>IF(AB$17=1,IF('Assumptions - Passenger'!$E$470=Calculations!AB$4,'Assumptions - Passenger'!$E$473*'Assumptions - Passenger'!$E$483,0),0)</f>
        <v>0</v>
      </c>
      <c r="AC865" s="126">
        <f>IF(AC$17=1,IF('Assumptions - Passenger'!$E$470=Calculations!AC$4,'Assumptions - Passenger'!$E$473*'Assumptions - Passenger'!$E$483,0),0)</f>
        <v>0</v>
      </c>
      <c r="AD865" s="126">
        <f>IF(AD$17=1,IF('Assumptions - Passenger'!$E$470=Calculations!AD$4,'Assumptions - Passenger'!$E$473*'Assumptions - Passenger'!$E$483,0),0)</f>
        <v>0</v>
      </c>
      <c r="AE865" s="126">
        <f>IF(AE$17=1,IF('Assumptions - Passenger'!$E$470=Calculations!AE$4,'Assumptions - Passenger'!$E$473*'Assumptions - Passenger'!$E$483,0),0)</f>
        <v>0</v>
      </c>
      <c r="AF865" s="126">
        <f>IF(AF$17=1,IF('Assumptions - Passenger'!$E$470=Calculations!AF$4,'Assumptions - Passenger'!$E$473*'Assumptions - Passenger'!$E$483,0),0)</f>
        <v>0</v>
      </c>
      <c r="AG865" s="126">
        <f>IF(AG$17=1,IF('Assumptions - Passenger'!$E$470=Calculations!AG$4,'Assumptions - Passenger'!$E$473*'Assumptions - Passenger'!$E$483,0),0)</f>
        <v>0</v>
      </c>
      <c r="AH865" s="126">
        <f>IF(AH$17=1,IF('Assumptions - Passenger'!$E$470=Calculations!AH$4,'Assumptions - Passenger'!$E$473*'Assumptions - Passenger'!$E$483,0),0)</f>
        <v>0</v>
      </c>
    </row>
    <row r="866" spans="1:34" s="20" customFormat="1" ht="14" x14ac:dyDescent="0.2">
      <c r="A866" s="8"/>
      <c r="B866" s="8" t="s">
        <v>142</v>
      </c>
      <c r="C866" s="8"/>
      <c r="D866" s="8" t="str">
        <f t="shared" si="341"/>
        <v>R$ millions</v>
      </c>
      <c r="E866" s="126">
        <f>IF(E$17=1,IF(AND(E$4&lt;=('Assumptions - Passenger'!$E$470+'Assumptions - Passenger'!$E$480),E$4&gt;='Assumptions - Passenger'!$E$470),'Assumptions - Passenger'!$E$473-Calculations!E855-E862,0),0)</f>
        <v>0</v>
      </c>
      <c r="F866" s="126">
        <f>IF(F$17=1,IF(AND(F$4&lt;=('Assumptions - Passenger'!$E$470+'Assumptions - Passenger'!$E$480),F$4&gt;='Assumptions - Passenger'!$E$470),'Assumptions - Passenger'!$E$473-Calculations!F855-F862,0),0)</f>
        <v>0</v>
      </c>
      <c r="G866" s="126">
        <f>IF(G$17=1,IF(AND(G$4&lt;=('Assumptions - Passenger'!$E$470+'Assumptions - Passenger'!$E$480),G$4&gt;='Assumptions - Passenger'!$E$470),'Assumptions - Passenger'!$E$473-Calculations!G855-G862,0),0)</f>
        <v>40</v>
      </c>
      <c r="H866" s="126">
        <f>IF(H$17=1,IF(AND(H$4&lt;=('Assumptions - Passenger'!$E$470+'Assumptions - Passenger'!$E$480),H$4&gt;='Assumptions - Passenger'!$E$470),'Assumptions - Passenger'!$E$473-Calculations!H855-H862,0),0)</f>
        <v>30</v>
      </c>
      <c r="I866" s="126">
        <f>IF(I$17=1,IF(AND(I$4&lt;=('Assumptions - Passenger'!$E$470+'Assumptions - Passenger'!$E$480),I$4&gt;='Assumptions - Passenger'!$E$470),'Assumptions - Passenger'!$E$473-Calculations!I855-I862,0),0)</f>
        <v>20</v>
      </c>
      <c r="J866" s="126">
        <f>IF(J$17=1,IF(AND(J$4&lt;=('Assumptions - Passenger'!$E$470+'Assumptions - Passenger'!$E$480),J$4&gt;='Assumptions - Passenger'!$E$470),'Assumptions - Passenger'!$E$473-Calculations!J855-J862,0),0)</f>
        <v>10</v>
      </c>
      <c r="K866" s="126">
        <f>IF(K$17=1,IF(AND(K$4&lt;=('Assumptions - Passenger'!$E$470+'Assumptions - Passenger'!$E$480),K$4&gt;='Assumptions - Passenger'!$E$470),'Assumptions - Passenger'!$E$473-Calculations!K855-K862,0),0)</f>
        <v>0</v>
      </c>
      <c r="L866" s="126">
        <f>IF(L$17=1,IF(AND(L$4&lt;=('Assumptions - Passenger'!$E$470+'Assumptions - Passenger'!$E$480),L$4&gt;='Assumptions - Passenger'!$E$470),'Assumptions - Passenger'!$E$473-Calculations!L855-L862,0),0)</f>
        <v>0</v>
      </c>
      <c r="M866" s="126">
        <f>IF(M$17=1,IF(AND(M$4&lt;=('Assumptions - Passenger'!$E$470+'Assumptions - Passenger'!$E$480),M$4&gt;='Assumptions - Passenger'!$E$470),'Assumptions - Passenger'!$E$473-Calculations!M855-M862,0),0)</f>
        <v>0</v>
      </c>
      <c r="N866" s="126">
        <f>IF(N$17=1,IF(AND(N$4&lt;=('Assumptions - Passenger'!$E$470+'Assumptions - Passenger'!$E$480),N$4&gt;='Assumptions - Passenger'!$E$470),'Assumptions - Passenger'!$E$473-Calculations!N855-N862,0),0)</f>
        <v>0</v>
      </c>
      <c r="O866" s="126">
        <f>IF(O$17=1,IF(AND(O$4&lt;=('Assumptions - Passenger'!$E$470+'Assumptions - Passenger'!$E$480),O$4&gt;='Assumptions - Passenger'!$E$470),'Assumptions - Passenger'!$E$473-Calculations!O855-O862,0),0)</f>
        <v>0</v>
      </c>
      <c r="P866" s="126">
        <f>IF(P$17=1,IF(AND(P$4&lt;=('Assumptions - Passenger'!$E$470+'Assumptions - Passenger'!$E$480),P$4&gt;='Assumptions - Passenger'!$E$470),'Assumptions - Passenger'!$E$473-Calculations!P855-P862,0),0)</f>
        <v>0</v>
      </c>
      <c r="Q866" s="126">
        <f>IF(Q$17=1,IF(AND(Q$4&lt;=('Assumptions - Passenger'!$E$470+'Assumptions - Passenger'!$E$480),Q$4&gt;='Assumptions - Passenger'!$E$470),'Assumptions - Passenger'!$E$473-Calculations!Q855-Q862,0),0)</f>
        <v>0</v>
      </c>
      <c r="R866" s="126">
        <f>IF(R$17=1,IF(AND(R$4&lt;=('Assumptions - Passenger'!$E$470+'Assumptions - Passenger'!$E$480),R$4&gt;='Assumptions - Passenger'!$E$470),'Assumptions - Passenger'!$E$473-Calculations!R855-R862,0),0)</f>
        <v>0</v>
      </c>
      <c r="S866" s="126">
        <f>IF(S$17=1,IF(AND(S$4&lt;=('Assumptions - Passenger'!$E$470+'Assumptions - Passenger'!$E$480),S$4&gt;='Assumptions - Passenger'!$E$470),'Assumptions - Passenger'!$E$473-Calculations!S855-S862,0),0)</f>
        <v>0</v>
      </c>
      <c r="T866" s="126">
        <f>IF(T$17=1,IF(AND(T$4&lt;=('Assumptions - Passenger'!$E$470+'Assumptions - Passenger'!$E$480),T$4&gt;='Assumptions - Passenger'!$E$470),'Assumptions - Passenger'!$E$473-Calculations!T855-T862,0),0)</f>
        <v>0</v>
      </c>
      <c r="U866" s="126">
        <f>IF(U$17=1,IF(AND(U$4&lt;=('Assumptions - Passenger'!$E$470+'Assumptions - Passenger'!$E$480),U$4&gt;='Assumptions - Passenger'!$E$470),'Assumptions - Passenger'!$E$473-Calculations!U855-U862,0),0)</f>
        <v>0</v>
      </c>
      <c r="V866" s="126">
        <f>IF(V$17=1,IF(AND(V$4&lt;=('Assumptions - Passenger'!$E$470+'Assumptions - Passenger'!$E$480),V$4&gt;='Assumptions - Passenger'!$E$470),'Assumptions - Passenger'!$E$473-Calculations!V855-V862,0),0)</f>
        <v>0</v>
      </c>
      <c r="W866" s="126">
        <f>IF(W$17=1,IF(AND(W$4&lt;=('Assumptions - Passenger'!$E$470+'Assumptions - Passenger'!$E$480),W$4&gt;='Assumptions - Passenger'!$E$470),'Assumptions - Passenger'!$E$473-Calculations!W855-W862,0),0)</f>
        <v>0</v>
      </c>
      <c r="X866" s="126">
        <f>IF(X$17=1,IF(AND(X$4&lt;=('Assumptions - Passenger'!$E$470+'Assumptions - Passenger'!$E$480),X$4&gt;='Assumptions - Passenger'!$E$470),'Assumptions - Passenger'!$E$473-Calculations!X855-X862,0),0)</f>
        <v>0</v>
      </c>
      <c r="Y866" s="126">
        <f>IF(Y$17=1,IF(AND(Y$4&lt;=('Assumptions - Passenger'!$E$470+'Assumptions - Passenger'!$E$480),Y$4&gt;='Assumptions - Passenger'!$E$470),'Assumptions - Passenger'!$E$473-Calculations!Y855-Y862,0),0)</f>
        <v>0</v>
      </c>
      <c r="Z866" s="126">
        <f>IF(Z$17=1,IF(AND(Z$4&lt;=('Assumptions - Passenger'!$E$470+'Assumptions - Passenger'!$E$480),Z$4&gt;='Assumptions - Passenger'!$E$470),'Assumptions - Passenger'!$E$473-Calculations!Z855-Z862,0),0)</f>
        <v>0</v>
      </c>
      <c r="AA866" s="126">
        <f>IF(AA$17=1,IF(AND(AA$4&lt;=('Assumptions - Passenger'!$E$470+'Assumptions - Passenger'!$E$480),AA$4&gt;='Assumptions - Passenger'!$E$470),'Assumptions - Passenger'!$E$473-Calculations!AA855-AA862,0),0)</f>
        <v>0</v>
      </c>
      <c r="AB866" s="126">
        <f>IF(AB$17=1,IF(AND(AB$4&lt;=('Assumptions - Passenger'!$E$470+'Assumptions - Passenger'!$E$480),AB$4&gt;='Assumptions - Passenger'!$E$470),'Assumptions - Passenger'!$E$473-Calculations!AB855-AB862,0),0)</f>
        <v>0</v>
      </c>
      <c r="AC866" s="126">
        <f>IF(AC$17=1,IF(AND(AC$4&lt;=('Assumptions - Passenger'!$E$470+'Assumptions - Passenger'!$E$480),AC$4&gt;='Assumptions - Passenger'!$E$470),'Assumptions - Passenger'!$E$473-Calculations!AC855-AC862,0),0)</f>
        <v>0</v>
      </c>
      <c r="AD866" s="126">
        <f>IF(AD$17=1,IF(AND(AD$4&lt;=('Assumptions - Passenger'!$E$470+'Assumptions - Passenger'!$E$480),AD$4&gt;='Assumptions - Passenger'!$E$470),'Assumptions - Passenger'!$E$473-Calculations!AD855-AD862,0),0)</f>
        <v>0</v>
      </c>
      <c r="AE866" s="126">
        <f>IF(AE$17=1,IF(AND(AE$4&lt;=('Assumptions - Passenger'!$E$470+'Assumptions - Passenger'!$E$480),AE$4&gt;='Assumptions - Passenger'!$E$470),'Assumptions - Passenger'!$E$473-Calculations!AE855-AE862,0),0)</f>
        <v>0</v>
      </c>
      <c r="AF866" s="126">
        <f>IF(AF$17=1,IF(AND(AF$4&lt;=('Assumptions - Passenger'!$E$470+'Assumptions - Passenger'!$E$480),AF$4&gt;='Assumptions - Passenger'!$E$470),'Assumptions - Passenger'!$E$473-Calculations!AF855-AF862,0),0)</f>
        <v>0</v>
      </c>
      <c r="AG866" s="126">
        <f>IF(AG$17=1,IF(AND(AG$4&lt;=('Assumptions - Passenger'!$E$470+'Assumptions - Passenger'!$E$480),AG$4&gt;='Assumptions - Passenger'!$E$470),'Assumptions - Passenger'!$E$473-Calculations!AG855-AG862,0),0)</f>
        <v>0</v>
      </c>
      <c r="AH866" s="126">
        <f>IF(AH$17=1,IF(AND(AH$4&lt;=('Assumptions - Passenger'!$E$470+'Assumptions - Passenger'!$E$480),AH$4&gt;='Assumptions - Passenger'!$E$470),'Assumptions - Passenger'!$E$473-Calculations!AH855-AH862,0),0)</f>
        <v>0</v>
      </c>
    </row>
    <row r="867" spans="1:34" s="20" customFormat="1" ht="14" x14ac:dyDescent="0.2">
      <c r="A867" s="8"/>
      <c r="B867" s="8" t="s">
        <v>55</v>
      </c>
      <c r="C867" s="8"/>
      <c r="D867" s="8" t="str">
        <f t="shared" si="341"/>
        <v>R$ millions</v>
      </c>
      <c r="E867" s="126">
        <f>IF(E$17=1,'Assumptions - Passenger'!$E$484*Calculations!E866,0)</f>
        <v>0</v>
      </c>
      <c r="F867" s="126">
        <f>IF(F$17=1,'Assumptions - Passenger'!$E$484*Calculations!F866,0)</f>
        <v>0</v>
      </c>
      <c r="G867" s="126">
        <f>IF(G$17=1,'Assumptions - Passenger'!$E$484*Calculations!G866,0)</f>
        <v>0</v>
      </c>
      <c r="H867" s="126">
        <f>IF(H$17=1,'Assumptions - Passenger'!$E$484*Calculations!H866,0)</f>
        <v>0</v>
      </c>
      <c r="I867" s="126">
        <f>IF(I$17=1,'Assumptions - Passenger'!$E$484*Calculations!I866,0)</f>
        <v>0</v>
      </c>
      <c r="J867" s="126">
        <f>IF(J$17=1,'Assumptions - Passenger'!$E$484*Calculations!J866,0)</f>
        <v>0</v>
      </c>
      <c r="K867" s="126">
        <f>IF(K$17=1,'Assumptions - Passenger'!$E$484*Calculations!K866,0)</f>
        <v>0</v>
      </c>
      <c r="L867" s="126">
        <f>IF(L$17=1,'Assumptions - Passenger'!$E$484*Calculations!L866,0)</f>
        <v>0</v>
      </c>
      <c r="M867" s="126">
        <f>IF(M$17=1,'Assumptions - Passenger'!$E$484*Calculations!M866,0)</f>
        <v>0</v>
      </c>
      <c r="N867" s="126">
        <f>IF(N$17=1,'Assumptions - Passenger'!$E$484*Calculations!N866,0)</f>
        <v>0</v>
      </c>
      <c r="O867" s="126">
        <f>IF(O$17=1,'Assumptions - Passenger'!$E$484*Calculations!O866,0)</f>
        <v>0</v>
      </c>
      <c r="P867" s="126">
        <f>IF(P$17=1,'Assumptions - Passenger'!$E$484*Calculations!P866,0)</f>
        <v>0</v>
      </c>
      <c r="Q867" s="126">
        <f>IF(Q$17=1,'Assumptions - Passenger'!$E$484*Calculations!Q866,0)</f>
        <v>0</v>
      </c>
      <c r="R867" s="126">
        <f>IF(R$17=1,'Assumptions - Passenger'!$E$484*Calculations!R866,0)</f>
        <v>0</v>
      </c>
      <c r="S867" s="126">
        <f>IF(S$17=1,'Assumptions - Passenger'!$E$484*Calculations!S866,0)</f>
        <v>0</v>
      </c>
      <c r="T867" s="126">
        <f>IF(T$17=1,'Assumptions - Passenger'!$E$484*Calculations!T866,0)</f>
        <v>0</v>
      </c>
      <c r="U867" s="126">
        <f>IF(U$17=1,'Assumptions - Passenger'!$E$484*Calculations!U866,0)</f>
        <v>0</v>
      </c>
      <c r="V867" s="126">
        <f>IF(V$17=1,'Assumptions - Passenger'!$E$484*Calculations!V866,0)</f>
        <v>0</v>
      </c>
      <c r="W867" s="126">
        <f>IF(W$17=1,'Assumptions - Passenger'!$E$484*Calculations!W866,0)</f>
        <v>0</v>
      </c>
      <c r="X867" s="126">
        <f>IF(X$17=1,'Assumptions - Passenger'!$E$484*Calculations!X866,0)</f>
        <v>0</v>
      </c>
      <c r="Y867" s="126">
        <f>IF(Y$17=1,'Assumptions - Passenger'!$E$484*Calculations!Y866,0)</f>
        <v>0</v>
      </c>
      <c r="Z867" s="126">
        <f>IF(Z$17=1,'Assumptions - Passenger'!$E$484*Calculations!Z866,0)</f>
        <v>0</v>
      </c>
      <c r="AA867" s="126">
        <f>IF(AA$17=1,'Assumptions - Passenger'!$E$484*Calculations!AA866,0)</f>
        <v>0</v>
      </c>
      <c r="AB867" s="126">
        <f>IF(AB$17=1,'Assumptions - Passenger'!$E$484*Calculations!AB866,0)</f>
        <v>0</v>
      </c>
      <c r="AC867" s="126">
        <f>IF(AC$17=1,'Assumptions - Passenger'!$E$484*Calculations!AC866,0)</f>
        <v>0</v>
      </c>
      <c r="AD867" s="126">
        <f>IF(AD$17=1,'Assumptions - Passenger'!$E$484*Calculations!AD866,0)</f>
        <v>0</v>
      </c>
      <c r="AE867" s="126">
        <f>IF(AE$17=1,'Assumptions - Passenger'!$E$484*Calculations!AE866,0)</f>
        <v>0</v>
      </c>
      <c r="AF867" s="126">
        <f>IF(AF$17=1,'Assumptions - Passenger'!$E$484*Calculations!AF866,0)</f>
        <v>0</v>
      </c>
      <c r="AG867" s="126">
        <f>IF(AG$17=1,'Assumptions - Passenger'!$E$484*Calculations!AG866,0)</f>
        <v>0</v>
      </c>
      <c r="AH867" s="126">
        <f>IF(AH$17=1,'Assumptions - Passenger'!$E$484*Calculations!AH866,0)</f>
        <v>0</v>
      </c>
    </row>
    <row r="868" spans="1:34" s="20" customFormat="1" ht="14" x14ac:dyDescent="0.2">
      <c r="A868" s="8"/>
      <c r="B868" s="8" t="s">
        <v>140</v>
      </c>
      <c r="C868" s="8"/>
      <c r="D868" s="8" t="str">
        <f t="shared" si="341"/>
        <v>R$ millions</v>
      </c>
      <c r="E868" s="126">
        <f>E856+E864+E865+E867</f>
        <v>0</v>
      </c>
      <c r="F868" s="126">
        <f t="shared" ref="F868:AH868" si="342">F856+F864+F865+F867</f>
        <v>0</v>
      </c>
      <c r="G868" s="126">
        <f t="shared" si="342"/>
        <v>0.375</v>
      </c>
      <c r="H868" s="126">
        <f t="shared" si="342"/>
        <v>0.75</v>
      </c>
      <c r="I868" s="126">
        <f t="shared" si="342"/>
        <v>1.25</v>
      </c>
      <c r="J868" s="126">
        <f t="shared" si="342"/>
        <v>1.75</v>
      </c>
      <c r="K868" s="126">
        <f t="shared" si="342"/>
        <v>2.25</v>
      </c>
      <c r="L868" s="126">
        <f t="shared" si="342"/>
        <v>2.5</v>
      </c>
      <c r="M868" s="126">
        <f t="shared" si="342"/>
        <v>2.5</v>
      </c>
      <c r="N868" s="126">
        <f t="shared" si="342"/>
        <v>2.5</v>
      </c>
      <c r="O868" s="126">
        <f t="shared" si="342"/>
        <v>2.5</v>
      </c>
      <c r="P868" s="126">
        <f t="shared" si="342"/>
        <v>2.5</v>
      </c>
      <c r="Q868" s="126">
        <f t="shared" si="342"/>
        <v>2.5</v>
      </c>
      <c r="R868" s="126">
        <f t="shared" si="342"/>
        <v>2.5</v>
      </c>
      <c r="S868" s="126">
        <f t="shared" si="342"/>
        <v>2.5</v>
      </c>
      <c r="T868" s="126">
        <f t="shared" si="342"/>
        <v>2.5</v>
      </c>
      <c r="U868" s="126">
        <f t="shared" si="342"/>
        <v>2.5</v>
      </c>
      <c r="V868" s="126">
        <f t="shared" si="342"/>
        <v>2.5</v>
      </c>
      <c r="W868" s="126">
        <f t="shared" si="342"/>
        <v>2.5</v>
      </c>
      <c r="X868" s="126">
        <f t="shared" si="342"/>
        <v>2.5</v>
      </c>
      <c r="Y868" s="126">
        <f t="shared" si="342"/>
        <v>2.5</v>
      </c>
      <c r="Z868" s="126">
        <f t="shared" si="342"/>
        <v>2.5</v>
      </c>
      <c r="AA868" s="126">
        <f t="shared" si="342"/>
        <v>2.5</v>
      </c>
      <c r="AB868" s="126">
        <f t="shared" si="342"/>
        <v>2.5</v>
      </c>
      <c r="AC868" s="126">
        <f t="shared" si="342"/>
        <v>2.5</v>
      </c>
      <c r="AD868" s="126">
        <f t="shared" si="342"/>
        <v>2.5</v>
      </c>
      <c r="AE868" s="126">
        <f t="shared" si="342"/>
        <v>51.25</v>
      </c>
      <c r="AF868" s="126">
        <f t="shared" si="342"/>
        <v>0</v>
      </c>
      <c r="AG868" s="126">
        <f t="shared" si="342"/>
        <v>0</v>
      </c>
      <c r="AH868" s="126">
        <f t="shared" si="342"/>
        <v>0</v>
      </c>
    </row>
    <row r="869" spans="1:34" s="20" customFormat="1" ht="14" x14ac:dyDescent="0.2">
      <c r="A869" s="8"/>
      <c r="B869" s="8"/>
      <c r="C869" s="8"/>
      <c r="D869" s="8"/>
      <c r="E869" s="16"/>
      <c r="F869" s="8"/>
      <c r="G869" s="8"/>
      <c r="H869" s="8"/>
      <c r="I869" s="8"/>
      <c r="J869" s="8"/>
      <c r="K869" s="8"/>
      <c r="L869" s="8"/>
      <c r="M869" s="8"/>
      <c r="N869" s="8"/>
      <c r="O869" s="8"/>
      <c r="P869" s="8"/>
      <c r="Q869" s="8"/>
      <c r="R869" s="8"/>
      <c r="S869" s="8"/>
      <c r="T869" s="8"/>
      <c r="U869" s="8"/>
      <c r="V869" s="8"/>
      <c r="W869" s="8"/>
      <c r="X869" s="8"/>
      <c r="Y869" s="8"/>
      <c r="Z869" s="8"/>
      <c r="AA869" s="8"/>
      <c r="AB869" s="8"/>
      <c r="AC869" s="8"/>
      <c r="AD869" s="8"/>
      <c r="AE869" s="8"/>
      <c r="AF869" s="8"/>
      <c r="AG869" s="8"/>
      <c r="AH869" s="8"/>
    </row>
    <row r="870" spans="1:34" s="20" customFormat="1" ht="14" x14ac:dyDescent="0.2">
      <c r="A870" s="8"/>
      <c r="B870" s="21" t="str">
        <f>B852</f>
        <v>New loan from Multilateral bank</v>
      </c>
      <c r="C870" s="8"/>
      <c r="D870" s="8"/>
      <c r="E870" s="8"/>
      <c r="F870" s="8"/>
      <c r="G870" s="8"/>
      <c r="H870" s="8"/>
      <c r="I870" s="8"/>
      <c r="J870" s="8"/>
      <c r="K870" s="8"/>
      <c r="L870" s="8"/>
      <c r="M870" s="8"/>
      <c r="N870" s="8"/>
      <c r="O870" s="8"/>
      <c r="P870" s="8"/>
      <c r="Q870" s="8"/>
      <c r="R870" s="8"/>
      <c r="S870" s="8"/>
      <c r="T870" s="8"/>
      <c r="U870" s="8"/>
      <c r="V870" s="8"/>
      <c r="W870" s="8"/>
      <c r="X870" s="8"/>
      <c r="Y870" s="8"/>
      <c r="Z870" s="8"/>
      <c r="AA870" s="8"/>
      <c r="AB870" s="8"/>
      <c r="AC870" s="8"/>
      <c r="AD870" s="8"/>
      <c r="AE870" s="8"/>
      <c r="AF870" s="8"/>
      <c r="AG870" s="8"/>
      <c r="AH870" s="8"/>
    </row>
    <row r="871" spans="1:34" s="20" customFormat="1" ht="14" x14ac:dyDescent="0.2">
      <c r="A871" s="8"/>
      <c r="B871" s="8" t="s">
        <v>334</v>
      </c>
      <c r="C871" s="8"/>
      <c r="D871" s="8" t="str">
        <f>IF('Assumptions - Passenger'!$E$471=1,"Same as above",IF('Assumptions - Passenger'!$E$471=2,"Local currency/"&amp;'Assumptions - General'!$E$39,"Local currency/"&amp;'Assumptions - General'!$E$40))</f>
        <v>Same as above</v>
      </c>
      <c r="E871" s="124">
        <f>IF('Assumptions - Passenger'!$E$471=1,1,IF('Assumptions - Passenger'!$E$471=2,'Assumptions - General'!E$41,'Assumptions - General'!E$42))</f>
        <v>1</v>
      </c>
      <c r="F871" s="124">
        <f>IF('Assumptions - Passenger'!$E$471=1,1,IF('Assumptions - Passenger'!$E$471=2,'Assumptions - General'!F$41,'Assumptions - General'!F$42))</f>
        <v>1</v>
      </c>
      <c r="G871" s="124">
        <f>IF('Assumptions - Passenger'!$E$471=1,1,IF('Assumptions - Passenger'!$E$471=2,'Assumptions - General'!G$41,'Assumptions - General'!G$42))</f>
        <v>1</v>
      </c>
      <c r="H871" s="124">
        <f>IF('Assumptions - Passenger'!$E$471=1,1,IF('Assumptions - Passenger'!$E$471=2,'Assumptions - General'!H$41,'Assumptions - General'!H$42))</f>
        <v>1</v>
      </c>
      <c r="I871" s="124">
        <f>IF('Assumptions - Passenger'!$E$471=1,1,IF('Assumptions - Passenger'!$E$471=2,'Assumptions - General'!I$41,'Assumptions - General'!I$42))</f>
        <v>1</v>
      </c>
      <c r="J871" s="124">
        <f>IF('Assumptions - Passenger'!$E$471=1,1,IF('Assumptions - Passenger'!$E$471=2,'Assumptions - General'!J$41,'Assumptions - General'!J$42))</f>
        <v>1</v>
      </c>
      <c r="K871" s="124">
        <f>IF('Assumptions - Passenger'!$E$471=1,1,IF('Assumptions - Passenger'!$E$471=2,'Assumptions - General'!K$41,'Assumptions - General'!K$42))</f>
        <v>1</v>
      </c>
      <c r="L871" s="124">
        <f>IF('Assumptions - Passenger'!$E$471=1,1,IF('Assumptions - Passenger'!$E$471=2,'Assumptions - General'!L$41,'Assumptions - General'!L$42))</f>
        <v>1</v>
      </c>
      <c r="M871" s="124">
        <f>IF('Assumptions - Passenger'!$E$471=1,1,IF('Assumptions - Passenger'!$E$471=2,'Assumptions - General'!M$41,'Assumptions - General'!M$42))</f>
        <v>1</v>
      </c>
      <c r="N871" s="124">
        <f>IF('Assumptions - Passenger'!$E$471=1,1,IF('Assumptions - Passenger'!$E$471=2,'Assumptions - General'!N$41,'Assumptions - General'!N$42))</f>
        <v>1</v>
      </c>
      <c r="O871" s="124">
        <f>IF('Assumptions - Passenger'!$E$471=1,1,IF('Assumptions - Passenger'!$E$471=2,'Assumptions - General'!O$41,'Assumptions - General'!O$42))</f>
        <v>1</v>
      </c>
      <c r="P871" s="124">
        <f>IF('Assumptions - Passenger'!$E$471=1,1,IF('Assumptions - Passenger'!$E$471=2,'Assumptions - General'!P$41,'Assumptions - General'!P$42))</f>
        <v>1</v>
      </c>
      <c r="Q871" s="124">
        <f>IF('Assumptions - Passenger'!$E$471=1,1,IF('Assumptions - Passenger'!$E$471=2,'Assumptions - General'!Q$41,'Assumptions - General'!Q$42))</f>
        <v>1</v>
      </c>
      <c r="R871" s="124">
        <f>IF('Assumptions - Passenger'!$E$471=1,1,IF('Assumptions - Passenger'!$E$471=2,'Assumptions - General'!R$41,'Assumptions - General'!R$42))</f>
        <v>1</v>
      </c>
      <c r="S871" s="124">
        <f>IF('Assumptions - Passenger'!$E$471=1,1,IF('Assumptions - Passenger'!$E$471=2,'Assumptions - General'!S$41,'Assumptions - General'!S$42))</f>
        <v>1</v>
      </c>
      <c r="T871" s="124">
        <f>IF('Assumptions - Passenger'!$E$471=1,1,IF('Assumptions - Passenger'!$E$471=2,'Assumptions - General'!T$41,'Assumptions - General'!T$42))</f>
        <v>1</v>
      </c>
      <c r="U871" s="124">
        <f>IF('Assumptions - Passenger'!$E$471=1,1,IF('Assumptions - Passenger'!$E$471=2,'Assumptions - General'!U$41,'Assumptions - General'!U$42))</f>
        <v>1</v>
      </c>
      <c r="V871" s="124">
        <f>IF('Assumptions - Passenger'!$E$471=1,1,IF('Assumptions - Passenger'!$E$471=2,'Assumptions - General'!V$41,'Assumptions - General'!V$42))</f>
        <v>1</v>
      </c>
      <c r="W871" s="124">
        <f>IF('Assumptions - Passenger'!$E$471=1,1,IF('Assumptions - Passenger'!$E$471=2,'Assumptions - General'!W$41,'Assumptions - General'!W$42))</f>
        <v>1</v>
      </c>
      <c r="X871" s="124">
        <f>IF('Assumptions - Passenger'!$E$471=1,1,IF('Assumptions - Passenger'!$E$471=2,'Assumptions - General'!X$41,'Assumptions - General'!X$42))</f>
        <v>1</v>
      </c>
      <c r="Y871" s="124">
        <f>IF('Assumptions - Passenger'!$E$471=1,1,IF('Assumptions - Passenger'!$E$471=2,'Assumptions - General'!Y$41,'Assumptions - General'!Y$42))</f>
        <v>1</v>
      </c>
      <c r="Z871" s="124">
        <f>IF('Assumptions - Passenger'!$E$471=1,1,IF('Assumptions - Passenger'!$E$471=2,'Assumptions - General'!Z$41,'Assumptions - General'!Z$42))</f>
        <v>1</v>
      </c>
      <c r="AA871" s="124">
        <f>IF('Assumptions - Passenger'!$E$471=1,1,IF('Assumptions - Passenger'!$E$471=2,'Assumptions - General'!AA$41,'Assumptions - General'!AA$42))</f>
        <v>1</v>
      </c>
      <c r="AB871" s="124">
        <f>IF('Assumptions - Passenger'!$E$471=1,1,IF('Assumptions - Passenger'!$E$471=2,'Assumptions - General'!AB$41,'Assumptions - General'!AB$42))</f>
        <v>1</v>
      </c>
      <c r="AC871" s="124">
        <f>IF('Assumptions - Passenger'!$E$471=1,1,IF('Assumptions - Passenger'!$E$471=2,'Assumptions - General'!AC$41,'Assumptions - General'!AC$42))</f>
        <v>1</v>
      </c>
      <c r="AD871" s="124">
        <f>IF('Assumptions - Passenger'!$E$471=1,1,IF('Assumptions - Passenger'!$E$471=2,'Assumptions - General'!AD$41,'Assumptions - General'!AD$42))</f>
        <v>1</v>
      </c>
      <c r="AE871" s="124">
        <f>IF('Assumptions - Passenger'!$E$471=1,1,IF('Assumptions - Passenger'!$E$471=2,'Assumptions - General'!AE$41,'Assumptions - General'!AE$42))</f>
        <v>1</v>
      </c>
      <c r="AF871" s="124">
        <f>IF('Assumptions - Passenger'!$E$471=1,1,IF('Assumptions - Passenger'!$E$471=2,'Assumptions - General'!AF$41,'Assumptions - General'!AF$42))</f>
        <v>1</v>
      </c>
      <c r="AG871" s="124">
        <f>IF('Assumptions - Passenger'!$E$471=1,1,IF('Assumptions - Passenger'!$E$471=2,'Assumptions - General'!AG$41,'Assumptions - General'!AG$42))</f>
        <v>1</v>
      </c>
      <c r="AH871" s="124">
        <f>IF('Assumptions - Passenger'!$E$471=1,1,IF('Assumptions - Passenger'!$E$471=2,'Assumptions - General'!AH$41,'Assumptions - General'!AH$42))</f>
        <v>1</v>
      </c>
    </row>
    <row r="872" spans="1:34" s="20" customFormat="1" ht="14" x14ac:dyDescent="0.2">
      <c r="A872" s="8"/>
      <c r="B872" s="8" t="s">
        <v>136</v>
      </c>
      <c r="C872" s="8"/>
      <c r="D872" s="8" t="str">
        <f>'Assumptions - General'!$E$27 &amp;" millions"</f>
        <v>R$ millions</v>
      </c>
      <c r="E872" s="126">
        <f t="shared" ref="E872:AH872" si="343">E855*E$871</f>
        <v>0</v>
      </c>
      <c r="F872" s="126">
        <f t="shared" si="343"/>
        <v>0</v>
      </c>
      <c r="G872" s="126">
        <f t="shared" si="343"/>
        <v>0</v>
      </c>
      <c r="H872" s="126">
        <f t="shared" si="343"/>
        <v>10</v>
      </c>
      <c r="I872" s="126">
        <f t="shared" si="343"/>
        <v>20</v>
      </c>
      <c r="J872" s="126">
        <f t="shared" si="343"/>
        <v>30</v>
      </c>
      <c r="K872" s="126">
        <f t="shared" si="343"/>
        <v>40</v>
      </c>
      <c r="L872" s="126">
        <f t="shared" si="343"/>
        <v>50</v>
      </c>
      <c r="M872" s="126">
        <f t="shared" si="343"/>
        <v>50</v>
      </c>
      <c r="N872" s="126">
        <f t="shared" si="343"/>
        <v>50</v>
      </c>
      <c r="O872" s="126">
        <f t="shared" si="343"/>
        <v>50</v>
      </c>
      <c r="P872" s="126">
        <f t="shared" si="343"/>
        <v>50</v>
      </c>
      <c r="Q872" s="126">
        <f t="shared" si="343"/>
        <v>50</v>
      </c>
      <c r="R872" s="126">
        <f t="shared" si="343"/>
        <v>50</v>
      </c>
      <c r="S872" s="126">
        <f t="shared" si="343"/>
        <v>50</v>
      </c>
      <c r="T872" s="126">
        <f t="shared" si="343"/>
        <v>50</v>
      </c>
      <c r="U872" s="126">
        <f t="shared" si="343"/>
        <v>50</v>
      </c>
      <c r="V872" s="126">
        <f t="shared" si="343"/>
        <v>50</v>
      </c>
      <c r="W872" s="126">
        <f t="shared" si="343"/>
        <v>50</v>
      </c>
      <c r="X872" s="126">
        <f t="shared" si="343"/>
        <v>50</v>
      </c>
      <c r="Y872" s="126">
        <f t="shared" si="343"/>
        <v>50</v>
      </c>
      <c r="Z872" s="126">
        <f t="shared" si="343"/>
        <v>50</v>
      </c>
      <c r="AA872" s="126">
        <f t="shared" si="343"/>
        <v>50</v>
      </c>
      <c r="AB872" s="126">
        <f t="shared" si="343"/>
        <v>50</v>
      </c>
      <c r="AC872" s="126">
        <f t="shared" si="343"/>
        <v>50</v>
      </c>
      <c r="AD872" s="126">
        <f t="shared" si="343"/>
        <v>50</v>
      </c>
      <c r="AE872" s="126">
        <f t="shared" si="343"/>
        <v>50</v>
      </c>
      <c r="AF872" s="126">
        <f t="shared" si="343"/>
        <v>0</v>
      </c>
      <c r="AG872" s="126">
        <f t="shared" si="343"/>
        <v>0</v>
      </c>
      <c r="AH872" s="126">
        <f t="shared" si="343"/>
        <v>0</v>
      </c>
    </row>
    <row r="873" spans="1:34" s="20" customFormat="1" ht="14" x14ac:dyDescent="0.2">
      <c r="A873" s="8"/>
      <c r="B873" s="8" t="s">
        <v>410</v>
      </c>
      <c r="C873" s="8"/>
      <c r="D873" s="8" t="str">
        <f>'Assumptions - General'!$E$27 &amp;" millions"</f>
        <v>R$ millions</v>
      </c>
      <c r="E873" s="126">
        <f t="shared" ref="E873:AH873" si="344">E856*E$871</f>
        <v>0</v>
      </c>
      <c r="F873" s="126">
        <f t="shared" si="344"/>
        <v>0</v>
      </c>
      <c r="G873" s="126">
        <f t="shared" si="344"/>
        <v>0</v>
      </c>
      <c r="H873" s="126">
        <f t="shared" si="344"/>
        <v>0</v>
      </c>
      <c r="I873" s="126">
        <f t="shared" si="344"/>
        <v>0</v>
      </c>
      <c r="J873" s="126">
        <f t="shared" si="344"/>
        <v>0</v>
      </c>
      <c r="K873" s="126">
        <f t="shared" si="344"/>
        <v>0</v>
      </c>
      <c r="L873" s="126">
        <f t="shared" si="344"/>
        <v>0</v>
      </c>
      <c r="M873" s="126">
        <f t="shared" si="344"/>
        <v>0</v>
      </c>
      <c r="N873" s="126">
        <f t="shared" si="344"/>
        <v>0</v>
      </c>
      <c r="O873" s="126">
        <f t="shared" si="344"/>
        <v>0</v>
      </c>
      <c r="P873" s="126">
        <f t="shared" si="344"/>
        <v>0</v>
      </c>
      <c r="Q873" s="126">
        <f t="shared" si="344"/>
        <v>0</v>
      </c>
      <c r="R873" s="126">
        <f t="shared" si="344"/>
        <v>0</v>
      </c>
      <c r="S873" s="126">
        <f t="shared" si="344"/>
        <v>0</v>
      </c>
      <c r="T873" s="126">
        <f t="shared" si="344"/>
        <v>0</v>
      </c>
      <c r="U873" s="126">
        <f t="shared" si="344"/>
        <v>0</v>
      </c>
      <c r="V873" s="126">
        <f t="shared" si="344"/>
        <v>0</v>
      </c>
      <c r="W873" s="126">
        <f t="shared" si="344"/>
        <v>0</v>
      </c>
      <c r="X873" s="126">
        <f t="shared" si="344"/>
        <v>0</v>
      </c>
      <c r="Y873" s="126">
        <f t="shared" si="344"/>
        <v>0</v>
      </c>
      <c r="Z873" s="126">
        <f t="shared" si="344"/>
        <v>0</v>
      </c>
      <c r="AA873" s="126">
        <f t="shared" si="344"/>
        <v>0</v>
      </c>
      <c r="AB873" s="126">
        <f t="shared" si="344"/>
        <v>0</v>
      </c>
      <c r="AC873" s="126">
        <f t="shared" si="344"/>
        <v>0</v>
      </c>
      <c r="AD873" s="126">
        <f t="shared" si="344"/>
        <v>0</v>
      </c>
      <c r="AE873" s="126">
        <f t="shared" si="344"/>
        <v>50</v>
      </c>
      <c r="AF873" s="126">
        <f t="shared" si="344"/>
        <v>0</v>
      </c>
      <c r="AG873" s="126">
        <f t="shared" si="344"/>
        <v>0</v>
      </c>
      <c r="AH873" s="126">
        <f t="shared" si="344"/>
        <v>0</v>
      </c>
    </row>
    <row r="874" spans="1:34" s="20" customFormat="1" ht="14" x14ac:dyDescent="0.2">
      <c r="A874" s="8"/>
      <c r="B874" s="8" t="s">
        <v>137</v>
      </c>
      <c r="C874" s="8"/>
      <c r="D874" s="8" t="str">
        <f>'Assumptions - General'!$E$27 &amp;" millions"</f>
        <v>R$ millions</v>
      </c>
      <c r="E874" s="126">
        <f t="shared" ref="E874:AH874" si="345">E862*E$871</f>
        <v>0</v>
      </c>
      <c r="F874" s="126">
        <f t="shared" si="345"/>
        <v>0</v>
      </c>
      <c r="G874" s="126">
        <f t="shared" si="345"/>
        <v>10</v>
      </c>
      <c r="H874" s="126">
        <f t="shared" si="345"/>
        <v>10</v>
      </c>
      <c r="I874" s="126">
        <f t="shared" si="345"/>
        <v>10</v>
      </c>
      <c r="J874" s="126">
        <f t="shared" si="345"/>
        <v>10</v>
      </c>
      <c r="K874" s="126">
        <f t="shared" si="345"/>
        <v>10</v>
      </c>
      <c r="L874" s="126">
        <f t="shared" si="345"/>
        <v>0</v>
      </c>
      <c r="M874" s="126">
        <f t="shared" si="345"/>
        <v>0</v>
      </c>
      <c r="N874" s="126">
        <f t="shared" si="345"/>
        <v>0</v>
      </c>
      <c r="O874" s="126">
        <f t="shared" si="345"/>
        <v>0</v>
      </c>
      <c r="P874" s="126">
        <f t="shared" si="345"/>
        <v>0</v>
      </c>
      <c r="Q874" s="126">
        <f t="shared" si="345"/>
        <v>0</v>
      </c>
      <c r="R874" s="126">
        <f t="shared" si="345"/>
        <v>0</v>
      </c>
      <c r="S874" s="126">
        <f t="shared" si="345"/>
        <v>0</v>
      </c>
      <c r="T874" s="126">
        <f t="shared" si="345"/>
        <v>0</v>
      </c>
      <c r="U874" s="126">
        <f t="shared" si="345"/>
        <v>0</v>
      </c>
      <c r="V874" s="126">
        <f t="shared" si="345"/>
        <v>0</v>
      </c>
      <c r="W874" s="126">
        <f t="shared" si="345"/>
        <v>0</v>
      </c>
      <c r="X874" s="126">
        <f t="shared" si="345"/>
        <v>0</v>
      </c>
      <c r="Y874" s="126">
        <f t="shared" si="345"/>
        <v>0</v>
      </c>
      <c r="Z874" s="126">
        <f t="shared" si="345"/>
        <v>0</v>
      </c>
      <c r="AA874" s="126">
        <f t="shared" si="345"/>
        <v>0</v>
      </c>
      <c r="AB874" s="126">
        <f t="shared" si="345"/>
        <v>0</v>
      </c>
      <c r="AC874" s="126">
        <f t="shared" si="345"/>
        <v>0</v>
      </c>
      <c r="AD874" s="126">
        <f t="shared" si="345"/>
        <v>0</v>
      </c>
      <c r="AE874" s="126">
        <f t="shared" si="345"/>
        <v>0</v>
      </c>
      <c r="AF874" s="126">
        <f t="shared" si="345"/>
        <v>0</v>
      </c>
      <c r="AG874" s="126">
        <f t="shared" si="345"/>
        <v>0</v>
      </c>
      <c r="AH874" s="126">
        <f t="shared" si="345"/>
        <v>0</v>
      </c>
    </row>
    <row r="875" spans="1:34" s="20" customFormat="1" ht="14" x14ac:dyDescent="0.2">
      <c r="A875" s="8"/>
      <c r="B875" s="8" t="s">
        <v>138</v>
      </c>
      <c r="C875" s="8"/>
      <c r="D875" s="8" t="str">
        <f>'Assumptions - General'!$E$27 &amp;" millions"</f>
        <v>R$ millions</v>
      </c>
      <c r="E875" s="126">
        <f t="shared" ref="E875:AH875" si="346">E863*E$871</f>
        <v>0</v>
      </c>
      <c r="F875" s="126">
        <f t="shared" si="346"/>
        <v>0</v>
      </c>
      <c r="G875" s="126">
        <f t="shared" si="346"/>
        <v>10</v>
      </c>
      <c r="H875" s="126">
        <f t="shared" si="346"/>
        <v>20</v>
      </c>
      <c r="I875" s="126">
        <f t="shared" si="346"/>
        <v>30</v>
      </c>
      <c r="J875" s="126">
        <f t="shared" si="346"/>
        <v>40</v>
      </c>
      <c r="K875" s="126">
        <f t="shared" si="346"/>
        <v>50</v>
      </c>
      <c r="L875" s="126">
        <f t="shared" si="346"/>
        <v>50</v>
      </c>
      <c r="M875" s="126">
        <f t="shared" si="346"/>
        <v>50</v>
      </c>
      <c r="N875" s="126">
        <f t="shared" si="346"/>
        <v>50</v>
      </c>
      <c r="O875" s="126">
        <f t="shared" si="346"/>
        <v>50</v>
      </c>
      <c r="P875" s="126">
        <f t="shared" si="346"/>
        <v>50</v>
      </c>
      <c r="Q875" s="126">
        <f t="shared" si="346"/>
        <v>50</v>
      </c>
      <c r="R875" s="126">
        <f t="shared" si="346"/>
        <v>50</v>
      </c>
      <c r="S875" s="126">
        <f t="shared" si="346"/>
        <v>50</v>
      </c>
      <c r="T875" s="126">
        <f t="shared" si="346"/>
        <v>50</v>
      </c>
      <c r="U875" s="126">
        <f t="shared" si="346"/>
        <v>50</v>
      </c>
      <c r="V875" s="126">
        <f t="shared" si="346"/>
        <v>50</v>
      </c>
      <c r="W875" s="126">
        <f t="shared" si="346"/>
        <v>50</v>
      </c>
      <c r="X875" s="126">
        <f t="shared" si="346"/>
        <v>50</v>
      </c>
      <c r="Y875" s="126">
        <f t="shared" si="346"/>
        <v>50</v>
      </c>
      <c r="Z875" s="126">
        <f t="shared" si="346"/>
        <v>50</v>
      </c>
      <c r="AA875" s="126">
        <f t="shared" si="346"/>
        <v>50</v>
      </c>
      <c r="AB875" s="126">
        <f t="shared" si="346"/>
        <v>50</v>
      </c>
      <c r="AC875" s="126">
        <f t="shared" si="346"/>
        <v>50</v>
      </c>
      <c r="AD875" s="126">
        <f t="shared" si="346"/>
        <v>50</v>
      </c>
      <c r="AE875" s="126">
        <f t="shared" si="346"/>
        <v>0</v>
      </c>
      <c r="AF875" s="126">
        <f t="shared" si="346"/>
        <v>0</v>
      </c>
      <c r="AG875" s="126">
        <f t="shared" si="346"/>
        <v>0</v>
      </c>
      <c r="AH875" s="126">
        <f t="shared" si="346"/>
        <v>0</v>
      </c>
    </row>
    <row r="876" spans="1:34" s="20" customFormat="1" ht="14" x14ac:dyDescent="0.2">
      <c r="A876" s="8"/>
      <c r="B876" s="8" t="s">
        <v>139</v>
      </c>
      <c r="C876" s="8"/>
      <c r="D876" s="8" t="str">
        <f>'Assumptions - General'!$E$27 &amp;" millions"</f>
        <v>R$ millions</v>
      </c>
      <c r="E876" s="126">
        <f t="shared" ref="E876:AH876" si="347">E864*E$871</f>
        <v>0</v>
      </c>
      <c r="F876" s="126">
        <f t="shared" si="347"/>
        <v>0</v>
      </c>
      <c r="G876" s="126">
        <f t="shared" si="347"/>
        <v>0.25</v>
      </c>
      <c r="H876" s="126">
        <f t="shared" si="347"/>
        <v>0.75</v>
      </c>
      <c r="I876" s="126">
        <f t="shared" si="347"/>
        <v>1.25</v>
      </c>
      <c r="J876" s="126">
        <f t="shared" si="347"/>
        <v>1.75</v>
      </c>
      <c r="K876" s="126">
        <f t="shared" si="347"/>
        <v>2.25</v>
      </c>
      <c r="L876" s="126">
        <f t="shared" si="347"/>
        <v>2.5</v>
      </c>
      <c r="M876" s="126">
        <f t="shared" si="347"/>
        <v>2.5</v>
      </c>
      <c r="N876" s="126">
        <f t="shared" si="347"/>
        <v>2.5</v>
      </c>
      <c r="O876" s="126">
        <f t="shared" si="347"/>
        <v>2.5</v>
      </c>
      <c r="P876" s="126">
        <f t="shared" si="347"/>
        <v>2.5</v>
      </c>
      <c r="Q876" s="126">
        <f t="shared" si="347"/>
        <v>2.5</v>
      </c>
      <c r="R876" s="126">
        <f t="shared" si="347"/>
        <v>2.5</v>
      </c>
      <c r="S876" s="126">
        <f t="shared" si="347"/>
        <v>2.5</v>
      </c>
      <c r="T876" s="126">
        <f t="shared" si="347"/>
        <v>2.5</v>
      </c>
      <c r="U876" s="126">
        <f t="shared" si="347"/>
        <v>2.5</v>
      </c>
      <c r="V876" s="126">
        <f t="shared" si="347"/>
        <v>2.5</v>
      </c>
      <c r="W876" s="126">
        <f t="shared" si="347"/>
        <v>2.5</v>
      </c>
      <c r="X876" s="126">
        <f t="shared" si="347"/>
        <v>2.5</v>
      </c>
      <c r="Y876" s="126">
        <f t="shared" si="347"/>
        <v>2.5</v>
      </c>
      <c r="Z876" s="126">
        <f t="shared" si="347"/>
        <v>2.5</v>
      </c>
      <c r="AA876" s="126">
        <f t="shared" si="347"/>
        <v>2.5</v>
      </c>
      <c r="AB876" s="126">
        <f t="shared" si="347"/>
        <v>2.5</v>
      </c>
      <c r="AC876" s="126">
        <f t="shared" si="347"/>
        <v>2.5</v>
      </c>
      <c r="AD876" s="126">
        <f t="shared" si="347"/>
        <v>2.5</v>
      </c>
      <c r="AE876" s="126">
        <f t="shared" si="347"/>
        <v>1.25</v>
      </c>
      <c r="AF876" s="126">
        <f t="shared" si="347"/>
        <v>0</v>
      </c>
      <c r="AG876" s="126">
        <f t="shared" si="347"/>
        <v>0</v>
      </c>
      <c r="AH876" s="126">
        <f t="shared" si="347"/>
        <v>0</v>
      </c>
    </row>
    <row r="877" spans="1:34" s="20" customFormat="1" ht="14" x14ac:dyDescent="0.2">
      <c r="A877" s="8"/>
      <c r="B877" s="8" t="s">
        <v>53</v>
      </c>
      <c r="C877" s="8"/>
      <c r="D877" s="8" t="str">
        <f>'Assumptions - General'!$E$27 &amp;" millions"</f>
        <v>R$ millions</v>
      </c>
      <c r="E877" s="126">
        <f t="shared" ref="E877:AH877" si="348">E865*E$871</f>
        <v>0</v>
      </c>
      <c r="F877" s="126">
        <f t="shared" si="348"/>
        <v>0</v>
      </c>
      <c r="G877" s="126">
        <f t="shared" si="348"/>
        <v>0.125</v>
      </c>
      <c r="H877" s="126">
        <f t="shared" si="348"/>
        <v>0</v>
      </c>
      <c r="I877" s="126">
        <f t="shared" si="348"/>
        <v>0</v>
      </c>
      <c r="J877" s="126">
        <f t="shared" si="348"/>
        <v>0</v>
      </c>
      <c r="K877" s="126">
        <f t="shared" si="348"/>
        <v>0</v>
      </c>
      <c r="L877" s="126">
        <f t="shared" si="348"/>
        <v>0</v>
      </c>
      <c r="M877" s="126">
        <f t="shared" si="348"/>
        <v>0</v>
      </c>
      <c r="N877" s="126">
        <f t="shared" si="348"/>
        <v>0</v>
      </c>
      <c r="O877" s="126">
        <f t="shared" si="348"/>
        <v>0</v>
      </c>
      <c r="P877" s="126">
        <f t="shared" si="348"/>
        <v>0</v>
      </c>
      <c r="Q877" s="126">
        <f t="shared" si="348"/>
        <v>0</v>
      </c>
      <c r="R877" s="126">
        <f t="shared" si="348"/>
        <v>0</v>
      </c>
      <c r="S877" s="126">
        <f t="shared" si="348"/>
        <v>0</v>
      </c>
      <c r="T877" s="126">
        <f t="shared" si="348"/>
        <v>0</v>
      </c>
      <c r="U877" s="126">
        <f t="shared" si="348"/>
        <v>0</v>
      </c>
      <c r="V877" s="126">
        <f t="shared" si="348"/>
        <v>0</v>
      </c>
      <c r="W877" s="126">
        <f t="shared" si="348"/>
        <v>0</v>
      </c>
      <c r="X877" s="126">
        <f t="shared" si="348"/>
        <v>0</v>
      </c>
      <c r="Y877" s="126">
        <f t="shared" si="348"/>
        <v>0</v>
      </c>
      <c r="Z877" s="126">
        <f t="shared" si="348"/>
        <v>0</v>
      </c>
      <c r="AA877" s="126">
        <f t="shared" si="348"/>
        <v>0</v>
      </c>
      <c r="AB877" s="126">
        <f t="shared" si="348"/>
        <v>0</v>
      </c>
      <c r="AC877" s="126">
        <f t="shared" si="348"/>
        <v>0</v>
      </c>
      <c r="AD877" s="126">
        <f t="shared" si="348"/>
        <v>0</v>
      </c>
      <c r="AE877" s="126">
        <f t="shared" si="348"/>
        <v>0</v>
      </c>
      <c r="AF877" s="126">
        <f t="shared" si="348"/>
        <v>0</v>
      </c>
      <c r="AG877" s="126">
        <f t="shared" si="348"/>
        <v>0</v>
      </c>
      <c r="AH877" s="126">
        <f t="shared" si="348"/>
        <v>0</v>
      </c>
    </row>
    <row r="878" spans="1:34" s="20" customFormat="1" ht="14" x14ac:dyDescent="0.2">
      <c r="A878" s="8"/>
      <c r="B878" s="8" t="s">
        <v>142</v>
      </c>
      <c r="C878" s="8"/>
      <c r="D878" s="8" t="str">
        <f>'Assumptions - General'!$E$27 &amp;" millions"</f>
        <v>R$ millions</v>
      </c>
      <c r="E878" s="126">
        <f t="shared" ref="E878:AH878" si="349">E866*E$871</f>
        <v>0</v>
      </c>
      <c r="F878" s="126">
        <f t="shared" si="349"/>
        <v>0</v>
      </c>
      <c r="G878" s="126">
        <f t="shared" si="349"/>
        <v>40</v>
      </c>
      <c r="H878" s="126">
        <f t="shared" si="349"/>
        <v>30</v>
      </c>
      <c r="I878" s="126">
        <f t="shared" si="349"/>
        <v>20</v>
      </c>
      <c r="J878" s="126">
        <f t="shared" si="349"/>
        <v>10</v>
      </c>
      <c r="K878" s="126">
        <f t="shared" si="349"/>
        <v>0</v>
      </c>
      <c r="L878" s="126">
        <f t="shared" si="349"/>
        <v>0</v>
      </c>
      <c r="M878" s="126">
        <f t="shared" si="349"/>
        <v>0</v>
      </c>
      <c r="N878" s="126">
        <f t="shared" si="349"/>
        <v>0</v>
      </c>
      <c r="O878" s="126">
        <f t="shared" si="349"/>
        <v>0</v>
      </c>
      <c r="P878" s="126">
        <f t="shared" si="349"/>
        <v>0</v>
      </c>
      <c r="Q878" s="126">
        <f t="shared" si="349"/>
        <v>0</v>
      </c>
      <c r="R878" s="126">
        <f t="shared" si="349"/>
        <v>0</v>
      </c>
      <c r="S878" s="126">
        <f t="shared" si="349"/>
        <v>0</v>
      </c>
      <c r="T878" s="126">
        <f t="shared" si="349"/>
        <v>0</v>
      </c>
      <c r="U878" s="126">
        <f t="shared" si="349"/>
        <v>0</v>
      </c>
      <c r="V878" s="126">
        <f t="shared" si="349"/>
        <v>0</v>
      </c>
      <c r="W878" s="126">
        <f t="shared" si="349"/>
        <v>0</v>
      </c>
      <c r="X878" s="126">
        <f t="shared" si="349"/>
        <v>0</v>
      </c>
      <c r="Y878" s="126">
        <f t="shared" si="349"/>
        <v>0</v>
      </c>
      <c r="Z878" s="126">
        <f t="shared" si="349"/>
        <v>0</v>
      </c>
      <c r="AA878" s="126">
        <f t="shared" si="349"/>
        <v>0</v>
      </c>
      <c r="AB878" s="126">
        <f t="shared" si="349"/>
        <v>0</v>
      </c>
      <c r="AC878" s="126">
        <f t="shared" si="349"/>
        <v>0</v>
      </c>
      <c r="AD878" s="126">
        <f t="shared" si="349"/>
        <v>0</v>
      </c>
      <c r="AE878" s="126">
        <f t="shared" si="349"/>
        <v>0</v>
      </c>
      <c r="AF878" s="126">
        <f t="shared" si="349"/>
        <v>0</v>
      </c>
      <c r="AG878" s="126">
        <f t="shared" si="349"/>
        <v>0</v>
      </c>
      <c r="AH878" s="126">
        <f t="shared" si="349"/>
        <v>0</v>
      </c>
    </row>
    <row r="879" spans="1:34" s="20" customFormat="1" ht="14" x14ac:dyDescent="0.2">
      <c r="A879" s="8"/>
      <c r="B879" s="8" t="s">
        <v>55</v>
      </c>
      <c r="C879" s="8"/>
      <c r="D879" s="8" t="str">
        <f>'Assumptions - General'!$E$27 &amp;" millions"</f>
        <v>R$ millions</v>
      </c>
      <c r="E879" s="126">
        <f t="shared" ref="E879:AH879" si="350">E867*E$871</f>
        <v>0</v>
      </c>
      <c r="F879" s="126">
        <f t="shared" si="350"/>
        <v>0</v>
      </c>
      <c r="G879" s="126">
        <f t="shared" si="350"/>
        <v>0</v>
      </c>
      <c r="H879" s="126">
        <f t="shared" si="350"/>
        <v>0</v>
      </c>
      <c r="I879" s="126">
        <f t="shared" si="350"/>
        <v>0</v>
      </c>
      <c r="J879" s="126">
        <f t="shared" si="350"/>
        <v>0</v>
      </c>
      <c r="K879" s="126">
        <f t="shared" si="350"/>
        <v>0</v>
      </c>
      <c r="L879" s="126">
        <f t="shared" si="350"/>
        <v>0</v>
      </c>
      <c r="M879" s="126">
        <f t="shared" si="350"/>
        <v>0</v>
      </c>
      <c r="N879" s="126">
        <f t="shared" si="350"/>
        <v>0</v>
      </c>
      <c r="O879" s="126">
        <f t="shared" si="350"/>
        <v>0</v>
      </c>
      <c r="P879" s="126">
        <f t="shared" si="350"/>
        <v>0</v>
      </c>
      <c r="Q879" s="126">
        <f t="shared" si="350"/>
        <v>0</v>
      </c>
      <c r="R879" s="126">
        <f t="shared" si="350"/>
        <v>0</v>
      </c>
      <c r="S879" s="126">
        <f t="shared" si="350"/>
        <v>0</v>
      </c>
      <c r="T879" s="126">
        <f t="shared" si="350"/>
        <v>0</v>
      </c>
      <c r="U879" s="126">
        <f t="shared" si="350"/>
        <v>0</v>
      </c>
      <c r="V879" s="126">
        <f t="shared" si="350"/>
        <v>0</v>
      </c>
      <c r="W879" s="126">
        <f t="shared" si="350"/>
        <v>0</v>
      </c>
      <c r="X879" s="126">
        <f t="shared" si="350"/>
        <v>0</v>
      </c>
      <c r="Y879" s="126">
        <f t="shared" si="350"/>
        <v>0</v>
      </c>
      <c r="Z879" s="126">
        <f t="shared" si="350"/>
        <v>0</v>
      </c>
      <c r="AA879" s="126">
        <f t="shared" si="350"/>
        <v>0</v>
      </c>
      <c r="AB879" s="126">
        <f t="shared" si="350"/>
        <v>0</v>
      </c>
      <c r="AC879" s="126">
        <f t="shared" si="350"/>
        <v>0</v>
      </c>
      <c r="AD879" s="126">
        <f t="shared" si="350"/>
        <v>0</v>
      </c>
      <c r="AE879" s="126">
        <f t="shared" si="350"/>
        <v>0</v>
      </c>
      <c r="AF879" s="126">
        <f t="shared" si="350"/>
        <v>0</v>
      </c>
      <c r="AG879" s="126">
        <f t="shared" si="350"/>
        <v>0</v>
      </c>
      <c r="AH879" s="126">
        <f t="shared" si="350"/>
        <v>0</v>
      </c>
    </row>
    <row r="880" spans="1:34" s="20" customFormat="1" ht="14" x14ac:dyDescent="0.2">
      <c r="A880" s="8"/>
      <c r="B880" s="8" t="s">
        <v>140</v>
      </c>
      <c r="C880" s="8"/>
      <c r="D880" s="8" t="str">
        <f>'Assumptions - General'!$E$27 &amp;" millions"</f>
        <v>R$ millions</v>
      </c>
      <c r="E880" s="126">
        <f t="shared" ref="E880:AH880" si="351">E868*E$871</f>
        <v>0</v>
      </c>
      <c r="F880" s="126">
        <f t="shared" si="351"/>
        <v>0</v>
      </c>
      <c r="G880" s="126">
        <f t="shared" si="351"/>
        <v>0.375</v>
      </c>
      <c r="H880" s="126">
        <f t="shared" si="351"/>
        <v>0.75</v>
      </c>
      <c r="I880" s="126">
        <f t="shared" si="351"/>
        <v>1.25</v>
      </c>
      <c r="J880" s="126">
        <f t="shared" si="351"/>
        <v>1.75</v>
      </c>
      <c r="K880" s="126">
        <f t="shared" si="351"/>
        <v>2.25</v>
      </c>
      <c r="L880" s="126">
        <f t="shared" si="351"/>
        <v>2.5</v>
      </c>
      <c r="M880" s="126">
        <f t="shared" si="351"/>
        <v>2.5</v>
      </c>
      <c r="N880" s="126">
        <f t="shared" si="351"/>
        <v>2.5</v>
      </c>
      <c r="O880" s="126">
        <f t="shared" si="351"/>
        <v>2.5</v>
      </c>
      <c r="P880" s="126">
        <f t="shared" si="351"/>
        <v>2.5</v>
      </c>
      <c r="Q880" s="126">
        <f t="shared" si="351"/>
        <v>2.5</v>
      </c>
      <c r="R880" s="126">
        <f t="shared" si="351"/>
        <v>2.5</v>
      </c>
      <c r="S880" s="126">
        <f t="shared" si="351"/>
        <v>2.5</v>
      </c>
      <c r="T880" s="126">
        <f t="shared" si="351"/>
        <v>2.5</v>
      </c>
      <c r="U880" s="126">
        <f t="shared" si="351"/>
        <v>2.5</v>
      </c>
      <c r="V880" s="126">
        <f t="shared" si="351"/>
        <v>2.5</v>
      </c>
      <c r="W880" s="126">
        <f t="shared" si="351"/>
        <v>2.5</v>
      </c>
      <c r="X880" s="126">
        <f t="shared" si="351"/>
        <v>2.5</v>
      </c>
      <c r="Y880" s="126">
        <f t="shared" si="351"/>
        <v>2.5</v>
      </c>
      <c r="Z880" s="126">
        <f t="shared" si="351"/>
        <v>2.5</v>
      </c>
      <c r="AA880" s="126">
        <f t="shared" si="351"/>
        <v>2.5</v>
      </c>
      <c r="AB880" s="126">
        <f t="shared" si="351"/>
        <v>2.5</v>
      </c>
      <c r="AC880" s="126">
        <f t="shared" si="351"/>
        <v>2.5</v>
      </c>
      <c r="AD880" s="126">
        <f t="shared" si="351"/>
        <v>2.5</v>
      </c>
      <c r="AE880" s="126">
        <f t="shared" si="351"/>
        <v>51.25</v>
      </c>
      <c r="AF880" s="126">
        <f t="shared" si="351"/>
        <v>0</v>
      </c>
      <c r="AG880" s="126">
        <f t="shared" si="351"/>
        <v>0</v>
      </c>
      <c r="AH880" s="126">
        <f t="shared" si="351"/>
        <v>0</v>
      </c>
    </row>
    <row r="881" spans="1:34" s="20" customFormat="1" ht="14" x14ac:dyDescent="0.2">
      <c r="A881" s="8"/>
      <c r="B881" s="8"/>
      <c r="C881" s="8"/>
      <c r="D881" s="8"/>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c r="AA881" s="126"/>
      <c r="AB881" s="126"/>
      <c r="AC881" s="126"/>
      <c r="AD881" s="126"/>
      <c r="AE881" s="126"/>
      <c r="AF881" s="126"/>
      <c r="AG881" s="126"/>
      <c r="AH881" s="126"/>
    </row>
    <row r="882" spans="1:34" s="20" customFormat="1" ht="14" x14ac:dyDescent="0.2">
      <c r="A882" s="8"/>
      <c r="B882" s="21" t="str">
        <f>"New loan from " &amp; 'Assumptions - Passenger'!E487</f>
        <v>New loan from Regional bank</v>
      </c>
      <c r="C882" s="8"/>
      <c r="D882" s="8"/>
      <c r="E882" s="8"/>
      <c r="F882" s="8"/>
      <c r="G882" s="8"/>
      <c r="H882" s="8"/>
      <c r="I882" s="8"/>
      <c r="J882" s="8"/>
      <c r="K882" s="8"/>
      <c r="L882" s="8"/>
      <c r="M882" s="8"/>
      <c r="N882" s="8"/>
      <c r="O882" s="8"/>
      <c r="P882" s="8"/>
      <c r="Q882" s="8"/>
      <c r="R882" s="8"/>
      <c r="S882" s="8"/>
      <c r="T882" s="8"/>
      <c r="U882" s="8"/>
      <c r="V882" s="8"/>
      <c r="W882" s="8"/>
      <c r="X882" s="8"/>
      <c r="Y882" s="8"/>
      <c r="Z882" s="8"/>
      <c r="AA882" s="8"/>
      <c r="AB882" s="8"/>
      <c r="AC882" s="8"/>
      <c r="AD882" s="8"/>
      <c r="AE882" s="8"/>
      <c r="AF882" s="8"/>
      <c r="AG882" s="8"/>
      <c r="AH882" s="8"/>
    </row>
    <row r="883" spans="1:34" s="20" customFormat="1" ht="14" x14ac:dyDescent="0.2">
      <c r="A883" s="8"/>
      <c r="B883" s="8" t="s">
        <v>293</v>
      </c>
      <c r="C883" s="8"/>
      <c r="D883" s="8" t="s">
        <v>99</v>
      </c>
      <c r="E883" s="8"/>
      <c r="F883" s="8">
        <f>IF('Assumptions - Passenger'!$E$491&lt;&gt;0,IF(F$4&lt;'Assumptions - Passenger'!$E$488+'Assumptions - Passenger'!$E$498,0,E883+1),0)</f>
        <v>0</v>
      </c>
      <c r="G883" s="8">
        <f>IF('Assumptions - Passenger'!$E$491&lt;&gt;0,IF(G$4&lt;'Assumptions - Passenger'!$E$488+'Assumptions - Passenger'!$E$498,0,F883+1),0)</f>
        <v>0</v>
      </c>
      <c r="H883" s="8">
        <f>IF('Assumptions - Passenger'!$E$491&lt;&gt;0,IF(H$4&lt;'Assumptions - Passenger'!$E$488+'Assumptions - Passenger'!$E$498,0,G883+1),0)</f>
        <v>0</v>
      </c>
      <c r="I883" s="8">
        <f>IF('Assumptions - Passenger'!$E$491&lt;&gt;0,IF(I$4&lt;'Assumptions - Passenger'!$E$488+'Assumptions - Passenger'!$E$498,0,H883+1),0)</f>
        <v>0</v>
      </c>
      <c r="J883" s="8">
        <f>IF('Assumptions - Passenger'!$E$491&lt;&gt;0,IF(J$4&lt;'Assumptions - Passenger'!$E$488+'Assumptions - Passenger'!$E$498,0,I883+1),0)</f>
        <v>0</v>
      </c>
      <c r="K883" s="8">
        <f>IF('Assumptions - Passenger'!$E$491&lt;&gt;0,IF(K$4&lt;'Assumptions - Passenger'!$E$488+'Assumptions - Passenger'!$E$498,0,J883+1),0)</f>
        <v>0</v>
      </c>
      <c r="L883" s="8">
        <f>IF('Assumptions - Passenger'!$E$491&lt;&gt;0,IF(L$4&lt;'Assumptions - Passenger'!$E$488+'Assumptions - Passenger'!$E$498,0,K883+1),0)</f>
        <v>1</v>
      </c>
      <c r="M883" s="8">
        <f>IF('Assumptions - Passenger'!$E$491&lt;&gt;0,IF(M$4&lt;'Assumptions - Passenger'!$E$488+'Assumptions - Passenger'!$E$498,0,L883+1),0)</f>
        <v>2</v>
      </c>
      <c r="N883" s="8">
        <f>IF('Assumptions - Passenger'!$E$491&lt;&gt;0,IF(N$4&lt;'Assumptions - Passenger'!$E$488+'Assumptions - Passenger'!$E$498,0,M883+1),0)</f>
        <v>3</v>
      </c>
      <c r="O883" s="8">
        <f>IF('Assumptions - Passenger'!$E$491&lt;&gt;0,IF(O$4&lt;'Assumptions - Passenger'!$E$488+'Assumptions - Passenger'!$E$498,0,N883+1),0)</f>
        <v>4</v>
      </c>
      <c r="P883" s="8">
        <f>IF('Assumptions - Passenger'!$E$491&lt;&gt;0,IF(P$4&lt;'Assumptions - Passenger'!$E$488+'Assumptions - Passenger'!$E$498,0,O883+1),0)</f>
        <v>5</v>
      </c>
      <c r="Q883" s="8">
        <f>IF('Assumptions - Passenger'!$E$491&lt;&gt;0,IF(Q$4&lt;'Assumptions - Passenger'!$E$488+'Assumptions - Passenger'!$E$498,0,P883+1),0)</f>
        <v>6</v>
      </c>
      <c r="R883" s="8">
        <f>IF('Assumptions - Passenger'!$E$491&lt;&gt;0,IF(R$4&lt;'Assumptions - Passenger'!$E$488+'Assumptions - Passenger'!$E$498,0,Q883+1),0)</f>
        <v>7</v>
      </c>
      <c r="S883" s="8">
        <f>IF('Assumptions - Passenger'!$E$491&lt;&gt;0,IF(S$4&lt;'Assumptions - Passenger'!$E$488+'Assumptions - Passenger'!$E$498,0,R883+1),0)</f>
        <v>8</v>
      </c>
      <c r="T883" s="8">
        <f>IF('Assumptions - Passenger'!$E$491&lt;&gt;0,IF(T$4&lt;'Assumptions - Passenger'!$E$488+'Assumptions - Passenger'!$E$498,0,S883+1),0)</f>
        <v>9</v>
      </c>
      <c r="U883" s="8">
        <f>IF('Assumptions - Passenger'!$E$491&lt;&gt;0,IF(U$4&lt;'Assumptions - Passenger'!$E$488+'Assumptions - Passenger'!$E$498,0,T883+1),0)</f>
        <v>10</v>
      </c>
      <c r="V883" s="8">
        <f>IF('Assumptions - Passenger'!$E$491&lt;&gt;0,IF(V$4&lt;'Assumptions - Passenger'!$E$488+'Assumptions - Passenger'!$E$498,0,U883+1),0)</f>
        <v>11</v>
      </c>
      <c r="W883" s="8">
        <f>IF('Assumptions - Passenger'!$E$491&lt;&gt;0,IF(W$4&lt;'Assumptions - Passenger'!$E$488+'Assumptions - Passenger'!$E$498,0,V883+1),0)</f>
        <v>12</v>
      </c>
      <c r="X883" s="8">
        <f>IF('Assumptions - Passenger'!$E$491&lt;&gt;0,IF(X$4&lt;'Assumptions - Passenger'!$E$488+'Assumptions - Passenger'!$E$498,0,W883+1),0)</f>
        <v>13</v>
      </c>
      <c r="Y883" s="8">
        <f>IF('Assumptions - Passenger'!$E$491&lt;&gt;0,IF(Y$4&lt;'Assumptions - Passenger'!$E$488+'Assumptions - Passenger'!$E$498,0,X883+1),0)</f>
        <v>14</v>
      </c>
      <c r="Z883" s="8">
        <f>IF('Assumptions - Passenger'!$E$491&lt;&gt;0,IF(Z$4&lt;'Assumptions - Passenger'!$E$488+'Assumptions - Passenger'!$E$498,0,Y883+1),0)</f>
        <v>15</v>
      </c>
      <c r="AA883" s="8">
        <f>IF('Assumptions - Passenger'!$E$491&lt;&gt;0,IF(AA$4&lt;'Assumptions - Passenger'!$E$488+'Assumptions - Passenger'!$E$498,0,Z883+1),0)</f>
        <v>16</v>
      </c>
      <c r="AB883" s="8">
        <f>IF('Assumptions - Passenger'!$E$491&lt;&gt;0,IF(AB$4&lt;'Assumptions - Passenger'!$E$488+'Assumptions - Passenger'!$E$498,0,AA883+1),0)</f>
        <v>17</v>
      </c>
      <c r="AC883" s="8">
        <f>IF('Assumptions - Passenger'!$E$491&lt;&gt;0,IF(AC$4&lt;'Assumptions - Passenger'!$E$488+'Assumptions - Passenger'!$E$498,0,AB883+1),0)</f>
        <v>18</v>
      </c>
      <c r="AD883" s="8">
        <f>IF('Assumptions - Passenger'!$E$491&lt;&gt;0,IF(AD$4&lt;'Assumptions - Passenger'!$E$488+'Assumptions - Passenger'!$E$498,0,AC883+1),0)</f>
        <v>19</v>
      </c>
      <c r="AE883" s="8">
        <f>IF('Assumptions - Passenger'!$E$491&lt;&gt;0,IF(AE$4&lt;'Assumptions - Passenger'!$E$488+'Assumptions - Passenger'!$E$498,0,AD883+1),0)</f>
        <v>20</v>
      </c>
      <c r="AF883" s="8">
        <f>IF('Assumptions - Passenger'!$E$491&lt;&gt;0,IF(AF$4&lt;'Assumptions - Passenger'!$E$488+'Assumptions - Passenger'!$E$498,0,AE883+1),0)</f>
        <v>21</v>
      </c>
      <c r="AG883" s="8">
        <f>IF('Assumptions - Passenger'!$E$491&lt;&gt;0,IF(AG$4&lt;'Assumptions - Passenger'!$E$488+'Assumptions - Passenger'!$E$498,0,AF883+1),0)</f>
        <v>22</v>
      </c>
      <c r="AH883" s="8">
        <f>IF('Assumptions - Passenger'!$E$491&lt;&gt;0,IF(AH$4&lt;'Assumptions - Passenger'!$E$488+'Assumptions - Passenger'!$E$498,0,AG883+1),0)</f>
        <v>23</v>
      </c>
    </row>
    <row r="884" spans="1:34" s="20" customFormat="1" ht="14" x14ac:dyDescent="0.2">
      <c r="A884" s="8"/>
      <c r="B884" s="8" t="s">
        <v>135</v>
      </c>
      <c r="C884" s="8"/>
      <c r="D884" s="8" t="s">
        <v>15</v>
      </c>
      <c r="E884" s="47">
        <f>IF(E$17=1,IF('Assumptions - Passenger'!$E493=1,'Assumptions - Passenger'!$E495,'Assumptions - General'!E$38+'Assumptions - Passenger'!$E496),0)</f>
        <v>0.05</v>
      </c>
      <c r="F884" s="47">
        <f>IF(F$17=1,IF('Assumptions - Passenger'!$E493=1,'Assumptions - Passenger'!$E495,'Assumptions - General'!F$38+'Assumptions - Passenger'!$E496),0)</f>
        <v>0.05</v>
      </c>
      <c r="G884" s="47">
        <f>IF(G$17=1,IF('Assumptions - Passenger'!$E493=1,'Assumptions - Passenger'!$E495,'Assumptions - General'!G$38+'Assumptions - Passenger'!$E496),0)</f>
        <v>0.05</v>
      </c>
      <c r="H884" s="47">
        <f>IF(H$17=1,IF('Assumptions - Passenger'!$E493=1,'Assumptions - Passenger'!$E495,'Assumptions - General'!H$38+'Assumptions - Passenger'!$E496),0)</f>
        <v>0.05</v>
      </c>
      <c r="I884" s="47">
        <f>IF(I$17=1,IF('Assumptions - Passenger'!$E493=1,'Assumptions - Passenger'!$E495,'Assumptions - General'!I$38+'Assumptions - Passenger'!$E496),0)</f>
        <v>0.05</v>
      </c>
      <c r="J884" s="47">
        <f>IF(J$17=1,IF('Assumptions - Passenger'!$E493=1,'Assumptions - Passenger'!$E495,'Assumptions - General'!J$38+'Assumptions - Passenger'!$E496),0)</f>
        <v>0.05</v>
      </c>
      <c r="K884" s="47">
        <f>IF(K$17=1,IF('Assumptions - Passenger'!$E493=1,'Assumptions - Passenger'!$E495,'Assumptions - General'!K$38+'Assumptions - Passenger'!$E496),0)</f>
        <v>0.05</v>
      </c>
      <c r="L884" s="47">
        <f>IF(L$17=1,IF('Assumptions - Passenger'!$E493=1,'Assumptions - Passenger'!$E495,'Assumptions - General'!L$38+'Assumptions - Passenger'!$E496),0)</f>
        <v>0.05</v>
      </c>
      <c r="M884" s="47">
        <f>IF(M$17=1,IF('Assumptions - Passenger'!$E493=1,'Assumptions - Passenger'!$E495,'Assumptions - General'!M$38+'Assumptions - Passenger'!$E496),0)</f>
        <v>0.05</v>
      </c>
      <c r="N884" s="47">
        <f>IF(N$17=1,IF('Assumptions - Passenger'!$E493=1,'Assumptions - Passenger'!$E495,'Assumptions - General'!N$38+'Assumptions - Passenger'!$E496),0)</f>
        <v>0.05</v>
      </c>
      <c r="O884" s="47">
        <f>IF(O$17=1,IF('Assumptions - Passenger'!$E493=1,'Assumptions - Passenger'!$E495,'Assumptions - General'!O$38+'Assumptions - Passenger'!$E496),0)</f>
        <v>0.05</v>
      </c>
      <c r="P884" s="47">
        <f>IF(P$17=1,IF('Assumptions - Passenger'!$E493=1,'Assumptions - Passenger'!$E495,'Assumptions - General'!P$38+'Assumptions - Passenger'!$E496),0)</f>
        <v>0.05</v>
      </c>
      <c r="Q884" s="47">
        <f>IF(Q$17=1,IF('Assumptions - Passenger'!$E493=1,'Assumptions - Passenger'!$E495,'Assumptions - General'!Q$38+'Assumptions - Passenger'!$E496),0)</f>
        <v>0.05</v>
      </c>
      <c r="R884" s="47">
        <f>IF(R$17=1,IF('Assumptions - Passenger'!$E493=1,'Assumptions - Passenger'!$E495,'Assumptions - General'!R$38+'Assumptions - Passenger'!$E496),0)</f>
        <v>0.05</v>
      </c>
      <c r="S884" s="47">
        <f>IF(S$17=1,IF('Assumptions - Passenger'!$E493=1,'Assumptions - Passenger'!$E495,'Assumptions - General'!S$38+'Assumptions - Passenger'!$E496),0)</f>
        <v>0.05</v>
      </c>
      <c r="T884" s="47">
        <f>IF(T$17=1,IF('Assumptions - Passenger'!$E493=1,'Assumptions - Passenger'!$E495,'Assumptions - General'!T$38+'Assumptions - Passenger'!$E496),0)</f>
        <v>0.05</v>
      </c>
      <c r="U884" s="47">
        <f>IF(U$17=1,IF('Assumptions - Passenger'!$E493=1,'Assumptions - Passenger'!$E495,'Assumptions - General'!U$38+'Assumptions - Passenger'!$E496),0)</f>
        <v>0.05</v>
      </c>
      <c r="V884" s="47">
        <f>IF(V$17=1,IF('Assumptions - Passenger'!$E493=1,'Assumptions - Passenger'!$E495,'Assumptions - General'!V$38+'Assumptions - Passenger'!$E496),0)</f>
        <v>0.05</v>
      </c>
      <c r="W884" s="47">
        <f>IF(W$17=1,IF('Assumptions - Passenger'!$E493=1,'Assumptions - Passenger'!$E495,'Assumptions - General'!W$38+'Assumptions - Passenger'!$E496),0)</f>
        <v>0.05</v>
      </c>
      <c r="X884" s="47">
        <f>IF(X$17=1,IF('Assumptions - Passenger'!$E493=1,'Assumptions - Passenger'!$E495,'Assumptions - General'!X$38+'Assumptions - Passenger'!$E496),0)</f>
        <v>0.05</v>
      </c>
      <c r="Y884" s="47">
        <f>IF(Y$17=1,IF('Assumptions - Passenger'!$E493=1,'Assumptions - Passenger'!$E495,'Assumptions - General'!Y$38+'Assumptions - Passenger'!$E496),0)</f>
        <v>0.05</v>
      </c>
      <c r="Z884" s="47">
        <f>IF(Z$17=1,IF('Assumptions - Passenger'!$E493=1,'Assumptions - Passenger'!$E495,'Assumptions - General'!Z$38+'Assumptions - Passenger'!$E496),0)</f>
        <v>0.05</v>
      </c>
      <c r="AA884" s="47">
        <f>IF(AA$17=1,IF('Assumptions - Passenger'!$E493=1,'Assumptions - Passenger'!$E495,'Assumptions - General'!AA$38+'Assumptions - Passenger'!$E496),0)</f>
        <v>0.05</v>
      </c>
      <c r="AB884" s="47">
        <f>IF(AB$17=1,IF('Assumptions - Passenger'!$E493=1,'Assumptions - Passenger'!$E495,'Assumptions - General'!AB$38+'Assumptions - Passenger'!$E496),0)</f>
        <v>0.05</v>
      </c>
      <c r="AC884" s="47">
        <f>IF(AC$17=1,IF('Assumptions - Passenger'!$E493=1,'Assumptions - Passenger'!$E495,'Assumptions - General'!AC$38+'Assumptions - Passenger'!$E496),0)</f>
        <v>0.05</v>
      </c>
      <c r="AD884" s="47">
        <f>IF(AD$17=1,IF('Assumptions - Passenger'!$E493=1,'Assumptions - Passenger'!$E495,'Assumptions - General'!AD$38+'Assumptions - Passenger'!$E496),0)</f>
        <v>0.05</v>
      </c>
      <c r="AE884" s="47">
        <f>IF(AE$17=1,IF('Assumptions - Passenger'!$E493=1,'Assumptions - Passenger'!$E495,'Assumptions - General'!AE$38+'Assumptions - Passenger'!$E496),0)</f>
        <v>0.05</v>
      </c>
      <c r="AF884" s="47">
        <f>IF(AF$17=1,IF('Assumptions - Passenger'!$E493=1,'Assumptions - Passenger'!$E495,'Assumptions - General'!AF$38+'Assumptions - Passenger'!$E496),0)</f>
        <v>0.05</v>
      </c>
      <c r="AG884" s="47">
        <f>IF(AG$17=1,IF('Assumptions - Passenger'!$E493=1,'Assumptions - Passenger'!$E495,'Assumptions - General'!AG$38+'Assumptions - Passenger'!$E496),0)</f>
        <v>0.05</v>
      </c>
      <c r="AH884" s="47">
        <f>IF(AH$17=1,IF('Assumptions - Passenger'!$E493=1,'Assumptions - Passenger'!$E495,'Assumptions - General'!AH$38+'Assumptions - Passenger'!$E496),0)</f>
        <v>0.05</v>
      </c>
    </row>
    <row r="885" spans="1:34" s="20" customFormat="1" ht="14" x14ac:dyDescent="0.2">
      <c r="A885" s="8"/>
      <c r="B885" s="8" t="s">
        <v>136</v>
      </c>
      <c r="C885" s="8"/>
      <c r="D885" s="8" t="str">
        <f>'Assumptions - Passenger'!D491</f>
        <v>R$ millions</v>
      </c>
      <c r="E885" s="468">
        <v>0</v>
      </c>
      <c r="F885" s="126">
        <f t="shared" ref="F885:AH885" si="352">E893</f>
        <v>0</v>
      </c>
      <c r="G885" s="126">
        <f t="shared" si="352"/>
        <v>0</v>
      </c>
      <c r="H885" s="126">
        <f t="shared" si="352"/>
        <v>10</v>
      </c>
      <c r="I885" s="126">
        <f t="shared" si="352"/>
        <v>20</v>
      </c>
      <c r="J885" s="126">
        <f t="shared" si="352"/>
        <v>30</v>
      </c>
      <c r="K885" s="126">
        <f t="shared" si="352"/>
        <v>40</v>
      </c>
      <c r="L885" s="126">
        <f t="shared" si="352"/>
        <v>50</v>
      </c>
      <c r="M885" s="126">
        <f t="shared" si="352"/>
        <v>50</v>
      </c>
      <c r="N885" s="126">
        <f t="shared" si="352"/>
        <v>50</v>
      </c>
      <c r="O885" s="126">
        <f t="shared" si="352"/>
        <v>50</v>
      </c>
      <c r="P885" s="126">
        <f t="shared" si="352"/>
        <v>50</v>
      </c>
      <c r="Q885" s="126">
        <f t="shared" si="352"/>
        <v>50</v>
      </c>
      <c r="R885" s="126">
        <f t="shared" si="352"/>
        <v>50</v>
      </c>
      <c r="S885" s="126">
        <f t="shared" si="352"/>
        <v>50</v>
      </c>
      <c r="T885" s="126">
        <f t="shared" si="352"/>
        <v>50</v>
      </c>
      <c r="U885" s="126">
        <f t="shared" si="352"/>
        <v>50</v>
      </c>
      <c r="V885" s="126">
        <f t="shared" si="352"/>
        <v>0</v>
      </c>
      <c r="W885" s="126">
        <f t="shared" si="352"/>
        <v>0</v>
      </c>
      <c r="X885" s="126">
        <f t="shared" si="352"/>
        <v>0</v>
      </c>
      <c r="Y885" s="126">
        <f t="shared" si="352"/>
        <v>0</v>
      </c>
      <c r="Z885" s="126">
        <f t="shared" si="352"/>
        <v>0</v>
      </c>
      <c r="AA885" s="126">
        <f t="shared" si="352"/>
        <v>0</v>
      </c>
      <c r="AB885" s="126">
        <f t="shared" si="352"/>
        <v>0</v>
      </c>
      <c r="AC885" s="126">
        <f t="shared" si="352"/>
        <v>0</v>
      </c>
      <c r="AD885" s="126">
        <f t="shared" si="352"/>
        <v>0</v>
      </c>
      <c r="AE885" s="126">
        <f t="shared" si="352"/>
        <v>0</v>
      </c>
      <c r="AF885" s="126">
        <f t="shared" si="352"/>
        <v>0</v>
      </c>
      <c r="AG885" s="126">
        <f t="shared" si="352"/>
        <v>0</v>
      </c>
      <c r="AH885" s="126">
        <f t="shared" si="352"/>
        <v>0</v>
      </c>
    </row>
    <row r="886" spans="1:34" s="20" customFormat="1" ht="14" x14ac:dyDescent="0.2">
      <c r="A886" s="8"/>
      <c r="B886" s="8" t="s">
        <v>410</v>
      </c>
      <c r="C886" s="8"/>
      <c r="D886" s="8" t="str">
        <f>D885</f>
        <v>R$ millions</v>
      </c>
      <c r="E886" s="126">
        <f>IF(E$17=1,IF('Assumptions - Passenger'!$E$491&lt;&gt;0,IF('Assumptions - Passenger'!$E$499=1,Calculations!E887,IF('Assumptions - Passenger'!$E$499=2,Calculations!E888,IF('Assumptions - Passenger'!$E$499=3,IF(E883=('Assumptions - Passenger'!$E$497-'Assumptions - Passenger'!$E$498),Calculations!D893,Calculations!E889),0))),0),0)</f>
        <v>0</v>
      </c>
      <c r="F886" s="126">
        <f>IF(F$17=1,IF('Assumptions - Passenger'!$E$491&lt;&gt;0,IF('Assumptions - Passenger'!$E$499=1,Calculations!F887,IF('Assumptions - Passenger'!$E$499=2,Calculations!F888,IF('Assumptions - Passenger'!$E$499=3,IF(F883=('Assumptions - Passenger'!$E$497-'Assumptions - Passenger'!$E$498),Calculations!E893,Calculations!F889),0))),0),0)</f>
        <v>0</v>
      </c>
      <c r="G886" s="126">
        <f>IF(G$17=1,IF('Assumptions - Passenger'!$E$491&lt;&gt;0,IF('Assumptions - Passenger'!$E$499=1,Calculations!G887,IF('Assumptions - Passenger'!$E$499=2,Calculations!G888,IF('Assumptions - Passenger'!$E$499=3,IF(G883=('Assumptions - Passenger'!$E$497-'Assumptions - Passenger'!$E$498),Calculations!F893,Calculations!G889),0))),0),0)</f>
        <v>0</v>
      </c>
      <c r="H886" s="126">
        <f>IF(H$17=1,IF('Assumptions - Passenger'!$E$491&lt;&gt;0,IF('Assumptions - Passenger'!$E$499=1,Calculations!H887,IF('Assumptions - Passenger'!$E$499=2,Calculations!H888,IF('Assumptions - Passenger'!$E$499=3,IF(H883=('Assumptions - Passenger'!$E$497-'Assumptions - Passenger'!$E$498),Calculations!G893,Calculations!H889),0))),0),0)</f>
        <v>0</v>
      </c>
      <c r="I886" s="126">
        <f>IF(I$17=1,IF('Assumptions - Passenger'!$E$491&lt;&gt;0,IF('Assumptions - Passenger'!$E$499=1,Calculations!I887,IF('Assumptions - Passenger'!$E$499=2,Calculations!I888,IF('Assumptions - Passenger'!$E$499=3,IF(I883=('Assumptions - Passenger'!$E$497-'Assumptions - Passenger'!$E$498),Calculations!H893,Calculations!I889),0))),0),0)</f>
        <v>0</v>
      </c>
      <c r="J886" s="126">
        <f>IF(J$17=1,IF('Assumptions - Passenger'!$E$491&lt;&gt;0,IF('Assumptions - Passenger'!$E$499=1,Calculations!J887,IF('Assumptions - Passenger'!$E$499=2,Calculations!J888,IF('Assumptions - Passenger'!$E$499=3,IF(J883=('Assumptions - Passenger'!$E$497-'Assumptions - Passenger'!$E$498),Calculations!I893,Calculations!J889),0))),0),0)</f>
        <v>0</v>
      </c>
      <c r="K886" s="126">
        <f>IF(K$17=1,IF('Assumptions - Passenger'!$E$491&lt;&gt;0,IF('Assumptions - Passenger'!$E$499=1,Calculations!K887,IF('Assumptions - Passenger'!$E$499=2,Calculations!K888,IF('Assumptions - Passenger'!$E$499=3,IF(K883=('Assumptions - Passenger'!$E$497-'Assumptions - Passenger'!$E$498),Calculations!J893,Calculations!K889),0))),0),0)</f>
        <v>0</v>
      </c>
      <c r="L886" s="126">
        <f>IF(L$17=1,IF('Assumptions - Passenger'!$E$491&lt;&gt;0,IF('Assumptions - Passenger'!$E$499=1,Calculations!L887,IF('Assumptions - Passenger'!$E$499=2,Calculations!L888,IF('Assumptions - Passenger'!$E$499=3,IF(L883=('Assumptions - Passenger'!$E$497-'Assumptions - Passenger'!$E$498),Calculations!K893,Calculations!L889),0))),0),0)</f>
        <v>0</v>
      </c>
      <c r="M886" s="126">
        <f>IF(M$17=1,IF('Assumptions - Passenger'!$E$491&lt;&gt;0,IF('Assumptions - Passenger'!$E$499=1,Calculations!M887,IF('Assumptions - Passenger'!$E$499=2,Calculations!M888,IF('Assumptions - Passenger'!$E$499=3,IF(M883=('Assumptions - Passenger'!$E$497-'Assumptions - Passenger'!$E$498),Calculations!L893,Calculations!M889),0))),0),0)</f>
        <v>0</v>
      </c>
      <c r="N886" s="126">
        <f>IF(N$17=1,IF('Assumptions - Passenger'!$E$491&lt;&gt;0,IF('Assumptions - Passenger'!$E$499=1,Calculations!N887,IF('Assumptions - Passenger'!$E$499=2,Calculations!N888,IF('Assumptions - Passenger'!$E$499=3,IF(N883=('Assumptions - Passenger'!$E$497-'Assumptions - Passenger'!$E$498),Calculations!M893,Calculations!N889),0))),0),0)</f>
        <v>0</v>
      </c>
      <c r="O886" s="126">
        <f>IF(O$17=1,IF('Assumptions - Passenger'!$E$491&lt;&gt;0,IF('Assumptions - Passenger'!$E$499=1,Calculations!O887,IF('Assumptions - Passenger'!$E$499=2,Calculations!O888,IF('Assumptions - Passenger'!$E$499=3,IF(O883=('Assumptions - Passenger'!$E$497-'Assumptions - Passenger'!$E$498),Calculations!N893,Calculations!O889),0))),0),0)</f>
        <v>0</v>
      </c>
      <c r="P886" s="126">
        <f>IF(P$17=1,IF('Assumptions - Passenger'!$E$491&lt;&gt;0,IF('Assumptions - Passenger'!$E$499=1,Calculations!P887,IF('Assumptions - Passenger'!$E$499=2,Calculations!P888,IF('Assumptions - Passenger'!$E$499=3,IF(P883=('Assumptions - Passenger'!$E$497-'Assumptions - Passenger'!$E$498),Calculations!O893,Calculations!P889),0))),0),0)</f>
        <v>0</v>
      </c>
      <c r="Q886" s="126">
        <f>IF(Q$17=1,IF('Assumptions - Passenger'!$E$491&lt;&gt;0,IF('Assumptions - Passenger'!$E$499=1,Calculations!Q887,IF('Assumptions - Passenger'!$E$499=2,Calculations!Q888,IF('Assumptions - Passenger'!$E$499=3,IF(Q883=('Assumptions - Passenger'!$E$497-'Assumptions - Passenger'!$E$498),Calculations!P893,Calculations!Q889),0))),0),0)</f>
        <v>0</v>
      </c>
      <c r="R886" s="126">
        <f>IF(R$17=1,IF('Assumptions - Passenger'!$E$491&lt;&gt;0,IF('Assumptions - Passenger'!$E$499=1,Calculations!R887,IF('Assumptions - Passenger'!$E$499=2,Calculations!R888,IF('Assumptions - Passenger'!$E$499=3,IF(R883=('Assumptions - Passenger'!$E$497-'Assumptions - Passenger'!$E$498),Calculations!Q893,Calculations!R889),0))),0),0)</f>
        <v>0</v>
      </c>
      <c r="S886" s="126">
        <f>IF(S$17=1,IF('Assumptions - Passenger'!$E$491&lt;&gt;0,IF('Assumptions - Passenger'!$E$499=1,Calculations!S887,IF('Assumptions - Passenger'!$E$499=2,Calculations!S888,IF('Assumptions - Passenger'!$E$499=3,IF(S883=('Assumptions - Passenger'!$E$497-'Assumptions - Passenger'!$E$498),Calculations!R893,Calculations!S889),0))),0),0)</f>
        <v>0</v>
      </c>
      <c r="T886" s="126">
        <f>IF(T$17=1,IF('Assumptions - Passenger'!$E$491&lt;&gt;0,IF('Assumptions - Passenger'!$E$499=1,Calculations!T887,IF('Assumptions - Passenger'!$E$499=2,Calculations!T888,IF('Assumptions - Passenger'!$E$499=3,IF(T883=('Assumptions - Passenger'!$E$497-'Assumptions - Passenger'!$E$498),Calculations!S893,Calculations!T889),0))),0),0)</f>
        <v>0</v>
      </c>
      <c r="U886" s="126">
        <f>IF(U$17=1,IF('Assumptions - Passenger'!$E$491&lt;&gt;0,IF('Assumptions - Passenger'!$E$499=1,Calculations!U887,IF('Assumptions - Passenger'!$E$499=2,Calculations!U888,IF('Assumptions - Passenger'!$E$499=3,IF(U883=('Assumptions - Passenger'!$E$497-'Assumptions - Passenger'!$E$498),Calculations!T893,Calculations!U889),0))),0),0)</f>
        <v>50</v>
      </c>
      <c r="V886" s="126">
        <f>IF(V$17=1,IF('Assumptions - Passenger'!$E$491&lt;&gt;0,IF('Assumptions - Passenger'!$E$499=1,Calculations!V887,IF('Assumptions - Passenger'!$E$499=2,Calculations!V888,IF('Assumptions - Passenger'!$E$499=3,IF(V883=('Assumptions - Passenger'!$E$497-'Assumptions - Passenger'!$E$498),Calculations!U893,Calculations!V889),0))),0),0)</f>
        <v>0</v>
      </c>
      <c r="W886" s="126">
        <f>IF(W$17=1,IF('Assumptions - Passenger'!$E$491&lt;&gt;0,IF('Assumptions - Passenger'!$E$499=1,Calculations!W887,IF('Assumptions - Passenger'!$E$499=2,Calculations!W888,IF('Assumptions - Passenger'!$E$499=3,IF(W883=('Assumptions - Passenger'!$E$497-'Assumptions - Passenger'!$E$498),Calculations!V893,Calculations!W889),0))),0),0)</f>
        <v>0</v>
      </c>
      <c r="X886" s="126">
        <f>IF(X$17=1,IF('Assumptions - Passenger'!$E$491&lt;&gt;0,IF('Assumptions - Passenger'!$E$499=1,Calculations!X887,IF('Assumptions - Passenger'!$E$499=2,Calculations!X888,IF('Assumptions - Passenger'!$E$499=3,IF(X883=('Assumptions - Passenger'!$E$497-'Assumptions - Passenger'!$E$498),Calculations!W893,Calculations!X889),0))),0),0)</f>
        <v>0</v>
      </c>
      <c r="Y886" s="126">
        <f>IF(Y$17=1,IF('Assumptions - Passenger'!$E$491&lt;&gt;0,IF('Assumptions - Passenger'!$E$499=1,Calculations!Y887,IF('Assumptions - Passenger'!$E$499=2,Calculations!Y888,IF('Assumptions - Passenger'!$E$499=3,IF(Y883=('Assumptions - Passenger'!$E$497-'Assumptions - Passenger'!$E$498),Calculations!X893,Calculations!Y889),0))),0),0)</f>
        <v>0</v>
      </c>
      <c r="Z886" s="126">
        <f>IF(Z$17=1,IF('Assumptions - Passenger'!$E$491&lt;&gt;0,IF('Assumptions - Passenger'!$E$499=1,Calculations!Z887,IF('Assumptions - Passenger'!$E$499=2,Calculations!Z888,IF('Assumptions - Passenger'!$E$499=3,IF(Z883=('Assumptions - Passenger'!$E$497-'Assumptions - Passenger'!$E$498),Calculations!Y893,Calculations!Z889),0))),0),0)</f>
        <v>0</v>
      </c>
      <c r="AA886" s="126">
        <f>IF(AA$17=1,IF('Assumptions - Passenger'!$E$491&lt;&gt;0,IF('Assumptions - Passenger'!$E$499=1,Calculations!AA887,IF('Assumptions - Passenger'!$E$499=2,Calculations!AA888,IF('Assumptions - Passenger'!$E$499=3,IF(AA883=('Assumptions - Passenger'!$E$497-'Assumptions - Passenger'!$E$498),Calculations!Z893,Calculations!AA889),0))),0),0)</f>
        <v>0</v>
      </c>
      <c r="AB886" s="126">
        <f>IF(AB$17=1,IF('Assumptions - Passenger'!$E$491&lt;&gt;0,IF('Assumptions - Passenger'!$E$499=1,Calculations!AB887,IF('Assumptions - Passenger'!$E$499=2,Calculations!AB888,IF('Assumptions - Passenger'!$E$499=3,IF(AB883=('Assumptions - Passenger'!$E$497-'Assumptions - Passenger'!$E$498),Calculations!AA893,Calculations!AB889),0))),0),0)</f>
        <v>0</v>
      </c>
      <c r="AC886" s="126">
        <f>IF(AC$17=1,IF('Assumptions - Passenger'!$E$491&lt;&gt;0,IF('Assumptions - Passenger'!$E$499=1,Calculations!AC887,IF('Assumptions - Passenger'!$E$499=2,Calculations!AC888,IF('Assumptions - Passenger'!$E$499=3,IF(AC883=('Assumptions - Passenger'!$E$497-'Assumptions - Passenger'!$E$498),Calculations!AB893,Calculations!AC889),0))),0),0)</f>
        <v>0</v>
      </c>
      <c r="AD886" s="126">
        <f>IF(AD$17=1,IF('Assumptions - Passenger'!$E$491&lt;&gt;0,IF('Assumptions - Passenger'!$E$499=1,Calculations!AD887,IF('Assumptions - Passenger'!$E$499=2,Calculations!AD888,IF('Assumptions - Passenger'!$E$499=3,IF(AD883=('Assumptions - Passenger'!$E$497-'Assumptions - Passenger'!$E$498),Calculations!AC893,Calculations!AD889),0))),0),0)</f>
        <v>0</v>
      </c>
      <c r="AE886" s="126">
        <f>IF(AE$17=1,IF('Assumptions - Passenger'!$E$491&lt;&gt;0,IF('Assumptions - Passenger'!$E$499=1,Calculations!AE887,IF('Assumptions - Passenger'!$E$499=2,Calculations!AE888,IF('Assumptions - Passenger'!$E$499=3,IF(AE883=('Assumptions - Passenger'!$E$497-'Assumptions - Passenger'!$E$498),Calculations!AD893,Calculations!AE889),0))),0),0)</f>
        <v>0</v>
      </c>
      <c r="AF886" s="126">
        <f>IF(AF$17=1,IF('Assumptions - Passenger'!$E$491&lt;&gt;0,IF('Assumptions - Passenger'!$E$499=1,Calculations!AF887,IF('Assumptions - Passenger'!$E$499=2,Calculations!AF888,IF('Assumptions - Passenger'!$E$499=3,IF(AF883=('Assumptions - Passenger'!$E$497-'Assumptions - Passenger'!$E$498),Calculations!AE893,Calculations!AF889),0))),0),0)</f>
        <v>0</v>
      </c>
      <c r="AG886" s="126">
        <f>IF(AG$17=1,IF('Assumptions - Passenger'!$E$491&lt;&gt;0,IF('Assumptions - Passenger'!$E$499=1,Calculations!AG887,IF('Assumptions - Passenger'!$E$499=2,Calculations!AG888,IF('Assumptions - Passenger'!$E$499=3,IF(AG883=('Assumptions - Passenger'!$E$497-'Assumptions - Passenger'!$E$498),Calculations!AF893,Calculations!AG889),0))),0),0)</f>
        <v>0</v>
      </c>
      <c r="AH886" s="126">
        <f>IF(AH$17=1,IF('Assumptions - Passenger'!$E$491&lt;&gt;0,IF('Assumptions - Passenger'!$E$499=1,Calculations!AH887,IF('Assumptions - Passenger'!$E$499=2,Calculations!AH888,IF('Assumptions - Passenger'!$E$499=3,IF(AH883=('Assumptions - Passenger'!$E$497-'Assumptions - Passenger'!$E$498),Calculations!AG893,Calculations!AH889),0))),0),0)</f>
        <v>0</v>
      </c>
    </row>
    <row r="887" spans="1:34" s="20" customFormat="1" ht="14" x14ac:dyDescent="0.2">
      <c r="A887" s="8"/>
      <c r="B887" s="125" t="s">
        <v>295</v>
      </c>
      <c r="C887" s="8"/>
      <c r="D887" s="8" t="str">
        <f t="shared" ref="D887:D898" si="353">D886</f>
        <v>R$ millions</v>
      </c>
      <c r="E887" s="126">
        <f>IF('Assumptions - Passenger'!$E$491&lt;&gt;0,IF(AND('Assumptions - Passenger'!$E$499=1,E$883=('Assumptions - Passenger'!$E$497-'Assumptions - Passenger'!$E$498)),'Assumptions - Passenger'!$E$491,0),0)</f>
        <v>0</v>
      </c>
      <c r="F887" s="126">
        <f>IF('Assumptions - Passenger'!$E$491&lt;&gt;0,IF(AND('Assumptions - Passenger'!$E$499=1,F$883=('Assumptions - Passenger'!$E$497-'Assumptions - Passenger'!$E$498)),'Assumptions - Passenger'!$E$491,0),0)</f>
        <v>0</v>
      </c>
      <c r="G887" s="126">
        <f>IF('Assumptions - Passenger'!$E$491&lt;&gt;0,IF(AND('Assumptions - Passenger'!$E$499=1,G$883=('Assumptions - Passenger'!$E$497-'Assumptions - Passenger'!$E$498)),'Assumptions - Passenger'!$E$491,0),0)</f>
        <v>0</v>
      </c>
      <c r="H887" s="126">
        <f>IF('Assumptions - Passenger'!$E$491&lt;&gt;0,IF(AND('Assumptions - Passenger'!$E$499=1,H$883=('Assumptions - Passenger'!$E$497-'Assumptions - Passenger'!$E$498)),'Assumptions - Passenger'!$E$491,0),0)</f>
        <v>0</v>
      </c>
      <c r="I887" s="126">
        <f>IF('Assumptions - Passenger'!$E$491&lt;&gt;0,IF(AND('Assumptions - Passenger'!$E$499=1,I$883=('Assumptions - Passenger'!$E$497-'Assumptions - Passenger'!$E$498)),'Assumptions - Passenger'!$E$491,0),0)</f>
        <v>0</v>
      </c>
      <c r="J887" s="126">
        <f>IF('Assumptions - Passenger'!$E$491&lt;&gt;0,IF(AND('Assumptions - Passenger'!$E$499=1,J$883=('Assumptions - Passenger'!$E$497-'Assumptions - Passenger'!$E$498)),'Assumptions - Passenger'!$E$491,0),0)</f>
        <v>0</v>
      </c>
      <c r="K887" s="126">
        <f>IF('Assumptions - Passenger'!$E$491&lt;&gt;0,IF(AND('Assumptions - Passenger'!$E$499=1,K$883=('Assumptions - Passenger'!$E$497-'Assumptions - Passenger'!$E$498)),'Assumptions - Passenger'!$E$491,0),0)</f>
        <v>0</v>
      </c>
      <c r="L887" s="126">
        <f>IF('Assumptions - Passenger'!$E$491&lt;&gt;0,IF(AND('Assumptions - Passenger'!$E$499=1,L$883=('Assumptions - Passenger'!$E$497-'Assumptions - Passenger'!$E$498)),'Assumptions - Passenger'!$E$491,0),0)</f>
        <v>0</v>
      </c>
      <c r="M887" s="126">
        <f>IF('Assumptions - Passenger'!$E$491&lt;&gt;0,IF(AND('Assumptions - Passenger'!$E$499=1,M$883=('Assumptions - Passenger'!$E$497-'Assumptions - Passenger'!$E$498)),'Assumptions - Passenger'!$E$491,0),0)</f>
        <v>0</v>
      </c>
      <c r="N887" s="126">
        <f>IF('Assumptions - Passenger'!$E$491&lt;&gt;0,IF(AND('Assumptions - Passenger'!$E$499=1,N$883=('Assumptions - Passenger'!$E$497-'Assumptions - Passenger'!$E$498)),'Assumptions - Passenger'!$E$491,0),0)</f>
        <v>0</v>
      </c>
      <c r="O887" s="126">
        <f>IF('Assumptions - Passenger'!$E$491&lt;&gt;0,IF(AND('Assumptions - Passenger'!$E$499=1,O$883=('Assumptions - Passenger'!$E$497-'Assumptions - Passenger'!$E$498)),'Assumptions - Passenger'!$E$491,0),0)</f>
        <v>0</v>
      </c>
      <c r="P887" s="126">
        <f>IF('Assumptions - Passenger'!$E$491&lt;&gt;0,IF(AND('Assumptions - Passenger'!$E$499=1,P$883=('Assumptions - Passenger'!$E$497-'Assumptions - Passenger'!$E$498)),'Assumptions - Passenger'!$E$491,0),0)</f>
        <v>0</v>
      </c>
      <c r="Q887" s="126">
        <f>IF('Assumptions - Passenger'!$E$491&lt;&gt;0,IF(AND('Assumptions - Passenger'!$E$499=1,Q$883=('Assumptions - Passenger'!$E$497-'Assumptions - Passenger'!$E$498)),'Assumptions - Passenger'!$E$491,0),0)</f>
        <v>0</v>
      </c>
      <c r="R887" s="126">
        <f>IF('Assumptions - Passenger'!$E$491&lt;&gt;0,IF(AND('Assumptions - Passenger'!$E$499=1,R$883=('Assumptions - Passenger'!$E$497-'Assumptions - Passenger'!$E$498)),'Assumptions - Passenger'!$E$491,0),0)</f>
        <v>0</v>
      </c>
      <c r="S887" s="126">
        <f>IF('Assumptions - Passenger'!$E$491&lt;&gt;0,IF(AND('Assumptions - Passenger'!$E$499=1,S$883=('Assumptions - Passenger'!$E$497-'Assumptions - Passenger'!$E$498)),'Assumptions - Passenger'!$E$491,0),0)</f>
        <v>0</v>
      </c>
      <c r="T887" s="126">
        <f>IF('Assumptions - Passenger'!$E$491&lt;&gt;0,IF(AND('Assumptions - Passenger'!$E$499=1,T$883=('Assumptions - Passenger'!$E$497-'Assumptions - Passenger'!$E$498)),'Assumptions - Passenger'!$E$491,0),0)</f>
        <v>0</v>
      </c>
      <c r="U887" s="126">
        <f>IF('Assumptions - Passenger'!$E$491&lt;&gt;0,IF(AND('Assumptions - Passenger'!$E$499=1,U$883=('Assumptions - Passenger'!$E$497-'Assumptions - Passenger'!$E$498)),'Assumptions - Passenger'!$E$491,0),0)</f>
        <v>50</v>
      </c>
      <c r="V887" s="126">
        <f>IF('Assumptions - Passenger'!$E$491&lt;&gt;0,IF(AND('Assumptions - Passenger'!$E$499=1,V$883=('Assumptions - Passenger'!$E$497-'Assumptions - Passenger'!$E$498)),'Assumptions - Passenger'!$E$491,0),0)</f>
        <v>0</v>
      </c>
      <c r="W887" s="126">
        <f>IF('Assumptions - Passenger'!$E$491&lt;&gt;0,IF(AND('Assumptions - Passenger'!$E$499=1,W$883=('Assumptions - Passenger'!$E$497-'Assumptions - Passenger'!$E$498)),'Assumptions - Passenger'!$E$491,0),0)</f>
        <v>0</v>
      </c>
      <c r="X887" s="126">
        <f>IF('Assumptions - Passenger'!$E$491&lt;&gt;0,IF(AND('Assumptions - Passenger'!$E$499=1,X$883=('Assumptions - Passenger'!$E$497-'Assumptions - Passenger'!$E$498)),'Assumptions - Passenger'!$E$491,0),0)</f>
        <v>0</v>
      </c>
      <c r="Y887" s="126">
        <f>IF('Assumptions - Passenger'!$E$491&lt;&gt;0,IF(AND('Assumptions - Passenger'!$E$499=1,Y$883=('Assumptions - Passenger'!$E$497-'Assumptions - Passenger'!$E$498)),'Assumptions - Passenger'!$E$491,0),0)</f>
        <v>0</v>
      </c>
      <c r="Z887" s="126">
        <f>IF('Assumptions - Passenger'!$E$491&lt;&gt;0,IF(AND('Assumptions - Passenger'!$E$499=1,Z$883=('Assumptions - Passenger'!$E$497-'Assumptions - Passenger'!$E$498)),'Assumptions - Passenger'!$E$491,0),0)</f>
        <v>0</v>
      </c>
      <c r="AA887" s="126">
        <f>IF('Assumptions - Passenger'!$E$491&lt;&gt;0,IF(AND('Assumptions - Passenger'!$E$499=1,AA$883=('Assumptions - Passenger'!$E$497-'Assumptions - Passenger'!$E$498)),'Assumptions - Passenger'!$E$491,0),0)</f>
        <v>0</v>
      </c>
      <c r="AB887" s="126">
        <f>IF('Assumptions - Passenger'!$E$491&lt;&gt;0,IF(AND('Assumptions - Passenger'!$E$499=1,AB$883=('Assumptions - Passenger'!$E$497-'Assumptions - Passenger'!$E$498)),'Assumptions - Passenger'!$E$491,0),0)</f>
        <v>0</v>
      </c>
      <c r="AC887" s="126">
        <f>IF('Assumptions - Passenger'!$E$491&lt;&gt;0,IF(AND('Assumptions - Passenger'!$E$499=1,AC$883=('Assumptions - Passenger'!$E$497-'Assumptions - Passenger'!$E$498)),'Assumptions - Passenger'!$E$491,0),0)</f>
        <v>0</v>
      </c>
      <c r="AD887" s="126">
        <f>IF('Assumptions - Passenger'!$E$491&lt;&gt;0,IF(AND('Assumptions - Passenger'!$E$499=1,AD$883=('Assumptions - Passenger'!$E$497-'Assumptions - Passenger'!$E$498)),'Assumptions - Passenger'!$E$491,0),0)</f>
        <v>0</v>
      </c>
      <c r="AE887" s="126">
        <f>IF('Assumptions - Passenger'!$E$491&lt;&gt;0,IF(AND('Assumptions - Passenger'!$E$499=1,AE$883=('Assumptions - Passenger'!$E$497-'Assumptions - Passenger'!$E$498)),'Assumptions - Passenger'!$E$491,0),0)</f>
        <v>0</v>
      </c>
      <c r="AF887" s="126">
        <f>IF('Assumptions - Passenger'!$E$491&lt;&gt;0,IF(AND('Assumptions - Passenger'!$E$499=1,AF$883=('Assumptions - Passenger'!$E$497-'Assumptions - Passenger'!$E$498)),'Assumptions - Passenger'!$E$491,0),0)</f>
        <v>0</v>
      </c>
      <c r="AG887" s="126">
        <f>IF('Assumptions - Passenger'!$E$491&lt;&gt;0,IF(AND('Assumptions - Passenger'!$E$499=1,AG$883=('Assumptions - Passenger'!$E$497-'Assumptions - Passenger'!$E$498)),'Assumptions - Passenger'!$E$491,0),0)</f>
        <v>0</v>
      </c>
      <c r="AH887" s="126">
        <f>IF('Assumptions - Passenger'!$E$491&lt;&gt;0,IF(AND('Assumptions - Passenger'!$E$499=1,AH$883=('Assumptions - Passenger'!$E$497-'Assumptions - Passenger'!$E$498)),'Assumptions - Passenger'!$E$491,0),0)</f>
        <v>0</v>
      </c>
    </row>
    <row r="888" spans="1:34" s="20" customFormat="1" ht="14" x14ac:dyDescent="0.2">
      <c r="A888" s="8"/>
      <c r="B888" s="125" t="s">
        <v>294</v>
      </c>
      <c r="C888" s="8"/>
      <c r="D888" s="8" t="str">
        <f t="shared" si="353"/>
        <v>R$ millions</v>
      </c>
      <c r="E888" s="126">
        <f>IF('Assumptions - Passenger'!$E$491&lt;&gt;0,IF(AND('Assumptions - Passenger'!$E$499=2,Calculations!E$883&gt;0,Calculations!E$883&lt;=('Assumptions - Passenger'!$E$497-'Assumptions - Passenger'!$E$498)),'Assumptions - Passenger'!$E$491/('Assumptions - Passenger'!$E$497-'Assumptions - Passenger'!$E$498),0),0)</f>
        <v>0</v>
      </c>
      <c r="F888" s="126">
        <f>IF('Assumptions - Passenger'!$E$491&lt;&gt;0,IF(AND('Assumptions - Passenger'!$E$499=2,Calculations!F$883&gt;0,Calculations!F$883&lt;=('Assumptions - Passenger'!$E$497-'Assumptions - Passenger'!$E$498)),'Assumptions - Passenger'!$E$491/('Assumptions - Passenger'!$E$497-'Assumptions - Passenger'!$E$498),0),0)</f>
        <v>0</v>
      </c>
      <c r="G888" s="126">
        <f>IF('Assumptions - Passenger'!$E$491&lt;&gt;0,IF(AND('Assumptions - Passenger'!$E$499=2,Calculations!G$883&gt;0,Calculations!G$883&lt;=('Assumptions - Passenger'!$E$497-'Assumptions - Passenger'!$E$498)),'Assumptions - Passenger'!$E$491/('Assumptions - Passenger'!$E$497-'Assumptions - Passenger'!$E$498),0),0)</f>
        <v>0</v>
      </c>
      <c r="H888" s="126">
        <f>IF('Assumptions - Passenger'!$E$491&lt;&gt;0,IF(AND('Assumptions - Passenger'!$E$499=2,Calculations!H$883&gt;0,Calculations!H$883&lt;=('Assumptions - Passenger'!$E$497-'Assumptions - Passenger'!$E$498)),'Assumptions - Passenger'!$E$491/('Assumptions - Passenger'!$E$497-'Assumptions - Passenger'!$E$498),0),0)</f>
        <v>0</v>
      </c>
      <c r="I888" s="126">
        <f>IF('Assumptions - Passenger'!$E$491&lt;&gt;0,IF(AND('Assumptions - Passenger'!$E$499=2,Calculations!I$883&gt;0,Calculations!I$883&lt;=('Assumptions - Passenger'!$E$497-'Assumptions - Passenger'!$E$498)),'Assumptions - Passenger'!$E$491/('Assumptions - Passenger'!$E$497-'Assumptions - Passenger'!$E$498),0),0)</f>
        <v>0</v>
      </c>
      <c r="J888" s="126">
        <f>IF('Assumptions - Passenger'!$E$491&lt;&gt;0,IF(AND('Assumptions - Passenger'!$E$499=2,Calculations!J$883&gt;0,Calculations!J$883&lt;=('Assumptions - Passenger'!$E$497-'Assumptions - Passenger'!$E$498)),'Assumptions - Passenger'!$E$491/('Assumptions - Passenger'!$E$497-'Assumptions - Passenger'!$E$498),0),0)</f>
        <v>0</v>
      </c>
      <c r="K888" s="126">
        <f>IF('Assumptions - Passenger'!$E$491&lt;&gt;0,IF(AND('Assumptions - Passenger'!$E$499=2,Calculations!K$883&gt;0,Calculations!K$883&lt;=('Assumptions - Passenger'!$E$497-'Assumptions - Passenger'!$E$498)),'Assumptions - Passenger'!$E$491/('Assumptions - Passenger'!$E$497-'Assumptions - Passenger'!$E$498),0),0)</f>
        <v>0</v>
      </c>
      <c r="L888" s="126">
        <f>IF('Assumptions - Passenger'!$E$491&lt;&gt;0,IF(AND('Assumptions - Passenger'!$E$499=2,Calculations!L$883&gt;0,Calculations!L$883&lt;=('Assumptions - Passenger'!$E$497-'Assumptions - Passenger'!$E$498)),'Assumptions - Passenger'!$E$491/('Assumptions - Passenger'!$E$497-'Assumptions - Passenger'!$E$498),0),0)</f>
        <v>0</v>
      </c>
      <c r="M888" s="126">
        <f>IF('Assumptions - Passenger'!$E$491&lt;&gt;0,IF(AND('Assumptions - Passenger'!$E$499=2,Calculations!M$883&gt;0,Calculations!M$883&lt;=('Assumptions - Passenger'!$E$497-'Assumptions - Passenger'!$E$498)),'Assumptions - Passenger'!$E$491/('Assumptions - Passenger'!$E$497-'Assumptions - Passenger'!$E$498),0),0)</f>
        <v>0</v>
      </c>
      <c r="N888" s="126">
        <f>IF('Assumptions - Passenger'!$E$491&lt;&gt;0,IF(AND('Assumptions - Passenger'!$E$499=2,Calculations!N$883&gt;0,Calculations!N$883&lt;=('Assumptions - Passenger'!$E$497-'Assumptions - Passenger'!$E$498)),'Assumptions - Passenger'!$E$491/('Assumptions - Passenger'!$E$497-'Assumptions - Passenger'!$E$498),0),0)</f>
        <v>0</v>
      </c>
      <c r="O888" s="126">
        <f>IF('Assumptions - Passenger'!$E$491&lt;&gt;0,IF(AND('Assumptions - Passenger'!$E$499=2,Calculations!O$883&gt;0,Calculations!O$883&lt;=('Assumptions - Passenger'!$E$497-'Assumptions - Passenger'!$E$498)),'Assumptions - Passenger'!$E$491/('Assumptions - Passenger'!$E$497-'Assumptions - Passenger'!$E$498),0),0)</f>
        <v>0</v>
      </c>
      <c r="P888" s="126">
        <f>IF('Assumptions - Passenger'!$E$491&lt;&gt;0,IF(AND('Assumptions - Passenger'!$E$499=2,Calculations!P$883&gt;0,Calculations!P$883&lt;=('Assumptions - Passenger'!$E$497-'Assumptions - Passenger'!$E$498)),'Assumptions - Passenger'!$E$491/('Assumptions - Passenger'!$E$497-'Assumptions - Passenger'!$E$498),0),0)</f>
        <v>0</v>
      </c>
      <c r="Q888" s="126">
        <f>IF('Assumptions - Passenger'!$E$491&lt;&gt;0,IF(AND('Assumptions - Passenger'!$E$499=2,Calculations!Q$883&gt;0,Calculations!Q$883&lt;=('Assumptions - Passenger'!$E$497-'Assumptions - Passenger'!$E$498)),'Assumptions - Passenger'!$E$491/('Assumptions - Passenger'!$E$497-'Assumptions - Passenger'!$E$498),0),0)</f>
        <v>0</v>
      </c>
      <c r="R888" s="126">
        <f>IF('Assumptions - Passenger'!$E$491&lt;&gt;0,IF(AND('Assumptions - Passenger'!$E$499=2,Calculations!R$883&gt;0,Calculations!R$883&lt;=('Assumptions - Passenger'!$E$497-'Assumptions - Passenger'!$E$498)),'Assumptions - Passenger'!$E$491/('Assumptions - Passenger'!$E$497-'Assumptions - Passenger'!$E$498),0),0)</f>
        <v>0</v>
      </c>
      <c r="S888" s="126">
        <f>IF('Assumptions - Passenger'!$E$491&lt;&gt;0,IF(AND('Assumptions - Passenger'!$E$499=2,Calculations!S$883&gt;0,Calculations!S$883&lt;=('Assumptions - Passenger'!$E$497-'Assumptions - Passenger'!$E$498)),'Assumptions - Passenger'!$E$491/('Assumptions - Passenger'!$E$497-'Assumptions - Passenger'!$E$498),0),0)</f>
        <v>0</v>
      </c>
      <c r="T888" s="126">
        <f>IF('Assumptions - Passenger'!$E$491&lt;&gt;0,IF(AND('Assumptions - Passenger'!$E$499=2,Calculations!T$883&gt;0,Calculations!T$883&lt;=('Assumptions - Passenger'!$E$497-'Assumptions - Passenger'!$E$498)),'Assumptions - Passenger'!$E$491/('Assumptions - Passenger'!$E$497-'Assumptions - Passenger'!$E$498),0),0)</f>
        <v>0</v>
      </c>
      <c r="U888" s="126">
        <f>IF('Assumptions - Passenger'!$E$491&lt;&gt;0,IF(AND('Assumptions - Passenger'!$E$499=2,Calculations!U$883&gt;0,Calculations!U$883&lt;=('Assumptions - Passenger'!$E$497-'Assumptions - Passenger'!$E$498)),'Assumptions - Passenger'!$E$491/('Assumptions - Passenger'!$E$497-'Assumptions - Passenger'!$E$498),0),0)</f>
        <v>0</v>
      </c>
      <c r="V888" s="126">
        <f>IF('Assumptions - Passenger'!$E$491&lt;&gt;0,IF(AND('Assumptions - Passenger'!$E$499=2,Calculations!V$883&gt;0,Calculations!V$883&lt;=('Assumptions - Passenger'!$E$497-'Assumptions - Passenger'!$E$498)),'Assumptions - Passenger'!$E$491/('Assumptions - Passenger'!$E$497-'Assumptions - Passenger'!$E$498),0),0)</f>
        <v>0</v>
      </c>
      <c r="W888" s="126">
        <f>IF('Assumptions - Passenger'!$E$491&lt;&gt;0,IF(AND('Assumptions - Passenger'!$E$499=2,Calculations!W$883&gt;0,Calculations!W$883&lt;=('Assumptions - Passenger'!$E$497-'Assumptions - Passenger'!$E$498)),'Assumptions - Passenger'!$E$491/('Assumptions - Passenger'!$E$497-'Assumptions - Passenger'!$E$498),0),0)</f>
        <v>0</v>
      </c>
      <c r="X888" s="126">
        <f>IF('Assumptions - Passenger'!$E$491&lt;&gt;0,IF(AND('Assumptions - Passenger'!$E$499=2,Calculations!X$883&gt;0,Calculations!X$883&lt;=('Assumptions - Passenger'!$E$497-'Assumptions - Passenger'!$E$498)),'Assumptions - Passenger'!$E$491/('Assumptions - Passenger'!$E$497-'Assumptions - Passenger'!$E$498),0),0)</f>
        <v>0</v>
      </c>
      <c r="Y888" s="126">
        <f>IF('Assumptions - Passenger'!$E$491&lt;&gt;0,IF(AND('Assumptions - Passenger'!$E$499=2,Calculations!Y$883&gt;0,Calculations!Y$883&lt;=('Assumptions - Passenger'!$E$497-'Assumptions - Passenger'!$E$498)),'Assumptions - Passenger'!$E$491/('Assumptions - Passenger'!$E$497-'Assumptions - Passenger'!$E$498),0),0)</f>
        <v>0</v>
      </c>
      <c r="Z888" s="126">
        <f>IF('Assumptions - Passenger'!$E$491&lt;&gt;0,IF(AND('Assumptions - Passenger'!$E$499=2,Calculations!Z$883&gt;0,Calculations!Z$883&lt;=('Assumptions - Passenger'!$E$497-'Assumptions - Passenger'!$E$498)),'Assumptions - Passenger'!$E$491/('Assumptions - Passenger'!$E$497-'Assumptions - Passenger'!$E$498),0),0)</f>
        <v>0</v>
      </c>
      <c r="AA888" s="126">
        <f>IF('Assumptions - Passenger'!$E$491&lt;&gt;0,IF(AND('Assumptions - Passenger'!$E$499=2,Calculations!AA$883&gt;0,Calculations!AA$883&lt;=('Assumptions - Passenger'!$E$497-'Assumptions - Passenger'!$E$498)),'Assumptions - Passenger'!$E$491/('Assumptions - Passenger'!$E$497-'Assumptions - Passenger'!$E$498),0),0)</f>
        <v>0</v>
      </c>
      <c r="AB888" s="126">
        <f>IF('Assumptions - Passenger'!$E$491&lt;&gt;0,IF(AND('Assumptions - Passenger'!$E$499=2,Calculations!AB$883&gt;0,Calculations!AB$883&lt;=('Assumptions - Passenger'!$E$497-'Assumptions - Passenger'!$E$498)),'Assumptions - Passenger'!$E$491/('Assumptions - Passenger'!$E$497-'Assumptions - Passenger'!$E$498),0),0)</f>
        <v>0</v>
      </c>
      <c r="AC888" s="126">
        <f>IF('Assumptions - Passenger'!$E$491&lt;&gt;0,IF(AND('Assumptions - Passenger'!$E$499=2,Calculations!AC$883&gt;0,Calculations!AC$883&lt;=('Assumptions - Passenger'!$E$497-'Assumptions - Passenger'!$E$498)),'Assumptions - Passenger'!$E$491/('Assumptions - Passenger'!$E$497-'Assumptions - Passenger'!$E$498),0),0)</f>
        <v>0</v>
      </c>
      <c r="AD888" s="126">
        <f>IF('Assumptions - Passenger'!$E$491&lt;&gt;0,IF(AND('Assumptions - Passenger'!$E$499=2,Calculations!AD$883&gt;0,Calculations!AD$883&lt;=('Assumptions - Passenger'!$E$497-'Assumptions - Passenger'!$E$498)),'Assumptions - Passenger'!$E$491/('Assumptions - Passenger'!$E$497-'Assumptions - Passenger'!$E$498),0),0)</f>
        <v>0</v>
      </c>
      <c r="AE888" s="126">
        <f>IF('Assumptions - Passenger'!$E$491&lt;&gt;0,IF(AND('Assumptions - Passenger'!$E$499=2,Calculations!AE$883&gt;0,Calculations!AE$883&lt;=('Assumptions - Passenger'!$E$497-'Assumptions - Passenger'!$E$498)),'Assumptions - Passenger'!$E$491/('Assumptions - Passenger'!$E$497-'Assumptions - Passenger'!$E$498),0),0)</f>
        <v>0</v>
      </c>
      <c r="AF888" s="126">
        <f>IF('Assumptions - Passenger'!$E$491&lt;&gt;0,IF(AND('Assumptions - Passenger'!$E$499=2,Calculations!AF$883&gt;0,Calculations!AF$883&lt;=('Assumptions - Passenger'!$E$497-'Assumptions - Passenger'!$E$498)),'Assumptions - Passenger'!$E$491/('Assumptions - Passenger'!$E$497-'Assumptions - Passenger'!$E$498),0),0)</f>
        <v>0</v>
      </c>
      <c r="AG888" s="126">
        <f>IF('Assumptions - Passenger'!$E$491&lt;&gt;0,IF(AND('Assumptions - Passenger'!$E$499=2,Calculations!AG$883&gt;0,Calculations!AG$883&lt;=('Assumptions - Passenger'!$E$497-'Assumptions - Passenger'!$E$498)),'Assumptions - Passenger'!$E$491/('Assumptions - Passenger'!$E$497-'Assumptions - Passenger'!$E$498),0),0)</f>
        <v>0</v>
      </c>
      <c r="AH888" s="126">
        <f>IF('Assumptions - Passenger'!$E$491&lt;&gt;0,IF(AND('Assumptions - Passenger'!$E$499=2,Calculations!AH$883&gt;0,Calculations!AH$883&lt;=('Assumptions - Passenger'!$E$497-'Assumptions - Passenger'!$E$498)),'Assumptions - Passenger'!$E$491/('Assumptions - Passenger'!$E$497-'Assumptions - Passenger'!$E$498),0),0)</f>
        <v>0</v>
      </c>
    </row>
    <row r="889" spans="1:34" s="20" customFormat="1" ht="14" x14ac:dyDescent="0.2">
      <c r="A889" s="8"/>
      <c r="B889" s="125" t="s">
        <v>678</v>
      </c>
      <c r="C889" s="8"/>
      <c r="D889" s="8" t="str">
        <f t="shared" si="353"/>
        <v>R$ millions</v>
      </c>
      <c r="E889" s="126">
        <f>IF('Assumptions - Passenger'!$E$491&lt;&gt;0,IF(AND('Assumptions - Passenger'!$E499=3,E883&gt;0,E883&lt;=('Assumptions - Passenger'!$E$497-'Assumptions - Passenger'!$E$498)),E885*D890/SUM(E890:$AH890)-E891,0),0)</f>
        <v>0</v>
      </c>
      <c r="F889" s="126">
        <f>IF('Assumptions - Passenger'!$E$491&lt;&gt;0,IF(AND('Assumptions - Passenger'!$E499=3,F883&gt;0,F883&lt;=('Assumptions - Passenger'!$E$497-'Assumptions - Passenger'!$E$498)),F885*E890/SUM(F890:$AH890)-F891,0),0)</f>
        <v>0</v>
      </c>
      <c r="G889" s="126">
        <f>IF('Assumptions - Passenger'!$E$491&lt;&gt;0,IF(AND('Assumptions - Passenger'!$E499=3,G883&gt;0,G883&lt;=('Assumptions - Passenger'!$E$497-'Assumptions - Passenger'!$E$498)),G885*F890/SUM(G890:$AH890)-G891,0),0)</f>
        <v>0</v>
      </c>
      <c r="H889" s="126">
        <f>IF('Assumptions - Passenger'!$E$491&lt;&gt;0,IF(AND('Assumptions - Passenger'!$E499=3,H883&gt;0,H883&lt;=('Assumptions - Passenger'!$E$497-'Assumptions - Passenger'!$E$498)),H885*G890/SUM(H890:$AH890)-H891,0),0)</f>
        <v>0</v>
      </c>
      <c r="I889" s="126">
        <f>IF('Assumptions - Passenger'!$E$491&lt;&gt;0,IF(AND('Assumptions - Passenger'!$E499=3,I883&gt;0,I883&lt;=('Assumptions - Passenger'!$E$497-'Assumptions - Passenger'!$E$498)),I885*H890/SUM(I890:$AH890)-I891,0),0)</f>
        <v>0</v>
      </c>
      <c r="J889" s="126">
        <f>IF('Assumptions - Passenger'!$E$491&lt;&gt;0,IF(AND('Assumptions - Passenger'!$E499=3,J883&gt;0,J883&lt;=('Assumptions - Passenger'!$E$497-'Assumptions - Passenger'!$E$498)),J885*I890/SUM(J890:$AH890)-J891,0),0)</f>
        <v>0</v>
      </c>
      <c r="K889" s="126">
        <f>IF('Assumptions - Passenger'!$E$491&lt;&gt;0,IF(AND('Assumptions - Passenger'!$E499=3,K883&gt;0,K883&lt;=('Assumptions - Passenger'!$E$497-'Assumptions - Passenger'!$E$498)),K885*J890/SUM(K890:$AH890)-K891,0),0)</f>
        <v>0</v>
      </c>
      <c r="L889" s="126">
        <f>IF('Assumptions - Passenger'!$E$491&lt;&gt;0,IF(AND('Assumptions - Passenger'!$E499=3,L883&gt;0,L883&lt;=('Assumptions - Passenger'!$E$497-'Assumptions - Passenger'!$E$498)),L885*K890/SUM(L890:$AH890)-L891,0),0)</f>
        <v>0</v>
      </c>
      <c r="M889" s="126">
        <f>IF('Assumptions - Passenger'!$E$491&lt;&gt;0,IF(AND('Assumptions - Passenger'!$E499=3,M883&gt;0,M883&lt;=('Assumptions - Passenger'!$E$497-'Assumptions - Passenger'!$E$498)),M885*L890/SUM(M890:$AH890)-M891,0),0)</f>
        <v>0</v>
      </c>
      <c r="N889" s="126">
        <f>IF('Assumptions - Passenger'!$E$491&lt;&gt;0,IF(AND('Assumptions - Passenger'!$E499=3,N883&gt;0,N883&lt;=('Assumptions - Passenger'!$E$497-'Assumptions - Passenger'!$E$498)),N885*M890/SUM(N890:$AH890)-N891,0),0)</f>
        <v>0</v>
      </c>
      <c r="O889" s="126">
        <f>IF('Assumptions - Passenger'!$E$491&lt;&gt;0,IF(AND('Assumptions - Passenger'!$E499=3,O883&gt;0,O883&lt;=('Assumptions - Passenger'!$E$497-'Assumptions - Passenger'!$E$498)),O885*N890/SUM(O890:$AH890)-O891,0),0)</f>
        <v>0</v>
      </c>
      <c r="P889" s="126">
        <f>IF('Assumptions - Passenger'!$E$491&lt;&gt;0,IF(AND('Assumptions - Passenger'!$E499=3,P883&gt;0,P883&lt;=('Assumptions - Passenger'!$E$497-'Assumptions - Passenger'!$E$498)),P885*O890/SUM(P890:$AH890)-P891,0),0)</f>
        <v>0</v>
      </c>
      <c r="Q889" s="126">
        <f>IF('Assumptions - Passenger'!$E$491&lt;&gt;0,IF(AND('Assumptions - Passenger'!$E499=3,Q883&gt;0,Q883&lt;=('Assumptions - Passenger'!$E$497-'Assumptions - Passenger'!$E$498)),Q885*P890/SUM(Q890:$AH890)-Q891,0),0)</f>
        <v>0</v>
      </c>
      <c r="R889" s="126">
        <f>IF('Assumptions - Passenger'!$E$491&lt;&gt;0,IF(AND('Assumptions - Passenger'!$E499=3,R883&gt;0,R883&lt;=('Assumptions - Passenger'!$E$497-'Assumptions - Passenger'!$E$498)),R885*Q890/SUM(R890:$AH890)-R891,0),0)</f>
        <v>0</v>
      </c>
      <c r="S889" s="126">
        <f>IF('Assumptions - Passenger'!$E$491&lt;&gt;0,IF(AND('Assumptions - Passenger'!$E499=3,S883&gt;0,S883&lt;=('Assumptions - Passenger'!$E$497-'Assumptions - Passenger'!$E$498)),S885*R890/SUM(S890:$AH890)-S891,0),0)</f>
        <v>0</v>
      </c>
      <c r="T889" s="126">
        <f>IF('Assumptions - Passenger'!$E$491&lt;&gt;0,IF(AND('Assumptions - Passenger'!$E499=3,T883&gt;0,T883&lt;=('Assumptions - Passenger'!$E$497-'Assumptions - Passenger'!$E$498)),T885*S890/SUM(T890:$AH890)-T891,0),0)</f>
        <v>0</v>
      </c>
      <c r="U889" s="126">
        <f>IF('Assumptions - Passenger'!$E$491&lt;&gt;0,IF(AND('Assumptions - Passenger'!$E499=3,U883&gt;0,U883&lt;=('Assumptions - Passenger'!$E$497-'Assumptions - Passenger'!$E$498)),U885*T890/SUM(U890:$AH890)-U891,0),0)</f>
        <v>0</v>
      </c>
      <c r="V889" s="126">
        <f>IF('Assumptions - Passenger'!$E$491&lt;&gt;0,IF(AND('Assumptions - Passenger'!$E499=3,V883&gt;0,V883&lt;=('Assumptions - Passenger'!$E$497-'Assumptions - Passenger'!$E$498)),V885*U890/SUM(V890:$AH890)-V891,0),0)</f>
        <v>0</v>
      </c>
      <c r="W889" s="126">
        <f>IF('Assumptions - Passenger'!$E$491&lt;&gt;0,IF(AND('Assumptions - Passenger'!$E499=3,W883&gt;0,W883&lt;=('Assumptions - Passenger'!$E$497-'Assumptions - Passenger'!$E$498)),W885*V890/SUM(W890:$AH890)-W891,0),0)</f>
        <v>0</v>
      </c>
      <c r="X889" s="126">
        <f>IF('Assumptions - Passenger'!$E$491&lt;&gt;0,IF(AND('Assumptions - Passenger'!$E499=3,X883&gt;0,X883&lt;=('Assumptions - Passenger'!$E$497-'Assumptions - Passenger'!$E$498)),X885*W890/SUM(X890:$AH890)-X891,0),0)</f>
        <v>0</v>
      </c>
      <c r="Y889" s="126">
        <f>IF('Assumptions - Passenger'!$E$491&lt;&gt;0,IF(AND('Assumptions - Passenger'!$E499=3,Y883&gt;0,Y883&lt;=('Assumptions - Passenger'!$E$497-'Assumptions - Passenger'!$E$498)),Y885*X890/SUM(Y890:$AH890)-Y891,0),0)</f>
        <v>0</v>
      </c>
      <c r="Z889" s="126">
        <f>IF('Assumptions - Passenger'!$E$491&lt;&gt;0,IF(AND('Assumptions - Passenger'!$E499=3,Z883&gt;0,Z883&lt;=('Assumptions - Passenger'!$E$497-'Assumptions - Passenger'!$E$498)),Z885*Y890/SUM(Z890:$AH890)-Z891,0),0)</f>
        <v>0</v>
      </c>
      <c r="AA889" s="126">
        <f>IF('Assumptions - Passenger'!$E$491&lt;&gt;0,IF(AND('Assumptions - Passenger'!$E499=3,AA883&gt;0,AA883&lt;=('Assumptions - Passenger'!$E$497-'Assumptions - Passenger'!$E$498)),AA885*Z890/SUM(AA890:$AH890)-AA891,0),0)</f>
        <v>0</v>
      </c>
      <c r="AB889" s="126">
        <f>IF('Assumptions - Passenger'!$E$491&lt;&gt;0,IF(AND('Assumptions - Passenger'!$E499=3,AB883&gt;0,AB883&lt;=('Assumptions - Passenger'!$E$497-'Assumptions - Passenger'!$E$498)),AB885*AA890/SUM(AB890:$AH890)-AB891,0),0)</f>
        <v>0</v>
      </c>
      <c r="AC889" s="126">
        <f>IF('Assumptions - Passenger'!$E$491&lt;&gt;0,IF(AND('Assumptions - Passenger'!$E499=3,AC883&gt;0,AC883&lt;=('Assumptions - Passenger'!$E$497-'Assumptions - Passenger'!$E$498)),AC885*AB890/SUM(AC890:$AH890)-AC891,0),0)</f>
        <v>0</v>
      </c>
      <c r="AD889" s="126">
        <f>IF('Assumptions - Passenger'!$E$491&lt;&gt;0,IF(AND('Assumptions - Passenger'!$E499=3,AD883&gt;0,AD883&lt;=('Assumptions - Passenger'!$E$497-'Assumptions - Passenger'!$E$498)),AD885*AC890/SUM(AD890:$AH890)-AD891,0),0)</f>
        <v>0</v>
      </c>
      <c r="AE889" s="126">
        <f>IF('Assumptions - Passenger'!$E$491&lt;&gt;0,IF(AND('Assumptions - Passenger'!$E499=3,AE883&gt;0,AE883&lt;=('Assumptions - Passenger'!$E$497-'Assumptions - Passenger'!$E$498)),AE885*AD890/SUM(AE890:$AH890)-AE891,0),0)</f>
        <v>0</v>
      </c>
      <c r="AF889" s="126">
        <f>IF('Assumptions - Passenger'!$E$491&lt;&gt;0,IF(AND('Assumptions - Passenger'!$E499=3,AF883&gt;0,AF883&lt;=('Assumptions - Passenger'!$E$497-'Assumptions - Passenger'!$E$498)),AF885*AE890/SUM(AF890:$AH890)-AF891,0),0)</f>
        <v>0</v>
      </c>
      <c r="AG889" s="126">
        <f>IF('Assumptions - Passenger'!$E$491&lt;&gt;0,IF(AND('Assumptions - Passenger'!$E499=3,AG883&gt;0,AG883&lt;=('Assumptions - Passenger'!$E$497-'Assumptions - Passenger'!$E$498)),AG885*AF890/SUM(AG890:$AH890)-AG891,0),0)</f>
        <v>0</v>
      </c>
      <c r="AH889" s="126">
        <f>IF('Assumptions - Passenger'!$E$491&lt;&gt;0,IF(AND('Assumptions - Passenger'!$E499=3,AH883&gt;0,AH883&lt;=('Assumptions - Passenger'!$E$497-'Assumptions - Passenger'!$E$498)),AH885*AG890/SUM(AH890:$AH890)-AH891,0),0)</f>
        <v>0</v>
      </c>
    </row>
    <row r="890" spans="1:34" s="20" customFormat="1" ht="14" x14ac:dyDescent="0.2">
      <c r="B890" s="127" t="s">
        <v>677</v>
      </c>
      <c r="D890" s="87">
        <v>1</v>
      </c>
      <c r="E890" s="126">
        <f>IF('Assumptions - Passenger'!$E$491&lt;&gt;0,IF(AND('Assumptions - Passenger'!$E499=3,E883&lt;=('Assumptions - Passenger'!$E$497-'Assumptions - Passenger'!$E$498)),D890/(1+E884),0),0)</f>
        <v>0</v>
      </c>
      <c r="F890" s="126">
        <f>IF('Assumptions - Passenger'!$E$491&lt;&gt;0,IF(AND('Assumptions - Passenger'!$E499=3,F883&lt;=('Assumptions - Passenger'!$E$497-'Assumptions - Passenger'!$E$498)),E890/(1+F884),0),0)</f>
        <v>0</v>
      </c>
      <c r="G890" s="126">
        <f>IF('Assumptions - Passenger'!$E$491&lt;&gt;0,IF(AND('Assumptions - Passenger'!$E499=3,G883&lt;=('Assumptions - Passenger'!$E$497-'Assumptions - Passenger'!$E$498)),F890/(1+G884),0),0)</f>
        <v>0</v>
      </c>
      <c r="H890" s="126">
        <f>IF('Assumptions - Passenger'!$E$491&lt;&gt;0,IF(AND('Assumptions - Passenger'!$E499=3,H883&lt;=('Assumptions - Passenger'!$E$497-'Assumptions - Passenger'!$E$498)),G890/(1+H884),0),0)</f>
        <v>0</v>
      </c>
      <c r="I890" s="126">
        <f>IF('Assumptions - Passenger'!$E$491&lt;&gt;0,IF(AND('Assumptions - Passenger'!$E499=3,I883&lt;=('Assumptions - Passenger'!$E$497-'Assumptions - Passenger'!$E$498)),H890/(1+I884),0),0)</f>
        <v>0</v>
      </c>
      <c r="J890" s="126">
        <f>IF('Assumptions - Passenger'!$E$491&lt;&gt;0,IF(AND('Assumptions - Passenger'!$E499=3,J883&lt;=('Assumptions - Passenger'!$E$497-'Assumptions - Passenger'!$E$498)),I890/(1+J884),0),0)</f>
        <v>0</v>
      </c>
      <c r="K890" s="126">
        <f>IF('Assumptions - Passenger'!$E$491&lt;&gt;0,IF(AND('Assumptions - Passenger'!$E499=3,K883&lt;=('Assumptions - Passenger'!$E$497-'Assumptions - Passenger'!$E$498)),J890/(1+K884),0),0)</f>
        <v>0</v>
      </c>
      <c r="L890" s="126">
        <f>IF('Assumptions - Passenger'!$E$491&lt;&gt;0,IF(AND('Assumptions - Passenger'!$E499=3,L883&lt;=('Assumptions - Passenger'!$E$497-'Assumptions - Passenger'!$E$498)),K890/(1+L884),0),0)</f>
        <v>0</v>
      </c>
      <c r="M890" s="126">
        <f>IF('Assumptions - Passenger'!$E$491&lt;&gt;0,IF(AND('Assumptions - Passenger'!$E499=3,M883&lt;=('Assumptions - Passenger'!$E$497-'Assumptions - Passenger'!$E$498)),L890/(1+M884),0),0)</f>
        <v>0</v>
      </c>
      <c r="N890" s="126">
        <f>IF('Assumptions - Passenger'!$E$491&lt;&gt;0,IF(AND('Assumptions - Passenger'!$E499=3,N883&lt;=('Assumptions - Passenger'!$E$497-'Assumptions - Passenger'!$E$498)),M890/(1+N884),0),0)</f>
        <v>0</v>
      </c>
      <c r="O890" s="126">
        <f>IF('Assumptions - Passenger'!$E$491&lt;&gt;0,IF(AND('Assumptions - Passenger'!$E499=3,O883&lt;=('Assumptions - Passenger'!$E$497-'Assumptions - Passenger'!$E$498)),N890/(1+O884),0),0)</f>
        <v>0</v>
      </c>
      <c r="P890" s="126">
        <f>IF('Assumptions - Passenger'!$E$491&lt;&gt;0,IF(AND('Assumptions - Passenger'!$E499=3,P883&lt;=('Assumptions - Passenger'!$E$497-'Assumptions - Passenger'!$E$498)),O890/(1+P884),0),0)</f>
        <v>0</v>
      </c>
      <c r="Q890" s="126">
        <f>IF('Assumptions - Passenger'!$E$491&lt;&gt;0,IF(AND('Assumptions - Passenger'!$E499=3,Q883&lt;=('Assumptions - Passenger'!$E$497-'Assumptions - Passenger'!$E$498)),P890/(1+Q884),0),0)</f>
        <v>0</v>
      </c>
      <c r="R890" s="126">
        <f>IF('Assumptions - Passenger'!$E$491&lt;&gt;0,IF(AND('Assumptions - Passenger'!$E499=3,R883&lt;=('Assumptions - Passenger'!$E$497-'Assumptions - Passenger'!$E$498)),Q890/(1+R884),0),0)</f>
        <v>0</v>
      </c>
      <c r="S890" s="126">
        <f>IF('Assumptions - Passenger'!$E$491&lt;&gt;0,IF(AND('Assumptions - Passenger'!$E499=3,S883&lt;=('Assumptions - Passenger'!$E$497-'Assumptions - Passenger'!$E$498)),R890/(1+S884),0),0)</f>
        <v>0</v>
      </c>
      <c r="T890" s="126">
        <f>IF('Assumptions - Passenger'!$E$491&lt;&gt;0,IF(AND('Assumptions - Passenger'!$E499=3,T883&lt;=('Assumptions - Passenger'!$E$497-'Assumptions - Passenger'!$E$498)),S890/(1+T884),0),0)</f>
        <v>0</v>
      </c>
      <c r="U890" s="126">
        <f>IF('Assumptions - Passenger'!$E$491&lt;&gt;0,IF(AND('Assumptions - Passenger'!$E499=3,U883&lt;=('Assumptions - Passenger'!$E$497-'Assumptions - Passenger'!$E$498)),T890/(1+U884),0),0)</f>
        <v>0</v>
      </c>
      <c r="V890" s="126">
        <f>IF('Assumptions - Passenger'!$E$491&lt;&gt;0,IF(AND('Assumptions - Passenger'!$E499=3,V883&lt;=('Assumptions - Passenger'!$E$497-'Assumptions - Passenger'!$E$498)),U890/(1+V884),0),0)</f>
        <v>0</v>
      </c>
      <c r="W890" s="126">
        <f>IF('Assumptions - Passenger'!$E$491&lt;&gt;0,IF(AND('Assumptions - Passenger'!$E499=3,W883&lt;=('Assumptions - Passenger'!$E$497-'Assumptions - Passenger'!$E$498)),V890/(1+W884),0),0)</f>
        <v>0</v>
      </c>
      <c r="X890" s="126">
        <f>IF('Assumptions - Passenger'!$E$491&lt;&gt;0,IF(AND('Assumptions - Passenger'!$E499=3,X883&lt;=('Assumptions - Passenger'!$E$497-'Assumptions - Passenger'!$E$498)),W890/(1+X884),0),0)</f>
        <v>0</v>
      </c>
      <c r="Y890" s="126">
        <f>IF('Assumptions - Passenger'!$E$491&lt;&gt;0,IF(AND('Assumptions - Passenger'!$E499=3,Y883&lt;=('Assumptions - Passenger'!$E$497-'Assumptions - Passenger'!$E$498)),X890/(1+Y884),0),0)</f>
        <v>0</v>
      </c>
      <c r="Z890" s="126">
        <f>IF('Assumptions - Passenger'!$E$491&lt;&gt;0,IF(AND('Assumptions - Passenger'!$E499=3,Z883&lt;=('Assumptions - Passenger'!$E$497-'Assumptions - Passenger'!$E$498)),Y890/(1+Z884),0),0)</f>
        <v>0</v>
      </c>
      <c r="AA890" s="126">
        <f>IF('Assumptions - Passenger'!$E$491&lt;&gt;0,IF(AND('Assumptions - Passenger'!$E499=3,AA883&lt;=('Assumptions - Passenger'!$E$497-'Assumptions - Passenger'!$E$498)),Z890/(1+AA884),0),0)</f>
        <v>0</v>
      </c>
      <c r="AB890" s="126">
        <f>IF('Assumptions - Passenger'!$E$491&lt;&gt;0,IF(AND('Assumptions - Passenger'!$E499=3,AB883&lt;=('Assumptions - Passenger'!$E$497-'Assumptions - Passenger'!$E$498)),AA890/(1+AB884),0),0)</f>
        <v>0</v>
      </c>
      <c r="AC890" s="126">
        <f>IF('Assumptions - Passenger'!$E$491&lt;&gt;0,IF(AND('Assumptions - Passenger'!$E499=3,AC883&lt;=('Assumptions - Passenger'!$E$497-'Assumptions - Passenger'!$E$498)),AB890/(1+AC884),0),0)</f>
        <v>0</v>
      </c>
      <c r="AD890" s="126">
        <f>IF('Assumptions - Passenger'!$E$491&lt;&gt;0,IF(AND('Assumptions - Passenger'!$E499=3,AD883&lt;=('Assumptions - Passenger'!$E$497-'Assumptions - Passenger'!$E$498)),AC890/(1+AD884),0),0)</f>
        <v>0</v>
      </c>
      <c r="AE890" s="126">
        <f>IF('Assumptions - Passenger'!$E$491&lt;&gt;0,IF(AND('Assumptions - Passenger'!$E499=3,AE883&lt;=('Assumptions - Passenger'!$E$497-'Assumptions - Passenger'!$E$498)),AD890/(1+AE884),0),0)</f>
        <v>0</v>
      </c>
      <c r="AF890" s="126">
        <f>IF('Assumptions - Passenger'!$E$491&lt;&gt;0,IF(AND('Assumptions - Passenger'!$E499=3,AF883&lt;=('Assumptions - Passenger'!$E$497-'Assumptions - Passenger'!$E$498)),AE890/(1+AF884),0),0)</f>
        <v>0</v>
      </c>
      <c r="AG890" s="126">
        <f>IF('Assumptions - Passenger'!$E$491&lt;&gt;0,IF(AND('Assumptions - Passenger'!$E499=3,AG883&lt;=('Assumptions - Passenger'!$E$497-'Assumptions - Passenger'!$E$498)),AF890/(1+AG884),0),0)</f>
        <v>0</v>
      </c>
      <c r="AH890" s="126">
        <f>IF('Assumptions - Passenger'!$E$491&lt;&gt;0,IF(AND('Assumptions - Passenger'!$E499=3,AH883&lt;=('Assumptions - Passenger'!$E$497-'Assumptions - Passenger'!$E$498)),AG890/(1+AH884),0),0)</f>
        <v>0</v>
      </c>
    </row>
    <row r="891" spans="1:34" s="20" customFormat="1" ht="14" x14ac:dyDescent="0.2">
      <c r="A891" s="8"/>
      <c r="B891" s="125" t="s">
        <v>679</v>
      </c>
      <c r="C891" s="8"/>
      <c r="D891" s="8" t="str">
        <f>D889</f>
        <v>R$ millions</v>
      </c>
      <c r="E891" s="126">
        <f>IF('Assumptions - Passenger'!$E$491&lt;&gt;0,IF('Assumptions - Passenger'!$E499=3,E884*E885,0),0)</f>
        <v>0</v>
      </c>
      <c r="F891" s="126">
        <f>IF('Assumptions - Passenger'!$E$491&lt;&gt;0,IF('Assumptions - Passenger'!$E499=3,F884*F885,0),0)</f>
        <v>0</v>
      </c>
      <c r="G891" s="126">
        <f>IF('Assumptions - Passenger'!$E$491&lt;&gt;0,IF('Assumptions - Passenger'!$E499=3,G884*G885,0),0)</f>
        <v>0</v>
      </c>
      <c r="H891" s="126">
        <f>IF('Assumptions - Passenger'!$E$491&lt;&gt;0,IF('Assumptions - Passenger'!$E499=3,H884*H885,0),0)</f>
        <v>0</v>
      </c>
      <c r="I891" s="126">
        <f>IF('Assumptions - Passenger'!$E$491&lt;&gt;0,IF('Assumptions - Passenger'!$E499=3,I884*I885,0),0)</f>
        <v>0</v>
      </c>
      <c r="J891" s="126">
        <f>IF('Assumptions - Passenger'!$E$491&lt;&gt;0,IF('Assumptions - Passenger'!$E499=3,J884*J885,0),0)</f>
        <v>0</v>
      </c>
      <c r="K891" s="126">
        <f>IF('Assumptions - Passenger'!$E$491&lt;&gt;0,IF('Assumptions - Passenger'!$E499=3,K884*K885,0),0)</f>
        <v>0</v>
      </c>
      <c r="L891" s="126">
        <f>IF('Assumptions - Passenger'!$E$491&lt;&gt;0,IF('Assumptions - Passenger'!$E499=3,L884*L885,0),0)</f>
        <v>0</v>
      </c>
      <c r="M891" s="126">
        <f>IF('Assumptions - Passenger'!$E$491&lt;&gt;0,IF('Assumptions - Passenger'!$E499=3,M884*M885,0),0)</f>
        <v>0</v>
      </c>
      <c r="N891" s="126">
        <f>IF('Assumptions - Passenger'!$E$491&lt;&gt;0,IF('Assumptions - Passenger'!$E499=3,N884*N885,0),0)</f>
        <v>0</v>
      </c>
      <c r="O891" s="126">
        <f>IF('Assumptions - Passenger'!$E$491&lt;&gt;0,IF('Assumptions - Passenger'!$E499=3,O884*O885,0),0)</f>
        <v>0</v>
      </c>
      <c r="P891" s="126">
        <f>IF('Assumptions - Passenger'!$E$491&lt;&gt;0,IF('Assumptions - Passenger'!$E499=3,P884*P885,0),0)</f>
        <v>0</v>
      </c>
      <c r="Q891" s="126">
        <f>IF('Assumptions - Passenger'!$E$491&lt;&gt;0,IF('Assumptions - Passenger'!$E499=3,Q884*Q885,0),0)</f>
        <v>0</v>
      </c>
      <c r="R891" s="126">
        <f>IF('Assumptions - Passenger'!$E$491&lt;&gt;0,IF('Assumptions - Passenger'!$E499=3,R884*R885,0),0)</f>
        <v>0</v>
      </c>
      <c r="S891" s="126">
        <f>IF('Assumptions - Passenger'!$E$491&lt;&gt;0,IF('Assumptions - Passenger'!$E499=3,S884*S885,0),0)</f>
        <v>0</v>
      </c>
      <c r="T891" s="126">
        <f>IF('Assumptions - Passenger'!$E$491&lt;&gt;0,IF('Assumptions - Passenger'!$E499=3,T884*T885,0),0)</f>
        <v>0</v>
      </c>
      <c r="U891" s="126">
        <f>IF('Assumptions - Passenger'!$E$491&lt;&gt;0,IF('Assumptions - Passenger'!$E499=3,U884*U885,0),0)</f>
        <v>0</v>
      </c>
      <c r="V891" s="126">
        <f>IF('Assumptions - Passenger'!$E$491&lt;&gt;0,IF('Assumptions - Passenger'!$E499=3,V884*V885,0),0)</f>
        <v>0</v>
      </c>
      <c r="W891" s="126">
        <f>IF('Assumptions - Passenger'!$E$491&lt;&gt;0,IF('Assumptions - Passenger'!$E499=3,W884*W885,0),0)</f>
        <v>0</v>
      </c>
      <c r="X891" s="126">
        <f>IF('Assumptions - Passenger'!$E$491&lt;&gt;0,IF('Assumptions - Passenger'!$E499=3,X884*X885,0),0)</f>
        <v>0</v>
      </c>
      <c r="Y891" s="126">
        <f>IF('Assumptions - Passenger'!$E$491&lt;&gt;0,IF('Assumptions - Passenger'!$E499=3,Y884*Y885,0),0)</f>
        <v>0</v>
      </c>
      <c r="Z891" s="126">
        <f>IF('Assumptions - Passenger'!$E$491&lt;&gt;0,IF('Assumptions - Passenger'!$E499=3,Z884*Z885,0),0)</f>
        <v>0</v>
      </c>
      <c r="AA891" s="126">
        <f>IF('Assumptions - Passenger'!$E$491&lt;&gt;0,IF('Assumptions - Passenger'!$E499=3,AA884*AA885,0),0)</f>
        <v>0</v>
      </c>
      <c r="AB891" s="126">
        <f>IF('Assumptions - Passenger'!$E$491&lt;&gt;0,IF('Assumptions - Passenger'!$E499=3,AB884*AB885,0),0)</f>
        <v>0</v>
      </c>
      <c r="AC891" s="126">
        <f>IF('Assumptions - Passenger'!$E$491&lt;&gt;0,IF('Assumptions - Passenger'!$E499=3,AC884*AC885,0),0)</f>
        <v>0</v>
      </c>
      <c r="AD891" s="126">
        <f>IF('Assumptions - Passenger'!$E$491&lt;&gt;0,IF('Assumptions - Passenger'!$E499=3,AD884*AD885,0),0)</f>
        <v>0</v>
      </c>
      <c r="AE891" s="126">
        <f>IF('Assumptions - Passenger'!$E$491&lt;&gt;0,IF('Assumptions - Passenger'!$E499=3,AE884*AE885,0),0)</f>
        <v>0</v>
      </c>
      <c r="AF891" s="126">
        <f>IF('Assumptions - Passenger'!$E$491&lt;&gt;0,IF('Assumptions - Passenger'!$E499=3,AF884*AF885,0),0)</f>
        <v>0</v>
      </c>
      <c r="AG891" s="126">
        <f>IF('Assumptions - Passenger'!$E$491&lt;&gt;0,IF('Assumptions - Passenger'!$E499=3,AG884*AG885,0),0)</f>
        <v>0</v>
      </c>
      <c r="AH891" s="126">
        <f>IF('Assumptions - Passenger'!$E$491&lt;&gt;0,IF('Assumptions - Passenger'!$E499=3,AH884*AH885,0),0)</f>
        <v>0</v>
      </c>
    </row>
    <row r="892" spans="1:34" s="20" customFormat="1" ht="14" x14ac:dyDescent="0.2">
      <c r="A892" s="8"/>
      <c r="B892" s="8" t="s">
        <v>137</v>
      </c>
      <c r="C892" s="8"/>
      <c r="D892" s="8" t="str">
        <f t="shared" si="353"/>
        <v>R$ millions</v>
      </c>
      <c r="E892" s="126">
        <f>IF(E$17=1,IF('Assumptions - Passenger'!$E$491&gt;0,'Assumptions - Passenger'!E492,0),0)</f>
        <v>0</v>
      </c>
      <c r="F892" s="126">
        <f>IF(F$17=1,IF('Assumptions - Passenger'!$E$491&gt;0,'Assumptions - Passenger'!F492,0),0)</f>
        <v>0</v>
      </c>
      <c r="G892" s="126">
        <f>IF(G$17=1,IF('Assumptions - Passenger'!$E$491&gt;0,'Assumptions - Passenger'!G492,0),0)</f>
        <v>10</v>
      </c>
      <c r="H892" s="126">
        <f>IF(H$17=1,IF('Assumptions - Passenger'!$E$491&gt;0,'Assumptions - Passenger'!H492,0),0)</f>
        <v>10</v>
      </c>
      <c r="I892" s="126">
        <f>IF(I$17=1,IF('Assumptions - Passenger'!$E$491&gt;0,'Assumptions - Passenger'!I492,0),0)</f>
        <v>10</v>
      </c>
      <c r="J892" s="126">
        <f>IF(J$17=1,IF('Assumptions - Passenger'!$E$491&gt;0,'Assumptions - Passenger'!J492,0),0)</f>
        <v>10</v>
      </c>
      <c r="K892" s="126">
        <f>IF(K$17=1,IF('Assumptions - Passenger'!$E$491&gt;0,'Assumptions - Passenger'!K492,0),0)</f>
        <v>10</v>
      </c>
      <c r="L892" s="126">
        <f>IF(L$17=1,IF('Assumptions - Passenger'!$E$491&gt;0,'Assumptions - Passenger'!L492,0),0)</f>
        <v>0</v>
      </c>
      <c r="M892" s="126">
        <f>IF(M$17=1,IF('Assumptions - Passenger'!$E$491&gt;0,'Assumptions - Passenger'!M492,0),0)</f>
        <v>0</v>
      </c>
      <c r="N892" s="126">
        <f>IF(N$17=1,IF('Assumptions - Passenger'!$E$491&gt;0,'Assumptions - Passenger'!N492,0),0)</f>
        <v>0</v>
      </c>
      <c r="O892" s="126">
        <f>IF(O$17=1,IF('Assumptions - Passenger'!$E$491&gt;0,'Assumptions - Passenger'!O492,0),0)</f>
        <v>0</v>
      </c>
      <c r="P892" s="126">
        <f>IF(P$17=1,IF('Assumptions - Passenger'!$E$491&gt;0,'Assumptions - Passenger'!P492,0),0)</f>
        <v>0</v>
      </c>
      <c r="Q892" s="126">
        <f>IF(Q$17=1,IF('Assumptions - Passenger'!$E$491&gt;0,'Assumptions - Passenger'!Q492,0),0)</f>
        <v>0</v>
      </c>
      <c r="R892" s="126">
        <f>IF(R$17=1,IF('Assumptions - Passenger'!$E$491&gt;0,'Assumptions - Passenger'!R492,0),0)</f>
        <v>0</v>
      </c>
      <c r="S892" s="126">
        <f>IF(S$17=1,IF('Assumptions - Passenger'!$E$491&gt;0,'Assumptions - Passenger'!S492,0),0)</f>
        <v>0</v>
      </c>
      <c r="T892" s="126">
        <f>IF(T$17=1,IF('Assumptions - Passenger'!$E$491&gt;0,'Assumptions - Passenger'!T492,0),0)</f>
        <v>0</v>
      </c>
      <c r="U892" s="126">
        <f>IF(U$17=1,IF('Assumptions - Passenger'!$E$491&gt;0,'Assumptions - Passenger'!U492,0),0)</f>
        <v>0</v>
      </c>
      <c r="V892" s="126">
        <f>IF(V$17=1,IF('Assumptions - Passenger'!$E$491&gt;0,'Assumptions - Passenger'!V492,0),0)</f>
        <v>0</v>
      </c>
      <c r="W892" s="126">
        <f>IF(W$17=1,IF('Assumptions - Passenger'!$E$491&gt;0,'Assumptions - Passenger'!W492,0),0)</f>
        <v>0</v>
      </c>
      <c r="X892" s="126">
        <f>IF(X$17=1,IF('Assumptions - Passenger'!$E$491&gt;0,'Assumptions - Passenger'!X492,0),0)</f>
        <v>0</v>
      </c>
      <c r="Y892" s="126">
        <f>IF(Y$17=1,IF('Assumptions - Passenger'!$E$491&gt;0,'Assumptions - Passenger'!Y492,0),0)</f>
        <v>0</v>
      </c>
      <c r="Z892" s="126">
        <f>IF(Z$17=1,IF('Assumptions - Passenger'!$E$491&gt;0,'Assumptions - Passenger'!Z492,0),0)</f>
        <v>0</v>
      </c>
      <c r="AA892" s="126">
        <f>IF(AA$17=1,IF('Assumptions - Passenger'!$E$491&gt;0,'Assumptions - Passenger'!AA492,0),0)</f>
        <v>0</v>
      </c>
      <c r="AB892" s="126">
        <f>IF(AB$17=1,IF('Assumptions - Passenger'!$E$491&gt;0,'Assumptions - Passenger'!AB492,0),0)</f>
        <v>0</v>
      </c>
      <c r="AC892" s="126">
        <f>IF(AC$17=1,IF('Assumptions - Passenger'!$E$491&gt;0,'Assumptions - Passenger'!AC492,0),0)</f>
        <v>0</v>
      </c>
      <c r="AD892" s="126">
        <f>IF(AD$17=1,IF('Assumptions - Passenger'!$E$491&gt;0,'Assumptions - Passenger'!AD492,0),0)</f>
        <v>0</v>
      </c>
      <c r="AE892" s="126">
        <f>IF(AE$17=1,IF('Assumptions - Passenger'!$E$491&gt;0,'Assumptions - Passenger'!AE492,0),0)</f>
        <v>0</v>
      </c>
      <c r="AF892" s="126">
        <f>IF(AF$17=1,IF('Assumptions - Passenger'!$E$491&gt;0,'Assumptions - Passenger'!AF492,0),0)</f>
        <v>0</v>
      </c>
      <c r="AG892" s="126">
        <f>IF(AG$17=1,IF('Assumptions - Passenger'!$E$491&gt;0,'Assumptions - Passenger'!AG492,0),0)</f>
        <v>0</v>
      </c>
      <c r="AH892" s="126">
        <f>IF(AH$17=1,IF('Assumptions - Passenger'!$E$491&gt;0,'Assumptions - Passenger'!AH492,0),0)</f>
        <v>0</v>
      </c>
    </row>
    <row r="893" spans="1:34" s="20" customFormat="1" ht="14" x14ac:dyDescent="0.2">
      <c r="A893" s="8"/>
      <c r="B893" s="8" t="s">
        <v>138</v>
      </c>
      <c r="C893" s="8"/>
      <c r="D893" s="8" t="str">
        <f t="shared" si="353"/>
        <v>R$ millions</v>
      </c>
      <c r="E893" s="126">
        <f>IF('Assumptions - Passenger'!$E$491&lt;&gt;0,E885-E886+E892,0)</f>
        <v>0</v>
      </c>
      <c r="F893" s="126">
        <f>IF('Assumptions - Passenger'!$E$491&lt;&gt;0,F885-F886+F892,0)</f>
        <v>0</v>
      </c>
      <c r="G893" s="126">
        <f>IF('Assumptions - Passenger'!$E$491&lt;&gt;0,G885-G886+G892,0)</f>
        <v>10</v>
      </c>
      <c r="H893" s="126">
        <f>IF('Assumptions - Passenger'!$E$491&lt;&gt;0,H885-H886+H892,0)</f>
        <v>20</v>
      </c>
      <c r="I893" s="126">
        <f>IF('Assumptions - Passenger'!$E$491&lt;&gt;0,I885-I886+I892,0)</f>
        <v>30</v>
      </c>
      <c r="J893" s="126">
        <f>IF('Assumptions - Passenger'!$E$491&lt;&gt;0,J885-J886+J892,0)</f>
        <v>40</v>
      </c>
      <c r="K893" s="126">
        <f>IF('Assumptions - Passenger'!$E$491&lt;&gt;0,K885-K886+K892,0)</f>
        <v>50</v>
      </c>
      <c r="L893" s="126">
        <f>IF('Assumptions - Passenger'!$E$491&lt;&gt;0,L885-L886+L892,0)</f>
        <v>50</v>
      </c>
      <c r="M893" s="126">
        <f>IF('Assumptions - Passenger'!$E$491&lt;&gt;0,M885-M886+M892,0)</f>
        <v>50</v>
      </c>
      <c r="N893" s="126">
        <f>IF('Assumptions - Passenger'!$E$491&lt;&gt;0,N885-N886+N892,0)</f>
        <v>50</v>
      </c>
      <c r="O893" s="126">
        <f>IF('Assumptions - Passenger'!$E$491&lt;&gt;0,O885-O886+O892,0)</f>
        <v>50</v>
      </c>
      <c r="P893" s="126">
        <f>IF('Assumptions - Passenger'!$E$491&lt;&gt;0,P885-P886+P892,0)</f>
        <v>50</v>
      </c>
      <c r="Q893" s="126">
        <f>IF('Assumptions - Passenger'!$E$491&lt;&gt;0,Q885-Q886+Q892,0)</f>
        <v>50</v>
      </c>
      <c r="R893" s="126">
        <f>IF('Assumptions - Passenger'!$E$491&lt;&gt;0,R885-R886+R892,0)</f>
        <v>50</v>
      </c>
      <c r="S893" s="126">
        <f>IF('Assumptions - Passenger'!$E$491&lt;&gt;0,S885-S886+S892,0)</f>
        <v>50</v>
      </c>
      <c r="T893" s="126">
        <f>IF('Assumptions - Passenger'!$E$491&lt;&gt;0,T885-T886+T892,0)</f>
        <v>50</v>
      </c>
      <c r="U893" s="126">
        <f>IF('Assumptions - Passenger'!$E$491&lt;&gt;0,U885-U886+U892,0)</f>
        <v>0</v>
      </c>
      <c r="V893" s="126">
        <f>IF('Assumptions - Passenger'!$E$491&lt;&gt;0,V885-V886+V892,0)</f>
        <v>0</v>
      </c>
      <c r="W893" s="126">
        <f>IF('Assumptions - Passenger'!$E$491&lt;&gt;0,W885-W886+W892,0)</f>
        <v>0</v>
      </c>
      <c r="X893" s="126">
        <f>IF('Assumptions - Passenger'!$E$491&lt;&gt;0,X885-X886+X892,0)</f>
        <v>0</v>
      </c>
      <c r="Y893" s="126">
        <f>IF('Assumptions - Passenger'!$E$491&lt;&gt;0,Y885-Y886+Y892,0)</f>
        <v>0</v>
      </c>
      <c r="Z893" s="126">
        <f>IF('Assumptions - Passenger'!$E$491&lt;&gt;0,Z885-Z886+Z892,0)</f>
        <v>0</v>
      </c>
      <c r="AA893" s="126">
        <f>IF('Assumptions - Passenger'!$E$491&lt;&gt;0,AA885-AA886+AA892,0)</f>
        <v>0</v>
      </c>
      <c r="AB893" s="126">
        <f>IF('Assumptions - Passenger'!$E$491&lt;&gt;0,AB885-AB886+AB892,0)</f>
        <v>0</v>
      </c>
      <c r="AC893" s="126">
        <f>IF('Assumptions - Passenger'!$E$491&lt;&gt;0,AC885-AC886+AC892,0)</f>
        <v>0</v>
      </c>
      <c r="AD893" s="126">
        <f>IF('Assumptions - Passenger'!$E$491&lt;&gt;0,AD885-AD886+AD892,0)</f>
        <v>0</v>
      </c>
      <c r="AE893" s="126">
        <f>IF('Assumptions - Passenger'!$E$491&lt;&gt;0,AE885-AE886+AE892,0)</f>
        <v>0</v>
      </c>
      <c r="AF893" s="126">
        <f>IF('Assumptions - Passenger'!$E$491&lt;&gt;0,AF885-AF886+AF892,0)</f>
        <v>0</v>
      </c>
      <c r="AG893" s="126">
        <f>IF('Assumptions - Passenger'!$E$491&lt;&gt;0,AG885-AG886+AG892,0)</f>
        <v>0</v>
      </c>
      <c r="AH893" s="126">
        <f>IF('Assumptions - Passenger'!$E$491&lt;&gt;0,AH885-AH886+AH892,0)</f>
        <v>0</v>
      </c>
    </row>
    <row r="894" spans="1:34" s="20" customFormat="1" ht="14" x14ac:dyDescent="0.2">
      <c r="A894" s="8"/>
      <c r="B894" s="8" t="s">
        <v>139</v>
      </c>
      <c r="C894" s="8"/>
      <c r="D894" s="8" t="str">
        <f t="shared" si="353"/>
        <v>R$ millions</v>
      </c>
      <c r="E894" s="126">
        <f>IF(E$17=1,IF('Assumptions - Passenger'!$E$491&lt;&gt;0,IF(AND('Assumptions - Passenger'!$E$499=3,E883&gt;0),Calculations!E891,((E885+E893)/2)*E884),0),0)</f>
        <v>0</v>
      </c>
      <c r="F894" s="126">
        <f>IF(F$17=1,IF('Assumptions - Passenger'!$E$491&lt;&gt;0,IF(AND('Assumptions - Passenger'!$E$499=3,F883&gt;0),Calculations!F891,((F885+F893)/2)*F884),0),0)</f>
        <v>0</v>
      </c>
      <c r="G894" s="126">
        <f>IF(G$17=1,IF('Assumptions - Passenger'!$E$491&lt;&gt;0,IF(AND('Assumptions - Passenger'!$E$499=3,G883&gt;0),Calculations!G891,((G885+G893)/2)*G884),0),0)</f>
        <v>0.25</v>
      </c>
      <c r="H894" s="126">
        <f>IF(H$17=1,IF('Assumptions - Passenger'!$E$491&lt;&gt;0,IF(AND('Assumptions - Passenger'!$E$499=3,H883&gt;0),Calculations!H891,((H885+H893)/2)*H884),0),0)</f>
        <v>0.75</v>
      </c>
      <c r="I894" s="126">
        <f>IF(I$17=1,IF('Assumptions - Passenger'!$E$491&lt;&gt;0,IF(AND('Assumptions - Passenger'!$E$499=3,I883&gt;0),Calculations!I891,((I885+I893)/2)*I884),0),0)</f>
        <v>1.25</v>
      </c>
      <c r="J894" s="126">
        <f>IF(J$17=1,IF('Assumptions - Passenger'!$E$491&lt;&gt;0,IF(AND('Assumptions - Passenger'!$E$499=3,J883&gt;0),Calculations!J891,((J885+J893)/2)*J884),0),0)</f>
        <v>1.75</v>
      </c>
      <c r="K894" s="126">
        <f>IF(K$17=1,IF('Assumptions - Passenger'!$E$491&lt;&gt;0,IF(AND('Assumptions - Passenger'!$E$499=3,K883&gt;0),Calculations!K891,((K885+K893)/2)*K884),0),0)</f>
        <v>2.25</v>
      </c>
      <c r="L894" s="126">
        <f>IF(L$17=1,IF('Assumptions - Passenger'!$E$491&lt;&gt;0,IF(AND('Assumptions - Passenger'!$E$499=3,L883&gt;0),Calculations!L891,((L885+L893)/2)*L884),0),0)</f>
        <v>2.5</v>
      </c>
      <c r="M894" s="126">
        <f>IF(M$17=1,IF('Assumptions - Passenger'!$E$491&lt;&gt;0,IF(AND('Assumptions - Passenger'!$E$499=3,M883&gt;0),Calculations!M891,((M885+M893)/2)*M884),0),0)</f>
        <v>2.5</v>
      </c>
      <c r="N894" s="126">
        <f>IF(N$17=1,IF('Assumptions - Passenger'!$E$491&lt;&gt;0,IF(AND('Assumptions - Passenger'!$E$499=3,N883&gt;0),Calculations!N891,((N885+N893)/2)*N884),0),0)</f>
        <v>2.5</v>
      </c>
      <c r="O894" s="126">
        <f>IF(O$17=1,IF('Assumptions - Passenger'!$E$491&lt;&gt;0,IF(AND('Assumptions - Passenger'!$E$499=3,O883&gt;0),Calculations!O891,((O885+O893)/2)*O884),0),0)</f>
        <v>2.5</v>
      </c>
      <c r="P894" s="126">
        <f>IF(P$17=1,IF('Assumptions - Passenger'!$E$491&lt;&gt;0,IF(AND('Assumptions - Passenger'!$E$499=3,P883&gt;0),Calculations!P891,((P885+P893)/2)*P884),0),0)</f>
        <v>2.5</v>
      </c>
      <c r="Q894" s="126">
        <f>IF(Q$17=1,IF('Assumptions - Passenger'!$E$491&lt;&gt;0,IF(AND('Assumptions - Passenger'!$E$499=3,Q883&gt;0),Calculations!Q891,((Q885+Q893)/2)*Q884),0),0)</f>
        <v>2.5</v>
      </c>
      <c r="R894" s="126">
        <f>IF(R$17=1,IF('Assumptions - Passenger'!$E$491&lt;&gt;0,IF(AND('Assumptions - Passenger'!$E$499=3,R883&gt;0),Calculations!R891,((R885+R893)/2)*R884),0),0)</f>
        <v>2.5</v>
      </c>
      <c r="S894" s="126">
        <f>IF(S$17=1,IF('Assumptions - Passenger'!$E$491&lt;&gt;0,IF(AND('Assumptions - Passenger'!$E$499=3,S883&gt;0),Calculations!S891,((S885+S893)/2)*S884),0),0)</f>
        <v>2.5</v>
      </c>
      <c r="T894" s="126">
        <f>IF(T$17=1,IF('Assumptions - Passenger'!$E$491&lt;&gt;0,IF(AND('Assumptions - Passenger'!$E$499=3,T883&gt;0),Calculations!T891,((T885+T893)/2)*T884),0),0)</f>
        <v>2.5</v>
      </c>
      <c r="U894" s="126">
        <f>IF(U$17=1,IF('Assumptions - Passenger'!$E$491&lt;&gt;0,IF(AND('Assumptions - Passenger'!$E$499=3,U883&gt;0),Calculations!U891,((U885+U893)/2)*U884),0),0)</f>
        <v>1.25</v>
      </c>
      <c r="V894" s="126">
        <f>IF(V$17=1,IF('Assumptions - Passenger'!$E$491&lt;&gt;0,IF(AND('Assumptions - Passenger'!$E$499=3,V883&gt;0),Calculations!V891,((V885+V893)/2)*V884),0),0)</f>
        <v>0</v>
      </c>
      <c r="W894" s="126">
        <f>IF(W$17=1,IF('Assumptions - Passenger'!$E$491&lt;&gt;0,IF(AND('Assumptions - Passenger'!$E$499=3,W883&gt;0),Calculations!W891,((W885+W893)/2)*W884),0),0)</f>
        <v>0</v>
      </c>
      <c r="X894" s="126">
        <f>IF(X$17=1,IF('Assumptions - Passenger'!$E$491&lt;&gt;0,IF(AND('Assumptions - Passenger'!$E$499=3,X883&gt;0),Calculations!X891,((X885+X893)/2)*X884),0),0)</f>
        <v>0</v>
      </c>
      <c r="Y894" s="126">
        <f>IF(Y$17=1,IF('Assumptions - Passenger'!$E$491&lt;&gt;0,IF(AND('Assumptions - Passenger'!$E$499=3,Y883&gt;0),Calculations!Y891,((Y885+Y893)/2)*Y884),0),0)</f>
        <v>0</v>
      </c>
      <c r="Z894" s="126">
        <f>IF(Z$17=1,IF('Assumptions - Passenger'!$E$491&lt;&gt;0,IF(AND('Assumptions - Passenger'!$E$499=3,Z883&gt;0),Calculations!Z891,((Z885+Z893)/2)*Z884),0),0)</f>
        <v>0</v>
      </c>
      <c r="AA894" s="126">
        <f>IF(AA$17=1,IF('Assumptions - Passenger'!$E$491&lt;&gt;0,IF(AND('Assumptions - Passenger'!$E$499=3,AA883&gt;0),Calculations!AA891,((AA885+AA893)/2)*AA884),0),0)</f>
        <v>0</v>
      </c>
      <c r="AB894" s="126">
        <f>IF(AB$17=1,IF('Assumptions - Passenger'!$E$491&lt;&gt;0,IF(AND('Assumptions - Passenger'!$E$499=3,AB883&gt;0),Calculations!AB891,((AB885+AB893)/2)*AB884),0),0)</f>
        <v>0</v>
      </c>
      <c r="AC894" s="126">
        <f>IF(AC$17=1,IF('Assumptions - Passenger'!$E$491&lt;&gt;0,IF(AND('Assumptions - Passenger'!$E$499=3,AC883&gt;0),Calculations!AC891,((AC885+AC893)/2)*AC884),0),0)</f>
        <v>0</v>
      </c>
      <c r="AD894" s="126">
        <f>IF(AD$17=1,IF('Assumptions - Passenger'!$E$491&lt;&gt;0,IF(AND('Assumptions - Passenger'!$E$499=3,AD883&gt;0),Calculations!AD891,((AD885+AD893)/2)*AD884),0),0)</f>
        <v>0</v>
      </c>
      <c r="AE894" s="126">
        <f>IF(AE$17=1,IF('Assumptions - Passenger'!$E$491&lt;&gt;0,IF(AND('Assumptions - Passenger'!$E$499=3,AE883&gt;0),Calculations!AE891,((AE885+AE893)/2)*AE884),0),0)</f>
        <v>0</v>
      </c>
      <c r="AF894" s="126">
        <f>IF(AF$17=1,IF('Assumptions - Passenger'!$E$491&lt;&gt;0,IF(AND('Assumptions - Passenger'!$E$499=3,AF883&gt;0),Calculations!AF891,((AF885+AF893)/2)*AF884),0),0)</f>
        <v>0</v>
      </c>
      <c r="AG894" s="126">
        <f>IF(AG$17=1,IF('Assumptions - Passenger'!$E$491&lt;&gt;0,IF(AND('Assumptions - Passenger'!$E$499=3,AG883&gt;0),Calculations!AG891,((AG885+AG893)/2)*AG884),0),0)</f>
        <v>0</v>
      </c>
      <c r="AH894" s="126">
        <f>IF(AH$17=1,IF('Assumptions - Passenger'!$E$491&lt;&gt;0,IF(AND('Assumptions - Passenger'!$E$499=3,AH883&gt;0),Calculations!AH891,((AH885+AH893)/2)*AH884),0),0)</f>
        <v>0</v>
      </c>
    </row>
    <row r="895" spans="1:34" s="20" customFormat="1" ht="14" x14ac:dyDescent="0.2">
      <c r="A895" s="8"/>
      <c r="B895" s="8" t="s">
        <v>53</v>
      </c>
      <c r="C895" s="8"/>
      <c r="D895" s="8" t="str">
        <f t="shared" si="353"/>
        <v>R$ millions</v>
      </c>
      <c r="E895" s="126">
        <f>IF(E$17=1,IF('Assumptions - Passenger'!$E$488=Calculations!E$4,'Assumptions - Passenger'!$E$491*'Assumptions - Passenger'!$E$501,0),0)</f>
        <v>0</v>
      </c>
      <c r="F895" s="126">
        <f>IF(F$17=1,IF('Assumptions - Passenger'!$E$488=Calculations!F$4,'Assumptions - Passenger'!$E$491*'Assumptions - Passenger'!$E$501,0),0)</f>
        <v>0</v>
      </c>
      <c r="G895" s="126">
        <f>IF(G$17=1,IF('Assumptions - Passenger'!$E$488=Calculations!G$4,'Assumptions - Passenger'!$E$491*'Assumptions - Passenger'!$E$501,0),0)</f>
        <v>0.125</v>
      </c>
      <c r="H895" s="126">
        <f>IF(H$17=1,IF('Assumptions - Passenger'!$E$488=Calculations!H$4,'Assumptions - Passenger'!$E$491*'Assumptions - Passenger'!$E$501,0),0)</f>
        <v>0</v>
      </c>
      <c r="I895" s="126">
        <f>IF(I$17=1,IF('Assumptions - Passenger'!$E$488=Calculations!I$4,'Assumptions - Passenger'!$E$491*'Assumptions - Passenger'!$E$501,0),0)</f>
        <v>0</v>
      </c>
      <c r="J895" s="126">
        <f>IF(J$17=1,IF('Assumptions - Passenger'!$E$488=Calculations!J$4,'Assumptions - Passenger'!$E$491*'Assumptions - Passenger'!$E$501,0),0)</f>
        <v>0</v>
      </c>
      <c r="K895" s="126">
        <f>IF(K$17=1,IF('Assumptions - Passenger'!$E$488=Calculations!K$4,'Assumptions - Passenger'!$E$491*'Assumptions - Passenger'!$E$501,0),0)</f>
        <v>0</v>
      </c>
      <c r="L895" s="126">
        <f>IF(L$17=1,IF('Assumptions - Passenger'!$E$488=Calculations!L$4,'Assumptions - Passenger'!$E$491*'Assumptions - Passenger'!$E$501,0),0)</f>
        <v>0</v>
      </c>
      <c r="M895" s="126">
        <f>IF(M$17=1,IF('Assumptions - Passenger'!$E$488=Calculations!M$4,'Assumptions - Passenger'!$E$491*'Assumptions - Passenger'!$E$501,0),0)</f>
        <v>0</v>
      </c>
      <c r="N895" s="126">
        <f>IF(N$17=1,IF('Assumptions - Passenger'!$E$488=Calculations!N$4,'Assumptions - Passenger'!$E$491*'Assumptions - Passenger'!$E$501,0),0)</f>
        <v>0</v>
      </c>
      <c r="O895" s="126">
        <f>IF(O$17=1,IF('Assumptions - Passenger'!$E$488=Calculations!O$4,'Assumptions - Passenger'!$E$491*'Assumptions - Passenger'!$E$501,0),0)</f>
        <v>0</v>
      </c>
      <c r="P895" s="126">
        <f>IF(P$17=1,IF('Assumptions - Passenger'!$E$488=Calculations!P$4,'Assumptions - Passenger'!$E$491*'Assumptions - Passenger'!$E$501,0),0)</f>
        <v>0</v>
      </c>
      <c r="Q895" s="126">
        <f>IF(Q$17=1,IF('Assumptions - Passenger'!$E$488=Calculations!Q$4,'Assumptions - Passenger'!$E$491*'Assumptions - Passenger'!$E$501,0),0)</f>
        <v>0</v>
      </c>
      <c r="R895" s="126">
        <f>IF(R$17=1,IF('Assumptions - Passenger'!$E$488=Calculations!R$4,'Assumptions - Passenger'!$E$491*'Assumptions - Passenger'!$E$501,0),0)</f>
        <v>0</v>
      </c>
      <c r="S895" s="126">
        <f>IF(S$17=1,IF('Assumptions - Passenger'!$E$488=Calculations!S$4,'Assumptions - Passenger'!$E$491*'Assumptions - Passenger'!$E$501,0),0)</f>
        <v>0</v>
      </c>
      <c r="T895" s="126">
        <f>IF(T$17=1,IF('Assumptions - Passenger'!$E$488=Calculations!T$4,'Assumptions - Passenger'!$E$491*'Assumptions - Passenger'!$E$501,0),0)</f>
        <v>0</v>
      </c>
      <c r="U895" s="126">
        <f>IF(U$17=1,IF('Assumptions - Passenger'!$E$488=Calculations!U$4,'Assumptions - Passenger'!$E$491*'Assumptions - Passenger'!$E$501,0),0)</f>
        <v>0</v>
      </c>
      <c r="V895" s="126">
        <f>IF(V$17=1,IF('Assumptions - Passenger'!$E$488=Calculations!V$4,'Assumptions - Passenger'!$E$491*'Assumptions - Passenger'!$E$501,0),0)</f>
        <v>0</v>
      </c>
      <c r="W895" s="126">
        <f>IF(W$17=1,IF('Assumptions - Passenger'!$E$488=Calculations!W$4,'Assumptions - Passenger'!$E$491*'Assumptions - Passenger'!$E$501,0),0)</f>
        <v>0</v>
      </c>
      <c r="X895" s="126">
        <f>IF(X$17=1,IF('Assumptions - Passenger'!$E$488=Calculations!X$4,'Assumptions - Passenger'!$E$491*'Assumptions - Passenger'!$E$501,0),0)</f>
        <v>0</v>
      </c>
      <c r="Y895" s="126">
        <f>IF(Y$17=1,IF('Assumptions - Passenger'!$E$488=Calculations!Y$4,'Assumptions - Passenger'!$E$491*'Assumptions - Passenger'!$E$501,0),0)</f>
        <v>0</v>
      </c>
      <c r="Z895" s="126">
        <f>IF(Z$17=1,IF('Assumptions - Passenger'!$E$488=Calculations!Z$4,'Assumptions - Passenger'!$E$491*'Assumptions - Passenger'!$E$501,0),0)</f>
        <v>0</v>
      </c>
      <c r="AA895" s="126">
        <f>IF(AA$17=1,IF('Assumptions - Passenger'!$E$488=Calculations!AA$4,'Assumptions - Passenger'!$E$491*'Assumptions - Passenger'!$E$501,0),0)</f>
        <v>0</v>
      </c>
      <c r="AB895" s="126">
        <f>IF(AB$17=1,IF('Assumptions - Passenger'!$E$488=Calculations!AB$4,'Assumptions - Passenger'!$E$491*'Assumptions - Passenger'!$E$501,0),0)</f>
        <v>0</v>
      </c>
      <c r="AC895" s="126">
        <f>IF(AC$17=1,IF('Assumptions - Passenger'!$E$488=Calculations!AC$4,'Assumptions - Passenger'!$E$491*'Assumptions - Passenger'!$E$501,0),0)</f>
        <v>0</v>
      </c>
      <c r="AD895" s="126">
        <f>IF(AD$17=1,IF('Assumptions - Passenger'!$E$488=Calculations!AD$4,'Assumptions - Passenger'!$E$491*'Assumptions - Passenger'!$E$501,0),0)</f>
        <v>0</v>
      </c>
      <c r="AE895" s="126">
        <f>IF(AE$17=1,IF('Assumptions - Passenger'!$E$488=Calculations!AE$4,'Assumptions - Passenger'!$E$491*'Assumptions - Passenger'!$E$501,0),0)</f>
        <v>0</v>
      </c>
      <c r="AF895" s="126">
        <f>IF(AF$17=1,IF('Assumptions - Passenger'!$E$488=Calculations!AF$4,'Assumptions - Passenger'!$E$491*'Assumptions - Passenger'!$E$501,0),0)</f>
        <v>0</v>
      </c>
      <c r="AG895" s="126">
        <f>IF(AG$17=1,IF('Assumptions - Passenger'!$E$488=Calculations!AG$4,'Assumptions - Passenger'!$E$491*'Assumptions - Passenger'!$E$501,0),0)</f>
        <v>0</v>
      </c>
      <c r="AH895" s="126">
        <f>IF(AH$17=1,IF('Assumptions - Passenger'!$E$488=Calculations!AH$4,'Assumptions - Passenger'!$E$491*'Assumptions - Passenger'!$E$501,0),0)</f>
        <v>0</v>
      </c>
    </row>
    <row r="896" spans="1:34" s="20" customFormat="1" ht="14" x14ac:dyDescent="0.2">
      <c r="A896" s="8"/>
      <c r="B896" s="8" t="s">
        <v>142</v>
      </c>
      <c r="C896" s="8"/>
      <c r="D896" s="8" t="str">
        <f t="shared" si="353"/>
        <v>R$ millions</v>
      </c>
      <c r="E896" s="126">
        <f>IF(E$17=1,IF(AND(E$4&lt;=('Assumptions - Passenger'!$E$488+'Assumptions - Passenger'!$E$498),E$4&gt;='Assumptions - Passenger'!$E$488),'Assumptions - Passenger'!$E$491-Calculations!E885-E892,0),0)</f>
        <v>0</v>
      </c>
      <c r="F896" s="126">
        <f>IF(F$17=1,IF(AND(F$4&lt;=('Assumptions - Passenger'!$E$488+'Assumptions - Passenger'!$E$498),F$4&gt;='Assumptions - Passenger'!$E$488),'Assumptions - Passenger'!$E$491-Calculations!F885-F892,0),0)</f>
        <v>0</v>
      </c>
      <c r="G896" s="126">
        <f>IF(G$17=1,IF(AND(G$4&lt;=('Assumptions - Passenger'!$E$488+'Assumptions - Passenger'!$E$498),G$4&gt;='Assumptions - Passenger'!$E$488),'Assumptions - Passenger'!$E$491-Calculations!G885-G892,0),0)</f>
        <v>40</v>
      </c>
      <c r="H896" s="126">
        <f>IF(H$17=1,IF(AND(H$4&lt;=('Assumptions - Passenger'!$E$488+'Assumptions - Passenger'!$E$498),H$4&gt;='Assumptions - Passenger'!$E$488),'Assumptions - Passenger'!$E$491-Calculations!H885-H892,0),0)</f>
        <v>30</v>
      </c>
      <c r="I896" s="126">
        <f>IF(I$17=1,IF(AND(I$4&lt;=('Assumptions - Passenger'!$E$488+'Assumptions - Passenger'!$E$498),I$4&gt;='Assumptions - Passenger'!$E$488),'Assumptions - Passenger'!$E$491-Calculations!I885-I892,0),0)</f>
        <v>20</v>
      </c>
      <c r="J896" s="126">
        <f>IF(J$17=1,IF(AND(J$4&lt;=('Assumptions - Passenger'!$E$488+'Assumptions - Passenger'!$E$498),J$4&gt;='Assumptions - Passenger'!$E$488),'Assumptions - Passenger'!$E$491-Calculations!J885-J892,0),0)</f>
        <v>10</v>
      </c>
      <c r="K896" s="126">
        <f>IF(K$17=1,IF(AND(K$4&lt;=('Assumptions - Passenger'!$E$488+'Assumptions - Passenger'!$E$498),K$4&gt;='Assumptions - Passenger'!$E$488),'Assumptions - Passenger'!$E$491-Calculations!K885-K892,0),0)</f>
        <v>0</v>
      </c>
      <c r="L896" s="126">
        <f>IF(L$17=1,IF(AND(L$4&lt;=('Assumptions - Passenger'!$E$488+'Assumptions - Passenger'!$E$498),L$4&gt;='Assumptions - Passenger'!$E$488),'Assumptions - Passenger'!$E$491-Calculations!L885-L892,0),0)</f>
        <v>0</v>
      </c>
      <c r="M896" s="126">
        <f>IF(M$17=1,IF(AND(M$4&lt;=('Assumptions - Passenger'!$E$488+'Assumptions - Passenger'!$E$498),M$4&gt;='Assumptions - Passenger'!$E$488),'Assumptions - Passenger'!$E$491-Calculations!M885-M892,0),0)</f>
        <v>0</v>
      </c>
      <c r="N896" s="126">
        <f>IF(N$17=1,IF(AND(N$4&lt;=('Assumptions - Passenger'!$E$488+'Assumptions - Passenger'!$E$498),N$4&gt;='Assumptions - Passenger'!$E$488),'Assumptions - Passenger'!$E$491-Calculations!N885-N892,0),0)</f>
        <v>0</v>
      </c>
      <c r="O896" s="126">
        <f>IF(O$17=1,IF(AND(O$4&lt;=('Assumptions - Passenger'!$E$488+'Assumptions - Passenger'!$E$498),O$4&gt;='Assumptions - Passenger'!$E$488),'Assumptions - Passenger'!$E$491-Calculations!O885-O892,0),0)</f>
        <v>0</v>
      </c>
      <c r="P896" s="126">
        <f>IF(P$17=1,IF(AND(P$4&lt;=('Assumptions - Passenger'!$E$488+'Assumptions - Passenger'!$E$498),P$4&gt;='Assumptions - Passenger'!$E$488),'Assumptions - Passenger'!$E$491-Calculations!P885-P892,0),0)</f>
        <v>0</v>
      </c>
      <c r="Q896" s="126">
        <f>IF(Q$17=1,IF(AND(Q$4&lt;=('Assumptions - Passenger'!$E$488+'Assumptions - Passenger'!$E$498),Q$4&gt;='Assumptions - Passenger'!$E$488),'Assumptions - Passenger'!$E$491-Calculations!Q885-Q892,0),0)</f>
        <v>0</v>
      </c>
      <c r="R896" s="126">
        <f>IF(R$17=1,IF(AND(R$4&lt;=('Assumptions - Passenger'!$E$488+'Assumptions - Passenger'!$E$498),R$4&gt;='Assumptions - Passenger'!$E$488),'Assumptions - Passenger'!$E$491-Calculations!R885-R892,0),0)</f>
        <v>0</v>
      </c>
      <c r="S896" s="126">
        <f>IF(S$17=1,IF(AND(S$4&lt;=('Assumptions - Passenger'!$E$488+'Assumptions - Passenger'!$E$498),S$4&gt;='Assumptions - Passenger'!$E$488),'Assumptions - Passenger'!$E$491-Calculations!S885-S892,0),0)</f>
        <v>0</v>
      </c>
      <c r="T896" s="126">
        <f>IF(T$17=1,IF(AND(T$4&lt;=('Assumptions - Passenger'!$E$488+'Assumptions - Passenger'!$E$498),T$4&gt;='Assumptions - Passenger'!$E$488),'Assumptions - Passenger'!$E$491-Calculations!T885-T892,0),0)</f>
        <v>0</v>
      </c>
      <c r="U896" s="126">
        <f>IF(U$17=1,IF(AND(U$4&lt;=('Assumptions - Passenger'!$E$488+'Assumptions - Passenger'!$E$498),U$4&gt;='Assumptions - Passenger'!$E$488),'Assumptions - Passenger'!$E$491-Calculations!U885-U892,0),0)</f>
        <v>0</v>
      </c>
      <c r="V896" s="126">
        <f>IF(V$17=1,IF(AND(V$4&lt;=('Assumptions - Passenger'!$E$488+'Assumptions - Passenger'!$E$498),V$4&gt;='Assumptions - Passenger'!$E$488),'Assumptions - Passenger'!$E$491-Calculations!V885-V892,0),0)</f>
        <v>0</v>
      </c>
      <c r="W896" s="126">
        <f>IF(W$17=1,IF(AND(W$4&lt;=('Assumptions - Passenger'!$E$488+'Assumptions - Passenger'!$E$498),W$4&gt;='Assumptions - Passenger'!$E$488),'Assumptions - Passenger'!$E$491-Calculations!W885-W892,0),0)</f>
        <v>0</v>
      </c>
      <c r="X896" s="126">
        <f>IF(X$17=1,IF(AND(X$4&lt;=('Assumptions - Passenger'!$E$488+'Assumptions - Passenger'!$E$498),X$4&gt;='Assumptions - Passenger'!$E$488),'Assumptions - Passenger'!$E$491-Calculations!X885-X892,0),0)</f>
        <v>0</v>
      </c>
      <c r="Y896" s="126">
        <f>IF(Y$17=1,IF(AND(Y$4&lt;=('Assumptions - Passenger'!$E$488+'Assumptions - Passenger'!$E$498),Y$4&gt;='Assumptions - Passenger'!$E$488),'Assumptions - Passenger'!$E$491-Calculations!Y885-Y892,0),0)</f>
        <v>0</v>
      </c>
      <c r="Z896" s="126">
        <f>IF(Z$17=1,IF(AND(Z$4&lt;=('Assumptions - Passenger'!$E$488+'Assumptions - Passenger'!$E$498),Z$4&gt;='Assumptions - Passenger'!$E$488),'Assumptions - Passenger'!$E$491-Calculations!Z885-Z892,0),0)</f>
        <v>0</v>
      </c>
      <c r="AA896" s="126">
        <f>IF(AA$17=1,IF(AND(AA$4&lt;=('Assumptions - Passenger'!$E$488+'Assumptions - Passenger'!$E$498),AA$4&gt;='Assumptions - Passenger'!$E$488),'Assumptions - Passenger'!$E$491-Calculations!AA885-AA892,0),0)</f>
        <v>0</v>
      </c>
      <c r="AB896" s="126">
        <f>IF(AB$17=1,IF(AND(AB$4&lt;=('Assumptions - Passenger'!$E$488+'Assumptions - Passenger'!$E$498),AB$4&gt;='Assumptions - Passenger'!$E$488),'Assumptions - Passenger'!$E$491-Calculations!AB885-AB892,0),0)</f>
        <v>0</v>
      </c>
      <c r="AC896" s="126">
        <f>IF(AC$17=1,IF(AND(AC$4&lt;=('Assumptions - Passenger'!$E$488+'Assumptions - Passenger'!$E$498),AC$4&gt;='Assumptions - Passenger'!$E$488),'Assumptions - Passenger'!$E$491-Calculations!AC885-AC892,0),0)</f>
        <v>0</v>
      </c>
      <c r="AD896" s="126">
        <f>IF(AD$17=1,IF(AND(AD$4&lt;=('Assumptions - Passenger'!$E$488+'Assumptions - Passenger'!$E$498),AD$4&gt;='Assumptions - Passenger'!$E$488),'Assumptions - Passenger'!$E$491-Calculations!AD885-AD892,0),0)</f>
        <v>0</v>
      </c>
      <c r="AE896" s="126">
        <f>IF(AE$17=1,IF(AND(AE$4&lt;=('Assumptions - Passenger'!$E$488+'Assumptions - Passenger'!$E$498),AE$4&gt;='Assumptions - Passenger'!$E$488),'Assumptions - Passenger'!$E$491-Calculations!AE885-AE892,0),0)</f>
        <v>0</v>
      </c>
      <c r="AF896" s="126">
        <f>IF(AF$17=1,IF(AND(AF$4&lt;=('Assumptions - Passenger'!$E$488+'Assumptions - Passenger'!$E$498),AF$4&gt;='Assumptions - Passenger'!$E$488),'Assumptions - Passenger'!$E$491-Calculations!AF885-AF892,0),0)</f>
        <v>0</v>
      </c>
      <c r="AG896" s="126">
        <f>IF(AG$17=1,IF(AND(AG$4&lt;=('Assumptions - Passenger'!$E$488+'Assumptions - Passenger'!$E$498),AG$4&gt;='Assumptions - Passenger'!$E$488),'Assumptions - Passenger'!$E$491-Calculations!AG885-AG892,0),0)</f>
        <v>0</v>
      </c>
      <c r="AH896" s="126">
        <f>IF(AH$17=1,IF(AND(AH$4&lt;=('Assumptions - Passenger'!$E$488+'Assumptions - Passenger'!$E$498),AH$4&gt;='Assumptions - Passenger'!$E$488),'Assumptions - Passenger'!$E$491-Calculations!AH885-AH892,0),0)</f>
        <v>0</v>
      </c>
    </row>
    <row r="897" spans="1:34" s="20" customFormat="1" ht="14" x14ac:dyDescent="0.2">
      <c r="A897" s="8"/>
      <c r="B897" s="8" t="s">
        <v>55</v>
      </c>
      <c r="C897" s="8"/>
      <c r="D897" s="8" t="str">
        <f t="shared" si="353"/>
        <v>R$ millions</v>
      </c>
      <c r="E897" s="126">
        <f>IF(E$17=1,'Assumptions - Passenger'!$E$502*Calculations!E896,0)</f>
        <v>0</v>
      </c>
      <c r="F897" s="126">
        <f>IF(F$17=1,'Assumptions - Passenger'!$E$502*Calculations!F896,0)</f>
        <v>0</v>
      </c>
      <c r="G897" s="126">
        <f>IF(G$17=1,'Assumptions - Passenger'!$E$502*Calculations!G896,0)</f>
        <v>0</v>
      </c>
      <c r="H897" s="126">
        <f>IF(H$17=1,'Assumptions - Passenger'!$E$502*Calculations!H896,0)</f>
        <v>0</v>
      </c>
      <c r="I897" s="126">
        <f>IF(I$17=1,'Assumptions - Passenger'!$E$502*Calculations!I896,0)</f>
        <v>0</v>
      </c>
      <c r="J897" s="126">
        <f>IF(J$17=1,'Assumptions - Passenger'!$E$502*Calculations!J896,0)</f>
        <v>0</v>
      </c>
      <c r="K897" s="126">
        <f>IF(K$17=1,'Assumptions - Passenger'!$E$502*Calculations!K896,0)</f>
        <v>0</v>
      </c>
      <c r="L897" s="126">
        <f>IF(L$17=1,'Assumptions - Passenger'!$E$502*Calculations!L896,0)</f>
        <v>0</v>
      </c>
      <c r="M897" s="126">
        <f>IF(M$17=1,'Assumptions - Passenger'!$E$502*Calculations!M896,0)</f>
        <v>0</v>
      </c>
      <c r="N897" s="126">
        <f>IF(N$17=1,'Assumptions - Passenger'!$E$502*Calculations!N896,0)</f>
        <v>0</v>
      </c>
      <c r="O897" s="126">
        <f>IF(O$17=1,'Assumptions - Passenger'!$E$502*Calculations!O896,0)</f>
        <v>0</v>
      </c>
      <c r="P897" s="126">
        <f>IF(P$17=1,'Assumptions - Passenger'!$E$502*Calculations!P896,0)</f>
        <v>0</v>
      </c>
      <c r="Q897" s="126">
        <f>IF(Q$17=1,'Assumptions - Passenger'!$E$502*Calculations!Q896,0)</f>
        <v>0</v>
      </c>
      <c r="R897" s="126">
        <f>IF(R$17=1,'Assumptions - Passenger'!$E$502*Calculations!R896,0)</f>
        <v>0</v>
      </c>
      <c r="S897" s="126">
        <f>IF(S$17=1,'Assumptions - Passenger'!$E$502*Calculations!S896,0)</f>
        <v>0</v>
      </c>
      <c r="T897" s="126">
        <f>IF(T$17=1,'Assumptions - Passenger'!$E$502*Calculations!T896,0)</f>
        <v>0</v>
      </c>
      <c r="U897" s="126">
        <f>IF(U$17=1,'Assumptions - Passenger'!$E$502*Calculations!U896,0)</f>
        <v>0</v>
      </c>
      <c r="V897" s="126">
        <f>IF(V$17=1,'Assumptions - Passenger'!$E$502*Calculations!V896,0)</f>
        <v>0</v>
      </c>
      <c r="W897" s="126">
        <f>IF(W$17=1,'Assumptions - Passenger'!$E$502*Calculations!W896,0)</f>
        <v>0</v>
      </c>
      <c r="X897" s="126">
        <f>IF(X$17=1,'Assumptions - Passenger'!$E$502*Calculations!X896,0)</f>
        <v>0</v>
      </c>
      <c r="Y897" s="126">
        <f>IF(Y$17=1,'Assumptions - Passenger'!$E$502*Calculations!Y896,0)</f>
        <v>0</v>
      </c>
      <c r="Z897" s="126">
        <f>IF(Z$17=1,'Assumptions - Passenger'!$E$502*Calculations!Z896,0)</f>
        <v>0</v>
      </c>
      <c r="AA897" s="126">
        <f>IF(AA$17=1,'Assumptions - Passenger'!$E$502*Calculations!AA896,0)</f>
        <v>0</v>
      </c>
      <c r="AB897" s="126">
        <f>IF(AB$17=1,'Assumptions - Passenger'!$E$502*Calculations!AB896,0)</f>
        <v>0</v>
      </c>
      <c r="AC897" s="126">
        <f>IF(AC$17=1,'Assumptions - Passenger'!$E$502*Calculations!AC896,0)</f>
        <v>0</v>
      </c>
      <c r="AD897" s="126">
        <f>IF(AD$17=1,'Assumptions - Passenger'!$E$502*Calculations!AD896,0)</f>
        <v>0</v>
      </c>
      <c r="AE897" s="126">
        <f>IF(AE$17=1,'Assumptions - Passenger'!$E$502*Calculations!AE896,0)</f>
        <v>0</v>
      </c>
      <c r="AF897" s="126">
        <f>IF(AF$17=1,'Assumptions - Passenger'!$E$502*Calculations!AF896,0)</f>
        <v>0</v>
      </c>
      <c r="AG897" s="126">
        <f>IF(AG$17=1,'Assumptions - Passenger'!$E$502*Calculations!AG896,0)</f>
        <v>0</v>
      </c>
      <c r="AH897" s="126">
        <f>IF(AH$17=1,'Assumptions - Passenger'!$E$502*Calculations!AH896,0)</f>
        <v>0</v>
      </c>
    </row>
    <row r="898" spans="1:34" s="20" customFormat="1" ht="14" x14ac:dyDescent="0.2">
      <c r="A898" s="8"/>
      <c r="B898" s="8" t="s">
        <v>140</v>
      </c>
      <c r="C898" s="8"/>
      <c r="D898" s="8" t="str">
        <f t="shared" si="353"/>
        <v>R$ millions</v>
      </c>
      <c r="E898" s="126">
        <f>E886+E894+E895+E897</f>
        <v>0</v>
      </c>
      <c r="F898" s="126">
        <f t="shared" ref="F898:AH898" si="354">F886+F894+F895+F897</f>
        <v>0</v>
      </c>
      <c r="G898" s="126">
        <f t="shared" si="354"/>
        <v>0.375</v>
      </c>
      <c r="H898" s="126">
        <f t="shared" si="354"/>
        <v>0.75</v>
      </c>
      <c r="I898" s="126">
        <f t="shared" si="354"/>
        <v>1.25</v>
      </c>
      <c r="J898" s="126">
        <f t="shared" si="354"/>
        <v>1.75</v>
      </c>
      <c r="K898" s="126">
        <f t="shared" si="354"/>
        <v>2.25</v>
      </c>
      <c r="L898" s="126">
        <f t="shared" si="354"/>
        <v>2.5</v>
      </c>
      <c r="M898" s="126">
        <f t="shared" si="354"/>
        <v>2.5</v>
      </c>
      <c r="N898" s="126">
        <f t="shared" si="354"/>
        <v>2.5</v>
      </c>
      <c r="O898" s="126">
        <f t="shared" si="354"/>
        <v>2.5</v>
      </c>
      <c r="P898" s="126">
        <f t="shared" si="354"/>
        <v>2.5</v>
      </c>
      <c r="Q898" s="126">
        <f t="shared" si="354"/>
        <v>2.5</v>
      </c>
      <c r="R898" s="126">
        <f t="shared" si="354"/>
        <v>2.5</v>
      </c>
      <c r="S898" s="126">
        <f t="shared" si="354"/>
        <v>2.5</v>
      </c>
      <c r="T898" s="126">
        <f t="shared" si="354"/>
        <v>2.5</v>
      </c>
      <c r="U898" s="126">
        <f t="shared" si="354"/>
        <v>51.25</v>
      </c>
      <c r="V898" s="126">
        <f t="shared" si="354"/>
        <v>0</v>
      </c>
      <c r="W898" s="126">
        <f t="shared" si="354"/>
        <v>0</v>
      </c>
      <c r="X898" s="126">
        <f t="shared" si="354"/>
        <v>0</v>
      </c>
      <c r="Y898" s="126">
        <f t="shared" si="354"/>
        <v>0</v>
      </c>
      <c r="Z898" s="126">
        <f t="shared" si="354"/>
        <v>0</v>
      </c>
      <c r="AA898" s="126">
        <f t="shared" si="354"/>
        <v>0</v>
      </c>
      <c r="AB898" s="126">
        <f t="shared" si="354"/>
        <v>0</v>
      </c>
      <c r="AC898" s="126">
        <f t="shared" si="354"/>
        <v>0</v>
      </c>
      <c r="AD898" s="126">
        <f t="shared" si="354"/>
        <v>0</v>
      </c>
      <c r="AE898" s="126">
        <f t="shared" si="354"/>
        <v>0</v>
      </c>
      <c r="AF898" s="126">
        <f t="shared" si="354"/>
        <v>0</v>
      </c>
      <c r="AG898" s="126">
        <f t="shared" si="354"/>
        <v>0</v>
      </c>
      <c r="AH898" s="126">
        <f t="shared" si="354"/>
        <v>0</v>
      </c>
    </row>
    <row r="899" spans="1:34" s="20" customFormat="1" ht="14" x14ac:dyDescent="0.2">
      <c r="A899" s="8"/>
      <c r="B899" s="8"/>
      <c r="C899" s="8"/>
      <c r="D899" s="8"/>
      <c r="E899" s="16"/>
      <c r="F899" s="8"/>
      <c r="G899" s="8"/>
      <c r="H899" s="8"/>
      <c r="I899" s="8"/>
      <c r="J899" s="8"/>
      <c r="K899" s="8"/>
      <c r="L899" s="8"/>
      <c r="M899" s="8"/>
      <c r="N899" s="8"/>
      <c r="O899" s="8"/>
      <c r="P899" s="8"/>
      <c r="Q899" s="8"/>
      <c r="R899" s="8"/>
      <c r="S899" s="8"/>
      <c r="T899" s="8"/>
      <c r="U899" s="8"/>
      <c r="V899" s="8"/>
      <c r="W899" s="8"/>
      <c r="X899" s="8"/>
      <c r="Y899" s="8"/>
      <c r="Z899" s="8"/>
      <c r="AA899" s="8"/>
      <c r="AB899" s="8"/>
      <c r="AC899" s="8"/>
      <c r="AD899" s="8"/>
      <c r="AE899" s="8"/>
      <c r="AF899" s="8"/>
      <c r="AG899" s="8"/>
      <c r="AH899" s="8"/>
    </row>
    <row r="900" spans="1:34" s="20" customFormat="1" ht="14" x14ac:dyDescent="0.2">
      <c r="A900" s="8"/>
      <c r="B900" s="21" t="str">
        <f>B882</f>
        <v>New loan from Regional bank</v>
      </c>
      <c r="C900" s="8"/>
      <c r="D900" s="8"/>
      <c r="E900" s="8"/>
      <c r="F900" s="8"/>
      <c r="G900" s="8"/>
      <c r="H900" s="8"/>
      <c r="I900" s="8"/>
      <c r="J900" s="8"/>
      <c r="K900" s="8"/>
      <c r="L900" s="8"/>
      <c r="M900" s="8"/>
      <c r="N900" s="8"/>
      <c r="O900" s="8"/>
      <c r="P900" s="8"/>
      <c r="Q900" s="8"/>
      <c r="R900" s="8"/>
      <c r="S900" s="8"/>
      <c r="T900" s="8"/>
      <c r="U900" s="8"/>
      <c r="V900" s="8"/>
      <c r="W900" s="8"/>
      <c r="X900" s="8"/>
      <c r="Y900" s="8"/>
      <c r="Z900" s="8"/>
      <c r="AA900" s="8"/>
      <c r="AB900" s="8"/>
      <c r="AC900" s="8"/>
      <c r="AD900" s="8"/>
      <c r="AE900" s="8"/>
      <c r="AF900" s="8"/>
      <c r="AG900" s="8"/>
      <c r="AH900" s="8"/>
    </row>
    <row r="901" spans="1:34" s="20" customFormat="1" ht="14" x14ac:dyDescent="0.2">
      <c r="A901" s="8"/>
      <c r="B901" s="8" t="s">
        <v>334</v>
      </c>
      <c r="C901" s="8"/>
      <c r="D901" s="8" t="str">
        <f>IF('Assumptions - Passenger'!$E$489=1,"Same as above",IF('Assumptions - Passenger'!$E$489=2,"Local currency/"&amp;'Assumptions - General'!$E$39,"Local currency/"&amp;'Assumptions - General'!$E$40))</f>
        <v>Same as above</v>
      </c>
      <c r="E901" s="124">
        <f>IF('Assumptions - Passenger'!$E$489=1,1,IF('Assumptions - Passenger'!$E$489=2,'Assumptions - General'!E$41,'Assumptions - General'!E$42))</f>
        <v>1</v>
      </c>
      <c r="F901" s="124">
        <f>IF('Assumptions - Passenger'!$E$489=1,1,IF('Assumptions - Passenger'!$E$489=2,'Assumptions - General'!F$41,'Assumptions - General'!F$42))</f>
        <v>1</v>
      </c>
      <c r="G901" s="124">
        <f>IF('Assumptions - Passenger'!$E$489=1,1,IF('Assumptions - Passenger'!$E$489=2,'Assumptions - General'!G$41,'Assumptions - General'!G$42))</f>
        <v>1</v>
      </c>
      <c r="H901" s="124">
        <f>IF('Assumptions - Passenger'!$E$489=1,1,IF('Assumptions - Passenger'!$E$489=2,'Assumptions - General'!H$41,'Assumptions - General'!H$42))</f>
        <v>1</v>
      </c>
      <c r="I901" s="124">
        <f>IF('Assumptions - Passenger'!$E$489=1,1,IF('Assumptions - Passenger'!$E$489=2,'Assumptions - General'!I$41,'Assumptions - General'!I$42))</f>
        <v>1</v>
      </c>
      <c r="J901" s="124">
        <f>IF('Assumptions - Passenger'!$E$489=1,1,IF('Assumptions - Passenger'!$E$489=2,'Assumptions - General'!J$41,'Assumptions - General'!J$42))</f>
        <v>1</v>
      </c>
      <c r="K901" s="124">
        <f>IF('Assumptions - Passenger'!$E$489=1,1,IF('Assumptions - Passenger'!$E$489=2,'Assumptions - General'!K$41,'Assumptions - General'!K$42))</f>
        <v>1</v>
      </c>
      <c r="L901" s="124">
        <f>IF('Assumptions - Passenger'!$E$489=1,1,IF('Assumptions - Passenger'!$E$489=2,'Assumptions - General'!L$41,'Assumptions - General'!L$42))</f>
        <v>1</v>
      </c>
      <c r="M901" s="124">
        <f>IF('Assumptions - Passenger'!$E$489=1,1,IF('Assumptions - Passenger'!$E$489=2,'Assumptions - General'!M$41,'Assumptions - General'!M$42))</f>
        <v>1</v>
      </c>
      <c r="N901" s="124">
        <f>IF('Assumptions - Passenger'!$E$489=1,1,IF('Assumptions - Passenger'!$E$489=2,'Assumptions - General'!N$41,'Assumptions - General'!N$42))</f>
        <v>1</v>
      </c>
      <c r="O901" s="124">
        <f>IF('Assumptions - Passenger'!$E$489=1,1,IF('Assumptions - Passenger'!$E$489=2,'Assumptions - General'!O$41,'Assumptions - General'!O$42))</f>
        <v>1</v>
      </c>
      <c r="P901" s="124">
        <f>IF('Assumptions - Passenger'!$E$489=1,1,IF('Assumptions - Passenger'!$E$489=2,'Assumptions - General'!P$41,'Assumptions - General'!P$42))</f>
        <v>1</v>
      </c>
      <c r="Q901" s="124">
        <f>IF('Assumptions - Passenger'!$E$489=1,1,IF('Assumptions - Passenger'!$E$489=2,'Assumptions - General'!Q$41,'Assumptions - General'!Q$42))</f>
        <v>1</v>
      </c>
      <c r="R901" s="124">
        <f>IF('Assumptions - Passenger'!$E$489=1,1,IF('Assumptions - Passenger'!$E$489=2,'Assumptions - General'!R$41,'Assumptions - General'!R$42))</f>
        <v>1</v>
      </c>
      <c r="S901" s="124">
        <f>IF('Assumptions - Passenger'!$E$489=1,1,IF('Assumptions - Passenger'!$E$489=2,'Assumptions - General'!S$41,'Assumptions - General'!S$42))</f>
        <v>1</v>
      </c>
      <c r="T901" s="124">
        <f>IF('Assumptions - Passenger'!$E$489=1,1,IF('Assumptions - Passenger'!$E$489=2,'Assumptions - General'!T$41,'Assumptions - General'!T$42))</f>
        <v>1</v>
      </c>
      <c r="U901" s="124">
        <f>IF('Assumptions - Passenger'!$E$489=1,1,IF('Assumptions - Passenger'!$E$489=2,'Assumptions - General'!U$41,'Assumptions - General'!U$42))</f>
        <v>1</v>
      </c>
      <c r="V901" s="124">
        <f>IF('Assumptions - Passenger'!$E$489=1,1,IF('Assumptions - Passenger'!$E$489=2,'Assumptions - General'!V$41,'Assumptions - General'!V$42))</f>
        <v>1</v>
      </c>
      <c r="W901" s="124">
        <f>IF('Assumptions - Passenger'!$E$489=1,1,IF('Assumptions - Passenger'!$E$489=2,'Assumptions - General'!W$41,'Assumptions - General'!W$42))</f>
        <v>1</v>
      </c>
      <c r="X901" s="124">
        <f>IF('Assumptions - Passenger'!$E$489=1,1,IF('Assumptions - Passenger'!$E$489=2,'Assumptions - General'!X$41,'Assumptions - General'!X$42))</f>
        <v>1</v>
      </c>
      <c r="Y901" s="124">
        <f>IF('Assumptions - Passenger'!$E$489=1,1,IF('Assumptions - Passenger'!$E$489=2,'Assumptions - General'!Y$41,'Assumptions - General'!Y$42))</f>
        <v>1</v>
      </c>
      <c r="Z901" s="124">
        <f>IF('Assumptions - Passenger'!$E$489=1,1,IF('Assumptions - Passenger'!$E$489=2,'Assumptions - General'!Z$41,'Assumptions - General'!Z$42))</f>
        <v>1</v>
      </c>
      <c r="AA901" s="124">
        <f>IF('Assumptions - Passenger'!$E$489=1,1,IF('Assumptions - Passenger'!$E$489=2,'Assumptions - General'!AA$41,'Assumptions - General'!AA$42))</f>
        <v>1</v>
      </c>
      <c r="AB901" s="124">
        <f>IF('Assumptions - Passenger'!$E$489=1,1,IF('Assumptions - Passenger'!$E$489=2,'Assumptions - General'!AB$41,'Assumptions - General'!AB$42))</f>
        <v>1</v>
      </c>
      <c r="AC901" s="124">
        <f>IF('Assumptions - Passenger'!$E$489=1,1,IF('Assumptions - Passenger'!$E$489=2,'Assumptions - General'!AC$41,'Assumptions - General'!AC$42))</f>
        <v>1</v>
      </c>
      <c r="AD901" s="124">
        <f>IF('Assumptions - Passenger'!$E$489=1,1,IF('Assumptions - Passenger'!$E$489=2,'Assumptions - General'!AD$41,'Assumptions - General'!AD$42))</f>
        <v>1</v>
      </c>
      <c r="AE901" s="124">
        <f>IF('Assumptions - Passenger'!$E$489=1,1,IF('Assumptions - Passenger'!$E$489=2,'Assumptions - General'!AE$41,'Assumptions - General'!AE$42))</f>
        <v>1</v>
      </c>
      <c r="AF901" s="124">
        <f>IF('Assumptions - Passenger'!$E$489=1,1,IF('Assumptions - Passenger'!$E$489=2,'Assumptions - General'!AF$41,'Assumptions - General'!AF$42))</f>
        <v>1</v>
      </c>
      <c r="AG901" s="124">
        <f>IF('Assumptions - Passenger'!$E$489=1,1,IF('Assumptions - Passenger'!$E$489=2,'Assumptions - General'!AG$41,'Assumptions - General'!AG$42))</f>
        <v>1</v>
      </c>
      <c r="AH901" s="124">
        <f>IF('Assumptions - Passenger'!$E$489=1,1,IF('Assumptions - Passenger'!$E$489=2,'Assumptions - General'!AH$41,'Assumptions - General'!AH$42))</f>
        <v>1</v>
      </c>
    </row>
    <row r="902" spans="1:34" s="20" customFormat="1" ht="14" x14ac:dyDescent="0.2">
      <c r="A902" s="8"/>
      <c r="B902" s="8" t="s">
        <v>136</v>
      </c>
      <c r="C902" s="8"/>
      <c r="D902" s="8" t="str">
        <f>'Assumptions - General'!$E$27 &amp;" millions"</f>
        <v>R$ millions</v>
      </c>
      <c r="E902" s="126">
        <f t="shared" ref="E902:AH902" si="355">E885*E$901</f>
        <v>0</v>
      </c>
      <c r="F902" s="126">
        <f t="shared" si="355"/>
        <v>0</v>
      </c>
      <c r="G902" s="126">
        <f t="shared" si="355"/>
        <v>0</v>
      </c>
      <c r="H902" s="126">
        <f t="shared" si="355"/>
        <v>10</v>
      </c>
      <c r="I902" s="126">
        <f t="shared" si="355"/>
        <v>20</v>
      </c>
      <c r="J902" s="126">
        <f t="shared" si="355"/>
        <v>30</v>
      </c>
      <c r="K902" s="126">
        <f t="shared" si="355"/>
        <v>40</v>
      </c>
      <c r="L902" s="126">
        <f t="shared" si="355"/>
        <v>50</v>
      </c>
      <c r="M902" s="126">
        <f t="shared" si="355"/>
        <v>50</v>
      </c>
      <c r="N902" s="126">
        <f t="shared" si="355"/>
        <v>50</v>
      </c>
      <c r="O902" s="126">
        <f t="shared" si="355"/>
        <v>50</v>
      </c>
      <c r="P902" s="126">
        <f t="shared" si="355"/>
        <v>50</v>
      </c>
      <c r="Q902" s="126">
        <f t="shared" si="355"/>
        <v>50</v>
      </c>
      <c r="R902" s="126">
        <f t="shared" si="355"/>
        <v>50</v>
      </c>
      <c r="S902" s="126">
        <f t="shared" si="355"/>
        <v>50</v>
      </c>
      <c r="T902" s="126">
        <f t="shared" si="355"/>
        <v>50</v>
      </c>
      <c r="U902" s="126">
        <f t="shared" si="355"/>
        <v>50</v>
      </c>
      <c r="V902" s="126">
        <f t="shared" si="355"/>
        <v>0</v>
      </c>
      <c r="W902" s="126">
        <f t="shared" si="355"/>
        <v>0</v>
      </c>
      <c r="X902" s="126">
        <f t="shared" si="355"/>
        <v>0</v>
      </c>
      <c r="Y902" s="126">
        <f t="shared" si="355"/>
        <v>0</v>
      </c>
      <c r="Z902" s="126">
        <f t="shared" si="355"/>
        <v>0</v>
      </c>
      <c r="AA902" s="126">
        <f t="shared" si="355"/>
        <v>0</v>
      </c>
      <c r="AB902" s="126">
        <f t="shared" si="355"/>
        <v>0</v>
      </c>
      <c r="AC902" s="126">
        <f t="shared" si="355"/>
        <v>0</v>
      </c>
      <c r="AD902" s="126">
        <f t="shared" si="355"/>
        <v>0</v>
      </c>
      <c r="AE902" s="126">
        <f t="shared" si="355"/>
        <v>0</v>
      </c>
      <c r="AF902" s="126">
        <f t="shared" si="355"/>
        <v>0</v>
      </c>
      <c r="AG902" s="126">
        <f t="shared" si="355"/>
        <v>0</v>
      </c>
      <c r="AH902" s="126">
        <f t="shared" si="355"/>
        <v>0</v>
      </c>
    </row>
    <row r="903" spans="1:34" s="20" customFormat="1" ht="14" x14ac:dyDescent="0.2">
      <c r="A903" s="8"/>
      <c r="B903" s="8" t="s">
        <v>410</v>
      </c>
      <c r="C903" s="8"/>
      <c r="D903" s="8" t="str">
        <f>'Assumptions - General'!$E$27 &amp;" millions"</f>
        <v>R$ millions</v>
      </c>
      <c r="E903" s="126">
        <f t="shared" ref="E903:AH903" si="356">E886*E$901</f>
        <v>0</v>
      </c>
      <c r="F903" s="126">
        <f t="shared" si="356"/>
        <v>0</v>
      </c>
      <c r="G903" s="126">
        <f t="shared" si="356"/>
        <v>0</v>
      </c>
      <c r="H903" s="126">
        <f t="shared" si="356"/>
        <v>0</v>
      </c>
      <c r="I903" s="126">
        <f t="shared" si="356"/>
        <v>0</v>
      </c>
      <c r="J903" s="126">
        <f t="shared" si="356"/>
        <v>0</v>
      </c>
      <c r="K903" s="126">
        <f t="shared" si="356"/>
        <v>0</v>
      </c>
      <c r="L903" s="126">
        <f t="shared" si="356"/>
        <v>0</v>
      </c>
      <c r="M903" s="126">
        <f t="shared" si="356"/>
        <v>0</v>
      </c>
      <c r="N903" s="126">
        <f t="shared" si="356"/>
        <v>0</v>
      </c>
      <c r="O903" s="126">
        <f t="shared" si="356"/>
        <v>0</v>
      </c>
      <c r="P903" s="126">
        <f t="shared" si="356"/>
        <v>0</v>
      </c>
      <c r="Q903" s="126">
        <f t="shared" si="356"/>
        <v>0</v>
      </c>
      <c r="R903" s="126">
        <f t="shared" si="356"/>
        <v>0</v>
      </c>
      <c r="S903" s="126">
        <f t="shared" si="356"/>
        <v>0</v>
      </c>
      <c r="T903" s="126">
        <f t="shared" si="356"/>
        <v>0</v>
      </c>
      <c r="U903" s="126">
        <f t="shared" si="356"/>
        <v>50</v>
      </c>
      <c r="V903" s="126">
        <f t="shared" si="356"/>
        <v>0</v>
      </c>
      <c r="W903" s="126">
        <f t="shared" si="356"/>
        <v>0</v>
      </c>
      <c r="X903" s="126">
        <f t="shared" si="356"/>
        <v>0</v>
      </c>
      <c r="Y903" s="126">
        <f t="shared" si="356"/>
        <v>0</v>
      </c>
      <c r="Z903" s="126">
        <f t="shared" si="356"/>
        <v>0</v>
      </c>
      <c r="AA903" s="126">
        <f t="shared" si="356"/>
        <v>0</v>
      </c>
      <c r="AB903" s="126">
        <f t="shared" si="356"/>
        <v>0</v>
      </c>
      <c r="AC903" s="126">
        <f t="shared" si="356"/>
        <v>0</v>
      </c>
      <c r="AD903" s="126">
        <f t="shared" si="356"/>
        <v>0</v>
      </c>
      <c r="AE903" s="126">
        <f t="shared" si="356"/>
        <v>0</v>
      </c>
      <c r="AF903" s="126">
        <f t="shared" si="356"/>
        <v>0</v>
      </c>
      <c r="AG903" s="126">
        <f t="shared" si="356"/>
        <v>0</v>
      </c>
      <c r="AH903" s="126">
        <f t="shared" si="356"/>
        <v>0</v>
      </c>
    </row>
    <row r="904" spans="1:34" s="20" customFormat="1" ht="14" x14ac:dyDescent="0.2">
      <c r="A904" s="8"/>
      <c r="B904" s="8" t="s">
        <v>137</v>
      </c>
      <c r="C904" s="8"/>
      <c r="D904" s="8" t="str">
        <f>'Assumptions - General'!$E$27 &amp;" millions"</f>
        <v>R$ millions</v>
      </c>
      <c r="E904" s="126">
        <f t="shared" ref="E904:AH904" si="357">E892*E$901</f>
        <v>0</v>
      </c>
      <c r="F904" s="126">
        <f t="shared" si="357"/>
        <v>0</v>
      </c>
      <c r="G904" s="126">
        <f t="shared" si="357"/>
        <v>10</v>
      </c>
      <c r="H904" s="126">
        <f t="shared" si="357"/>
        <v>10</v>
      </c>
      <c r="I904" s="126">
        <f t="shared" si="357"/>
        <v>10</v>
      </c>
      <c r="J904" s="126">
        <f t="shared" si="357"/>
        <v>10</v>
      </c>
      <c r="K904" s="126">
        <f t="shared" si="357"/>
        <v>10</v>
      </c>
      <c r="L904" s="126">
        <f t="shared" si="357"/>
        <v>0</v>
      </c>
      <c r="M904" s="126">
        <f t="shared" si="357"/>
        <v>0</v>
      </c>
      <c r="N904" s="126">
        <f t="shared" si="357"/>
        <v>0</v>
      </c>
      <c r="O904" s="126">
        <f t="shared" si="357"/>
        <v>0</v>
      </c>
      <c r="P904" s="126">
        <f t="shared" si="357"/>
        <v>0</v>
      </c>
      <c r="Q904" s="126">
        <f t="shared" si="357"/>
        <v>0</v>
      </c>
      <c r="R904" s="126">
        <f t="shared" si="357"/>
        <v>0</v>
      </c>
      <c r="S904" s="126">
        <f t="shared" si="357"/>
        <v>0</v>
      </c>
      <c r="T904" s="126">
        <f t="shared" si="357"/>
        <v>0</v>
      </c>
      <c r="U904" s="126">
        <f t="shared" si="357"/>
        <v>0</v>
      </c>
      <c r="V904" s="126">
        <f t="shared" si="357"/>
        <v>0</v>
      </c>
      <c r="W904" s="126">
        <f t="shared" si="357"/>
        <v>0</v>
      </c>
      <c r="X904" s="126">
        <f t="shared" si="357"/>
        <v>0</v>
      </c>
      <c r="Y904" s="126">
        <f t="shared" si="357"/>
        <v>0</v>
      </c>
      <c r="Z904" s="126">
        <f t="shared" si="357"/>
        <v>0</v>
      </c>
      <c r="AA904" s="126">
        <f t="shared" si="357"/>
        <v>0</v>
      </c>
      <c r="AB904" s="126">
        <f t="shared" si="357"/>
        <v>0</v>
      </c>
      <c r="AC904" s="126">
        <f t="shared" si="357"/>
        <v>0</v>
      </c>
      <c r="AD904" s="126">
        <f t="shared" si="357"/>
        <v>0</v>
      </c>
      <c r="AE904" s="126">
        <f t="shared" si="357"/>
        <v>0</v>
      </c>
      <c r="AF904" s="126">
        <f t="shared" si="357"/>
        <v>0</v>
      </c>
      <c r="AG904" s="126">
        <f t="shared" si="357"/>
        <v>0</v>
      </c>
      <c r="AH904" s="126">
        <f t="shared" si="357"/>
        <v>0</v>
      </c>
    </row>
    <row r="905" spans="1:34" s="20" customFormat="1" ht="14" x14ac:dyDescent="0.2">
      <c r="A905" s="8"/>
      <c r="B905" s="8" t="s">
        <v>138</v>
      </c>
      <c r="C905" s="8"/>
      <c r="D905" s="8" t="str">
        <f>'Assumptions - General'!$E$27 &amp;" millions"</f>
        <v>R$ millions</v>
      </c>
      <c r="E905" s="126">
        <f t="shared" ref="E905:AH905" si="358">E893*E$901</f>
        <v>0</v>
      </c>
      <c r="F905" s="126">
        <f t="shared" si="358"/>
        <v>0</v>
      </c>
      <c r="G905" s="126">
        <f t="shared" si="358"/>
        <v>10</v>
      </c>
      <c r="H905" s="126">
        <f t="shared" si="358"/>
        <v>20</v>
      </c>
      <c r="I905" s="126">
        <f t="shared" si="358"/>
        <v>30</v>
      </c>
      <c r="J905" s="126">
        <f t="shared" si="358"/>
        <v>40</v>
      </c>
      <c r="K905" s="126">
        <f t="shared" si="358"/>
        <v>50</v>
      </c>
      <c r="L905" s="126">
        <f t="shared" si="358"/>
        <v>50</v>
      </c>
      <c r="M905" s="126">
        <f t="shared" si="358"/>
        <v>50</v>
      </c>
      <c r="N905" s="126">
        <f t="shared" si="358"/>
        <v>50</v>
      </c>
      <c r="O905" s="126">
        <f t="shared" si="358"/>
        <v>50</v>
      </c>
      <c r="P905" s="126">
        <f t="shared" si="358"/>
        <v>50</v>
      </c>
      <c r="Q905" s="126">
        <f t="shared" si="358"/>
        <v>50</v>
      </c>
      <c r="R905" s="126">
        <f t="shared" si="358"/>
        <v>50</v>
      </c>
      <c r="S905" s="126">
        <f t="shared" si="358"/>
        <v>50</v>
      </c>
      <c r="T905" s="126">
        <f t="shared" si="358"/>
        <v>50</v>
      </c>
      <c r="U905" s="126">
        <f t="shared" si="358"/>
        <v>0</v>
      </c>
      <c r="V905" s="126">
        <f t="shared" si="358"/>
        <v>0</v>
      </c>
      <c r="W905" s="126">
        <f t="shared" si="358"/>
        <v>0</v>
      </c>
      <c r="X905" s="126">
        <f t="shared" si="358"/>
        <v>0</v>
      </c>
      <c r="Y905" s="126">
        <f t="shared" si="358"/>
        <v>0</v>
      </c>
      <c r="Z905" s="126">
        <f t="shared" si="358"/>
        <v>0</v>
      </c>
      <c r="AA905" s="126">
        <f t="shared" si="358"/>
        <v>0</v>
      </c>
      <c r="AB905" s="126">
        <f t="shared" si="358"/>
        <v>0</v>
      </c>
      <c r="AC905" s="126">
        <f t="shared" si="358"/>
        <v>0</v>
      </c>
      <c r="AD905" s="126">
        <f t="shared" si="358"/>
        <v>0</v>
      </c>
      <c r="AE905" s="126">
        <f t="shared" si="358"/>
        <v>0</v>
      </c>
      <c r="AF905" s="126">
        <f t="shared" si="358"/>
        <v>0</v>
      </c>
      <c r="AG905" s="126">
        <f t="shared" si="358"/>
        <v>0</v>
      </c>
      <c r="AH905" s="126">
        <f t="shared" si="358"/>
        <v>0</v>
      </c>
    </row>
    <row r="906" spans="1:34" s="20" customFormat="1" ht="14" x14ac:dyDescent="0.2">
      <c r="A906" s="8"/>
      <c r="B906" s="8" t="s">
        <v>139</v>
      </c>
      <c r="C906" s="8"/>
      <c r="D906" s="8" t="str">
        <f>'Assumptions - General'!$E$27 &amp;" millions"</f>
        <v>R$ millions</v>
      </c>
      <c r="E906" s="126">
        <f t="shared" ref="E906:AH906" si="359">E894*E$901</f>
        <v>0</v>
      </c>
      <c r="F906" s="126">
        <f t="shared" si="359"/>
        <v>0</v>
      </c>
      <c r="G906" s="126">
        <f t="shared" si="359"/>
        <v>0.25</v>
      </c>
      <c r="H906" s="126">
        <f t="shared" si="359"/>
        <v>0.75</v>
      </c>
      <c r="I906" s="126">
        <f t="shared" si="359"/>
        <v>1.25</v>
      </c>
      <c r="J906" s="126">
        <f t="shared" si="359"/>
        <v>1.75</v>
      </c>
      <c r="K906" s="126">
        <f t="shared" si="359"/>
        <v>2.25</v>
      </c>
      <c r="L906" s="126">
        <f t="shared" si="359"/>
        <v>2.5</v>
      </c>
      <c r="M906" s="126">
        <f t="shared" si="359"/>
        <v>2.5</v>
      </c>
      <c r="N906" s="126">
        <f t="shared" si="359"/>
        <v>2.5</v>
      </c>
      <c r="O906" s="126">
        <f t="shared" si="359"/>
        <v>2.5</v>
      </c>
      <c r="P906" s="126">
        <f t="shared" si="359"/>
        <v>2.5</v>
      </c>
      <c r="Q906" s="126">
        <f t="shared" si="359"/>
        <v>2.5</v>
      </c>
      <c r="R906" s="126">
        <f t="shared" si="359"/>
        <v>2.5</v>
      </c>
      <c r="S906" s="126">
        <f t="shared" si="359"/>
        <v>2.5</v>
      </c>
      <c r="T906" s="126">
        <f t="shared" si="359"/>
        <v>2.5</v>
      </c>
      <c r="U906" s="126">
        <f t="shared" si="359"/>
        <v>1.25</v>
      </c>
      <c r="V906" s="126">
        <f t="shared" si="359"/>
        <v>0</v>
      </c>
      <c r="W906" s="126">
        <f t="shared" si="359"/>
        <v>0</v>
      </c>
      <c r="X906" s="126">
        <f t="shared" si="359"/>
        <v>0</v>
      </c>
      <c r="Y906" s="126">
        <f t="shared" si="359"/>
        <v>0</v>
      </c>
      <c r="Z906" s="126">
        <f t="shared" si="359"/>
        <v>0</v>
      </c>
      <c r="AA906" s="126">
        <f t="shared" si="359"/>
        <v>0</v>
      </c>
      <c r="AB906" s="126">
        <f t="shared" si="359"/>
        <v>0</v>
      </c>
      <c r="AC906" s="126">
        <f t="shared" si="359"/>
        <v>0</v>
      </c>
      <c r="AD906" s="126">
        <f t="shared" si="359"/>
        <v>0</v>
      </c>
      <c r="AE906" s="126">
        <f t="shared" si="359"/>
        <v>0</v>
      </c>
      <c r="AF906" s="126">
        <f t="shared" si="359"/>
        <v>0</v>
      </c>
      <c r="AG906" s="126">
        <f t="shared" si="359"/>
        <v>0</v>
      </c>
      <c r="AH906" s="126">
        <f t="shared" si="359"/>
        <v>0</v>
      </c>
    </row>
    <row r="907" spans="1:34" s="20" customFormat="1" ht="14" x14ac:dyDescent="0.2">
      <c r="A907" s="8"/>
      <c r="B907" s="8" t="s">
        <v>53</v>
      </c>
      <c r="C907" s="8"/>
      <c r="D907" s="8" t="str">
        <f>'Assumptions - General'!$E$27 &amp;" millions"</f>
        <v>R$ millions</v>
      </c>
      <c r="E907" s="126">
        <f t="shared" ref="E907:AH907" si="360">E895*E$901</f>
        <v>0</v>
      </c>
      <c r="F907" s="126">
        <f t="shared" si="360"/>
        <v>0</v>
      </c>
      <c r="G907" s="126">
        <f t="shared" si="360"/>
        <v>0.125</v>
      </c>
      <c r="H907" s="126">
        <f t="shared" si="360"/>
        <v>0</v>
      </c>
      <c r="I907" s="126">
        <f t="shared" si="360"/>
        <v>0</v>
      </c>
      <c r="J907" s="126">
        <f t="shared" si="360"/>
        <v>0</v>
      </c>
      <c r="K907" s="126">
        <f t="shared" si="360"/>
        <v>0</v>
      </c>
      <c r="L907" s="126">
        <f t="shared" si="360"/>
        <v>0</v>
      </c>
      <c r="M907" s="126">
        <f t="shared" si="360"/>
        <v>0</v>
      </c>
      <c r="N907" s="126">
        <f t="shared" si="360"/>
        <v>0</v>
      </c>
      <c r="O907" s="126">
        <f t="shared" si="360"/>
        <v>0</v>
      </c>
      <c r="P907" s="126">
        <f t="shared" si="360"/>
        <v>0</v>
      </c>
      <c r="Q907" s="126">
        <f t="shared" si="360"/>
        <v>0</v>
      </c>
      <c r="R907" s="126">
        <f t="shared" si="360"/>
        <v>0</v>
      </c>
      <c r="S907" s="126">
        <f t="shared" si="360"/>
        <v>0</v>
      </c>
      <c r="T907" s="126">
        <f t="shared" si="360"/>
        <v>0</v>
      </c>
      <c r="U907" s="126">
        <f t="shared" si="360"/>
        <v>0</v>
      </c>
      <c r="V907" s="126">
        <f t="shared" si="360"/>
        <v>0</v>
      </c>
      <c r="W907" s="126">
        <f t="shared" si="360"/>
        <v>0</v>
      </c>
      <c r="X907" s="126">
        <f t="shared" si="360"/>
        <v>0</v>
      </c>
      <c r="Y907" s="126">
        <f t="shared" si="360"/>
        <v>0</v>
      </c>
      <c r="Z907" s="126">
        <f t="shared" si="360"/>
        <v>0</v>
      </c>
      <c r="AA907" s="126">
        <f t="shared" si="360"/>
        <v>0</v>
      </c>
      <c r="AB907" s="126">
        <f t="shared" si="360"/>
        <v>0</v>
      </c>
      <c r="AC907" s="126">
        <f t="shared" si="360"/>
        <v>0</v>
      </c>
      <c r="AD907" s="126">
        <f t="shared" si="360"/>
        <v>0</v>
      </c>
      <c r="AE907" s="126">
        <f t="shared" si="360"/>
        <v>0</v>
      </c>
      <c r="AF907" s="126">
        <f t="shared" si="360"/>
        <v>0</v>
      </c>
      <c r="AG907" s="126">
        <f t="shared" si="360"/>
        <v>0</v>
      </c>
      <c r="AH907" s="126">
        <f t="shared" si="360"/>
        <v>0</v>
      </c>
    </row>
    <row r="908" spans="1:34" s="20" customFormat="1" ht="14" x14ac:dyDescent="0.2">
      <c r="A908" s="8"/>
      <c r="B908" s="8" t="s">
        <v>142</v>
      </c>
      <c r="C908" s="8"/>
      <c r="D908" s="8" t="str">
        <f>'Assumptions - General'!$E$27 &amp;" millions"</f>
        <v>R$ millions</v>
      </c>
      <c r="E908" s="126">
        <f t="shared" ref="E908:AH908" si="361">E896*E$901</f>
        <v>0</v>
      </c>
      <c r="F908" s="126">
        <f t="shared" si="361"/>
        <v>0</v>
      </c>
      <c r="G908" s="126">
        <f t="shared" si="361"/>
        <v>40</v>
      </c>
      <c r="H908" s="126">
        <f t="shared" si="361"/>
        <v>30</v>
      </c>
      <c r="I908" s="126">
        <f t="shared" si="361"/>
        <v>20</v>
      </c>
      <c r="J908" s="126">
        <f t="shared" si="361"/>
        <v>10</v>
      </c>
      <c r="K908" s="126">
        <f t="shared" si="361"/>
        <v>0</v>
      </c>
      <c r="L908" s="126">
        <f t="shared" si="361"/>
        <v>0</v>
      </c>
      <c r="M908" s="126">
        <f t="shared" si="361"/>
        <v>0</v>
      </c>
      <c r="N908" s="126">
        <f t="shared" si="361"/>
        <v>0</v>
      </c>
      <c r="O908" s="126">
        <f t="shared" si="361"/>
        <v>0</v>
      </c>
      <c r="P908" s="126">
        <f t="shared" si="361"/>
        <v>0</v>
      </c>
      <c r="Q908" s="126">
        <f t="shared" si="361"/>
        <v>0</v>
      </c>
      <c r="R908" s="126">
        <f t="shared" si="361"/>
        <v>0</v>
      </c>
      <c r="S908" s="126">
        <f t="shared" si="361"/>
        <v>0</v>
      </c>
      <c r="T908" s="126">
        <f t="shared" si="361"/>
        <v>0</v>
      </c>
      <c r="U908" s="126">
        <f t="shared" si="361"/>
        <v>0</v>
      </c>
      <c r="V908" s="126">
        <f t="shared" si="361"/>
        <v>0</v>
      </c>
      <c r="W908" s="126">
        <f t="shared" si="361"/>
        <v>0</v>
      </c>
      <c r="X908" s="126">
        <f t="shared" si="361"/>
        <v>0</v>
      </c>
      <c r="Y908" s="126">
        <f t="shared" si="361"/>
        <v>0</v>
      </c>
      <c r="Z908" s="126">
        <f t="shared" si="361"/>
        <v>0</v>
      </c>
      <c r="AA908" s="126">
        <f t="shared" si="361"/>
        <v>0</v>
      </c>
      <c r="AB908" s="126">
        <f t="shared" si="361"/>
        <v>0</v>
      </c>
      <c r="AC908" s="126">
        <f t="shared" si="361"/>
        <v>0</v>
      </c>
      <c r="AD908" s="126">
        <f t="shared" si="361"/>
        <v>0</v>
      </c>
      <c r="AE908" s="126">
        <f t="shared" si="361"/>
        <v>0</v>
      </c>
      <c r="AF908" s="126">
        <f t="shared" si="361"/>
        <v>0</v>
      </c>
      <c r="AG908" s="126">
        <f t="shared" si="361"/>
        <v>0</v>
      </c>
      <c r="AH908" s="126">
        <f t="shared" si="361"/>
        <v>0</v>
      </c>
    </row>
    <row r="909" spans="1:34" s="20" customFormat="1" ht="14" x14ac:dyDescent="0.2">
      <c r="A909" s="8"/>
      <c r="B909" s="8" t="s">
        <v>55</v>
      </c>
      <c r="C909" s="8"/>
      <c r="D909" s="8" t="str">
        <f>'Assumptions - General'!$E$27 &amp;" millions"</f>
        <v>R$ millions</v>
      </c>
      <c r="E909" s="126">
        <f t="shared" ref="E909:AH909" si="362">E897*E$901</f>
        <v>0</v>
      </c>
      <c r="F909" s="126">
        <f t="shared" si="362"/>
        <v>0</v>
      </c>
      <c r="G909" s="126">
        <f t="shared" si="362"/>
        <v>0</v>
      </c>
      <c r="H909" s="126">
        <f t="shared" si="362"/>
        <v>0</v>
      </c>
      <c r="I909" s="126">
        <f t="shared" si="362"/>
        <v>0</v>
      </c>
      <c r="J909" s="126">
        <f t="shared" si="362"/>
        <v>0</v>
      </c>
      <c r="K909" s="126">
        <f t="shared" si="362"/>
        <v>0</v>
      </c>
      <c r="L909" s="126">
        <f t="shared" si="362"/>
        <v>0</v>
      </c>
      <c r="M909" s="126">
        <f t="shared" si="362"/>
        <v>0</v>
      </c>
      <c r="N909" s="126">
        <f t="shared" si="362"/>
        <v>0</v>
      </c>
      <c r="O909" s="126">
        <f t="shared" si="362"/>
        <v>0</v>
      </c>
      <c r="P909" s="126">
        <f t="shared" si="362"/>
        <v>0</v>
      </c>
      <c r="Q909" s="126">
        <f t="shared" si="362"/>
        <v>0</v>
      </c>
      <c r="R909" s="126">
        <f t="shared" si="362"/>
        <v>0</v>
      </c>
      <c r="S909" s="126">
        <f t="shared" si="362"/>
        <v>0</v>
      </c>
      <c r="T909" s="126">
        <f t="shared" si="362"/>
        <v>0</v>
      </c>
      <c r="U909" s="126">
        <f t="shared" si="362"/>
        <v>0</v>
      </c>
      <c r="V909" s="126">
        <f t="shared" si="362"/>
        <v>0</v>
      </c>
      <c r="W909" s="126">
        <f t="shared" si="362"/>
        <v>0</v>
      </c>
      <c r="X909" s="126">
        <f t="shared" si="362"/>
        <v>0</v>
      </c>
      <c r="Y909" s="126">
        <f t="shared" si="362"/>
        <v>0</v>
      </c>
      <c r="Z909" s="126">
        <f t="shared" si="362"/>
        <v>0</v>
      </c>
      <c r="AA909" s="126">
        <f t="shared" si="362"/>
        <v>0</v>
      </c>
      <c r="AB909" s="126">
        <f t="shared" si="362"/>
        <v>0</v>
      </c>
      <c r="AC909" s="126">
        <f t="shared" si="362"/>
        <v>0</v>
      </c>
      <c r="AD909" s="126">
        <f t="shared" si="362"/>
        <v>0</v>
      </c>
      <c r="AE909" s="126">
        <f t="shared" si="362"/>
        <v>0</v>
      </c>
      <c r="AF909" s="126">
        <f t="shared" si="362"/>
        <v>0</v>
      </c>
      <c r="AG909" s="126">
        <f t="shared" si="362"/>
        <v>0</v>
      </c>
      <c r="AH909" s="126">
        <f t="shared" si="362"/>
        <v>0</v>
      </c>
    </row>
    <row r="910" spans="1:34" s="20" customFormat="1" ht="14" x14ac:dyDescent="0.2">
      <c r="A910" s="8"/>
      <c r="B910" s="8" t="s">
        <v>140</v>
      </c>
      <c r="C910" s="8"/>
      <c r="D910" s="8" t="str">
        <f>'Assumptions - General'!$E$27 &amp;" millions"</f>
        <v>R$ millions</v>
      </c>
      <c r="E910" s="126">
        <f t="shared" ref="E910:AH910" si="363">E898*E$901</f>
        <v>0</v>
      </c>
      <c r="F910" s="126">
        <f t="shared" si="363"/>
        <v>0</v>
      </c>
      <c r="G910" s="126">
        <f t="shared" si="363"/>
        <v>0.375</v>
      </c>
      <c r="H910" s="126">
        <f t="shared" si="363"/>
        <v>0.75</v>
      </c>
      <c r="I910" s="126">
        <f t="shared" si="363"/>
        <v>1.25</v>
      </c>
      <c r="J910" s="126">
        <f t="shared" si="363"/>
        <v>1.75</v>
      </c>
      <c r="K910" s="126">
        <f t="shared" si="363"/>
        <v>2.25</v>
      </c>
      <c r="L910" s="126">
        <f t="shared" si="363"/>
        <v>2.5</v>
      </c>
      <c r="M910" s="126">
        <f t="shared" si="363"/>
        <v>2.5</v>
      </c>
      <c r="N910" s="126">
        <f t="shared" si="363"/>
        <v>2.5</v>
      </c>
      <c r="O910" s="126">
        <f t="shared" si="363"/>
        <v>2.5</v>
      </c>
      <c r="P910" s="126">
        <f t="shared" si="363"/>
        <v>2.5</v>
      </c>
      <c r="Q910" s="126">
        <f t="shared" si="363"/>
        <v>2.5</v>
      </c>
      <c r="R910" s="126">
        <f t="shared" si="363"/>
        <v>2.5</v>
      </c>
      <c r="S910" s="126">
        <f t="shared" si="363"/>
        <v>2.5</v>
      </c>
      <c r="T910" s="126">
        <f t="shared" si="363"/>
        <v>2.5</v>
      </c>
      <c r="U910" s="126">
        <f t="shared" si="363"/>
        <v>51.25</v>
      </c>
      <c r="V910" s="126">
        <f t="shared" si="363"/>
        <v>0</v>
      </c>
      <c r="W910" s="126">
        <f t="shared" si="363"/>
        <v>0</v>
      </c>
      <c r="X910" s="126">
        <f t="shared" si="363"/>
        <v>0</v>
      </c>
      <c r="Y910" s="126">
        <f t="shared" si="363"/>
        <v>0</v>
      </c>
      <c r="Z910" s="126">
        <f t="shared" si="363"/>
        <v>0</v>
      </c>
      <c r="AA910" s="126">
        <f t="shared" si="363"/>
        <v>0</v>
      </c>
      <c r="AB910" s="126">
        <f t="shared" si="363"/>
        <v>0</v>
      </c>
      <c r="AC910" s="126">
        <f t="shared" si="363"/>
        <v>0</v>
      </c>
      <c r="AD910" s="126">
        <f t="shared" si="363"/>
        <v>0</v>
      </c>
      <c r="AE910" s="126">
        <f t="shared" si="363"/>
        <v>0</v>
      </c>
      <c r="AF910" s="126">
        <f t="shared" si="363"/>
        <v>0</v>
      </c>
      <c r="AG910" s="126">
        <f t="shared" si="363"/>
        <v>0</v>
      </c>
      <c r="AH910" s="126">
        <f t="shared" si="363"/>
        <v>0</v>
      </c>
    </row>
    <row r="911" spans="1:34" s="20" customFormat="1" ht="14" x14ac:dyDescent="0.2">
      <c r="A911" s="8"/>
      <c r="B911" s="8"/>
      <c r="C911" s="8"/>
      <c r="D911" s="8"/>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c r="AA911" s="126"/>
      <c r="AB911" s="126"/>
      <c r="AC911" s="126"/>
      <c r="AD911" s="126"/>
      <c r="AE911" s="126"/>
      <c r="AF911" s="126"/>
      <c r="AG911" s="126"/>
      <c r="AH911" s="126"/>
    </row>
    <row r="912" spans="1:34" s="20" customFormat="1" ht="14" x14ac:dyDescent="0.2">
      <c r="A912" s="8"/>
      <c r="B912" s="21" t="str">
        <f>"Existing equity from " &amp;'Assumptions - Passenger'!E512</f>
        <v>Existing equity from Government</v>
      </c>
      <c r="C912" s="8"/>
      <c r="D912" s="8"/>
      <c r="E912" s="16"/>
      <c r="F912" s="8"/>
      <c r="G912" s="8"/>
      <c r="H912" s="8"/>
      <c r="I912" s="8"/>
      <c r="J912" s="8"/>
      <c r="K912" s="8"/>
      <c r="L912" s="8"/>
      <c r="M912" s="8"/>
      <c r="N912" s="8"/>
      <c r="O912" s="8"/>
      <c r="P912" s="8"/>
      <c r="Q912" s="8"/>
      <c r="R912" s="8"/>
      <c r="S912" s="8"/>
      <c r="T912" s="8"/>
      <c r="U912" s="8"/>
      <c r="V912" s="8"/>
      <c r="W912" s="8"/>
      <c r="X912" s="8"/>
      <c r="Y912" s="8"/>
      <c r="Z912" s="8"/>
      <c r="AA912" s="8"/>
      <c r="AB912" s="8"/>
      <c r="AC912" s="8"/>
      <c r="AD912" s="8"/>
      <c r="AE912" s="8"/>
      <c r="AF912" s="8"/>
      <c r="AG912" s="8"/>
      <c r="AH912" s="8"/>
    </row>
    <row r="913" spans="1:34" s="20" customFormat="1" ht="14" x14ac:dyDescent="0.2">
      <c r="A913" s="8"/>
      <c r="B913" s="8" t="s">
        <v>161</v>
      </c>
      <c r="C913" s="8"/>
      <c r="D913" s="8" t="str">
        <f>'Assumptions - General'!$E$27 &amp;" millions"</f>
        <v>R$ millions</v>
      </c>
      <c r="E913" s="469"/>
      <c r="F913" s="12">
        <f t="shared" ref="F913:AH913" si="364">IF(F17=1,E915,0)</f>
        <v>4225</v>
      </c>
      <c r="G913" s="12">
        <f t="shared" si="364"/>
        <v>4225</v>
      </c>
      <c r="H913" s="12">
        <f t="shared" si="364"/>
        <v>4225</v>
      </c>
      <c r="I913" s="12">
        <f t="shared" si="364"/>
        <v>4225</v>
      </c>
      <c r="J913" s="12">
        <f t="shared" si="364"/>
        <v>4225</v>
      </c>
      <c r="K913" s="12">
        <f t="shared" si="364"/>
        <v>4225</v>
      </c>
      <c r="L913" s="12">
        <f t="shared" si="364"/>
        <v>4225</v>
      </c>
      <c r="M913" s="12">
        <f t="shared" si="364"/>
        <v>4225</v>
      </c>
      <c r="N913" s="12">
        <f t="shared" si="364"/>
        <v>4225</v>
      </c>
      <c r="O913" s="12">
        <f t="shared" si="364"/>
        <v>4225</v>
      </c>
      <c r="P913" s="12">
        <f t="shared" si="364"/>
        <v>4225</v>
      </c>
      <c r="Q913" s="12">
        <f t="shared" si="364"/>
        <v>4225</v>
      </c>
      <c r="R913" s="12">
        <f t="shared" si="364"/>
        <v>4225</v>
      </c>
      <c r="S913" s="12">
        <f t="shared" si="364"/>
        <v>4225</v>
      </c>
      <c r="T913" s="12">
        <f t="shared" si="364"/>
        <v>4225</v>
      </c>
      <c r="U913" s="12">
        <f t="shared" si="364"/>
        <v>4225</v>
      </c>
      <c r="V913" s="12">
        <f t="shared" si="364"/>
        <v>4225</v>
      </c>
      <c r="W913" s="12">
        <f t="shared" si="364"/>
        <v>4225</v>
      </c>
      <c r="X913" s="12">
        <f t="shared" si="364"/>
        <v>4225</v>
      </c>
      <c r="Y913" s="12">
        <f t="shared" si="364"/>
        <v>4225</v>
      </c>
      <c r="Z913" s="12">
        <f t="shared" si="364"/>
        <v>4225</v>
      </c>
      <c r="AA913" s="12">
        <f t="shared" si="364"/>
        <v>4225</v>
      </c>
      <c r="AB913" s="12">
        <f t="shared" si="364"/>
        <v>4225</v>
      </c>
      <c r="AC913" s="12">
        <f t="shared" si="364"/>
        <v>4225</v>
      </c>
      <c r="AD913" s="12">
        <f t="shared" si="364"/>
        <v>4225</v>
      </c>
      <c r="AE913" s="12">
        <f t="shared" si="364"/>
        <v>4225</v>
      </c>
      <c r="AF913" s="12">
        <f t="shared" si="364"/>
        <v>4225</v>
      </c>
      <c r="AG913" s="12">
        <f t="shared" si="364"/>
        <v>4225</v>
      </c>
      <c r="AH913" s="12">
        <f t="shared" si="364"/>
        <v>4225</v>
      </c>
    </row>
    <row r="914" spans="1:34" s="20" customFormat="1" ht="14" x14ac:dyDescent="0.2">
      <c r="A914" s="8"/>
      <c r="B914" s="8" t="s">
        <v>116</v>
      </c>
      <c r="C914" s="8"/>
      <c r="D914" s="8" t="str">
        <f>'Assumptions - General'!$E$27 &amp;" millions"</f>
        <v>R$ millions</v>
      </c>
      <c r="E914" s="469"/>
      <c r="F914" s="12">
        <f>'Assumptions - Passenger'!F514</f>
        <v>0</v>
      </c>
      <c r="G914" s="12">
        <f>'Assumptions - Passenger'!G514</f>
        <v>0</v>
      </c>
      <c r="H914" s="12">
        <f>'Assumptions - Passenger'!H514</f>
        <v>0</v>
      </c>
      <c r="I914" s="12">
        <f>'Assumptions - Passenger'!I514</f>
        <v>0</v>
      </c>
      <c r="J914" s="12">
        <f>'Assumptions - Passenger'!J514</f>
        <v>0</v>
      </c>
      <c r="K914" s="12">
        <f>'Assumptions - Passenger'!K514</f>
        <v>0</v>
      </c>
      <c r="L914" s="12">
        <f>'Assumptions - Passenger'!L514</f>
        <v>0</v>
      </c>
      <c r="M914" s="12">
        <f>'Assumptions - Passenger'!M514</f>
        <v>0</v>
      </c>
      <c r="N914" s="12">
        <f>'Assumptions - Passenger'!N514</f>
        <v>0</v>
      </c>
      <c r="O914" s="12">
        <f>'Assumptions - Passenger'!O514</f>
        <v>0</v>
      </c>
      <c r="P914" s="12">
        <f>'Assumptions - Passenger'!P514</f>
        <v>0</v>
      </c>
      <c r="Q914" s="12">
        <f>'Assumptions - Passenger'!Q514</f>
        <v>0</v>
      </c>
      <c r="R914" s="12">
        <f>'Assumptions - Passenger'!R514</f>
        <v>0</v>
      </c>
      <c r="S914" s="12">
        <f>'Assumptions - Passenger'!S514</f>
        <v>0</v>
      </c>
      <c r="T914" s="12">
        <f>'Assumptions - Passenger'!T514</f>
        <v>0</v>
      </c>
      <c r="U914" s="12">
        <f>'Assumptions - Passenger'!U514</f>
        <v>0</v>
      </c>
      <c r="V914" s="12">
        <f>'Assumptions - Passenger'!V514</f>
        <v>0</v>
      </c>
      <c r="W914" s="12">
        <f>'Assumptions - Passenger'!W514</f>
        <v>0</v>
      </c>
      <c r="X914" s="12">
        <f>'Assumptions - Passenger'!X514</f>
        <v>0</v>
      </c>
      <c r="Y914" s="12">
        <f>'Assumptions - Passenger'!Y514</f>
        <v>0</v>
      </c>
      <c r="Z914" s="12">
        <f>'Assumptions - Passenger'!Z514</f>
        <v>0</v>
      </c>
      <c r="AA914" s="12">
        <f>'Assumptions - Passenger'!AA514</f>
        <v>0</v>
      </c>
      <c r="AB914" s="12">
        <f>'Assumptions - Passenger'!AB514</f>
        <v>0</v>
      </c>
      <c r="AC914" s="12">
        <f>'Assumptions - Passenger'!AC514</f>
        <v>0</v>
      </c>
      <c r="AD914" s="12">
        <f>'Assumptions - Passenger'!AD514</f>
        <v>0</v>
      </c>
      <c r="AE914" s="12">
        <f>'Assumptions - Passenger'!AE514</f>
        <v>0</v>
      </c>
      <c r="AF914" s="12">
        <f>'Assumptions - Passenger'!AF514</f>
        <v>0</v>
      </c>
      <c r="AG914" s="12">
        <f>'Assumptions - Passenger'!AG514</f>
        <v>0</v>
      </c>
      <c r="AH914" s="12">
        <f>'Assumptions - Passenger'!AH514</f>
        <v>0</v>
      </c>
    </row>
    <row r="915" spans="1:34" s="20" customFormat="1" ht="14" x14ac:dyDescent="0.2">
      <c r="A915" s="8"/>
      <c r="B915" s="8" t="s">
        <v>160</v>
      </c>
      <c r="C915" s="8"/>
      <c r="D915" s="8" t="str">
        <f>'Assumptions - General'!$E$27 &amp;" millions"</f>
        <v>R$ millions</v>
      </c>
      <c r="E915" s="470">
        <f>IF(E17=1,'Assumptions - Passenger'!E513,0)</f>
        <v>4225</v>
      </c>
      <c r="F915" s="12">
        <f t="shared" ref="F915:AH915" si="365">IF(F17=1,F913+F914,0)</f>
        <v>4225</v>
      </c>
      <c r="G915" s="12">
        <f t="shared" si="365"/>
        <v>4225</v>
      </c>
      <c r="H915" s="12">
        <f t="shared" si="365"/>
        <v>4225</v>
      </c>
      <c r="I915" s="12">
        <f t="shared" si="365"/>
        <v>4225</v>
      </c>
      <c r="J915" s="12">
        <f t="shared" si="365"/>
        <v>4225</v>
      </c>
      <c r="K915" s="12">
        <f t="shared" si="365"/>
        <v>4225</v>
      </c>
      <c r="L915" s="12">
        <f t="shared" si="365"/>
        <v>4225</v>
      </c>
      <c r="M915" s="12">
        <f t="shared" si="365"/>
        <v>4225</v>
      </c>
      <c r="N915" s="12">
        <f t="shared" si="365"/>
        <v>4225</v>
      </c>
      <c r="O915" s="12">
        <f t="shared" si="365"/>
        <v>4225</v>
      </c>
      <c r="P915" s="12">
        <f t="shared" si="365"/>
        <v>4225</v>
      </c>
      <c r="Q915" s="12">
        <f t="shared" si="365"/>
        <v>4225</v>
      </c>
      <c r="R915" s="12">
        <f t="shared" si="365"/>
        <v>4225</v>
      </c>
      <c r="S915" s="12">
        <f t="shared" si="365"/>
        <v>4225</v>
      </c>
      <c r="T915" s="12">
        <f t="shared" si="365"/>
        <v>4225</v>
      </c>
      <c r="U915" s="12">
        <f t="shared" si="365"/>
        <v>4225</v>
      </c>
      <c r="V915" s="12">
        <f t="shared" si="365"/>
        <v>4225</v>
      </c>
      <c r="W915" s="12">
        <f t="shared" si="365"/>
        <v>4225</v>
      </c>
      <c r="X915" s="12">
        <f t="shared" si="365"/>
        <v>4225</v>
      </c>
      <c r="Y915" s="12">
        <f t="shared" si="365"/>
        <v>4225</v>
      </c>
      <c r="Z915" s="12">
        <f t="shared" si="365"/>
        <v>4225</v>
      </c>
      <c r="AA915" s="12">
        <f t="shared" si="365"/>
        <v>4225</v>
      </c>
      <c r="AB915" s="12">
        <f t="shared" si="365"/>
        <v>4225</v>
      </c>
      <c r="AC915" s="12">
        <f t="shared" si="365"/>
        <v>4225</v>
      </c>
      <c r="AD915" s="12">
        <f t="shared" si="365"/>
        <v>4225</v>
      </c>
      <c r="AE915" s="12">
        <f t="shared" si="365"/>
        <v>4225</v>
      </c>
      <c r="AF915" s="12">
        <f t="shared" si="365"/>
        <v>4225</v>
      </c>
      <c r="AG915" s="12">
        <f t="shared" si="365"/>
        <v>4225</v>
      </c>
      <c r="AH915" s="12">
        <f t="shared" si="365"/>
        <v>4225</v>
      </c>
    </row>
    <row r="916" spans="1:34" s="20" customFormat="1" ht="14" x14ac:dyDescent="0.2">
      <c r="A916" s="8"/>
      <c r="B916" s="8" t="s">
        <v>612</v>
      </c>
      <c r="C916" s="8"/>
      <c r="D916" s="8" t="str">
        <f>'Assumptions - General'!$E$27 &amp;" millions"</f>
        <v>R$ millions</v>
      </c>
      <c r="E916" s="459"/>
      <c r="F916" s="12">
        <f t="shared" ref="F916:AH916" si="366">IF(F17=1,E918,0)</f>
        <v>15</v>
      </c>
      <c r="G916" s="12">
        <f t="shared" si="366"/>
        <v>28.825286041189933</v>
      </c>
      <c r="H916" s="12">
        <f t="shared" si="366"/>
        <v>42.032902183338095</v>
      </c>
      <c r="I916" s="12">
        <f t="shared" si="366"/>
        <v>55.361996236982989</v>
      </c>
      <c r="J916" s="12">
        <f t="shared" si="366"/>
        <v>68.814992097059147</v>
      </c>
      <c r="K916" s="12">
        <f t="shared" si="366"/>
        <v>82.394386375349129</v>
      </c>
      <c r="L916" s="12">
        <f t="shared" si="366"/>
        <v>96.102750581988971</v>
      </c>
      <c r="M916" s="12">
        <f t="shared" si="366"/>
        <v>109.9427333724188</v>
      </c>
      <c r="N916" s="12">
        <f t="shared" si="366"/>
        <v>123.91706286174195</v>
      </c>
      <c r="O916" s="12">
        <f t="shared" si="366"/>
        <v>138.01888717276606</v>
      </c>
      <c r="P916" s="12">
        <f t="shared" si="366"/>
        <v>152.2704242343018</v>
      </c>
      <c r="Q916" s="12">
        <f t="shared" si="366"/>
        <v>166.65533145988411</v>
      </c>
      <c r="R916" s="12">
        <f t="shared" si="366"/>
        <v>181.17667936709648</v>
      </c>
      <c r="S916" s="12">
        <f t="shared" si="366"/>
        <v>195.83763058904992</v>
      </c>
      <c r="T916" s="12">
        <f t="shared" si="366"/>
        <v>210.64144263784874</v>
      </c>
      <c r="U916" s="12">
        <f t="shared" si="366"/>
        <v>225.59147075096038</v>
      </c>
      <c r="V916" s="12">
        <f t="shared" si="366"/>
        <v>240.69117082297635</v>
      </c>
      <c r="W916" s="12">
        <f t="shared" si="366"/>
        <v>255.94410242532581</v>
      </c>
      <c r="X916" s="12">
        <f t="shared" si="366"/>
        <v>271.3539319165809</v>
      </c>
      <c r="Y916" s="12">
        <f t="shared" si="366"/>
        <v>287.05970134655399</v>
      </c>
      <c r="Z916" s="12">
        <f t="shared" si="366"/>
        <v>303.641790894797</v>
      </c>
      <c r="AA916" s="12">
        <f t="shared" si="366"/>
        <v>320.39356634552183</v>
      </c>
      <c r="AB916" s="12">
        <f t="shared" si="366"/>
        <v>337.31991456365864</v>
      </c>
      <c r="AC916" s="12">
        <f t="shared" si="366"/>
        <v>354.42588222961001</v>
      </c>
      <c r="AD916" s="12">
        <f t="shared" si="366"/>
        <v>371.82039058250956</v>
      </c>
      <c r="AE916" s="12">
        <f t="shared" si="366"/>
        <v>389.41027895652496</v>
      </c>
      <c r="AF916" s="12">
        <f t="shared" si="366"/>
        <v>407.20143007671339</v>
      </c>
      <c r="AG916" s="12">
        <f t="shared" si="366"/>
        <v>425.19991417629205</v>
      </c>
      <c r="AH916" s="12">
        <f t="shared" si="366"/>
        <v>443.41199339954125</v>
      </c>
    </row>
    <row r="917" spans="1:34" s="20" customFormat="1" ht="14" x14ac:dyDescent="0.2">
      <c r="A917" s="8"/>
      <c r="B917" s="8" t="s">
        <v>613</v>
      </c>
      <c r="C917" s="8"/>
      <c r="D917" s="8" t="str">
        <f>'Assumptions - General'!$E$27 &amp;" millions"</f>
        <v>R$ millions</v>
      </c>
      <c r="E917" s="469"/>
      <c r="F917" s="12">
        <f t="shared" ref="F917:AH917" si="367">IF(F17=1,F673-F674,0)</f>
        <v>13.825286041189932</v>
      </c>
      <c r="G917" s="12">
        <f t="shared" si="367"/>
        <v>13.207616142148165</v>
      </c>
      <c r="H917" s="12">
        <f t="shared" si="367"/>
        <v>13.329094053644896</v>
      </c>
      <c r="I917" s="12">
        <f t="shared" si="367"/>
        <v>13.452995860076154</v>
      </c>
      <c r="J917" s="12">
        <f t="shared" si="367"/>
        <v>13.579394278289978</v>
      </c>
      <c r="K917" s="12">
        <f t="shared" si="367"/>
        <v>13.708364206639844</v>
      </c>
      <c r="L917" s="12">
        <f t="shared" si="367"/>
        <v>13.839982790429833</v>
      </c>
      <c r="M917" s="12">
        <f t="shared" si="367"/>
        <v>13.974329489323146</v>
      </c>
      <c r="N917" s="12">
        <f t="shared" si="367"/>
        <v>14.101824311024096</v>
      </c>
      <c r="O917" s="12">
        <f t="shared" si="367"/>
        <v>14.251537061535743</v>
      </c>
      <c r="P917" s="12">
        <f t="shared" si="367"/>
        <v>14.384907225582317</v>
      </c>
      <c r="Q917" s="12">
        <f t="shared" si="367"/>
        <v>14.52134790721238</v>
      </c>
      <c r="R917" s="12">
        <f t="shared" si="367"/>
        <v>14.660951221953439</v>
      </c>
      <c r="S917" s="12">
        <f t="shared" si="367"/>
        <v>14.803812048798815</v>
      </c>
      <c r="T917" s="12">
        <f t="shared" si="367"/>
        <v>14.950028113111646</v>
      </c>
      <c r="U917" s="12">
        <f t="shared" si="367"/>
        <v>15.099700072015951</v>
      </c>
      <c r="V917" s="12">
        <f t="shared" si="367"/>
        <v>15.252931602349474</v>
      </c>
      <c r="W917" s="12">
        <f t="shared" si="367"/>
        <v>15.409829491255094</v>
      </c>
      <c r="X917" s="12">
        <f t="shared" si="367"/>
        <v>15.705769429973067</v>
      </c>
      <c r="Y917" s="12">
        <f t="shared" si="367"/>
        <v>16.582089548243005</v>
      </c>
      <c r="Z917" s="12">
        <f t="shared" si="367"/>
        <v>16.751775450724821</v>
      </c>
      <c r="AA917" s="12">
        <f t="shared" si="367"/>
        <v>16.92634821813683</v>
      </c>
      <c r="AB917" s="12">
        <f t="shared" si="367"/>
        <v>17.105967665951358</v>
      </c>
      <c r="AC917" s="12">
        <f t="shared" si="367"/>
        <v>17.394508352899564</v>
      </c>
      <c r="AD917" s="12">
        <f t="shared" si="367"/>
        <v>17.589888374015388</v>
      </c>
      <c r="AE917" s="12">
        <f t="shared" si="367"/>
        <v>17.791151120188413</v>
      </c>
      <c r="AF917" s="12">
        <f t="shared" si="367"/>
        <v>17.998484099578672</v>
      </c>
      <c r="AG917" s="12">
        <f t="shared" si="367"/>
        <v>18.212079223249205</v>
      </c>
      <c r="AH917" s="12">
        <f t="shared" si="367"/>
        <v>18.432133148080403</v>
      </c>
    </row>
    <row r="918" spans="1:34" s="20" customFormat="1" ht="14" x14ac:dyDescent="0.2">
      <c r="A918" s="8"/>
      <c r="B918" s="8" t="s">
        <v>614</v>
      </c>
      <c r="C918" s="8"/>
      <c r="D918" s="8" t="str">
        <f>'Assumptions - General'!$E$27 &amp;" millions"</f>
        <v>R$ millions</v>
      </c>
      <c r="E918" s="467">
        <f>IF(E17=1,'Assumptions - Passenger'!E213,0)</f>
        <v>15</v>
      </c>
      <c r="F918" s="12">
        <f>IF(F17=1,F916+F917,0)</f>
        <v>28.825286041189933</v>
      </c>
      <c r="G918" s="12">
        <f t="shared" ref="G918:AH918" si="368">IF(G17=1,G916+G917,0)</f>
        <v>42.032902183338095</v>
      </c>
      <c r="H918" s="12">
        <f t="shared" si="368"/>
        <v>55.361996236982989</v>
      </c>
      <c r="I918" s="12">
        <f t="shared" si="368"/>
        <v>68.814992097059147</v>
      </c>
      <c r="J918" s="12">
        <f t="shared" si="368"/>
        <v>82.394386375349129</v>
      </c>
      <c r="K918" s="12">
        <f t="shared" si="368"/>
        <v>96.102750581988971</v>
      </c>
      <c r="L918" s="12">
        <f t="shared" si="368"/>
        <v>109.9427333724188</v>
      </c>
      <c r="M918" s="12">
        <f t="shared" si="368"/>
        <v>123.91706286174195</v>
      </c>
      <c r="N918" s="12">
        <f t="shared" si="368"/>
        <v>138.01888717276606</v>
      </c>
      <c r="O918" s="12">
        <f t="shared" si="368"/>
        <v>152.2704242343018</v>
      </c>
      <c r="P918" s="12">
        <f t="shared" si="368"/>
        <v>166.65533145988411</v>
      </c>
      <c r="Q918" s="12">
        <f t="shared" si="368"/>
        <v>181.17667936709648</v>
      </c>
      <c r="R918" s="12">
        <f t="shared" si="368"/>
        <v>195.83763058904992</v>
      </c>
      <c r="S918" s="12">
        <f t="shared" si="368"/>
        <v>210.64144263784874</v>
      </c>
      <c r="T918" s="12">
        <f t="shared" si="368"/>
        <v>225.59147075096038</v>
      </c>
      <c r="U918" s="12">
        <f t="shared" si="368"/>
        <v>240.69117082297635</v>
      </c>
      <c r="V918" s="12">
        <f t="shared" si="368"/>
        <v>255.94410242532581</v>
      </c>
      <c r="W918" s="12">
        <f t="shared" si="368"/>
        <v>271.3539319165809</v>
      </c>
      <c r="X918" s="12">
        <f t="shared" si="368"/>
        <v>287.05970134655399</v>
      </c>
      <c r="Y918" s="12">
        <f t="shared" si="368"/>
        <v>303.641790894797</v>
      </c>
      <c r="Z918" s="12">
        <f t="shared" si="368"/>
        <v>320.39356634552183</v>
      </c>
      <c r="AA918" s="12">
        <f t="shared" si="368"/>
        <v>337.31991456365864</v>
      </c>
      <c r="AB918" s="12">
        <f t="shared" si="368"/>
        <v>354.42588222961001</v>
      </c>
      <c r="AC918" s="12">
        <f t="shared" si="368"/>
        <v>371.82039058250956</v>
      </c>
      <c r="AD918" s="12">
        <f t="shared" si="368"/>
        <v>389.41027895652496</v>
      </c>
      <c r="AE918" s="12">
        <f t="shared" si="368"/>
        <v>407.20143007671339</v>
      </c>
      <c r="AF918" s="12">
        <f t="shared" si="368"/>
        <v>425.19991417629205</v>
      </c>
      <c r="AG918" s="12">
        <f t="shared" si="368"/>
        <v>443.41199339954125</v>
      </c>
      <c r="AH918" s="12">
        <f t="shared" si="368"/>
        <v>461.84412654762167</v>
      </c>
    </row>
    <row r="919" spans="1:34" s="20" customFormat="1" ht="14" x14ac:dyDescent="0.2">
      <c r="A919" s="8"/>
      <c r="B919" s="8" t="s">
        <v>158</v>
      </c>
      <c r="C919" s="8"/>
      <c r="D919" s="8" t="str">
        <f>'Assumptions - General'!$E$27 &amp;" millions"</f>
        <v>R$ millions</v>
      </c>
      <c r="E919" s="459"/>
      <c r="F919" s="12">
        <f t="shared" ref="F919:AH919" si="369">IF(F17=1,E921,0)</f>
        <v>400</v>
      </c>
      <c r="G919" s="12">
        <f t="shared" si="369"/>
        <v>5707.9675251004192</v>
      </c>
      <c r="H919" s="12">
        <f t="shared" si="369"/>
        <v>11078.335820685519</v>
      </c>
      <c r="I919" s="12">
        <f t="shared" si="369"/>
        <v>17190.719893684614</v>
      </c>
      <c r="J919" s="12">
        <f t="shared" si="369"/>
        <v>24484.207891470905</v>
      </c>
      <c r="K919" s="12">
        <f t="shared" si="369"/>
        <v>32379.662994754479</v>
      </c>
      <c r="L919" s="12">
        <f t="shared" si="369"/>
        <v>41066.966146537743</v>
      </c>
      <c r="M919" s="12">
        <f t="shared" si="369"/>
        <v>50619.592143028902</v>
      </c>
      <c r="N919" s="12">
        <f t="shared" si="369"/>
        <v>61077.35244472888</v>
      </c>
      <c r="O919" s="12">
        <f t="shared" si="369"/>
        <v>72497.753237268451</v>
      </c>
      <c r="P919" s="12">
        <f t="shared" si="369"/>
        <v>84715.201404130246</v>
      </c>
      <c r="Q919" s="12">
        <f t="shared" si="369"/>
        <v>97918.237625145426</v>
      </c>
      <c r="R919" s="12">
        <f t="shared" si="369"/>
        <v>112190.93570222204</v>
      </c>
      <c r="S919" s="12">
        <f t="shared" si="369"/>
        <v>127593.88616973672</v>
      </c>
      <c r="T919" s="12">
        <f t="shared" si="369"/>
        <v>144190.51174966019</v>
      </c>
      <c r="U919" s="12">
        <f t="shared" si="369"/>
        <v>162047.18623815893</v>
      </c>
      <c r="V919" s="12">
        <f t="shared" si="369"/>
        <v>181258.79555120971</v>
      </c>
      <c r="W919" s="12">
        <f t="shared" si="369"/>
        <v>201840.61303761337</v>
      </c>
      <c r="X919" s="12">
        <f t="shared" si="369"/>
        <v>223900.01219009885</v>
      </c>
      <c r="Y919" s="12">
        <f t="shared" si="369"/>
        <v>247518.88962977531</v>
      </c>
      <c r="Z919" s="12">
        <f t="shared" si="369"/>
        <v>272790.6869718532</v>
      </c>
      <c r="AA919" s="12">
        <f t="shared" si="369"/>
        <v>299791.58366176795</v>
      </c>
      <c r="AB919" s="12">
        <f t="shared" si="369"/>
        <v>328609.75414074241</v>
      </c>
      <c r="AC919" s="12">
        <f t="shared" si="369"/>
        <v>359340.00650973042</v>
      </c>
      <c r="AD919" s="12">
        <f t="shared" si="369"/>
        <v>392083.20583042718</v>
      </c>
      <c r="AE919" s="12">
        <f t="shared" si="369"/>
        <v>426941.0151122419</v>
      </c>
      <c r="AF919" s="12">
        <f t="shared" si="369"/>
        <v>464046.95702324988</v>
      </c>
      <c r="AG919" s="12">
        <f t="shared" si="369"/>
        <v>503463.39265600196</v>
      </c>
      <c r="AH919" s="12">
        <f t="shared" si="369"/>
        <v>545333.27126159926</v>
      </c>
    </row>
    <row r="920" spans="1:34" s="20" customFormat="1" ht="14" x14ac:dyDescent="0.2">
      <c r="A920" s="8"/>
      <c r="B920" s="8" t="s">
        <v>157</v>
      </c>
      <c r="C920" s="8"/>
      <c r="D920" s="8" t="str">
        <f>'Assumptions - General'!$E$27 &amp;" millions"</f>
        <v>R$ millions</v>
      </c>
      <c r="E920" s="467">
        <f>'Cash flow statement'!E135</f>
        <v>0</v>
      </c>
      <c r="F920" s="12">
        <f>IF(F17=1,'Income statement'!F127-'Cash flow statement'!F131,0)</f>
        <v>5307.9675251004192</v>
      </c>
      <c r="G920" s="12">
        <f>IF(G17=1,'Income statement'!G127-'Cash flow statement'!G131,0)</f>
        <v>5370.3682955851</v>
      </c>
      <c r="H920" s="12">
        <f>IF(H17=1,'Income statement'!H127-'Cash flow statement'!H131,0)</f>
        <v>6112.3840729990943</v>
      </c>
      <c r="I920" s="12">
        <f>IF(I17=1,'Income statement'!I127-'Cash flow statement'!I131,0)</f>
        <v>7293.4879977862929</v>
      </c>
      <c r="J920" s="12">
        <f>IF(J17=1,'Income statement'!J127-'Cash flow statement'!J131,0)</f>
        <v>7895.4551032835734</v>
      </c>
      <c r="K920" s="12">
        <f>IF(K17=1,'Income statement'!K127-'Cash flow statement'!K131,0)</f>
        <v>8687.3031517832642</v>
      </c>
      <c r="L920" s="12">
        <f>IF(L17=1,'Income statement'!L127-'Cash flow statement'!L131,0)</f>
        <v>9552.6259964911569</v>
      </c>
      <c r="M920" s="12">
        <f>IF(M17=1,'Income statement'!M127-'Cash flow statement'!M131,0)</f>
        <v>10457.76030169998</v>
      </c>
      <c r="N920" s="12">
        <f>IF(N17=1,'Income statement'!N127-'Cash flow statement'!N131,0)</f>
        <v>11420.400792539564</v>
      </c>
      <c r="O920" s="12">
        <f>IF(O17=1,'Income statement'!O127-'Cash flow statement'!O131,0)</f>
        <v>12217.448166861799</v>
      </c>
      <c r="P920" s="12">
        <f>IF(P17=1,'Income statement'!P127-'Cash flow statement'!P131,0)</f>
        <v>13203.036221015183</v>
      </c>
      <c r="Q920" s="12">
        <f>IF(Q17=1,'Income statement'!Q127-'Cash flow statement'!Q131,0)</f>
        <v>14272.698077076611</v>
      </c>
      <c r="R920" s="12">
        <f>IF(R17=1,'Income statement'!R127-'Cash flow statement'!R131,0)</f>
        <v>15402.950467514689</v>
      </c>
      <c r="S920" s="12">
        <f>IF(S17=1,'Income statement'!S127-'Cash flow statement'!S131,0)</f>
        <v>16596.625579923471</v>
      </c>
      <c r="T920" s="12">
        <f>IF(T17=1,'Income statement'!T127-'Cash flow statement'!T131,0)</f>
        <v>17856.674488498753</v>
      </c>
      <c r="U920" s="12">
        <f>IF(U17=1,'Income statement'!U127-'Cash flow statement'!U131,0)</f>
        <v>19211.609313050765</v>
      </c>
      <c r="V920" s="12">
        <f>IF(V17=1,'Income statement'!V127-'Cash flow statement'!V131,0)</f>
        <v>20581.817486403659</v>
      </c>
      <c r="W920" s="12">
        <f>IF(W17=1,'Income statement'!W127-'Cash flow statement'!W131,0)</f>
        <v>22059.39915248549</v>
      </c>
      <c r="X920" s="12">
        <f>IF(X17=1,'Income statement'!X127-'Cash flow statement'!X131,0)</f>
        <v>23618.87743967646</v>
      </c>
      <c r="Y920" s="12">
        <f>IF(Y17=1,'Income statement'!Y127-'Cash flow statement'!Y131,0)</f>
        <v>25271.797342077902</v>
      </c>
      <c r="Z920" s="12">
        <f>IF(Z17=1,'Income statement'!Z127-'Cash flow statement'!Z131,0)</f>
        <v>27000.896689914745</v>
      </c>
      <c r="AA920" s="12">
        <f>IF(AA17=1,'Income statement'!AA127-'Cash flow statement'!AA131,0)</f>
        <v>28818.170478974458</v>
      </c>
      <c r="AB920" s="12">
        <f>IF(AB17=1,'Income statement'!AB127-'Cash flow statement'!AB131,0)</f>
        <v>30730.252368987989</v>
      </c>
      <c r="AC920" s="12">
        <f>IF(AC17=1,'Income statement'!AC127-'Cash flow statement'!AC131,0)</f>
        <v>32743.199320696785</v>
      </c>
      <c r="AD920" s="12">
        <f>IF(AD17=1,'Income statement'!AD127-'Cash flow statement'!AD131,0)</f>
        <v>34857.809281814742</v>
      </c>
      <c r="AE920" s="12">
        <f>IF(AE17=1,'Income statement'!AE127-'Cash flow statement'!AE131,0)</f>
        <v>37105.941911007976</v>
      </c>
      <c r="AF920" s="12">
        <f>IF(AF17=1,'Income statement'!AF127-'Cash flow statement'!AF131,0)</f>
        <v>39416.43563275208</v>
      </c>
      <c r="AG920" s="12">
        <f>IF(AG17=1,'Income statement'!AG127-'Cash flow statement'!AG131,0)</f>
        <v>41869.878605597289</v>
      </c>
      <c r="AH920" s="12">
        <f>IF(AH17=1,'Income statement'!AH127-'Cash flow statement'!AH131,0)</f>
        <v>44446.373844217378</v>
      </c>
    </row>
    <row r="921" spans="1:34" s="20" customFormat="1" ht="14" x14ac:dyDescent="0.2">
      <c r="B921" s="20" t="s">
        <v>159</v>
      </c>
      <c r="D921" s="20" t="str">
        <f>'Assumptions - General'!$E$27 &amp;" millions"</f>
        <v>R$ millions</v>
      </c>
      <c r="E921" s="467">
        <f>IF(E17=1,'Assumptions - Passenger'!E515,0)</f>
        <v>400</v>
      </c>
      <c r="F921" s="53">
        <f>IF(F17=1,F920+F919,0)</f>
        <v>5707.9675251004192</v>
      </c>
      <c r="G921" s="53">
        <f t="shared" ref="G921:AH921" si="370">IF(G17=1,G920+G919,0)</f>
        <v>11078.335820685519</v>
      </c>
      <c r="H921" s="53">
        <f t="shared" si="370"/>
        <v>17190.719893684614</v>
      </c>
      <c r="I921" s="53">
        <f t="shared" si="370"/>
        <v>24484.207891470905</v>
      </c>
      <c r="J921" s="53">
        <f t="shared" si="370"/>
        <v>32379.662994754479</v>
      </c>
      <c r="K921" s="53">
        <f t="shared" si="370"/>
        <v>41066.966146537743</v>
      </c>
      <c r="L921" s="53">
        <f t="shared" si="370"/>
        <v>50619.592143028902</v>
      </c>
      <c r="M921" s="53">
        <f t="shared" si="370"/>
        <v>61077.35244472888</v>
      </c>
      <c r="N921" s="53">
        <f t="shared" si="370"/>
        <v>72497.753237268451</v>
      </c>
      <c r="O921" s="53">
        <f t="shared" si="370"/>
        <v>84715.201404130246</v>
      </c>
      <c r="P921" s="53">
        <f t="shared" si="370"/>
        <v>97918.237625145426</v>
      </c>
      <c r="Q921" s="53">
        <f t="shared" si="370"/>
        <v>112190.93570222204</v>
      </c>
      <c r="R921" s="53">
        <f t="shared" si="370"/>
        <v>127593.88616973672</v>
      </c>
      <c r="S921" s="53">
        <f t="shared" si="370"/>
        <v>144190.51174966019</v>
      </c>
      <c r="T921" s="53">
        <f t="shared" si="370"/>
        <v>162047.18623815893</v>
      </c>
      <c r="U921" s="53">
        <f t="shared" si="370"/>
        <v>181258.79555120971</v>
      </c>
      <c r="V921" s="53">
        <f t="shared" si="370"/>
        <v>201840.61303761337</v>
      </c>
      <c r="W921" s="53">
        <f t="shared" si="370"/>
        <v>223900.01219009885</v>
      </c>
      <c r="X921" s="53">
        <f t="shared" si="370"/>
        <v>247518.88962977531</v>
      </c>
      <c r="Y921" s="53">
        <f t="shared" si="370"/>
        <v>272790.6869718532</v>
      </c>
      <c r="Z921" s="53">
        <f t="shared" si="370"/>
        <v>299791.58366176795</v>
      </c>
      <c r="AA921" s="53">
        <f t="shared" si="370"/>
        <v>328609.75414074241</v>
      </c>
      <c r="AB921" s="53">
        <f t="shared" si="370"/>
        <v>359340.00650973042</v>
      </c>
      <c r="AC921" s="53">
        <f t="shared" si="370"/>
        <v>392083.20583042718</v>
      </c>
      <c r="AD921" s="53">
        <f t="shared" si="370"/>
        <v>426941.0151122419</v>
      </c>
      <c r="AE921" s="53">
        <f t="shared" si="370"/>
        <v>464046.95702324988</v>
      </c>
      <c r="AF921" s="53">
        <f t="shared" si="370"/>
        <v>503463.39265600196</v>
      </c>
      <c r="AG921" s="53">
        <f t="shared" si="370"/>
        <v>545333.27126159926</v>
      </c>
      <c r="AH921" s="53">
        <f t="shared" si="370"/>
        <v>589779.64510581666</v>
      </c>
    </row>
    <row r="922" spans="1:34" s="20" customFormat="1" ht="14" x14ac:dyDescent="0.2">
      <c r="B922" s="20" t="s">
        <v>697</v>
      </c>
      <c r="D922" s="20" t="str">
        <f>'Assumptions - General'!$E$27 &amp;" millions"</f>
        <v>R$ millions</v>
      </c>
      <c r="F922" s="38">
        <f>IF(F17=1,E924,0)</f>
        <v>0</v>
      </c>
      <c r="G922" s="38">
        <f t="shared" ref="G922:AH922" si="371">IF(G17=1,F924,0)</f>
        <v>0</v>
      </c>
      <c r="H922" s="38">
        <f t="shared" si="371"/>
        <v>0</v>
      </c>
      <c r="I922" s="38">
        <f t="shared" si="371"/>
        <v>0</v>
      </c>
      <c r="J922" s="38">
        <f t="shared" si="371"/>
        <v>0</v>
      </c>
      <c r="K922" s="38">
        <f t="shared" si="371"/>
        <v>0</v>
      </c>
      <c r="L922" s="38">
        <f t="shared" si="371"/>
        <v>0</v>
      </c>
      <c r="M922" s="38">
        <f t="shared" si="371"/>
        <v>0</v>
      </c>
      <c r="N922" s="38">
        <f t="shared" si="371"/>
        <v>0</v>
      </c>
      <c r="O922" s="38">
        <f t="shared" si="371"/>
        <v>0</v>
      </c>
      <c r="P922" s="38">
        <f t="shared" si="371"/>
        <v>0</v>
      </c>
      <c r="Q922" s="38">
        <f t="shared" si="371"/>
        <v>0</v>
      </c>
      <c r="R922" s="38">
        <f t="shared" si="371"/>
        <v>0</v>
      </c>
      <c r="S922" s="38">
        <f t="shared" si="371"/>
        <v>0</v>
      </c>
      <c r="T922" s="38">
        <f t="shared" si="371"/>
        <v>0</v>
      </c>
      <c r="U922" s="38">
        <f t="shared" si="371"/>
        <v>0</v>
      </c>
      <c r="V922" s="38">
        <f t="shared" si="371"/>
        <v>0</v>
      </c>
      <c r="W922" s="38">
        <f t="shared" si="371"/>
        <v>0</v>
      </c>
      <c r="X922" s="38">
        <f t="shared" si="371"/>
        <v>0</v>
      </c>
      <c r="Y922" s="38">
        <f t="shared" si="371"/>
        <v>0</v>
      </c>
      <c r="Z922" s="38">
        <f t="shared" si="371"/>
        <v>0</v>
      </c>
      <c r="AA922" s="38">
        <f t="shared" si="371"/>
        <v>0</v>
      </c>
      <c r="AB922" s="38">
        <f t="shared" si="371"/>
        <v>0</v>
      </c>
      <c r="AC922" s="38">
        <f t="shared" si="371"/>
        <v>0</v>
      </c>
      <c r="AD922" s="38">
        <f t="shared" si="371"/>
        <v>0</v>
      </c>
      <c r="AE922" s="38">
        <f t="shared" si="371"/>
        <v>0</v>
      </c>
      <c r="AF922" s="38">
        <f t="shared" si="371"/>
        <v>0</v>
      </c>
      <c r="AG922" s="38">
        <f t="shared" si="371"/>
        <v>0</v>
      </c>
      <c r="AH922" s="38">
        <f t="shared" si="371"/>
        <v>0</v>
      </c>
    </row>
    <row r="923" spans="1:34" s="20" customFormat="1" ht="14" x14ac:dyDescent="0.2">
      <c r="B923" s="20" t="s">
        <v>691</v>
      </c>
      <c r="D923" s="20" t="str">
        <f>'Assumptions - General'!$E$27 &amp;" millions"</f>
        <v>R$ millions</v>
      </c>
      <c r="E923" s="38"/>
      <c r="F923" s="38">
        <f>IF(F17=1,IF(F753/E753=1,0,F756/(F753/E753)-F756)+IF(F769/E769=1,0,F772/(F769/E769)-F772)+IF(F785/E785=1,0,F788/(F785/E785)-F788)+IF(F811/E811=1,0,F815/(F811/E811)-F815)+IF(F841/E841=1,0,F845/(F841/E841)-F845)+IF(F871/E871=1,0,F875/(F871/E871)-F875)+IF(F901/E901=1,0,F905/(F901/E901)-F905),0)</f>
        <v>0</v>
      </c>
      <c r="G923" s="38">
        <f t="shared" ref="G923:AH923" si="372">IF(G17=1,IF(G753/F753=1,0,G756/(G753/F753)-G756)+IF(G769/F769=1,0,G772/(G769/F769)-G772)+IF(G785/F785=1,0,G788/(G785/F785)-G788)+IF(G811/F811=1,0,G815/(G811/F811)-G815)+IF(G841/F841=1,0,G845/(G841/F841)-G845)+IF(G871/F871=1,0,G875/(G871/F871)-G875)+IF(G901/F901=1,0,G905/(G901/F901)-G905),0)</f>
        <v>0</v>
      </c>
      <c r="H923" s="38">
        <f t="shared" si="372"/>
        <v>0</v>
      </c>
      <c r="I923" s="38">
        <f t="shared" si="372"/>
        <v>0</v>
      </c>
      <c r="J923" s="38">
        <f t="shared" si="372"/>
        <v>0</v>
      </c>
      <c r="K923" s="38">
        <f t="shared" si="372"/>
        <v>0</v>
      </c>
      <c r="L923" s="38">
        <f t="shared" si="372"/>
        <v>0</v>
      </c>
      <c r="M923" s="38">
        <f t="shared" si="372"/>
        <v>0</v>
      </c>
      <c r="N923" s="38">
        <f t="shared" si="372"/>
        <v>0</v>
      </c>
      <c r="O923" s="38">
        <f t="shared" si="372"/>
        <v>0</v>
      </c>
      <c r="P923" s="38">
        <f t="shared" si="372"/>
        <v>0</v>
      </c>
      <c r="Q923" s="38">
        <f t="shared" si="372"/>
        <v>0</v>
      </c>
      <c r="R923" s="38">
        <f t="shared" si="372"/>
        <v>0</v>
      </c>
      <c r="S923" s="38">
        <f t="shared" si="372"/>
        <v>0</v>
      </c>
      <c r="T923" s="38">
        <f t="shared" si="372"/>
        <v>0</v>
      </c>
      <c r="U923" s="38">
        <f t="shared" si="372"/>
        <v>0</v>
      </c>
      <c r="V923" s="38">
        <f t="shared" si="372"/>
        <v>0</v>
      </c>
      <c r="W923" s="38">
        <f t="shared" si="372"/>
        <v>0</v>
      </c>
      <c r="X923" s="38">
        <f t="shared" si="372"/>
        <v>0</v>
      </c>
      <c r="Y923" s="38">
        <f t="shared" si="372"/>
        <v>0</v>
      </c>
      <c r="Z923" s="38">
        <f t="shared" si="372"/>
        <v>0</v>
      </c>
      <c r="AA923" s="38">
        <f t="shared" si="372"/>
        <v>0</v>
      </c>
      <c r="AB923" s="38">
        <f t="shared" si="372"/>
        <v>0</v>
      </c>
      <c r="AC923" s="38">
        <f t="shared" si="372"/>
        <v>0</v>
      </c>
      <c r="AD923" s="38">
        <f t="shared" si="372"/>
        <v>0</v>
      </c>
      <c r="AE923" s="38">
        <f t="shared" si="372"/>
        <v>0</v>
      </c>
      <c r="AF923" s="38">
        <f t="shared" si="372"/>
        <v>0</v>
      </c>
      <c r="AG923" s="38">
        <f t="shared" si="372"/>
        <v>0</v>
      </c>
      <c r="AH923" s="38">
        <f t="shared" si="372"/>
        <v>0</v>
      </c>
    </row>
    <row r="924" spans="1:34" s="20" customFormat="1" ht="14" x14ac:dyDescent="0.2">
      <c r="B924" s="20" t="s">
        <v>698</v>
      </c>
      <c r="D924" s="20" t="str">
        <f>'Assumptions - General'!$E$27 &amp;" millions"</f>
        <v>R$ millions</v>
      </c>
      <c r="E924" s="20">
        <v>0</v>
      </c>
      <c r="F924" s="53">
        <f>IF(F17=1,F922+F923,0)</f>
        <v>0</v>
      </c>
      <c r="G924" s="53">
        <f t="shared" ref="G924:AH924" si="373">IF(G17=1,G922+G923,0)</f>
        <v>0</v>
      </c>
      <c r="H924" s="53">
        <f t="shared" si="373"/>
        <v>0</v>
      </c>
      <c r="I924" s="53">
        <f t="shared" si="373"/>
        <v>0</v>
      </c>
      <c r="J924" s="53">
        <f t="shared" si="373"/>
        <v>0</v>
      </c>
      <c r="K924" s="53">
        <f t="shared" si="373"/>
        <v>0</v>
      </c>
      <c r="L924" s="53">
        <f t="shared" si="373"/>
        <v>0</v>
      </c>
      <c r="M924" s="53">
        <f t="shared" si="373"/>
        <v>0</v>
      </c>
      <c r="N924" s="53">
        <f t="shared" si="373"/>
        <v>0</v>
      </c>
      <c r="O924" s="53">
        <f t="shared" si="373"/>
        <v>0</v>
      </c>
      <c r="P924" s="53">
        <f t="shared" si="373"/>
        <v>0</v>
      </c>
      <c r="Q924" s="53">
        <f t="shared" si="373"/>
        <v>0</v>
      </c>
      <c r="R924" s="53">
        <f t="shared" si="373"/>
        <v>0</v>
      </c>
      <c r="S924" s="53">
        <f t="shared" si="373"/>
        <v>0</v>
      </c>
      <c r="T924" s="53">
        <f t="shared" si="373"/>
        <v>0</v>
      </c>
      <c r="U924" s="53">
        <f t="shared" si="373"/>
        <v>0</v>
      </c>
      <c r="V924" s="53">
        <f t="shared" si="373"/>
        <v>0</v>
      </c>
      <c r="W924" s="53">
        <f t="shared" si="373"/>
        <v>0</v>
      </c>
      <c r="X924" s="53">
        <f t="shared" si="373"/>
        <v>0</v>
      </c>
      <c r="Y924" s="53">
        <f t="shared" si="373"/>
        <v>0</v>
      </c>
      <c r="Z924" s="53">
        <f t="shared" si="373"/>
        <v>0</v>
      </c>
      <c r="AA924" s="53">
        <f t="shared" si="373"/>
        <v>0</v>
      </c>
      <c r="AB924" s="53">
        <f t="shared" si="373"/>
        <v>0</v>
      </c>
      <c r="AC924" s="53">
        <f t="shared" si="373"/>
        <v>0</v>
      </c>
      <c r="AD924" s="53">
        <f t="shared" si="373"/>
        <v>0</v>
      </c>
      <c r="AE924" s="53">
        <f t="shared" si="373"/>
        <v>0</v>
      </c>
      <c r="AF924" s="53">
        <f t="shared" si="373"/>
        <v>0</v>
      </c>
      <c r="AG924" s="53">
        <f t="shared" si="373"/>
        <v>0</v>
      </c>
      <c r="AH924" s="53">
        <f t="shared" si="373"/>
        <v>0</v>
      </c>
    </row>
    <row r="925" spans="1:34" collapsed="1" x14ac:dyDescent="0.2">
      <c r="A925" s="18"/>
      <c r="D925" s="8"/>
    </row>
    <row r="926" spans="1:34" x14ac:dyDescent="0.2">
      <c r="A926" s="316"/>
      <c r="B926" s="315" t="str">
        <f>"Fixed assets for " &amp;'Assumptions - General'!$E$26</f>
        <v>Fixed assets for Ruritania Railway Infrastructure Company</v>
      </c>
      <c r="C926" s="316"/>
      <c r="D926" s="316"/>
      <c r="E926" s="316"/>
      <c r="F926" s="316"/>
      <c r="G926" s="316"/>
      <c r="H926" s="316"/>
      <c r="I926" s="316"/>
      <c r="J926" s="316"/>
      <c r="K926" s="316"/>
      <c r="L926" s="316"/>
      <c r="M926" s="316"/>
      <c r="N926" s="316"/>
      <c r="O926" s="316"/>
      <c r="P926" s="316"/>
      <c r="Q926" s="316"/>
      <c r="R926" s="316"/>
      <c r="S926" s="316"/>
      <c r="T926" s="316"/>
      <c r="U926" s="316"/>
      <c r="V926" s="316"/>
      <c r="W926" s="316"/>
      <c r="X926" s="316"/>
      <c r="Y926" s="316"/>
      <c r="Z926" s="316"/>
      <c r="AA926" s="316"/>
      <c r="AB926" s="316"/>
      <c r="AC926" s="316"/>
      <c r="AD926" s="316"/>
      <c r="AE926" s="316"/>
      <c r="AF926" s="316"/>
      <c r="AG926" s="316"/>
      <c r="AH926" s="316"/>
    </row>
    <row r="927" spans="1:34" s="20" customFormat="1" ht="14" x14ac:dyDescent="0.2">
      <c r="A927" s="8"/>
      <c r="B927" s="7"/>
      <c r="C927" s="8"/>
      <c r="D927" s="8"/>
      <c r="E927" s="9"/>
      <c r="F927" s="9"/>
      <c r="G927" s="9"/>
      <c r="H927" s="9"/>
      <c r="I927" s="9"/>
      <c r="J927" s="9"/>
      <c r="K927" s="9"/>
      <c r="L927" s="9"/>
      <c r="M927" s="9"/>
      <c r="N927" s="9"/>
      <c r="O927" s="9"/>
      <c r="P927" s="9"/>
      <c r="Q927" s="9"/>
      <c r="R927" s="9"/>
      <c r="S927" s="9"/>
      <c r="T927" s="9"/>
      <c r="U927" s="9"/>
      <c r="V927" s="9"/>
      <c r="W927" s="9"/>
      <c r="X927" s="9"/>
      <c r="Y927" s="9"/>
      <c r="Z927" s="9"/>
      <c r="AA927" s="9"/>
      <c r="AB927" s="9"/>
      <c r="AC927" s="9"/>
      <c r="AD927" s="9"/>
      <c r="AE927" s="9"/>
      <c r="AF927" s="9"/>
      <c r="AG927" s="9"/>
      <c r="AH927" s="9"/>
    </row>
    <row r="928" spans="1:34" outlineLevel="1" x14ac:dyDescent="0.2">
      <c r="B928" s="8" t="s">
        <v>474</v>
      </c>
      <c r="C928" s="8"/>
      <c r="D928" s="287">
        <f>IF('Scenarios - Consolidated'!$F$3=1,1,'Scenarios - Infra'!$F$3)</f>
        <v>2</v>
      </c>
      <c r="E928" s="9"/>
      <c r="F928" s="9"/>
      <c r="G928" s="9"/>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row>
    <row r="929" spans="1:34" outlineLevel="1" x14ac:dyDescent="0.2">
      <c r="B929" s="8" t="s">
        <v>478</v>
      </c>
      <c r="C929" s="8"/>
      <c r="D929" s="224">
        <f>IF(AND('Scenarios - Consolidated'!$F$3=1,'Scenarios - Consolidated'!$I$20=1),'Scenarios - Consolidated'!$I$25,'Scenarios - Infra'!$I$25)</f>
        <v>1</v>
      </c>
      <c r="E929" s="9"/>
      <c r="F929" s="9"/>
      <c r="G929" s="9"/>
      <c r="H929" s="9"/>
      <c r="I929" s="9"/>
      <c r="J929" s="9"/>
      <c r="K929" s="9"/>
      <c r="L929" s="9"/>
      <c r="M929" s="9"/>
      <c r="N929" s="9"/>
      <c r="O929" s="9"/>
      <c r="P929" s="9"/>
      <c r="Q929" s="9"/>
      <c r="R929" s="9"/>
      <c r="S929" s="9"/>
      <c r="T929" s="9"/>
      <c r="U929" s="9"/>
      <c r="V929" s="9"/>
      <c r="W929" s="9"/>
      <c r="X929" s="9"/>
      <c r="Y929" s="9"/>
      <c r="Z929" s="9"/>
      <c r="AA929" s="9"/>
      <c r="AB929" s="9"/>
      <c r="AC929" s="9"/>
      <c r="AD929" s="9"/>
      <c r="AE929" s="9"/>
      <c r="AF929" s="9"/>
      <c r="AG929" s="9"/>
      <c r="AH929" s="9"/>
    </row>
    <row r="930" spans="1:34" x14ac:dyDescent="0.2">
      <c r="B930" s="7" t="s">
        <v>473</v>
      </c>
      <c r="C930" s="8"/>
      <c r="D930" s="8"/>
      <c r="E930" s="9"/>
      <c r="F930" s="9"/>
      <c r="G930" s="9"/>
      <c r="H930" s="9"/>
      <c r="I930" s="9"/>
      <c r="J930" s="9"/>
      <c r="K930" s="9"/>
      <c r="L930" s="9"/>
      <c r="M930" s="9"/>
      <c r="N930" s="9"/>
      <c r="O930" s="9"/>
      <c r="P930" s="9"/>
      <c r="Q930" s="9"/>
      <c r="R930" s="9"/>
      <c r="S930" s="9"/>
      <c r="T930" s="9"/>
      <c r="U930" s="9"/>
      <c r="V930" s="9"/>
      <c r="W930" s="9"/>
      <c r="X930" s="9"/>
      <c r="Y930" s="9"/>
      <c r="Z930" s="9"/>
      <c r="AA930" s="9"/>
      <c r="AB930" s="9"/>
      <c r="AC930" s="9"/>
      <c r="AD930" s="9"/>
      <c r="AE930" s="9"/>
      <c r="AF930" s="9"/>
      <c r="AG930" s="9"/>
      <c r="AH930" s="9"/>
    </row>
    <row r="931" spans="1:34" x14ac:dyDescent="0.2">
      <c r="B931" s="7"/>
      <c r="C931" s="8"/>
      <c r="D931" s="8"/>
      <c r="E931" s="9"/>
      <c r="F931" s="9"/>
      <c r="G931" s="9"/>
      <c r="H931" s="9"/>
      <c r="I931" s="9"/>
      <c r="J931" s="9"/>
      <c r="K931" s="9"/>
      <c r="L931" s="9"/>
      <c r="M931" s="9"/>
      <c r="N931" s="9"/>
      <c r="O931" s="9"/>
      <c r="P931" s="9"/>
      <c r="Q931" s="9"/>
      <c r="R931" s="9"/>
      <c r="S931" s="9"/>
      <c r="T931" s="9"/>
      <c r="U931" s="9"/>
      <c r="V931" s="9"/>
      <c r="W931" s="9"/>
      <c r="X931" s="9"/>
      <c r="Y931" s="9"/>
      <c r="Z931" s="9"/>
      <c r="AA931" s="9"/>
      <c r="AB931" s="9"/>
      <c r="AC931" s="9"/>
      <c r="AD931" s="9"/>
      <c r="AE931" s="9"/>
      <c r="AF931" s="9"/>
      <c r="AG931" s="9"/>
      <c r="AH931" s="9"/>
    </row>
    <row r="932" spans="1:34" s="20" customFormat="1" ht="14" x14ac:dyDescent="0.2">
      <c r="A932" s="87">
        <f>'Assumptions - Infrastructure'!E64</f>
        <v>1</v>
      </c>
      <c r="B932" s="21" t="str">
        <f>'Assumptions - Infrastructure'!E30</f>
        <v>Land</v>
      </c>
      <c r="C932" s="8"/>
      <c r="D932" s="8"/>
      <c r="E932" s="8"/>
      <c r="F932" s="8"/>
      <c r="G932" s="8"/>
      <c r="H932" s="8"/>
      <c r="I932" s="8"/>
      <c r="J932" s="8"/>
      <c r="K932" s="8"/>
      <c r="L932" s="8"/>
      <c r="M932" s="8"/>
      <c r="N932" s="8"/>
      <c r="O932" s="8"/>
      <c r="P932" s="8"/>
      <c r="Q932" s="8"/>
      <c r="R932" s="8"/>
      <c r="S932" s="8"/>
      <c r="T932" s="8"/>
      <c r="U932" s="8"/>
      <c r="V932" s="8"/>
      <c r="W932" s="8"/>
      <c r="X932" s="8"/>
      <c r="Y932" s="8"/>
      <c r="Z932" s="8"/>
      <c r="AA932" s="8"/>
      <c r="AB932" s="8"/>
      <c r="AC932" s="8"/>
      <c r="AD932" s="8"/>
      <c r="AE932" s="8"/>
      <c r="AF932" s="8"/>
      <c r="AG932" s="8"/>
      <c r="AH932" s="8"/>
    </row>
    <row r="933" spans="1:34" s="20" customFormat="1" ht="14" x14ac:dyDescent="0.2">
      <c r="A933" s="87"/>
      <c r="B933" s="14" t="str">
        <f>"Starting value "</f>
        <v xml:space="preserve">Starting value </v>
      </c>
      <c r="C933" s="8"/>
      <c r="D933" s="8" t="str">
        <f>'Assumptions - General'!$E$27 &amp;" millions"</f>
        <v>R$ millions</v>
      </c>
      <c r="E933" s="29"/>
      <c r="F933" s="31">
        <f t="shared" ref="F933:AH933" si="374">IF(F$19=1,E937," ")</f>
        <v>100</v>
      </c>
      <c r="G933" s="31">
        <f t="shared" si="374"/>
        <v>95</v>
      </c>
      <c r="H933" s="31">
        <f t="shared" si="374"/>
        <v>90</v>
      </c>
      <c r="I933" s="31">
        <f t="shared" si="374"/>
        <v>85</v>
      </c>
      <c r="J933" s="31">
        <f t="shared" si="374"/>
        <v>85</v>
      </c>
      <c r="K933" s="31">
        <f t="shared" si="374"/>
        <v>85</v>
      </c>
      <c r="L933" s="31">
        <f t="shared" si="374"/>
        <v>85</v>
      </c>
      <c r="M933" s="31">
        <f t="shared" si="374"/>
        <v>85</v>
      </c>
      <c r="N933" s="31">
        <f t="shared" si="374"/>
        <v>85</v>
      </c>
      <c r="O933" s="31">
        <f t="shared" si="374"/>
        <v>85</v>
      </c>
      <c r="P933" s="31">
        <f t="shared" si="374"/>
        <v>85</v>
      </c>
      <c r="Q933" s="31">
        <f t="shared" si="374"/>
        <v>85</v>
      </c>
      <c r="R933" s="31">
        <f t="shared" si="374"/>
        <v>85</v>
      </c>
      <c r="S933" s="31">
        <f t="shared" si="374"/>
        <v>85</v>
      </c>
      <c r="T933" s="31">
        <f t="shared" si="374"/>
        <v>85</v>
      </c>
      <c r="U933" s="31">
        <f t="shared" si="374"/>
        <v>85</v>
      </c>
      <c r="V933" s="31">
        <f t="shared" si="374"/>
        <v>85</v>
      </c>
      <c r="W933" s="31">
        <f t="shared" si="374"/>
        <v>85</v>
      </c>
      <c r="X933" s="31">
        <f t="shared" si="374"/>
        <v>85</v>
      </c>
      <c r="Y933" s="31">
        <f t="shared" si="374"/>
        <v>85</v>
      </c>
      <c r="Z933" s="31">
        <f t="shared" si="374"/>
        <v>85</v>
      </c>
      <c r="AA933" s="31">
        <f t="shared" si="374"/>
        <v>85</v>
      </c>
      <c r="AB933" s="31">
        <f t="shared" si="374"/>
        <v>85</v>
      </c>
      <c r="AC933" s="31">
        <f t="shared" si="374"/>
        <v>85</v>
      </c>
      <c r="AD933" s="31">
        <f t="shared" si="374"/>
        <v>85</v>
      </c>
      <c r="AE933" s="31">
        <f t="shared" si="374"/>
        <v>85</v>
      </c>
      <c r="AF933" s="31">
        <f t="shared" si="374"/>
        <v>85</v>
      </c>
      <c r="AG933" s="31">
        <f t="shared" si="374"/>
        <v>85</v>
      </c>
      <c r="AH933" s="31">
        <f t="shared" si="374"/>
        <v>85</v>
      </c>
    </row>
    <row r="934" spans="1:34" s="20" customFormat="1" ht="14" x14ac:dyDescent="0.2">
      <c r="A934" s="87"/>
      <c r="B934" s="30" t="s">
        <v>608</v>
      </c>
      <c r="C934" s="8"/>
      <c r="D934" s="8" t="str">
        <f>'Assumptions - General'!$E$27 &amp;" millions"</f>
        <v>R$ millions</v>
      </c>
      <c r="E934" s="29"/>
      <c r="F934" s="29">
        <f>IF(F$19=1,IF(F933&gt;0,MIN(F933,'Assumptions - Infrastructure'!F52),0)," ")</f>
        <v>5</v>
      </c>
      <c r="G934" s="29">
        <f>IF(G$19=1,IF(G933&gt;0,MIN(G933,'Assumptions - Infrastructure'!G52),0)," ")</f>
        <v>5</v>
      </c>
      <c r="H934" s="29">
        <f>IF(H$19=1,IF(H933&gt;0,MIN(H933,'Assumptions - Infrastructure'!H52),0)," ")</f>
        <v>5</v>
      </c>
      <c r="I934" s="29">
        <f>IF(I$19=1,IF(I933&gt;0,MIN(I933,'Assumptions - Infrastructure'!I52),0)," ")</f>
        <v>0</v>
      </c>
      <c r="J934" s="29">
        <f>IF(J$19=1,IF(J933&gt;0,MIN(J933,'Assumptions - Infrastructure'!J52),0)," ")</f>
        <v>0</v>
      </c>
      <c r="K934" s="29">
        <f>IF(K$19=1,IF(K933&gt;0,MIN(K933,'Assumptions - Infrastructure'!K52),0)," ")</f>
        <v>0</v>
      </c>
      <c r="L934" s="29">
        <f>IF(L$19=1,IF(L933&gt;0,MIN(L933,'Assumptions - Infrastructure'!L52),0)," ")</f>
        <v>0</v>
      </c>
      <c r="M934" s="29">
        <f>IF(M$19=1,IF(M933&gt;0,MIN(M933,'Assumptions - Infrastructure'!M52),0)," ")</f>
        <v>0</v>
      </c>
      <c r="N934" s="29">
        <f>IF(N$19=1,IF(N933&gt;0,MIN(N933,'Assumptions - Infrastructure'!N52),0)," ")</f>
        <v>0</v>
      </c>
      <c r="O934" s="29">
        <f>IF(O$19=1,IF(O933&gt;0,MIN(O933,'Assumptions - Infrastructure'!O52),0)," ")</f>
        <v>0</v>
      </c>
      <c r="P934" s="29">
        <f>IF(P$19=1,IF(P933&gt;0,MIN(P933,'Assumptions - Infrastructure'!P52),0)," ")</f>
        <v>0</v>
      </c>
      <c r="Q934" s="29">
        <f>IF(Q$19=1,IF(Q933&gt;0,MIN(Q933,'Assumptions - Infrastructure'!Q52),0)," ")</f>
        <v>0</v>
      </c>
      <c r="R934" s="29">
        <f>IF(R$19=1,IF(R933&gt;0,MIN(R933,'Assumptions - Infrastructure'!R52),0)," ")</f>
        <v>0</v>
      </c>
      <c r="S934" s="29">
        <f>IF(S$19=1,IF(S933&gt;0,MIN(S933,'Assumptions - Infrastructure'!S52),0)," ")</f>
        <v>0</v>
      </c>
      <c r="T934" s="29">
        <f>IF(T$19=1,IF(T933&gt;0,MIN(T933,'Assumptions - Infrastructure'!T52),0)," ")</f>
        <v>0</v>
      </c>
      <c r="U934" s="29">
        <f>IF(U$19=1,IF(U933&gt;0,MIN(U933,'Assumptions - Infrastructure'!U52),0)," ")</f>
        <v>0</v>
      </c>
      <c r="V934" s="29">
        <f>IF(V$19=1,IF(V933&gt;0,MIN(V933,'Assumptions - Infrastructure'!V52),0)," ")</f>
        <v>0</v>
      </c>
      <c r="W934" s="29">
        <f>IF(W$19=1,IF(W933&gt;0,MIN(W933,'Assumptions - Infrastructure'!W52),0)," ")</f>
        <v>0</v>
      </c>
      <c r="X934" s="29">
        <f>IF(X$19=1,IF(X933&gt;0,MIN(X933,'Assumptions - Infrastructure'!X52),0)," ")</f>
        <v>0</v>
      </c>
      <c r="Y934" s="29">
        <f>IF(Y$19=1,IF(Y933&gt;0,MIN(Y933,'Assumptions - Infrastructure'!Y52),0)," ")</f>
        <v>0</v>
      </c>
      <c r="Z934" s="29">
        <f>IF(Z$19=1,IF(Z933&gt;0,MIN(Z933,'Assumptions - Infrastructure'!Z52),0)," ")</f>
        <v>0</v>
      </c>
      <c r="AA934" s="29">
        <f>IF(AA$19=1,IF(AA933&gt;0,MIN(AA933,'Assumptions - Infrastructure'!AA52),0)," ")</f>
        <v>0</v>
      </c>
      <c r="AB934" s="29">
        <f>IF(AB$19=1,IF(AB933&gt;0,MIN(AB933,'Assumptions - Infrastructure'!AB52),0)," ")</f>
        <v>0</v>
      </c>
      <c r="AC934" s="29">
        <f>IF(AC$19=1,IF(AC933&gt;0,MIN(AC933,'Assumptions - Infrastructure'!AC52),0)," ")</f>
        <v>0</v>
      </c>
      <c r="AD934" s="29">
        <f>IF(AD$19=1,IF(AD933&gt;0,MIN(AD933,'Assumptions - Infrastructure'!AD52),0)," ")</f>
        <v>0</v>
      </c>
      <c r="AE934" s="29">
        <f>IF(AE$19=1,IF(AE933&gt;0,MIN(AE933,'Assumptions - Infrastructure'!AE52),0)," ")</f>
        <v>0</v>
      </c>
      <c r="AF934" s="29">
        <f>IF(AF$19=1,IF(AF933&gt;0,MIN(AF933,'Assumptions - Infrastructure'!AF52),0)," ")</f>
        <v>0</v>
      </c>
      <c r="AG934" s="29">
        <f>IF(AG$19=1,IF(AG933&gt;0,MIN(AG933,'Assumptions - Infrastructure'!AG52),0)," ")</f>
        <v>0</v>
      </c>
      <c r="AH934" s="29">
        <f>IF(AH$19=1,IF(AH933&gt;0,MIN(AH933,'Assumptions - Infrastructure'!AH52),0)," ")</f>
        <v>0</v>
      </c>
    </row>
    <row r="935" spans="1:34" s="20" customFormat="1" ht="14" x14ac:dyDescent="0.2">
      <c r="A935" s="87"/>
      <c r="B935" s="30" t="str">
        <f>IF(A932=1,"Less depreciation of existing assets","Less depreciation of assets")</f>
        <v>Less depreciation of existing assets</v>
      </c>
      <c r="C935" s="8"/>
      <c r="D935" s="8" t="str">
        <f>'Assumptions - General'!$E$27 &amp;" millions"</f>
        <v>R$ millions</v>
      </c>
      <c r="E935" s="29"/>
      <c r="F935" s="229">
        <f>IF(F$19=1,IF(F933-F934&gt;0,(MIN((F933-F934),'Assumptions - Infrastructure'!F63)),0)," ")</f>
        <v>0</v>
      </c>
      <c r="G935" s="229">
        <f>IF(G$19=1,IF(G933-G934&gt;0,(MIN((G933-G934),'Assumptions - Infrastructure'!G63)),0)," ")</f>
        <v>0</v>
      </c>
      <c r="H935" s="229">
        <f>IF(H$19=1,IF(H933-H934&gt;0,(MIN((H933-H934),'Assumptions - Infrastructure'!H63)),0)," ")</f>
        <v>0</v>
      </c>
      <c r="I935" s="229">
        <f>IF(I$19=1,IF(I933-I934&gt;0,(MIN((I933-I934),'Assumptions - Infrastructure'!I63)),0)," ")</f>
        <v>0</v>
      </c>
      <c r="J935" s="229">
        <f>IF(J$19=1,IF(J933-J934&gt;0,(MIN((J933-J934),'Assumptions - Infrastructure'!J63)),0)," ")</f>
        <v>0</v>
      </c>
      <c r="K935" s="229">
        <f>IF(K$19=1,IF(K933-K934&gt;0,(MIN((K933-K934),'Assumptions - Infrastructure'!K63)),0)," ")</f>
        <v>0</v>
      </c>
      <c r="L935" s="229">
        <f>IF(L$19=1,IF(L933-L934&gt;0,(MIN((L933-L934),'Assumptions - Infrastructure'!L63)),0)," ")</f>
        <v>0</v>
      </c>
      <c r="M935" s="229">
        <f>IF(M$19=1,IF(M933-M934&gt;0,(MIN((M933-M934),'Assumptions - Infrastructure'!M63)),0)," ")</f>
        <v>0</v>
      </c>
      <c r="N935" s="229">
        <f>IF(N$19=1,IF(N933-N934&gt;0,(MIN((N933-N934),'Assumptions - Infrastructure'!N63)),0)," ")</f>
        <v>0</v>
      </c>
      <c r="O935" s="229">
        <f>IF(O$19=1,IF(O933-O934&gt;0,(MIN((O933-O934),'Assumptions - Infrastructure'!O63)),0)," ")</f>
        <v>0</v>
      </c>
      <c r="P935" s="229">
        <f>IF(P$19=1,IF(P933-P934&gt;0,(MIN((P933-P934),'Assumptions - Infrastructure'!P63)),0)," ")</f>
        <v>0</v>
      </c>
      <c r="Q935" s="229">
        <f>IF(Q$19=1,IF(Q933-Q934&gt;0,(MIN((Q933-Q934),'Assumptions - Infrastructure'!Q63)),0)," ")</f>
        <v>0</v>
      </c>
      <c r="R935" s="229">
        <f>IF(R$19=1,IF(R933-R934&gt;0,(MIN((R933-R934),'Assumptions - Infrastructure'!R63)),0)," ")</f>
        <v>0</v>
      </c>
      <c r="S935" s="229">
        <f>IF(S$19=1,IF(S933-S934&gt;0,(MIN((S933-S934),'Assumptions - Infrastructure'!S63)),0)," ")</f>
        <v>0</v>
      </c>
      <c r="T935" s="229">
        <f>IF(T$19=1,IF(T933-T934&gt;0,(MIN((T933-T934),'Assumptions - Infrastructure'!T63)),0)," ")</f>
        <v>0</v>
      </c>
      <c r="U935" s="229">
        <f>IF(U$19=1,IF(U933-U934&gt;0,(MIN((U933-U934),'Assumptions - Infrastructure'!U63)),0)," ")</f>
        <v>0</v>
      </c>
      <c r="V935" s="229">
        <f>IF(V$19=1,IF(V933-V934&gt;0,(MIN((V933-V934),'Assumptions - Infrastructure'!V63)),0)," ")</f>
        <v>0</v>
      </c>
      <c r="W935" s="229">
        <f>IF(W$19=1,IF(W933-W934&gt;0,(MIN((W933-W934),'Assumptions - Infrastructure'!W63)),0)," ")</f>
        <v>0</v>
      </c>
      <c r="X935" s="229">
        <f>IF(X$19=1,IF(X933-X934&gt;0,(MIN((X933-X934),'Assumptions - Infrastructure'!X63)),0)," ")</f>
        <v>0</v>
      </c>
      <c r="Y935" s="229">
        <f>IF(Y$19=1,IF(Y933-Y934&gt;0,(MIN((Y933-Y934),'Assumptions - Infrastructure'!Y63)),0)," ")</f>
        <v>0</v>
      </c>
      <c r="Z935" s="229">
        <f>IF(Z$19=1,IF(Z933-Z934&gt;0,(MIN((Z933-Z934),'Assumptions - Infrastructure'!Z63)),0)," ")</f>
        <v>0</v>
      </c>
      <c r="AA935" s="229">
        <f>IF(AA$19=1,IF(AA933-AA934&gt;0,(MIN((AA933-AA934),'Assumptions - Infrastructure'!AA63)),0)," ")</f>
        <v>0</v>
      </c>
      <c r="AB935" s="229">
        <f>IF(AB$19=1,IF(AB933-AB934&gt;0,(MIN((AB933-AB934),'Assumptions - Infrastructure'!AB63)),0)," ")</f>
        <v>0</v>
      </c>
      <c r="AC935" s="229">
        <f>IF(AC$19=1,IF(AC933-AC934&gt;0,(MIN((AC933-AC934),'Assumptions - Infrastructure'!AC63)),0)," ")</f>
        <v>0</v>
      </c>
      <c r="AD935" s="229">
        <f>IF(AD$19=1,IF(AD933-AD934&gt;0,(MIN((AD933-AD934),'Assumptions - Infrastructure'!AD63)),0)," ")</f>
        <v>0</v>
      </c>
      <c r="AE935" s="229">
        <f>IF(AE$19=1,IF(AE933-AE934&gt;0,(MIN((AE933-AE934),'Assumptions - Infrastructure'!AE63)),0)," ")</f>
        <v>0</v>
      </c>
      <c r="AF935" s="229">
        <f>IF(AF$19=1,IF(AF933-AF934&gt;0,(MIN((AF933-AF934),'Assumptions - Infrastructure'!AF63)),0)," ")</f>
        <v>0</v>
      </c>
      <c r="AG935" s="229">
        <f>IF(AG$19=1,IF(AG933-AG934&gt;0,(MIN((AG933-AG934),'Assumptions - Infrastructure'!AG63)),0)," ")</f>
        <v>0</v>
      </c>
      <c r="AH935" s="229">
        <f>IF(AH$19=1,IF(AH933-AH934&gt;0,(MIN((AH933-AH934),'Assumptions - Infrastructure'!AH63)),0)," ")</f>
        <v>0</v>
      </c>
    </row>
    <row r="936" spans="1:34" s="20" customFormat="1" ht="14" x14ac:dyDescent="0.2">
      <c r="A936" s="87"/>
      <c r="B936" s="30" t="str">
        <f>IF(A932=1,"Accumulated depreciation of existing assets","Accumulated depreciation of assets")</f>
        <v>Accumulated depreciation of existing assets</v>
      </c>
      <c r="C936" s="8"/>
      <c r="D936" s="8" t="str">
        <f>'Assumptions - General'!$E$27 &amp;" millions"</f>
        <v>R$ millions</v>
      </c>
      <c r="E936" s="29"/>
      <c r="F936" s="29">
        <f>IF(F$19=1,SUM($E935:F935)," ")</f>
        <v>0</v>
      </c>
      <c r="G936" s="29">
        <f>IF(G$19=1,SUM($E935:G935)," ")</f>
        <v>0</v>
      </c>
      <c r="H936" s="29">
        <f>IF(H$19=1,SUM($E935:H935)," ")</f>
        <v>0</v>
      </c>
      <c r="I936" s="29">
        <f>IF(I$19=1,SUM($E935:I935)," ")</f>
        <v>0</v>
      </c>
      <c r="J936" s="29">
        <f>IF(J$19=1,SUM($E935:J935)," ")</f>
        <v>0</v>
      </c>
      <c r="K936" s="29">
        <f>IF(K$19=1,SUM($E935:K935)," ")</f>
        <v>0</v>
      </c>
      <c r="L936" s="29">
        <f>IF(L$19=1,SUM($E935:L935)," ")</f>
        <v>0</v>
      </c>
      <c r="M936" s="29">
        <f>IF(M$19=1,SUM($E935:M935)," ")</f>
        <v>0</v>
      </c>
      <c r="N936" s="29">
        <f>IF(N$19=1,SUM($E935:N935)," ")</f>
        <v>0</v>
      </c>
      <c r="O936" s="29">
        <f>IF(O$19=1,SUM($E935:O935)," ")</f>
        <v>0</v>
      </c>
      <c r="P936" s="29">
        <f>IF(P$19=1,SUM($E935:P935)," ")</f>
        <v>0</v>
      </c>
      <c r="Q936" s="29">
        <f>IF(Q$19=1,SUM($E935:Q935)," ")</f>
        <v>0</v>
      </c>
      <c r="R936" s="29">
        <f>IF(R$19=1,SUM($E935:R935)," ")</f>
        <v>0</v>
      </c>
      <c r="S936" s="29">
        <f>IF(S$19=1,SUM($E935:S935)," ")</f>
        <v>0</v>
      </c>
      <c r="T936" s="29">
        <f>IF(T$19=1,SUM($E935:T935)," ")</f>
        <v>0</v>
      </c>
      <c r="U936" s="29">
        <f>IF(U$19=1,SUM($E935:U935)," ")</f>
        <v>0</v>
      </c>
      <c r="V936" s="29">
        <f>IF(V$19=1,SUM($E935:V935)," ")</f>
        <v>0</v>
      </c>
      <c r="W936" s="29">
        <f>IF(W$19=1,SUM($E935:W935)," ")</f>
        <v>0</v>
      </c>
      <c r="X936" s="29">
        <f>IF(X$19=1,SUM($E935:X935)," ")</f>
        <v>0</v>
      </c>
      <c r="Y936" s="29">
        <f>IF(Y$19=1,SUM($E935:Y935)," ")</f>
        <v>0</v>
      </c>
      <c r="Z936" s="29">
        <f>IF(Z$19=1,SUM($E935:Z935)," ")</f>
        <v>0</v>
      </c>
      <c r="AA936" s="29">
        <f>IF(AA$19=1,SUM($E935:AA935)," ")</f>
        <v>0</v>
      </c>
      <c r="AB936" s="29">
        <f>IF(AB$19=1,SUM($E935:AB935)," ")</f>
        <v>0</v>
      </c>
      <c r="AC936" s="29">
        <f>IF(AC$19=1,SUM($E935:AC935)," ")</f>
        <v>0</v>
      </c>
      <c r="AD936" s="29">
        <f>IF(AD$19=1,SUM($E935:AD935)," ")</f>
        <v>0</v>
      </c>
      <c r="AE936" s="29">
        <f>IF(AE$19=1,SUM($E935:AE935)," ")</f>
        <v>0</v>
      </c>
      <c r="AF936" s="29">
        <f>IF(AF$19=1,SUM($E935:AF935)," ")</f>
        <v>0</v>
      </c>
      <c r="AG936" s="29">
        <f>IF(AG$19=1,SUM($E935:AG935)," ")</f>
        <v>0</v>
      </c>
      <c r="AH936" s="29">
        <f>IF(AH$19=1,SUM($E935:AH935)," ")</f>
        <v>0</v>
      </c>
    </row>
    <row r="937" spans="1:34" s="20" customFormat="1" ht="14" x14ac:dyDescent="0.2">
      <c r="A937" s="87"/>
      <c r="B937" s="14" t="str">
        <f>"Ending value "</f>
        <v xml:space="preserve">Ending value </v>
      </c>
      <c r="C937" s="8"/>
      <c r="D937" s="8" t="str">
        <f>'Assumptions - General'!$E$27 &amp;" millions"</f>
        <v>R$ millions</v>
      </c>
      <c r="E937" s="470">
        <f>IF(E$19=1,'Assumptions - Infrastructure'!E37," ")</f>
        <v>100</v>
      </c>
      <c r="F937" s="29">
        <f>IF(F$19=1,F933-F934-F935," ")</f>
        <v>95</v>
      </c>
      <c r="G937" s="29">
        <f t="shared" ref="G937:AH937" si="375">IF(G$19=1,G933-G934-G935," ")</f>
        <v>90</v>
      </c>
      <c r="H937" s="29">
        <f t="shared" si="375"/>
        <v>85</v>
      </c>
      <c r="I937" s="29">
        <f t="shared" si="375"/>
        <v>85</v>
      </c>
      <c r="J937" s="29">
        <f t="shared" si="375"/>
        <v>85</v>
      </c>
      <c r="K937" s="29">
        <f t="shared" si="375"/>
        <v>85</v>
      </c>
      <c r="L937" s="29">
        <f t="shared" si="375"/>
        <v>85</v>
      </c>
      <c r="M937" s="29">
        <f t="shared" si="375"/>
        <v>85</v>
      </c>
      <c r="N937" s="29">
        <f t="shared" si="375"/>
        <v>85</v>
      </c>
      <c r="O937" s="29">
        <f t="shared" si="375"/>
        <v>85</v>
      </c>
      <c r="P937" s="29">
        <f t="shared" si="375"/>
        <v>85</v>
      </c>
      <c r="Q937" s="29">
        <f t="shared" si="375"/>
        <v>85</v>
      </c>
      <c r="R937" s="29">
        <f t="shared" si="375"/>
        <v>85</v>
      </c>
      <c r="S937" s="29">
        <f t="shared" si="375"/>
        <v>85</v>
      </c>
      <c r="T937" s="29">
        <f t="shared" si="375"/>
        <v>85</v>
      </c>
      <c r="U937" s="29">
        <f t="shared" si="375"/>
        <v>85</v>
      </c>
      <c r="V937" s="29">
        <f t="shared" si="375"/>
        <v>85</v>
      </c>
      <c r="W937" s="29">
        <f t="shared" si="375"/>
        <v>85</v>
      </c>
      <c r="X937" s="29">
        <f t="shared" si="375"/>
        <v>85</v>
      </c>
      <c r="Y937" s="29">
        <f t="shared" si="375"/>
        <v>85</v>
      </c>
      <c r="Z937" s="29">
        <f t="shared" si="375"/>
        <v>85</v>
      </c>
      <c r="AA937" s="29">
        <f t="shared" si="375"/>
        <v>85</v>
      </c>
      <c r="AB937" s="29">
        <f t="shared" si="375"/>
        <v>85</v>
      </c>
      <c r="AC937" s="29">
        <f t="shared" si="375"/>
        <v>85</v>
      </c>
      <c r="AD937" s="29">
        <f t="shared" si="375"/>
        <v>85</v>
      </c>
      <c r="AE937" s="29">
        <f t="shared" si="375"/>
        <v>85</v>
      </c>
      <c r="AF937" s="29">
        <f t="shared" si="375"/>
        <v>85</v>
      </c>
      <c r="AG937" s="29">
        <f t="shared" si="375"/>
        <v>85</v>
      </c>
      <c r="AH937" s="29">
        <f t="shared" si="375"/>
        <v>85</v>
      </c>
    </row>
    <row r="938" spans="1:34" s="20" customFormat="1" ht="14" x14ac:dyDescent="0.2">
      <c r="A938" s="87"/>
      <c r="B938" s="14"/>
      <c r="C938" s="8"/>
      <c r="D938" s="8"/>
      <c r="E938" s="29"/>
      <c r="F938" s="29"/>
      <c r="G938" s="29"/>
      <c r="H938" s="29"/>
      <c r="I938" s="29"/>
      <c r="J938" s="29"/>
      <c r="K938" s="29"/>
      <c r="L938" s="29"/>
      <c r="M938" s="29"/>
      <c r="N938" s="29"/>
      <c r="O938" s="29"/>
      <c r="P938" s="29"/>
      <c r="Q938" s="29"/>
      <c r="R938" s="29"/>
      <c r="S938" s="29"/>
      <c r="T938" s="29"/>
      <c r="U938" s="29"/>
      <c r="V938" s="29"/>
      <c r="W938" s="29"/>
      <c r="X938" s="29"/>
      <c r="Y938" s="29"/>
      <c r="Z938" s="29"/>
      <c r="AA938" s="29"/>
      <c r="AB938" s="29"/>
      <c r="AC938" s="29"/>
      <c r="AD938" s="29"/>
      <c r="AE938" s="29"/>
      <c r="AF938" s="29"/>
      <c r="AG938" s="29"/>
      <c r="AH938" s="29"/>
    </row>
    <row r="939" spans="1:34" s="20" customFormat="1" ht="14" x14ac:dyDescent="0.2">
      <c r="A939" s="87"/>
      <c r="B939" s="14" t="s">
        <v>634</v>
      </c>
      <c r="C939" s="8"/>
      <c r="D939" s="8" t="str">
        <f>'Assumptions - General'!$E$27 &amp;" millions"</f>
        <v>R$ millions</v>
      </c>
      <c r="E939" s="29"/>
      <c r="F939" s="29">
        <f>IF(F$19=1,E944," ")</f>
        <v>0</v>
      </c>
      <c r="G939" s="29">
        <f t="shared" ref="G939:AH939" si="376">IF(G$19=1,F944," ")</f>
        <v>20</v>
      </c>
      <c r="H939" s="29">
        <f t="shared" si="376"/>
        <v>39.6</v>
      </c>
      <c r="I939" s="29">
        <f t="shared" si="376"/>
        <v>59</v>
      </c>
      <c r="J939" s="29">
        <f t="shared" si="376"/>
        <v>78.2</v>
      </c>
      <c r="K939" s="29">
        <f t="shared" si="376"/>
        <v>97.2</v>
      </c>
      <c r="L939" s="29">
        <f t="shared" si="376"/>
        <v>116</v>
      </c>
      <c r="M939" s="29">
        <f t="shared" si="376"/>
        <v>134.6</v>
      </c>
      <c r="N939" s="29">
        <f t="shared" si="376"/>
        <v>153</v>
      </c>
      <c r="O939" s="29">
        <f t="shared" si="376"/>
        <v>171.2</v>
      </c>
      <c r="P939" s="29">
        <f t="shared" si="376"/>
        <v>189.2</v>
      </c>
      <c r="Q939" s="29">
        <f t="shared" si="376"/>
        <v>207</v>
      </c>
      <c r="R939" s="29">
        <f t="shared" si="376"/>
        <v>224.6</v>
      </c>
      <c r="S939" s="29">
        <f t="shared" si="376"/>
        <v>242</v>
      </c>
      <c r="T939" s="29">
        <f t="shared" si="376"/>
        <v>259.2</v>
      </c>
      <c r="U939" s="29">
        <f t="shared" si="376"/>
        <v>276.2</v>
      </c>
      <c r="V939" s="29">
        <f t="shared" si="376"/>
        <v>293</v>
      </c>
      <c r="W939" s="29">
        <f t="shared" si="376"/>
        <v>309.60000000000002</v>
      </c>
      <c r="X939" s="29">
        <f t="shared" si="376"/>
        <v>326</v>
      </c>
      <c r="Y939" s="29">
        <f t="shared" si="376"/>
        <v>342.2</v>
      </c>
      <c r="Z939" s="29">
        <f t="shared" si="376"/>
        <v>358.2</v>
      </c>
      <c r="AA939" s="29">
        <f t="shared" si="376"/>
        <v>374</v>
      </c>
      <c r="AB939" s="29">
        <f t="shared" si="376"/>
        <v>389.6</v>
      </c>
      <c r="AC939" s="29">
        <f t="shared" si="376"/>
        <v>405</v>
      </c>
      <c r="AD939" s="29">
        <f t="shared" si="376"/>
        <v>420.2</v>
      </c>
      <c r="AE939" s="29">
        <f t="shared" si="376"/>
        <v>435.2</v>
      </c>
      <c r="AF939" s="29">
        <f t="shared" si="376"/>
        <v>450</v>
      </c>
      <c r="AG939" s="29">
        <f t="shared" si="376"/>
        <v>464.6</v>
      </c>
      <c r="AH939" s="29">
        <f t="shared" si="376"/>
        <v>479</v>
      </c>
    </row>
    <row r="940" spans="1:34" s="20" customFormat="1" ht="14" x14ac:dyDescent="0.2">
      <c r="A940" s="87"/>
      <c r="B940" s="30" t="s">
        <v>130</v>
      </c>
      <c r="C940" s="8"/>
      <c r="D940" s="8" t="str">
        <f>'Assumptions - General'!$E$27 &amp;" millions"</f>
        <v>R$ millions</v>
      </c>
      <c r="E940" s="29"/>
      <c r="F940" s="29">
        <f>IF(F$19=1,IF($D$928=1,$D$929*'Assumptions - Infrastructure'!F44,'Assumptions - Infrastructure'!F44)," ")</f>
        <v>20</v>
      </c>
      <c r="G940" s="29">
        <f>IF(G$19=1,IF($D$928=1,$D$929*'Assumptions - Infrastructure'!G44,'Assumptions - Infrastructure'!G44)," ")</f>
        <v>20</v>
      </c>
      <c r="H940" s="29">
        <f>IF(H$19=1,IF($D$928=1,$D$929*'Assumptions - Infrastructure'!H44,'Assumptions - Infrastructure'!H44)," ")</f>
        <v>20</v>
      </c>
      <c r="I940" s="29">
        <f>IF(I$19=1,IF($D$928=1,$D$929*'Assumptions - Infrastructure'!I44,'Assumptions - Infrastructure'!I44)," ")</f>
        <v>20</v>
      </c>
      <c r="J940" s="29">
        <f>IF(J$19=1,IF($D$928=1,$D$929*'Assumptions - Infrastructure'!J44,'Assumptions - Infrastructure'!J44)," ")</f>
        <v>20</v>
      </c>
      <c r="K940" s="29">
        <f>IF(K$19=1,IF($D$928=1,$D$929*'Assumptions - Infrastructure'!K44,'Assumptions - Infrastructure'!K44)," ")</f>
        <v>20</v>
      </c>
      <c r="L940" s="29">
        <f>IF(L$19=1,IF($D$928=1,$D$929*'Assumptions - Infrastructure'!L44,'Assumptions - Infrastructure'!L44)," ")</f>
        <v>20</v>
      </c>
      <c r="M940" s="29">
        <f>IF(M$19=1,IF($D$928=1,$D$929*'Assumptions - Infrastructure'!M44,'Assumptions - Infrastructure'!M44)," ")</f>
        <v>20</v>
      </c>
      <c r="N940" s="29">
        <f>IF(N$19=1,IF($D$928=1,$D$929*'Assumptions - Infrastructure'!N44,'Assumptions - Infrastructure'!N44)," ")</f>
        <v>20</v>
      </c>
      <c r="O940" s="29">
        <f>IF(O$19=1,IF($D$928=1,$D$929*'Assumptions - Infrastructure'!O44,'Assumptions - Infrastructure'!O44)," ")</f>
        <v>20</v>
      </c>
      <c r="P940" s="29">
        <f>IF(P$19=1,IF($D$928=1,$D$929*'Assumptions - Infrastructure'!P44,'Assumptions - Infrastructure'!P44)," ")</f>
        <v>20</v>
      </c>
      <c r="Q940" s="29">
        <f>IF(Q$19=1,IF($D$928=1,$D$929*'Assumptions - Infrastructure'!Q44,'Assumptions - Infrastructure'!Q44)," ")</f>
        <v>20</v>
      </c>
      <c r="R940" s="29">
        <f>IF(R$19=1,IF($D$928=1,$D$929*'Assumptions - Infrastructure'!R44,'Assumptions - Infrastructure'!R44)," ")</f>
        <v>20</v>
      </c>
      <c r="S940" s="29">
        <f>IF(S$19=1,IF($D$928=1,$D$929*'Assumptions - Infrastructure'!S44,'Assumptions - Infrastructure'!S44)," ")</f>
        <v>20</v>
      </c>
      <c r="T940" s="29">
        <f>IF(T$19=1,IF($D$928=1,$D$929*'Assumptions - Infrastructure'!T44,'Assumptions - Infrastructure'!T44)," ")</f>
        <v>20</v>
      </c>
      <c r="U940" s="29">
        <f>IF(U$19=1,IF($D$928=1,$D$929*'Assumptions - Infrastructure'!U44,'Assumptions - Infrastructure'!U44)," ")</f>
        <v>20</v>
      </c>
      <c r="V940" s="29">
        <f>IF(V$19=1,IF($D$928=1,$D$929*'Assumptions - Infrastructure'!V44,'Assumptions - Infrastructure'!V44)," ")</f>
        <v>20</v>
      </c>
      <c r="W940" s="29">
        <f>IF(W$19=1,IF($D$928=1,$D$929*'Assumptions - Infrastructure'!W44,'Assumptions - Infrastructure'!W44)," ")</f>
        <v>20</v>
      </c>
      <c r="X940" s="29">
        <f>IF(X$19=1,IF($D$928=1,$D$929*'Assumptions - Infrastructure'!X44,'Assumptions - Infrastructure'!X44)," ")</f>
        <v>20</v>
      </c>
      <c r="Y940" s="29">
        <f>IF(Y$19=1,IF($D$928=1,$D$929*'Assumptions - Infrastructure'!Y44,'Assumptions - Infrastructure'!Y44)," ")</f>
        <v>20</v>
      </c>
      <c r="Z940" s="29">
        <f>IF(Z$19=1,IF($D$928=1,$D$929*'Assumptions - Infrastructure'!Z44,'Assumptions - Infrastructure'!Z44)," ")</f>
        <v>20</v>
      </c>
      <c r="AA940" s="29">
        <f>IF(AA$19=1,IF($D$928=1,$D$929*'Assumptions - Infrastructure'!AA44,'Assumptions - Infrastructure'!AA44)," ")</f>
        <v>20</v>
      </c>
      <c r="AB940" s="29">
        <f>IF(AB$19=1,IF($D$928=1,$D$929*'Assumptions - Infrastructure'!AB44,'Assumptions - Infrastructure'!AB44)," ")</f>
        <v>20</v>
      </c>
      <c r="AC940" s="29">
        <f>IF(AC$19=1,IF($D$928=1,$D$929*'Assumptions - Infrastructure'!AC44,'Assumptions - Infrastructure'!AC44)," ")</f>
        <v>20</v>
      </c>
      <c r="AD940" s="29">
        <f>IF(AD$19=1,IF($D$928=1,$D$929*'Assumptions - Infrastructure'!AD44,'Assumptions - Infrastructure'!AD44)," ")</f>
        <v>20</v>
      </c>
      <c r="AE940" s="29">
        <f>IF(AE$19=1,IF($D$928=1,$D$929*'Assumptions - Infrastructure'!AE44,'Assumptions - Infrastructure'!AE44)," ")</f>
        <v>20</v>
      </c>
      <c r="AF940" s="29">
        <f>IF(AF$19=1,IF($D$928=1,$D$929*'Assumptions - Infrastructure'!AF44,'Assumptions - Infrastructure'!AF44)," ")</f>
        <v>20</v>
      </c>
      <c r="AG940" s="29">
        <f>IF(AG$19=1,IF($D$928=1,$D$929*'Assumptions - Infrastructure'!AG44,'Assumptions - Infrastructure'!AG44)," ")</f>
        <v>20</v>
      </c>
      <c r="AH940" s="29">
        <f>IF(AH$19=1,IF($D$928=1,$D$929*'Assumptions - Infrastructure'!AH44,'Assumptions - Infrastructure'!AH44)," ")</f>
        <v>20</v>
      </c>
    </row>
    <row r="941" spans="1:34" s="20" customFormat="1" ht="14" x14ac:dyDescent="0.2">
      <c r="A941" s="87"/>
      <c r="B941" s="30" t="s">
        <v>608</v>
      </c>
      <c r="C941" s="8"/>
      <c r="D941" s="8" t="str">
        <f>'Assumptions - General'!$E$27 &amp;" millions"</f>
        <v>R$ millions</v>
      </c>
      <c r="E941" s="29"/>
      <c r="F941" s="29">
        <f>IF(F$19=1,'Assumptions - Infrastructure'!F52-Calculations!F934," ")</f>
        <v>0</v>
      </c>
      <c r="G941" s="29">
        <f>IF(G$19=1,'Assumptions - Infrastructure'!G52-Calculations!G934," ")</f>
        <v>0</v>
      </c>
      <c r="H941" s="29">
        <f>IF(H$19=1,'Assumptions - Infrastructure'!H52-Calculations!H934," ")</f>
        <v>0</v>
      </c>
      <c r="I941" s="29">
        <f>IF(I$19=1,'Assumptions - Infrastructure'!I52-Calculations!I934," ")</f>
        <v>0</v>
      </c>
      <c r="J941" s="29">
        <f>IF(J$19=1,'Assumptions - Infrastructure'!J52-Calculations!J934," ")</f>
        <v>0</v>
      </c>
      <c r="K941" s="29">
        <f>IF(K$19=1,'Assumptions - Infrastructure'!K52-Calculations!K934," ")</f>
        <v>0</v>
      </c>
      <c r="L941" s="29">
        <f>IF(L$19=1,'Assumptions - Infrastructure'!L52-Calculations!L934," ")</f>
        <v>0</v>
      </c>
      <c r="M941" s="29">
        <f>IF(M$19=1,'Assumptions - Infrastructure'!M52-Calculations!M934," ")</f>
        <v>0</v>
      </c>
      <c r="N941" s="29">
        <f>IF(N$19=1,'Assumptions - Infrastructure'!N52-Calculations!N934," ")</f>
        <v>0</v>
      </c>
      <c r="O941" s="29">
        <f>IF(O$19=1,'Assumptions - Infrastructure'!O52-Calculations!O934," ")</f>
        <v>0</v>
      </c>
      <c r="P941" s="29">
        <f>IF(P$19=1,'Assumptions - Infrastructure'!P52-Calculations!P934," ")</f>
        <v>0</v>
      </c>
      <c r="Q941" s="29">
        <f>IF(Q$19=1,'Assumptions - Infrastructure'!Q52-Calculations!Q934," ")</f>
        <v>0</v>
      </c>
      <c r="R941" s="29">
        <f>IF(R$19=1,'Assumptions - Infrastructure'!R52-Calculations!R934," ")</f>
        <v>0</v>
      </c>
      <c r="S941" s="29">
        <f>IF(S$19=1,'Assumptions - Infrastructure'!S52-Calculations!S934," ")</f>
        <v>0</v>
      </c>
      <c r="T941" s="29">
        <f>IF(T$19=1,'Assumptions - Infrastructure'!T52-Calculations!T934," ")</f>
        <v>0</v>
      </c>
      <c r="U941" s="29">
        <f>IF(U$19=1,'Assumptions - Infrastructure'!U52-Calculations!U934," ")</f>
        <v>0</v>
      </c>
      <c r="V941" s="29">
        <f>IF(V$19=1,'Assumptions - Infrastructure'!V52-Calculations!V934," ")</f>
        <v>0</v>
      </c>
      <c r="W941" s="29">
        <f>IF(W$19=1,'Assumptions - Infrastructure'!W52-Calculations!W934," ")</f>
        <v>0</v>
      </c>
      <c r="X941" s="29">
        <f>IF(X$19=1,'Assumptions - Infrastructure'!X52-Calculations!X934," ")</f>
        <v>0</v>
      </c>
      <c r="Y941" s="29">
        <f>IF(Y$19=1,'Assumptions - Infrastructure'!Y52-Calculations!Y934," ")</f>
        <v>0</v>
      </c>
      <c r="Z941" s="29">
        <f>IF(Z$19=1,'Assumptions - Infrastructure'!Z52-Calculations!Z934," ")</f>
        <v>0</v>
      </c>
      <c r="AA941" s="29">
        <f>IF(AA$19=1,'Assumptions - Infrastructure'!AA52-Calculations!AA934," ")</f>
        <v>0</v>
      </c>
      <c r="AB941" s="29">
        <f>IF(AB$19=1,'Assumptions - Infrastructure'!AB52-Calculations!AB934," ")</f>
        <v>0</v>
      </c>
      <c r="AC941" s="29">
        <f>IF(AC$19=1,'Assumptions - Infrastructure'!AC52-Calculations!AC934," ")</f>
        <v>0</v>
      </c>
      <c r="AD941" s="29">
        <f>IF(AD$19=1,'Assumptions - Infrastructure'!AD52-Calculations!AD934," ")</f>
        <v>0</v>
      </c>
      <c r="AE941" s="29">
        <f>IF(AE$19=1,'Assumptions - Infrastructure'!AE52-Calculations!AE934," ")</f>
        <v>0</v>
      </c>
      <c r="AF941" s="29">
        <f>IF(AF$19=1,'Assumptions - Infrastructure'!AF52-Calculations!AF934," ")</f>
        <v>0</v>
      </c>
      <c r="AG941" s="29">
        <f>IF(AG$19=1,'Assumptions - Infrastructure'!AG52-Calculations!AG934," ")</f>
        <v>0</v>
      </c>
      <c r="AH941" s="29">
        <f>IF(AH$19=1,'Assumptions - Infrastructure'!AH52-Calculations!AH934," ")</f>
        <v>0</v>
      </c>
    </row>
    <row r="942" spans="1:34" s="20" customFormat="1" ht="14" x14ac:dyDescent="0.2">
      <c r="A942" s="87"/>
      <c r="B942" s="30" t="s">
        <v>635</v>
      </c>
      <c r="C942" s="8"/>
      <c r="D942" s="8" t="str">
        <f>'Assumptions - General'!$E$27 &amp;" millions"</f>
        <v>R$ millions</v>
      </c>
      <c r="E942" s="29"/>
      <c r="F942" s="29">
        <f>IF(F$19=1,(IF($A$932=1,IF(F939-F941&gt;0,(MIN((F939-F941),(SUM($E940:F940)-SUM($E941:F941))/'Assumptions - Infrastructure'!$E66)),0),'Assumptions - Infrastructure'!F67))," ")</f>
        <v>0</v>
      </c>
      <c r="G942" s="29">
        <f>IF(G$19=1,(IF($A$932=1,IF(G939-G941&gt;0,(MIN((G939-G941),(SUM($E940:G940)-SUM($E941:G941))/'Assumptions - Infrastructure'!$E66)),0),'Assumptions - Infrastructure'!G67))," ")</f>
        <v>0.4</v>
      </c>
      <c r="H942" s="29">
        <f>IF(H$19=1,(IF($A$932=1,IF(H939-H941&gt;0,(MIN((H939-H941),(SUM($E940:H940)-SUM($E941:H941))/'Assumptions - Infrastructure'!$E66)),0),'Assumptions - Infrastructure'!H67))," ")</f>
        <v>0.6</v>
      </c>
      <c r="I942" s="29">
        <f>IF(I$19=1,(IF($A$932=1,IF(I939-I941&gt;0,(MIN((I939-I941),(SUM($E940:I940)-SUM($E941:I941))/'Assumptions - Infrastructure'!$E66)),0),'Assumptions - Infrastructure'!I67))," ")</f>
        <v>0.8</v>
      </c>
      <c r="J942" s="29">
        <f>IF(J$19=1,(IF($A$932=1,IF(J939-J941&gt;0,(MIN((J939-J941),(SUM($E940:J940)-SUM($E941:J941))/'Assumptions - Infrastructure'!$E66)),0),'Assumptions - Infrastructure'!J67))," ")</f>
        <v>1</v>
      </c>
      <c r="K942" s="29">
        <f>IF(K$19=1,(IF($A$932=1,IF(K939-K941&gt;0,(MIN((K939-K941),(SUM($E940:K940)-SUM($E941:K941))/'Assumptions - Infrastructure'!$E66)),0),'Assumptions - Infrastructure'!K67))," ")</f>
        <v>1.2</v>
      </c>
      <c r="L942" s="29">
        <f>IF(L$19=1,(IF($A$932=1,IF(L939-L941&gt;0,(MIN((L939-L941),(SUM($E940:L940)-SUM($E941:L941))/'Assumptions - Infrastructure'!$E66)),0),'Assumptions - Infrastructure'!L67))," ")</f>
        <v>1.4</v>
      </c>
      <c r="M942" s="29">
        <f>IF(M$19=1,(IF($A$932=1,IF(M939-M941&gt;0,(MIN((M939-M941),(SUM($E940:M940)-SUM($E941:M941))/'Assumptions - Infrastructure'!$E66)),0),'Assumptions - Infrastructure'!M67))," ")</f>
        <v>1.6</v>
      </c>
      <c r="N942" s="29">
        <f>IF(N$19=1,(IF($A$932=1,IF(N939-N941&gt;0,(MIN((N939-N941),(SUM($E940:N940)-SUM($E941:N941))/'Assumptions - Infrastructure'!$E66)),0),'Assumptions - Infrastructure'!N67))," ")</f>
        <v>1.8</v>
      </c>
      <c r="O942" s="29">
        <f>IF(O$19=1,(IF($A$932=1,IF(O939-O941&gt;0,(MIN((O939-O941),(SUM($E940:O940)-SUM($E941:O941))/'Assumptions - Infrastructure'!$E66)),0),'Assumptions - Infrastructure'!O67))," ")</f>
        <v>2</v>
      </c>
      <c r="P942" s="29">
        <f>IF(P$19=1,(IF($A$932=1,IF(P939-P941&gt;0,(MIN((P939-P941),(SUM($E940:P940)-SUM($E941:P941))/'Assumptions - Infrastructure'!$E66)),0),'Assumptions - Infrastructure'!P67))," ")</f>
        <v>2.2000000000000002</v>
      </c>
      <c r="Q942" s="29">
        <f>IF(Q$19=1,(IF($A$932=1,IF(Q939-Q941&gt;0,(MIN((Q939-Q941),(SUM($E940:Q940)-SUM($E941:Q941))/'Assumptions - Infrastructure'!$E66)),0),'Assumptions - Infrastructure'!Q67))," ")</f>
        <v>2.4</v>
      </c>
      <c r="R942" s="29">
        <f>IF(R$19=1,(IF($A$932=1,IF(R939-R941&gt;0,(MIN((R939-R941),(SUM($E940:R940)-SUM($E941:R941))/'Assumptions - Infrastructure'!$E66)),0),'Assumptions - Infrastructure'!R67))," ")</f>
        <v>2.6</v>
      </c>
      <c r="S942" s="29">
        <f>IF(S$19=1,(IF($A$932=1,IF(S939-S941&gt;0,(MIN((S939-S941),(SUM($E940:S940)-SUM($E941:S941))/'Assumptions - Infrastructure'!$E66)),0),'Assumptions - Infrastructure'!S67))," ")</f>
        <v>2.8</v>
      </c>
      <c r="T942" s="29">
        <f>IF(T$19=1,(IF($A$932=1,IF(T939-T941&gt;0,(MIN((T939-T941),(SUM($E940:T940)-SUM($E941:T941))/'Assumptions - Infrastructure'!$E66)),0),'Assumptions - Infrastructure'!T67))," ")</f>
        <v>3</v>
      </c>
      <c r="U942" s="29">
        <f>IF(U$19=1,(IF($A$932=1,IF(U939-U941&gt;0,(MIN((U939-U941),(SUM($E940:U940)-SUM($E941:U941))/'Assumptions - Infrastructure'!$E66)),0),'Assumptions - Infrastructure'!U67))," ")</f>
        <v>3.2</v>
      </c>
      <c r="V942" s="29">
        <f>IF(V$19=1,(IF($A$932=1,IF(V939-V941&gt;0,(MIN((V939-V941),(SUM($E940:V940)-SUM($E941:V941))/'Assumptions - Infrastructure'!$E66)),0),'Assumptions - Infrastructure'!V67))," ")</f>
        <v>3.4</v>
      </c>
      <c r="W942" s="29">
        <f>IF(W$19=1,(IF($A$932=1,IF(W939-W941&gt;0,(MIN((W939-W941),(SUM($E940:W940)-SUM($E941:W941))/'Assumptions - Infrastructure'!$E66)),0),'Assumptions - Infrastructure'!W67))," ")</f>
        <v>3.6</v>
      </c>
      <c r="X942" s="29">
        <f>IF(X$19=1,(IF($A$932=1,IF(X939-X941&gt;0,(MIN((X939-X941),(SUM($E940:X940)-SUM($E941:X941))/'Assumptions - Infrastructure'!$E66)),0),'Assumptions - Infrastructure'!X67))," ")</f>
        <v>3.8</v>
      </c>
      <c r="Y942" s="29">
        <f>IF(Y$19=1,(IF($A$932=1,IF(Y939-Y941&gt;0,(MIN((Y939-Y941),(SUM($E940:Y940)-SUM($E941:Y941))/'Assumptions - Infrastructure'!$E66)),0),'Assumptions - Infrastructure'!Y67))," ")</f>
        <v>4</v>
      </c>
      <c r="Z942" s="29">
        <f>IF(Z$19=1,(IF($A$932=1,IF(Z939-Z941&gt;0,(MIN((Z939-Z941),(SUM($E940:Z940)-SUM($E941:Z941))/'Assumptions - Infrastructure'!$E66)),0),'Assumptions - Infrastructure'!Z67))," ")</f>
        <v>4.2</v>
      </c>
      <c r="AA942" s="29">
        <f>IF(AA$19=1,(IF($A$932=1,IF(AA939-AA941&gt;0,(MIN((AA939-AA941),(SUM($E940:AA940)-SUM($E941:AA941))/'Assumptions - Infrastructure'!$E66)),0),'Assumptions - Infrastructure'!AA67))," ")</f>
        <v>4.4000000000000004</v>
      </c>
      <c r="AB942" s="29">
        <f>IF(AB$19=1,(IF($A$932=1,IF(AB939-AB941&gt;0,(MIN((AB939-AB941),(SUM($E940:AB940)-SUM($E941:AB941))/'Assumptions - Infrastructure'!$E66)),0),'Assumptions - Infrastructure'!AB67))," ")</f>
        <v>4.5999999999999996</v>
      </c>
      <c r="AC942" s="29">
        <f>IF(AC$19=1,(IF($A$932=1,IF(AC939-AC941&gt;0,(MIN((AC939-AC941),(SUM($E940:AC940)-SUM($E941:AC941))/'Assumptions - Infrastructure'!$E66)),0),'Assumptions - Infrastructure'!AC67))," ")</f>
        <v>4.8</v>
      </c>
      <c r="AD942" s="29">
        <f>IF(AD$19=1,(IF($A$932=1,IF(AD939-AD941&gt;0,(MIN((AD939-AD941),(SUM($E940:AD940)-SUM($E941:AD941))/'Assumptions - Infrastructure'!$E66)),0),'Assumptions - Infrastructure'!AD67))," ")</f>
        <v>5</v>
      </c>
      <c r="AE942" s="29">
        <f>IF(AE$19=1,(IF($A$932=1,IF(AE939-AE941&gt;0,(MIN((AE939-AE941),(SUM($E940:AE940)-SUM($E941:AE941))/'Assumptions - Infrastructure'!$E66)),0),'Assumptions - Infrastructure'!AE67))," ")</f>
        <v>5.2</v>
      </c>
      <c r="AF942" s="29">
        <f>IF(AF$19=1,(IF($A$932=1,IF(AF939-AF941&gt;0,(MIN((AF939-AF941),(SUM($E940:AF940)-SUM($E941:AF941))/'Assumptions - Infrastructure'!$E66)),0),'Assumptions - Infrastructure'!AF67))," ")</f>
        <v>5.4</v>
      </c>
      <c r="AG942" s="29">
        <f>IF(AG$19=1,(IF($A$932=1,IF(AG939-AG941&gt;0,(MIN((AG939-AG941),(SUM($E940:AG940)-SUM($E941:AG941))/'Assumptions - Infrastructure'!$E66)),0),'Assumptions - Infrastructure'!AG67))," ")</f>
        <v>5.6</v>
      </c>
      <c r="AH942" s="29">
        <f>IF(AH$19=1,(IF($A$932=1,IF(AH939-AH941&gt;0,(MIN((AH939-AH941),(SUM($E940:AH940)-SUM($E941:AH941))/'Assumptions - Infrastructure'!$E66)),0),'Assumptions - Infrastructure'!AH67))," ")</f>
        <v>5.8</v>
      </c>
    </row>
    <row r="943" spans="1:34" s="20" customFormat="1" ht="14" x14ac:dyDescent="0.2">
      <c r="A943" s="87"/>
      <c r="B943" s="30" t="s">
        <v>636</v>
      </c>
      <c r="C943" s="8"/>
      <c r="D943" s="8" t="str">
        <f>'Assumptions - General'!$E$27 &amp;" millions"</f>
        <v>R$ millions</v>
      </c>
      <c r="E943" s="29"/>
      <c r="F943" s="29">
        <f>IF(F$19=1,SUM($E942:F942)," ")</f>
        <v>0</v>
      </c>
      <c r="G943" s="29">
        <f>IF(G$19=1,SUM($E942:G942)," ")</f>
        <v>0.4</v>
      </c>
      <c r="H943" s="29">
        <f>IF(H$19=1,SUM($E942:H942)," ")</f>
        <v>1</v>
      </c>
      <c r="I943" s="29">
        <f>IF(I$19=1,SUM($E942:I942)," ")</f>
        <v>1.8</v>
      </c>
      <c r="J943" s="29">
        <f>IF(J$19=1,SUM($E942:J942)," ")</f>
        <v>2.8</v>
      </c>
      <c r="K943" s="29">
        <f>IF(K$19=1,SUM($E942:K942)," ")</f>
        <v>4</v>
      </c>
      <c r="L943" s="29">
        <f>IF(L$19=1,SUM($E942:L942)," ")</f>
        <v>5.4</v>
      </c>
      <c r="M943" s="29">
        <f>IF(M$19=1,SUM($E942:M942)," ")</f>
        <v>7</v>
      </c>
      <c r="N943" s="29">
        <f>IF(N$19=1,SUM($E942:N942)," ")</f>
        <v>8.8000000000000007</v>
      </c>
      <c r="O943" s="29">
        <f>IF(O$19=1,SUM($E942:O942)," ")</f>
        <v>10.8</v>
      </c>
      <c r="P943" s="29">
        <f>IF(P$19=1,SUM($E942:P942)," ")</f>
        <v>13</v>
      </c>
      <c r="Q943" s="29">
        <f>IF(Q$19=1,SUM($E942:Q942)," ")</f>
        <v>15.4</v>
      </c>
      <c r="R943" s="29">
        <f>IF(R$19=1,SUM($E942:R942)," ")</f>
        <v>18</v>
      </c>
      <c r="S943" s="29">
        <f>IF(S$19=1,SUM($E942:S942)," ")</f>
        <v>20.8</v>
      </c>
      <c r="T943" s="29">
        <f>IF(T$19=1,SUM($E942:T942)," ")</f>
        <v>23.8</v>
      </c>
      <c r="U943" s="29">
        <f>IF(U$19=1,SUM($E942:U942)," ")</f>
        <v>27</v>
      </c>
      <c r="V943" s="29">
        <f>IF(V$19=1,SUM($E942:V942)," ")</f>
        <v>30.4</v>
      </c>
      <c r="W943" s="29">
        <f>IF(W$19=1,SUM($E942:W942)," ")</f>
        <v>34</v>
      </c>
      <c r="X943" s="29">
        <f>IF(X$19=1,SUM($E942:X942)," ")</f>
        <v>37.799999999999997</v>
      </c>
      <c r="Y943" s="29">
        <f>IF(Y$19=1,SUM($E942:Y942)," ")</f>
        <v>41.8</v>
      </c>
      <c r="Z943" s="29">
        <f>IF(Z$19=1,SUM($E942:Z942)," ")</f>
        <v>46</v>
      </c>
      <c r="AA943" s="29">
        <f>IF(AA$19=1,SUM($E942:AA942)," ")</f>
        <v>50.4</v>
      </c>
      <c r="AB943" s="29">
        <f>IF(AB$19=1,SUM($E942:AB942)," ")</f>
        <v>55</v>
      </c>
      <c r="AC943" s="29">
        <f>IF(AC$19=1,SUM($E942:AC942)," ")</f>
        <v>59.8</v>
      </c>
      <c r="AD943" s="29">
        <f>IF(AD$19=1,SUM($E942:AD942)," ")</f>
        <v>64.8</v>
      </c>
      <c r="AE943" s="29">
        <f>IF(AE$19=1,SUM($E942:AE942)," ")</f>
        <v>70</v>
      </c>
      <c r="AF943" s="29">
        <f>IF(AF$19=1,SUM($E942:AF942)," ")</f>
        <v>75.400000000000006</v>
      </c>
      <c r="AG943" s="29">
        <f>IF(AG$19=1,SUM($E942:AG942)," ")</f>
        <v>81</v>
      </c>
      <c r="AH943" s="29">
        <f>IF(AH$19=1,SUM($E942:AH942)," ")</f>
        <v>86.8</v>
      </c>
    </row>
    <row r="944" spans="1:34" s="20" customFormat="1" ht="14" x14ac:dyDescent="0.2">
      <c r="A944" s="87"/>
      <c r="B944" s="14" t="s">
        <v>640</v>
      </c>
      <c r="C944" s="8"/>
      <c r="D944" s="8" t="str">
        <f>'Assumptions - General'!$E$27 &amp;" millions"</f>
        <v>R$ millions</v>
      </c>
      <c r="E944" s="29"/>
      <c r="F944" s="29">
        <f>IF(F$19=1,F939+F940-F941-F942," ")</f>
        <v>20</v>
      </c>
      <c r="G944" s="29">
        <f>IF(G$19=1,G939+G940-G941-G942," ")</f>
        <v>39.6</v>
      </c>
      <c r="H944" s="29">
        <f t="shared" ref="H944:AH944" si="377">IF(H$19=1,H939+H940-H941-H942," ")</f>
        <v>59</v>
      </c>
      <c r="I944" s="29">
        <f t="shared" si="377"/>
        <v>78.2</v>
      </c>
      <c r="J944" s="29">
        <f t="shared" si="377"/>
        <v>97.2</v>
      </c>
      <c r="K944" s="29">
        <f t="shared" si="377"/>
        <v>116</v>
      </c>
      <c r="L944" s="29">
        <f t="shared" si="377"/>
        <v>134.6</v>
      </c>
      <c r="M944" s="29">
        <f t="shared" si="377"/>
        <v>153</v>
      </c>
      <c r="N944" s="29">
        <f t="shared" si="377"/>
        <v>171.2</v>
      </c>
      <c r="O944" s="29">
        <f t="shared" si="377"/>
        <v>189.2</v>
      </c>
      <c r="P944" s="29">
        <f t="shared" si="377"/>
        <v>207</v>
      </c>
      <c r="Q944" s="29">
        <f t="shared" si="377"/>
        <v>224.6</v>
      </c>
      <c r="R944" s="29">
        <f t="shared" si="377"/>
        <v>242</v>
      </c>
      <c r="S944" s="29">
        <f t="shared" si="377"/>
        <v>259.2</v>
      </c>
      <c r="T944" s="29">
        <f t="shared" si="377"/>
        <v>276.2</v>
      </c>
      <c r="U944" s="29">
        <f t="shared" si="377"/>
        <v>293</v>
      </c>
      <c r="V944" s="29">
        <f t="shared" si="377"/>
        <v>309.60000000000002</v>
      </c>
      <c r="W944" s="29">
        <f t="shared" si="377"/>
        <v>326</v>
      </c>
      <c r="X944" s="29">
        <f t="shared" si="377"/>
        <v>342.2</v>
      </c>
      <c r="Y944" s="29">
        <f t="shared" si="377"/>
        <v>358.2</v>
      </c>
      <c r="Z944" s="29">
        <f t="shared" si="377"/>
        <v>374</v>
      </c>
      <c r="AA944" s="29">
        <f t="shared" si="377"/>
        <v>389.6</v>
      </c>
      <c r="AB944" s="29">
        <f t="shared" si="377"/>
        <v>405</v>
      </c>
      <c r="AC944" s="29">
        <f t="shared" si="377"/>
        <v>420.2</v>
      </c>
      <c r="AD944" s="29">
        <f t="shared" si="377"/>
        <v>435.2</v>
      </c>
      <c r="AE944" s="29">
        <f t="shared" si="377"/>
        <v>450</v>
      </c>
      <c r="AF944" s="29">
        <f t="shared" si="377"/>
        <v>464.6</v>
      </c>
      <c r="AG944" s="29">
        <f t="shared" si="377"/>
        <v>479</v>
      </c>
      <c r="AH944" s="29">
        <f t="shared" si="377"/>
        <v>493.2</v>
      </c>
    </row>
    <row r="945" spans="1:34" s="20" customFormat="1" ht="14" x14ac:dyDescent="0.2">
      <c r="A945" s="87"/>
      <c r="B945" s="14"/>
      <c r="C945" s="8"/>
      <c r="D945" s="8"/>
      <c r="E945" s="29"/>
      <c r="F945" s="29"/>
      <c r="G945" s="29"/>
      <c r="H945" s="29"/>
      <c r="I945" s="29"/>
      <c r="J945" s="29"/>
      <c r="K945" s="29"/>
      <c r="L945" s="29"/>
      <c r="M945" s="29"/>
      <c r="N945" s="29"/>
      <c r="O945" s="29"/>
      <c r="P945" s="29"/>
      <c r="Q945" s="29"/>
      <c r="R945" s="29"/>
      <c r="S945" s="29"/>
      <c r="T945" s="29"/>
      <c r="U945" s="29"/>
      <c r="V945" s="29"/>
      <c r="W945" s="29"/>
      <c r="X945" s="29"/>
      <c r="Y945" s="29"/>
      <c r="Z945" s="29"/>
      <c r="AA945" s="29"/>
      <c r="AB945" s="29"/>
      <c r="AC945" s="29"/>
      <c r="AD945" s="29"/>
      <c r="AE945" s="29"/>
      <c r="AF945" s="29"/>
      <c r="AG945" s="29"/>
      <c r="AH945" s="29"/>
    </row>
    <row r="946" spans="1:34" s="20" customFormat="1" ht="14" x14ac:dyDescent="0.2">
      <c r="A946" s="87"/>
      <c r="B946" s="14" t="s">
        <v>638</v>
      </c>
      <c r="C946" s="8"/>
      <c r="D946" s="8" t="str">
        <f>'Assumptions - General'!$E$27 &amp;" millions"</f>
        <v>R$ millions</v>
      </c>
      <c r="E946" s="29">
        <f>IF(E$19=1,E937+E944," ")</f>
        <v>100</v>
      </c>
      <c r="F946" s="29">
        <f t="shared" ref="F946:AH946" si="378">IF(F$19=1,F937+F944," ")</f>
        <v>115</v>
      </c>
      <c r="G946" s="29">
        <f t="shared" si="378"/>
        <v>129.6</v>
      </c>
      <c r="H946" s="29">
        <f t="shared" si="378"/>
        <v>144</v>
      </c>
      <c r="I946" s="29">
        <f t="shared" si="378"/>
        <v>163.19999999999999</v>
      </c>
      <c r="J946" s="29">
        <f t="shared" si="378"/>
        <v>182.2</v>
      </c>
      <c r="K946" s="29">
        <f t="shared" si="378"/>
        <v>201</v>
      </c>
      <c r="L946" s="29">
        <f t="shared" si="378"/>
        <v>219.6</v>
      </c>
      <c r="M946" s="29">
        <f t="shared" si="378"/>
        <v>238</v>
      </c>
      <c r="N946" s="29">
        <f t="shared" si="378"/>
        <v>256.2</v>
      </c>
      <c r="O946" s="29">
        <f t="shared" si="378"/>
        <v>274.2</v>
      </c>
      <c r="P946" s="29">
        <f t="shared" si="378"/>
        <v>292</v>
      </c>
      <c r="Q946" s="29">
        <f t="shared" si="378"/>
        <v>309.60000000000002</v>
      </c>
      <c r="R946" s="29">
        <f t="shared" si="378"/>
        <v>327</v>
      </c>
      <c r="S946" s="29">
        <f t="shared" si="378"/>
        <v>344.2</v>
      </c>
      <c r="T946" s="29">
        <f t="shared" si="378"/>
        <v>361.2</v>
      </c>
      <c r="U946" s="29">
        <f t="shared" si="378"/>
        <v>378</v>
      </c>
      <c r="V946" s="29">
        <f t="shared" si="378"/>
        <v>394.6</v>
      </c>
      <c r="W946" s="29">
        <f t="shared" si="378"/>
        <v>411</v>
      </c>
      <c r="X946" s="29">
        <f t="shared" si="378"/>
        <v>427.2</v>
      </c>
      <c r="Y946" s="29">
        <f t="shared" si="378"/>
        <v>443.2</v>
      </c>
      <c r="Z946" s="29">
        <f t="shared" si="378"/>
        <v>459</v>
      </c>
      <c r="AA946" s="29">
        <f t="shared" si="378"/>
        <v>474.6</v>
      </c>
      <c r="AB946" s="29">
        <f t="shared" si="378"/>
        <v>490</v>
      </c>
      <c r="AC946" s="29">
        <f t="shared" si="378"/>
        <v>505.2</v>
      </c>
      <c r="AD946" s="29">
        <f t="shared" si="378"/>
        <v>520.20000000000005</v>
      </c>
      <c r="AE946" s="29">
        <f t="shared" si="378"/>
        <v>535</v>
      </c>
      <c r="AF946" s="29">
        <f t="shared" si="378"/>
        <v>549.6</v>
      </c>
      <c r="AG946" s="29">
        <f t="shared" si="378"/>
        <v>564</v>
      </c>
      <c r="AH946" s="29">
        <f t="shared" si="378"/>
        <v>578.20000000000005</v>
      </c>
    </row>
    <row r="947" spans="1:34" s="310" customFormat="1" ht="14" x14ac:dyDescent="0.2">
      <c r="A947" s="87"/>
      <c r="B947" s="446"/>
      <c r="C947" s="87"/>
      <c r="D947" s="87"/>
      <c r="E947" s="447"/>
      <c r="F947" s="447"/>
      <c r="G947" s="447"/>
      <c r="H947" s="447"/>
      <c r="I947" s="447"/>
      <c r="J947" s="447"/>
      <c r="K947" s="447"/>
      <c r="L947" s="447"/>
      <c r="M947" s="447"/>
      <c r="N947" s="447"/>
      <c r="O947" s="447"/>
      <c r="P947" s="447"/>
      <c r="Q947" s="447"/>
      <c r="R947" s="447"/>
      <c r="S947" s="447"/>
      <c r="T947" s="447"/>
      <c r="U947" s="447"/>
      <c r="V947" s="447"/>
      <c r="W947" s="447"/>
      <c r="X947" s="447"/>
      <c r="Y947" s="447"/>
      <c r="Z947" s="447"/>
      <c r="AA947" s="447"/>
      <c r="AB947" s="447"/>
      <c r="AC947" s="447"/>
      <c r="AD947" s="447"/>
      <c r="AE947" s="447"/>
      <c r="AF947" s="447"/>
      <c r="AG947" s="447"/>
      <c r="AH947" s="447"/>
    </row>
    <row r="948" spans="1:34" s="20" customFormat="1" ht="14" x14ac:dyDescent="0.2">
      <c r="A948" s="87">
        <f>'Assumptions - Infrastructure'!E69</f>
        <v>1</v>
      </c>
      <c r="B948" s="21" t="str">
        <f>'Assumptions - Infrastructure'!E31</f>
        <v>Buildings and structures</v>
      </c>
      <c r="C948" s="8"/>
      <c r="D948" s="8"/>
      <c r="E948" s="29"/>
      <c r="F948" s="31"/>
      <c r="G948" s="31"/>
      <c r="H948" s="31"/>
      <c r="I948" s="31"/>
      <c r="J948" s="31"/>
      <c r="K948" s="31"/>
      <c r="L948" s="31"/>
      <c r="M948" s="31"/>
      <c r="N948" s="31"/>
      <c r="O948" s="31"/>
      <c r="P948" s="31"/>
      <c r="Q948" s="31"/>
      <c r="R948" s="31"/>
      <c r="S948" s="31"/>
      <c r="T948" s="31"/>
      <c r="U948" s="31"/>
      <c r="V948" s="31"/>
      <c r="W948" s="31"/>
      <c r="X948" s="31"/>
      <c r="Y948" s="31"/>
      <c r="Z948" s="31"/>
      <c r="AA948" s="31"/>
      <c r="AB948" s="31"/>
      <c r="AC948" s="31"/>
      <c r="AD948" s="31"/>
      <c r="AE948" s="31"/>
      <c r="AF948" s="31"/>
      <c r="AG948" s="31"/>
      <c r="AH948" s="31"/>
    </row>
    <row r="949" spans="1:34" s="20" customFormat="1" ht="14" x14ac:dyDescent="0.2">
      <c r="A949" s="87"/>
      <c r="B949" s="14" t="str">
        <f>"Starting value "</f>
        <v xml:space="preserve">Starting value </v>
      </c>
      <c r="C949" s="8"/>
      <c r="D949" s="8" t="str">
        <f>'Assumptions - General'!$E$27 &amp;" millions"</f>
        <v>R$ millions</v>
      </c>
      <c r="E949" s="29"/>
      <c r="F949" s="29">
        <f t="shared" ref="F949:AH949" si="379">IF(F$19=1,E953," ")</f>
        <v>150</v>
      </c>
      <c r="G949" s="29">
        <f t="shared" si="379"/>
        <v>135.33333333333334</v>
      </c>
      <c r="H949" s="29">
        <f t="shared" si="379"/>
        <v>121.00000000000001</v>
      </c>
      <c r="I949" s="29">
        <f t="shared" si="379"/>
        <v>107.00000000000001</v>
      </c>
      <c r="J949" s="29">
        <f t="shared" si="379"/>
        <v>93.333333333333343</v>
      </c>
      <c r="K949" s="29">
        <f t="shared" si="379"/>
        <v>80.000000000000014</v>
      </c>
      <c r="L949" s="29">
        <f t="shared" si="379"/>
        <v>67.000000000000014</v>
      </c>
      <c r="M949" s="29">
        <f t="shared" si="379"/>
        <v>54.33333333333335</v>
      </c>
      <c r="N949" s="29">
        <f t="shared" si="379"/>
        <v>42.000000000000014</v>
      </c>
      <c r="O949" s="29">
        <f t="shared" si="379"/>
        <v>30.000000000000014</v>
      </c>
      <c r="P949" s="29">
        <f t="shared" si="379"/>
        <v>18.333333333333346</v>
      </c>
      <c r="Q949" s="29">
        <f t="shared" si="379"/>
        <v>7.0000000000000133</v>
      </c>
      <c r="R949" s="29">
        <f t="shared" si="379"/>
        <v>0</v>
      </c>
      <c r="S949" s="29">
        <f t="shared" si="379"/>
        <v>0</v>
      </c>
      <c r="T949" s="29">
        <f t="shared" si="379"/>
        <v>0</v>
      </c>
      <c r="U949" s="29">
        <f t="shared" si="379"/>
        <v>0</v>
      </c>
      <c r="V949" s="29">
        <f t="shared" si="379"/>
        <v>0</v>
      </c>
      <c r="W949" s="29">
        <f t="shared" si="379"/>
        <v>0</v>
      </c>
      <c r="X949" s="29">
        <f t="shared" si="379"/>
        <v>0</v>
      </c>
      <c r="Y949" s="29">
        <f t="shared" si="379"/>
        <v>0</v>
      </c>
      <c r="Z949" s="29">
        <f t="shared" si="379"/>
        <v>0</v>
      </c>
      <c r="AA949" s="29">
        <f t="shared" si="379"/>
        <v>0</v>
      </c>
      <c r="AB949" s="29">
        <f t="shared" si="379"/>
        <v>0</v>
      </c>
      <c r="AC949" s="29">
        <f t="shared" si="379"/>
        <v>0</v>
      </c>
      <c r="AD949" s="29">
        <f t="shared" si="379"/>
        <v>0</v>
      </c>
      <c r="AE949" s="29">
        <f t="shared" si="379"/>
        <v>0</v>
      </c>
      <c r="AF949" s="29">
        <f t="shared" si="379"/>
        <v>0</v>
      </c>
      <c r="AG949" s="29">
        <f t="shared" si="379"/>
        <v>0</v>
      </c>
      <c r="AH949" s="29">
        <f t="shared" si="379"/>
        <v>0</v>
      </c>
    </row>
    <row r="950" spans="1:34" s="20" customFormat="1" ht="14" x14ac:dyDescent="0.2">
      <c r="A950" s="87"/>
      <c r="B950" s="30" t="s">
        <v>608</v>
      </c>
      <c r="C950" s="8"/>
      <c r="D950" s="8" t="str">
        <f>'Assumptions - General'!$E$27 &amp;" millions"</f>
        <v>R$ millions</v>
      </c>
      <c r="E950" s="29"/>
      <c r="F950" s="29">
        <f>IF(F$19=1,IF(F949&gt;0,MIN(F949,'Assumptions - Infrastructure'!F53),0)," ")</f>
        <v>5</v>
      </c>
      <c r="G950" s="29">
        <f>IF(G$19=1,IF(G949&gt;0,MIN(G949,'Assumptions - Infrastructure'!G53),0)," ")</f>
        <v>5</v>
      </c>
      <c r="H950" s="29">
        <f>IF(H$19=1,IF(H949&gt;0,MIN(H949,'Assumptions - Infrastructure'!H53),0)," ")</f>
        <v>5</v>
      </c>
      <c r="I950" s="29">
        <f>IF(I$19=1,IF(I949&gt;0,MIN(I949,'Assumptions - Infrastructure'!I53),0)," ")</f>
        <v>5</v>
      </c>
      <c r="J950" s="29">
        <f>IF(J$19=1,IF(J949&gt;0,MIN(J949,'Assumptions - Infrastructure'!J53),0)," ")</f>
        <v>5</v>
      </c>
      <c r="K950" s="29">
        <f>IF(K$19=1,IF(K949&gt;0,MIN(K949,'Assumptions - Infrastructure'!K53),0)," ")</f>
        <v>5</v>
      </c>
      <c r="L950" s="29">
        <f>IF(L$19=1,IF(L949&gt;0,MIN(L949,'Assumptions - Infrastructure'!L53),0)," ")</f>
        <v>5</v>
      </c>
      <c r="M950" s="29">
        <f>IF(M$19=1,IF(M949&gt;0,MIN(M949,'Assumptions - Infrastructure'!M53),0)," ")</f>
        <v>5</v>
      </c>
      <c r="N950" s="29">
        <f>IF(N$19=1,IF(N949&gt;0,MIN(N949,'Assumptions - Infrastructure'!N53),0)," ")</f>
        <v>5</v>
      </c>
      <c r="O950" s="29">
        <f>IF(O$19=1,IF(O949&gt;0,MIN(O949,'Assumptions - Infrastructure'!O53),0)," ")</f>
        <v>5</v>
      </c>
      <c r="P950" s="29">
        <f>IF(P$19=1,IF(P949&gt;0,MIN(P949,'Assumptions - Infrastructure'!P53),0)," ")</f>
        <v>5</v>
      </c>
      <c r="Q950" s="29">
        <f>IF(Q$19=1,IF(Q949&gt;0,MIN(Q949,'Assumptions - Infrastructure'!Q53),0)," ")</f>
        <v>5</v>
      </c>
      <c r="R950" s="29">
        <f>IF(R$19=1,IF(R949&gt;0,MIN(R949,'Assumptions - Infrastructure'!R53),0)," ")</f>
        <v>0</v>
      </c>
      <c r="S950" s="29">
        <f>IF(S$19=1,IF(S949&gt;0,MIN(S949,'Assumptions - Infrastructure'!S53),0)," ")</f>
        <v>0</v>
      </c>
      <c r="T950" s="29">
        <f>IF(T$19=1,IF(T949&gt;0,MIN(T949,'Assumptions - Infrastructure'!T53),0)," ")</f>
        <v>0</v>
      </c>
      <c r="U950" s="29">
        <f>IF(U$19=1,IF(U949&gt;0,MIN(U949,'Assumptions - Infrastructure'!U53),0)," ")</f>
        <v>0</v>
      </c>
      <c r="V950" s="29">
        <f>IF(V$19=1,IF(V949&gt;0,MIN(V949,'Assumptions - Infrastructure'!V53),0)," ")</f>
        <v>0</v>
      </c>
      <c r="W950" s="29">
        <f>IF(W$19=1,IF(W949&gt;0,MIN(W949,'Assumptions - Infrastructure'!W53),0)," ")</f>
        <v>0</v>
      </c>
      <c r="X950" s="29">
        <f>IF(X$19=1,IF(X949&gt;0,MIN(X949,'Assumptions - Infrastructure'!X53),0)," ")</f>
        <v>0</v>
      </c>
      <c r="Y950" s="29">
        <f>IF(Y$19=1,IF(Y949&gt;0,MIN(Y949,'Assumptions - Infrastructure'!Y53),0)," ")</f>
        <v>0</v>
      </c>
      <c r="Z950" s="29">
        <f>IF(Z$19=1,IF(Z949&gt;0,MIN(Z949,'Assumptions - Infrastructure'!Z53),0)," ")</f>
        <v>0</v>
      </c>
      <c r="AA950" s="29">
        <f>IF(AA$19=1,IF(AA949&gt;0,MIN(AA949,'Assumptions - Infrastructure'!AA53),0)," ")</f>
        <v>0</v>
      </c>
      <c r="AB950" s="29">
        <f>IF(AB$19=1,IF(AB949&gt;0,MIN(AB949,'Assumptions - Infrastructure'!AB53),0)," ")</f>
        <v>0</v>
      </c>
      <c r="AC950" s="29">
        <f>IF(AC$19=1,IF(AC949&gt;0,MIN(AC949,'Assumptions - Infrastructure'!AC53),0)," ")</f>
        <v>0</v>
      </c>
      <c r="AD950" s="29">
        <f>IF(AD$19=1,IF(AD949&gt;0,MIN(AD949,'Assumptions - Infrastructure'!AD53),0)," ")</f>
        <v>0</v>
      </c>
      <c r="AE950" s="29">
        <f>IF(AE$19=1,IF(AE949&gt;0,MIN(AE949,'Assumptions - Infrastructure'!AE53),0)," ")</f>
        <v>0</v>
      </c>
      <c r="AF950" s="29">
        <f>IF(AF$19=1,IF(AF949&gt;0,MIN(AF949,'Assumptions - Infrastructure'!AF53),0)," ")</f>
        <v>0</v>
      </c>
      <c r="AG950" s="29">
        <f>IF(AG$19=1,IF(AG949&gt;0,MIN(AG949,'Assumptions - Infrastructure'!AG53),0)," ")</f>
        <v>0</v>
      </c>
      <c r="AH950" s="29">
        <f>IF(AH$19=1,IF(AH949&gt;0,MIN(AH949,'Assumptions - Infrastructure'!AH53),0)," ")</f>
        <v>0</v>
      </c>
    </row>
    <row r="951" spans="1:34" s="20" customFormat="1" ht="14" x14ac:dyDescent="0.2">
      <c r="A951" s="87"/>
      <c r="B951" s="30" t="str">
        <f>IF(A948=1,"Less depreciation of existing assets","Less depreciation of assets")</f>
        <v>Less depreciation of existing assets</v>
      </c>
      <c r="C951" s="8"/>
      <c r="D951" s="8" t="str">
        <f>'Assumptions - General'!$E$27 &amp;" millions"</f>
        <v>R$ millions</v>
      </c>
      <c r="E951" s="29"/>
      <c r="F951" s="229">
        <f>IF(F$19=1,(IF($A948=1,IF(F949-F950&gt;0,(MIN((F949-F950),($E953-SUM($E950:F950))/'Assumptions - Infrastructure'!$E71)),0),'Assumptions - Infrastructure'!F74))," ")</f>
        <v>9.6666666666666661</v>
      </c>
      <c r="G951" s="229">
        <f>IF(G$19=1,(IF($A948=1,IF(G949-G950&gt;0,(MIN((G949-G950),($E953-SUM($E950:G950))/'Assumptions - Infrastructure'!$E71)),0),'Assumptions - Infrastructure'!G74))," ")</f>
        <v>9.3333333333333339</v>
      </c>
      <c r="H951" s="229">
        <f>IF(H$19=1,(IF($A948=1,IF(H949-H950&gt;0,(MIN((H949-H950),($E953-SUM($E950:H950))/'Assumptions - Infrastructure'!$E71)),0),'Assumptions - Infrastructure'!H74))," ")</f>
        <v>9</v>
      </c>
      <c r="I951" s="229">
        <f>IF(I$19=1,(IF($A948=1,IF(I949-I950&gt;0,(MIN((I949-I950),($E953-SUM($E950:I950))/'Assumptions - Infrastructure'!$E71)),0),'Assumptions - Infrastructure'!I74))," ")</f>
        <v>8.6666666666666661</v>
      </c>
      <c r="J951" s="229">
        <f>IF(J$19=1,(IF($A948=1,IF(J949-J950&gt;0,(MIN((J949-J950),($E953-SUM($E950:J950))/'Assumptions - Infrastructure'!$E71)),0),'Assumptions - Infrastructure'!J74))," ")</f>
        <v>8.3333333333333339</v>
      </c>
      <c r="K951" s="229">
        <f>IF(K$19=1,(IF($A948=1,IF(K949-K950&gt;0,(MIN((K949-K950),($E953-SUM($E950:K950))/'Assumptions - Infrastructure'!$E71)),0),'Assumptions - Infrastructure'!K74))," ")</f>
        <v>8</v>
      </c>
      <c r="L951" s="229">
        <f>IF(L$19=1,(IF($A948=1,IF(L949-L950&gt;0,(MIN((L949-L950),($E953-SUM($E950:L950))/'Assumptions - Infrastructure'!$E71)),0),'Assumptions - Infrastructure'!L74))," ")</f>
        <v>7.666666666666667</v>
      </c>
      <c r="M951" s="229">
        <f>IF(M$19=1,(IF($A948=1,IF(M949-M950&gt;0,(MIN((M949-M950),($E953-SUM($E950:M950))/'Assumptions - Infrastructure'!$E71)),0),'Assumptions - Infrastructure'!M74))," ")</f>
        <v>7.333333333333333</v>
      </c>
      <c r="N951" s="229">
        <f>IF(N$19=1,(IF($A948=1,IF(N949-N950&gt;0,(MIN((N949-N950),($E953-SUM($E950:N950))/'Assumptions - Infrastructure'!$E71)),0),'Assumptions - Infrastructure'!N74))," ")</f>
        <v>7</v>
      </c>
      <c r="O951" s="229">
        <f>IF(O$19=1,(IF($A948=1,IF(O949-O950&gt;0,(MIN((O949-O950),($E953-SUM($E950:O950))/'Assumptions - Infrastructure'!$E71)),0),'Assumptions - Infrastructure'!O74))," ")</f>
        <v>6.666666666666667</v>
      </c>
      <c r="P951" s="229">
        <f>IF(P$19=1,(IF($A948=1,IF(P949-P950&gt;0,(MIN((P949-P950),($E953-SUM($E950:P950))/'Assumptions - Infrastructure'!$E71)),0),'Assumptions - Infrastructure'!P74))," ")</f>
        <v>6.333333333333333</v>
      </c>
      <c r="Q951" s="229">
        <f>IF(Q$19=1,(IF($A948=1,IF(Q949-Q950&gt;0,(MIN((Q949-Q950),($E953-SUM($E950:Q950))/'Assumptions - Infrastructure'!$E71)),0),'Assumptions - Infrastructure'!Q74))," ")</f>
        <v>2.0000000000000133</v>
      </c>
      <c r="R951" s="229">
        <f>IF(R$19=1,(IF($A948=1,IF(R949-R950&gt;0,(MIN((R949-R950),($E953-SUM($E950:R950))/'Assumptions - Infrastructure'!$E71)),0),'Assumptions - Infrastructure'!R74))," ")</f>
        <v>0</v>
      </c>
      <c r="S951" s="229">
        <f>IF(S$19=1,(IF($A948=1,IF(S949-S950&gt;0,(MIN((S949-S950),($E953-SUM($E950:S950))/'Assumptions - Infrastructure'!$E71)),0),'Assumptions - Infrastructure'!S74))," ")</f>
        <v>0</v>
      </c>
      <c r="T951" s="229">
        <f>IF(T$19=1,(IF($A948=1,IF(T949-T950&gt;0,(MIN((T949-T950),($E953-SUM($E950:T950))/'Assumptions - Infrastructure'!$E71)),0),'Assumptions - Infrastructure'!T74))," ")</f>
        <v>0</v>
      </c>
      <c r="U951" s="229">
        <f>IF(U$19=1,(IF($A948=1,IF(U949-U950&gt;0,(MIN((U949-U950),($E953-SUM($E950:U950))/'Assumptions - Infrastructure'!$E71)),0),'Assumptions - Infrastructure'!U74))," ")</f>
        <v>0</v>
      </c>
      <c r="V951" s="229">
        <f>IF(V$19=1,(IF($A948=1,IF(V949-V950&gt;0,(MIN((V949-V950),($E953-SUM($E950:V950))/'Assumptions - Infrastructure'!$E71)),0),'Assumptions - Infrastructure'!V74))," ")</f>
        <v>0</v>
      </c>
      <c r="W951" s="229">
        <f>IF(W$19=1,(IF($A948=1,IF(W949-W950&gt;0,(MIN((W949-W950),($E953-SUM($E950:W950))/'Assumptions - Infrastructure'!$E71)),0),'Assumptions - Infrastructure'!W74))," ")</f>
        <v>0</v>
      </c>
      <c r="X951" s="229">
        <f>IF(X$19=1,(IF($A948=1,IF(X949-X950&gt;0,(MIN((X949-X950),($E953-SUM($E950:X950))/'Assumptions - Infrastructure'!$E71)),0),'Assumptions - Infrastructure'!X74))," ")</f>
        <v>0</v>
      </c>
      <c r="Y951" s="229">
        <f>IF(Y$19=1,(IF($A948=1,IF(Y949-Y950&gt;0,(MIN((Y949-Y950),($E953-SUM($E950:Y950))/'Assumptions - Infrastructure'!$E71)),0),'Assumptions - Infrastructure'!Y74))," ")</f>
        <v>0</v>
      </c>
      <c r="Z951" s="229">
        <f>IF(Z$19=1,(IF($A948=1,IF(Z949-Z950&gt;0,(MIN((Z949-Z950),($E953-SUM($E950:Z950))/'Assumptions - Infrastructure'!$E71)),0),'Assumptions - Infrastructure'!Z74))," ")</f>
        <v>0</v>
      </c>
      <c r="AA951" s="229">
        <f>IF(AA$19=1,(IF($A948=1,IF(AA949-AA950&gt;0,(MIN((AA949-AA950),($E953-SUM($E950:AA950))/'Assumptions - Infrastructure'!$E71)),0),'Assumptions - Infrastructure'!AA74))," ")</f>
        <v>0</v>
      </c>
      <c r="AB951" s="229">
        <f>IF(AB$19=1,(IF($A948=1,IF(AB949-AB950&gt;0,(MIN((AB949-AB950),($E953-SUM($E950:AB950))/'Assumptions - Infrastructure'!$E71)),0),'Assumptions - Infrastructure'!AB74))," ")</f>
        <v>0</v>
      </c>
      <c r="AC951" s="229">
        <f>IF(AC$19=1,(IF($A948=1,IF(AC949-AC950&gt;0,(MIN((AC949-AC950),($E953-SUM($E950:AC950))/'Assumptions - Infrastructure'!$E71)),0),'Assumptions - Infrastructure'!AC74))," ")</f>
        <v>0</v>
      </c>
      <c r="AD951" s="229">
        <f>IF(AD$19=1,(IF($A948=1,IF(AD949-AD950&gt;0,(MIN((AD949-AD950),($E953-SUM($E950:AD950))/'Assumptions - Infrastructure'!$E71)),0),'Assumptions - Infrastructure'!AD74))," ")</f>
        <v>0</v>
      </c>
      <c r="AE951" s="229">
        <f>IF(AE$19=1,(IF($A948=1,IF(AE949-AE950&gt;0,(MIN((AE949-AE950),($E953-SUM($E950:AE950))/'Assumptions - Infrastructure'!$E71)),0),'Assumptions - Infrastructure'!AE74))," ")</f>
        <v>0</v>
      </c>
      <c r="AF951" s="229">
        <f>IF(AF$19=1,(IF($A948=1,IF(AF949-AF950&gt;0,(MIN((AF949-AF950),($E953-SUM($E950:AF950))/'Assumptions - Infrastructure'!$E71)),0),'Assumptions - Infrastructure'!AF74))," ")</f>
        <v>0</v>
      </c>
      <c r="AG951" s="229">
        <f>IF(AG$19=1,(IF($A948=1,IF(AG949-AG950&gt;0,(MIN((AG949-AG950),($E953-SUM($E950:AG950))/'Assumptions - Infrastructure'!$E71)),0),'Assumptions - Infrastructure'!AG74))," ")</f>
        <v>0</v>
      </c>
      <c r="AH951" s="229">
        <f>IF(AH$19=1,(IF($A948=1,IF(AH949-AH950&gt;0,(MIN((AH949-AH950),($E953-SUM($E950:AH950))/'Assumptions - Infrastructure'!$E71)),0),'Assumptions - Infrastructure'!AH74))," ")</f>
        <v>0</v>
      </c>
    </row>
    <row r="952" spans="1:34" s="20" customFormat="1" ht="14" x14ac:dyDescent="0.2">
      <c r="A952" s="87"/>
      <c r="B952" s="30" t="str">
        <f>IF(A948=1,"Accumulated depreciation of existing assets","Accumulated depreciation of assets")</f>
        <v>Accumulated depreciation of existing assets</v>
      </c>
      <c r="C952" s="8"/>
      <c r="D952" s="8" t="str">
        <f>'Assumptions - General'!$E$27 &amp;" millions"</f>
        <v>R$ millions</v>
      </c>
      <c r="E952" s="29"/>
      <c r="F952" s="29">
        <f>IF(F$19=1,SUM($E951:F951)," ")</f>
        <v>9.6666666666666661</v>
      </c>
      <c r="G952" s="29">
        <f>IF(G$19=1,SUM($E951:G951)," ")</f>
        <v>19</v>
      </c>
      <c r="H952" s="29">
        <f>IF(H$19=1,SUM($E951:H951)," ")</f>
        <v>28</v>
      </c>
      <c r="I952" s="29">
        <f>IF(I$19=1,SUM($E951:I951)," ")</f>
        <v>36.666666666666664</v>
      </c>
      <c r="J952" s="29">
        <f>IF(J$19=1,SUM($E951:J951)," ")</f>
        <v>45</v>
      </c>
      <c r="K952" s="29">
        <f>IF(K$19=1,SUM($E951:K951)," ")</f>
        <v>53</v>
      </c>
      <c r="L952" s="29">
        <f>IF(L$19=1,SUM($E951:L951)," ")</f>
        <v>60.666666666666664</v>
      </c>
      <c r="M952" s="29">
        <f>IF(M$19=1,SUM($E951:M951)," ")</f>
        <v>68</v>
      </c>
      <c r="N952" s="29">
        <f>IF(N$19=1,SUM($E951:N951)," ")</f>
        <v>75</v>
      </c>
      <c r="O952" s="29">
        <f>IF(O$19=1,SUM($E951:O951)," ")</f>
        <v>81.666666666666671</v>
      </c>
      <c r="P952" s="29">
        <f>IF(P$19=1,SUM($E951:P951)," ")</f>
        <v>88</v>
      </c>
      <c r="Q952" s="29">
        <f>IF(Q$19=1,SUM($E951:Q951)," ")</f>
        <v>90.000000000000014</v>
      </c>
      <c r="R952" s="29">
        <f>IF(R$19=1,SUM($E951:R951)," ")</f>
        <v>90.000000000000014</v>
      </c>
      <c r="S952" s="29">
        <f>IF(S$19=1,SUM($E951:S951)," ")</f>
        <v>90.000000000000014</v>
      </c>
      <c r="T952" s="29">
        <f>IF(T$19=1,SUM($E951:T951)," ")</f>
        <v>90.000000000000014</v>
      </c>
      <c r="U952" s="29">
        <f>IF(U$19=1,SUM($E951:U951)," ")</f>
        <v>90.000000000000014</v>
      </c>
      <c r="V952" s="29">
        <f>IF(V$19=1,SUM($E951:V951)," ")</f>
        <v>90.000000000000014</v>
      </c>
      <c r="W952" s="29">
        <f>IF(W$19=1,SUM($E951:W951)," ")</f>
        <v>90.000000000000014</v>
      </c>
      <c r="X952" s="29">
        <f>IF(X$19=1,SUM($E951:X951)," ")</f>
        <v>90.000000000000014</v>
      </c>
      <c r="Y952" s="29">
        <f>IF(Y$19=1,SUM($E951:Y951)," ")</f>
        <v>90.000000000000014</v>
      </c>
      <c r="Z952" s="29">
        <f>IF(Z$19=1,SUM($E951:Z951)," ")</f>
        <v>90.000000000000014</v>
      </c>
      <c r="AA952" s="29">
        <f>IF(AA$19=1,SUM($E951:AA951)," ")</f>
        <v>90.000000000000014</v>
      </c>
      <c r="AB952" s="29">
        <f>IF(AB$19=1,SUM($E951:AB951)," ")</f>
        <v>90.000000000000014</v>
      </c>
      <c r="AC952" s="29">
        <f>IF(AC$19=1,SUM($E951:AC951)," ")</f>
        <v>90.000000000000014</v>
      </c>
      <c r="AD952" s="29">
        <f>IF(AD$19=1,SUM($E951:AD951)," ")</f>
        <v>90.000000000000014</v>
      </c>
      <c r="AE952" s="29">
        <f>IF(AE$19=1,SUM($E951:AE951)," ")</f>
        <v>90.000000000000014</v>
      </c>
      <c r="AF952" s="29">
        <f>IF(AF$19=1,SUM($E951:AF951)," ")</f>
        <v>90.000000000000014</v>
      </c>
      <c r="AG952" s="29">
        <f>IF(AG$19=1,SUM($E951:AG951)," ")</f>
        <v>90.000000000000014</v>
      </c>
      <c r="AH952" s="29">
        <f>IF(AH$19=1,SUM($E951:AH951)," ")</f>
        <v>90.000000000000014</v>
      </c>
    </row>
    <row r="953" spans="1:34" s="20" customFormat="1" ht="14" x14ac:dyDescent="0.2">
      <c r="A953" s="87"/>
      <c r="B953" s="14" t="str">
        <f>"Ending value "</f>
        <v xml:space="preserve">Ending value </v>
      </c>
      <c r="C953" s="8"/>
      <c r="D953" s="8" t="str">
        <f>'Assumptions - General'!$E$27 &amp;" millions"</f>
        <v>R$ millions</v>
      </c>
      <c r="E953" s="470">
        <f>IF(E$19=1,'Assumptions - Infrastructure'!E38," ")</f>
        <v>150</v>
      </c>
      <c r="F953" s="29">
        <f>IF(F$19=1,F949-F950-F951," ")</f>
        <v>135.33333333333334</v>
      </c>
      <c r="G953" s="29">
        <f t="shared" ref="G953:AH953" si="380">IF(G$19=1,G949-G950-G951," ")</f>
        <v>121.00000000000001</v>
      </c>
      <c r="H953" s="29">
        <f t="shared" si="380"/>
        <v>107.00000000000001</v>
      </c>
      <c r="I953" s="29">
        <f t="shared" si="380"/>
        <v>93.333333333333343</v>
      </c>
      <c r="J953" s="29">
        <f t="shared" si="380"/>
        <v>80.000000000000014</v>
      </c>
      <c r="K953" s="29">
        <f t="shared" si="380"/>
        <v>67.000000000000014</v>
      </c>
      <c r="L953" s="29">
        <f t="shared" si="380"/>
        <v>54.33333333333335</v>
      </c>
      <c r="M953" s="29">
        <f t="shared" si="380"/>
        <v>42.000000000000014</v>
      </c>
      <c r="N953" s="29">
        <f t="shared" si="380"/>
        <v>30.000000000000014</v>
      </c>
      <c r="O953" s="29">
        <f t="shared" si="380"/>
        <v>18.333333333333346</v>
      </c>
      <c r="P953" s="29">
        <f t="shared" si="380"/>
        <v>7.0000000000000133</v>
      </c>
      <c r="Q953" s="29">
        <f t="shared" si="380"/>
        <v>0</v>
      </c>
      <c r="R953" s="29">
        <f t="shared" si="380"/>
        <v>0</v>
      </c>
      <c r="S953" s="29">
        <f t="shared" si="380"/>
        <v>0</v>
      </c>
      <c r="T953" s="29">
        <f t="shared" si="380"/>
        <v>0</v>
      </c>
      <c r="U953" s="29">
        <f t="shared" si="380"/>
        <v>0</v>
      </c>
      <c r="V953" s="29">
        <f t="shared" si="380"/>
        <v>0</v>
      </c>
      <c r="W953" s="29">
        <f t="shared" si="380"/>
        <v>0</v>
      </c>
      <c r="X953" s="29">
        <f t="shared" si="380"/>
        <v>0</v>
      </c>
      <c r="Y953" s="29">
        <f t="shared" si="380"/>
        <v>0</v>
      </c>
      <c r="Z953" s="29">
        <f t="shared" si="380"/>
        <v>0</v>
      </c>
      <c r="AA953" s="29">
        <f t="shared" si="380"/>
        <v>0</v>
      </c>
      <c r="AB953" s="29">
        <f t="shared" si="380"/>
        <v>0</v>
      </c>
      <c r="AC953" s="29">
        <f t="shared" si="380"/>
        <v>0</v>
      </c>
      <c r="AD953" s="29">
        <f t="shared" si="380"/>
        <v>0</v>
      </c>
      <c r="AE953" s="29">
        <f t="shared" si="380"/>
        <v>0</v>
      </c>
      <c r="AF953" s="29">
        <f t="shared" si="380"/>
        <v>0</v>
      </c>
      <c r="AG953" s="29">
        <f t="shared" si="380"/>
        <v>0</v>
      </c>
      <c r="AH953" s="29">
        <f t="shared" si="380"/>
        <v>0</v>
      </c>
    </row>
    <row r="954" spans="1:34" s="20" customFormat="1" ht="14" x14ac:dyDescent="0.2">
      <c r="A954" s="87"/>
      <c r="B954" s="14"/>
      <c r="C954" s="8"/>
      <c r="D954" s="8"/>
      <c r="E954" s="29"/>
      <c r="F954" s="29"/>
      <c r="G954" s="29"/>
      <c r="H954" s="29"/>
      <c r="I954" s="29"/>
      <c r="J954" s="29"/>
      <c r="K954" s="29"/>
      <c r="L954" s="29"/>
      <c r="M954" s="29"/>
      <c r="N954" s="29"/>
      <c r="O954" s="29"/>
      <c r="P954" s="29"/>
      <c r="Q954" s="29"/>
      <c r="R954" s="29"/>
      <c r="S954" s="29"/>
      <c r="T954" s="29"/>
      <c r="U954" s="29"/>
      <c r="V954" s="29"/>
      <c r="W954" s="29"/>
      <c r="X954" s="29"/>
      <c r="Y954" s="29"/>
      <c r="Z954" s="29"/>
      <c r="AA954" s="29"/>
      <c r="AB954" s="29"/>
      <c r="AC954" s="29"/>
      <c r="AD954" s="29"/>
      <c r="AE954" s="29"/>
      <c r="AF954" s="29"/>
      <c r="AG954" s="29"/>
      <c r="AH954" s="29"/>
    </row>
    <row r="955" spans="1:34" s="20" customFormat="1" ht="14" x14ac:dyDescent="0.2">
      <c r="A955" s="87"/>
      <c r="B955" s="14" t="s">
        <v>634</v>
      </c>
      <c r="C955" s="8"/>
      <c r="D955" s="8" t="str">
        <f>'Assumptions - General'!$E$27 &amp;" millions"</f>
        <v>R$ millions</v>
      </c>
      <c r="E955" s="29"/>
      <c r="F955" s="29">
        <f>IF(F$19=1,E960," ")</f>
        <v>0</v>
      </c>
      <c r="G955" s="29">
        <f t="shared" ref="G955:AH955" si="381">IF(G$19=1,F960," ")</f>
        <v>20</v>
      </c>
      <c r="H955" s="29">
        <f t="shared" si="381"/>
        <v>39.130434782608695</v>
      </c>
      <c r="I955" s="29">
        <f t="shared" si="381"/>
        <v>57.826086956521742</v>
      </c>
      <c r="J955" s="29">
        <f t="shared" si="381"/>
        <v>76.08695652173914</v>
      </c>
      <c r="K955" s="29">
        <f t="shared" si="381"/>
        <v>93.913043478260875</v>
      </c>
      <c r="L955" s="29">
        <f t="shared" si="381"/>
        <v>111.30434782608697</v>
      </c>
      <c r="M955" s="29">
        <f t="shared" si="381"/>
        <v>128.2608695652174</v>
      </c>
      <c r="N955" s="29">
        <f t="shared" si="381"/>
        <v>144.78260869565219</v>
      </c>
      <c r="O955" s="29">
        <f t="shared" si="381"/>
        <v>160.86956521739131</v>
      </c>
      <c r="P955" s="29">
        <f t="shared" si="381"/>
        <v>176.52173913043478</v>
      </c>
      <c r="Q955" s="29">
        <f t="shared" si="381"/>
        <v>191.7391304347826</v>
      </c>
      <c r="R955" s="29">
        <f t="shared" si="381"/>
        <v>206.52173913043478</v>
      </c>
      <c r="S955" s="29">
        <f t="shared" si="381"/>
        <v>215.97826086956522</v>
      </c>
      <c r="T955" s="29">
        <f t="shared" si="381"/>
        <v>225.10869565217391</v>
      </c>
      <c r="U955" s="29">
        <f t="shared" si="381"/>
        <v>233.91304347826087</v>
      </c>
      <c r="V955" s="29">
        <f t="shared" si="381"/>
        <v>242.39130434782609</v>
      </c>
      <c r="W955" s="29">
        <f t="shared" si="381"/>
        <v>250.54347826086959</v>
      </c>
      <c r="X955" s="29">
        <f t="shared" si="381"/>
        <v>258.36956521739137</v>
      </c>
      <c r="Y955" s="29">
        <f t="shared" si="381"/>
        <v>265.86956521739137</v>
      </c>
      <c r="Z955" s="29">
        <f t="shared" si="381"/>
        <v>273.04347826086962</v>
      </c>
      <c r="AA955" s="29">
        <f t="shared" si="381"/>
        <v>279.89130434782612</v>
      </c>
      <c r="AB955" s="29">
        <f t="shared" si="381"/>
        <v>286.41304347826093</v>
      </c>
      <c r="AC955" s="29">
        <f t="shared" si="381"/>
        <v>292.60869565217399</v>
      </c>
      <c r="AD955" s="29">
        <f t="shared" si="381"/>
        <v>298.4782608695653</v>
      </c>
      <c r="AE955" s="29">
        <f t="shared" si="381"/>
        <v>304.02173913043487</v>
      </c>
      <c r="AF955" s="29">
        <f t="shared" si="381"/>
        <v>309.23913043478268</v>
      </c>
      <c r="AG955" s="29">
        <f t="shared" si="381"/>
        <v>314.13043478260875</v>
      </c>
      <c r="AH955" s="29">
        <f t="shared" si="381"/>
        <v>318.69565217391312</v>
      </c>
    </row>
    <row r="956" spans="1:34" s="20" customFormat="1" ht="14" x14ac:dyDescent="0.2">
      <c r="A956" s="87"/>
      <c r="B956" s="30" t="s">
        <v>130</v>
      </c>
      <c r="C956" s="8"/>
      <c r="D956" s="8" t="str">
        <f>'Assumptions - General'!$E$27 &amp;" millions"</f>
        <v>R$ millions</v>
      </c>
      <c r="E956" s="29"/>
      <c r="F956" s="29">
        <f>IF(F$19=1,IF($D$928=1,$D$929*'Assumptions - Infrastructure'!F45,'Assumptions - Infrastructure'!F45)," ")</f>
        <v>20</v>
      </c>
      <c r="G956" s="29">
        <f>IF(G$19=1,IF($D$928=1,$D$929*'Assumptions - Infrastructure'!G45,'Assumptions - Infrastructure'!G45)," ")</f>
        <v>20</v>
      </c>
      <c r="H956" s="29">
        <f>IF(H$19=1,IF($D$928=1,$D$929*'Assumptions - Infrastructure'!H45,'Assumptions - Infrastructure'!H45)," ")</f>
        <v>20</v>
      </c>
      <c r="I956" s="29">
        <f>IF(I$19=1,IF($D$928=1,$D$929*'Assumptions - Infrastructure'!I45,'Assumptions - Infrastructure'!I45)," ")</f>
        <v>20</v>
      </c>
      <c r="J956" s="29">
        <f>IF(J$19=1,IF($D$928=1,$D$929*'Assumptions - Infrastructure'!J45,'Assumptions - Infrastructure'!J45)," ")</f>
        <v>20</v>
      </c>
      <c r="K956" s="29">
        <f>IF(K$19=1,IF($D$928=1,$D$929*'Assumptions - Infrastructure'!K45,'Assumptions - Infrastructure'!K45)," ")</f>
        <v>20</v>
      </c>
      <c r="L956" s="29">
        <f>IF(L$19=1,IF($D$928=1,$D$929*'Assumptions - Infrastructure'!L45,'Assumptions - Infrastructure'!L45)," ")</f>
        <v>20</v>
      </c>
      <c r="M956" s="29">
        <f>IF(M$19=1,IF($D$928=1,$D$929*'Assumptions - Infrastructure'!M45,'Assumptions - Infrastructure'!M45)," ")</f>
        <v>20</v>
      </c>
      <c r="N956" s="29">
        <f>IF(N$19=1,IF($D$928=1,$D$929*'Assumptions - Infrastructure'!N45,'Assumptions - Infrastructure'!N45)," ")</f>
        <v>20</v>
      </c>
      <c r="O956" s="29">
        <f>IF(O$19=1,IF($D$928=1,$D$929*'Assumptions - Infrastructure'!O45,'Assumptions - Infrastructure'!O45)," ")</f>
        <v>20</v>
      </c>
      <c r="P956" s="29">
        <f>IF(P$19=1,IF($D$928=1,$D$929*'Assumptions - Infrastructure'!P45,'Assumptions - Infrastructure'!P45)," ")</f>
        <v>20</v>
      </c>
      <c r="Q956" s="29">
        <f>IF(Q$19=1,IF($D$928=1,$D$929*'Assumptions - Infrastructure'!Q45,'Assumptions - Infrastructure'!Q45)," ")</f>
        <v>20</v>
      </c>
      <c r="R956" s="29">
        <f>IF(R$19=1,IF($D$928=1,$D$929*'Assumptions - Infrastructure'!R45,'Assumptions - Infrastructure'!R45)," ")</f>
        <v>20</v>
      </c>
      <c r="S956" s="29">
        <f>IF(S$19=1,IF($D$928=1,$D$929*'Assumptions - Infrastructure'!S45,'Assumptions - Infrastructure'!S45)," ")</f>
        <v>20</v>
      </c>
      <c r="T956" s="29">
        <f>IF(T$19=1,IF($D$928=1,$D$929*'Assumptions - Infrastructure'!T45,'Assumptions - Infrastructure'!T45)," ")</f>
        <v>20</v>
      </c>
      <c r="U956" s="29">
        <f>IF(U$19=1,IF($D$928=1,$D$929*'Assumptions - Infrastructure'!U45,'Assumptions - Infrastructure'!U45)," ")</f>
        <v>20</v>
      </c>
      <c r="V956" s="29">
        <f>IF(V$19=1,IF($D$928=1,$D$929*'Assumptions - Infrastructure'!V45,'Assumptions - Infrastructure'!V45)," ")</f>
        <v>20</v>
      </c>
      <c r="W956" s="29">
        <f>IF(W$19=1,IF($D$928=1,$D$929*'Assumptions - Infrastructure'!W45,'Assumptions - Infrastructure'!W45)," ")</f>
        <v>20</v>
      </c>
      <c r="X956" s="29">
        <f>IF(X$19=1,IF($D$928=1,$D$929*'Assumptions - Infrastructure'!X45,'Assumptions - Infrastructure'!X45)," ")</f>
        <v>20</v>
      </c>
      <c r="Y956" s="29">
        <f>IF(Y$19=1,IF($D$928=1,$D$929*'Assumptions - Infrastructure'!Y45,'Assumptions - Infrastructure'!Y45)," ")</f>
        <v>20</v>
      </c>
      <c r="Z956" s="29">
        <f>IF(Z$19=1,IF($D$928=1,$D$929*'Assumptions - Infrastructure'!Z45,'Assumptions - Infrastructure'!Z45)," ")</f>
        <v>20</v>
      </c>
      <c r="AA956" s="29">
        <f>IF(AA$19=1,IF($D$928=1,$D$929*'Assumptions - Infrastructure'!AA45,'Assumptions - Infrastructure'!AA45)," ")</f>
        <v>20</v>
      </c>
      <c r="AB956" s="29">
        <f>IF(AB$19=1,IF($D$928=1,$D$929*'Assumptions - Infrastructure'!AB45,'Assumptions - Infrastructure'!AB45)," ")</f>
        <v>20</v>
      </c>
      <c r="AC956" s="29">
        <f>IF(AC$19=1,IF($D$928=1,$D$929*'Assumptions - Infrastructure'!AC45,'Assumptions - Infrastructure'!AC45)," ")</f>
        <v>20</v>
      </c>
      <c r="AD956" s="29">
        <f>IF(AD$19=1,IF($D$928=1,$D$929*'Assumptions - Infrastructure'!AD45,'Assumptions - Infrastructure'!AD45)," ")</f>
        <v>20</v>
      </c>
      <c r="AE956" s="29">
        <f>IF(AE$19=1,IF($D$928=1,$D$929*'Assumptions - Infrastructure'!AE45,'Assumptions - Infrastructure'!AE45)," ")</f>
        <v>20</v>
      </c>
      <c r="AF956" s="29">
        <f>IF(AF$19=1,IF($D$928=1,$D$929*'Assumptions - Infrastructure'!AF45,'Assumptions - Infrastructure'!AF45)," ")</f>
        <v>20</v>
      </c>
      <c r="AG956" s="29">
        <f>IF(AG$19=1,IF($D$928=1,$D$929*'Assumptions - Infrastructure'!AG45,'Assumptions - Infrastructure'!AG45)," ")</f>
        <v>20</v>
      </c>
      <c r="AH956" s="29">
        <f>IF(AH$19=1,IF($D$928=1,$D$929*'Assumptions - Infrastructure'!AH45,'Assumptions - Infrastructure'!AH45)," ")</f>
        <v>20</v>
      </c>
    </row>
    <row r="957" spans="1:34" s="20" customFormat="1" ht="14" x14ac:dyDescent="0.2">
      <c r="A957" s="87"/>
      <c r="B957" s="30" t="s">
        <v>608</v>
      </c>
      <c r="C957" s="8"/>
      <c r="D957" s="8" t="str">
        <f>'Assumptions - General'!$E$27 &amp;" millions"</f>
        <v>R$ millions</v>
      </c>
      <c r="E957" s="29"/>
      <c r="F957" s="29">
        <f>IF(F$19=1,'Assumptions - Infrastructure'!F53-Calculations!F950," ")</f>
        <v>0</v>
      </c>
      <c r="G957" s="29">
        <f>IF(G$19=1,'Assumptions - Infrastructure'!G53-Calculations!G950," ")</f>
        <v>0</v>
      </c>
      <c r="H957" s="29">
        <f>IF(H$19=1,'Assumptions - Infrastructure'!H53-Calculations!H950," ")</f>
        <v>0</v>
      </c>
      <c r="I957" s="29">
        <f>IF(I$19=1,'Assumptions - Infrastructure'!I53-Calculations!I950," ")</f>
        <v>0</v>
      </c>
      <c r="J957" s="29">
        <f>IF(J$19=1,'Assumptions - Infrastructure'!J53-Calculations!J950," ")</f>
        <v>0</v>
      </c>
      <c r="K957" s="29">
        <f>IF(K$19=1,'Assumptions - Infrastructure'!K53-Calculations!K950," ")</f>
        <v>0</v>
      </c>
      <c r="L957" s="29">
        <f>IF(L$19=1,'Assumptions - Infrastructure'!L53-Calculations!L950," ")</f>
        <v>0</v>
      </c>
      <c r="M957" s="29">
        <f>IF(M$19=1,'Assumptions - Infrastructure'!M53-Calculations!M950," ")</f>
        <v>0</v>
      </c>
      <c r="N957" s="29">
        <f>IF(N$19=1,'Assumptions - Infrastructure'!N53-Calculations!N950," ")</f>
        <v>0</v>
      </c>
      <c r="O957" s="29">
        <f>IF(O$19=1,'Assumptions - Infrastructure'!O53-Calculations!O950," ")</f>
        <v>0</v>
      </c>
      <c r="P957" s="29">
        <f>IF(P$19=1,'Assumptions - Infrastructure'!P53-Calculations!P950," ")</f>
        <v>0</v>
      </c>
      <c r="Q957" s="29">
        <f>IF(Q$19=1,'Assumptions - Infrastructure'!Q53-Calculations!Q950," ")</f>
        <v>0</v>
      </c>
      <c r="R957" s="29">
        <f>IF(R$19=1,'Assumptions - Infrastructure'!R53-Calculations!R950," ")</f>
        <v>5</v>
      </c>
      <c r="S957" s="29">
        <f>IF(S$19=1,'Assumptions - Infrastructure'!S53-Calculations!S950," ")</f>
        <v>5</v>
      </c>
      <c r="T957" s="29">
        <f>IF(T$19=1,'Assumptions - Infrastructure'!T53-Calculations!T950," ")</f>
        <v>5</v>
      </c>
      <c r="U957" s="29">
        <f>IF(U$19=1,'Assumptions - Infrastructure'!U53-Calculations!U950," ")</f>
        <v>5</v>
      </c>
      <c r="V957" s="29">
        <f>IF(V$19=1,'Assumptions - Infrastructure'!V53-Calculations!V950," ")</f>
        <v>5</v>
      </c>
      <c r="W957" s="29">
        <f>IF(W$19=1,'Assumptions - Infrastructure'!W53-Calculations!W950," ")</f>
        <v>5</v>
      </c>
      <c r="X957" s="29">
        <f>IF(X$19=1,'Assumptions - Infrastructure'!X53-Calculations!X950," ")</f>
        <v>5</v>
      </c>
      <c r="Y957" s="29">
        <f>IF(Y$19=1,'Assumptions - Infrastructure'!Y53-Calculations!Y950," ")</f>
        <v>5</v>
      </c>
      <c r="Z957" s="29">
        <f>IF(Z$19=1,'Assumptions - Infrastructure'!Z53-Calculations!Z950," ")</f>
        <v>5</v>
      </c>
      <c r="AA957" s="29">
        <f>IF(AA$19=1,'Assumptions - Infrastructure'!AA53-Calculations!AA950," ")</f>
        <v>5</v>
      </c>
      <c r="AB957" s="29">
        <f>IF(AB$19=1,'Assumptions - Infrastructure'!AB53-Calculations!AB950," ")</f>
        <v>5</v>
      </c>
      <c r="AC957" s="29">
        <f>IF(AC$19=1,'Assumptions - Infrastructure'!AC53-Calculations!AC950," ")</f>
        <v>5</v>
      </c>
      <c r="AD957" s="29">
        <f>IF(AD$19=1,'Assumptions - Infrastructure'!AD53-Calculations!AD950," ")</f>
        <v>5</v>
      </c>
      <c r="AE957" s="29">
        <f>IF(AE$19=1,'Assumptions - Infrastructure'!AE53-Calculations!AE950," ")</f>
        <v>5</v>
      </c>
      <c r="AF957" s="29">
        <f>IF(AF$19=1,'Assumptions - Infrastructure'!AF53-Calculations!AF950," ")</f>
        <v>5</v>
      </c>
      <c r="AG957" s="29">
        <f>IF(AG$19=1,'Assumptions - Infrastructure'!AG53-Calculations!AG950," ")</f>
        <v>5</v>
      </c>
      <c r="AH957" s="29">
        <f>IF(AH$19=1,'Assumptions - Infrastructure'!AH53-Calculations!AH950," ")</f>
        <v>5</v>
      </c>
    </row>
    <row r="958" spans="1:34" s="20" customFormat="1" ht="14" x14ac:dyDescent="0.2">
      <c r="A958" s="87"/>
      <c r="B958" s="30" t="s">
        <v>635</v>
      </c>
      <c r="C958" s="8"/>
      <c r="D958" s="8" t="str">
        <f>'Assumptions - General'!$E$27 &amp;" millions"</f>
        <v>R$ millions</v>
      </c>
      <c r="E958" s="29"/>
      <c r="F958" s="29">
        <f>IF(F$19=1,(IF($A$948=1,IF(F955-F957&gt;0,(MIN((F955-F957),(SUM($E956:F956)-SUM($E957:F957))/'Assumptions - Infrastructure'!$E73)),0),0))," ")</f>
        <v>0</v>
      </c>
      <c r="G958" s="29">
        <f>IF(G$19=1,(IF($A$948=1,IF(G955-G957&gt;0,(MIN((G955-G957),(SUM($E956:G956)-SUM($E957:G957))/'Assumptions - Infrastructure'!$E73)),0),0))," ")</f>
        <v>0.86956521739130432</v>
      </c>
      <c r="H958" s="29">
        <f>IF(H$19=1,(IF($A$948=1,IF(H955-H957&gt;0,(MIN((H955-H957),(SUM($E956:H956)-SUM($E957:H957))/'Assumptions - Infrastructure'!$E73)),0),0))," ")</f>
        <v>1.3043478260869565</v>
      </c>
      <c r="I958" s="29">
        <f>IF(I$19=1,(IF($A$948=1,IF(I955-I957&gt;0,(MIN((I955-I957),(SUM($E956:I956)-SUM($E957:I957))/'Assumptions - Infrastructure'!$E73)),0),0))," ")</f>
        <v>1.7391304347826086</v>
      </c>
      <c r="J958" s="29">
        <f>IF(J$19=1,(IF($A$948=1,IF(J955-J957&gt;0,(MIN((J955-J957),(SUM($E956:J956)-SUM($E957:J957))/'Assumptions - Infrastructure'!$E73)),0),0))," ")</f>
        <v>2.1739130434782608</v>
      </c>
      <c r="K958" s="29">
        <f>IF(K$19=1,(IF($A$948=1,IF(K955-K957&gt;0,(MIN((K955-K957),(SUM($E956:K956)-SUM($E957:K957))/'Assumptions - Infrastructure'!$E73)),0),0))," ")</f>
        <v>2.6086956521739131</v>
      </c>
      <c r="L958" s="29">
        <f>IF(L$19=1,(IF($A$948=1,IF(L955-L957&gt;0,(MIN((L955-L957),(SUM($E956:L956)-SUM($E957:L957))/'Assumptions - Infrastructure'!$E73)),0),0))," ")</f>
        <v>3.0434782608695654</v>
      </c>
      <c r="M958" s="29">
        <f>IF(M$19=1,(IF($A$948=1,IF(M955-M957&gt;0,(MIN((M955-M957),(SUM($E956:M956)-SUM($E957:M957))/'Assumptions - Infrastructure'!$E73)),0),0))," ")</f>
        <v>3.4782608695652173</v>
      </c>
      <c r="N958" s="29">
        <f>IF(N$19=1,(IF($A$948=1,IF(N955-N957&gt;0,(MIN((N955-N957),(SUM($E956:N956)-SUM($E957:N957))/'Assumptions - Infrastructure'!$E73)),0),0))," ")</f>
        <v>3.9130434782608696</v>
      </c>
      <c r="O958" s="29">
        <f>IF(O$19=1,(IF($A$948=1,IF(O955-O957&gt;0,(MIN((O955-O957),(SUM($E956:O956)-SUM($E957:O957))/'Assumptions - Infrastructure'!$E73)),0),0))," ")</f>
        <v>4.3478260869565215</v>
      </c>
      <c r="P958" s="29">
        <f>IF(P$19=1,(IF($A$948=1,IF(P955-P957&gt;0,(MIN((P955-P957),(SUM($E956:P956)-SUM($E957:P957))/'Assumptions - Infrastructure'!$E73)),0),0))," ")</f>
        <v>4.7826086956521738</v>
      </c>
      <c r="Q958" s="29">
        <f>IF(Q$19=1,(IF($A$948=1,IF(Q955-Q957&gt;0,(MIN((Q955-Q957),(SUM($E956:Q956)-SUM($E957:Q957))/'Assumptions - Infrastructure'!$E73)),0),0))," ")</f>
        <v>5.2173913043478262</v>
      </c>
      <c r="R958" s="29">
        <f>IF(R$19=1,(IF($A$948=1,IF(R955-R957&gt;0,(MIN((R955-R957),(SUM($E956:R956)-SUM($E957:R957))/'Assumptions - Infrastructure'!$E73)),0),0))," ")</f>
        <v>5.5434782608695654</v>
      </c>
      <c r="S958" s="29">
        <f>IF(S$19=1,(IF($A$948=1,IF(S955-S957&gt;0,(MIN((S955-S957),(SUM($E956:S956)-SUM($E957:S957))/'Assumptions - Infrastructure'!$E73)),0),0))," ")</f>
        <v>5.8695652173913047</v>
      </c>
      <c r="T958" s="29">
        <f>IF(T$19=1,(IF($A$948=1,IF(T955-T957&gt;0,(MIN((T955-T957),(SUM($E956:T956)-SUM($E957:T957))/'Assumptions - Infrastructure'!$E73)),0),0))," ")</f>
        <v>6.1956521739130439</v>
      </c>
      <c r="U958" s="29">
        <f>IF(U$19=1,(IF($A$948=1,IF(U955-U957&gt;0,(MIN((U955-U957),(SUM($E956:U956)-SUM($E957:U957))/'Assumptions - Infrastructure'!$E73)),0),0))," ")</f>
        <v>6.5217391304347823</v>
      </c>
      <c r="V958" s="29">
        <f>IF(V$19=1,(IF($A$948=1,IF(V955-V957&gt;0,(MIN((V955-V957),(SUM($E956:V956)-SUM($E957:V957))/'Assumptions - Infrastructure'!$E73)),0),0))," ")</f>
        <v>6.8478260869565215</v>
      </c>
      <c r="W958" s="29">
        <f>IF(W$19=1,(IF($A$948=1,IF(W955-W957&gt;0,(MIN((W955-W957),(SUM($E956:W956)-SUM($E957:W957))/'Assumptions - Infrastructure'!$E73)),0),0))," ")</f>
        <v>7.1739130434782608</v>
      </c>
      <c r="X958" s="29">
        <f>IF(X$19=1,(IF($A$948=1,IF(X955-X957&gt;0,(MIN((X955-X957),(SUM($E956:X956)-SUM($E957:X957))/'Assumptions - Infrastructure'!$E73)),0),0))," ")</f>
        <v>7.5</v>
      </c>
      <c r="Y958" s="29">
        <f>IF(Y$19=1,(IF($A$948=1,IF(Y955-Y957&gt;0,(MIN((Y955-Y957),(SUM($E956:Y956)-SUM($E957:Y957))/'Assumptions - Infrastructure'!$E73)),0),0))," ")</f>
        <v>7.8260869565217392</v>
      </c>
      <c r="Z958" s="29">
        <f>IF(Z$19=1,(IF($A$948=1,IF(Z955-Z957&gt;0,(MIN((Z955-Z957),(SUM($E956:Z956)-SUM($E957:Z957))/'Assumptions - Infrastructure'!$E73)),0),0))," ")</f>
        <v>8.1521739130434785</v>
      </c>
      <c r="AA958" s="29">
        <f>IF(AA$19=1,(IF($A$948=1,IF(AA955-AA957&gt;0,(MIN((AA955-AA957),(SUM($E956:AA956)-SUM($E957:AA957))/'Assumptions - Infrastructure'!$E73)),0),0))," ")</f>
        <v>8.4782608695652169</v>
      </c>
      <c r="AB958" s="29">
        <f>IF(AB$19=1,(IF($A$948=1,IF(AB955-AB957&gt;0,(MIN((AB955-AB957),(SUM($E956:AB956)-SUM($E957:AB957))/'Assumptions - Infrastructure'!$E73)),0),0))," ")</f>
        <v>8.804347826086957</v>
      </c>
      <c r="AC958" s="29">
        <f>IF(AC$19=1,(IF($A$948=1,IF(AC955-AC957&gt;0,(MIN((AC955-AC957),(SUM($E956:AC956)-SUM($E957:AC957))/'Assumptions - Infrastructure'!$E73)),0),0))," ")</f>
        <v>9.1304347826086953</v>
      </c>
      <c r="AD958" s="29">
        <f>IF(AD$19=1,(IF($A$948=1,IF(AD955-AD957&gt;0,(MIN((AD955-AD957),(SUM($E956:AD956)-SUM($E957:AD957))/'Assumptions - Infrastructure'!$E73)),0),0))," ")</f>
        <v>9.4565217391304355</v>
      </c>
      <c r="AE958" s="29">
        <f>IF(AE$19=1,(IF($A$948=1,IF(AE955-AE957&gt;0,(MIN((AE955-AE957),(SUM($E956:AE956)-SUM($E957:AE957))/'Assumptions - Infrastructure'!$E73)),0),0))," ")</f>
        <v>9.7826086956521738</v>
      </c>
      <c r="AF958" s="29">
        <f>IF(AF$19=1,(IF($A$948=1,IF(AF955-AF957&gt;0,(MIN((AF955-AF957),(SUM($E956:AF956)-SUM($E957:AF957))/'Assumptions - Infrastructure'!$E73)),0),0))," ")</f>
        <v>10.108695652173912</v>
      </c>
      <c r="AG958" s="29">
        <f>IF(AG$19=1,(IF($A$948=1,IF(AG955-AG957&gt;0,(MIN((AG955-AG957),(SUM($E956:AG956)-SUM($E957:AG957))/'Assumptions - Infrastructure'!$E73)),0),0))," ")</f>
        <v>10.434782608695652</v>
      </c>
      <c r="AH958" s="29">
        <f>IF(AH$19=1,(IF($A$948=1,IF(AH955-AH957&gt;0,(MIN((AH955-AH957),(SUM($E956:AH956)-SUM($E957:AH957))/'Assumptions - Infrastructure'!$E73)),0),0))," ")</f>
        <v>10.760869565217391</v>
      </c>
    </row>
    <row r="959" spans="1:34" s="20" customFormat="1" ht="14" x14ac:dyDescent="0.2">
      <c r="A959" s="87"/>
      <c r="B959" s="30" t="s">
        <v>636</v>
      </c>
      <c r="C959" s="8"/>
      <c r="D959" s="8" t="str">
        <f>'Assumptions - General'!$E$27 &amp;" millions"</f>
        <v>R$ millions</v>
      </c>
      <c r="E959" s="29"/>
      <c r="F959" s="29">
        <f>IF(F$19=1,SUM($E958:F958)," ")</f>
        <v>0</v>
      </c>
      <c r="G959" s="29">
        <f>IF(G$19=1,SUM($E958:G958)," ")</f>
        <v>0.86956521739130432</v>
      </c>
      <c r="H959" s="29">
        <f>IF(H$19=1,SUM($E958:H958)," ")</f>
        <v>2.1739130434782608</v>
      </c>
      <c r="I959" s="29">
        <f>IF(I$19=1,SUM($E958:I958)," ")</f>
        <v>3.9130434782608692</v>
      </c>
      <c r="J959" s="29">
        <f>IF(J$19=1,SUM($E958:J958)," ")</f>
        <v>6.0869565217391299</v>
      </c>
      <c r="K959" s="29">
        <f>IF(K$19=1,SUM($E958:K958)," ")</f>
        <v>8.695652173913043</v>
      </c>
      <c r="L959" s="29">
        <f>IF(L$19=1,SUM($E958:L958)," ")</f>
        <v>11.739130434782609</v>
      </c>
      <c r="M959" s="29">
        <f>IF(M$19=1,SUM($E958:M958)," ")</f>
        <v>15.217391304347826</v>
      </c>
      <c r="N959" s="29">
        <f>IF(N$19=1,SUM($E958:N958)," ")</f>
        <v>19.130434782608695</v>
      </c>
      <c r="O959" s="29">
        <f>IF(O$19=1,SUM($E958:O958)," ")</f>
        <v>23.478260869565219</v>
      </c>
      <c r="P959" s="29">
        <f>IF(P$19=1,SUM($E958:P958)," ")</f>
        <v>28.260869565217391</v>
      </c>
      <c r="Q959" s="29">
        <f>IF(Q$19=1,SUM($E958:Q958)," ")</f>
        <v>33.478260869565219</v>
      </c>
      <c r="R959" s="29">
        <f>IF(R$19=1,SUM($E958:R958)," ")</f>
        <v>39.021739130434781</v>
      </c>
      <c r="S959" s="29">
        <f>IF(S$19=1,SUM($E958:S958)," ")</f>
        <v>44.891304347826086</v>
      </c>
      <c r="T959" s="29">
        <f>IF(T$19=1,SUM($E958:T958)," ")</f>
        <v>51.086956521739133</v>
      </c>
      <c r="U959" s="29">
        <f>IF(U$19=1,SUM($E958:U958)," ")</f>
        <v>57.608695652173914</v>
      </c>
      <c r="V959" s="29">
        <f>IF(V$19=1,SUM($E958:V958)," ")</f>
        <v>64.456521739130437</v>
      </c>
      <c r="W959" s="29">
        <f>IF(W$19=1,SUM($E958:W958)," ")</f>
        <v>71.630434782608702</v>
      </c>
      <c r="X959" s="29">
        <f>IF(X$19=1,SUM($E958:X958)," ")</f>
        <v>79.130434782608702</v>
      </c>
      <c r="Y959" s="29">
        <f>IF(Y$19=1,SUM($E958:Y958)," ")</f>
        <v>86.956521739130437</v>
      </c>
      <c r="Z959" s="29">
        <f>IF(Z$19=1,SUM($E958:Z958)," ")</f>
        <v>95.108695652173921</v>
      </c>
      <c r="AA959" s="29">
        <f>IF(AA$19=1,SUM($E958:AA958)," ")</f>
        <v>103.58695652173914</v>
      </c>
      <c r="AB959" s="29">
        <f>IF(AB$19=1,SUM($E958:AB958)," ")</f>
        <v>112.39130434782609</v>
      </c>
      <c r="AC959" s="29">
        <f>IF(AC$19=1,SUM($E958:AC958)," ")</f>
        <v>121.52173913043478</v>
      </c>
      <c r="AD959" s="29">
        <f>IF(AD$19=1,SUM($E958:AD958)," ")</f>
        <v>130.97826086956522</v>
      </c>
      <c r="AE959" s="29">
        <f>IF(AE$19=1,SUM($E958:AE958)," ")</f>
        <v>140.7608695652174</v>
      </c>
      <c r="AF959" s="29">
        <f>IF(AF$19=1,SUM($E958:AF958)," ")</f>
        <v>150.86956521739131</v>
      </c>
      <c r="AG959" s="29">
        <f>IF(AG$19=1,SUM($E958:AG958)," ")</f>
        <v>161.30434782608697</v>
      </c>
      <c r="AH959" s="29">
        <f>IF(AH$19=1,SUM($E958:AH958)," ")</f>
        <v>172.06521739130437</v>
      </c>
    </row>
    <row r="960" spans="1:34" s="20" customFormat="1" ht="14" x14ac:dyDescent="0.2">
      <c r="A960" s="87"/>
      <c r="B960" s="14" t="s">
        <v>640</v>
      </c>
      <c r="C960" s="8"/>
      <c r="D960" s="8" t="str">
        <f>'Assumptions - General'!$E$27 &amp;" millions"</f>
        <v>R$ millions</v>
      </c>
      <c r="E960" s="29"/>
      <c r="F960" s="29">
        <f>IF(F$19=1,F955+F956-F957-F958," ")</f>
        <v>20</v>
      </c>
      <c r="G960" s="29">
        <f t="shared" ref="G960:AH960" si="382">IF(G$19=1,G955+G956-G957-G958," ")</f>
        <v>39.130434782608695</v>
      </c>
      <c r="H960" s="29">
        <f t="shared" si="382"/>
        <v>57.826086956521742</v>
      </c>
      <c r="I960" s="29">
        <f t="shared" si="382"/>
        <v>76.08695652173914</v>
      </c>
      <c r="J960" s="29">
        <f t="shared" si="382"/>
        <v>93.913043478260875</v>
      </c>
      <c r="K960" s="29">
        <f t="shared" si="382"/>
        <v>111.30434782608697</v>
      </c>
      <c r="L960" s="29">
        <f t="shared" si="382"/>
        <v>128.2608695652174</v>
      </c>
      <c r="M960" s="29">
        <f t="shared" si="382"/>
        <v>144.78260869565219</v>
      </c>
      <c r="N960" s="29">
        <f t="shared" si="382"/>
        <v>160.86956521739131</v>
      </c>
      <c r="O960" s="29">
        <f t="shared" si="382"/>
        <v>176.52173913043478</v>
      </c>
      <c r="P960" s="29">
        <f t="shared" si="382"/>
        <v>191.7391304347826</v>
      </c>
      <c r="Q960" s="29">
        <f t="shared" si="382"/>
        <v>206.52173913043478</v>
      </c>
      <c r="R960" s="29">
        <f t="shared" si="382"/>
        <v>215.97826086956522</v>
      </c>
      <c r="S960" s="29">
        <f t="shared" si="382"/>
        <v>225.10869565217391</v>
      </c>
      <c r="T960" s="29">
        <f t="shared" si="382"/>
        <v>233.91304347826087</v>
      </c>
      <c r="U960" s="29">
        <f t="shared" si="382"/>
        <v>242.39130434782609</v>
      </c>
      <c r="V960" s="29">
        <f t="shared" si="382"/>
        <v>250.54347826086959</v>
      </c>
      <c r="W960" s="29">
        <f t="shared" si="382"/>
        <v>258.36956521739137</v>
      </c>
      <c r="X960" s="29">
        <f t="shared" si="382"/>
        <v>265.86956521739137</v>
      </c>
      <c r="Y960" s="29">
        <f t="shared" si="382"/>
        <v>273.04347826086962</v>
      </c>
      <c r="Z960" s="29">
        <f t="shared" si="382"/>
        <v>279.89130434782612</v>
      </c>
      <c r="AA960" s="29">
        <f t="shared" si="382"/>
        <v>286.41304347826093</v>
      </c>
      <c r="AB960" s="29">
        <f t="shared" si="382"/>
        <v>292.60869565217399</v>
      </c>
      <c r="AC960" s="29">
        <f t="shared" si="382"/>
        <v>298.4782608695653</v>
      </c>
      <c r="AD960" s="29">
        <f t="shared" si="382"/>
        <v>304.02173913043487</v>
      </c>
      <c r="AE960" s="29">
        <f t="shared" si="382"/>
        <v>309.23913043478268</v>
      </c>
      <c r="AF960" s="29">
        <f t="shared" si="382"/>
        <v>314.13043478260875</v>
      </c>
      <c r="AG960" s="29">
        <f t="shared" si="382"/>
        <v>318.69565217391312</v>
      </c>
      <c r="AH960" s="29">
        <f t="shared" si="382"/>
        <v>322.93478260869574</v>
      </c>
    </row>
    <row r="961" spans="1:34" s="20" customFormat="1" ht="14" x14ac:dyDescent="0.2">
      <c r="A961" s="87"/>
      <c r="B961" s="14"/>
      <c r="C961" s="8"/>
      <c r="D961" s="8"/>
      <c r="E961" s="29"/>
      <c r="F961" s="29"/>
      <c r="G961" s="29"/>
      <c r="H961" s="29"/>
      <c r="I961" s="29"/>
      <c r="J961" s="29"/>
      <c r="K961" s="29"/>
      <c r="L961" s="29"/>
      <c r="M961" s="29"/>
      <c r="N961" s="29"/>
      <c r="O961" s="29"/>
      <c r="P961" s="29"/>
      <c r="Q961" s="29"/>
      <c r="R961" s="29"/>
      <c r="S961" s="29"/>
      <c r="T961" s="29"/>
      <c r="U961" s="29"/>
      <c r="V961" s="29"/>
      <c r="W961" s="29"/>
      <c r="X961" s="29"/>
      <c r="Y961" s="29"/>
      <c r="Z961" s="29"/>
      <c r="AA961" s="29"/>
      <c r="AB961" s="29"/>
      <c r="AC961" s="29"/>
      <c r="AD961" s="29"/>
      <c r="AE961" s="29"/>
      <c r="AF961" s="29"/>
      <c r="AG961" s="29"/>
      <c r="AH961" s="29"/>
    </row>
    <row r="962" spans="1:34" s="20" customFormat="1" ht="14" x14ac:dyDescent="0.2">
      <c r="A962" s="87"/>
      <c r="B962" s="14" t="s">
        <v>638</v>
      </c>
      <c r="C962" s="8"/>
      <c r="D962" s="8" t="str">
        <f>'Assumptions - General'!$E$27 &amp;" millions"</f>
        <v>R$ millions</v>
      </c>
      <c r="E962" s="29">
        <f>IF(E$19=1,E953+E960," ")</f>
        <v>150</v>
      </c>
      <c r="F962" s="29">
        <f t="shared" ref="F962:AH962" si="383">IF(F$19=1,F953+F960," ")</f>
        <v>155.33333333333334</v>
      </c>
      <c r="G962" s="29">
        <f t="shared" si="383"/>
        <v>160.13043478260872</v>
      </c>
      <c r="H962" s="29">
        <f t="shared" si="383"/>
        <v>164.82608695652175</v>
      </c>
      <c r="I962" s="29">
        <f t="shared" si="383"/>
        <v>169.4202898550725</v>
      </c>
      <c r="J962" s="29">
        <f t="shared" si="383"/>
        <v>173.91304347826087</v>
      </c>
      <c r="K962" s="29">
        <f t="shared" si="383"/>
        <v>178.304347826087</v>
      </c>
      <c r="L962" s="29">
        <f t="shared" si="383"/>
        <v>182.59420289855075</v>
      </c>
      <c r="M962" s="29">
        <f t="shared" si="383"/>
        <v>186.78260869565219</v>
      </c>
      <c r="N962" s="29">
        <f t="shared" si="383"/>
        <v>190.86956521739131</v>
      </c>
      <c r="O962" s="29">
        <f t="shared" si="383"/>
        <v>194.85507246376812</v>
      </c>
      <c r="P962" s="29">
        <f t="shared" si="383"/>
        <v>198.7391304347826</v>
      </c>
      <c r="Q962" s="29">
        <f t="shared" si="383"/>
        <v>206.52173913043478</v>
      </c>
      <c r="R962" s="29">
        <f t="shared" si="383"/>
        <v>215.97826086956522</v>
      </c>
      <c r="S962" s="29">
        <f t="shared" si="383"/>
        <v>225.10869565217391</v>
      </c>
      <c r="T962" s="29">
        <f t="shared" si="383"/>
        <v>233.91304347826087</v>
      </c>
      <c r="U962" s="29">
        <f t="shared" si="383"/>
        <v>242.39130434782609</v>
      </c>
      <c r="V962" s="29">
        <f t="shared" si="383"/>
        <v>250.54347826086959</v>
      </c>
      <c r="W962" s="29">
        <f t="shared" si="383"/>
        <v>258.36956521739137</v>
      </c>
      <c r="X962" s="29">
        <f t="shared" si="383"/>
        <v>265.86956521739137</v>
      </c>
      <c r="Y962" s="29">
        <f t="shared" si="383"/>
        <v>273.04347826086962</v>
      </c>
      <c r="Z962" s="29">
        <f t="shared" si="383"/>
        <v>279.89130434782612</v>
      </c>
      <c r="AA962" s="29">
        <f t="shared" si="383"/>
        <v>286.41304347826093</v>
      </c>
      <c r="AB962" s="29">
        <f t="shared" si="383"/>
        <v>292.60869565217399</v>
      </c>
      <c r="AC962" s="29">
        <f t="shared" si="383"/>
        <v>298.4782608695653</v>
      </c>
      <c r="AD962" s="29">
        <f t="shared" si="383"/>
        <v>304.02173913043487</v>
      </c>
      <c r="AE962" s="29">
        <f t="shared" si="383"/>
        <v>309.23913043478268</v>
      </c>
      <c r="AF962" s="29">
        <f t="shared" si="383"/>
        <v>314.13043478260875</v>
      </c>
      <c r="AG962" s="29">
        <f t="shared" si="383"/>
        <v>318.69565217391312</v>
      </c>
      <c r="AH962" s="29">
        <f t="shared" si="383"/>
        <v>322.93478260869574</v>
      </c>
    </row>
    <row r="963" spans="1:34" s="310" customFormat="1" ht="14" x14ac:dyDescent="0.2">
      <c r="A963" s="87"/>
      <c r="B963" s="446"/>
      <c r="C963" s="87"/>
      <c r="D963" s="87"/>
      <c r="E963" s="447"/>
      <c r="F963" s="447"/>
      <c r="G963" s="447"/>
      <c r="H963" s="447"/>
      <c r="I963" s="447"/>
      <c r="J963" s="447"/>
      <c r="K963" s="447"/>
      <c r="L963" s="447"/>
      <c r="M963" s="447"/>
      <c r="N963" s="447"/>
      <c r="O963" s="447"/>
      <c r="P963" s="447"/>
      <c r="Q963" s="447"/>
      <c r="R963" s="447"/>
      <c r="S963" s="447"/>
      <c r="T963" s="447"/>
      <c r="U963" s="447"/>
      <c r="V963" s="447"/>
      <c r="W963" s="447"/>
      <c r="X963" s="447"/>
      <c r="Y963" s="447"/>
      <c r="Z963" s="447"/>
      <c r="AA963" s="447"/>
      <c r="AB963" s="447"/>
      <c r="AC963" s="447"/>
      <c r="AD963" s="447"/>
      <c r="AE963" s="447"/>
      <c r="AF963" s="447"/>
      <c r="AG963" s="447"/>
      <c r="AH963" s="447"/>
    </row>
    <row r="964" spans="1:34" s="20" customFormat="1" ht="14" x14ac:dyDescent="0.2">
      <c r="A964" s="87">
        <f>'Assumptions - Infrastructure'!E77</f>
        <v>1</v>
      </c>
      <c r="B964" s="21" t="str">
        <f>'Assumptions - Infrastructure'!E32</f>
        <v>Track and infrastructure</v>
      </c>
      <c r="C964" s="8"/>
      <c r="D964" s="8"/>
      <c r="E964" s="29"/>
      <c r="F964" s="31"/>
      <c r="G964" s="31"/>
      <c r="H964" s="31"/>
      <c r="I964" s="31"/>
      <c r="J964" s="31"/>
      <c r="K964" s="31"/>
      <c r="L964" s="31"/>
      <c r="M964" s="31"/>
      <c r="N964" s="31"/>
      <c r="O964" s="31"/>
      <c r="P964" s="31"/>
      <c r="Q964" s="31"/>
      <c r="R964" s="31"/>
      <c r="S964" s="31"/>
      <c r="T964" s="31"/>
      <c r="U964" s="31"/>
      <c r="V964" s="31"/>
      <c r="W964" s="31"/>
      <c r="X964" s="31"/>
      <c r="Y964" s="31"/>
      <c r="Z964" s="31"/>
      <c r="AA964" s="31"/>
      <c r="AB964" s="31"/>
      <c r="AC964" s="31"/>
      <c r="AD964" s="31"/>
      <c r="AE964" s="31"/>
      <c r="AF964" s="31"/>
      <c r="AG964" s="31"/>
      <c r="AH964" s="31"/>
    </row>
    <row r="965" spans="1:34" s="20" customFormat="1" ht="14" x14ac:dyDescent="0.2">
      <c r="A965" s="87"/>
      <c r="B965" s="14" t="str">
        <f>"Starting value "</f>
        <v xml:space="preserve">Starting value </v>
      </c>
      <c r="C965" s="8"/>
      <c r="D965" s="8" t="str">
        <f>'Assumptions - General'!$E$27 &amp;" millions"</f>
        <v>R$ millions</v>
      </c>
      <c r="E965" s="29"/>
      <c r="F965" s="31">
        <f t="shared" ref="F965:AH965" si="384">IF(F$19=1,E969," ")</f>
        <v>200</v>
      </c>
      <c r="G965" s="31">
        <f t="shared" si="384"/>
        <v>182</v>
      </c>
      <c r="H965" s="31">
        <f t="shared" si="384"/>
        <v>164.33333333333334</v>
      </c>
      <c r="I965" s="31">
        <f t="shared" si="384"/>
        <v>147</v>
      </c>
      <c r="J965" s="31">
        <f t="shared" si="384"/>
        <v>130</v>
      </c>
      <c r="K965" s="31">
        <f t="shared" si="384"/>
        <v>113.33333333333333</v>
      </c>
      <c r="L965" s="31">
        <f t="shared" si="384"/>
        <v>97</v>
      </c>
      <c r="M965" s="31">
        <f t="shared" si="384"/>
        <v>81</v>
      </c>
      <c r="N965" s="31">
        <f t="shared" si="384"/>
        <v>65.333333333333329</v>
      </c>
      <c r="O965" s="31">
        <f t="shared" si="384"/>
        <v>49.999999999999993</v>
      </c>
      <c r="P965" s="31">
        <f t="shared" si="384"/>
        <v>34.999999999999993</v>
      </c>
      <c r="Q965" s="31">
        <f t="shared" si="384"/>
        <v>20.333333333333329</v>
      </c>
      <c r="R965" s="31">
        <f t="shared" si="384"/>
        <v>5.9999999999999947</v>
      </c>
      <c r="S965" s="31">
        <f t="shared" si="384"/>
        <v>0</v>
      </c>
      <c r="T965" s="31">
        <f t="shared" si="384"/>
        <v>0</v>
      </c>
      <c r="U965" s="31">
        <f t="shared" si="384"/>
        <v>0</v>
      </c>
      <c r="V965" s="31">
        <f t="shared" si="384"/>
        <v>0</v>
      </c>
      <c r="W965" s="31">
        <f t="shared" si="384"/>
        <v>0</v>
      </c>
      <c r="X965" s="31">
        <f t="shared" si="384"/>
        <v>0</v>
      </c>
      <c r="Y965" s="31">
        <f t="shared" si="384"/>
        <v>0</v>
      </c>
      <c r="Z965" s="31">
        <f t="shared" si="384"/>
        <v>0</v>
      </c>
      <c r="AA965" s="31">
        <f t="shared" si="384"/>
        <v>0</v>
      </c>
      <c r="AB965" s="31">
        <f t="shared" si="384"/>
        <v>0</v>
      </c>
      <c r="AC965" s="31">
        <f t="shared" si="384"/>
        <v>0</v>
      </c>
      <c r="AD965" s="31">
        <f t="shared" si="384"/>
        <v>0</v>
      </c>
      <c r="AE965" s="31">
        <f t="shared" si="384"/>
        <v>0</v>
      </c>
      <c r="AF965" s="31">
        <f t="shared" si="384"/>
        <v>0</v>
      </c>
      <c r="AG965" s="31">
        <f t="shared" si="384"/>
        <v>0</v>
      </c>
      <c r="AH965" s="31">
        <f t="shared" si="384"/>
        <v>0</v>
      </c>
    </row>
    <row r="966" spans="1:34" s="20" customFormat="1" ht="14" x14ac:dyDescent="0.2">
      <c r="A966" s="87"/>
      <c r="B966" s="30" t="s">
        <v>608</v>
      </c>
      <c r="C966" s="8"/>
      <c r="D966" s="8" t="str">
        <f>'Assumptions - General'!$E$27 &amp;" millions"</f>
        <v>R$ millions</v>
      </c>
      <c r="E966" s="29"/>
      <c r="F966" s="29">
        <f>IF(F$19=1,IF(F965&gt;0,MIN(F965,'Assumptions - Infrastructure'!F54),0)," ")</f>
        <v>5</v>
      </c>
      <c r="G966" s="29">
        <f>IF(G$19=1,IF(G965&gt;0,MIN(G965,'Assumptions - Infrastructure'!G54),0)," ")</f>
        <v>5</v>
      </c>
      <c r="H966" s="29">
        <f>IF(H$19=1,IF(H965&gt;0,MIN(H965,'Assumptions - Infrastructure'!H54),0)," ")</f>
        <v>5</v>
      </c>
      <c r="I966" s="29">
        <f>IF(I$19=1,IF(I965&gt;0,MIN(I965,'Assumptions - Infrastructure'!I54),0)," ")</f>
        <v>5</v>
      </c>
      <c r="J966" s="29">
        <f>IF(J$19=1,IF(J965&gt;0,MIN(J965,'Assumptions - Infrastructure'!J54),0)," ")</f>
        <v>5</v>
      </c>
      <c r="K966" s="29">
        <f>IF(K$19=1,IF(K965&gt;0,MIN(K965,'Assumptions - Infrastructure'!K54),0)," ")</f>
        <v>5</v>
      </c>
      <c r="L966" s="29">
        <f>IF(L$19=1,IF(L965&gt;0,MIN(L965,'Assumptions - Infrastructure'!L54),0)," ")</f>
        <v>5</v>
      </c>
      <c r="M966" s="29">
        <f>IF(M$19=1,IF(M965&gt;0,MIN(M965,'Assumptions - Infrastructure'!M54),0)," ")</f>
        <v>5</v>
      </c>
      <c r="N966" s="29">
        <f>IF(N$19=1,IF(N965&gt;0,MIN(N965,'Assumptions - Infrastructure'!N54),0)," ")</f>
        <v>5</v>
      </c>
      <c r="O966" s="29">
        <f>IF(O$19=1,IF(O965&gt;0,MIN(O965,'Assumptions - Infrastructure'!O54),0)," ")</f>
        <v>5</v>
      </c>
      <c r="P966" s="29">
        <f>IF(P$19=1,IF(P965&gt;0,MIN(P965,'Assumptions - Infrastructure'!P54),0)," ")</f>
        <v>5</v>
      </c>
      <c r="Q966" s="29">
        <f>IF(Q$19=1,IF(Q965&gt;0,MIN(Q965,'Assumptions - Infrastructure'!Q54),0)," ")</f>
        <v>5</v>
      </c>
      <c r="R966" s="29">
        <f>IF(R$19=1,IF(R965&gt;0,MIN(R965,'Assumptions - Infrastructure'!R54),0)," ")</f>
        <v>5</v>
      </c>
      <c r="S966" s="29">
        <f>IF(S$19=1,IF(S965&gt;0,MIN(S965,'Assumptions - Infrastructure'!S54),0)," ")</f>
        <v>0</v>
      </c>
      <c r="T966" s="29">
        <f>IF(T$19=1,IF(T965&gt;0,MIN(T965,'Assumptions - Infrastructure'!T54),0)," ")</f>
        <v>0</v>
      </c>
      <c r="U966" s="29">
        <f>IF(U$19=1,IF(U965&gt;0,MIN(U965,'Assumptions - Infrastructure'!U54),0)," ")</f>
        <v>0</v>
      </c>
      <c r="V966" s="29">
        <f>IF(V$19=1,IF(V965&gt;0,MIN(V965,'Assumptions - Infrastructure'!V54),0)," ")</f>
        <v>0</v>
      </c>
      <c r="W966" s="29">
        <f>IF(W$19=1,IF(W965&gt;0,MIN(W965,'Assumptions - Infrastructure'!W54),0)," ")</f>
        <v>0</v>
      </c>
      <c r="X966" s="29">
        <f>IF(X$19=1,IF(X965&gt;0,MIN(X965,'Assumptions - Infrastructure'!X54),0)," ")</f>
        <v>0</v>
      </c>
      <c r="Y966" s="29">
        <f>IF(Y$19=1,IF(Y965&gt;0,MIN(Y965,'Assumptions - Infrastructure'!Y54),0)," ")</f>
        <v>0</v>
      </c>
      <c r="Z966" s="29">
        <f>IF(Z$19=1,IF(Z965&gt;0,MIN(Z965,'Assumptions - Infrastructure'!Z54),0)," ")</f>
        <v>0</v>
      </c>
      <c r="AA966" s="29">
        <f>IF(AA$19=1,IF(AA965&gt;0,MIN(AA965,'Assumptions - Infrastructure'!AA54),0)," ")</f>
        <v>0</v>
      </c>
      <c r="AB966" s="29">
        <f>IF(AB$19=1,IF(AB965&gt;0,MIN(AB965,'Assumptions - Infrastructure'!AB54),0)," ")</f>
        <v>0</v>
      </c>
      <c r="AC966" s="29">
        <f>IF(AC$19=1,IF(AC965&gt;0,MIN(AC965,'Assumptions - Infrastructure'!AC54),0)," ")</f>
        <v>0</v>
      </c>
      <c r="AD966" s="29">
        <f>IF(AD$19=1,IF(AD965&gt;0,MIN(AD965,'Assumptions - Infrastructure'!AD54),0)," ")</f>
        <v>0</v>
      </c>
      <c r="AE966" s="29">
        <f>IF(AE$19=1,IF(AE965&gt;0,MIN(AE965,'Assumptions - Infrastructure'!AE54),0)," ")</f>
        <v>0</v>
      </c>
      <c r="AF966" s="29">
        <f>IF(AF$19=1,IF(AF965&gt;0,MIN(AF965,'Assumptions - Infrastructure'!AF54),0)," ")</f>
        <v>0</v>
      </c>
      <c r="AG966" s="29">
        <f>IF(AG$19=1,IF(AG965&gt;0,MIN(AG965,'Assumptions - Infrastructure'!AG54),0)," ")</f>
        <v>0</v>
      </c>
      <c r="AH966" s="29">
        <f>IF(AH$19=1,IF(AH965&gt;0,MIN(AH965,'Assumptions - Infrastructure'!AH54),0)," ")</f>
        <v>0</v>
      </c>
    </row>
    <row r="967" spans="1:34" s="20" customFormat="1" ht="14" x14ac:dyDescent="0.2">
      <c r="A967" s="87"/>
      <c r="B967" s="30" t="str">
        <f>IF(A964=1,"Less depreciation of existing assets","Less depreciation of assets")</f>
        <v>Less depreciation of existing assets</v>
      </c>
      <c r="C967" s="8"/>
      <c r="D967" s="8" t="str">
        <f>'Assumptions - General'!$E$27 &amp;" millions"</f>
        <v>R$ millions</v>
      </c>
      <c r="E967" s="29"/>
      <c r="F967" s="229">
        <f>IF(F$19=1,(IF($A964=1,IF(F965-F966&gt;0,(MIN((F965-F966),($E969-SUM($E966:F966))/'Assumptions - Infrastructure'!$E79)),0),'Assumptions - Infrastructure'!F82))," ")</f>
        <v>13</v>
      </c>
      <c r="G967" s="229">
        <f>IF(G$19=1,(IF($A964=1,IF(G965-G966&gt;0,(MIN((G965-G966),($E969-SUM($E966:G966))/'Assumptions - Infrastructure'!$E79)),0),'Assumptions - Infrastructure'!G82))," ")</f>
        <v>12.666666666666666</v>
      </c>
      <c r="H967" s="229">
        <f>IF(H$19=1,(IF($A964=1,IF(H965-H966&gt;0,(MIN((H965-H966),($E969-SUM($E966:H966))/'Assumptions - Infrastructure'!$E79)),0),'Assumptions - Infrastructure'!H82))," ")</f>
        <v>12.333333333333334</v>
      </c>
      <c r="I967" s="229">
        <f>IF(I$19=1,(IF($A964=1,IF(I965-I966&gt;0,(MIN((I965-I966),($E969-SUM($E966:I966))/'Assumptions - Infrastructure'!$E79)),0),'Assumptions - Infrastructure'!I82))," ")</f>
        <v>12</v>
      </c>
      <c r="J967" s="229">
        <f>IF(J$19=1,(IF($A964=1,IF(J965-J966&gt;0,(MIN((J965-J966),($E969-SUM($E966:J966))/'Assumptions - Infrastructure'!$E79)),0),'Assumptions - Infrastructure'!J82))," ")</f>
        <v>11.666666666666666</v>
      </c>
      <c r="K967" s="229">
        <f>IF(K$19=1,(IF($A964=1,IF(K965-K966&gt;0,(MIN((K965-K966),($E969-SUM($E966:K966))/'Assumptions - Infrastructure'!$E79)),0),'Assumptions - Infrastructure'!K82))," ")</f>
        <v>11.333333333333334</v>
      </c>
      <c r="L967" s="229">
        <f>IF(L$19=1,(IF($A964=1,IF(L965-L966&gt;0,(MIN((L965-L966),($E969-SUM($E966:L966))/'Assumptions - Infrastructure'!$E79)),0),'Assumptions - Infrastructure'!L82))," ")</f>
        <v>11</v>
      </c>
      <c r="M967" s="229">
        <f>IF(M$19=1,(IF($A964=1,IF(M965-M966&gt;0,(MIN((M965-M966),($E969-SUM($E966:M966))/'Assumptions - Infrastructure'!$E79)),0),'Assumptions - Infrastructure'!M82))," ")</f>
        <v>10.666666666666666</v>
      </c>
      <c r="N967" s="229">
        <f>IF(N$19=1,(IF($A964=1,IF(N965-N966&gt;0,(MIN((N965-N966),($E969-SUM($E966:N966))/'Assumptions - Infrastructure'!$E79)),0),'Assumptions - Infrastructure'!N82))," ")</f>
        <v>10.333333333333334</v>
      </c>
      <c r="O967" s="229">
        <f>IF(O$19=1,(IF($A964=1,IF(O965-O966&gt;0,(MIN((O965-O966),($E969-SUM($E966:O966))/'Assumptions - Infrastructure'!$E79)),0),'Assumptions - Infrastructure'!O82))," ")</f>
        <v>10</v>
      </c>
      <c r="P967" s="229">
        <f>IF(P$19=1,(IF($A964=1,IF(P965-P966&gt;0,(MIN((P965-P966),($E969-SUM($E966:P966))/'Assumptions - Infrastructure'!$E79)),0),'Assumptions - Infrastructure'!P82))," ")</f>
        <v>9.6666666666666661</v>
      </c>
      <c r="Q967" s="229">
        <f>IF(Q$19=1,(IF($A964=1,IF(Q965-Q966&gt;0,(MIN((Q965-Q966),($E969-SUM($E966:Q966))/'Assumptions - Infrastructure'!$E79)),0),'Assumptions - Infrastructure'!Q82))," ")</f>
        <v>9.3333333333333339</v>
      </c>
      <c r="R967" s="229">
        <f>IF(R$19=1,(IF($A964=1,IF(R965-R966&gt;0,(MIN((R965-R966),($E969-SUM($E966:R966))/'Assumptions - Infrastructure'!$E79)),0),'Assumptions - Infrastructure'!R82))," ")</f>
        <v>0.99999999999999467</v>
      </c>
      <c r="S967" s="229">
        <f>IF(S$19=1,(IF($A964=1,IF(S965-S966&gt;0,(MIN((S965-S966),($E969-SUM($E966:S966))/'Assumptions - Infrastructure'!$E79)),0),'Assumptions - Infrastructure'!S82))," ")</f>
        <v>0</v>
      </c>
      <c r="T967" s="229">
        <f>IF(T$19=1,(IF($A964=1,IF(T965-T966&gt;0,(MIN((T965-T966),($E969-SUM($E966:T966))/'Assumptions - Infrastructure'!$E79)),0),'Assumptions - Infrastructure'!T82))," ")</f>
        <v>0</v>
      </c>
      <c r="U967" s="229">
        <f>IF(U$19=1,(IF($A964=1,IF(U965-U966&gt;0,(MIN((U965-U966),($E969-SUM($E966:U966))/'Assumptions - Infrastructure'!$E79)),0),'Assumptions - Infrastructure'!U82))," ")</f>
        <v>0</v>
      </c>
      <c r="V967" s="229">
        <f>IF(V$19=1,(IF($A964=1,IF(V965-V966&gt;0,(MIN((V965-V966),($E969-SUM($E966:V966))/'Assumptions - Infrastructure'!$E79)),0),'Assumptions - Infrastructure'!V82))," ")</f>
        <v>0</v>
      </c>
      <c r="W967" s="229">
        <f>IF(W$19=1,(IF($A964=1,IF(W965-W966&gt;0,(MIN((W965-W966),($E969-SUM($E966:W966))/'Assumptions - Infrastructure'!$E79)),0),'Assumptions - Infrastructure'!W82))," ")</f>
        <v>0</v>
      </c>
      <c r="X967" s="229">
        <f>IF(X$19=1,(IF($A964=1,IF(X965-X966&gt;0,(MIN((X965-X966),($E969-SUM($E966:X966))/'Assumptions - Infrastructure'!$E79)),0),'Assumptions - Infrastructure'!X82))," ")</f>
        <v>0</v>
      </c>
      <c r="Y967" s="229">
        <f>IF(Y$19=1,(IF($A964=1,IF(Y965-Y966&gt;0,(MIN((Y965-Y966),($E969-SUM($E966:Y966))/'Assumptions - Infrastructure'!$E79)),0),'Assumptions - Infrastructure'!Y82))," ")</f>
        <v>0</v>
      </c>
      <c r="Z967" s="229">
        <f>IF(Z$19=1,(IF($A964=1,IF(Z965-Z966&gt;0,(MIN((Z965-Z966),($E969-SUM($E966:Z966))/'Assumptions - Infrastructure'!$E79)),0),'Assumptions - Infrastructure'!Z82))," ")</f>
        <v>0</v>
      </c>
      <c r="AA967" s="229">
        <f>IF(AA$19=1,(IF($A964=1,IF(AA965-AA966&gt;0,(MIN((AA965-AA966),($E969-SUM($E966:AA966))/'Assumptions - Infrastructure'!$E79)),0),'Assumptions - Infrastructure'!AA82))," ")</f>
        <v>0</v>
      </c>
      <c r="AB967" s="229">
        <f>IF(AB$19=1,(IF($A964=1,IF(AB965-AB966&gt;0,(MIN((AB965-AB966),($E969-SUM($E966:AB966))/'Assumptions - Infrastructure'!$E79)),0),'Assumptions - Infrastructure'!AB82))," ")</f>
        <v>0</v>
      </c>
      <c r="AC967" s="229">
        <f>IF(AC$19=1,(IF($A964=1,IF(AC965-AC966&gt;0,(MIN((AC965-AC966),($E969-SUM($E966:AC966))/'Assumptions - Infrastructure'!$E79)),0),'Assumptions - Infrastructure'!AC82))," ")</f>
        <v>0</v>
      </c>
      <c r="AD967" s="229">
        <f>IF(AD$19=1,(IF($A964=1,IF(AD965-AD966&gt;0,(MIN((AD965-AD966),($E969-SUM($E966:AD966))/'Assumptions - Infrastructure'!$E79)),0),'Assumptions - Infrastructure'!AD82))," ")</f>
        <v>0</v>
      </c>
      <c r="AE967" s="229">
        <f>IF(AE$19=1,(IF($A964=1,IF(AE965-AE966&gt;0,(MIN((AE965-AE966),($E969-SUM($E966:AE966))/'Assumptions - Infrastructure'!$E79)),0),'Assumptions - Infrastructure'!AE82))," ")</f>
        <v>0</v>
      </c>
      <c r="AF967" s="229">
        <f>IF(AF$19=1,(IF($A964=1,IF(AF965-AF966&gt;0,(MIN((AF965-AF966),($E969-SUM($E966:AF966))/'Assumptions - Infrastructure'!$E79)),0),'Assumptions - Infrastructure'!AF82))," ")</f>
        <v>0</v>
      </c>
      <c r="AG967" s="229">
        <f>IF(AG$19=1,(IF($A964=1,IF(AG965-AG966&gt;0,(MIN((AG965-AG966),($E969-SUM($E966:AG966))/'Assumptions - Infrastructure'!$E79)),0),'Assumptions - Infrastructure'!AG82))," ")</f>
        <v>0</v>
      </c>
      <c r="AH967" s="229">
        <f>IF(AH$19=1,(IF($A964=1,IF(AH965-AH966&gt;0,(MIN((AH965-AH966),($E969-SUM($E966:AH966))/'Assumptions - Infrastructure'!$E79)),0),'Assumptions - Infrastructure'!AH82))," ")</f>
        <v>0</v>
      </c>
    </row>
    <row r="968" spans="1:34" s="20" customFormat="1" ht="14" x14ac:dyDescent="0.2">
      <c r="A968" s="87"/>
      <c r="B968" s="30" t="str">
        <f>IF(A964=1,"Accumulated depreciation of existing assets","Accumulated depreciation of assets")</f>
        <v>Accumulated depreciation of existing assets</v>
      </c>
      <c r="C968" s="8"/>
      <c r="D968" s="8" t="str">
        <f>'Assumptions - General'!$E$27 &amp;" millions"</f>
        <v>R$ millions</v>
      </c>
      <c r="E968" s="29"/>
      <c r="F968" s="29">
        <f>IF(F$19=1,SUM($E967:F967)," ")</f>
        <v>13</v>
      </c>
      <c r="G968" s="29">
        <f>IF(G$19=1,SUM($E967:G967)," ")</f>
        <v>25.666666666666664</v>
      </c>
      <c r="H968" s="29">
        <f>IF(H$19=1,SUM($E967:H967)," ")</f>
        <v>38</v>
      </c>
      <c r="I968" s="29">
        <f>IF(I$19=1,SUM($E967:I967)," ")</f>
        <v>50</v>
      </c>
      <c r="J968" s="29">
        <f>IF(J$19=1,SUM($E967:J967)," ")</f>
        <v>61.666666666666664</v>
      </c>
      <c r="K968" s="29">
        <f>IF(K$19=1,SUM($E967:K967)," ")</f>
        <v>73</v>
      </c>
      <c r="L968" s="29">
        <f>IF(L$19=1,SUM($E967:L967)," ")</f>
        <v>84</v>
      </c>
      <c r="M968" s="29">
        <f>IF(M$19=1,SUM($E967:M967)," ")</f>
        <v>94.666666666666671</v>
      </c>
      <c r="N968" s="29">
        <f>IF(N$19=1,SUM($E967:N967)," ")</f>
        <v>105</v>
      </c>
      <c r="O968" s="29">
        <f>IF(O$19=1,SUM($E967:O967)," ")</f>
        <v>115</v>
      </c>
      <c r="P968" s="29">
        <f>IF(P$19=1,SUM($E967:P967)," ")</f>
        <v>124.66666666666667</v>
      </c>
      <c r="Q968" s="29">
        <f>IF(Q$19=1,SUM($E967:Q967)," ")</f>
        <v>134</v>
      </c>
      <c r="R968" s="29">
        <f>IF(R$19=1,SUM($E967:R967)," ")</f>
        <v>135</v>
      </c>
      <c r="S968" s="29">
        <f>IF(S$19=1,SUM($E967:S967)," ")</f>
        <v>135</v>
      </c>
      <c r="T968" s="29">
        <f>IF(T$19=1,SUM($E967:T967)," ")</f>
        <v>135</v>
      </c>
      <c r="U968" s="29">
        <f>IF(U$19=1,SUM($E967:U967)," ")</f>
        <v>135</v>
      </c>
      <c r="V968" s="29">
        <f>IF(V$19=1,SUM($E967:V967)," ")</f>
        <v>135</v>
      </c>
      <c r="W968" s="29">
        <f>IF(W$19=1,SUM($E967:W967)," ")</f>
        <v>135</v>
      </c>
      <c r="X968" s="29">
        <f>IF(X$19=1,SUM($E967:X967)," ")</f>
        <v>135</v>
      </c>
      <c r="Y968" s="29">
        <f>IF(Y$19=1,SUM($E967:Y967)," ")</f>
        <v>135</v>
      </c>
      <c r="Z968" s="29">
        <f>IF(Z$19=1,SUM($E967:Z967)," ")</f>
        <v>135</v>
      </c>
      <c r="AA968" s="29">
        <f>IF(AA$19=1,SUM($E967:AA967)," ")</f>
        <v>135</v>
      </c>
      <c r="AB968" s="29">
        <f>IF(AB$19=1,SUM($E967:AB967)," ")</f>
        <v>135</v>
      </c>
      <c r="AC968" s="29">
        <f>IF(AC$19=1,SUM($E967:AC967)," ")</f>
        <v>135</v>
      </c>
      <c r="AD968" s="29">
        <f>IF(AD$19=1,SUM($E967:AD967)," ")</f>
        <v>135</v>
      </c>
      <c r="AE968" s="29">
        <f>IF(AE$19=1,SUM($E967:AE967)," ")</f>
        <v>135</v>
      </c>
      <c r="AF968" s="29">
        <f>IF(AF$19=1,SUM($E967:AF967)," ")</f>
        <v>135</v>
      </c>
      <c r="AG968" s="29">
        <f>IF(AG$19=1,SUM($E967:AG967)," ")</f>
        <v>135</v>
      </c>
      <c r="AH968" s="29">
        <f>IF(AH$19=1,SUM($E967:AH967)," ")</f>
        <v>135</v>
      </c>
    </row>
    <row r="969" spans="1:34" s="20" customFormat="1" ht="14" x14ac:dyDescent="0.2">
      <c r="A969" s="87"/>
      <c r="B969" s="14" t="str">
        <f>"Ending value "</f>
        <v xml:space="preserve">Ending value </v>
      </c>
      <c r="C969" s="8"/>
      <c r="D969" s="8" t="str">
        <f>'Assumptions - General'!$E$27 &amp;" millions"</f>
        <v>R$ millions</v>
      </c>
      <c r="E969" s="470">
        <f>IF(E$19=1,'Assumptions - Infrastructure'!E39," ")</f>
        <v>200</v>
      </c>
      <c r="F969" s="29">
        <f>IF(F$19=1,F965-F966-F967," ")</f>
        <v>182</v>
      </c>
      <c r="G969" s="29">
        <f t="shared" ref="G969:AH969" si="385">IF(G$19=1,G965-G966-G967," ")</f>
        <v>164.33333333333334</v>
      </c>
      <c r="H969" s="29">
        <f t="shared" si="385"/>
        <v>147</v>
      </c>
      <c r="I969" s="29">
        <f t="shared" si="385"/>
        <v>130</v>
      </c>
      <c r="J969" s="29">
        <f t="shared" si="385"/>
        <v>113.33333333333333</v>
      </c>
      <c r="K969" s="29">
        <f t="shared" si="385"/>
        <v>97</v>
      </c>
      <c r="L969" s="29">
        <f t="shared" si="385"/>
        <v>81</v>
      </c>
      <c r="M969" s="29">
        <f t="shared" si="385"/>
        <v>65.333333333333329</v>
      </c>
      <c r="N969" s="29">
        <f t="shared" si="385"/>
        <v>49.999999999999993</v>
      </c>
      <c r="O969" s="29">
        <f t="shared" si="385"/>
        <v>34.999999999999993</v>
      </c>
      <c r="P969" s="29">
        <f t="shared" si="385"/>
        <v>20.333333333333329</v>
      </c>
      <c r="Q969" s="29">
        <f t="shared" si="385"/>
        <v>5.9999999999999947</v>
      </c>
      <c r="R969" s="29">
        <f t="shared" si="385"/>
        <v>0</v>
      </c>
      <c r="S969" s="29">
        <f t="shared" si="385"/>
        <v>0</v>
      </c>
      <c r="T969" s="29">
        <f t="shared" si="385"/>
        <v>0</v>
      </c>
      <c r="U969" s="29">
        <f t="shared" si="385"/>
        <v>0</v>
      </c>
      <c r="V969" s="29">
        <f t="shared" si="385"/>
        <v>0</v>
      </c>
      <c r="W969" s="29">
        <f t="shared" si="385"/>
        <v>0</v>
      </c>
      <c r="X969" s="29">
        <f t="shared" si="385"/>
        <v>0</v>
      </c>
      <c r="Y969" s="29">
        <f t="shared" si="385"/>
        <v>0</v>
      </c>
      <c r="Z969" s="29">
        <f t="shared" si="385"/>
        <v>0</v>
      </c>
      <c r="AA969" s="29">
        <f t="shared" si="385"/>
        <v>0</v>
      </c>
      <c r="AB969" s="29">
        <f t="shared" si="385"/>
        <v>0</v>
      </c>
      <c r="AC969" s="29">
        <f t="shared" si="385"/>
        <v>0</v>
      </c>
      <c r="AD969" s="29">
        <f t="shared" si="385"/>
        <v>0</v>
      </c>
      <c r="AE969" s="29">
        <f t="shared" si="385"/>
        <v>0</v>
      </c>
      <c r="AF969" s="29">
        <f t="shared" si="385"/>
        <v>0</v>
      </c>
      <c r="AG969" s="29">
        <f t="shared" si="385"/>
        <v>0</v>
      </c>
      <c r="AH969" s="29">
        <f t="shared" si="385"/>
        <v>0</v>
      </c>
    </row>
    <row r="970" spans="1:34" s="20" customFormat="1" ht="14" x14ac:dyDescent="0.2">
      <c r="A970" s="87"/>
      <c r="B970" s="14"/>
      <c r="C970" s="8"/>
      <c r="D970" s="8"/>
      <c r="E970" s="29"/>
      <c r="F970" s="287"/>
      <c r="G970" s="29"/>
      <c r="H970" s="29"/>
      <c r="I970" s="29"/>
      <c r="J970" s="29"/>
      <c r="K970" s="29"/>
      <c r="L970" s="29"/>
      <c r="M970" s="29"/>
      <c r="N970" s="29"/>
      <c r="O970" s="29"/>
      <c r="P970" s="29"/>
      <c r="Q970" s="29"/>
      <c r="R970" s="29"/>
      <c r="S970" s="29"/>
      <c r="T970" s="29"/>
      <c r="U970" s="29"/>
      <c r="V970" s="29"/>
      <c r="W970" s="29"/>
      <c r="X970" s="29"/>
      <c r="Y970" s="29"/>
      <c r="Z970" s="29"/>
      <c r="AA970" s="29"/>
      <c r="AB970" s="29"/>
      <c r="AC970" s="29"/>
      <c r="AD970" s="29"/>
      <c r="AE970" s="29"/>
      <c r="AF970" s="29"/>
      <c r="AG970" s="29"/>
      <c r="AH970" s="29"/>
    </row>
    <row r="971" spans="1:34" s="20" customFormat="1" ht="14" x14ac:dyDescent="0.2">
      <c r="A971" s="87"/>
      <c r="B971" s="14" t="s">
        <v>634</v>
      </c>
      <c r="C971" s="8"/>
      <c r="D971" s="8" t="str">
        <f>'Assumptions - General'!$E$27 &amp;" millions"</f>
        <v>R$ millions</v>
      </c>
      <c r="E971" s="29"/>
      <c r="F971" s="29">
        <f>IF(F$19=1,E976," ")</f>
        <v>0</v>
      </c>
      <c r="G971" s="29">
        <f t="shared" ref="G971:AH971" si="386">IF(G$19=1,F976," ")</f>
        <v>20</v>
      </c>
      <c r="H971" s="29">
        <f t="shared" si="386"/>
        <v>112</v>
      </c>
      <c r="I971" s="29">
        <f t="shared" si="386"/>
        <v>197.33333333333334</v>
      </c>
      <c r="J971" s="29">
        <f t="shared" si="386"/>
        <v>276.00000000000006</v>
      </c>
      <c r="K971" s="29">
        <f t="shared" si="386"/>
        <v>348.00000000000006</v>
      </c>
      <c r="L971" s="29">
        <f t="shared" si="386"/>
        <v>413.33333333333337</v>
      </c>
      <c r="M971" s="29">
        <f t="shared" si="386"/>
        <v>472.00000000000006</v>
      </c>
      <c r="N971" s="29">
        <f t="shared" si="386"/>
        <v>524</v>
      </c>
      <c r="O971" s="29">
        <f t="shared" si="386"/>
        <v>569.33333333333337</v>
      </c>
      <c r="P971" s="29">
        <f t="shared" si="386"/>
        <v>608</v>
      </c>
      <c r="Q971" s="29">
        <f t="shared" si="386"/>
        <v>640</v>
      </c>
      <c r="R971" s="29">
        <f t="shared" si="386"/>
        <v>665.33333333333337</v>
      </c>
      <c r="S971" s="29">
        <f t="shared" si="386"/>
        <v>684</v>
      </c>
      <c r="T971" s="29">
        <f t="shared" si="386"/>
        <v>691.33333333333337</v>
      </c>
      <c r="U971" s="29">
        <f t="shared" si="386"/>
        <v>692.33333333333337</v>
      </c>
      <c r="V971" s="29">
        <f t="shared" si="386"/>
        <v>687</v>
      </c>
      <c r="W971" s="29">
        <f t="shared" si="386"/>
        <v>675.33333333333337</v>
      </c>
      <c r="X971" s="29">
        <f t="shared" si="386"/>
        <v>657.33333333333337</v>
      </c>
      <c r="Y971" s="29">
        <f t="shared" si="386"/>
        <v>633</v>
      </c>
      <c r="Z971" s="29">
        <f t="shared" si="386"/>
        <v>602.33333333333337</v>
      </c>
      <c r="AA971" s="29">
        <f t="shared" si="386"/>
        <v>565.33333333333337</v>
      </c>
      <c r="AB971" s="29">
        <f t="shared" si="386"/>
        <v>522</v>
      </c>
      <c r="AC971" s="29">
        <f t="shared" si="386"/>
        <v>472.33333333333337</v>
      </c>
      <c r="AD971" s="29">
        <f t="shared" si="386"/>
        <v>416.33333333333337</v>
      </c>
      <c r="AE971" s="29">
        <f t="shared" si="386"/>
        <v>354</v>
      </c>
      <c r="AF971" s="29">
        <f t="shared" si="386"/>
        <v>285.33333333333337</v>
      </c>
      <c r="AG971" s="29">
        <f t="shared" si="386"/>
        <v>210.33333333333337</v>
      </c>
      <c r="AH971" s="29">
        <f t="shared" si="386"/>
        <v>129.00000000000003</v>
      </c>
    </row>
    <row r="972" spans="1:34" s="20" customFormat="1" ht="14" x14ac:dyDescent="0.2">
      <c r="A972" s="87"/>
      <c r="B972" s="30" t="s">
        <v>130</v>
      </c>
      <c r="C972" s="8"/>
      <c r="D972" s="8" t="str">
        <f>'Assumptions - General'!$E$27 &amp;" millions"</f>
        <v>R$ millions</v>
      </c>
      <c r="E972" s="29"/>
      <c r="F972" s="29">
        <f>IF(F$19=1,IF($D$928=1,$D$929*'Assumptions - Infrastructure'!F46,'Assumptions - Infrastructure'!F46)," ")</f>
        <v>20</v>
      </c>
      <c r="G972" s="29">
        <f>IF(G$19=1,IF($D$928=1,$D$929*'Assumptions - Infrastructure'!G46,'Assumptions - Infrastructure'!G46)," ")</f>
        <v>100</v>
      </c>
      <c r="H972" s="29">
        <f>IF(H$19=1,IF($D$928=1,$D$929*'Assumptions - Infrastructure'!H46,'Assumptions - Infrastructure'!H46)," ")</f>
        <v>100</v>
      </c>
      <c r="I972" s="29">
        <f>IF(I$19=1,IF($D$928=1,$D$929*'Assumptions - Infrastructure'!I46,'Assumptions - Infrastructure'!I46)," ")</f>
        <v>100</v>
      </c>
      <c r="J972" s="29">
        <f>IF(J$19=1,IF($D$928=1,$D$929*'Assumptions - Infrastructure'!J46,'Assumptions - Infrastructure'!J46)," ")</f>
        <v>100</v>
      </c>
      <c r="K972" s="29">
        <f>IF(K$19=1,IF($D$928=1,$D$929*'Assumptions - Infrastructure'!K46,'Assumptions - Infrastructure'!K46)," ")</f>
        <v>100</v>
      </c>
      <c r="L972" s="29">
        <f>IF(L$19=1,IF($D$928=1,$D$929*'Assumptions - Infrastructure'!L46,'Assumptions - Infrastructure'!L46)," ")</f>
        <v>100</v>
      </c>
      <c r="M972" s="29">
        <f>IF(M$19=1,IF($D$928=1,$D$929*'Assumptions - Infrastructure'!M46,'Assumptions - Infrastructure'!M46)," ")</f>
        <v>100</v>
      </c>
      <c r="N972" s="29">
        <f>IF(N$19=1,IF($D$928=1,$D$929*'Assumptions - Infrastructure'!N46,'Assumptions - Infrastructure'!N46)," ")</f>
        <v>100</v>
      </c>
      <c r="O972" s="29">
        <f>IF(O$19=1,IF($D$928=1,$D$929*'Assumptions - Infrastructure'!O46,'Assumptions - Infrastructure'!O46)," ")</f>
        <v>100</v>
      </c>
      <c r="P972" s="29">
        <f>IF(P$19=1,IF($D$928=1,$D$929*'Assumptions - Infrastructure'!P46,'Assumptions - Infrastructure'!P46)," ")</f>
        <v>100</v>
      </c>
      <c r="Q972" s="29">
        <f>IF(Q$19=1,IF($D$928=1,$D$929*'Assumptions - Infrastructure'!Q46,'Assumptions - Infrastructure'!Q46)," ")</f>
        <v>100</v>
      </c>
      <c r="R972" s="29">
        <f>IF(R$19=1,IF($D$928=1,$D$929*'Assumptions - Infrastructure'!R46,'Assumptions - Infrastructure'!R46)," ")</f>
        <v>100</v>
      </c>
      <c r="S972" s="29">
        <f>IF(S$19=1,IF($D$928=1,$D$929*'Assumptions - Infrastructure'!S46,'Assumptions - Infrastructure'!S46)," ")</f>
        <v>100</v>
      </c>
      <c r="T972" s="29">
        <f>IF(T$19=1,IF($D$928=1,$D$929*'Assumptions - Infrastructure'!T46,'Assumptions - Infrastructure'!T46)," ")</f>
        <v>100</v>
      </c>
      <c r="U972" s="29">
        <f>IF(U$19=1,IF($D$928=1,$D$929*'Assumptions - Infrastructure'!U46,'Assumptions - Infrastructure'!U46)," ")</f>
        <v>100</v>
      </c>
      <c r="V972" s="29">
        <f>IF(V$19=1,IF($D$928=1,$D$929*'Assumptions - Infrastructure'!V46,'Assumptions - Infrastructure'!V46)," ")</f>
        <v>100</v>
      </c>
      <c r="W972" s="29">
        <f>IF(W$19=1,IF($D$928=1,$D$929*'Assumptions - Infrastructure'!W46,'Assumptions - Infrastructure'!W46)," ")</f>
        <v>100</v>
      </c>
      <c r="X972" s="29">
        <f>IF(X$19=1,IF($D$928=1,$D$929*'Assumptions - Infrastructure'!X46,'Assumptions - Infrastructure'!X46)," ")</f>
        <v>100</v>
      </c>
      <c r="Y972" s="29">
        <f>IF(Y$19=1,IF($D$928=1,$D$929*'Assumptions - Infrastructure'!Y46,'Assumptions - Infrastructure'!Y46)," ")</f>
        <v>100</v>
      </c>
      <c r="Z972" s="29">
        <f>IF(Z$19=1,IF($D$928=1,$D$929*'Assumptions - Infrastructure'!Z46,'Assumptions - Infrastructure'!Z46)," ")</f>
        <v>100</v>
      </c>
      <c r="AA972" s="29">
        <f>IF(AA$19=1,IF($D$928=1,$D$929*'Assumptions - Infrastructure'!AA46,'Assumptions - Infrastructure'!AA46)," ")</f>
        <v>100</v>
      </c>
      <c r="AB972" s="29">
        <f>IF(AB$19=1,IF($D$928=1,$D$929*'Assumptions - Infrastructure'!AB46,'Assumptions - Infrastructure'!AB46)," ")</f>
        <v>100</v>
      </c>
      <c r="AC972" s="29">
        <f>IF(AC$19=1,IF($D$928=1,$D$929*'Assumptions - Infrastructure'!AC46,'Assumptions - Infrastructure'!AC46)," ")</f>
        <v>100</v>
      </c>
      <c r="AD972" s="29">
        <f>IF(AD$19=1,IF($D$928=1,$D$929*'Assumptions - Infrastructure'!AD46,'Assumptions - Infrastructure'!AD46)," ")</f>
        <v>100</v>
      </c>
      <c r="AE972" s="29">
        <f>IF(AE$19=1,IF($D$928=1,$D$929*'Assumptions - Infrastructure'!AE46,'Assumptions - Infrastructure'!AE46)," ")</f>
        <v>100</v>
      </c>
      <c r="AF972" s="29">
        <f>IF(AF$19=1,IF($D$928=1,$D$929*'Assumptions - Infrastructure'!AF46,'Assumptions - Infrastructure'!AF46)," ")</f>
        <v>100</v>
      </c>
      <c r="AG972" s="29">
        <f>IF(AG$19=1,IF($D$928=1,$D$929*'Assumptions - Infrastructure'!AG46,'Assumptions - Infrastructure'!AG46)," ")</f>
        <v>100</v>
      </c>
      <c r="AH972" s="29">
        <f>IF(AH$19=1,IF($D$928=1,$D$929*'Assumptions - Infrastructure'!AH46,'Assumptions - Infrastructure'!AH46)," ")</f>
        <v>100</v>
      </c>
    </row>
    <row r="973" spans="1:34" s="20" customFormat="1" ht="14" x14ac:dyDescent="0.2">
      <c r="A973" s="87"/>
      <c r="B973" s="30" t="s">
        <v>608</v>
      </c>
      <c r="C973" s="8"/>
      <c r="D973" s="8" t="str">
        <f>'Assumptions - General'!$E$27 &amp;" millions"</f>
        <v>R$ millions</v>
      </c>
      <c r="E973" s="29"/>
      <c r="F973" s="29">
        <f>IF(F$19=1,'Assumptions - Infrastructure'!F54-Calculations!F966," ")</f>
        <v>0</v>
      </c>
      <c r="G973" s="29">
        <f>IF(G$19=1,'Assumptions - Infrastructure'!G54-Calculations!G966," ")</f>
        <v>0</v>
      </c>
      <c r="H973" s="29">
        <f>IF(H$19=1,'Assumptions - Infrastructure'!H54-Calculations!H966," ")</f>
        <v>0</v>
      </c>
      <c r="I973" s="29">
        <f>IF(I$19=1,'Assumptions - Infrastructure'!I54-Calculations!I966," ")</f>
        <v>0</v>
      </c>
      <c r="J973" s="29">
        <f>IF(J$19=1,'Assumptions - Infrastructure'!J54-Calculations!J966," ")</f>
        <v>0</v>
      </c>
      <c r="K973" s="29">
        <f>IF(K$19=1,'Assumptions - Infrastructure'!K54-Calculations!K966," ")</f>
        <v>0</v>
      </c>
      <c r="L973" s="29">
        <f>IF(L$19=1,'Assumptions - Infrastructure'!L54-Calculations!L966," ")</f>
        <v>0</v>
      </c>
      <c r="M973" s="29">
        <f>IF(M$19=1,'Assumptions - Infrastructure'!M54-Calculations!M966," ")</f>
        <v>0</v>
      </c>
      <c r="N973" s="29">
        <f>IF(N$19=1,'Assumptions - Infrastructure'!N54-Calculations!N966," ")</f>
        <v>0</v>
      </c>
      <c r="O973" s="29">
        <f>IF(O$19=1,'Assumptions - Infrastructure'!O54-Calculations!O966," ")</f>
        <v>0</v>
      </c>
      <c r="P973" s="29">
        <f>IF(P$19=1,'Assumptions - Infrastructure'!P54-Calculations!P966," ")</f>
        <v>0</v>
      </c>
      <c r="Q973" s="29">
        <f>IF(Q$19=1,'Assumptions - Infrastructure'!Q54-Calculations!Q966," ")</f>
        <v>0</v>
      </c>
      <c r="R973" s="29">
        <f>IF(R$19=1,'Assumptions - Infrastructure'!R54-Calculations!R966," ")</f>
        <v>0</v>
      </c>
      <c r="S973" s="29">
        <f>IF(S$19=1,'Assumptions - Infrastructure'!S54-Calculations!S966," ")</f>
        <v>5</v>
      </c>
      <c r="T973" s="29">
        <f>IF(T$19=1,'Assumptions - Infrastructure'!T54-Calculations!T966," ")</f>
        <v>5</v>
      </c>
      <c r="U973" s="29">
        <f>IF(U$19=1,'Assumptions - Infrastructure'!U54-Calculations!U966," ")</f>
        <v>5</v>
      </c>
      <c r="V973" s="29">
        <f>IF(V$19=1,'Assumptions - Infrastructure'!V54-Calculations!V966," ")</f>
        <v>5</v>
      </c>
      <c r="W973" s="29">
        <f>IF(W$19=1,'Assumptions - Infrastructure'!W54-Calculations!W966," ")</f>
        <v>5</v>
      </c>
      <c r="X973" s="29">
        <f>IF(X$19=1,'Assumptions - Infrastructure'!X54-Calculations!X966," ")</f>
        <v>5</v>
      </c>
      <c r="Y973" s="29">
        <f>IF(Y$19=1,'Assumptions - Infrastructure'!Y54-Calculations!Y966," ")</f>
        <v>5</v>
      </c>
      <c r="Z973" s="29">
        <f>IF(Z$19=1,'Assumptions - Infrastructure'!Z54-Calculations!Z966," ")</f>
        <v>5</v>
      </c>
      <c r="AA973" s="29">
        <f>IF(AA$19=1,'Assumptions - Infrastructure'!AA54-Calculations!AA966," ")</f>
        <v>5</v>
      </c>
      <c r="AB973" s="29">
        <f>IF(AB$19=1,'Assumptions - Infrastructure'!AB54-Calculations!AB966," ")</f>
        <v>5</v>
      </c>
      <c r="AC973" s="29">
        <f>IF(AC$19=1,'Assumptions - Infrastructure'!AC54-Calculations!AC966," ")</f>
        <v>5</v>
      </c>
      <c r="AD973" s="29">
        <f>IF(AD$19=1,'Assumptions - Infrastructure'!AD54-Calculations!AD966," ")</f>
        <v>5</v>
      </c>
      <c r="AE973" s="29">
        <f>IF(AE$19=1,'Assumptions - Infrastructure'!AE54-Calculations!AE966," ")</f>
        <v>5</v>
      </c>
      <c r="AF973" s="29">
        <f>IF(AF$19=1,'Assumptions - Infrastructure'!AF54-Calculations!AF966," ")</f>
        <v>5</v>
      </c>
      <c r="AG973" s="29">
        <f>IF(AG$19=1,'Assumptions - Infrastructure'!AG54-Calculations!AG966," ")</f>
        <v>5</v>
      </c>
      <c r="AH973" s="29">
        <f>IF(AH$19=1,'Assumptions - Infrastructure'!AH54-Calculations!AH966," ")</f>
        <v>5</v>
      </c>
    </row>
    <row r="974" spans="1:34" s="20" customFormat="1" ht="14" x14ac:dyDescent="0.2">
      <c r="A974" s="87"/>
      <c r="B974" s="30" t="s">
        <v>635</v>
      </c>
      <c r="C974" s="8"/>
      <c r="D974" s="8" t="str">
        <f>'Assumptions - General'!$E$27 &amp;" millions"</f>
        <v>R$ millions</v>
      </c>
      <c r="E974" s="29"/>
      <c r="F974" s="29">
        <f>IF(F$19=1,(IF($A$964=1,IF(F971-F973&gt;0,(MIN((F971-F973),(SUM($E972:F972)-SUM($E973:F973))/'Assumptions - Infrastructure'!$E81)),0),0))," ")</f>
        <v>0</v>
      </c>
      <c r="G974" s="29">
        <f>IF(G$19=1,(IF($A$964=1,IF(G971-G973&gt;0,(MIN((G971-G973),(SUM($E972:G972)-SUM($E973:G973))/'Assumptions - Infrastructure'!$E81)),0),0))," ")</f>
        <v>8</v>
      </c>
      <c r="H974" s="29">
        <f>IF(H$19=1,(IF($A$964=1,IF(H971-H973&gt;0,(MIN((H971-H973),(SUM($E972:H972)-SUM($E973:H973))/'Assumptions - Infrastructure'!$E81)),0),0))," ")</f>
        <v>14.666666666666666</v>
      </c>
      <c r="I974" s="29">
        <f>IF(I$19=1,(IF($A$964=1,IF(I971-I973&gt;0,(MIN((I971-I973),(SUM($E972:I972)-SUM($E973:I973))/'Assumptions - Infrastructure'!$E81)),0),0))," ")</f>
        <v>21.333333333333332</v>
      </c>
      <c r="J974" s="29">
        <f>IF(J$19=1,(IF($A$964=1,IF(J971-J973&gt;0,(MIN((J971-J973),(SUM($E972:J972)-SUM($E973:J973))/'Assumptions - Infrastructure'!$E81)),0),0))," ")</f>
        <v>28</v>
      </c>
      <c r="K974" s="29">
        <f>IF(K$19=1,(IF($A$964=1,IF(K971-K973&gt;0,(MIN((K971-K973),(SUM($E972:K972)-SUM($E973:K973))/'Assumptions - Infrastructure'!$E81)),0),0))," ")</f>
        <v>34.666666666666664</v>
      </c>
      <c r="L974" s="29">
        <f>IF(L$19=1,(IF($A$964=1,IF(L971-L973&gt;0,(MIN((L971-L973),(SUM($E972:L972)-SUM($E973:L973))/'Assumptions - Infrastructure'!$E81)),0),0))," ")</f>
        <v>41.333333333333336</v>
      </c>
      <c r="M974" s="29">
        <f>IF(M$19=1,(IF($A$964=1,IF(M971-M973&gt;0,(MIN((M971-M973),(SUM($E972:M972)-SUM($E973:M973))/'Assumptions - Infrastructure'!$E81)),0),0))," ")</f>
        <v>48</v>
      </c>
      <c r="N974" s="29">
        <f>IF(N$19=1,(IF($A$964=1,IF(N971-N973&gt;0,(MIN((N971-N973),(SUM($E972:N972)-SUM($E973:N973))/'Assumptions - Infrastructure'!$E81)),0),0))," ")</f>
        <v>54.666666666666664</v>
      </c>
      <c r="O974" s="29">
        <f>IF(O$19=1,(IF($A$964=1,IF(O971-O973&gt;0,(MIN((O971-O973),(SUM($E972:O972)-SUM($E973:O973))/'Assumptions - Infrastructure'!$E81)),0),0))," ")</f>
        <v>61.333333333333336</v>
      </c>
      <c r="P974" s="29">
        <f>IF(P$19=1,(IF($A$964=1,IF(P971-P973&gt;0,(MIN((P971-P973),(SUM($E972:P972)-SUM($E973:P973))/'Assumptions - Infrastructure'!$E81)),0),0))," ")</f>
        <v>68</v>
      </c>
      <c r="Q974" s="29">
        <f>IF(Q$19=1,(IF($A$964=1,IF(Q971-Q973&gt;0,(MIN((Q971-Q973),(SUM($E972:Q972)-SUM($E973:Q973))/'Assumptions - Infrastructure'!$E81)),0),0))," ")</f>
        <v>74.666666666666671</v>
      </c>
      <c r="R974" s="29">
        <f>IF(R$19=1,(IF($A$964=1,IF(R971-R973&gt;0,(MIN((R971-R973),(SUM($E972:R972)-SUM($E973:R973))/'Assumptions - Infrastructure'!$E81)),0),0))," ")</f>
        <v>81.333333333333329</v>
      </c>
      <c r="S974" s="29">
        <f>IF(S$19=1,(IF($A$964=1,IF(S971-S973&gt;0,(MIN((S971-S973),(SUM($E972:S972)-SUM($E973:S973))/'Assumptions - Infrastructure'!$E81)),0),0))," ")</f>
        <v>87.666666666666671</v>
      </c>
      <c r="T974" s="29">
        <f>IF(T$19=1,(IF($A$964=1,IF(T971-T973&gt;0,(MIN((T971-T973),(SUM($E972:T972)-SUM($E973:T973))/'Assumptions - Infrastructure'!$E81)),0),0))," ")</f>
        <v>94</v>
      </c>
      <c r="U974" s="29">
        <f>IF(U$19=1,(IF($A$964=1,IF(U971-U973&gt;0,(MIN((U971-U973),(SUM($E972:U972)-SUM($E973:U973))/'Assumptions - Infrastructure'!$E81)),0),0))," ")</f>
        <v>100.33333333333333</v>
      </c>
      <c r="V974" s="29">
        <f>IF(V$19=1,(IF($A$964=1,IF(V971-V973&gt;0,(MIN((V971-V973),(SUM($E972:V972)-SUM($E973:V973))/'Assumptions - Infrastructure'!$E81)),0),0))," ")</f>
        <v>106.66666666666667</v>
      </c>
      <c r="W974" s="29">
        <f>IF(W$19=1,(IF($A$964=1,IF(W971-W973&gt;0,(MIN((W971-W973),(SUM($E972:W972)-SUM($E973:W973))/'Assumptions - Infrastructure'!$E81)),0),0))," ")</f>
        <v>113</v>
      </c>
      <c r="X974" s="29">
        <f>IF(X$19=1,(IF($A$964=1,IF(X971-X973&gt;0,(MIN((X971-X973),(SUM($E972:X972)-SUM($E973:X973))/'Assumptions - Infrastructure'!$E81)),0),0))," ")</f>
        <v>119.33333333333333</v>
      </c>
      <c r="Y974" s="29">
        <f>IF(Y$19=1,(IF($A$964=1,IF(Y971-Y973&gt;0,(MIN((Y971-Y973),(SUM($E972:Y972)-SUM($E973:Y973))/'Assumptions - Infrastructure'!$E81)),0),0))," ")</f>
        <v>125.66666666666667</v>
      </c>
      <c r="Z974" s="29">
        <f>IF(Z$19=1,(IF($A$964=1,IF(Z971-Z973&gt;0,(MIN((Z971-Z973),(SUM($E972:Z972)-SUM($E973:Z973))/'Assumptions - Infrastructure'!$E81)),0),0))," ")</f>
        <v>132</v>
      </c>
      <c r="AA974" s="29">
        <f>IF(AA$19=1,(IF($A$964=1,IF(AA971-AA973&gt;0,(MIN((AA971-AA973),(SUM($E972:AA972)-SUM($E973:AA973))/'Assumptions - Infrastructure'!$E81)),0),0))," ")</f>
        <v>138.33333333333334</v>
      </c>
      <c r="AB974" s="29">
        <f>IF(AB$19=1,(IF($A$964=1,IF(AB971-AB973&gt;0,(MIN((AB971-AB973),(SUM($E972:AB972)-SUM($E973:AB973))/'Assumptions - Infrastructure'!$E81)),0),0))," ")</f>
        <v>144.66666666666666</v>
      </c>
      <c r="AC974" s="29">
        <f>IF(AC$19=1,(IF($A$964=1,IF(AC971-AC973&gt;0,(MIN((AC971-AC973),(SUM($E972:AC972)-SUM($E973:AC973))/'Assumptions - Infrastructure'!$E81)),0),0))," ")</f>
        <v>151</v>
      </c>
      <c r="AD974" s="29">
        <f>IF(AD$19=1,(IF($A$964=1,IF(AD971-AD973&gt;0,(MIN((AD971-AD973),(SUM($E972:AD972)-SUM($E973:AD973))/'Assumptions - Infrastructure'!$E81)),0),0))," ")</f>
        <v>157.33333333333334</v>
      </c>
      <c r="AE974" s="29">
        <f>IF(AE$19=1,(IF($A$964=1,IF(AE971-AE973&gt;0,(MIN((AE971-AE973),(SUM($E972:AE972)-SUM($E973:AE973))/'Assumptions - Infrastructure'!$E81)),0),0))," ")</f>
        <v>163.66666666666666</v>
      </c>
      <c r="AF974" s="29">
        <f>IF(AF$19=1,(IF($A$964=1,IF(AF971-AF973&gt;0,(MIN((AF971-AF973),(SUM($E972:AF972)-SUM($E973:AF973))/'Assumptions - Infrastructure'!$E81)),0),0))," ")</f>
        <v>170</v>
      </c>
      <c r="AG974" s="29">
        <f>IF(AG$19=1,(IF($A$964=1,IF(AG971-AG973&gt;0,(MIN((AG971-AG973),(SUM($E972:AG972)-SUM($E973:AG973))/'Assumptions - Infrastructure'!$E81)),0),0))," ")</f>
        <v>176.33333333333334</v>
      </c>
      <c r="AH974" s="29">
        <f>IF(AH$19=1,(IF($A$964=1,IF(AH971-AH973&gt;0,(MIN((AH971-AH973),(SUM($E972:AH972)-SUM($E973:AH973))/'Assumptions - Infrastructure'!$E81)),0),0))," ")</f>
        <v>124.00000000000003</v>
      </c>
    </row>
    <row r="975" spans="1:34" s="20" customFormat="1" ht="14" x14ac:dyDescent="0.2">
      <c r="A975" s="87"/>
      <c r="B975" s="30" t="s">
        <v>636</v>
      </c>
      <c r="C975" s="8"/>
      <c r="D975" s="8" t="str">
        <f>'Assumptions - General'!$E$27 &amp;" millions"</f>
        <v>R$ millions</v>
      </c>
      <c r="E975" s="29"/>
      <c r="F975" s="29">
        <f>IF(F$19=1,SUM($E974:F974)," ")</f>
        <v>0</v>
      </c>
      <c r="G975" s="29">
        <f>IF(G$19=1,SUM($E974:G974)," ")</f>
        <v>8</v>
      </c>
      <c r="H975" s="29">
        <f>IF(H$19=1,SUM($E974:H974)," ")</f>
        <v>22.666666666666664</v>
      </c>
      <c r="I975" s="29">
        <f>IF(I$19=1,SUM($E974:I974)," ")</f>
        <v>44</v>
      </c>
      <c r="J975" s="29">
        <f>IF(J$19=1,SUM($E974:J974)," ")</f>
        <v>72</v>
      </c>
      <c r="K975" s="29">
        <f>IF(K$19=1,SUM($E974:K974)," ")</f>
        <v>106.66666666666666</v>
      </c>
      <c r="L975" s="29">
        <f>IF(L$19=1,SUM($E974:L974)," ")</f>
        <v>148</v>
      </c>
      <c r="M975" s="29">
        <f>IF(M$19=1,SUM($E974:M974)," ")</f>
        <v>196</v>
      </c>
      <c r="N975" s="29">
        <f>IF(N$19=1,SUM($E974:N974)," ")</f>
        <v>250.66666666666666</v>
      </c>
      <c r="O975" s="29">
        <f>IF(O$19=1,SUM($E974:O974)," ")</f>
        <v>312</v>
      </c>
      <c r="P975" s="29">
        <f>IF(P$19=1,SUM($E974:P974)," ")</f>
        <v>380</v>
      </c>
      <c r="Q975" s="29">
        <f>IF(Q$19=1,SUM($E974:Q974)," ")</f>
        <v>454.66666666666669</v>
      </c>
      <c r="R975" s="29">
        <f>IF(R$19=1,SUM($E974:R974)," ")</f>
        <v>536</v>
      </c>
      <c r="S975" s="29">
        <f>IF(S$19=1,SUM($E974:S974)," ")</f>
        <v>623.66666666666663</v>
      </c>
      <c r="T975" s="29">
        <f>IF(T$19=1,SUM($E974:T974)," ")</f>
        <v>717.66666666666663</v>
      </c>
      <c r="U975" s="29">
        <f>IF(U$19=1,SUM($E974:U974)," ")</f>
        <v>818</v>
      </c>
      <c r="V975" s="29">
        <f>IF(V$19=1,SUM($E974:V974)," ")</f>
        <v>924.66666666666663</v>
      </c>
      <c r="W975" s="29">
        <f>IF(W$19=1,SUM($E974:W974)," ")</f>
        <v>1037.6666666666665</v>
      </c>
      <c r="X975" s="29">
        <f>IF(X$19=1,SUM($E974:X974)," ")</f>
        <v>1156.9999999999998</v>
      </c>
      <c r="Y975" s="29">
        <f>IF(Y$19=1,SUM($E974:Y974)," ")</f>
        <v>1282.6666666666665</v>
      </c>
      <c r="Z975" s="29">
        <f>IF(Z$19=1,SUM($E974:Z974)," ")</f>
        <v>1414.6666666666665</v>
      </c>
      <c r="AA975" s="29">
        <f>IF(AA$19=1,SUM($E974:AA974)," ")</f>
        <v>1552.9999999999998</v>
      </c>
      <c r="AB975" s="29">
        <f>IF(AB$19=1,SUM($E974:AB974)," ")</f>
        <v>1697.6666666666665</v>
      </c>
      <c r="AC975" s="29">
        <f>IF(AC$19=1,SUM($E974:AC974)," ")</f>
        <v>1848.6666666666665</v>
      </c>
      <c r="AD975" s="29">
        <f>IF(AD$19=1,SUM($E974:AD974)," ")</f>
        <v>2005.9999999999998</v>
      </c>
      <c r="AE975" s="29">
        <f>IF(AE$19=1,SUM($E974:AE974)," ")</f>
        <v>2169.6666666666665</v>
      </c>
      <c r="AF975" s="29">
        <f>IF(AF$19=1,SUM($E974:AF974)," ")</f>
        <v>2339.6666666666665</v>
      </c>
      <c r="AG975" s="29">
        <f>IF(AG$19=1,SUM($E974:AG974)," ")</f>
        <v>2516</v>
      </c>
      <c r="AH975" s="29">
        <f>IF(AH$19=1,SUM($E974:AH974)," ")</f>
        <v>2640</v>
      </c>
    </row>
    <row r="976" spans="1:34" s="20" customFormat="1" ht="14" x14ac:dyDescent="0.2">
      <c r="A976" s="87"/>
      <c r="B976" s="14" t="s">
        <v>640</v>
      </c>
      <c r="C976" s="8"/>
      <c r="D976" s="8" t="str">
        <f>'Assumptions - General'!$E$27 &amp;" millions"</f>
        <v>R$ millions</v>
      </c>
      <c r="E976" s="29"/>
      <c r="F976" s="29">
        <f>IF(F$19=1,F971+F972-F973-F974," ")</f>
        <v>20</v>
      </c>
      <c r="G976" s="29">
        <f t="shared" ref="G976:AH976" si="387">IF(G$19=1,G971+G972-G973-G974," ")</f>
        <v>112</v>
      </c>
      <c r="H976" s="29">
        <f t="shared" si="387"/>
        <v>197.33333333333334</v>
      </c>
      <c r="I976" s="29">
        <f t="shared" si="387"/>
        <v>276.00000000000006</v>
      </c>
      <c r="J976" s="29">
        <f t="shared" si="387"/>
        <v>348.00000000000006</v>
      </c>
      <c r="K976" s="29">
        <f t="shared" si="387"/>
        <v>413.33333333333337</v>
      </c>
      <c r="L976" s="29">
        <f t="shared" si="387"/>
        <v>472.00000000000006</v>
      </c>
      <c r="M976" s="29">
        <f t="shared" si="387"/>
        <v>524</v>
      </c>
      <c r="N976" s="29">
        <f t="shared" si="387"/>
        <v>569.33333333333337</v>
      </c>
      <c r="O976" s="29">
        <f t="shared" si="387"/>
        <v>608</v>
      </c>
      <c r="P976" s="29">
        <f t="shared" si="387"/>
        <v>640</v>
      </c>
      <c r="Q976" s="29">
        <f t="shared" si="387"/>
        <v>665.33333333333337</v>
      </c>
      <c r="R976" s="29">
        <f t="shared" si="387"/>
        <v>684</v>
      </c>
      <c r="S976" s="29">
        <f t="shared" si="387"/>
        <v>691.33333333333337</v>
      </c>
      <c r="T976" s="29">
        <f t="shared" si="387"/>
        <v>692.33333333333337</v>
      </c>
      <c r="U976" s="29">
        <f t="shared" si="387"/>
        <v>687</v>
      </c>
      <c r="V976" s="29">
        <f t="shared" si="387"/>
        <v>675.33333333333337</v>
      </c>
      <c r="W976" s="29">
        <f t="shared" si="387"/>
        <v>657.33333333333337</v>
      </c>
      <c r="X976" s="29">
        <f t="shared" si="387"/>
        <v>633</v>
      </c>
      <c r="Y976" s="29">
        <f t="shared" si="387"/>
        <v>602.33333333333337</v>
      </c>
      <c r="Z976" s="29">
        <f t="shared" si="387"/>
        <v>565.33333333333337</v>
      </c>
      <c r="AA976" s="29">
        <f t="shared" si="387"/>
        <v>522</v>
      </c>
      <c r="AB976" s="29">
        <f t="shared" si="387"/>
        <v>472.33333333333337</v>
      </c>
      <c r="AC976" s="29">
        <f t="shared" si="387"/>
        <v>416.33333333333337</v>
      </c>
      <c r="AD976" s="29">
        <f t="shared" si="387"/>
        <v>354</v>
      </c>
      <c r="AE976" s="29">
        <f t="shared" si="387"/>
        <v>285.33333333333337</v>
      </c>
      <c r="AF976" s="29">
        <f t="shared" si="387"/>
        <v>210.33333333333337</v>
      </c>
      <c r="AG976" s="29">
        <f t="shared" si="387"/>
        <v>129.00000000000003</v>
      </c>
      <c r="AH976" s="29">
        <f t="shared" si="387"/>
        <v>100</v>
      </c>
    </row>
    <row r="977" spans="1:34" s="20" customFormat="1" ht="14" x14ac:dyDescent="0.2">
      <c r="A977" s="87"/>
      <c r="B977" s="14"/>
      <c r="C977" s="8"/>
      <c r="D977" s="8"/>
      <c r="E977" s="29"/>
      <c r="F977" s="29"/>
      <c r="G977" s="29"/>
      <c r="H977" s="29"/>
      <c r="I977" s="29"/>
      <c r="J977" s="29"/>
      <c r="K977" s="29"/>
      <c r="L977" s="29"/>
      <c r="M977" s="29"/>
      <c r="N977" s="29"/>
      <c r="O977" s="29"/>
      <c r="P977" s="29"/>
      <c r="Q977" s="29"/>
      <c r="R977" s="29"/>
      <c r="S977" s="29"/>
      <c r="T977" s="29"/>
      <c r="U977" s="29"/>
      <c r="V977" s="29"/>
      <c r="W977" s="29"/>
      <c r="X977" s="29"/>
      <c r="Y977" s="29"/>
      <c r="Z977" s="29"/>
      <c r="AA977" s="29"/>
      <c r="AB977" s="29"/>
      <c r="AC977" s="29"/>
      <c r="AD977" s="29"/>
      <c r="AE977" s="29"/>
      <c r="AF977" s="29"/>
      <c r="AG977" s="29"/>
      <c r="AH977" s="29"/>
    </row>
    <row r="978" spans="1:34" s="20" customFormat="1" ht="14" x14ac:dyDescent="0.2">
      <c r="A978" s="87"/>
      <c r="B978" s="14" t="s">
        <v>638</v>
      </c>
      <c r="C978" s="8"/>
      <c r="D978" s="8" t="str">
        <f>'Assumptions - General'!$E$27 &amp;" millions"</f>
        <v>R$ millions</v>
      </c>
      <c r="E978" s="29">
        <f>IF(E$19=1,E969+E976," ")</f>
        <v>200</v>
      </c>
      <c r="F978" s="29">
        <f>IF(F$19=1,F969+F976," ")</f>
        <v>202</v>
      </c>
      <c r="G978" s="29">
        <f t="shared" ref="G978:AH978" si="388">IF(G$19=1,G969+G976," ")</f>
        <v>276.33333333333337</v>
      </c>
      <c r="H978" s="29">
        <f t="shared" si="388"/>
        <v>344.33333333333337</v>
      </c>
      <c r="I978" s="29">
        <f t="shared" si="388"/>
        <v>406.00000000000006</v>
      </c>
      <c r="J978" s="29">
        <f t="shared" si="388"/>
        <v>461.33333333333337</v>
      </c>
      <c r="K978" s="29">
        <f t="shared" si="388"/>
        <v>510.33333333333337</v>
      </c>
      <c r="L978" s="29">
        <f t="shared" si="388"/>
        <v>553</v>
      </c>
      <c r="M978" s="29">
        <f t="shared" si="388"/>
        <v>589.33333333333337</v>
      </c>
      <c r="N978" s="29">
        <f t="shared" si="388"/>
        <v>619.33333333333337</v>
      </c>
      <c r="O978" s="29">
        <f t="shared" si="388"/>
        <v>643</v>
      </c>
      <c r="P978" s="29">
        <f t="shared" si="388"/>
        <v>660.33333333333337</v>
      </c>
      <c r="Q978" s="29">
        <f t="shared" si="388"/>
        <v>671.33333333333337</v>
      </c>
      <c r="R978" s="29">
        <f t="shared" si="388"/>
        <v>684</v>
      </c>
      <c r="S978" s="29">
        <f t="shared" si="388"/>
        <v>691.33333333333337</v>
      </c>
      <c r="T978" s="29">
        <f t="shared" si="388"/>
        <v>692.33333333333337</v>
      </c>
      <c r="U978" s="29">
        <f t="shared" si="388"/>
        <v>687</v>
      </c>
      <c r="V978" s="29">
        <f t="shared" si="388"/>
        <v>675.33333333333337</v>
      </c>
      <c r="W978" s="29">
        <f t="shared" si="388"/>
        <v>657.33333333333337</v>
      </c>
      <c r="X978" s="29">
        <f t="shared" si="388"/>
        <v>633</v>
      </c>
      <c r="Y978" s="29">
        <f t="shared" si="388"/>
        <v>602.33333333333337</v>
      </c>
      <c r="Z978" s="29">
        <f t="shared" si="388"/>
        <v>565.33333333333337</v>
      </c>
      <c r="AA978" s="29">
        <f t="shared" si="388"/>
        <v>522</v>
      </c>
      <c r="AB978" s="29">
        <f t="shared" si="388"/>
        <v>472.33333333333337</v>
      </c>
      <c r="AC978" s="29">
        <f t="shared" si="388"/>
        <v>416.33333333333337</v>
      </c>
      <c r="AD978" s="29">
        <f t="shared" si="388"/>
        <v>354</v>
      </c>
      <c r="AE978" s="29">
        <f t="shared" si="388"/>
        <v>285.33333333333337</v>
      </c>
      <c r="AF978" s="29">
        <f t="shared" si="388"/>
        <v>210.33333333333337</v>
      </c>
      <c r="AG978" s="29">
        <f t="shared" si="388"/>
        <v>129.00000000000003</v>
      </c>
      <c r="AH978" s="29">
        <f t="shared" si="388"/>
        <v>100</v>
      </c>
    </row>
    <row r="979" spans="1:34" s="310" customFormat="1" ht="14" x14ac:dyDescent="0.2">
      <c r="A979" s="87"/>
      <c r="B979" s="446"/>
      <c r="C979" s="87"/>
      <c r="D979" s="87"/>
      <c r="E979" s="447"/>
      <c r="F979" s="447"/>
      <c r="G979" s="447"/>
      <c r="H979" s="447"/>
      <c r="I979" s="447"/>
      <c r="J979" s="447"/>
      <c r="K979" s="447"/>
      <c r="L979" s="447"/>
      <c r="M979" s="447"/>
      <c r="N979" s="447"/>
      <c r="O979" s="447"/>
      <c r="P979" s="447"/>
      <c r="Q979" s="447"/>
      <c r="R979" s="447"/>
      <c r="S979" s="447"/>
      <c r="T979" s="447"/>
      <c r="U979" s="447"/>
      <c r="V979" s="447"/>
      <c r="W979" s="447"/>
      <c r="X979" s="447"/>
      <c r="Y979" s="447"/>
      <c r="Z979" s="447"/>
      <c r="AA979" s="447"/>
      <c r="AB979" s="447"/>
      <c r="AC979" s="447"/>
      <c r="AD979" s="447"/>
      <c r="AE979" s="447"/>
      <c r="AF979" s="447"/>
      <c r="AG979" s="447"/>
      <c r="AH979" s="447"/>
    </row>
    <row r="980" spans="1:34" s="20" customFormat="1" ht="14" x14ac:dyDescent="0.2">
      <c r="A980" s="87">
        <f>'Assumptions - Infrastructure'!E85</f>
        <v>1</v>
      </c>
      <c r="B980" s="21" t="str">
        <f>'Assumptions - Infrastructure'!E33</f>
        <v>Locomotives and railway cars</v>
      </c>
      <c r="C980" s="8"/>
      <c r="D980" s="8"/>
      <c r="E980" s="31"/>
      <c r="F980" s="31"/>
      <c r="G980" s="31"/>
      <c r="H980" s="31"/>
      <c r="I980" s="31"/>
      <c r="J980" s="31"/>
      <c r="K980" s="31"/>
      <c r="L980" s="31"/>
      <c r="M980" s="31"/>
      <c r="N980" s="31"/>
      <c r="O980" s="31"/>
      <c r="P980" s="31"/>
      <c r="Q980" s="31"/>
      <c r="R980" s="31"/>
      <c r="S980" s="31"/>
      <c r="T980" s="31"/>
      <c r="U980" s="31"/>
      <c r="V980" s="31"/>
      <c r="W980" s="31"/>
      <c r="X980" s="31"/>
      <c r="Y980" s="31"/>
      <c r="Z980" s="31"/>
      <c r="AA980" s="31"/>
      <c r="AB980" s="31"/>
      <c r="AC980" s="31"/>
      <c r="AD980" s="31"/>
      <c r="AE980" s="31"/>
      <c r="AF980" s="31"/>
      <c r="AG980" s="31"/>
      <c r="AH980" s="31"/>
    </row>
    <row r="981" spans="1:34" s="20" customFormat="1" ht="14" x14ac:dyDescent="0.2">
      <c r="A981" s="87"/>
      <c r="B981" s="14" t="str">
        <f>"Starting value "</f>
        <v xml:space="preserve">Starting value </v>
      </c>
      <c r="C981" s="8"/>
      <c r="D981" s="8" t="str">
        <f>'Assumptions - General'!$E$27 &amp;" millions"</f>
        <v>R$ millions</v>
      </c>
      <c r="E981" s="29"/>
      <c r="F981" s="31">
        <f t="shared" ref="F981:AH981" si="389">IF(F$19=1,E985," ")</f>
        <v>300</v>
      </c>
      <c r="G981" s="31">
        <f t="shared" si="389"/>
        <v>287.23684210526318</v>
      </c>
      <c r="H981" s="31">
        <f t="shared" si="389"/>
        <v>274.60526315789474</v>
      </c>
      <c r="I981" s="31">
        <f t="shared" si="389"/>
        <v>262.10526315789474</v>
      </c>
      <c r="J981" s="31">
        <f t="shared" si="389"/>
        <v>249.73684210526315</v>
      </c>
      <c r="K981" s="31">
        <f t="shared" si="389"/>
        <v>237.5</v>
      </c>
      <c r="L981" s="31">
        <f t="shared" si="389"/>
        <v>225.39473684210526</v>
      </c>
      <c r="M981" s="31">
        <f t="shared" si="389"/>
        <v>213.42105263157893</v>
      </c>
      <c r="N981" s="31">
        <f t="shared" si="389"/>
        <v>201.57894736842104</v>
      </c>
      <c r="O981" s="31">
        <f t="shared" si="389"/>
        <v>189.86842105263156</v>
      </c>
      <c r="P981" s="31">
        <f t="shared" si="389"/>
        <v>178.28947368421052</v>
      </c>
      <c r="Q981" s="31">
        <f t="shared" si="389"/>
        <v>166.84210526315789</v>
      </c>
      <c r="R981" s="31">
        <f t="shared" si="389"/>
        <v>155.52631578947367</v>
      </c>
      <c r="S981" s="31">
        <f t="shared" si="389"/>
        <v>144.34210526315789</v>
      </c>
      <c r="T981" s="31">
        <f t="shared" si="389"/>
        <v>133.28947368421052</v>
      </c>
      <c r="U981" s="31">
        <f t="shared" si="389"/>
        <v>122.36842105263158</v>
      </c>
      <c r="V981" s="31">
        <f t="shared" si="389"/>
        <v>111.57894736842105</v>
      </c>
      <c r="W981" s="31">
        <f t="shared" si="389"/>
        <v>100.92105263157895</v>
      </c>
      <c r="X981" s="31">
        <f t="shared" si="389"/>
        <v>90.39473684210526</v>
      </c>
      <c r="Y981" s="31">
        <f t="shared" si="389"/>
        <v>80</v>
      </c>
      <c r="Z981" s="31">
        <f t="shared" si="389"/>
        <v>69.73684210526315</v>
      </c>
      <c r="AA981" s="31">
        <f t="shared" si="389"/>
        <v>59.605263157894726</v>
      </c>
      <c r="AB981" s="31">
        <f t="shared" si="389"/>
        <v>49.605263157894726</v>
      </c>
      <c r="AC981" s="31">
        <f t="shared" si="389"/>
        <v>39.73684210526315</v>
      </c>
      <c r="AD981" s="31">
        <f t="shared" si="389"/>
        <v>29.999999999999993</v>
      </c>
      <c r="AE981" s="31">
        <f t="shared" si="389"/>
        <v>20.394736842105257</v>
      </c>
      <c r="AF981" s="31">
        <f t="shared" si="389"/>
        <v>10.921052631578942</v>
      </c>
      <c r="AG981" s="31">
        <f t="shared" si="389"/>
        <v>1.5789473684210469</v>
      </c>
      <c r="AH981" s="31">
        <f t="shared" si="389"/>
        <v>0</v>
      </c>
    </row>
    <row r="982" spans="1:34" s="20" customFormat="1" ht="14" x14ac:dyDescent="0.2">
      <c r="A982" s="87"/>
      <c r="B982" s="30" t="s">
        <v>608</v>
      </c>
      <c r="C982" s="8"/>
      <c r="D982" s="8" t="str">
        <f>'Assumptions - General'!$E$27 &amp;" millions"</f>
        <v>R$ millions</v>
      </c>
      <c r="E982" s="29"/>
      <c r="F982" s="29">
        <f>IF(F$19=1,IF(F981&gt;0,MIN(F981,'Assumptions - Infrastructure'!F55),0)," ")</f>
        <v>5</v>
      </c>
      <c r="G982" s="29">
        <f>IF(G$19=1,IF(G981&gt;0,MIN(G981,'Assumptions - Infrastructure'!G55),0)," ")</f>
        <v>5</v>
      </c>
      <c r="H982" s="29">
        <f>IF(H$19=1,IF(H981&gt;0,MIN(H981,'Assumptions - Infrastructure'!H55),0)," ")</f>
        <v>5</v>
      </c>
      <c r="I982" s="29">
        <f>IF(I$19=1,IF(I981&gt;0,MIN(I981,'Assumptions - Infrastructure'!I55),0)," ")</f>
        <v>5</v>
      </c>
      <c r="J982" s="29">
        <f>IF(J$19=1,IF(J981&gt;0,MIN(J981,'Assumptions - Infrastructure'!J55),0)," ")</f>
        <v>5</v>
      </c>
      <c r="K982" s="29">
        <f>IF(K$19=1,IF(K981&gt;0,MIN(K981,'Assumptions - Infrastructure'!K55),0)," ")</f>
        <v>5</v>
      </c>
      <c r="L982" s="29">
        <f>IF(L$19=1,IF(L981&gt;0,MIN(L981,'Assumptions - Infrastructure'!L55),0)," ")</f>
        <v>5</v>
      </c>
      <c r="M982" s="29">
        <f>IF(M$19=1,IF(M981&gt;0,MIN(M981,'Assumptions - Infrastructure'!M55),0)," ")</f>
        <v>5</v>
      </c>
      <c r="N982" s="29">
        <f>IF(N$19=1,IF(N981&gt;0,MIN(N981,'Assumptions - Infrastructure'!N55),0)," ")</f>
        <v>5</v>
      </c>
      <c r="O982" s="29">
        <f>IF(O$19=1,IF(O981&gt;0,MIN(O981,'Assumptions - Infrastructure'!O55),0)," ")</f>
        <v>5</v>
      </c>
      <c r="P982" s="29">
        <f>IF(P$19=1,IF(P981&gt;0,MIN(P981,'Assumptions - Infrastructure'!P55),0)," ")</f>
        <v>5</v>
      </c>
      <c r="Q982" s="29">
        <f>IF(Q$19=1,IF(Q981&gt;0,MIN(Q981,'Assumptions - Infrastructure'!Q55),0)," ")</f>
        <v>5</v>
      </c>
      <c r="R982" s="29">
        <f>IF(R$19=1,IF(R981&gt;0,MIN(R981,'Assumptions - Infrastructure'!R55),0)," ")</f>
        <v>5</v>
      </c>
      <c r="S982" s="29">
        <f>IF(S$19=1,IF(S981&gt;0,MIN(S981,'Assumptions - Infrastructure'!S55),0)," ")</f>
        <v>5</v>
      </c>
      <c r="T982" s="29">
        <f>IF(T$19=1,IF(T981&gt;0,MIN(T981,'Assumptions - Infrastructure'!T55),0)," ")</f>
        <v>5</v>
      </c>
      <c r="U982" s="29">
        <f>IF(U$19=1,IF(U981&gt;0,MIN(U981,'Assumptions - Infrastructure'!U55),0)," ")</f>
        <v>5</v>
      </c>
      <c r="V982" s="29">
        <f>IF(V$19=1,IF(V981&gt;0,MIN(V981,'Assumptions - Infrastructure'!V55),0)," ")</f>
        <v>5</v>
      </c>
      <c r="W982" s="29">
        <f>IF(W$19=1,IF(W981&gt;0,MIN(W981,'Assumptions - Infrastructure'!W55),0)," ")</f>
        <v>5</v>
      </c>
      <c r="X982" s="29">
        <f>IF(X$19=1,IF(X981&gt;0,MIN(X981,'Assumptions - Infrastructure'!X55),0)," ")</f>
        <v>5</v>
      </c>
      <c r="Y982" s="29">
        <f>IF(Y$19=1,IF(Y981&gt;0,MIN(Y981,'Assumptions - Infrastructure'!Y55),0)," ")</f>
        <v>5</v>
      </c>
      <c r="Z982" s="29">
        <f>IF(Z$19=1,IF(Z981&gt;0,MIN(Z981,'Assumptions - Infrastructure'!Z55),0)," ")</f>
        <v>5</v>
      </c>
      <c r="AA982" s="29">
        <f>IF(AA$19=1,IF(AA981&gt;0,MIN(AA981,'Assumptions - Infrastructure'!AA55),0)," ")</f>
        <v>5</v>
      </c>
      <c r="AB982" s="29">
        <f>IF(AB$19=1,IF(AB981&gt;0,MIN(AB981,'Assumptions - Infrastructure'!AB55),0)," ")</f>
        <v>5</v>
      </c>
      <c r="AC982" s="29">
        <f>IF(AC$19=1,IF(AC981&gt;0,MIN(AC981,'Assumptions - Infrastructure'!AC55),0)," ")</f>
        <v>5</v>
      </c>
      <c r="AD982" s="29">
        <f>IF(AD$19=1,IF(AD981&gt;0,MIN(AD981,'Assumptions - Infrastructure'!AD55),0)," ")</f>
        <v>5</v>
      </c>
      <c r="AE982" s="29">
        <f>IF(AE$19=1,IF(AE981&gt;0,MIN(AE981,'Assumptions - Infrastructure'!AE55),0)," ")</f>
        <v>5</v>
      </c>
      <c r="AF982" s="29">
        <f>IF(AF$19=1,IF(AF981&gt;0,MIN(AF981,'Assumptions - Infrastructure'!AF55),0)," ")</f>
        <v>5</v>
      </c>
      <c r="AG982" s="29">
        <f>IF(AG$19=1,IF(AG981&gt;0,MIN(AG981,'Assumptions - Infrastructure'!AG55),0)," ")</f>
        <v>1.5789473684210469</v>
      </c>
      <c r="AH982" s="29">
        <f>IF(AH$19=1,IF(AH981&gt;0,MIN(AH981,'Assumptions - Infrastructure'!AH55),0)," ")</f>
        <v>0</v>
      </c>
    </row>
    <row r="983" spans="1:34" s="20" customFormat="1" ht="14" x14ac:dyDescent="0.2">
      <c r="A983" s="87"/>
      <c r="B983" s="30" t="str">
        <f>IF(A980=1,"Less depreciation of existing assets","Less depreciation of assets")</f>
        <v>Less depreciation of existing assets</v>
      </c>
      <c r="C983" s="8"/>
      <c r="D983" s="8" t="str">
        <f>'Assumptions - General'!$E$27 &amp;" millions"</f>
        <v>R$ millions</v>
      </c>
      <c r="E983" s="29"/>
      <c r="F983" s="229">
        <f>IF(F$19=1,(IF($A980=1,IF(F981-F982&gt;0,(MIN((F981-F982),($E985-SUM($E982:F982))/'Assumptions - Infrastructure'!$E87)),0),'Assumptions - Infrastructure'!F90))," ")</f>
        <v>7.7631578947368425</v>
      </c>
      <c r="G983" s="229">
        <f>IF(G$19=1,(IF($A980=1,IF(G981-G982&gt;0,(MIN((G981-G982),($E985-SUM($E982:G982))/'Assumptions - Infrastructure'!$E87)),0),'Assumptions - Infrastructure'!G90))," ")</f>
        <v>7.6315789473684212</v>
      </c>
      <c r="H983" s="229">
        <f>IF(H$19=1,(IF($A980=1,IF(H981-H982&gt;0,(MIN((H981-H982),($E985-SUM($E982:H982))/'Assumptions - Infrastructure'!$E87)),0),'Assumptions - Infrastructure'!H90))," ")</f>
        <v>7.5</v>
      </c>
      <c r="I983" s="229">
        <f>IF(I$19=1,(IF($A980=1,IF(I981-I982&gt;0,(MIN((I981-I982),($E985-SUM($E982:I982))/'Assumptions - Infrastructure'!$E87)),0),'Assumptions - Infrastructure'!I90))," ")</f>
        <v>7.3684210526315788</v>
      </c>
      <c r="J983" s="229">
        <f>IF(J$19=1,(IF($A980=1,IF(J981-J982&gt;0,(MIN((J981-J982),($E985-SUM($E982:J982))/'Assumptions - Infrastructure'!$E87)),0),'Assumptions - Infrastructure'!J90))," ")</f>
        <v>7.2368421052631575</v>
      </c>
      <c r="K983" s="229">
        <f>IF(K$19=1,(IF($A980=1,IF(K981-K982&gt;0,(MIN((K981-K982),($E985-SUM($E982:K982))/'Assumptions - Infrastructure'!$E87)),0),'Assumptions - Infrastructure'!K90))," ")</f>
        <v>7.1052631578947372</v>
      </c>
      <c r="L983" s="229">
        <f>IF(L$19=1,(IF($A980=1,IF(L981-L982&gt;0,(MIN((L981-L982),($E985-SUM($E982:L982))/'Assumptions - Infrastructure'!$E87)),0),'Assumptions - Infrastructure'!L90))," ")</f>
        <v>6.9736842105263159</v>
      </c>
      <c r="M983" s="229">
        <f>IF(M$19=1,(IF($A980=1,IF(M981-M982&gt;0,(MIN((M981-M982),($E985-SUM($E982:M982))/'Assumptions - Infrastructure'!$E87)),0),'Assumptions - Infrastructure'!M90))," ")</f>
        <v>6.8421052631578947</v>
      </c>
      <c r="N983" s="229">
        <f>IF(N$19=1,(IF($A980=1,IF(N981-N982&gt;0,(MIN((N981-N982),($E985-SUM($E982:N982))/'Assumptions - Infrastructure'!$E87)),0),'Assumptions - Infrastructure'!N90))," ")</f>
        <v>6.7105263157894735</v>
      </c>
      <c r="O983" s="229">
        <f>IF(O$19=1,(IF($A980=1,IF(O981-O982&gt;0,(MIN((O981-O982),($E985-SUM($E982:O982))/'Assumptions - Infrastructure'!$E87)),0),'Assumptions - Infrastructure'!O90))," ")</f>
        <v>6.5789473684210522</v>
      </c>
      <c r="P983" s="229">
        <f>IF(P$19=1,(IF($A980=1,IF(P981-P982&gt;0,(MIN((P981-P982),($E985-SUM($E982:P982))/'Assumptions - Infrastructure'!$E87)),0),'Assumptions - Infrastructure'!P90))," ")</f>
        <v>6.4473684210526319</v>
      </c>
      <c r="Q983" s="229">
        <f>IF(Q$19=1,(IF($A980=1,IF(Q981-Q982&gt;0,(MIN((Q981-Q982),($E985-SUM($E982:Q982))/'Assumptions - Infrastructure'!$E87)),0),'Assumptions - Infrastructure'!Q90))," ")</f>
        <v>6.3157894736842106</v>
      </c>
      <c r="R983" s="229">
        <f>IF(R$19=1,(IF($A980=1,IF(R981-R982&gt;0,(MIN((R981-R982),($E985-SUM($E982:R982))/'Assumptions - Infrastructure'!$E87)),0),'Assumptions - Infrastructure'!R90))," ")</f>
        <v>6.1842105263157894</v>
      </c>
      <c r="S983" s="229">
        <f>IF(S$19=1,(IF($A980=1,IF(S981-S982&gt;0,(MIN((S981-S982),($E985-SUM($E982:S982))/'Assumptions - Infrastructure'!$E87)),0),'Assumptions - Infrastructure'!S90))," ")</f>
        <v>6.0526315789473681</v>
      </c>
      <c r="T983" s="229">
        <f>IF(T$19=1,(IF($A980=1,IF(T981-T982&gt;0,(MIN((T981-T982),($E985-SUM($E982:T982))/'Assumptions - Infrastructure'!$E87)),0),'Assumptions - Infrastructure'!T90))," ")</f>
        <v>5.9210526315789478</v>
      </c>
      <c r="U983" s="229">
        <f>IF(U$19=1,(IF($A980=1,IF(U981-U982&gt;0,(MIN((U981-U982),($E985-SUM($E982:U982))/'Assumptions - Infrastructure'!$E87)),0),'Assumptions - Infrastructure'!U90))," ")</f>
        <v>5.7894736842105265</v>
      </c>
      <c r="V983" s="229">
        <f>IF(V$19=1,(IF($A980=1,IF(V981-V982&gt;0,(MIN((V981-V982),($E985-SUM($E982:V982))/'Assumptions - Infrastructure'!$E87)),0),'Assumptions - Infrastructure'!V90))," ")</f>
        <v>5.6578947368421053</v>
      </c>
      <c r="W983" s="229">
        <f>IF(W$19=1,(IF($A980=1,IF(W981-W982&gt;0,(MIN((W981-W982),($E985-SUM($E982:W982))/'Assumptions - Infrastructure'!$E87)),0),'Assumptions - Infrastructure'!W90))," ")</f>
        <v>5.5263157894736841</v>
      </c>
      <c r="X983" s="229">
        <f>IF(X$19=1,(IF($A980=1,IF(X981-X982&gt;0,(MIN((X981-X982),($E985-SUM($E982:X982))/'Assumptions - Infrastructure'!$E87)),0),'Assumptions - Infrastructure'!X90))," ")</f>
        <v>5.3947368421052628</v>
      </c>
      <c r="Y983" s="229">
        <f>IF(Y$19=1,(IF($A980=1,IF(Y981-Y982&gt;0,(MIN((Y981-Y982),($E985-SUM($E982:Y982))/'Assumptions - Infrastructure'!$E87)),0),'Assumptions - Infrastructure'!Y90))," ")</f>
        <v>5.2631578947368425</v>
      </c>
      <c r="Z983" s="229">
        <f>IF(Z$19=1,(IF($A980=1,IF(Z981-Z982&gt;0,(MIN((Z981-Z982),($E985-SUM($E982:Z982))/'Assumptions - Infrastructure'!$E87)),0),'Assumptions - Infrastructure'!Z90))," ")</f>
        <v>5.1315789473684212</v>
      </c>
      <c r="AA983" s="229">
        <f>IF(AA$19=1,(IF($A980=1,IF(AA981-AA982&gt;0,(MIN((AA981-AA982),($E985-SUM($E982:AA982))/'Assumptions - Infrastructure'!$E87)),0),'Assumptions - Infrastructure'!AA90))," ")</f>
        <v>5</v>
      </c>
      <c r="AB983" s="229">
        <f>IF(AB$19=1,(IF($A980=1,IF(AB981-AB982&gt;0,(MIN((AB981-AB982),($E985-SUM($E982:AB982))/'Assumptions - Infrastructure'!$E87)),0),'Assumptions - Infrastructure'!AB90))," ")</f>
        <v>4.8684210526315788</v>
      </c>
      <c r="AC983" s="229">
        <f>IF(AC$19=1,(IF($A980=1,IF(AC981-AC982&gt;0,(MIN((AC981-AC982),($E985-SUM($E982:AC982))/'Assumptions - Infrastructure'!$E87)),0),'Assumptions - Infrastructure'!AC90))," ")</f>
        <v>4.7368421052631575</v>
      </c>
      <c r="AD983" s="229">
        <f>IF(AD$19=1,(IF($A980=1,IF(AD981-AD982&gt;0,(MIN((AD981-AD982),($E985-SUM($E982:AD982))/'Assumptions - Infrastructure'!$E87)),0),'Assumptions - Infrastructure'!AD90))," ")</f>
        <v>4.6052631578947372</v>
      </c>
      <c r="AE983" s="229">
        <f>IF(AE$19=1,(IF($A980=1,IF(AE981-AE982&gt;0,(MIN((AE981-AE982),($E985-SUM($E982:AE982))/'Assumptions - Infrastructure'!$E87)),0),'Assumptions - Infrastructure'!AE90))," ")</f>
        <v>4.4736842105263159</v>
      </c>
      <c r="AF983" s="229">
        <f>IF(AF$19=1,(IF($A980=1,IF(AF981-AF982&gt;0,(MIN((AF981-AF982),($E985-SUM($E982:AF982))/'Assumptions - Infrastructure'!$E87)),0),'Assumptions - Infrastructure'!AF90))," ")</f>
        <v>4.3421052631578947</v>
      </c>
      <c r="AG983" s="229">
        <f>IF(AG$19=1,(IF($A980=1,IF(AG981-AG982&gt;0,(MIN((AG981-AG982),($E985-SUM($E982:AG982))/'Assumptions - Infrastructure'!$E87)),0),'Assumptions - Infrastructure'!AG90))," ")</f>
        <v>0</v>
      </c>
      <c r="AH983" s="229">
        <f>IF(AH$19=1,(IF($A980=1,IF(AH981-AH982&gt;0,(MIN((AH981-AH982),($E985-SUM($E982:AH982))/'Assumptions - Infrastructure'!$E87)),0),'Assumptions - Infrastructure'!AH90))," ")</f>
        <v>0</v>
      </c>
    </row>
    <row r="984" spans="1:34" s="20" customFormat="1" ht="14" x14ac:dyDescent="0.2">
      <c r="A984" s="87"/>
      <c r="B984" s="30" t="str">
        <f>IF(A980=1,"Accumulated depreciation of existing assets","Accumulated depreciation of assets")</f>
        <v>Accumulated depreciation of existing assets</v>
      </c>
      <c r="C984" s="8"/>
      <c r="D984" s="8" t="str">
        <f>'Assumptions - General'!$E$27 &amp;" millions"</f>
        <v>R$ millions</v>
      </c>
      <c r="E984" s="29"/>
      <c r="F984" s="29">
        <f>IF(F$19=1,SUM($E983:F983)," ")</f>
        <v>7.7631578947368425</v>
      </c>
      <c r="G984" s="29">
        <f>IF(G$19=1,SUM($E983:G983)," ")</f>
        <v>15.394736842105264</v>
      </c>
      <c r="H984" s="29">
        <f>IF(H$19=1,SUM($E983:H983)," ")</f>
        <v>22.894736842105264</v>
      </c>
      <c r="I984" s="29">
        <f>IF(I$19=1,SUM($E983:I983)," ")</f>
        <v>30.263157894736842</v>
      </c>
      <c r="J984" s="29">
        <f>IF(J$19=1,SUM($E983:J983)," ")</f>
        <v>37.5</v>
      </c>
      <c r="K984" s="29">
        <f>IF(K$19=1,SUM($E983:K983)," ")</f>
        <v>44.60526315789474</v>
      </c>
      <c r="L984" s="29">
        <f>IF(L$19=1,SUM($E983:L983)," ")</f>
        <v>51.578947368421055</v>
      </c>
      <c r="M984" s="29">
        <f>IF(M$19=1,SUM($E983:M983)," ")</f>
        <v>58.421052631578952</v>
      </c>
      <c r="N984" s="29">
        <f>IF(N$19=1,SUM($E983:N983)," ")</f>
        <v>65.131578947368425</v>
      </c>
      <c r="O984" s="29">
        <f>IF(O$19=1,SUM($E983:O983)," ")</f>
        <v>71.71052631578948</v>
      </c>
      <c r="P984" s="29">
        <f>IF(P$19=1,SUM($E983:P983)," ")</f>
        <v>78.15789473684211</v>
      </c>
      <c r="Q984" s="29">
        <f>IF(Q$19=1,SUM($E983:Q983)," ")</f>
        <v>84.473684210526315</v>
      </c>
      <c r="R984" s="29">
        <f>IF(R$19=1,SUM($E983:R983)," ")</f>
        <v>90.65789473684211</v>
      </c>
      <c r="S984" s="29">
        <f>IF(S$19=1,SUM($E983:S983)," ")</f>
        <v>96.71052631578948</v>
      </c>
      <c r="T984" s="29">
        <f>IF(T$19=1,SUM($E983:T983)," ")</f>
        <v>102.63157894736842</v>
      </c>
      <c r="U984" s="29">
        <f>IF(U$19=1,SUM($E983:U983)," ")</f>
        <v>108.42105263157895</v>
      </c>
      <c r="V984" s="29">
        <f>IF(V$19=1,SUM($E983:V983)," ")</f>
        <v>114.07894736842105</v>
      </c>
      <c r="W984" s="29">
        <f>IF(W$19=1,SUM($E983:W983)," ")</f>
        <v>119.60526315789474</v>
      </c>
      <c r="X984" s="29">
        <f>IF(X$19=1,SUM($E983:X983)," ")</f>
        <v>125</v>
      </c>
      <c r="Y984" s="29">
        <f>IF(Y$19=1,SUM($E983:Y983)," ")</f>
        <v>130.26315789473685</v>
      </c>
      <c r="Z984" s="29">
        <f>IF(Z$19=1,SUM($E983:Z983)," ")</f>
        <v>135.39473684210526</v>
      </c>
      <c r="AA984" s="29">
        <f>IF(AA$19=1,SUM($E983:AA983)," ")</f>
        <v>140.39473684210526</v>
      </c>
      <c r="AB984" s="29">
        <f>IF(AB$19=1,SUM($E983:AB983)," ")</f>
        <v>145.26315789473685</v>
      </c>
      <c r="AC984" s="29">
        <f>IF(AC$19=1,SUM($E983:AC983)," ")</f>
        <v>150</v>
      </c>
      <c r="AD984" s="29">
        <f>IF(AD$19=1,SUM($E983:AD983)," ")</f>
        <v>154.60526315789474</v>
      </c>
      <c r="AE984" s="29">
        <f>IF(AE$19=1,SUM($E983:AE983)," ")</f>
        <v>159.07894736842107</v>
      </c>
      <c r="AF984" s="29">
        <f>IF(AF$19=1,SUM($E983:AF983)," ")</f>
        <v>163.42105263157896</v>
      </c>
      <c r="AG984" s="29">
        <f>IF(AG$19=1,SUM($E983:AG983)," ")</f>
        <v>163.42105263157896</v>
      </c>
      <c r="AH984" s="29">
        <f>IF(AH$19=1,SUM($E983:AH983)," ")</f>
        <v>163.42105263157896</v>
      </c>
    </row>
    <row r="985" spans="1:34" s="20" customFormat="1" ht="14" x14ac:dyDescent="0.2">
      <c r="A985" s="87"/>
      <c r="B985" s="14" t="str">
        <f>"Ending value "</f>
        <v xml:space="preserve">Ending value </v>
      </c>
      <c r="C985" s="8"/>
      <c r="D985" s="8" t="str">
        <f>'Assumptions - General'!$E$27 &amp;" millions"</f>
        <v>R$ millions</v>
      </c>
      <c r="E985" s="470">
        <f>IF(E$19=1,'Assumptions - Infrastructure'!E40," ")</f>
        <v>300</v>
      </c>
      <c r="F985" s="29">
        <f>IF(F$19=1,F981-F982-F983," ")</f>
        <v>287.23684210526318</v>
      </c>
      <c r="G985" s="29">
        <f t="shared" ref="G985:AH985" si="390">IF(G$19=1,G981-G982-G983," ")</f>
        <v>274.60526315789474</v>
      </c>
      <c r="H985" s="29">
        <f t="shared" si="390"/>
        <v>262.10526315789474</v>
      </c>
      <c r="I985" s="29">
        <f t="shared" si="390"/>
        <v>249.73684210526315</v>
      </c>
      <c r="J985" s="29">
        <f t="shared" si="390"/>
        <v>237.5</v>
      </c>
      <c r="K985" s="29">
        <f t="shared" si="390"/>
        <v>225.39473684210526</v>
      </c>
      <c r="L985" s="29">
        <f t="shared" si="390"/>
        <v>213.42105263157893</v>
      </c>
      <c r="M985" s="29">
        <f t="shared" si="390"/>
        <v>201.57894736842104</v>
      </c>
      <c r="N985" s="29">
        <f t="shared" si="390"/>
        <v>189.86842105263156</v>
      </c>
      <c r="O985" s="29">
        <f t="shared" si="390"/>
        <v>178.28947368421052</v>
      </c>
      <c r="P985" s="29">
        <f t="shared" si="390"/>
        <v>166.84210526315789</v>
      </c>
      <c r="Q985" s="29">
        <f t="shared" si="390"/>
        <v>155.52631578947367</v>
      </c>
      <c r="R985" s="29">
        <f t="shared" si="390"/>
        <v>144.34210526315789</v>
      </c>
      <c r="S985" s="29">
        <f t="shared" si="390"/>
        <v>133.28947368421052</v>
      </c>
      <c r="T985" s="29">
        <f t="shared" si="390"/>
        <v>122.36842105263158</v>
      </c>
      <c r="U985" s="29">
        <f t="shared" si="390"/>
        <v>111.57894736842105</v>
      </c>
      <c r="V985" s="29">
        <f t="shared" si="390"/>
        <v>100.92105263157895</v>
      </c>
      <c r="W985" s="29">
        <f t="shared" si="390"/>
        <v>90.39473684210526</v>
      </c>
      <c r="X985" s="29">
        <f t="shared" si="390"/>
        <v>80</v>
      </c>
      <c r="Y985" s="29">
        <f t="shared" si="390"/>
        <v>69.73684210526315</v>
      </c>
      <c r="Z985" s="29">
        <f t="shared" si="390"/>
        <v>59.605263157894726</v>
      </c>
      <c r="AA985" s="29">
        <f t="shared" si="390"/>
        <v>49.605263157894726</v>
      </c>
      <c r="AB985" s="29">
        <f t="shared" si="390"/>
        <v>39.73684210526315</v>
      </c>
      <c r="AC985" s="29">
        <f t="shared" si="390"/>
        <v>29.999999999999993</v>
      </c>
      <c r="AD985" s="29">
        <f t="shared" si="390"/>
        <v>20.394736842105257</v>
      </c>
      <c r="AE985" s="29">
        <f t="shared" si="390"/>
        <v>10.921052631578942</v>
      </c>
      <c r="AF985" s="29">
        <f t="shared" si="390"/>
        <v>1.5789473684210469</v>
      </c>
      <c r="AG985" s="29">
        <f t="shared" si="390"/>
        <v>0</v>
      </c>
      <c r="AH985" s="29">
        <f t="shared" si="390"/>
        <v>0</v>
      </c>
    </row>
    <row r="986" spans="1:34" s="20" customFormat="1" ht="14" x14ac:dyDescent="0.2">
      <c r="A986" s="87"/>
      <c r="B986" s="14"/>
      <c r="C986" s="8"/>
      <c r="D986" s="8"/>
      <c r="E986" s="29"/>
      <c r="F986" s="29"/>
      <c r="G986" s="29"/>
      <c r="H986" s="29"/>
      <c r="I986" s="29"/>
      <c r="J986" s="29"/>
      <c r="K986" s="29"/>
      <c r="L986" s="29"/>
      <c r="M986" s="29"/>
      <c r="N986" s="29"/>
      <c r="O986" s="29"/>
      <c r="P986" s="29"/>
      <c r="Q986" s="29"/>
      <c r="R986" s="29"/>
      <c r="S986" s="29"/>
      <c r="T986" s="29"/>
      <c r="U986" s="29"/>
      <c r="V986" s="29"/>
      <c r="W986" s="29"/>
      <c r="X986" s="29"/>
      <c r="Y986" s="29"/>
      <c r="Z986" s="29"/>
      <c r="AA986" s="29"/>
      <c r="AB986" s="29"/>
      <c r="AC986" s="29"/>
      <c r="AD986" s="29"/>
      <c r="AE986" s="29"/>
      <c r="AF986" s="29"/>
      <c r="AG986" s="29"/>
      <c r="AH986" s="29"/>
    </row>
    <row r="987" spans="1:34" s="20" customFormat="1" ht="14" x14ac:dyDescent="0.2">
      <c r="A987" s="87"/>
      <c r="B987" s="14" t="s">
        <v>634</v>
      </c>
      <c r="C987" s="8"/>
      <c r="D987" s="8" t="str">
        <f>'Assumptions - General'!$E$27 &amp;" millions"</f>
        <v>R$ millions</v>
      </c>
      <c r="E987" s="29"/>
      <c r="F987" s="29">
        <f>IF(F$19=1,E992," ")</f>
        <v>0</v>
      </c>
      <c r="G987" s="29">
        <f t="shared" ref="G987:AH987" si="391">IF(G$19=1,F992," ")</f>
        <v>25</v>
      </c>
      <c r="H987" s="29">
        <f t="shared" si="391"/>
        <v>119.56521739130434</v>
      </c>
      <c r="I987" s="29">
        <f t="shared" si="391"/>
        <v>209.78260869565216</v>
      </c>
      <c r="J987" s="29">
        <f t="shared" si="391"/>
        <v>295.65217391304344</v>
      </c>
      <c r="K987" s="29">
        <f t="shared" si="391"/>
        <v>377.17391304347825</v>
      </c>
      <c r="L987" s="29">
        <f t="shared" si="391"/>
        <v>454.3478260869565</v>
      </c>
      <c r="M987" s="29">
        <f t="shared" si="391"/>
        <v>527.17391304347825</v>
      </c>
      <c r="N987" s="29">
        <f t="shared" si="391"/>
        <v>595.6521739130435</v>
      </c>
      <c r="O987" s="29">
        <f t="shared" si="391"/>
        <v>659.78260869565224</v>
      </c>
      <c r="P987" s="29">
        <f t="shared" si="391"/>
        <v>719.56521739130437</v>
      </c>
      <c r="Q987" s="29">
        <f t="shared" si="391"/>
        <v>775</v>
      </c>
      <c r="R987" s="29">
        <f t="shared" si="391"/>
        <v>826.08695652173913</v>
      </c>
      <c r="S987" s="29">
        <f t="shared" si="391"/>
        <v>872.82608695652175</v>
      </c>
      <c r="T987" s="29">
        <f t="shared" si="391"/>
        <v>915.21739130434787</v>
      </c>
      <c r="U987" s="29">
        <f t="shared" si="391"/>
        <v>953.26086956521749</v>
      </c>
      <c r="V987" s="29">
        <f t="shared" si="391"/>
        <v>986.95652173913049</v>
      </c>
      <c r="W987" s="29">
        <f t="shared" si="391"/>
        <v>1016.304347826087</v>
      </c>
      <c r="X987" s="29">
        <f t="shared" si="391"/>
        <v>1041.304347826087</v>
      </c>
      <c r="Y987" s="29">
        <f t="shared" si="391"/>
        <v>1061.9565217391305</v>
      </c>
      <c r="Z987" s="29">
        <f t="shared" si="391"/>
        <v>1078.2608695652175</v>
      </c>
      <c r="AA987" s="29">
        <f t="shared" si="391"/>
        <v>1090.217391304348</v>
      </c>
      <c r="AB987" s="29">
        <f t="shared" si="391"/>
        <v>1097.826086956522</v>
      </c>
      <c r="AC987" s="29">
        <f t="shared" si="391"/>
        <v>1101.0869565217395</v>
      </c>
      <c r="AD987" s="29">
        <f t="shared" si="391"/>
        <v>1100.0000000000005</v>
      </c>
      <c r="AE987" s="29">
        <f t="shared" si="391"/>
        <v>1094.5652173913047</v>
      </c>
      <c r="AF987" s="29">
        <f t="shared" si="391"/>
        <v>1084.7826086956525</v>
      </c>
      <c r="AG987" s="29">
        <f t="shared" si="391"/>
        <v>1070.6521739130437</v>
      </c>
      <c r="AH987" s="29">
        <f t="shared" si="391"/>
        <v>1048.9016018306638</v>
      </c>
    </row>
    <row r="988" spans="1:34" s="20" customFormat="1" ht="14" x14ac:dyDescent="0.2">
      <c r="A988" s="87"/>
      <c r="B988" s="30" t="s">
        <v>130</v>
      </c>
      <c r="C988" s="8"/>
      <c r="D988" s="8" t="str">
        <f>'Assumptions - General'!$E$27 &amp;" millions"</f>
        <v>R$ millions</v>
      </c>
      <c r="E988" s="29"/>
      <c r="F988" s="29">
        <f>IF(F$19=1,IF($D$928=1,$D$929*'Assumptions - Infrastructure'!F47,'Assumptions - Infrastructure'!F47)," ")</f>
        <v>25</v>
      </c>
      <c r="G988" s="29">
        <f>IF(G$19=1,IF($D$928=1,$D$929*'Assumptions - Infrastructure'!G47,'Assumptions - Infrastructure'!G47)," ")</f>
        <v>100</v>
      </c>
      <c r="H988" s="29">
        <f>IF(H$19=1,IF($D$928=1,$D$929*'Assumptions - Infrastructure'!H47,'Assumptions - Infrastructure'!H47)," ")</f>
        <v>100</v>
      </c>
      <c r="I988" s="29">
        <f>IF(I$19=1,IF($D$928=1,$D$929*'Assumptions - Infrastructure'!I47,'Assumptions - Infrastructure'!I47)," ")</f>
        <v>100</v>
      </c>
      <c r="J988" s="29">
        <f>IF(J$19=1,IF($D$928=1,$D$929*'Assumptions - Infrastructure'!J47,'Assumptions - Infrastructure'!J47)," ")</f>
        <v>100</v>
      </c>
      <c r="K988" s="29">
        <f>IF(K$19=1,IF($D$928=1,$D$929*'Assumptions - Infrastructure'!K47,'Assumptions - Infrastructure'!K47)," ")</f>
        <v>100</v>
      </c>
      <c r="L988" s="29">
        <f>IF(L$19=1,IF($D$928=1,$D$929*'Assumptions - Infrastructure'!L47,'Assumptions - Infrastructure'!L47)," ")</f>
        <v>100</v>
      </c>
      <c r="M988" s="29">
        <f>IF(M$19=1,IF($D$928=1,$D$929*'Assumptions - Infrastructure'!M47,'Assumptions - Infrastructure'!M47)," ")</f>
        <v>100</v>
      </c>
      <c r="N988" s="29">
        <f>IF(N$19=1,IF($D$928=1,$D$929*'Assumptions - Infrastructure'!N47,'Assumptions - Infrastructure'!N47)," ")</f>
        <v>100</v>
      </c>
      <c r="O988" s="29">
        <f>IF(O$19=1,IF($D$928=1,$D$929*'Assumptions - Infrastructure'!O47,'Assumptions - Infrastructure'!O47)," ")</f>
        <v>100</v>
      </c>
      <c r="P988" s="29">
        <f>IF(P$19=1,IF($D$928=1,$D$929*'Assumptions - Infrastructure'!P47,'Assumptions - Infrastructure'!P47)," ")</f>
        <v>100</v>
      </c>
      <c r="Q988" s="29">
        <f>IF(Q$19=1,IF($D$928=1,$D$929*'Assumptions - Infrastructure'!Q47,'Assumptions - Infrastructure'!Q47)," ")</f>
        <v>100</v>
      </c>
      <c r="R988" s="29">
        <f>IF(R$19=1,IF($D$928=1,$D$929*'Assumptions - Infrastructure'!R47,'Assumptions - Infrastructure'!R47)," ")</f>
        <v>100</v>
      </c>
      <c r="S988" s="29">
        <f>IF(S$19=1,IF($D$928=1,$D$929*'Assumptions - Infrastructure'!S47,'Assumptions - Infrastructure'!S47)," ")</f>
        <v>100</v>
      </c>
      <c r="T988" s="29">
        <f>IF(T$19=1,IF($D$928=1,$D$929*'Assumptions - Infrastructure'!T47,'Assumptions - Infrastructure'!T47)," ")</f>
        <v>100</v>
      </c>
      <c r="U988" s="29">
        <f>IF(U$19=1,IF($D$928=1,$D$929*'Assumptions - Infrastructure'!U47,'Assumptions - Infrastructure'!U47)," ")</f>
        <v>100</v>
      </c>
      <c r="V988" s="29">
        <f>IF(V$19=1,IF($D$928=1,$D$929*'Assumptions - Infrastructure'!V47,'Assumptions - Infrastructure'!V47)," ")</f>
        <v>100</v>
      </c>
      <c r="W988" s="29">
        <f>IF(W$19=1,IF($D$928=1,$D$929*'Assumptions - Infrastructure'!W47,'Assumptions - Infrastructure'!W47)," ")</f>
        <v>100</v>
      </c>
      <c r="X988" s="29">
        <f>IF(X$19=1,IF($D$928=1,$D$929*'Assumptions - Infrastructure'!X47,'Assumptions - Infrastructure'!X47)," ")</f>
        <v>100</v>
      </c>
      <c r="Y988" s="29">
        <f>IF(Y$19=1,IF($D$928=1,$D$929*'Assumptions - Infrastructure'!Y47,'Assumptions - Infrastructure'!Y47)," ")</f>
        <v>100</v>
      </c>
      <c r="Z988" s="29">
        <f>IF(Z$19=1,IF($D$928=1,$D$929*'Assumptions - Infrastructure'!Z47,'Assumptions - Infrastructure'!Z47)," ")</f>
        <v>100</v>
      </c>
      <c r="AA988" s="29">
        <f>IF(AA$19=1,IF($D$928=1,$D$929*'Assumptions - Infrastructure'!AA47,'Assumptions - Infrastructure'!AA47)," ")</f>
        <v>100</v>
      </c>
      <c r="AB988" s="29">
        <f>IF(AB$19=1,IF($D$928=1,$D$929*'Assumptions - Infrastructure'!AB47,'Assumptions - Infrastructure'!AB47)," ")</f>
        <v>100</v>
      </c>
      <c r="AC988" s="29">
        <f>IF(AC$19=1,IF($D$928=1,$D$929*'Assumptions - Infrastructure'!AC47,'Assumptions - Infrastructure'!AC47)," ")</f>
        <v>100</v>
      </c>
      <c r="AD988" s="29">
        <f>IF(AD$19=1,IF($D$928=1,$D$929*'Assumptions - Infrastructure'!AD47,'Assumptions - Infrastructure'!AD47)," ")</f>
        <v>100</v>
      </c>
      <c r="AE988" s="29">
        <f>IF(AE$19=1,IF($D$928=1,$D$929*'Assumptions - Infrastructure'!AE47,'Assumptions - Infrastructure'!AE47)," ")</f>
        <v>100</v>
      </c>
      <c r="AF988" s="29">
        <f>IF(AF$19=1,IF($D$928=1,$D$929*'Assumptions - Infrastructure'!AF47,'Assumptions - Infrastructure'!AF47)," ")</f>
        <v>100</v>
      </c>
      <c r="AG988" s="29">
        <f>IF(AG$19=1,IF($D$928=1,$D$929*'Assumptions - Infrastructure'!AG47,'Assumptions - Infrastructure'!AG47)," ")</f>
        <v>100</v>
      </c>
      <c r="AH988" s="29">
        <f>IF(AH$19=1,IF($D$928=1,$D$929*'Assumptions - Infrastructure'!AH47,'Assumptions - Infrastructure'!AH47)," ")</f>
        <v>100</v>
      </c>
    </row>
    <row r="989" spans="1:34" s="20" customFormat="1" ht="14" x14ac:dyDescent="0.2">
      <c r="A989" s="87"/>
      <c r="B989" s="30" t="s">
        <v>608</v>
      </c>
      <c r="C989" s="8"/>
      <c r="D989" s="8" t="str">
        <f>'Assumptions - General'!$E$27 &amp;" millions"</f>
        <v>R$ millions</v>
      </c>
      <c r="E989" s="29"/>
      <c r="F989" s="29">
        <f>IF(F$19=1,'Assumptions - Infrastructure'!F55-Calculations!F982," ")</f>
        <v>0</v>
      </c>
      <c r="G989" s="29">
        <f>IF(G$19=1,'Assumptions - Infrastructure'!G55-Calculations!G982," ")</f>
        <v>0</v>
      </c>
      <c r="H989" s="29">
        <f>IF(H$19=1,'Assumptions - Infrastructure'!H55-Calculations!H982," ")</f>
        <v>0</v>
      </c>
      <c r="I989" s="29">
        <f>IF(I$19=1,'Assumptions - Infrastructure'!I55-Calculations!I982," ")</f>
        <v>0</v>
      </c>
      <c r="J989" s="29">
        <f>IF(J$19=1,'Assumptions - Infrastructure'!J55-Calculations!J982," ")</f>
        <v>0</v>
      </c>
      <c r="K989" s="29">
        <f>IF(K$19=1,'Assumptions - Infrastructure'!K55-Calculations!K982," ")</f>
        <v>0</v>
      </c>
      <c r="L989" s="29">
        <f>IF(L$19=1,'Assumptions - Infrastructure'!L55-Calculations!L982," ")</f>
        <v>0</v>
      </c>
      <c r="M989" s="29">
        <f>IF(M$19=1,'Assumptions - Infrastructure'!M55-Calculations!M982," ")</f>
        <v>0</v>
      </c>
      <c r="N989" s="29">
        <f>IF(N$19=1,'Assumptions - Infrastructure'!N55-Calculations!N982," ")</f>
        <v>0</v>
      </c>
      <c r="O989" s="29">
        <f>IF(O$19=1,'Assumptions - Infrastructure'!O55-Calculations!O982," ")</f>
        <v>0</v>
      </c>
      <c r="P989" s="29">
        <f>IF(P$19=1,'Assumptions - Infrastructure'!P55-Calculations!P982," ")</f>
        <v>0</v>
      </c>
      <c r="Q989" s="29">
        <f>IF(Q$19=1,'Assumptions - Infrastructure'!Q55-Calculations!Q982," ")</f>
        <v>0</v>
      </c>
      <c r="R989" s="29">
        <f>IF(R$19=1,'Assumptions - Infrastructure'!R55-Calculations!R982," ")</f>
        <v>0</v>
      </c>
      <c r="S989" s="29">
        <f>IF(S$19=1,'Assumptions - Infrastructure'!S55-Calculations!S982," ")</f>
        <v>0</v>
      </c>
      <c r="T989" s="29">
        <f>IF(T$19=1,'Assumptions - Infrastructure'!T55-Calculations!T982," ")</f>
        <v>0</v>
      </c>
      <c r="U989" s="29">
        <f>IF(U$19=1,'Assumptions - Infrastructure'!U55-Calculations!U982," ")</f>
        <v>0</v>
      </c>
      <c r="V989" s="29">
        <f>IF(V$19=1,'Assumptions - Infrastructure'!V55-Calculations!V982," ")</f>
        <v>0</v>
      </c>
      <c r="W989" s="29">
        <f>IF(W$19=1,'Assumptions - Infrastructure'!W55-Calculations!W982," ")</f>
        <v>0</v>
      </c>
      <c r="X989" s="29">
        <f>IF(X$19=1,'Assumptions - Infrastructure'!X55-Calculations!X982," ")</f>
        <v>0</v>
      </c>
      <c r="Y989" s="29">
        <f>IF(Y$19=1,'Assumptions - Infrastructure'!Y55-Calculations!Y982," ")</f>
        <v>0</v>
      </c>
      <c r="Z989" s="29">
        <f>IF(Z$19=1,'Assumptions - Infrastructure'!Z55-Calculations!Z982," ")</f>
        <v>0</v>
      </c>
      <c r="AA989" s="29">
        <f>IF(AA$19=1,'Assumptions - Infrastructure'!AA55-Calculations!AA982," ")</f>
        <v>0</v>
      </c>
      <c r="AB989" s="29">
        <f>IF(AB$19=1,'Assumptions - Infrastructure'!AB55-Calculations!AB982," ")</f>
        <v>0</v>
      </c>
      <c r="AC989" s="29">
        <f>IF(AC$19=1,'Assumptions - Infrastructure'!AC55-Calculations!AC982," ")</f>
        <v>0</v>
      </c>
      <c r="AD989" s="29">
        <f>IF(AD$19=1,'Assumptions - Infrastructure'!AD55-Calculations!AD982," ")</f>
        <v>0</v>
      </c>
      <c r="AE989" s="29">
        <f>IF(AE$19=1,'Assumptions - Infrastructure'!AE55-Calculations!AE982," ")</f>
        <v>0</v>
      </c>
      <c r="AF989" s="29">
        <f>IF(AF$19=1,'Assumptions - Infrastructure'!AF55-Calculations!AF982," ")</f>
        <v>0</v>
      </c>
      <c r="AG989" s="29">
        <f>IF(AG$19=1,'Assumptions - Infrastructure'!AG55-Calculations!AG982," ")</f>
        <v>3.4210526315789531</v>
      </c>
      <c r="AH989" s="29">
        <f>IF(AH$19=1,'Assumptions - Infrastructure'!AH55-Calculations!AH982," ")</f>
        <v>5</v>
      </c>
    </row>
    <row r="990" spans="1:34" s="20" customFormat="1" ht="14" x14ac:dyDescent="0.2">
      <c r="A990" s="87"/>
      <c r="B990" s="30" t="s">
        <v>635</v>
      </c>
      <c r="C990" s="8"/>
      <c r="D990" s="8" t="str">
        <f>'Assumptions - General'!$E$27 &amp;" millions"</f>
        <v>R$ millions</v>
      </c>
      <c r="E990" s="29"/>
      <c r="F990" s="29">
        <f>IF(F$19=1,(IF($A$980=1,IF(F987-F989&gt;0,(MIN((F987-F989),(SUM($E988:F988)-SUM($E989:F989))/'Assumptions - Infrastructure'!$E89)),0),0))," ")</f>
        <v>0</v>
      </c>
      <c r="G990" s="29">
        <f>IF(G$19=1,(IF($A$980=1,IF(G987-G989&gt;0,(MIN((G987-G989),(SUM($E988:G988)-SUM($E989:G989))/'Assumptions - Infrastructure'!$E89)),0),0))," ")</f>
        <v>5.4347826086956523</v>
      </c>
      <c r="H990" s="29">
        <f>IF(H$19=1,(IF($A$980=1,IF(H987-H989&gt;0,(MIN((H987-H989),(SUM($E988:H988)-SUM($E989:H989))/'Assumptions - Infrastructure'!$E89)),0),0))," ")</f>
        <v>9.7826086956521738</v>
      </c>
      <c r="I990" s="29">
        <f>IF(I$19=1,(IF($A$980=1,IF(I987-I989&gt;0,(MIN((I987-I989),(SUM($E988:I988)-SUM($E989:I989))/'Assumptions - Infrastructure'!$E89)),0),0))," ")</f>
        <v>14.130434782608695</v>
      </c>
      <c r="J990" s="29">
        <f>IF(J$19=1,(IF($A$980=1,IF(J987-J989&gt;0,(MIN((J987-J989),(SUM($E988:J988)-SUM($E989:J989))/'Assumptions - Infrastructure'!$E89)),0),0))," ")</f>
        <v>18.478260869565219</v>
      </c>
      <c r="K990" s="29">
        <f>IF(K$19=1,(IF($A$980=1,IF(K987-K989&gt;0,(MIN((K987-K989),(SUM($E988:K988)-SUM($E989:K989))/'Assumptions - Infrastructure'!$E89)),0),0))," ")</f>
        <v>22.826086956521738</v>
      </c>
      <c r="L990" s="29">
        <f>IF(L$19=1,(IF($A$980=1,IF(L987-L989&gt;0,(MIN((L987-L989),(SUM($E988:L988)-SUM($E989:L989))/'Assumptions - Infrastructure'!$E89)),0),0))," ")</f>
        <v>27.173913043478262</v>
      </c>
      <c r="M990" s="29">
        <f>IF(M$19=1,(IF($A$980=1,IF(M987-M989&gt;0,(MIN((M987-M989),(SUM($E988:M988)-SUM($E989:M989))/'Assumptions - Infrastructure'!$E89)),0),0))," ")</f>
        <v>31.521739130434781</v>
      </c>
      <c r="N990" s="29">
        <f>IF(N$19=1,(IF($A$980=1,IF(N987-N989&gt;0,(MIN((N987-N989),(SUM($E988:N988)-SUM($E989:N989))/'Assumptions - Infrastructure'!$E89)),0),0))," ")</f>
        <v>35.869565217391305</v>
      </c>
      <c r="O990" s="29">
        <f>IF(O$19=1,(IF($A$980=1,IF(O987-O989&gt;0,(MIN((O987-O989),(SUM($E988:O988)-SUM($E989:O989))/'Assumptions - Infrastructure'!$E89)),0),0))," ")</f>
        <v>40.217391304347828</v>
      </c>
      <c r="P990" s="29">
        <f>IF(P$19=1,(IF($A$980=1,IF(P987-P989&gt;0,(MIN((P987-P989),(SUM($E988:P988)-SUM($E989:P989))/'Assumptions - Infrastructure'!$E89)),0),0))," ")</f>
        <v>44.565217391304351</v>
      </c>
      <c r="Q990" s="29">
        <f>IF(Q$19=1,(IF($A$980=1,IF(Q987-Q989&gt;0,(MIN((Q987-Q989),(SUM($E988:Q988)-SUM($E989:Q989))/'Assumptions - Infrastructure'!$E89)),0),0))," ")</f>
        <v>48.913043478260867</v>
      </c>
      <c r="R990" s="29">
        <f>IF(R$19=1,(IF($A$980=1,IF(R987-R989&gt;0,(MIN((R987-R989),(SUM($E988:R988)-SUM($E989:R989))/'Assumptions - Infrastructure'!$E89)),0),0))," ")</f>
        <v>53.260869565217391</v>
      </c>
      <c r="S990" s="29">
        <f>IF(S$19=1,(IF($A$980=1,IF(S987-S989&gt;0,(MIN((S987-S989),(SUM($E988:S988)-SUM($E989:S989))/'Assumptions - Infrastructure'!$E89)),0),0))," ")</f>
        <v>57.608695652173914</v>
      </c>
      <c r="T990" s="29">
        <f>IF(T$19=1,(IF($A$980=1,IF(T987-T989&gt;0,(MIN((T987-T989),(SUM($E988:T988)-SUM($E989:T989))/'Assumptions - Infrastructure'!$E89)),0),0))," ")</f>
        <v>61.956521739130437</v>
      </c>
      <c r="U990" s="29">
        <f>IF(U$19=1,(IF($A$980=1,IF(U987-U989&gt;0,(MIN((U987-U989),(SUM($E988:U988)-SUM($E989:U989))/'Assumptions - Infrastructure'!$E89)),0),0))," ")</f>
        <v>66.304347826086953</v>
      </c>
      <c r="V990" s="29">
        <f>IF(V$19=1,(IF($A$980=1,IF(V987-V989&gt;0,(MIN((V987-V989),(SUM($E988:V988)-SUM($E989:V989))/'Assumptions - Infrastructure'!$E89)),0),0))," ")</f>
        <v>70.652173913043484</v>
      </c>
      <c r="W990" s="29">
        <f>IF(W$19=1,(IF($A$980=1,IF(W987-W989&gt;0,(MIN((W987-W989),(SUM($E988:W988)-SUM($E989:W989))/'Assumptions - Infrastructure'!$E89)),0),0))," ")</f>
        <v>75</v>
      </c>
      <c r="X990" s="29">
        <f>IF(X$19=1,(IF($A$980=1,IF(X987-X989&gt;0,(MIN((X987-X989),(SUM($E988:X988)-SUM($E989:X989))/'Assumptions - Infrastructure'!$E89)),0),0))," ")</f>
        <v>79.347826086956516</v>
      </c>
      <c r="Y990" s="29">
        <f>IF(Y$19=1,(IF($A$980=1,IF(Y987-Y989&gt;0,(MIN((Y987-Y989),(SUM($E988:Y988)-SUM($E989:Y989))/'Assumptions - Infrastructure'!$E89)),0),0))," ")</f>
        <v>83.695652173913047</v>
      </c>
      <c r="Z990" s="29">
        <f>IF(Z$19=1,(IF($A$980=1,IF(Z987-Z989&gt;0,(MIN((Z987-Z989),(SUM($E988:Z988)-SUM($E989:Z989))/'Assumptions - Infrastructure'!$E89)),0),0))," ")</f>
        <v>88.043478260869563</v>
      </c>
      <c r="AA990" s="29">
        <f>IF(AA$19=1,(IF($A$980=1,IF(AA987-AA989&gt;0,(MIN((AA987-AA989),(SUM($E988:AA988)-SUM($E989:AA989))/'Assumptions - Infrastructure'!$E89)),0),0))," ")</f>
        <v>92.391304347826093</v>
      </c>
      <c r="AB990" s="29">
        <f>IF(AB$19=1,(IF($A$980=1,IF(AB987-AB989&gt;0,(MIN((AB987-AB989),(SUM($E988:AB988)-SUM($E989:AB989))/'Assumptions - Infrastructure'!$E89)),0),0))," ")</f>
        <v>96.739130434782609</v>
      </c>
      <c r="AC990" s="29">
        <f>IF(AC$19=1,(IF($A$980=1,IF(AC987-AC989&gt;0,(MIN((AC987-AC989),(SUM($E988:AC988)-SUM($E989:AC989))/'Assumptions - Infrastructure'!$E89)),0),0))," ")</f>
        <v>101.08695652173913</v>
      </c>
      <c r="AD990" s="29">
        <f>IF(AD$19=1,(IF($A$980=1,IF(AD987-AD989&gt;0,(MIN((AD987-AD989),(SUM($E988:AD988)-SUM($E989:AD989))/'Assumptions - Infrastructure'!$E89)),0),0))," ")</f>
        <v>105.43478260869566</v>
      </c>
      <c r="AE990" s="29">
        <f>IF(AE$19=1,(IF($A$980=1,IF(AE987-AE989&gt;0,(MIN((AE987-AE989),(SUM($E988:AE988)-SUM($E989:AE989))/'Assumptions - Infrastructure'!$E89)),0),0))," ")</f>
        <v>109.78260869565217</v>
      </c>
      <c r="AF990" s="29">
        <f>IF(AF$19=1,(IF($A$980=1,IF(AF987-AF989&gt;0,(MIN((AF987-AF989),(SUM($E988:AF988)-SUM($E989:AF989))/'Assumptions - Infrastructure'!$E89)),0),0))," ")</f>
        <v>114.1304347826087</v>
      </c>
      <c r="AG990" s="29">
        <f>IF(AG$19=1,(IF($A$980=1,IF(AG987-AG989&gt;0,(MIN((AG987-AG989),(SUM($E988:AG988)-SUM($E989:AG989))/'Assumptions - Infrastructure'!$E89)),0),0))," ")</f>
        <v>118.32951945080093</v>
      </c>
      <c r="AH990" s="29">
        <f>IF(AH$19=1,(IF($A$980=1,IF(AH987-AH989&gt;0,(MIN((AH987-AH989),(SUM($E988:AH988)-SUM($E989:AH989))/'Assumptions - Infrastructure'!$E89)),0),0))," ")</f>
        <v>122.45995423340962</v>
      </c>
    </row>
    <row r="991" spans="1:34" s="20" customFormat="1" ht="14" x14ac:dyDescent="0.2">
      <c r="A991" s="87"/>
      <c r="B991" s="30" t="s">
        <v>636</v>
      </c>
      <c r="C991" s="8"/>
      <c r="D991" s="8" t="str">
        <f>'Assumptions - General'!$E$27 &amp;" millions"</f>
        <v>R$ millions</v>
      </c>
      <c r="E991" s="29"/>
      <c r="F991" s="29">
        <f>IF(F$19=1,SUM($E990:F990)," ")</f>
        <v>0</v>
      </c>
      <c r="G991" s="29">
        <f>IF(G$19=1,SUM($E990:G990)," ")</f>
        <v>5.4347826086956523</v>
      </c>
      <c r="H991" s="29">
        <f>IF(H$19=1,SUM($E990:H990)," ")</f>
        <v>15.217391304347826</v>
      </c>
      <c r="I991" s="29">
        <f>IF(I$19=1,SUM($E990:I990)," ")</f>
        <v>29.347826086956523</v>
      </c>
      <c r="J991" s="29">
        <f>IF(J$19=1,SUM($E990:J990)," ")</f>
        <v>47.826086956521742</v>
      </c>
      <c r="K991" s="29">
        <f>IF(K$19=1,SUM($E990:K990)," ")</f>
        <v>70.652173913043484</v>
      </c>
      <c r="L991" s="29">
        <f>IF(L$19=1,SUM($E990:L990)," ")</f>
        <v>97.826086956521749</v>
      </c>
      <c r="M991" s="29">
        <f>IF(M$19=1,SUM($E990:M990)," ")</f>
        <v>129.34782608695653</v>
      </c>
      <c r="N991" s="29">
        <f>IF(N$19=1,SUM($E990:N990)," ")</f>
        <v>165.21739130434784</v>
      </c>
      <c r="O991" s="29">
        <f>IF(O$19=1,SUM($E990:O990)," ")</f>
        <v>205.43478260869568</v>
      </c>
      <c r="P991" s="29">
        <f>IF(P$19=1,SUM($E990:P990)," ")</f>
        <v>250.00000000000003</v>
      </c>
      <c r="Q991" s="29">
        <f>IF(Q$19=1,SUM($E990:Q990)," ")</f>
        <v>298.91304347826087</v>
      </c>
      <c r="R991" s="29">
        <f>IF(R$19=1,SUM($E990:R990)," ")</f>
        <v>352.17391304347825</v>
      </c>
      <c r="S991" s="29">
        <f>IF(S$19=1,SUM($E990:S990)," ")</f>
        <v>409.78260869565219</v>
      </c>
      <c r="T991" s="29">
        <f>IF(T$19=1,SUM($E990:T990)," ")</f>
        <v>471.73913043478262</v>
      </c>
      <c r="U991" s="29">
        <f>IF(U$19=1,SUM($E990:U990)," ")</f>
        <v>538.04347826086962</v>
      </c>
      <c r="V991" s="29">
        <f>IF(V$19=1,SUM($E990:V990)," ")</f>
        <v>608.69565217391312</v>
      </c>
      <c r="W991" s="29">
        <f>IF(W$19=1,SUM($E990:W990)," ")</f>
        <v>683.69565217391312</v>
      </c>
      <c r="X991" s="29">
        <f>IF(X$19=1,SUM($E990:X990)," ")</f>
        <v>763.04347826086962</v>
      </c>
      <c r="Y991" s="29">
        <f>IF(Y$19=1,SUM($E990:Y990)," ")</f>
        <v>846.73913043478262</v>
      </c>
      <c r="Z991" s="29">
        <f>IF(Z$19=1,SUM($E990:Z990)," ")</f>
        <v>934.78260869565224</v>
      </c>
      <c r="AA991" s="29">
        <f>IF(AA$19=1,SUM($E990:AA990)," ")</f>
        <v>1027.1739130434783</v>
      </c>
      <c r="AB991" s="29">
        <f>IF(AB$19=1,SUM($E990:AB990)," ")</f>
        <v>1123.9130434782608</v>
      </c>
      <c r="AC991" s="29">
        <f>IF(AC$19=1,SUM($E990:AC990)," ")</f>
        <v>1225</v>
      </c>
      <c r="AD991" s="29">
        <f>IF(AD$19=1,SUM($E990:AD990)," ")</f>
        <v>1330.4347826086957</v>
      </c>
      <c r="AE991" s="29">
        <f>IF(AE$19=1,SUM($E990:AE990)," ")</f>
        <v>1440.217391304348</v>
      </c>
      <c r="AF991" s="29">
        <f>IF(AF$19=1,SUM($E990:AF990)," ")</f>
        <v>1554.3478260869567</v>
      </c>
      <c r="AG991" s="29">
        <f>IF(AG$19=1,SUM($E990:AG990)," ")</f>
        <v>1672.6773455377577</v>
      </c>
      <c r="AH991" s="29">
        <f>IF(AH$19=1,SUM($E990:AH990)," ")</f>
        <v>1795.1372997711674</v>
      </c>
    </row>
    <row r="992" spans="1:34" s="20" customFormat="1" ht="14" x14ac:dyDescent="0.2">
      <c r="A992" s="87"/>
      <c r="B992" s="14" t="s">
        <v>640</v>
      </c>
      <c r="C992" s="8"/>
      <c r="D992" s="8" t="str">
        <f>'Assumptions - General'!$E$27 &amp;" millions"</f>
        <v>R$ millions</v>
      </c>
      <c r="E992" s="29"/>
      <c r="F992" s="29">
        <f>IF(F$19=1,F987+F988-F989-F990," ")</f>
        <v>25</v>
      </c>
      <c r="G992" s="29">
        <f t="shared" ref="G992:AH992" si="392">IF(G$19=1,G987+G988-G989-G990," ")</f>
        <v>119.56521739130434</v>
      </c>
      <c r="H992" s="29">
        <f t="shared" si="392"/>
        <v>209.78260869565216</v>
      </c>
      <c r="I992" s="29">
        <f t="shared" si="392"/>
        <v>295.65217391304344</v>
      </c>
      <c r="J992" s="29">
        <f t="shared" si="392"/>
        <v>377.17391304347825</v>
      </c>
      <c r="K992" s="29">
        <f t="shared" si="392"/>
        <v>454.3478260869565</v>
      </c>
      <c r="L992" s="29">
        <f t="shared" si="392"/>
        <v>527.17391304347825</v>
      </c>
      <c r="M992" s="29">
        <f t="shared" si="392"/>
        <v>595.6521739130435</v>
      </c>
      <c r="N992" s="29">
        <f t="shared" si="392"/>
        <v>659.78260869565224</v>
      </c>
      <c r="O992" s="29">
        <f t="shared" si="392"/>
        <v>719.56521739130437</v>
      </c>
      <c r="P992" s="29">
        <f t="shared" si="392"/>
        <v>775</v>
      </c>
      <c r="Q992" s="29">
        <f t="shared" si="392"/>
        <v>826.08695652173913</v>
      </c>
      <c r="R992" s="29">
        <f t="shared" si="392"/>
        <v>872.82608695652175</v>
      </c>
      <c r="S992" s="29">
        <f t="shared" si="392"/>
        <v>915.21739130434787</v>
      </c>
      <c r="T992" s="29">
        <f t="shared" si="392"/>
        <v>953.26086956521749</v>
      </c>
      <c r="U992" s="29">
        <f t="shared" si="392"/>
        <v>986.95652173913049</v>
      </c>
      <c r="V992" s="29">
        <f t="shared" si="392"/>
        <v>1016.304347826087</v>
      </c>
      <c r="W992" s="29">
        <f t="shared" si="392"/>
        <v>1041.304347826087</v>
      </c>
      <c r="X992" s="29">
        <f t="shared" si="392"/>
        <v>1061.9565217391305</v>
      </c>
      <c r="Y992" s="29">
        <f t="shared" si="392"/>
        <v>1078.2608695652175</v>
      </c>
      <c r="Z992" s="29">
        <f t="shared" si="392"/>
        <v>1090.217391304348</v>
      </c>
      <c r="AA992" s="29">
        <f t="shared" si="392"/>
        <v>1097.826086956522</v>
      </c>
      <c r="AB992" s="29">
        <f t="shared" si="392"/>
        <v>1101.0869565217395</v>
      </c>
      <c r="AC992" s="29">
        <f t="shared" si="392"/>
        <v>1100.0000000000005</v>
      </c>
      <c r="AD992" s="29">
        <f t="shared" si="392"/>
        <v>1094.5652173913047</v>
      </c>
      <c r="AE992" s="29">
        <f t="shared" si="392"/>
        <v>1084.7826086956525</v>
      </c>
      <c r="AF992" s="29">
        <f t="shared" si="392"/>
        <v>1070.6521739130437</v>
      </c>
      <c r="AG992" s="29">
        <f t="shared" si="392"/>
        <v>1048.9016018306638</v>
      </c>
      <c r="AH992" s="29">
        <f t="shared" si="392"/>
        <v>1021.4416475972542</v>
      </c>
    </row>
    <row r="993" spans="1:34" s="20" customFormat="1" ht="14" x14ac:dyDescent="0.2">
      <c r="A993" s="87"/>
      <c r="B993" s="14"/>
      <c r="C993" s="8"/>
      <c r="D993" s="8"/>
      <c r="E993" s="29"/>
      <c r="F993" s="29"/>
      <c r="G993" s="29"/>
      <c r="H993" s="29"/>
      <c r="I993" s="29"/>
      <c r="J993" s="29"/>
      <c r="K993" s="29"/>
      <c r="L993" s="29"/>
      <c r="M993" s="29"/>
      <c r="N993" s="29"/>
      <c r="O993" s="29"/>
      <c r="P993" s="29"/>
      <c r="Q993" s="29"/>
      <c r="R993" s="29"/>
      <c r="S993" s="29"/>
      <c r="T993" s="29"/>
      <c r="U993" s="29"/>
      <c r="V993" s="29"/>
      <c r="W993" s="29"/>
      <c r="X993" s="29"/>
      <c r="Y993" s="29"/>
      <c r="Z993" s="29"/>
      <c r="AA993" s="29"/>
      <c r="AB993" s="29"/>
      <c r="AC993" s="29"/>
      <c r="AD993" s="29"/>
      <c r="AE993" s="29"/>
      <c r="AF993" s="29"/>
      <c r="AG993" s="29"/>
      <c r="AH993" s="29"/>
    </row>
    <row r="994" spans="1:34" s="20" customFormat="1" ht="14" x14ac:dyDescent="0.2">
      <c r="A994" s="87"/>
      <c r="B994" s="14" t="s">
        <v>638</v>
      </c>
      <c r="C994" s="8"/>
      <c r="D994" s="8" t="str">
        <f>'Assumptions - General'!$E$27 &amp;" millions"</f>
        <v>R$ millions</v>
      </c>
      <c r="E994" s="29">
        <f>IF(E$19=1,E985+E992," ")</f>
        <v>300</v>
      </c>
      <c r="F994" s="29">
        <f>IF(F$19=1,F985+F992," ")</f>
        <v>312.23684210526318</v>
      </c>
      <c r="G994" s="29">
        <f t="shared" ref="G994:AH994" si="393">IF(G$19=1,G985+G992," ")</f>
        <v>394.17048054919906</v>
      </c>
      <c r="H994" s="29">
        <f t="shared" si="393"/>
        <v>471.88787185354693</v>
      </c>
      <c r="I994" s="29">
        <f t="shared" si="393"/>
        <v>545.38901601830662</v>
      </c>
      <c r="J994" s="29">
        <f t="shared" si="393"/>
        <v>614.67391304347825</v>
      </c>
      <c r="K994" s="29">
        <f t="shared" si="393"/>
        <v>679.74256292906171</v>
      </c>
      <c r="L994" s="29">
        <f t="shared" si="393"/>
        <v>740.59496567505721</v>
      </c>
      <c r="M994" s="29">
        <f t="shared" si="393"/>
        <v>797.23112128146454</v>
      </c>
      <c r="N994" s="29">
        <f t="shared" si="393"/>
        <v>849.6510297482838</v>
      </c>
      <c r="O994" s="29">
        <f t="shared" si="393"/>
        <v>897.85469107551489</v>
      </c>
      <c r="P994" s="29">
        <f t="shared" si="393"/>
        <v>941.84210526315792</v>
      </c>
      <c r="Q994" s="29">
        <f t="shared" si="393"/>
        <v>981.61327231121277</v>
      </c>
      <c r="R994" s="29">
        <f t="shared" si="393"/>
        <v>1017.1681922196797</v>
      </c>
      <c r="S994" s="29">
        <f t="shared" si="393"/>
        <v>1048.5068649885584</v>
      </c>
      <c r="T994" s="29">
        <f t="shared" si="393"/>
        <v>1075.6292906178492</v>
      </c>
      <c r="U994" s="29">
        <f t="shared" si="393"/>
        <v>1098.5354691075515</v>
      </c>
      <c r="V994" s="29">
        <f t="shared" si="393"/>
        <v>1117.225400457666</v>
      </c>
      <c r="W994" s="29">
        <f t="shared" si="393"/>
        <v>1131.6990846681922</v>
      </c>
      <c r="X994" s="29">
        <f t="shared" si="393"/>
        <v>1141.9565217391305</v>
      </c>
      <c r="Y994" s="29">
        <f t="shared" si="393"/>
        <v>1147.9977116704806</v>
      </c>
      <c r="Z994" s="29">
        <f t="shared" si="393"/>
        <v>1149.8226544622428</v>
      </c>
      <c r="AA994" s="29">
        <f t="shared" si="393"/>
        <v>1147.4313501144168</v>
      </c>
      <c r="AB994" s="29">
        <f t="shared" si="393"/>
        <v>1140.8237986270026</v>
      </c>
      <c r="AC994" s="29">
        <f t="shared" si="393"/>
        <v>1130.0000000000005</v>
      </c>
      <c r="AD994" s="29">
        <f t="shared" si="393"/>
        <v>1114.9599542334099</v>
      </c>
      <c r="AE994" s="29">
        <f t="shared" si="393"/>
        <v>1095.7036613272314</v>
      </c>
      <c r="AF994" s="29">
        <f t="shared" si="393"/>
        <v>1072.2311212814648</v>
      </c>
      <c r="AG994" s="29">
        <f t="shared" si="393"/>
        <v>1048.9016018306638</v>
      </c>
      <c r="AH994" s="29">
        <f t="shared" si="393"/>
        <v>1021.4416475972542</v>
      </c>
    </row>
    <row r="995" spans="1:34" s="310" customFormat="1" ht="14" x14ac:dyDescent="0.2">
      <c r="A995" s="87"/>
      <c r="B995" s="446"/>
      <c r="C995" s="87"/>
      <c r="D995" s="87"/>
      <c r="E995" s="447"/>
      <c r="F995" s="447"/>
      <c r="G995" s="447"/>
      <c r="H995" s="447"/>
      <c r="I995" s="447"/>
      <c r="J995" s="447"/>
      <c r="K995" s="447"/>
      <c r="L995" s="447"/>
      <c r="M995" s="447"/>
      <c r="N995" s="447"/>
      <c r="O995" s="447"/>
      <c r="P995" s="447"/>
      <c r="Q995" s="447"/>
      <c r="R995" s="447"/>
      <c r="S995" s="447"/>
      <c r="T995" s="447"/>
      <c r="U995" s="447"/>
      <c r="V995" s="447"/>
      <c r="W995" s="447"/>
      <c r="X995" s="447"/>
      <c r="Y995" s="447"/>
      <c r="Z995" s="447"/>
      <c r="AA995" s="447"/>
      <c r="AB995" s="447"/>
      <c r="AC995" s="447"/>
      <c r="AD995" s="447"/>
      <c r="AE995" s="447"/>
      <c r="AF995" s="447"/>
      <c r="AG995" s="447"/>
      <c r="AH995" s="447"/>
    </row>
    <row r="996" spans="1:34" s="20" customFormat="1" ht="14" x14ac:dyDescent="0.2">
      <c r="A996" s="87">
        <f>'Assumptions - Infrastructure'!E93</f>
        <v>1</v>
      </c>
      <c r="B996" s="21" t="str">
        <f>'Assumptions - Infrastructure'!E34</f>
        <v>Machines, equipment and spare parts</v>
      </c>
      <c r="C996" s="8"/>
      <c r="D996" s="8"/>
      <c r="E996" s="29"/>
      <c r="F996" s="31"/>
      <c r="G996" s="31"/>
      <c r="H996" s="31"/>
      <c r="I996" s="31"/>
      <c r="J996" s="31"/>
      <c r="K996" s="31"/>
      <c r="L996" s="31"/>
      <c r="M996" s="31"/>
      <c r="N996" s="31"/>
      <c r="O996" s="31"/>
      <c r="P996" s="31"/>
      <c r="Q996" s="31"/>
      <c r="R996" s="31"/>
      <c r="S996" s="31"/>
      <c r="T996" s="31"/>
      <c r="U996" s="31"/>
      <c r="V996" s="31"/>
      <c r="W996" s="31"/>
      <c r="X996" s="31"/>
      <c r="Y996" s="31"/>
      <c r="Z996" s="31"/>
      <c r="AA996" s="31"/>
      <c r="AB996" s="31"/>
      <c r="AC996" s="31"/>
      <c r="AD996" s="31"/>
      <c r="AE996" s="31"/>
      <c r="AF996" s="31"/>
      <c r="AG996" s="31"/>
      <c r="AH996" s="31"/>
    </row>
    <row r="997" spans="1:34" s="20" customFormat="1" ht="14" x14ac:dyDescent="0.2">
      <c r="A997" s="87"/>
      <c r="B997" s="14" t="str">
        <f>"Starting value "</f>
        <v xml:space="preserve">Starting value </v>
      </c>
      <c r="C997" s="8"/>
      <c r="D997" s="8" t="str">
        <f>'Assumptions - General'!$E$27 &amp;" millions"</f>
        <v>R$ millions</v>
      </c>
      <c r="E997" s="29"/>
      <c r="F997" s="29">
        <f t="shared" ref="F997:AH997" si="394">IF(F$19=1,E1001," ")</f>
        <v>300</v>
      </c>
      <c r="G997" s="29">
        <f t="shared" si="394"/>
        <v>276.5625</v>
      </c>
      <c r="H997" s="29">
        <f t="shared" si="394"/>
        <v>253.4375</v>
      </c>
      <c r="I997" s="29">
        <f t="shared" si="394"/>
        <v>230.625</v>
      </c>
      <c r="J997" s="29">
        <f t="shared" si="394"/>
        <v>208.125</v>
      </c>
      <c r="K997" s="29">
        <f t="shared" si="394"/>
        <v>185.9375</v>
      </c>
      <c r="L997" s="29">
        <f t="shared" si="394"/>
        <v>164.0625</v>
      </c>
      <c r="M997" s="29">
        <f t="shared" si="394"/>
        <v>142.5</v>
      </c>
      <c r="N997" s="29">
        <f t="shared" si="394"/>
        <v>121.25</v>
      </c>
      <c r="O997" s="29">
        <f t="shared" si="394"/>
        <v>100.3125</v>
      </c>
      <c r="P997" s="29">
        <f t="shared" si="394"/>
        <v>79.6875</v>
      </c>
      <c r="Q997" s="29">
        <f t="shared" si="394"/>
        <v>59.375</v>
      </c>
      <c r="R997" s="29">
        <f t="shared" si="394"/>
        <v>39.375</v>
      </c>
      <c r="S997" s="29">
        <f t="shared" si="394"/>
        <v>19.6875</v>
      </c>
      <c r="T997" s="29">
        <f t="shared" si="394"/>
        <v>0.3125</v>
      </c>
      <c r="U997" s="29">
        <f t="shared" si="394"/>
        <v>0</v>
      </c>
      <c r="V997" s="29">
        <f t="shared" si="394"/>
        <v>0</v>
      </c>
      <c r="W997" s="29">
        <f t="shared" si="394"/>
        <v>0</v>
      </c>
      <c r="X997" s="29">
        <f t="shared" si="394"/>
        <v>0</v>
      </c>
      <c r="Y997" s="29">
        <f t="shared" si="394"/>
        <v>0</v>
      </c>
      <c r="Z997" s="29">
        <f t="shared" si="394"/>
        <v>0</v>
      </c>
      <c r="AA997" s="29">
        <f t="shared" si="394"/>
        <v>0</v>
      </c>
      <c r="AB997" s="29">
        <f t="shared" si="394"/>
        <v>0</v>
      </c>
      <c r="AC997" s="29">
        <f t="shared" si="394"/>
        <v>0</v>
      </c>
      <c r="AD997" s="29">
        <f t="shared" si="394"/>
        <v>0</v>
      </c>
      <c r="AE997" s="29">
        <f t="shared" si="394"/>
        <v>0</v>
      </c>
      <c r="AF997" s="29">
        <f t="shared" si="394"/>
        <v>0</v>
      </c>
      <c r="AG997" s="29">
        <f t="shared" si="394"/>
        <v>0</v>
      </c>
      <c r="AH997" s="29">
        <f t="shared" si="394"/>
        <v>0</v>
      </c>
    </row>
    <row r="998" spans="1:34" s="20" customFormat="1" ht="14" x14ac:dyDescent="0.2">
      <c r="A998" s="87"/>
      <c r="B998" s="30" t="s">
        <v>608</v>
      </c>
      <c r="C998" s="8"/>
      <c r="D998" s="8" t="str">
        <f>'Assumptions - General'!$E$27 &amp;" millions"</f>
        <v>R$ millions</v>
      </c>
      <c r="E998" s="29"/>
      <c r="F998" s="29">
        <f>IF(F$19=1,IF(F997&gt;0,MIN(F997,'Assumptions - Infrastructure'!F56),0)," ")</f>
        <v>5</v>
      </c>
      <c r="G998" s="29">
        <f>IF(G$19=1,IF(G997&gt;0,MIN(G997,'Assumptions - Infrastructure'!G56),0)," ")</f>
        <v>5</v>
      </c>
      <c r="H998" s="29">
        <f>IF(H$19=1,IF(H997&gt;0,MIN(H997,'Assumptions - Infrastructure'!H56),0)," ")</f>
        <v>5</v>
      </c>
      <c r="I998" s="29">
        <f>IF(I$19=1,IF(I997&gt;0,MIN(I997,'Assumptions - Infrastructure'!I56),0)," ")</f>
        <v>5</v>
      </c>
      <c r="J998" s="29">
        <f>IF(J$19=1,IF(J997&gt;0,MIN(J997,'Assumptions - Infrastructure'!J56),0)," ")</f>
        <v>5</v>
      </c>
      <c r="K998" s="29">
        <f>IF(K$19=1,IF(K997&gt;0,MIN(K997,'Assumptions - Infrastructure'!K56),0)," ")</f>
        <v>5</v>
      </c>
      <c r="L998" s="29">
        <f>IF(L$19=1,IF(L997&gt;0,MIN(L997,'Assumptions - Infrastructure'!L56),0)," ")</f>
        <v>5</v>
      </c>
      <c r="M998" s="29">
        <f>IF(M$19=1,IF(M997&gt;0,MIN(M997,'Assumptions - Infrastructure'!M56),0)," ")</f>
        <v>5</v>
      </c>
      <c r="N998" s="29">
        <f>IF(N$19=1,IF(N997&gt;0,MIN(N997,'Assumptions - Infrastructure'!N56),0)," ")</f>
        <v>5</v>
      </c>
      <c r="O998" s="29">
        <f>IF(O$19=1,IF(O997&gt;0,MIN(O997,'Assumptions - Infrastructure'!O56),0)," ")</f>
        <v>5</v>
      </c>
      <c r="P998" s="29">
        <f>IF(P$19=1,IF(P997&gt;0,MIN(P997,'Assumptions - Infrastructure'!P56),0)," ")</f>
        <v>5</v>
      </c>
      <c r="Q998" s="29">
        <f>IF(Q$19=1,IF(Q997&gt;0,MIN(Q997,'Assumptions - Infrastructure'!Q56),0)," ")</f>
        <v>5</v>
      </c>
      <c r="R998" s="29">
        <f>IF(R$19=1,IF(R997&gt;0,MIN(R997,'Assumptions - Infrastructure'!R56),0)," ")</f>
        <v>5</v>
      </c>
      <c r="S998" s="29">
        <f>IF(S$19=1,IF(S997&gt;0,MIN(S997,'Assumptions - Infrastructure'!S56),0)," ")</f>
        <v>5</v>
      </c>
      <c r="T998" s="29">
        <f>IF(T$19=1,IF(T997&gt;0,MIN(T997,'Assumptions - Infrastructure'!T56),0)," ")</f>
        <v>0.3125</v>
      </c>
      <c r="U998" s="29">
        <f>IF(U$19=1,IF(U997&gt;0,MIN(U997,'Assumptions - Infrastructure'!U56),0)," ")</f>
        <v>0</v>
      </c>
      <c r="V998" s="29">
        <f>IF(V$19=1,IF(V997&gt;0,MIN(V997,'Assumptions - Infrastructure'!V56),0)," ")</f>
        <v>0</v>
      </c>
      <c r="W998" s="29">
        <f>IF(W$19=1,IF(W997&gt;0,MIN(W997,'Assumptions - Infrastructure'!W56),0)," ")</f>
        <v>0</v>
      </c>
      <c r="X998" s="29">
        <f>IF(X$19=1,IF(X997&gt;0,MIN(X997,'Assumptions - Infrastructure'!X56),0)," ")</f>
        <v>0</v>
      </c>
      <c r="Y998" s="29">
        <f>IF(Y$19=1,IF(Y997&gt;0,MIN(Y997,'Assumptions - Infrastructure'!Y56),0)," ")</f>
        <v>0</v>
      </c>
      <c r="Z998" s="29">
        <f>IF(Z$19=1,IF(Z997&gt;0,MIN(Z997,'Assumptions - Infrastructure'!Z56),0)," ")</f>
        <v>0</v>
      </c>
      <c r="AA998" s="29">
        <f>IF(AA$19=1,IF(AA997&gt;0,MIN(AA997,'Assumptions - Infrastructure'!AA56),0)," ")</f>
        <v>0</v>
      </c>
      <c r="AB998" s="29">
        <f>IF(AB$19=1,IF(AB997&gt;0,MIN(AB997,'Assumptions - Infrastructure'!AB56),0)," ")</f>
        <v>0</v>
      </c>
      <c r="AC998" s="29">
        <f>IF(AC$19=1,IF(AC997&gt;0,MIN(AC997,'Assumptions - Infrastructure'!AC56),0)," ")</f>
        <v>0</v>
      </c>
      <c r="AD998" s="29">
        <f>IF(AD$19=1,IF(AD997&gt;0,MIN(AD997,'Assumptions - Infrastructure'!AD56),0)," ")</f>
        <v>0</v>
      </c>
      <c r="AE998" s="29">
        <f>IF(AE$19=1,IF(AE997&gt;0,MIN(AE997,'Assumptions - Infrastructure'!AE56),0)," ")</f>
        <v>0</v>
      </c>
      <c r="AF998" s="29">
        <f>IF(AF$19=1,IF(AF997&gt;0,MIN(AF997,'Assumptions - Infrastructure'!AF56),0)," ")</f>
        <v>0</v>
      </c>
      <c r="AG998" s="29">
        <f>IF(AG$19=1,IF(AG997&gt;0,MIN(AG997,'Assumptions - Infrastructure'!AG56),0)," ")</f>
        <v>0</v>
      </c>
      <c r="AH998" s="29">
        <f>IF(AH$19=1,IF(AH997&gt;0,MIN(AH997,'Assumptions - Infrastructure'!AH56),0)," ")</f>
        <v>0</v>
      </c>
    </row>
    <row r="999" spans="1:34" s="20" customFormat="1" ht="14" x14ac:dyDescent="0.2">
      <c r="A999" s="87"/>
      <c r="B999" s="30" t="str">
        <f>IF(A996=1,"Less depreciation of existing assets","Less depreciation of assets")</f>
        <v>Less depreciation of existing assets</v>
      </c>
      <c r="C999" s="8"/>
      <c r="D999" s="8" t="str">
        <f>'Assumptions - General'!$E$27 &amp;" millions"</f>
        <v>R$ millions</v>
      </c>
      <c r="E999" s="29"/>
      <c r="F999" s="229">
        <f>IF(F$19=1,(IF($A996=1,IF(F997-F998&gt;0,(MIN((F997-F998),($E1001-SUM($E998:F998))/'Assumptions - Infrastructure'!$E95)),0),'Assumptions - Infrastructure'!F98))," ")</f>
        <v>18.4375</v>
      </c>
      <c r="G999" s="229">
        <f>IF(G$19=1,(IF($A996=1,IF(G997-G998&gt;0,(MIN((G997-G998),($E1001-SUM($E998:G998))/'Assumptions - Infrastructure'!$E95)),0),'Assumptions - Infrastructure'!G98))," ")</f>
        <v>18.125</v>
      </c>
      <c r="H999" s="229">
        <f>IF(H$19=1,(IF($A996=1,IF(H997-H998&gt;0,(MIN((H997-H998),($E1001-SUM($E998:H998))/'Assumptions - Infrastructure'!$E95)),0),'Assumptions - Infrastructure'!H98))," ")</f>
        <v>17.8125</v>
      </c>
      <c r="I999" s="229">
        <f>IF(I$19=1,(IF($A996=1,IF(I997-I998&gt;0,(MIN((I997-I998),($E1001-SUM($E998:I998))/'Assumptions - Infrastructure'!$E95)),0),'Assumptions - Infrastructure'!I98))," ")</f>
        <v>17.5</v>
      </c>
      <c r="J999" s="229">
        <f>IF(J$19=1,(IF($A996=1,IF(J997-J998&gt;0,(MIN((J997-J998),($E1001-SUM($E998:J998))/'Assumptions - Infrastructure'!$E95)),0),'Assumptions - Infrastructure'!J98))," ")</f>
        <v>17.1875</v>
      </c>
      <c r="K999" s="229">
        <f>IF(K$19=1,(IF($A996=1,IF(K997-K998&gt;0,(MIN((K997-K998),($E1001-SUM($E998:K998))/'Assumptions - Infrastructure'!$E95)),0),'Assumptions - Infrastructure'!K98))," ")</f>
        <v>16.875</v>
      </c>
      <c r="L999" s="229">
        <f>IF(L$19=1,(IF($A996=1,IF(L997-L998&gt;0,(MIN((L997-L998),($E1001-SUM($E998:L998))/'Assumptions - Infrastructure'!$E95)),0),'Assumptions - Infrastructure'!L98))," ")</f>
        <v>16.5625</v>
      </c>
      <c r="M999" s="229">
        <f>IF(M$19=1,(IF($A996=1,IF(M997-M998&gt;0,(MIN((M997-M998),($E1001-SUM($E998:M998))/'Assumptions - Infrastructure'!$E95)),0),'Assumptions - Infrastructure'!M98))," ")</f>
        <v>16.25</v>
      </c>
      <c r="N999" s="229">
        <f>IF(N$19=1,(IF($A996=1,IF(N997-N998&gt;0,(MIN((N997-N998),($E1001-SUM($E998:N998))/'Assumptions - Infrastructure'!$E95)),0),'Assumptions - Infrastructure'!N98))," ")</f>
        <v>15.9375</v>
      </c>
      <c r="O999" s="229">
        <f>IF(O$19=1,(IF($A996=1,IF(O997-O998&gt;0,(MIN((O997-O998),($E1001-SUM($E998:O998))/'Assumptions - Infrastructure'!$E95)),0),'Assumptions - Infrastructure'!O98))," ")</f>
        <v>15.625</v>
      </c>
      <c r="P999" s="229">
        <f>IF(P$19=1,(IF($A996=1,IF(P997-P998&gt;0,(MIN((P997-P998),($E1001-SUM($E998:P998))/'Assumptions - Infrastructure'!$E95)),0),'Assumptions - Infrastructure'!P98))," ")</f>
        <v>15.3125</v>
      </c>
      <c r="Q999" s="229">
        <f>IF(Q$19=1,(IF($A996=1,IF(Q997-Q998&gt;0,(MIN((Q997-Q998),($E1001-SUM($E998:Q998))/'Assumptions - Infrastructure'!$E95)),0),'Assumptions - Infrastructure'!Q98))," ")</f>
        <v>15</v>
      </c>
      <c r="R999" s="229">
        <f>IF(R$19=1,(IF($A996=1,IF(R997-R998&gt;0,(MIN((R997-R998),($E1001-SUM($E998:R998))/'Assumptions - Infrastructure'!$E95)),0),'Assumptions - Infrastructure'!R98))," ")</f>
        <v>14.6875</v>
      </c>
      <c r="S999" s="229">
        <f>IF(S$19=1,(IF($A996=1,IF(S997-S998&gt;0,(MIN((S997-S998),($E1001-SUM($E998:S998))/'Assumptions - Infrastructure'!$E95)),0),'Assumptions - Infrastructure'!S98))," ")</f>
        <v>14.375</v>
      </c>
      <c r="T999" s="229">
        <f>IF(T$19=1,(IF($A996=1,IF(T997-T998&gt;0,(MIN((T997-T998),($E1001-SUM($E998:T998))/'Assumptions - Infrastructure'!$E95)),0),'Assumptions - Infrastructure'!T98))," ")</f>
        <v>0</v>
      </c>
      <c r="U999" s="229">
        <f>IF(U$19=1,(IF($A996=1,IF(U997-U998&gt;0,(MIN((U997-U998),($E1001-SUM($E998:U998))/'Assumptions - Infrastructure'!$E95)),0),'Assumptions - Infrastructure'!U98))," ")</f>
        <v>0</v>
      </c>
      <c r="V999" s="229">
        <f>IF(V$19=1,(IF($A996=1,IF(V997-V998&gt;0,(MIN((V997-V998),($E1001-SUM($E998:V998))/'Assumptions - Infrastructure'!$E95)),0),'Assumptions - Infrastructure'!V98))," ")</f>
        <v>0</v>
      </c>
      <c r="W999" s="229">
        <f>IF(W$19=1,(IF($A996=1,IF(W997-W998&gt;0,(MIN((W997-W998),($E1001-SUM($E998:W998))/'Assumptions - Infrastructure'!$E95)),0),'Assumptions - Infrastructure'!W98))," ")</f>
        <v>0</v>
      </c>
      <c r="X999" s="229">
        <f>IF(X$19=1,(IF($A996=1,IF(X997-X998&gt;0,(MIN((X997-X998),($E1001-SUM($E998:X998))/'Assumptions - Infrastructure'!$E95)),0),'Assumptions - Infrastructure'!X98))," ")</f>
        <v>0</v>
      </c>
      <c r="Y999" s="229">
        <f>IF(Y$19=1,(IF($A996=1,IF(Y997-Y998&gt;0,(MIN((Y997-Y998),($E1001-SUM($E998:Y998))/'Assumptions - Infrastructure'!$E95)),0),'Assumptions - Infrastructure'!Y98))," ")</f>
        <v>0</v>
      </c>
      <c r="Z999" s="229">
        <f>IF(Z$19=1,(IF($A996=1,IF(Z997-Z998&gt;0,(MIN((Z997-Z998),($E1001-SUM($E998:Z998))/'Assumptions - Infrastructure'!$E95)),0),'Assumptions - Infrastructure'!Z98))," ")</f>
        <v>0</v>
      </c>
      <c r="AA999" s="229">
        <f>IF(AA$19=1,(IF($A996=1,IF(AA997-AA998&gt;0,(MIN((AA997-AA998),($E1001-SUM($E998:AA998))/'Assumptions - Infrastructure'!$E95)),0),'Assumptions - Infrastructure'!AA98))," ")</f>
        <v>0</v>
      </c>
      <c r="AB999" s="229">
        <f>IF(AB$19=1,(IF($A996=1,IF(AB997-AB998&gt;0,(MIN((AB997-AB998),($E1001-SUM($E998:AB998))/'Assumptions - Infrastructure'!$E95)),0),'Assumptions - Infrastructure'!AB98))," ")</f>
        <v>0</v>
      </c>
      <c r="AC999" s="229">
        <f>IF(AC$19=1,(IF($A996=1,IF(AC997-AC998&gt;0,(MIN((AC997-AC998),($E1001-SUM($E998:AC998))/'Assumptions - Infrastructure'!$E95)),0),'Assumptions - Infrastructure'!AC98))," ")</f>
        <v>0</v>
      </c>
      <c r="AD999" s="229">
        <f>IF(AD$19=1,(IF($A996=1,IF(AD997-AD998&gt;0,(MIN((AD997-AD998),($E1001-SUM($E998:AD998))/'Assumptions - Infrastructure'!$E95)),0),'Assumptions - Infrastructure'!AD98))," ")</f>
        <v>0</v>
      </c>
      <c r="AE999" s="229">
        <f>IF(AE$19=1,(IF($A996=1,IF(AE997-AE998&gt;0,(MIN((AE997-AE998),($E1001-SUM($E998:AE998))/'Assumptions - Infrastructure'!$E95)),0),'Assumptions - Infrastructure'!AE98))," ")</f>
        <v>0</v>
      </c>
      <c r="AF999" s="229">
        <f>IF(AF$19=1,(IF($A996=1,IF(AF997-AF998&gt;0,(MIN((AF997-AF998),($E1001-SUM($E998:AF998))/'Assumptions - Infrastructure'!$E95)),0),'Assumptions - Infrastructure'!AF98))," ")</f>
        <v>0</v>
      </c>
      <c r="AG999" s="229">
        <f>IF(AG$19=1,(IF($A996=1,IF(AG997-AG998&gt;0,(MIN((AG997-AG998),($E1001-SUM($E998:AG998))/'Assumptions - Infrastructure'!$E95)),0),'Assumptions - Infrastructure'!AG98))," ")</f>
        <v>0</v>
      </c>
      <c r="AH999" s="229">
        <f>IF(AH$19=1,(IF($A996=1,IF(AH997-AH998&gt;0,(MIN((AH997-AH998),($E1001-SUM($E998:AH998))/'Assumptions - Infrastructure'!$E95)),0),'Assumptions - Infrastructure'!AH98))," ")</f>
        <v>0</v>
      </c>
    </row>
    <row r="1000" spans="1:34" s="20" customFormat="1" ht="14" x14ac:dyDescent="0.2">
      <c r="A1000" s="87"/>
      <c r="B1000" s="30" t="str">
        <f>IF(A996=1,"Accumulated depreciation of existing assets","Accumulated depreciation of assets")</f>
        <v>Accumulated depreciation of existing assets</v>
      </c>
      <c r="C1000" s="8"/>
      <c r="D1000" s="8" t="str">
        <f>'Assumptions - General'!$E$27 &amp;" millions"</f>
        <v>R$ millions</v>
      </c>
      <c r="E1000" s="29"/>
      <c r="F1000" s="29">
        <f>IF(F$19=1,SUM($E999:F999)," ")</f>
        <v>18.4375</v>
      </c>
      <c r="G1000" s="29">
        <f>IF(G$19=1,SUM($E999:G999)," ")</f>
        <v>36.5625</v>
      </c>
      <c r="H1000" s="29">
        <f>IF(H$19=1,SUM($E999:H999)," ")</f>
        <v>54.375</v>
      </c>
      <c r="I1000" s="29">
        <f>IF(I$19=1,SUM($E999:I999)," ")</f>
        <v>71.875</v>
      </c>
      <c r="J1000" s="29">
        <f>IF(J$19=1,SUM($E999:J999)," ")</f>
        <v>89.0625</v>
      </c>
      <c r="K1000" s="29">
        <f>IF(K$19=1,SUM($E999:K999)," ")</f>
        <v>105.9375</v>
      </c>
      <c r="L1000" s="29">
        <f>IF(L$19=1,SUM($E999:L999)," ")</f>
        <v>122.5</v>
      </c>
      <c r="M1000" s="29">
        <f>IF(M$19=1,SUM($E999:M999)," ")</f>
        <v>138.75</v>
      </c>
      <c r="N1000" s="29">
        <f>IF(N$19=1,SUM($E999:N999)," ")</f>
        <v>154.6875</v>
      </c>
      <c r="O1000" s="29">
        <f>IF(O$19=1,SUM($E999:O999)," ")</f>
        <v>170.3125</v>
      </c>
      <c r="P1000" s="29">
        <f>IF(P$19=1,SUM($E999:P999)," ")</f>
        <v>185.625</v>
      </c>
      <c r="Q1000" s="29">
        <f>IF(Q$19=1,SUM($E999:Q999)," ")</f>
        <v>200.625</v>
      </c>
      <c r="R1000" s="29">
        <f>IF(R$19=1,SUM($E999:R999)," ")</f>
        <v>215.3125</v>
      </c>
      <c r="S1000" s="29">
        <f>IF(S$19=1,SUM($E999:S999)," ")</f>
        <v>229.6875</v>
      </c>
      <c r="T1000" s="29">
        <f>IF(T$19=1,SUM($E999:T999)," ")</f>
        <v>229.6875</v>
      </c>
      <c r="U1000" s="29">
        <f>IF(U$19=1,SUM($E999:U999)," ")</f>
        <v>229.6875</v>
      </c>
      <c r="V1000" s="29">
        <f>IF(V$19=1,SUM($E999:V999)," ")</f>
        <v>229.6875</v>
      </c>
      <c r="W1000" s="29">
        <f>IF(W$19=1,SUM($E999:W999)," ")</f>
        <v>229.6875</v>
      </c>
      <c r="X1000" s="29">
        <f>IF(X$19=1,SUM($E999:X999)," ")</f>
        <v>229.6875</v>
      </c>
      <c r="Y1000" s="29">
        <f>IF(Y$19=1,SUM($E999:Y999)," ")</f>
        <v>229.6875</v>
      </c>
      <c r="Z1000" s="29">
        <f>IF(Z$19=1,SUM($E999:Z999)," ")</f>
        <v>229.6875</v>
      </c>
      <c r="AA1000" s="29">
        <f>IF(AA$19=1,SUM($E999:AA999)," ")</f>
        <v>229.6875</v>
      </c>
      <c r="AB1000" s="29">
        <f>IF(AB$19=1,SUM($E999:AB999)," ")</f>
        <v>229.6875</v>
      </c>
      <c r="AC1000" s="29">
        <f>IF(AC$19=1,SUM($E999:AC999)," ")</f>
        <v>229.6875</v>
      </c>
      <c r="AD1000" s="29">
        <f>IF(AD$19=1,SUM($E999:AD999)," ")</f>
        <v>229.6875</v>
      </c>
      <c r="AE1000" s="29">
        <f>IF(AE$19=1,SUM($E999:AE999)," ")</f>
        <v>229.6875</v>
      </c>
      <c r="AF1000" s="29">
        <f>IF(AF$19=1,SUM($E999:AF999)," ")</f>
        <v>229.6875</v>
      </c>
      <c r="AG1000" s="29">
        <f>IF(AG$19=1,SUM($E999:AG999)," ")</f>
        <v>229.6875</v>
      </c>
      <c r="AH1000" s="29">
        <f>IF(AH$19=1,SUM($E999:AH999)," ")</f>
        <v>229.6875</v>
      </c>
    </row>
    <row r="1001" spans="1:34" s="20" customFormat="1" ht="14" x14ac:dyDescent="0.2">
      <c r="A1001" s="87"/>
      <c r="B1001" s="14" t="str">
        <f>"Ending value "</f>
        <v xml:space="preserve">Ending value </v>
      </c>
      <c r="C1001" s="8"/>
      <c r="D1001" s="8" t="str">
        <f>'Assumptions - General'!$E$27 &amp;" millions"</f>
        <v>R$ millions</v>
      </c>
      <c r="E1001" s="470">
        <f>IF(E$19=1,'Assumptions - Infrastructure'!E41," ")</f>
        <v>300</v>
      </c>
      <c r="F1001" s="29">
        <f>IF(F$19=1,F997-F998-F999," ")</f>
        <v>276.5625</v>
      </c>
      <c r="G1001" s="29">
        <f t="shared" ref="G1001:AH1001" si="395">IF(G$19=1,G997-G998-G999," ")</f>
        <v>253.4375</v>
      </c>
      <c r="H1001" s="29">
        <f t="shared" si="395"/>
        <v>230.625</v>
      </c>
      <c r="I1001" s="29">
        <f t="shared" si="395"/>
        <v>208.125</v>
      </c>
      <c r="J1001" s="29">
        <f t="shared" si="395"/>
        <v>185.9375</v>
      </c>
      <c r="K1001" s="29">
        <f t="shared" si="395"/>
        <v>164.0625</v>
      </c>
      <c r="L1001" s="29">
        <f t="shared" si="395"/>
        <v>142.5</v>
      </c>
      <c r="M1001" s="29">
        <f t="shared" si="395"/>
        <v>121.25</v>
      </c>
      <c r="N1001" s="29">
        <f t="shared" si="395"/>
        <v>100.3125</v>
      </c>
      <c r="O1001" s="29">
        <f t="shared" si="395"/>
        <v>79.6875</v>
      </c>
      <c r="P1001" s="29">
        <f t="shared" si="395"/>
        <v>59.375</v>
      </c>
      <c r="Q1001" s="29">
        <f t="shared" si="395"/>
        <v>39.375</v>
      </c>
      <c r="R1001" s="29">
        <f t="shared" si="395"/>
        <v>19.6875</v>
      </c>
      <c r="S1001" s="29">
        <f t="shared" si="395"/>
        <v>0.3125</v>
      </c>
      <c r="T1001" s="29">
        <f t="shared" si="395"/>
        <v>0</v>
      </c>
      <c r="U1001" s="29">
        <f t="shared" si="395"/>
        <v>0</v>
      </c>
      <c r="V1001" s="29">
        <f t="shared" si="395"/>
        <v>0</v>
      </c>
      <c r="W1001" s="29">
        <f t="shared" si="395"/>
        <v>0</v>
      </c>
      <c r="X1001" s="29">
        <f t="shared" si="395"/>
        <v>0</v>
      </c>
      <c r="Y1001" s="29">
        <f t="shared" si="395"/>
        <v>0</v>
      </c>
      <c r="Z1001" s="29">
        <f t="shared" si="395"/>
        <v>0</v>
      </c>
      <c r="AA1001" s="29">
        <f t="shared" si="395"/>
        <v>0</v>
      </c>
      <c r="AB1001" s="29">
        <f t="shared" si="395"/>
        <v>0</v>
      </c>
      <c r="AC1001" s="29">
        <f t="shared" si="395"/>
        <v>0</v>
      </c>
      <c r="AD1001" s="29">
        <f t="shared" si="395"/>
        <v>0</v>
      </c>
      <c r="AE1001" s="29">
        <f t="shared" si="395"/>
        <v>0</v>
      </c>
      <c r="AF1001" s="29">
        <f t="shared" si="395"/>
        <v>0</v>
      </c>
      <c r="AG1001" s="29">
        <f t="shared" si="395"/>
        <v>0</v>
      </c>
      <c r="AH1001" s="29">
        <f t="shared" si="395"/>
        <v>0</v>
      </c>
    </row>
    <row r="1002" spans="1:34" s="20" customFormat="1" ht="14" x14ac:dyDescent="0.2">
      <c r="A1002" s="87"/>
      <c r="B1002" s="14"/>
      <c r="C1002" s="8"/>
      <c r="D1002" s="8"/>
      <c r="E1002" s="29"/>
      <c r="F1002" s="29"/>
      <c r="G1002" s="29"/>
      <c r="H1002" s="29"/>
      <c r="I1002" s="29"/>
      <c r="J1002" s="29"/>
      <c r="K1002" s="29"/>
      <c r="L1002" s="29"/>
      <c r="M1002" s="29"/>
      <c r="N1002" s="29"/>
      <c r="O1002" s="29"/>
      <c r="P1002" s="29"/>
      <c r="Q1002" s="29"/>
      <c r="R1002" s="29"/>
      <c r="S1002" s="29"/>
      <c r="T1002" s="29"/>
      <c r="U1002" s="29"/>
      <c r="V1002" s="29"/>
      <c r="W1002" s="29"/>
      <c r="X1002" s="29"/>
      <c r="Y1002" s="29"/>
      <c r="Z1002" s="29"/>
      <c r="AA1002" s="29"/>
      <c r="AB1002" s="29"/>
      <c r="AC1002" s="29"/>
      <c r="AD1002" s="29"/>
      <c r="AE1002" s="29"/>
      <c r="AF1002" s="29"/>
      <c r="AG1002" s="29"/>
      <c r="AH1002" s="29"/>
    </row>
    <row r="1003" spans="1:34" s="20" customFormat="1" ht="14" x14ac:dyDescent="0.2">
      <c r="A1003" s="87"/>
      <c r="B1003" s="14" t="s">
        <v>634</v>
      </c>
      <c r="C1003" s="8"/>
      <c r="D1003" s="8" t="str">
        <f>'Assumptions - General'!$E$27 &amp;" millions"</f>
        <v>R$ millions</v>
      </c>
      <c r="E1003" s="29"/>
      <c r="F1003" s="29">
        <f>IF(F$19=1,E1008," ")</f>
        <v>0</v>
      </c>
      <c r="G1003" s="29">
        <f t="shared" ref="G1003:AH1003" si="396">IF(G$19=1,F1008," ")</f>
        <v>25</v>
      </c>
      <c r="H1003" s="29">
        <f t="shared" si="396"/>
        <v>48.484848484848484</v>
      </c>
      <c r="I1003" s="29">
        <f t="shared" si="396"/>
        <v>71.212121212121218</v>
      </c>
      <c r="J1003" s="29">
        <f t="shared" si="396"/>
        <v>93.181818181818187</v>
      </c>
      <c r="K1003" s="29">
        <f t="shared" si="396"/>
        <v>114.39393939393941</v>
      </c>
      <c r="L1003" s="29">
        <f t="shared" si="396"/>
        <v>134.84848484848487</v>
      </c>
      <c r="M1003" s="29">
        <f t="shared" si="396"/>
        <v>154.54545454545456</v>
      </c>
      <c r="N1003" s="29">
        <f t="shared" si="396"/>
        <v>173.4848484848485</v>
      </c>
      <c r="O1003" s="29">
        <f t="shared" si="396"/>
        <v>191.66666666666669</v>
      </c>
      <c r="P1003" s="29">
        <f t="shared" si="396"/>
        <v>209.09090909090912</v>
      </c>
      <c r="Q1003" s="29">
        <f t="shared" si="396"/>
        <v>225.75757575757578</v>
      </c>
      <c r="R1003" s="29">
        <f t="shared" si="396"/>
        <v>241.66666666666669</v>
      </c>
      <c r="S1003" s="29">
        <f t="shared" si="396"/>
        <v>256.81818181818181</v>
      </c>
      <c r="T1003" s="29">
        <f t="shared" si="396"/>
        <v>271.21212121212119</v>
      </c>
      <c r="U1003" s="29">
        <f t="shared" si="396"/>
        <v>280.30303030303025</v>
      </c>
      <c r="V1003" s="29">
        <f t="shared" si="396"/>
        <v>288.47537878787875</v>
      </c>
      <c r="W1003" s="29">
        <f t="shared" si="396"/>
        <v>296.04166666666663</v>
      </c>
      <c r="X1003" s="29">
        <f t="shared" si="396"/>
        <v>303.00189393939388</v>
      </c>
      <c r="Y1003" s="29">
        <f t="shared" si="396"/>
        <v>309.35606060606057</v>
      </c>
      <c r="Z1003" s="29">
        <f t="shared" si="396"/>
        <v>315.10416666666663</v>
      </c>
      <c r="AA1003" s="29">
        <f t="shared" si="396"/>
        <v>320.24621212121207</v>
      </c>
      <c r="AB1003" s="29">
        <f t="shared" si="396"/>
        <v>324.78219696969694</v>
      </c>
      <c r="AC1003" s="29">
        <f t="shared" si="396"/>
        <v>328.71212121212119</v>
      </c>
      <c r="AD1003" s="29">
        <f t="shared" si="396"/>
        <v>332.03598484848482</v>
      </c>
      <c r="AE1003" s="29">
        <f t="shared" si="396"/>
        <v>334.75378787878788</v>
      </c>
      <c r="AF1003" s="29">
        <f t="shared" si="396"/>
        <v>336.86553030303031</v>
      </c>
      <c r="AG1003" s="29">
        <f t="shared" si="396"/>
        <v>338.37121212121212</v>
      </c>
      <c r="AH1003" s="29">
        <f t="shared" si="396"/>
        <v>339.27083333333331</v>
      </c>
    </row>
    <row r="1004" spans="1:34" s="20" customFormat="1" ht="14" x14ac:dyDescent="0.2">
      <c r="A1004" s="87"/>
      <c r="B1004" s="30" t="s">
        <v>130</v>
      </c>
      <c r="C1004" s="8"/>
      <c r="D1004" s="8" t="str">
        <f>'Assumptions - General'!$E$27 &amp;" millions"</f>
        <v>R$ millions</v>
      </c>
      <c r="E1004" s="29"/>
      <c r="F1004" s="29">
        <f>IF(F$19=1,IF($D$928=1,$D$929*'Assumptions - Infrastructure'!F48,'Assumptions - Infrastructure'!F48)," ")</f>
        <v>25</v>
      </c>
      <c r="G1004" s="29">
        <f>IF(G$19=1,IF($D$928=1,$D$929*'Assumptions - Infrastructure'!G48,'Assumptions - Infrastructure'!G48)," ")</f>
        <v>25</v>
      </c>
      <c r="H1004" s="29">
        <f>IF(H$19=1,IF($D$928=1,$D$929*'Assumptions - Infrastructure'!H48,'Assumptions - Infrastructure'!H48)," ")</f>
        <v>25</v>
      </c>
      <c r="I1004" s="29">
        <f>IF(I$19=1,IF($D$928=1,$D$929*'Assumptions - Infrastructure'!I48,'Assumptions - Infrastructure'!I48)," ")</f>
        <v>25</v>
      </c>
      <c r="J1004" s="29">
        <f>IF(J$19=1,IF($D$928=1,$D$929*'Assumptions - Infrastructure'!J48,'Assumptions - Infrastructure'!J48)," ")</f>
        <v>25</v>
      </c>
      <c r="K1004" s="29">
        <f>IF(K$19=1,IF($D$928=1,$D$929*'Assumptions - Infrastructure'!K48,'Assumptions - Infrastructure'!K48)," ")</f>
        <v>25</v>
      </c>
      <c r="L1004" s="29">
        <f>IF(L$19=1,IF($D$928=1,$D$929*'Assumptions - Infrastructure'!L48,'Assumptions - Infrastructure'!L48)," ")</f>
        <v>25</v>
      </c>
      <c r="M1004" s="29">
        <f>IF(M$19=1,IF($D$928=1,$D$929*'Assumptions - Infrastructure'!M48,'Assumptions - Infrastructure'!M48)," ")</f>
        <v>25</v>
      </c>
      <c r="N1004" s="29">
        <f>IF(N$19=1,IF($D$928=1,$D$929*'Assumptions - Infrastructure'!N48,'Assumptions - Infrastructure'!N48)," ")</f>
        <v>25</v>
      </c>
      <c r="O1004" s="29">
        <f>IF(O$19=1,IF($D$928=1,$D$929*'Assumptions - Infrastructure'!O48,'Assumptions - Infrastructure'!O48)," ")</f>
        <v>25</v>
      </c>
      <c r="P1004" s="29">
        <f>IF(P$19=1,IF($D$928=1,$D$929*'Assumptions - Infrastructure'!P48,'Assumptions - Infrastructure'!P48)," ")</f>
        <v>25</v>
      </c>
      <c r="Q1004" s="29">
        <f>IF(Q$19=1,IF($D$928=1,$D$929*'Assumptions - Infrastructure'!Q48,'Assumptions - Infrastructure'!Q48)," ")</f>
        <v>25</v>
      </c>
      <c r="R1004" s="29">
        <f>IF(R$19=1,IF($D$928=1,$D$929*'Assumptions - Infrastructure'!R48,'Assumptions - Infrastructure'!R48)," ")</f>
        <v>25</v>
      </c>
      <c r="S1004" s="29">
        <f>IF(S$19=1,IF($D$928=1,$D$929*'Assumptions - Infrastructure'!S48,'Assumptions - Infrastructure'!S48)," ")</f>
        <v>25</v>
      </c>
      <c r="T1004" s="29">
        <f>IF(T$19=1,IF($D$928=1,$D$929*'Assumptions - Infrastructure'!T48,'Assumptions - Infrastructure'!T48)," ")</f>
        <v>25</v>
      </c>
      <c r="U1004" s="29">
        <f>IF(U$19=1,IF($D$928=1,$D$929*'Assumptions - Infrastructure'!U48,'Assumptions - Infrastructure'!U48)," ")</f>
        <v>25</v>
      </c>
      <c r="V1004" s="29">
        <f>IF(V$19=1,IF($D$928=1,$D$929*'Assumptions - Infrastructure'!V48,'Assumptions - Infrastructure'!V48)," ")</f>
        <v>25</v>
      </c>
      <c r="W1004" s="29">
        <f>IF(W$19=1,IF($D$928=1,$D$929*'Assumptions - Infrastructure'!W48,'Assumptions - Infrastructure'!W48)," ")</f>
        <v>25</v>
      </c>
      <c r="X1004" s="29">
        <f>IF(X$19=1,IF($D$928=1,$D$929*'Assumptions - Infrastructure'!X48,'Assumptions - Infrastructure'!X48)," ")</f>
        <v>25</v>
      </c>
      <c r="Y1004" s="29">
        <f>IF(Y$19=1,IF($D$928=1,$D$929*'Assumptions - Infrastructure'!Y48,'Assumptions - Infrastructure'!Y48)," ")</f>
        <v>25</v>
      </c>
      <c r="Z1004" s="29">
        <f>IF(Z$19=1,IF($D$928=1,$D$929*'Assumptions - Infrastructure'!Z48,'Assumptions - Infrastructure'!Z48)," ")</f>
        <v>25</v>
      </c>
      <c r="AA1004" s="29">
        <f>IF(AA$19=1,IF($D$928=1,$D$929*'Assumptions - Infrastructure'!AA48,'Assumptions - Infrastructure'!AA48)," ")</f>
        <v>25</v>
      </c>
      <c r="AB1004" s="29">
        <f>IF(AB$19=1,IF($D$928=1,$D$929*'Assumptions - Infrastructure'!AB48,'Assumptions - Infrastructure'!AB48)," ")</f>
        <v>25</v>
      </c>
      <c r="AC1004" s="29">
        <f>IF(AC$19=1,IF($D$928=1,$D$929*'Assumptions - Infrastructure'!AC48,'Assumptions - Infrastructure'!AC48)," ")</f>
        <v>25</v>
      </c>
      <c r="AD1004" s="29">
        <f>IF(AD$19=1,IF($D$928=1,$D$929*'Assumptions - Infrastructure'!AD48,'Assumptions - Infrastructure'!AD48)," ")</f>
        <v>25</v>
      </c>
      <c r="AE1004" s="29">
        <f>IF(AE$19=1,IF($D$928=1,$D$929*'Assumptions - Infrastructure'!AE48,'Assumptions - Infrastructure'!AE48)," ")</f>
        <v>25</v>
      </c>
      <c r="AF1004" s="29">
        <f>IF(AF$19=1,IF($D$928=1,$D$929*'Assumptions - Infrastructure'!AF48,'Assumptions - Infrastructure'!AF48)," ")</f>
        <v>25</v>
      </c>
      <c r="AG1004" s="29">
        <f>IF(AG$19=1,IF($D$928=1,$D$929*'Assumptions - Infrastructure'!AG48,'Assumptions - Infrastructure'!AG48)," ")</f>
        <v>25</v>
      </c>
      <c r="AH1004" s="29">
        <f>IF(AH$19=1,IF($D$928=1,$D$929*'Assumptions - Infrastructure'!AH48,'Assumptions - Infrastructure'!AH48)," ")</f>
        <v>25</v>
      </c>
    </row>
    <row r="1005" spans="1:34" s="20" customFormat="1" ht="14" x14ac:dyDescent="0.2">
      <c r="A1005" s="87"/>
      <c r="B1005" s="30" t="s">
        <v>608</v>
      </c>
      <c r="C1005" s="8"/>
      <c r="D1005" s="8" t="str">
        <f>'Assumptions - General'!$E$27 &amp;" millions"</f>
        <v>R$ millions</v>
      </c>
      <c r="E1005" s="29"/>
      <c r="F1005" s="29">
        <f>IF(F$19=1,'Assumptions - Infrastructure'!F56-Calculations!F998," ")</f>
        <v>0</v>
      </c>
      <c r="G1005" s="29">
        <f>IF(G$19=1,'Assumptions - Infrastructure'!G56-Calculations!G998," ")</f>
        <v>0</v>
      </c>
      <c r="H1005" s="29">
        <f>IF(H$19=1,'Assumptions - Infrastructure'!H56-Calculations!H998," ")</f>
        <v>0</v>
      </c>
      <c r="I1005" s="29">
        <f>IF(I$19=1,'Assumptions - Infrastructure'!I56-Calculations!I998," ")</f>
        <v>0</v>
      </c>
      <c r="J1005" s="29">
        <f>IF(J$19=1,'Assumptions - Infrastructure'!J56-Calculations!J998," ")</f>
        <v>0</v>
      </c>
      <c r="K1005" s="29">
        <f>IF(K$19=1,'Assumptions - Infrastructure'!K56-Calculations!K998," ")</f>
        <v>0</v>
      </c>
      <c r="L1005" s="29">
        <f>IF(L$19=1,'Assumptions - Infrastructure'!L56-Calculations!L998," ")</f>
        <v>0</v>
      </c>
      <c r="M1005" s="29">
        <f>IF(M$19=1,'Assumptions - Infrastructure'!M56-Calculations!M998," ")</f>
        <v>0</v>
      </c>
      <c r="N1005" s="29">
        <f>IF(N$19=1,'Assumptions - Infrastructure'!N56-Calculations!N998," ")</f>
        <v>0</v>
      </c>
      <c r="O1005" s="29">
        <f>IF(O$19=1,'Assumptions - Infrastructure'!O56-Calculations!O998," ")</f>
        <v>0</v>
      </c>
      <c r="P1005" s="29">
        <f>IF(P$19=1,'Assumptions - Infrastructure'!P56-Calculations!P998," ")</f>
        <v>0</v>
      </c>
      <c r="Q1005" s="29">
        <f>IF(Q$19=1,'Assumptions - Infrastructure'!Q56-Calculations!Q998," ")</f>
        <v>0</v>
      </c>
      <c r="R1005" s="29">
        <f>IF(R$19=1,'Assumptions - Infrastructure'!R56-Calculations!R998," ")</f>
        <v>0</v>
      </c>
      <c r="S1005" s="29">
        <f>IF(S$19=1,'Assumptions - Infrastructure'!S56-Calculations!S998," ")</f>
        <v>0</v>
      </c>
      <c r="T1005" s="29">
        <f>IF(T$19=1,'Assumptions - Infrastructure'!T56-Calculations!T998," ")</f>
        <v>4.6875</v>
      </c>
      <c r="U1005" s="29">
        <f>IF(U$19=1,'Assumptions - Infrastructure'!U56-Calculations!U998," ")</f>
        <v>5</v>
      </c>
      <c r="V1005" s="29">
        <f>IF(V$19=1,'Assumptions - Infrastructure'!V56-Calculations!V998," ")</f>
        <v>5</v>
      </c>
      <c r="W1005" s="29">
        <f>IF(W$19=1,'Assumptions - Infrastructure'!W56-Calculations!W998," ")</f>
        <v>5</v>
      </c>
      <c r="X1005" s="29">
        <f>IF(X$19=1,'Assumptions - Infrastructure'!X56-Calculations!X998," ")</f>
        <v>5</v>
      </c>
      <c r="Y1005" s="29">
        <f>IF(Y$19=1,'Assumptions - Infrastructure'!Y56-Calculations!Y998," ")</f>
        <v>5</v>
      </c>
      <c r="Z1005" s="29">
        <f>IF(Z$19=1,'Assumptions - Infrastructure'!Z56-Calculations!Z998," ")</f>
        <v>5</v>
      </c>
      <c r="AA1005" s="29">
        <f>IF(AA$19=1,'Assumptions - Infrastructure'!AA56-Calculations!AA998," ")</f>
        <v>5</v>
      </c>
      <c r="AB1005" s="29">
        <f>IF(AB$19=1,'Assumptions - Infrastructure'!AB56-Calculations!AB998," ")</f>
        <v>5</v>
      </c>
      <c r="AC1005" s="29">
        <f>IF(AC$19=1,'Assumptions - Infrastructure'!AC56-Calculations!AC998," ")</f>
        <v>5</v>
      </c>
      <c r="AD1005" s="29">
        <f>IF(AD$19=1,'Assumptions - Infrastructure'!AD56-Calculations!AD998," ")</f>
        <v>5</v>
      </c>
      <c r="AE1005" s="29">
        <f>IF(AE$19=1,'Assumptions - Infrastructure'!AE56-Calculations!AE998," ")</f>
        <v>5</v>
      </c>
      <c r="AF1005" s="29">
        <f>IF(AF$19=1,'Assumptions - Infrastructure'!AF56-Calculations!AF998," ")</f>
        <v>5</v>
      </c>
      <c r="AG1005" s="29">
        <f>IF(AG$19=1,'Assumptions - Infrastructure'!AG56-Calculations!AG998," ")</f>
        <v>5</v>
      </c>
      <c r="AH1005" s="29">
        <f>IF(AH$19=1,'Assumptions - Infrastructure'!AH56-Calculations!AH998," ")</f>
        <v>5</v>
      </c>
    </row>
    <row r="1006" spans="1:34" s="20" customFormat="1" ht="14" x14ac:dyDescent="0.2">
      <c r="A1006" s="87"/>
      <c r="B1006" s="30" t="s">
        <v>635</v>
      </c>
      <c r="C1006" s="8"/>
      <c r="D1006" s="8" t="str">
        <f>'Assumptions - General'!$E$27 &amp;" millions"</f>
        <v>R$ millions</v>
      </c>
      <c r="E1006" s="29"/>
      <c r="F1006" s="29">
        <f>IF(F$19=1,(IF($A$996=1,IF(F1003-F1005&gt;0,(MIN((F1003-F1005),(SUM($E1004:F1004)-SUM($E1005:F1005))/'Assumptions - Infrastructure'!$E97)),0),0))," ")</f>
        <v>0</v>
      </c>
      <c r="G1006" s="29">
        <f>IF(G$19=1,(IF($A$996=1,IF(G1003-G1005&gt;0,(MIN((G1003-G1005),(SUM($E1004:G1004)-SUM($E1005:G1005))/'Assumptions - Infrastructure'!$E97)),0),0))," ")</f>
        <v>1.5151515151515151</v>
      </c>
      <c r="H1006" s="29">
        <f>IF(H$19=1,(IF($A$996=1,IF(H1003-H1005&gt;0,(MIN((H1003-H1005),(SUM($E1004:H1004)-SUM($E1005:H1005))/'Assumptions - Infrastructure'!$E97)),0),0))," ")</f>
        <v>2.2727272727272729</v>
      </c>
      <c r="I1006" s="29">
        <f>IF(I$19=1,(IF($A$996=1,IF(I1003-I1005&gt;0,(MIN((I1003-I1005),(SUM($E1004:I1004)-SUM($E1005:I1005))/'Assumptions - Infrastructure'!$E97)),0),0))," ")</f>
        <v>3.0303030303030303</v>
      </c>
      <c r="J1006" s="29">
        <f>IF(J$19=1,(IF($A$996=1,IF(J1003-J1005&gt;0,(MIN((J1003-J1005),(SUM($E1004:J1004)-SUM($E1005:J1005))/'Assumptions - Infrastructure'!$E97)),0),0))," ")</f>
        <v>3.7878787878787881</v>
      </c>
      <c r="K1006" s="29">
        <f>IF(K$19=1,(IF($A$996=1,IF(K1003-K1005&gt;0,(MIN((K1003-K1005),(SUM($E1004:K1004)-SUM($E1005:K1005))/'Assumptions - Infrastructure'!$E97)),0),0))," ")</f>
        <v>4.5454545454545459</v>
      </c>
      <c r="L1006" s="29">
        <f>IF(L$19=1,(IF($A$996=1,IF(L1003-L1005&gt;0,(MIN((L1003-L1005),(SUM($E1004:L1004)-SUM($E1005:L1005))/'Assumptions - Infrastructure'!$E97)),0),0))," ")</f>
        <v>5.3030303030303028</v>
      </c>
      <c r="M1006" s="29">
        <f>IF(M$19=1,(IF($A$996=1,IF(M1003-M1005&gt;0,(MIN((M1003-M1005),(SUM($E1004:M1004)-SUM($E1005:M1005))/'Assumptions - Infrastructure'!$E97)),0),0))," ")</f>
        <v>6.0606060606060606</v>
      </c>
      <c r="N1006" s="29">
        <f>IF(N$19=1,(IF($A$996=1,IF(N1003-N1005&gt;0,(MIN((N1003-N1005),(SUM($E1004:N1004)-SUM($E1005:N1005))/'Assumptions - Infrastructure'!$E97)),0),0))," ")</f>
        <v>6.8181818181818183</v>
      </c>
      <c r="O1006" s="29">
        <f>IF(O$19=1,(IF($A$996=1,IF(O1003-O1005&gt;0,(MIN((O1003-O1005),(SUM($E1004:O1004)-SUM($E1005:O1005))/'Assumptions - Infrastructure'!$E97)),0),0))," ")</f>
        <v>7.5757575757575761</v>
      </c>
      <c r="P1006" s="29">
        <f>IF(P$19=1,(IF($A$996=1,IF(P1003-P1005&gt;0,(MIN((P1003-P1005),(SUM($E1004:P1004)-SUM($E1005:P1005))/'Assumptions - Infrastructure'!$E97)),0),0))," ")</f>
        <v>8.3333333333333339</v>
      </c>
      <c r="Q1006" s="29">
        <f>IF(Q$19=1,(IF($A$996=1,IF(Q1003-Q1005&gt;0,(MIN((Q1003-Q1005),(SUM($E1004:Q1004)-SUM($E1005:Q1005))/'Assumptions - Infrastructure'!$E97)),0),0))," ")</f>
        <v>9.0909090909090917</v>
      </c>
      <c r="R1006" s="29">
        <f>IF(R$19=1,(IF($A$996=1,IF(R1003-R1005&gt;0,(MIN((R1003-R1005),(SUM($E1004:R1004)-SUM($E1005:R1005))/'Assumptions - Infrastructure'!$E97)),0),0))," ")</f>
        <v>9.8484848484848477</v>
      </c>
      <c r="S1006" s="29">
        <f>IF(S$19=1,(IF($A$996=1,IF(S1003-S1005&gt;0,(MIN((S1003-S1005),(SUM($E1004:S1004)-SUM($E1005:S1005))/'Assumptions - Infrastructure'!$E97)),0),0))," ")</f>
        <v>10.606060606060606</v>
      </c>
      <c r="T1006" s="29">
        <f>IF(T$19=1,(IF($A$996=1,IF(T1003-T1005&gt;0,(MIN((T1003-T1005),(SUM($E1004:T1004)-SUM($E1005:T1005))/'Assumptions - Infrastructure'!$E97)),0),0))," ")</f>
        <v>11.221590909090908</v>
      </c>
      <c r="U1006" s="29">
        <f>IF(U$19=1,(IF($A$996=1,IF(U1003-U1005&gt;0,(MIN((U1003-U1005),(SUM($E1004:U1004)-SUM($E1005:U1005))/'Assumptions - Infrastructure'!$E97)),0),0))," ")</f>
        <v>11.827651515151516</v>
      </c>
      <c r="V1006" s="29">
        <f>IF(V$19=1,(IF($A$996=1,IF(V1003-V1005&gt;0,(MIN((V1003-V1005),(SUM($E1004:V1004)-SUM($E1005:V1005))/'Assumptions - Infrastructure'!$E97)),0),0))," ")</f>
        <v>12.433712121212121</v>
      </c>
      <c r="W1006" s="29">
        <f>IF(W$19=1,(IF($A$996=1,IF(W1003-W1005&gt;0,(MIN((W1003-W1005),(SUM($E1004:W1004)-SUM($E1005:W1005))/'Assumptions - Infrastructure'!$E97)),0),0))," ")</f>
        <v>13.039772727272727</v>
      </c>
      <c r="X1006" s="29">
        <f>IF(X$19=1,(IF($A$996=1,IF(X1003-X1005&gt;0,(MIN((X1003-X1005),(SUM($E1004:X1004)-SUM($E1005:X1005))/'Assumptions - Infrastructure'!$E97)),0),0))," ")</f>
        <v>13.645833333333334</v>
      </c>
      <c r="Y1006" s="29">
        <f>IF(Y$19=1,(IF($A$996=1,IF(Y1003-Y1005&gt;0,(MIN((Y1003-Y1005),(SUM($E1004:Y1004)-SUM($E1005:Y1005))/'Assumptions - Infrastructure'!$E97)),0),0))," ")</f>
        <v>14.251893939393939</v>
      </c>
      <c r="Z1006" s="29">
        <f>IF(Z$19=1,(IF($A$996=1,IF(Z1003-Z1005&gt;0,(MIN((Z1003-Z1005),(SUM($E1004:Z1004)-SUM($E1005:Z1005))/'Assumptions - Infrastructure'!$E97)),0),0))," ")</f>
        <v>14.857954545454545</v>
      </c>
      <c r="AA1006" s="29">
        <f>IF(AA$19=1,(IF($A$996=1,IF(AA1003-AA1005&gt;0,(MIN((AA1003-AA1005),(SUM($E1004:AA1004)-SUM($E1005:AA1005))/'Assumptions - Infrastructure'!$E97)),0),0))," ")</f>
        <v>15.464015151515152</v>
      </c>
      <c r="AB1006" s="29">
        <f>IF(AB$19=1,(IF($A$996=1,IF(AB1003-AB1005&gt;0,(MIN((AB1003-AB1005),(SUM($E1004:AB1004)-SUM($E1005:AB1005))/'Assumptions - Infrastructure'!$E97)),0),0))," ")</f>
        <v>16.070075757575758</v>
      </c>
      <c r="AC1006" s="29">
        <f>IF(AC$19=1,(IF($A$996=1,IF(AC1003-AC1005&gt;0,(MIN((AC1003-AC1005),(SUM($E1004:AC1004)-SUM($E1005:AC1005))/'Assumptions - Infrastructure'!$E97)),0),0))," ")</f>
        <v>16.676136363636363</v>
      </c>
      <c r="AD1006" s="29">
        <f>IF(AD$19=1,(IF($A$996=1,IF(AD1003-AD1005&gt;0,(MIN((AD1003-AD1005),(SUM($E1004:AD1004)-SUM($E1005:AD1005))/'Assumptions - Infrastructure'!$E97)),0),0))," ")</f>
        <v>17.282196969696969</v>
      </c>
      <c r="AE1006" s="29">
        <f>IF(AE$19=1,(IF($A$996=1,IF(AE1003-AE1005&gt;0,(MIN((AE1003-AE1005),(SUM($E1004:AE1004)-SUM($E1005:AE1005))/'Assumptions - Infrastructure'!$E97)),0),0))," ")</f>
        <v>17.888257575757574</v>
      </c>
      <c r="AF1006" s="29">
        <f>IF(AF$19=1,(IF($A$996=1,IF(AF1003-AF1005&gt;0,(MIN((AF1003-AF1005),(SUM($E1004:AF1004)-SUM($E1005:AF1005))/'Assumptions - Infrastructure'!$E97)),0),0))," ")</f>
        <v>18.494318181818183</v>
      </c>
      <c r="AG1006" s="29">
        <f>IF(AG$19=1,(IF($A$996=1,IF(AG1003-AG1005&gt;0,(MIN((AG1003-AG1005),(SUM($E1004:AG1004)-SUM($E1005:AG1005))/'Assumptions - Infrastructure'!$E97)),0),0))," ")</f>
        <v>19.100378787878789</v>
      </c>
      <c r="AH1006" s="29">
        <f>IF(AH$19=1,(IF($A$996=1,IF(AH1003-AH1005&gt;0,(MIN((AH1003-AH1005),(SUM($E1004:AH1004)-SUM($E1005:AH1005))/'Assumptions - Infrastructure'!$E97)),0),0))," ")</f>
        <v>19.706439393939394</v>
      </c>
    </row>
    <row r="1007" spans="1:34" s="20" customFormat="1" ht="14" x14ac:dyDescent="0.2">
      <c r="A1007" s="87"/>
      <c r="B1007" s="30" t="s">
        <v>636</v>
      </c>
      <c r="C1007" s="8"/>
      <c r="D1007" s="8" t="str">
        <f>'Assumptions - General'!$E$27 &amp;" millions"</f>
        <v>R$ millions</v>
      </c>
      <c r="E1007" s="29"/>
      <c r="F1007" s="29">
        <f>IF(F$19=1,SUM($E1006:F1006)," ")</f>
        <v>0</v>
      </c>
      <c r="G1007" s="29">
        <f>IF(G$19=1,SUM($E1006:G1006)," ")</f>
        <v>1.5151515151515151</v>
      </c>
      <c r="H1007" s="29">
        <f>IF(H$19=1,SUM($E1006:H1006)," ")</f>
        <v>3.7878787878787881</v>
      </c>
      <c r="I1007" s="29">
        <f>IF(I$19=1,SUM($E1006:I1006)," ")</f>
        <v>6.8181818181818183</v>
      </c>
      <c r="J1007" s="29">
        <f>IF(J$19=1,SUM($E1006:J1006)," ")</f>
        <v>10.606060606060606</v>
      </c>
      <c r="K1007" s="29">
        <f>IF(K$19=1,SUM($E1006:K1006)," ")</f>
        <v>15.151515151515152</v>
      </c>
      <c r="L1007" s="29">
        <f>IF(L$19=1,SUM($E1006:L1006)," ")</f>
        <v>20.454545454545453</v>
      </c>
      <c r="M1007" s="29">
        <f>IF(M$19=1,SUM($E1006:M1006)," ")</f>
        <v>26.515151515151516</v>
      </c>
      <c r="N1007" s="29">
        <f>IF(N$19=1,SUM($E1006:N1006)," ")</f>
        <v>33.333333333333336</v>
      </c>
      <c r="O1007" s="29">
        <f>IF(O$19=1,SUM($E1006:O1006)," ")</f>
        <v>40.909090909090914</v>
      </c>
      <c r="P1007" s="29">
        <f>IF(P$19=1,SUM($E1006:P1006)," ")</f>
        <v>49.242424242424249</v>
      </c>
      <c r="Q1007" s="29">
        <f>IF(Q$19=1,SUM($E1006:Q1006)," ")</f>
        <v>58.333333333333343</v>
      </c>
      <c r="R1007" s="29">
        <f>IF(R$19=1,SUM($E1006:R1006)," ")</f>
        <v>68.181818181818187</v>
      </c>
      <c r="S1007" s="29">
        <f>IF(S$19=1,SUM($E1006:S1006)," ")</f>
        <v>78.787878787878796</v>
      </c>
      <c r="T1007" s="29">
        <f>IF(T$19=1,SUM($E1006:T1006)," ")</f>
        <v>90.009469696969703</v>
      </c>
      <c r="U1007" s="29">
        <f>IF(U$19=1,SUM($E1006:U1006)," ")</f>
        <v>101.83712121212122</v>
      </c>
      <c r="V1007" s="29">
        <f>IF(V$19=1,SUM($E1006:V1006)," ")</f>
        <v>114.27083333333334</v>
      </c>
      <c r="W1007" s="29">
        <f>IF(W$19=1,SUM($E1006:W1006)," ")</f>
        <v>127.31060606060606</v>
      </c>
      <c r="X1007" s="29">
        <f>IF(X$19=1,SUM($E1006:X1006)," ")</f>
        <v>140.95643939393941</v>
      </c>
      <c r="Y1007" s="29">
        <f>IF(Y$19=1,SUM($E1006:Y1006)," ")</f>
        <v>155.20833333333334</v>
      </c>
      <c r="Z1007" s="29">
        <f>IF(Z$19=1,SUM($E1006:Z1006)," ")</f>
        <v>170.06628787878788</v>
      </c>
      <c r="AA1007" s="29">
        <f>IF(AA$19=1,SUM($E1006:AA1006)," ")</f>
        <v>185.53030303030303</v>
      </c>
      <c r="AB1007" s="29">
        <f>IF(AB$19=1,SUM($E1006:AB1006)," ")</f>
        <v>201.60037878787878</v>
      </c>
      <c r="AC1007" s="29">
        <f>IF(AC$19=1,SUM($E1006:AC1006)," ")</f>
        <v>218.27651515151516</v>
      </c>
      <c r="AD1007" s="29">
        <f>IF(AD$19=1,SUM($E1006:AD1006)," ")</f>
        <v>235.55871212121212</v>
      </c>
      <c r="AE1007" s="29">
        <f>IF(AE$19=1,SUM($E1006:AE1006)," ")</f>
        <v>253.44696969696969</v>
      </c>
      <c r="AF1007" s="29">
        <f>IF(AF$19=1,SUM($E1006:AF1006)," ")</f>
        <v>271.94128787878788</v>
      </c>
      <c r="AG1007" s="29">
        <f>IF(AG$19=1,SUM($E1006:AG1006)," ")</f>
        <v>291.04166666666669</v>
      </c>
      <c r="AH1007" s="29">
        <f>IF(AH$19=1,SUM($E1006:AH1006)," ")</f>
        <v>310.74810606060606</v>
      </c>
    </row>
    <row r="1008" spans="1:34" s="20" customFormat="1" ht="14" x14ac:dyDescent="0.2">
      <c r="A1008" s="87"/>
      <c r="B1008" s="14" t="s">
        <v>640</v>
      </c>
      <c r="C1008" s="8"/>
      <c r="D1008" s="8" t="str">
        <f>'Assumptions - General'!$E$27 &amp;" millions"</f>
        <v>R$ millions</v>
      </c>
      <c r="E1008" s="29"/>
      <c r="F1008" s="29">
        <f>IF(F$19=1,F1003+F1004-F1005-F1006," ")</f>
        <v>25</v>
      </c>
      <c r="G1008" s="29">
        <f t="shared" ref="G1008:AH1008" si="397">IF(G$19=1,G1003+G1004-G1005-G1006," ")</f>
        <v>48.484848484848484</v>
      </c>
      <c r="H1008" s="29">
        <f t="shared" si="397"/>
        <v>71.212121212121218</v>
      </c>
      <c r="I1008" s="29">
        <f t="shared" si="397"/>
        <v>93.181818181818187</v>
      </c>
      <c r="J1008" s="29">
        <f t="shared" si="397"/>
        <v>114.39393939393941</v>
      </c>
      <c r="K1008" s="29">
        <f t="shared" si="397"/>
        <v>134.84848484848487</v>
      </c>
      <c r="L1008" s="29">
        <f t="shared" si="397"/>
        <v>154.54545454545456</v>
      </c>
      <c r="M1008" s="29">
        <f t="shared" si="397"/>
        <v>173.4848484848485</v>
      </c>
      <c r="N1008" s="29">
        <f t="shared" si="397"/>
        <v>191.66666666666669</v>
      </c>
      <c r="O1008" s="29">
        <f t="shared" si="397"/>
        <v>209.09090909090912</v>
      </c>
      <c r="P1008" s="29">
        <f t="shared" si="397"/>
        <v>225.75757575757578</v>
      </c>
      <c r="Q1008" s="29">
        <f t="shared" si="397"/>
        <v>241.66666666666669</v>
      </c>
      <c r="R1008" s="29">
        <f t="shared" si="397"/>
        <v>256.81818181818181</v>
      </c>
      <c r="S1008" s="29">
        <f t="shared" si="397"/>
        <v>271.21212121212119</v>
      </c>
      <c r="T1008" s="29">
        <f t="shared" si="397"/>
        <v>280.30303030303025</v>
      </c>
      <c r="U1008" s="29">
        <f t="shared" si="397"/>
        <v>288.47537878787875</v>
      </c>
      <c r="V1008" s="29">
        <f t="shared" si="397"/>
        <v>296.04166666666663</v>
      </c>
      <c r="W1008" s="29">
        <f t="shared" si="397"/>
        <v>303.00189393939388</v>
      </c>
      <c r="X1008" s="29">
        <f t="shared" si="397"/>
        <v>309.35606060606057</v>
      </c>
      <c r="Y1008" s="29">
        <f t="shared" si="397"/>
        <v>315.10416666666663</v>
      </c>
      <c r="Z1008" s="29">
        <f t="shared" si="397"/>
        <v>320.24621212121207</v>
      </c>
      <c r="AA1008" s="29">
        <f t="shared" si="397"/>
        <v>324.78219696969694</v>
      </c>
      <c r="AB1008" s="29">
        <f t="shared" si="397"/>
        <v>328.71212121212119</v>
      </c>
      <c r="AC1008" s="29">
        <f t="shared" si="397"/>
        <v>332.03598484848482</v>
      </c>
      <c r="AD1008" s="29">
        <f t="shared" si="397"/>
        <v>334.75378787878788</v>
      </c>
      <c r="AE1008" s="29">
        <f t="shared" si="397"/>
        <v>336.86553030303031</v>
      </c>
      <c r="AF1008" s="29">
        <f t="shared" si="397"/>
        <v>338.37121212121212</v>
      </c>
      <c r="AG1008" s="29">
        <f t="shared" si="397"/>
        <v>339.27083333333331</v>
      </c>
      <c r="AH1008" s="29">
        <f t="shared" si="397"/>
        <v>339.56439393939394</v>
      </c>
    </row>
    <row r="1009" spans="1:34" s="20" customFormat="1" ht="14" x14ac:dyDescent="0.2">
      <c r="A1009" s="87"/>
      <c r="B1009" s="14"/>
      <c r="C1009" s="8"/>
      <c r="D1009" s="8"/>
      <c r="E1009" s="29"/>
      <c r="F1009" s="29"/>
      <c r="G1009" s="29"/>
      <c r="H1009" s="29"/>
      <c r="I1009" s="29"/>
      <c r="J1009" s="29"/>
      <c r="K1009" s="29"/>
      <c r="L1009" s="29"/>
      <c r="M1009" s="29"/>
      <c r="N1009" s="29"/>
      <c r="O1009" s="29"/>
      <c r="P1009" s="29"/>
      <c r="Q1009" s="29"/>
      <c r="R1009" s="29"/>
      <c r="S1009" s="29"/>
      <c r="T1009" s="29"/>
      <c r="U1009" s="29"/>
      <c r="V1009" s="29"/>
      <c r="W1009" s="29"/>
      <c r="X1009" s="29"/>
      <c r="Y1009" s="29"/>
      <c r="Z1009" s="29"/>
      <c r="AA1009" s="29"/>
      <c r="AB1009" s="29"/>
      <c r="AC1009" s="29"/>
      <c r="AD1009" s="29"/>
      <c r="AE1009" s="29"/>
      <c r="AF1009" s="29"/>
      <c r="AG1009" s="29"/>
      <c r="AH1009" s="29"/>
    </row>
    <row r="1010" spans="1:34" s="20" customFormat="1" ht="14" x14ac:dyDescent="0.2">
      <c r="A1010" s="87"/>
      <c r="B1010" s="14" t="s">
        <v>638</v>
      </c>
      <c r="C1010" s="8"/>
      <c r="D1010" s="8" t="str">
        <f>'Assumptions - General'!$E$27 &amp;" millions"</f>
        <v>R$ millions</v>
      </c>
      <c r="E1010" s="29">
        <f>IF(E$19=1,E1001+E1008," ")</f>
        <v>300</v>
      </c>
      <c r="F1010" s="29">
        <f>IF(F$19=1,F1001+F1008," ")</f>
        <v>301.5625</v>
      </c>
      <c r="G1010" s="29">
        <f t="shared" ref="G1010:AH1010" si="398">IF(G$19=1,G1001+G1008," ")</f>
        <v>301.9223484848485</v>
      </c>
      <c r="H1010" s="29">
        <f t="shared" si="398"/>
        <v>301.83712121212125</v>
      </c>
      <c r="I1010" s="29">
        <f t="shared" si="398"/>
        <v>301.30681818181819</v>
      </c>
      <c r="J1010" s="29">
        <f t="shared" si="398"/>
        <v>300.33143939393938</v>
      </c>
      <c r="K1010" s="29">
        <f t="shared" si="398"/>
        <v>298.91098484848487</v>
      </c>
      <c r="L1010" s="29">
        <f t="shared" si="398"/>
        <v>297.04545454545456</v>
      </c>
      <c r="M1010" s="29">
        <f t="shared" si="398"/>
        <v>294.7348484848485</v>
      </c>
      <c r="N1010" s="29">
        <f t="shared" si="398"/>
        <v>291.97916666666669</v>
      </c>
      <c r="O1010" s="29">
        <f t="shared" si="398"/>
        <v>288.77840909090912</v>
      </c>
      <c r="P1010" s="29">
        <f t="shared" si="398"/>
        <v>285.13257575757575</v>
      </c>
      <c r="Q1010" s="29">
        <f t="shared" si="398"/>
        <v>281.04166666666669</v>
      </c>
      <c r="R1010" s="29">
        <f t="shared" si="398"/>
        <v>276.50568181818181</v>
      </c>
      <c r="S1010" s="29">
        <f t="shared" si="398"/>
        <v>271.52462121212119</v>
      </c>
      <c r="T1010" s="29">
        <f t="shared" si="398"/>
        <v>280.30303030303025</v>
      </c>
      <c r="U1010" s="29">
        <f t="shared" si="398"/>
        <v>288.47537878787875</v>
      </c>
      <c r="V1010" s="29">
        <f t="shared" si="398"/>
        <v>296.04166666666663</v>
      </c>
      <c r="W1010" s="29">
        <f t="shared" si="398"/>
        <v>303.00189393939388</v>
      </c>
      <c r="X1010" s="29">
        <f t="shared" si="398"/>
        <v>309.35606060606057</v>
      </c>
      <c r="Y1010" s="29">
        <f t="shared" si="398"/>
        <v>315.10416666666663</v>
      </c>
      <c r="Z1010" s="29">
        <f t="shared" si="398"/>
        <v>320.24621212121207</v>
      </c>
      <c r="AA1010" s="29">
        <f t="shared" si="398"/>
        <v>324.78219696969694</v>
      </c>
      <c r="AB1010" s="29">
        <f t="shared" si="398"/>
        <v>328.71212121212119</v>
      </c>
      <c r="AC1010" s="29">
        <f t="shared" si="398"/>
        <v>332.03598484848482</v>
      </c>
      <c r="AD1010" s="29">
        <f t="shared" si="398"/>
        <v>334.75378787878788</v>
      </c>
      <c r="AE1010" s="29">
        <f t="shared" si="398"/>
        <v>336.86553030303031</v>
      </c>
      <c r="AF1010" s="29">
        <f t="shared" si="398"/>
        <v>338.37121212121212</v>
      </c>
      <c r="AG1010" s="29">
        <f t="shared" si="398"/>
        <v>339.27083333333331</v>
      </c>
      <c r="AH1010" s="29">
        <f t="shared" si="398"/>
        <v>339.56439393939394</v>
      </c>
    </row>
    <row r="1011" spans="1:34" s="310" customFormat="1" ht="14" x14ac:dyDescent="0.2">
      <c r="A1011" s="87"/>
      <c r="B1011" s="446"/>
      <c r="C1011" s="87"/>
      <c r="D1011" s="87"/>
      <c r="E1011" s="447"/>
      <c r="F1011" s="447"/>
      <c r="G1011" s="447"/>
      <c r="H1011" s="447"/>
      <c r="I1011" s="447"/>
      <c r="J1011" s="447"/>
      <c r="K1011" s="447"/>
      <c r="L1011" s="447"/>
      <c r="M1011" s="447"/>
      <c r="N1011" s="447"/>
      <c r="O1011" s="447"/>
      <c r="P1011" s="447"/>
      <c r="Q1011" s="447"/>
      <c r="R1011" s="447"/>
      <c r="S1011" s="447"/>
      <c r="T1011" s="447"/>
      <c r="U1011" s="447"/>
      <c r="V1011" s="447"/>
      <c r="W1011" s="447"/>
      <c r="X1011" s="447"/>
      <c r="Y1011" s="447"/>
      <c r="Z1011" s="447"/>
      <c r="AA1011" s="447"/>
      <c r="AB1011" s="447"/>
      <c r="AC1011" s="447"/>
      <c r="AD1011" s="447"/>
      <c r="AE1011" s="447"/>
      <c r="AF1011" s="447"/>
      <c r="AG1011" s="447"/>
      <c r="AH1011" s="447"/>
    </row>
    <row r="1012" spans="1:34" s="20" customFormat="1" ht="14" x14ac:dyDescent="0.2">
      <c r="A1012" s="87">
        <f>'Assumptions - Infrastructure'!E101</f>
        <v>1</v>
      </c>
      <c r="B1012" s="21" t="str">
        <f>'Assumptions - Infrastructure'!E35</f>
        <v>Others</v>
      </c>
      <c r="C1012" s="8"/>
      <c r="D1012" s="8"/>
      <c r="E1012" s="29"/>
      <c r="F1012" s="31"/>
      <c r="G1012" s="31"/>
      <c r="H1012" s="31"/>
      <c r="I1012" s="31"/>
      <c r="J1012" s="31"/>
      <c r="K1012" s="31"/>
      <c r="L1012" s="31"/>
      <c r="M1012" s="31"/>
      <c r="N1012" s="31"/>
      <c r="O1012" s="31"/>
      <c r="P1012" s="31"/>
      <c r="Q1012" s="31"/>
      <c r="R1012" s="31"/>
      <c r="S1012" s="31"/>
      <c r="T1012" s="31"/>
      <c r="U1012" s="31"/>
      <c r="V1012" s="31"/>
      <c r="W1012" s="31"/>
      <c r="X1012" s="31"/>
      <c r="Y1012" s="31"/>
      <c r="Z1012" s="31"/>
      <c r="AA1012" s="31"/>
      <c r="AB1012" s="31"/>
      <c r="AC1012" s="31"/>
      <c r="AD1012" s="31"/>
      <c r="AE1012" s="31"/>
      <c r="AF1012" s="31"/>
      <c r="AG1012" s="31"/>
      <c r="AH1012" s="31"/>
    </row>
    <row r="1013" spans="1:34" s="20" customFormat="1" ht="14" x14ac:dyDescent="0.2">
      <c r="A1013" s="87"/>
      <c r="B1013" s="14" t="str">
        <f>"Starting value "</f>
        <v xml:space="preserve">Starting value </v>
      </c>
      <c r="C1013" s="8"/>
      <c r="D1013" s="8" t="str">
        <f>'Assumptions - General'!$E$27 &amp;" millions"</f>
        <v>R$ millions</v>
      </c>
      <c r="E1013" s="29"/>
      <c r="F1013" s="31">
        <f t="shared" ref="F1013:AH1013" si="399">IF(F$19=1,E1017," ")</f>
        <v>50</v>
      </c>
      <c r="G1013" s="31">
        <f t="shared" si="399"/>
        <v>43.548387096774192</v>
      </c>
      <c r="H1013" s="31">
        <f t="shared" si="399"/>
        <v>37.258064516129032</v>
      </c>
      <c r="I1013" s="31">
        <f t="shared" si="399"/>
        <v>31.129032258064516</v>
      </c>
      <c r="J1013" s="31">
        <f t="shared" si="399"/>
        <v>25.161290322580644</v>
      </c>
      <c r="K1013" s="31">
        <f t="shared" si="399"/>
        <v>19.35483870967742</v>
      </c>
      <c r="L1013" s="31">
        <f t="shared" si="399"/>
        <v>13.70967741935484</v>
      </c>
      <c r="M1013" s="31">
        <f t="shared" si="399"/>
        <v>8.2258064516129039</v>
      </c>
      <c r="N1013" s="31">
        <f t="shared" si="399"/>
        <v>2.9032258064516134</v>
      </c>
      <c r="O1013" s="31">
        <f t="shared" si="399"/>
        <v>0</v>
      </c>
      <c r="P1013" s="31">
        <f t="shared" si="399"/>
        <v>0</v>
      </c>
      <c r="Q1013" s="31">
        <f t="shared" si="399"/>
        <v>0</v>
      </c>
      <c r="R1013" s="31">
        <f t="shared" si="399"/>
        <v>0</v>
      </c>
      <c r="S1013" s="31">
        <f t="shared" si="399"/>
        <v>0</v>
      </c>
      <c r="T1013" s="31">
        <f t="shared" si="399"/>
        <v>0</v>
      </c>
      <c r="U1013" s="31">
        <f t="shared" si="399"/>
        <v>0</v>
      </c>
      <c r="V1013" s="31">
        <f t="shared" si="399"/>
        <v>0</v>
      </c>
      <c r="W1013" s="31">
        <f t="shared" si="399"/>
        <v>0</v>
      </c>
      <c r="X1013" s="31">
        <f t="shared" si="399"/>
        <v>0</v>
      </c>
      <c r="Y1013" s="31">
        <f t="shared" si="399"/>
        <v>0</v>
      </c>
      <c r="Z1013" s="31">
        <f t="shared" si="399"/>
        <v>0</v>
      </c>
      <c r="AA1013" s="31">
        <f t="shared" si="399"/>
        <v>0</v>
      </c>
      <c r="AB1013" s="31">
        <f t="shared" si="399"/>
        <v>0</v>
      </c>
      <c r="AC1013" s="31">
        <f t="shared" si="399"/>
        <v>0</v>
      </c>
      <c r="AD1013" s="31">
        <f t="shared" si="399"/>
        <v>0</v>
      </c>
      <c r="AE1013" s="31">
        <f t="shared" si="399"/>
        <v>0</v>
      </c>
      <c r="AF1013" s="31">
        <f t="shared" si="399"/>
        <v>0</v>
      </c>
      <c r="AG1013" s="31">
        <f t="shared" si="399"/>
        <v>0</v>
      </c>
      <c r="AH1013" s="31">
        <f t="shared" si="399"/>
        <v>0</v>
      </c>
    </row>
    <row r="1014" spans="1:34" s="20" customFormat="1" ht="14" x14ac:dyDescent="0.2">
      <c r="A1014" s="87"/>
      <c r="B1014" s="30" t="s">
        <v>608</v>
      </c>
      <c r="C1014" s="8"/>
      <c r="D1014" s="8" t="str">
        <f>'Assumptions - General'!$E$27 &amp;" millions"</f>
        <v>R$ millions</v>
      </c>
      <c r="E1014" s="29"/>
      <c r="F1014" s="29">
        <f>IF(F$19=1,IF(F1013&gt;0,MIN(F1013,'Assumptions - Infrastructure'!F57),0)," ")</f>
        <v>5</v>
      </c>
      <c r="G1014" s="29">
        <f>IF(G$19=1,IF(G1013&gt;0,MIN(G1013,'Assumptions - Infrastructure'!G57),0)," ")</f>
        <v>5</v>
      </c>
      <c r="H1014" s="29">
        <f>IF(H$19=1,IF(H1013&gt;0,MIN(H1013,'Assumptions - Infrastructure'!H57),0)," ")</f>
        <v>5</v>
      </c>
      <c r="I1014" s="29">
        <f>IF(I$19=1,IF(I1013&gt;0,MIN(I1013,'Assumptions - Infrastructure'!I57),0)," ")</f>
        <v>5</v>
      </c>
      <c r="J1014" s="29">
        <f>IF(J$19=1,IF(J1013&gt;0,MIN(J1013,'Assumptions - Infrastructure'!J57),0)," ")</f>
        <v>5</v>
      </c>
      <c r="K1014" s="29">
        <f>IF(K$19=1,IF(K1013&gt;0,MIN(K1013,'Assumptions - Infrastructure'!K57),0)," ")</f>
        <v>5</v>
      </c>
      <c r="L1014" s="29">
        <f>IF(L$19=1,IF(L1013&gt;0,MIN(L1013,'Assumptions - Infrastructure'!L57),0)," ")</f>
        <v>5</v>
      </c>
      <c r="M1014" s="29">
        <f>IF(M$19=1,IF(M1013&gt;0,MIN(M1013,'Assumptions - Infrastructure'!M57),0)," ")</f>
        <v>5</v>
      </c>
      <c r="N1014" s="29">
        <f>IF(N$19=1,IF(N1013&gt;0,MIN(N1013,'Assumptions - Infrastructure'!N57),0)," ")</f>
        <v>2.9032258064516134</v>
      </c>
      <c r="O1014" s="29">
        <f>IF(O$19=1,IF(O1013&gt;0,MIN(O1013,'Assumptions - Infrastructure'!O57),0)," ")</f>
        <v>0</v>
      </c>
      <c r="P1014" s="29">
        <f>IF(P$19=1,IF(P1013&gt;0,MIN(P1013,'Assumptions - Infrastructure'!P57),0)," ")</f>
        <v>0</v>
      </c>
      <c r="Q1014" s="29">
        <f>IF(Q$19=1,IF(Q1013&gt;0,MIN(Q1013,'Assumptions - Infrastructure'!Q57),0)," ")</f>
        <v>0</v>
      </c>
      <c r="R1014" s="29">
        <f>IF(R$19=1,IF(R1013&gt;0,MIN(R1013,'Assumptions - Infrastructure'!R57),0)," ")</f>
        <v>0</v>
      </c>
      <c r="S1014" s="29">
        <f>IF(S$19=1,IF(S1013&gt;0,MIN(S1013,'Assumptions - Infrastructure'!S57),0)," ")</f>
        <v>0</v>
      </c>
      <c r="T1014" s="29">
        <f>IF(T$19=1,IF(T1013&gt;0,MIN(T1013,'Assumptions - Infrastructure'!T57),0)," ")</f>
        <v>0</v>
      </c>
      <c r="U1014" s="29">
        <f>IF(U$19=1,IF(U1013&gt;0,MIN(U1013,'Assumptions - Infrastructure'!U57),0)," ")</f>
        <v>0</v>
      </c>
      <c r="V1014" s="29">
        <f>IF(V$19=1,IF(V1013&gt;0,MIN(V1013,'Assumptions - Infrastructure'!V57),0)," ")</f>
        <v>0</v>
      </c>
      <c r="W1014" s="29">
        <f>IF(W$19=1,IF(W1013&gt;0,MIN(W1013,'Assumptions - Infrastructure'!W57),0)," ")</f>
        <v>0</v>
      </c>
      <c r="X1014" s="29">
        <f>IF(X$19=1,IF(X1013&gt;0,MIN(X1013,'Assumptions - Infrastructure'!X57),0)," ")</f>
        <v>0</v>
      </c>
      <c r="Y1014" s="29">
        <f>IF(Y$19=1,IF(Y1013&gt;0,MIN(Y1013,'Assumptions - Infrastructure'!Y57),0)," ")</f>
        <v>0</v>
      </c>
      <c r="Z1014" s="29">
        <f>IF(Z$19=1,IF(Z1013&gt;0,MIN(Z1013,'Assumptions - Infrastructure'!Z57),0)," ")</f>
        <v>0</v>
      </c>
      <c r="AA1014" s="29">
        <f>IF(AA$19=1,IF(AA1013&gt;0,MIN(AA1013,'Assumptions - Infrastructure'!AA57),0)," ")</f>
        <v>0</v>
      </c>
      <c r="AB1014" s="29">
        <f>IF(AB$19=1,IF(AB1013&gt;0,MIN(AB1013,'Assumptions - Infrastructure'!AB57),0)," ")</f>
        <v>0</v>
      </c>
      <c r="AC1014" s="29">
        <f>IF(AC$19=1,IF(AC1013&gt;0,MIN(AC1013,'Assumptions - Infrastructure'!AC57),0)," ")</f>
        <v>0</v>
      </c>
      <c r="AD1014" s="29">
        <f>IF(AD$19=1,IF(AD1013&gt;0,MIN(AD1013,'Assumptions - Infrastructure'!AD57),0)," ")</f>
        <v>0</v>
      </c>
      <c r="AE1014" s="29">
        <f>IF(AE$19=1,IF(AE1013&gt;0,MIN(AE1013,'Assumptions - Infrastructure'!AE57),0)," ")</f>
        <v>0</v>
      </c>
      <c r="AF1014" s="29">
        <f>IF(AF$19=1,IF(AF1013&gt;0,MIN(AF1013,'Assumptions - Infrastructure'!AF57),0)," ")</f>
        <v>0</v>
      </c>
      <c r="AG1014" s="29">
        <f>IF(AG$19=1,IF(AG1013&gt;0,MIN(AG1013,'Assumptions - Infrastructure'!AG57),0)," ")</f>
        <v>0</v>
      </c>
      <c r="AH1014" s="29">
        <f>IF(AH$19=1,IF(AH1013&gt;0,MIN(AH1013,'Assumptions - Infrastructure'!AH57),0)," ")</f>
        <v>0</v>
      </c>
    </row>
    <row r="1015" spans="1:34" s="20" customFormat="1" ht="14" x14ac:dyDescent="0.2">
      <c r="A1015" s="8"/>
      <c r="B1015" s="30" t="str">
        <f>IF(A1012=1,"Less depreciation of existing assets","Less depreciation of assets")</f>
        <v>Less depreciation of existing assets</v>
      </c>
      <c r="C1015" s="8"/>
      <c r="D1015" s="8" t="str">
        <f>'Assumptions - General'!$E$27 &amp;" millions"</f>
        <v>R$ millions</v>
      </c>
      <c r="E1015" s="29"/>
      <c r="F1015" s="229">
        <f>IF(F$19=1,(IF($A1012=1,IF(F1013-F1014&gt;0,(MIN((F1013-F1014),($E1017-SUM($E1014:F1014))/'Assumptions - Infrastructure'!$E103)),0),'Assumptions - Infrastructure'!F106))," ")</f>
        <v>1.4516129032258065</v>
      </c>
      <c r="G1015" s="229">
        <f>IF(G$19=1,(IF($A1012=1,IF(G1013-G1014&gt;0,(MIN((G1013-G1014),($E1017-SUM($E1014:G1014))/'Assumptions - Infrastructure'!$E103)),0),'Assumptions - Infrastructure'!G106))," ")</f>
        <v>1.2903225806451613</v>
      </c>
      <c r="H1015" s="229">
        <f>IF(H$19=1,(IF($A1012=1,IF(H1013-H1014&gt;0,(MIN((H1013-H1014),($E1017-SUM($E1014:H1014))/'Assumptions - Infrastructure'!$E103)),0),'Assumptions - Infrastructure'!H106))," ")</f>
        <v>1.1290322580645162</v>
      </c>
      <c r="I1015" s="229">
        <f>IF(I$19=1,(IF($A1012=1,IF(I1013-I1014&gt;0,(MIN((I1013-I1014),($E1017-SUM($E1014:I1014))/'Assumptions - Infrastructure'!$E103)),0),'Assumptions - Infrastructure'!I106))," ")</f>
        <v>0.967741935483871</v>
      </c>
      <c r="J1015" s="229">
        <f>IF(J$19=1,(IF($A1012=1,IF(J1013-J1014&gt;0,(MIN((J1013-J1014),($E1017-SUM($E1014:J1014))/'Assumptions - Infrastructure'!$E103)),0),'Assumptions - Infrastructure'!J106))," ")</f>
        <v>0.80645161290322576</v>
      </c>
      <c r="K1015" s="229">
        <f>IF(K$19=1,(IF($A1012=1,IF(K1013-K1014&gt;0,(MIN((K1013-K1014),($E1017-SUM($E1014:K1014))/'Assumptions - Infrastructure'!$E103)),0),'Assumptions - Infrastructure'!K106))," ")</f>
        <v>0.64516129032258063</v>
      </c>
      <c r="L1015" s="229">
        <f>IF(L$19=1,(IF($A1012=1,IF(L1013-L1014&gt;0,(MIN((L1013-L1014),($E1017-SUM($E1014:L1014))/'Assumptions - Infrastructure'!$E103)),0),'Assumptions - Infrastructure'!L106))," ")</f>
        <v>0.4838709677419355</v>
      </c>
      <c r="M1015" s="229">
        <f>IF(M$19=1,(IF($A1012=1,IF(M1013-M1014&gt;0,(MIN((M1013-M1014),($E1017-SUM($E1014:M1014))/'Assumptions - Infrastructure'!$E103)),0),'Assumptions - Infrastructure'!M106))," ")</f>
        <v>0.32258064516129031</v>
      </c>
      <c r="N1015" s="229">
        <f>IF(N$19=1,(IF($A1012=1,IF(N1013-N1014&gt;0,(MIN((N1013-N1014),($E1017-SUM($E1014:N1014))/'Assumptions - Infrastructure'!$E103)),0),'Assumptions - Infrastructure'!N106))," ")</f>
        <v>0</v>
      </c>
      <c r="O1015" s="229">
        <f>IF(O$19=1,(IF($A1012=1,IF(O1013-O1014&gt;0,(MIN((O1013-O1014),($E1017-SUM($E1014:O1014))/'Assumptions - Infrastructure'!$E103)),0),'Assumptions - Infrastructure'!O106))," ")</f>
        <v>0</v>
      </c>
      <c r="P1015" s="229">
        <f>IF(P$19=1,(IF($A1012=1,IF(P1013-P1014&gt;0,(MIN((P1013-P1014),($E1017-SUM($E1014:P1014))/'Assumptions - Infrastructure'!$E103)),0),'Assumptions - Infrastructure'!P106))," ")</f>
        <v>0</v>
      </c>
      <c r="Q1015" s="229">
        <f>IF(Q$19=1,(IF($A1012=1,IF(Q1013-Q1014&gt;0,(MIN((Q1013-Q1014),($E1017-SUM($E1014:Q1014))/'Assumptions - Infrastructure'!$E103)),0),'Assumptions - Infrastructure'!Q106))," ")</f>
        <v>0</v>
      </c>
      <c r="R1015" s="229">
        <f>IF(R$19=1,(IF($A1012=1,IF(R1013-R1014&gt;0,(MIN((R1013-R1014),($E1017-SUM($E1014:R1014))/'Assumptions - Infrastructure'!$E103)),0),'Assumptions - Infrastructure'!R106))," ")</f>
        <v>0</v>
      </c>
      <c r="S1015" s="229">
        <f>IF(S$19=1,(IF($A1012=1,IF(S1013-S1014&gt;0,(MIN((S1013-S1014),($E1017-SUM($E1014:S1014))/'Assumptions - Infrastructure'!$E103)),0),'Assumptions - Infrastructure'!S106))," ")</f>
        <v>0</v>
      </c>
      <c r="T1015" s="229">
        <f>IF(T$19=1,(IF($A1012=1,IF(T1013-T1014&gt;0,(MIN((T1013-T1014),($E1017-SUM($E1014:T1014))/'Assumptions - Infrastructure'!$E103)),0),'Assumptions - Infrastructure'!T106))," ")</f>
        <v>0</v>
      </c>
      <c r="U1015" s="229">
        <f>IF(U$19=1,(IF($A1012=1,IF(U1013-U1014&gt;0,(MIN((U1013-U1014),($E1017-SUM($E1014:U1014))/'Assumptions - Infrastructure'!$E103)),0),'Assumptions - Infrastructure'!U106))," ")</f>
        <v>0</v>
      </c>
      <c r="V1015" s="229">
        <f>IF(V$19=1,(IF($A1012=1,IF(V1013-V1014&gt;0,(MIN((V1013-V1014),($E1017-SUM($E1014:V1014))/'Assumptions - Infrastructure'!$E103)),0),'Assumptions - Infrastructure'!V106))," ")</f>
        <v>0</v>
      </c>
      <c r="W1015" s="229">
        <f>IF(W$19=1,(IF($A1012=1,IF(W1013-W1014&gt;0,(MIN((W1013-W1014),($E1017-SUM($E1014:W1014))/'Assumptions - Infrastructure'!$E103)),0),'Assumptions - Infrastructure'!W106))," ")</f>
        <v>0</v>
      </c>
      <c r="X1015" s="229">
        <f>IF(X$19=1,(IF($A1012=1,IF(X1013-X1014&gt;0,(MIN((X1013-X1014),($E1017-SUM($E1014:X1014))/'Assumptions - Infrastructure'!$E103)),0),'Assumptions - Infrastructure'!X106))," ")</f>
        <v>0</v>
      </c>
      <c r="Y1015" s="229">
        <f>IF(Y$19=1,(IF($A1012=1,IF(Y1013-Y1014&gt;0,(MIN((Y1013-Y1014),($E1017-SUM($E1014:Y1014))/'Assumptions - Infrastructure'!$E103)),0),'Assumptions - Infrastructure'!Y106))," ")</f>
        <v>0</v>
      </c>
      <c r="Z1015" s="229">
        <f>IF(Z$19=1,(IF($A1012=1,IF(Z1013-Z1014&gt;0,(MIN((Z1013-Z1014),($E1017-SUM($E1014:Z1014))/'Assumptions - Infrastructure'!$E103)),0),'Assumptions - Infrastructure'!Z106))," ")</f>
        <v>0</v>
      </c>
      <c r="AA1015" s="229">
        <f>IF(AA$19=1,(IF($A1012=1,IF(AA1013-AA1014&gt;0,(MIN((AA1013-AA1014),($E1017-SUM($E1014:AA1014))/'Assumptions - Infrastructure'!$E103)),0),'Assumptions - Infrastructure'!AA106))," ")</f>
        <v>0</v>
      </c>
      <c r="AB1015" s="229">
        <f>IF(AB$19=1,(IF($A1012=1,IF(AB1013-AB1014&gt;0,(MIN((AB1013-AB1014),($E1017-SUM($E1014:AB1014))/'Assumptions - Infrastructure'!$E103)),0),'Assumptions - Infrastructure'!AB106))," ")</f>
        <v>0</v>
      </c>
      <c r="AC1015" s="229">
        <f>IF(AC$19=1,(IF($A1012=1,IF(AC1013-AC1014&gt;0,(MIN((AC1013-AC1014),($E1017-SUM($E1014:AC1014))/'Assumptions - Infrastructure'!$E103)),0),'Assumptions - Infrastructure'!AC106))," ")</f>
        <v>0</v>
      </c>
      <c r="AD1015" s="229">
        <f>IF(AD$19=1,(IF($A1012=1,IF(AD1013-AD1014&gt;0,(MIN((AD1013-AD1014),($E1017-SUM($E1014:AD1014))/'Assumptions - Infrastructure'!$E103)),0),'Assumptions - Infrastructure'!AD106))," ")</f>
        <v>0</v>
      </c>
      <c r="AE1015" s="229">
        <f>IF(AE$19=1,(IF($A1012=1,IF(AE1013-AE1014&gt;0,(MIN((AE1013-AE1014),($E1017-SUM($E1014:AE1014))/'Assumptions - Infrastructure'!$E103)),0),'Assumptions - Infrastructure'!AE106))," ")</f>
        <v>0</v>
      </c>
      <c r="AF1015" s="229">
        <f>IF(AF$19=1,(IF($A1012=1,IF(AF1013-AF1014&gt;0,(MIN((AF1013-AF1014),($E1017-SUM($E1014:AF1014))/'Assumptions - Infrastructure'!$E103)),0),'Assumptions - Infrastructure'!AF106))," ")</f>
        <v>0</v>
      </c>
      <c r="AG1015" s="229">
        <f>IF(AG$19=1,(IF($A1012=1,IF(AG1013-AG1014&gt;0,(MIN((AG1013-AG1014),($E1017-SUM($E1014:AG1014))/'Assumptions - Infrastructure'!$E103)),0),'Assumptions - Infrastructure'!AG106))," ")</f>
        <v>0</v>
      </c>
      <c r="AH1015" s="229">
        <f>IF(AH$19=1,(IF($A1012=1,IF(AH1013-AH1014&gt;0,(MIN((AH1013-AH1014),($E1017-SUM($E1014:AH1014))/'Assumptions - Infrastructure'!$E103)),0),'Assumptions - Infrastructure'!AH106))," ")</f>
        <v>0</v>
      </c>
    </row>
    <row r="1016" spans="1:34" s="20" customFormat="1" ht="14" x14ac:dyDescent="0.2">
      <c r="A1016" s="8"/>
      <c r="B1016" s="30" t="str">
        <f>IF(A1012=1,"Accumulated depreciation of existing assets","Accumulated depreciation of assets")</f>
        <v>Accumulated depreciation of existing assets</v>
      </c>
      <c r="C1016" s="8"/>
      <c r="D1016" s="8" t="str">
        <f>'Assumptions - General'!$E$27 &amp;" millions"</f>
        <v>R$ millions</v>
      </c>
      <c r="E1016" s="29"/>
      <c r="F1016" s="29">
        <f>IF(F$19=1,SUM($E1015:F1015)," ")</f>
        <v>1.4516129032258065</v>
      </c>
      <c r="G1016" s="29">
        <f>IF(G$19=1,SUM($E1015:G1015)," ")</f>
        <v>2.741935483870968</v>
      </c>
      <c r="H1016" s="29">
        <f>IF(H$19=1,SUM($E1015:H1015)," ")</f>
        <v>3.870967741935484</v>
      </c>
      <c r="I1016" s="29">
        <f>IF(I$19=1,SUM($E1015:I1015)," ")</f>
        <v>4.838709677419355</v>
      </c>
      <c r="J1016" s="29">
        <f>IF(J$19=1,SUM($E1015:J1015)," ")</f>
        <v>5.645161290322581</v>
      </c>
      <c r="K1016" s="29">
        <f>IF(K$19=1,SUM($E1015:K1015)," ")</f>
        <v>6.2903225806451619</v>
      </c>
      <c r="L1016" s="29">
        <f>IF(L$19=1,SUM($E1015:L1015)," ")</f>
        <v>6.7741935483870979</v>
      </c>
      <c r="M1016" s="29">
        <f>IF(M$19=1,SUM($E1015:M1015)," ")</f>
        <v>7.0967741935483879</v>
      </c>
      <c r="N1016" s="29">
        <f>IF(N$19=1,SUM($E1015:N1015)," ")</f>
        <v>7.0967741935483879</v>
      </c>
      <c r="O1016" s="29">
        <f>IF(O$19=1,SUM($E1015:O1015)," ")</f>
        <v>7.0967741935483879</v>
      </c>
      <c r="P1016" s="29">
        <f>IF(P$19=1,SUM($E1015:P1015)," ")</f>
        <v>7.0967741935483879</v>
      </c>
      <c r="Q1016" s="29">
        <f>IF(Q$19=1,SUM($E1015:Q1015)," ")</f>
        <v>7.0967741935483879</v>
      </c>
      <c r="R1016" s="29">
        <f>IF(R$19=1,SUM($E1015:R1015)," ")</f>
        <v>7.0967741935483879</v>
      </c>
      <c r="S1016" s="29">
        <f>IF(S$19=1,SUM($E1015:S1015)," ")</f>
        <v>7.0967741935483879</v>
      </c>
      <c r="T1016" s="29">
        <f>IF(T$19=1,SUM($E1015:T1015)," ")</f>
        <v>7.0967741935483879</v>
      </c>
      <c r="U1016" s="29">
        <f>IF(U$19=1,SUM($E1015:U1015)," ")</f>
        <v>7.0967741935483879</v>
      </c>
      <c r="V1016" s="29">
        <f>IF(V$19=1,SUM($E1015:V1015)," ")</f>
        <v>7.0967741935483879</v>
      </c>
      <c r="W1016" s="29">
        <f>IF(W$19=1,SUM($E1015:W1015)," ")</f>
        <v>7.0967741935483879</v>
      </c>
      <c r="X1016" s="29">
        <f>IF(X$19=1,SUM($E1015:X1015)," ")</f>
        <v>7.0967741935483879</v>
      </c>
      <c r="Y1016" s="29">
        <f>IF(Y$19=1,SUM($E1015:Y1015)," ")</f>
        <v>7.0967741935483879</v>
      </c>
      <c r="Z1016" s="29">
        <f>IF(Z$19=1,SUM($E1015:Z1015)," ")</f>
        <v>7.0967741935483879</v>
      </c>
      <c r="AA1016" s="29">
        <f>IF(AA$19=1,SUM($E1015:AA1015)," ")</f>
        <v>7.0967741935483879</v>
      </c>
      <c r="AB1016" s="29">
        <f>IF(AB$19=1,SUM($E1015:AB1015)," ")</f>
        <v>7.0967741935483879</v>
      </c>
      <c r="AC1016" s="29">
        <f>IF(AC$19=1,SUM($E1015:AC1015)," ")</f>
        <v>7.0967741935483879</v>
      </c>
      <c r="AD1016" s="29">
        <f>IF(AD$19=1,SUM($E1015:AD1015)," ")</f>
        <v>7.0967741935483879</v>
      </c>
      <c r="AE1016" s="29">
        <f>IF(AE$19=1,SUM($E1015:AE1015)," ")</f>
        <v>7.0967741935483879</v>
      </c>
      <c r="AF1016" s="29">
        <f>IF(AF$19=1,SUM($E1015:AF1015)," ")</f>
        <v>7.0967741935483879</v>
      </c>
      <c r="AG1016" s="29">
        <f>IF(AG$19=1,SUM($E1015:AG1015)," ")</f>
        <v>7.0967741935483879</v>
      </c>
      <c r="AH1016" s="29">
        <f>IF(AH$19=1,SUM($E1015:AH1015)," ")</f>
        <v>7.0967741935483879</v>
      </c>
    </row>
    <row r="1017" spans="1:34" s="20" customFormat="1" ht="14" x14ac:dyDescent="0.2">
      <c r="A1017" s="8"/>
      <c r="B1017" s="14" t="str">
        <f>"Ending value "</f>
        <v xml:space="preserve">Ending value </v>
      </c>
      <c r="C1017" s="8"/>
      <c r="D1017" s="8" t="str">
        <f>'Assumptions - General'!$E$27 &amp;" millions"</f>
        <v>R$ millions</v>
      </c>
      <c r="E1017" s="470">
        <f>IF(E$19=1,'Assumptions - Infrastructure'!E42," ")</f>
        <v>50</v>
      </c>
      <c r="F1017" s="29">
        <f>IF(F$19=1,F1013-F1014-F1015," ")</f>
        <v>43.548387096774192</v>
      </c>
      <c r="G1017" s="29">
        <f t="shared" ref="G1017:AH1017" si="400">IF(G$19=1,G1013-G1014-G1015," ")</f>
        <v>37.258064516129032</v>
      </c>
      <c r="H1017" s="29">
        <f t="shared" si="400"/>
        <v>31.129032258064516</v>
      </c>
      <c r="I1017" s="29">
        <f t="shared" si="400"/>
        <v>25.161290322580644</v>
      </c>
      <c r="J1017" s="29">
        <f t="shared" si="400"/>
        <v>19.35483870967742</v>
      </c>
      <c r="K1017" s="29">
        <f t="shared" si="400"/>
        <v>13.70967741935484</v>
      </c>
      <c r="L1017" s="29">
        <f t="shared" si="400"/>
        <v>8.2258064516129039</v>
      </c>
      <c r="M1017" s="29">
        <f t="shared" si="400"/>
        <v>2.9032258064516134</v>
      </c>
      <c r="N1017" s="29">
        <f t="shared" si="400"/>
        <v>0</v>
      </c>
      <c r="O1017" s="29">
        <f t="shared" si="400"/>
        <v>0</v>
      </c>
      <c r="P1017" s="29">
        <f t="shared" si="400"/>
        <v>0</v>
      </c>
      <c r="Q1017" s="29">
        <f t="shared" si="400"/>
        <v>0</v>
      </c>
      <c r="R1017" s="29">
        <f t="shared" si="400"/>
        <v>0</v>
      </c>
      <c r="S1017" s="29">
        <f t="shared" si="400"/>
        <v>0</v>
      </c>
      <c r="T1017" s="29">
        <f t="shared" si="400"/>
        <v>0</v>
      </c>
      <c r="U1017" s="29">
        <f t="shared" si="400"/>
        <v>0</v>
      </c>
      <c r="V1017" s="29">
        <f t="shared" si="400"/>
        <v>0</v>
      </c>
      <c r="W1017" s="29">
        <f t="shared" si="400"/>
        <v>0</v>
      </c>
      <c r="X1017" s="29">
        <f t="shared" si="400"/>
        <v>0</v>
      </c>
      <c r="Y1017" s="29">
        <f t="shared" si="400"/>
        <v>0</v>
      </c>
      <c r="Z1017" s="29">
        <f t="shared" si="400"/>
        <v>0</v>
      </c>
      <c r="AA1017" s="29">
        <f t="shared" si="400"/>
        <v>0</v>
      </c>
      <c r="AB1017" s="29">
        <f t="shared" si="400"/>
        <v>0</v>
      </c>
      <c r="AC1017" s="29">
        <f t="shared" si="400"/>
        <v>0</v>
      </c>
      <c r="AD1017" s="29">
        <f t="shared" si="400"/>
        <v>0</v>
      </c>
      <c r="AE1017" s="29">
        <f t="shared" si="400"/>
        <v>0</v>
      </c>
      <c r="AF1017" s="29">
        <f t="shared" si="400"/>
        <v>0</v>
      </c>
      <c r="AG1017" s="29">
        <f t="shared" si="400"/>
        <v>0</v>
      </c>
      <c r="AH1017" s="29">
        <f t="shared" si="400"/>
        <v>0</v>
      </c>
    </row>
    <row r="1018" spans="1:34" s="20" customFormat="1" ht="14" x14ac:dyDescent="0.2">
      <c r="A1018" s="87"/>
      <c r="B1018" s="14"/>
      <c r="C1018" s="8"/>
      <c r="D1018" s="8"/>
      <c r="E1018" s="29"/>
      <c r="F1018" s="29"/>
      <c r="G1018" s="29"/>
      <c r="H1018" s="29"/>
      <c r="I1018" s="29"/>
      <c r="J1018" s="29"/>
      <c r="K1018" s="29"/>
      <c r="L1018" s="29"/>
      <c r="M1018" s="29"/>
      <c r="N1018" s="29"/>
      <c r="O1018" s="29"/>
      <c r="P1018" s="29"/>
      <c r="Q1018" s="29"/>
      <c r="R1018" s="29"/>
      <c r="S1018" s="29"/>
      <c r="T1018" s="29"/>
      <c r="U1018" s="29"/>
      <c r="V1018" s="29"/>
      <c r="W1018" s="29"/>
      <c r="X1018" s="29"/>
      <c r="Y1018" s="29"/>
      <c r="Z1018" s="29"/>
      <c r="AA1018" s="29"/>
      <c r="AB1018" s="29"/>
      <c r="AC1018" s="29"/>
      <c r="AD1018" s="29"/>
      <c r="AE1018" s="29"/>
      <c r="AF1018" s="29"/>
      <c r="AG1018" s="29"/>
      <c r="AH1018" s="29"/>
    </row>
    <row r="1019" spans="1:34" s="20" customFormat="1" ht="14" x14ac:dyDescent="0.2">
      <c r="A1019" s="87"/>
      <c r="B1019" s="14" t="s">
        <v>634</v>
      </c>
      <c r="C1019" s="8"/>
      <c r="D1019" s="8" t="str">
        <f>'Assumptions - General'!$E$27 &amp;" millions"</f>
        <v>R$ millions</v>
      </c>
      <c r="E1019" s="29"/>
      <c r="F1019" s="29">
        <f>IF(F$19=1,E1024," ")</f>
        <v>0</v>
      </c>
      <c r="G1019" s="29">
        <f t="shared" ref="G1019:AH1019" si="401">IF(G$19=1,F1024," ")</f>
        <v>25</v>
      </c>
      <c r="H1019" s="29">
        <f t="shared" si="401"/>
        <v>48.913043478260867</v>
      </c>
      <c r="I1019" s="29">
        <f t="shared" si="401"/>
        <v>72.282608695652172</v>
      </c>
      <c r="J1019" s="29">
        <f t="shared" si="401"/>
        <v>95.108695652173907</v>
      </c>
      <c r="K1019" s="29">
        <f t="shared" si="401"/>
        <v>117.39130434782608</v>
      </c>
      <c r="L1019" s="29">
        <f t="shared" si="401"/>
        <v>139.13043478260866</v>
      </c>
      <c r="M1019" s="29">
        <f t="shared" si="401"/>
        <v>160.32608695652169</v>
      </c>
      <c r="N1019" s="29">
        <f t="shared" si="401"/>
        <v>180.97826086956516</v>
      </c>
      <c r="O1019" s="29">
        <f t="shared" si="401"/>
        <v>199.03576437587651</v>
      </c>
      <c r="P1019" s="29">
        <f t="shared" si="401"/>
        <v>213.75525946704062</v>
      </c>
      <c r="Q1019" s="29">
        <f t="shared" si="401"/>
        <v>232.93127629733516</v>
      </c>
      <c r="R1019" s="29">
        <f t="shared" si="401"/>
        <v>251.56381486676011</v>
      </c>
      <c r="S1019" s="29">
        <f t="shared" si="401"/>
        <v>269.65287517531556</v>
      </c>
      <c r="T1019" s="29">
        <f t="shared" si="401"/>
        <v>287.19845722300141</v>
      </c>
      <c r="U1019" s="29">
        <f t="shared" si="401"/>
        <v>304.2005610098177</v>
      </c>
      <c r="V1019" s="29">
        <f t="shared" si="401"/>
        <v>320.65918653576443</v>
      </c>
      <c r="W1019" s="29">
        <f t="shared" si="401"/>
        <v>336.5743338008416</v>
      </c>
      <c r="X1019" s="29">
        <f t="shared" si="401"/>
        <v>351.94600280504915</v>
      </c>
      <c r="Y1019" s="29">
        <f t="shared" si="401"/>
        <v>366.77419354838713</v>
      </c>
      <c r="Z1019" s="29">
        <f t="shared" si="401"/>
        <v>381.05890603085555</v>
      </c>
      <c r="AA1019" s="29">
        <f t="shared" si="401"/>
        <v>394.80014025245441</v>
      </c>
      <c r="AB1019" s="29">
        <f t="shared" si="401"/>
        <v>407.99789621318371</v>
      </c>
      <c r="AC1019" s="29">
        <f t="shared" si="401"/>
        <v>420.65217391304344</v>
      </c>
      <c r="AD1019" s="29">
        <f t="shared" si="401"/>
        <v>432.76297335203361</v>
      </c>
      <c r="AE1019" s="29">
        <f t="shared" si="401"/>
        <v>444.33029453015422</v>
      </c>
      <c r="AF1019" s="29">
        <f t="shared" si="401"/>
        <v>455.35413744740526</v>
      </c>
      <c r="AG1019" s="29">
        <f t="shared" si="401"/>
        <v>465.83450210378675</v>
      </c>
      <c r="AH1019" s="29">
        <f t="shared" si="401"/>
        <v>475.77138849929867</v>
      </c>
    </row>
    <row r="1020" spans="1:34" s="20" customFormat="1" ht="14" x14ac:dyDescent="0.2">
      <c r="A1020" s="87"/>
      <c r="B1020" s="30" t="s">
        <v>130</v>
      </c>
      <c r="C1020" s="8"/>
      <c r="D1020" s="8" t="str">
        <f>'Assumptions - General'!$E$27 &amp;" millions"</f>
        <v>R$ millions</v>
      </c>
      <c r="E1020" s="29"/>
      <c r="F1020" s="29">
        <f>IF(F$19=1,IF($D$928=1,$D$929*'Assumptions - Infrastructure'!F49,'Assumptions - Infrastructure'!F49)," ")</f>
        <v>25</v>
      </c>
      <c r="G1020" s="29">
        <f>IF(G$19=1,IF($D$928=1,$D$929*'Assumptions - Infrastructure'!G49,'Assumptions - Infrastructure'!G49)," ")</f>
        <v>25</v>
      </c>
      <c r="H1020" s="29">
        <f>IF(H$19=1,IF($D$928=1,$D$929*'Assumptions - Infrastructure'!H49,'Assumptions - Infrastructure'!H49)," ")</f>
        <v>25</v>
      </c>
      <c r="I1020" s="29">
        <f>IF(I$19=1,IF($D$928=1,$D$929*'Assumptions - Infrastructure'!I49,'Assumptions - Infrastructure'!I49)," ")</f>
        <v>25</v>
      </c>
      <c r="J1020" s="29">
        <f>IF(J$19=1,IF($D$928=1,$D$929*'Assumptions - Infrastructure'!J49,'Assumptions - Infrastructure'!J49)," ")</f>
        <v>25</v>
      </c>
      <c r="K1020" s="29">
        <f>IF(K$19=1,IF($D$928=1,$D$929*'Assumptions - Infrastructure'!K49,'Assumptions - Infrastructure'!K49)," ")</f>
        <v>25</v>
      </c>
      <c r="L1020" s="29">
        <f>IF(L$19=1,IF($D$928=1,$D$929*'Assumptions - Infrastructure'!L49,'Assumptions - Infrastructure'!L49)," ")</f>
        <v>25</v>
      </c>
      <c r="M1020" s="29">
        <f>IF(M$19=1,IF($D$928=1,$D$929*'Assumptions - Infrastructure'!M49,'Assumptions - Infrastructure'!M49)," ")</f>
        <v>25</v>
      </c>
      <c r="N1020" s="29">
        <f>IF(N$19=1,IF($D$928=1,$D$929*'Assumptions - Infrastructure'!N49,'Assumptions - Infrastructure'!N49)," ")</f>
        <v>25</v>
      </c>
      <c r="O1020" s="29">
        <f>IF(O$19=1,IF($D$928=1,$D$929*'Assumptions - Infrastructure'!O49,'Assumptions - Infrastructure'!O49)," ")</f>
        <v>25</v>
      </c>
      <c r="P1020" s="29">
        <f>IF(P$19=1,IF($D$928=1,$D$929*'Assumptions - Infrastructure'!P49,'Assumptions - Infrastructure'!P49)," ")</f>
        <v>25</v>
      </c>
      <c r="Q1020" s="29">
        <f>IF(Q$19=1,IF($D$928=1,$D$929*'Assumptions - Infrastructure'!Q49,'Assumptions - Infrastructure'!Q49)," ")</f>
        <v>25</v>
      </c>
      <c r="R1020" s="29">
        <f>IF(R$19=1,IF($D$928=1,$D$929*'Assumptions - Infrastructure'!R49,'Assumptions - Infrastructure'!R49)," ")</f>
        <v>25</v>
      </c>
      <c r="S1020" s="29">
        <f>IF(S$19=1,IF($D$928=1,$D$929*'Assumptions - Infrastructure'!S49,'Assumptions - Infrastructure'!S49)," ")</f>
        <v>25</v>
      </c>
      <c r="T1020" s="29">
        <f>IF(T$19=1,IF($D$928=1,$D$929*'Assumptions - Infrastructure'!T49,'Assumptions - Infrastructure'!T49)," ")</f>
        <v>25</v>
      </c>
      <c r="U1020" s="29">
        <f>IF(U$19=1,IF($D$928=1,$D$929*'Assumptions - Infrastructure'!U49,'Assumptions - Infrastructure'!U49)," ")</f>
        <v>25</v>
      </c>
      <c r="V1020" s="29">
        <f>IF(V$19=1,IF($D$928=1,$D$929*'Assumptions - Infrastructure'!V49,'Assumptions - Infrastructure'!V49)," ")</f>
        <v>25</v>
      </c>
      <c r="W1020" s="29">
        <f>IF(W$19=1,IF($D$928=1,$D$929*'Assumptions - Infrastructure'!W49,'Assumptions - Infrastructure'!W49)," ")</f>
        <v>25</v>
      </c>
      <c r="X1020" s="29">
        <f>IF(X$19=1,IF($D$928=1,$D$929*'Assumptions - Infrastructure'!X49,'Assumptions - Infrastructure'!X49)," ")</f>
        <v>25</v>
      </c>
      <c r="Y1020" s="29">
        <f>IF(Y$19=1,IF($D$928=1,$D$929*'Assumptions - Infrastructure'!Y49,'Assumptions - Infrastructure'!Y49)," ")</f>
        <v>25</v>
      </c>
      <c r="Z1020" s="29">
        <f>IF(Z$19=1,IF($D$928=1,$D$929*'Assumptions - Infrastructure'!Z49,'Assumptions - Infrastructure'!Z49)," ")</f>
        <v>25</v>
      </c>
      <c r="AA1020" s="29">
        <f>IF(AA$19=1,IF($D$928=1,$D$929*'Assumptions - Infrastructure'!AA49,'Assumptions - Infrastructure'!AA49)," ")</f>
        <v>25</v>
      </c>
      <c r="AB1020" s="29">
        <f>IF(AB$19=1,IF($D$928=1,$D$929*'Assumptions - Infrastructure'!AB49,'Assumptions - Infrastructure'!AB49)," ")</f>
        <v>25</v>
      </c>
      <c r="AC1020" s="29">
        <f>IF(AC$19=1,IF($D$928=1,$D$929*'Assumptions - Infrastructure'!AC49,'Assumptions - Infrastructure'!AC49)," ")</f>
        <v>25</v>
      </c>
      <c r="AD1020" s="29">
        <f>IF(AD$19=1,IF($D$928=1,$D$929*'Assumptions - Infrastructure'!AD49,'Assumptions - Infrastructure'!AD49)," ")</f>
        <v>25</v>
      </c>
      <c r="AE1020" s="29">
        <f>IF(AE$19=1,IF($D$928=1,$D$929*'Assumptions - Infrastructure'!AE49,'Assumptions - Infrastructure'!AE49)," ")</f>
        <v>25</v>
      </c>
      <c r="AF1020" s="29">
        <f>IF(AF$19=1,IF($D$928=1,$D$929*'Assumptions - Infrastructure'!AF49,'Assumptions - Infrastructure'!AF49)," ")</f>
        <v>25</v>
      </c>
      <c r="AG1020" s="29">
        <f>IF(AG$19=1,IF($D$928=1,$D$929*'Assumptions - Infrastructure'!AG49,'Assumptions - Infrastructure'!AG49)," ")</f>
        <v>25</v>
      </c>
      <c r="AH1020" s="29">
        <f>IF(AH$19=1,IF($D$928=1,$D$929*'Assumptions - Infrastructure'!AH49,'Assumptions - Infrastructure'!AH49)," ")</f>
        <v>25</v>
      </c>
    </row>
    <row r="1021" spans="1:34" s="20" customFormat="1" ht="14" x14ac:dyDescent="0.2">
      <c r="A1021" s="87"/>
      <c r="B1021" s="30" t="s">
        <v>608</v>
      </c>
      <c r="C1021" s="8"/>
      <c r="D1021" s="8" t="str">
        <f>'Assumptions - General'!$E$27 &amp;" millions"</f>
        <v>R$ millions</v>
      </c>
      <c r="E1021" s="29"/>
      <c r="F1021" s="29">
        <f>IF(F$19=1,'Assumptions - Infrastructure'!F57-Calculations!F1014," ")</f>
        <v>0</v>
      </c>
      <c r="G1021" s="29">
        <f>IF(G$19=1,'Assumptions - Infrastructure'!G57-Calculations!G1014," ")</f>
        <v>0</v>
      </c>
      <c r="H1021" s="29">
        <f>IF(H$19=1,'Assumptions - Infrastructure'!H57-Calculations!H1014," ")</f>
        <v>0</v>
      </c>
      <c r="I1021" s="29">
        <f>IF(I$19=1,'Assumptions - Infrastructure'!I57-Calculations!I1014," ")</f>
        <v>0</v>
      </c>
      <c r="J1021" s="29">
        <f>IF(J$19=1,'Assumptions - Infrastructure'!J57-Calculations!J1014," ")</f>
        <v>0</v>
      </c>
      <c r="K1021" s="29">
        <f>IF(K$19=1,'Assumptions - Infrastructure'!K57-Calculations!K1014," ")</f>
        <v>0</v>
      </c>
      <c r="L1021" s="29">
        <f>IF(L$19=1,'Assumptions - Infrastructure'!L57-Calculations!L1014," ")</f>
        <v>0</v>
      </c>
      <c r="M1021" s="29">
        <f>IF(M$19=1,'Assumptions - Infrastructure'!M57-Calculations!M1014," ")</f>
        <v>0</v>
      </c>
      <c r="N1021" s="29">
        <f>IF(N$19=1,'Assumptions - Infrastructure'!N57-Calculations!N1014," ")</f>
        <v>2.0967741935483866</v>
      </c>
      <c r="O1021" s="29">
        <f>IF(O$19=1,'Assumptions - Infrastructure'!O57-Calculations!O1014," ")</f>
        <v>5</v>
      </c>
      <c r="P1021" s="29">
        <f>IF(P$19=1,'Assumptions - Infrastructure'!P57-Calculations!P1014," ")</f>
        <v>0</v>
      </c>
      <c r="Q1021" s="29">
        <f>IF(Q$19=1,'Assumptions - Infrastructure'!Q57-Calculations!Q1014," ")</f>
        <v>0</v>
      </c>
      <c r="R1021" s="29">
        <f>IF(R$19=1,'Assumptions - Infrastructure'!R57-Calculations!R1014," ")</f>
        <v>0</v>
      </c>
      <c r="S1021" s="29">
        <f>IF(S$19=1,'Assumptions - Infrastructure'!S57-Calculations!S1014," ")</f>
        <v>0</v>
      </c>
      <c r="T1021" s="29">
        <f>IF(T$19=1,'Assumptions - Infrastructure'!T57-Calculations!T1014," ")</f>
        <v>0</v>
      </c>
      <c r="U1021" s="29">
        <f>IF(U$19=1,'Assumptions - Infrastructure'!U57-Calculations!U1014," ")</f>
        <v>0</v>
      </c>
      <c r="V1021" s="29">
        <f>IF(V$19=1,'Assumptions - Infrastructure'!V57-Calculations!V1014," ")</f>
        <v>0</v>
      </c>
      <c r="W1021" s="29">
        <f>IF(W$19=1,'Assumptions - Infrastructure'!W57-Calculations!W1014," ")</f>
        <v>0</v>
      </c>
      <c r="X1021" s="29">
        <f>IF(X$19=1,'Assumptions - Infrastructure'!X57-Calculations!X1014," ")</f>
        <v>0</v>
      </c>
      <c r="Y1021" s="29">
        <f>IF(Y$19=1,'Assumptions - Infrastructure'!Y57-Calculations!Y1014," ")</f>
        <v>0</v>
      </c>
      <c r="Z1021" s="29">
        <f>IF(Z$19=1,'Assumptions - Infrastructure'!Z57-Calculations!Z1014," ")</f>
        <v>0</v>
      </c>
      <c r="AA1021" s="29">
        <f>IF(AA$19=1,'Assumptions - Infrastructure'!AA57-Calculations!AA1014," ")</f>
        <v>0</v>
      </c>
      <c r="AB1021" s="29">
        <f>IF(AB$19=1,'Assumptions - Infrastructure'!AB57-Calculations!AB1014," ")</f>
        <v>0</v>
      </c>
      <c r="AC1021" s="29">
        <f>IF(AC$19=1,'Assumptions - Infrastructure'!AC57-Calculations!AC1014," ")</f>
        <v>0</v>
      </c>
      <c r="AD1021" s="29">
        <f>IF(AD$19=1,'Assumptions - Infrastructure'!AD57-Calculations!AD1014," ")</f>
        <v>0</v>
      </c>
      <c r="AE1021" s="29">
        <f>IF(AE$19=1,'Assumptions - Infrastructure'!AE57-Calculations!AE1014," ")</f>
        <v>0</v>
      </c>
      <c r="AF1021" s="29">
        <f>IF(AF$19=1,'Assumptions - Infrastructure'!AF57-Calculations!AF1014," ")</f>
        <v>0</v>
      </c>
      <c r="AG1021" s="29">
        <f>IF(AG$19=1,'Assumptions - Infrastructure'!AG57-Calculations!AG1014," ")</f>
        <v>0</v>
      </c>
      <c r="AH1021" s="29">
        <f>IF(AH$19=1,'Assumptions - Infrastructure'!AH57-Calculations!AH1014," ")</f>
        <v>0</v>
      </c>
    </row>
    <row r="1022" spans="1:34" s="20" customFormat="1" ht="14" x14ac:dyDescent="0.2">
      <c r="A1022" s="87"/>
      <c r="B1022" s="30" t="s">
        <v>635</v>
      </c>
      <c r="C1022" s="8"/>
      <c r="D1022" s="8" t="str">
        <f>'Assumptions - General'!$E$27 &amp;" millions"</f>
        <v>R$ millions</v>
      </c>
      <c r="E1022" s="29"/>
      <c r="F1022" s="29">
        <f>IF(F$19=1,(IF($A$1012=1,IF(F1019-F1021&gt;0,(MIN((F1019-F1021),(SUM($E1020:F1020)-SUM($E1021:F1021))/'Assumptions - Infrastructure'!$E105)),0),0))," ")</f>
        <v>0</v>
      </c>
      <c r="G1022" s="29">
        <f>IF(G$19=1,(IF($A$1012=1,IF(G1019-G1021&gt;0,(MIN((G1019-G1021),(SUM($E1020:G1020)-SUM($E1021:G1021))/'Assumptions - Infrastructure'!$E105)),0),0))," ")</f>
        <v>1.0869565217391304</v>
      </c>
      <c r="H1022" s="29">
        <f>IF(H$19=1,(IF($A$1012=1,IF(H1019-H1021&gt;0,(MIN((H1019-H1021),(SUM($E1020:H1020)-SUM($E1021:H1021))/'Assumptions - Infrastructure'!$E105)),0),0))," ")</f>
        <v>1.6304347826086956</v>
      </c>
      <c r="I1022" s="29">
        <f>IF(I$19=1,(IF($A$1012=1,IF(I1019-I1021&gt;0,(MIN((I1019-I1021),(SUM($E1020:I1020)-SUM($E1021:I1021))/'Assumptions - Infrastructure'!$E105)),0),0))," ")</f>
        <v>2.1739130434782608</v>
      </c>
      <c r="J1022" s="29">
        <f>IF(J$19=1,(IF($A$1012=1,IF(J1019-J1021&gt;0,(MIN((J1019-J1021),(SUM($E1020:J1020)-SUM($E1021:J1021))/'Assumptions - Infrastructure'!$E105)),0),0))," ")</f>
        <v>2.7173913043478262</v>
      </c>
      <c r="K1022" s="29">
        <f>IF(K$19=1,(IF($A$1012=1,IF(K1019-K1021&gt;0,(MIN((K1019-K1021),(SUM($E1020:K1020)-SUM($E1021:K1021))/'Assumptions - Infrastructure'!$E105)),0),0))," ")</f>
        <v>3.2608695652173911</v>
      </c>
      <c r="L1022" s="29">
        <f>IF(L$19=1,(IF($A$1012=1,IF(L1019-L1021&gt;0,(MIN((L1019-L1021),(SUM($E1020:L1020)-SUM($E1021:L1021))/'Assumptions - Infrastructure'!$E105)),0),0))," ")</f>
        <v>3.8043478260869565</v>
      </c>
      <c r="M1022" s="29">
        <f>IF(M$19=1,(IF($A$1012=1,IF(M1019-M1021&gt;0,(MIN((M1019-M1021),(SUM($E1020:M1020)-SUM($E1021:M1021))/'Assumptions - Infrastructure'!$E105)),0),0))," ")</f>
        <v>4.3478260869565215</v>
      </c>
      <c r="N1022" s="29">
        <f>IF(N$19=1,(IF($A$1012=1,IF(N1019-N1021&gt;0,(MIN((N1019-N1021),(SUM($E1020:N1020)-SUM($E1021:N1021))/'Assumptions - Infrastructure'!$E105)),0),0))," ")</f>
        <v>4.8457223001402525</v>
      </c>
      <c r="O1022" s="29">
        <f>IF(O$19=1,(IF($A$1012=1,IF(O1019-O1021&gt;0,(MIN((O1019-O1021),(SUM($E1020:O1020)-SUM($E1021:O1021))/'Assumptions - Infrastructure'!$E105)),0),0))," ")</f>
        <v>5.2805049088359048</v>
      </c>
      <c r="P1022" s="29">
        <f>IF(P$19=1,(IF($A$1012=1,IF(P1019-P1021&gt;0,(MIN((P1019-P1021),(SUM($E1020:P1020)-SUM($E1021:P1021))/'Assumptions - Infrastructure'!$E105)),0),0))," ")</f>
        <v>5.8239831697054694</v>
      </c>
      <c r="Q1022" s="29">
        <f>IF(Q$19=1,(IF($A$1012=1,IF(Q1019-Q1021&gt;0,(MIN((Q1019-Q1021),(SUM($E1020:Q1020)-SUM($E1021:Q1021))/'Assumptions - Infrastructure'!$E105)),0),0))," ")</f>
        <v>6.3674614305750348</v>
      </c>
      <c r="R1022" s="29">
        <f>IF(R$19=1,(IF($A$1012=1,IF(R1019-R1021&gt;0,(MIN((R1019-R1021),(SUM($E1020:R1020)-SUM($E1021:R1021))/'Assumptions - Infrastructure'!$E105)),0),0))," ")</f>
        <v>6.9109396914445993</v>
      </c>
      <c r="S1022" s="29">
        <f>IF(S$19=1,(IF($A$1012=1,IF(S1019-S1021&gt;0,(MIN((S1019-S1021),(SUM($E1020:S1020)-SUM($E1021:S1021))/'Assumptions - Infrastructure'!$E105)),0),0))," ")</f>
        <v>7.4544179523141647</v>
      </c>
      <c r="T1022" s="29">
        <f>IF(T$19=1,(IF($A$1012=1,IF(T1019-T1021&gt;0,(MIN((T1019-T1021),(SUM($E1020:T1020)-SUM($E1021:T1021))/'Assumptions - Infrastructure'!$E105)),0),0))," ")</f>
        <v>7.9978962131837301</v>
      </c>
      <c r="U1022" s="29">
        <f>IF(U$19=1,(IF($A$1012=1,IF(U1019-U1021&gt;0,(MIN((U1019-U1021),(SUM($E1020:U1020)-SUM($E1021:U1021))/'Assumptions - Infrastructure'!$E105)),0),0))," ")</f>
        <v>8.5413744740532955</v>
      </c>
      <c r="V1022" s="29">
        <f>IF(V$19=1,(IF($A$1012=1,IF(V1019-V1021&gt;0,(MIN((V1019-V1021),(SUM($E1020:V1020)-SUM($E1021:V1021))/'Assumptions - Infrastructure'!$E105)),0),0))," ")</f>
        <v>9.0848527349228601</v>
      </c>
      <c r="W1022" s="29">
        <f>IF(W$19=1,(IF($A$1012=1,IF(W1019-W1021&gt;0,(MIN((W1019-W1021),(SUM($E1020:W1020)-SUM($E1021:W1021))/'Assumptions - Infrastructure'!$E105)),0),0))," ")</f>
        <v>9.6283309957924264</v>
      </c>
      <c r="X1022" s="29">
        <f>IF(X$19=1,(IF($A$1012=1,IF(X1019-X1021&gt;0,(MIN((X1019-X1021),(SUM($E1020:X1020)-SUM($E1021:X1021))/'Assumptions - Infrastructure'!$E105)),0),0))," ")</f>
        <v>10.171809256661991</v>
      </c>
      <c r="Y1022" s="29">
        <f>IF(Y$19=1,(IF($A$1012=1,IF(Y1019-Y1021&gt;0,(MIN((Y1019-Y1021),(SUM($E1020:Y1020)-SUM($E1021:Y1021))/'Assumptions - Infrastructure'!$E105)),0),0))," ")</f>
        <v>10.715287517531555</v>
      </c>
      <c r="Z1022" s="29">
        <f>IF(Z$19=1,(IF($A$1012=1,IF(Z1019-Z1021&gt;0,(MIN((Z1019-Z1021),(SUM($E1020:Z1020)-SUM($E1021:Z1021))/'Assumptions - Infrastructure'!$E105)),0),0))," ")</f>
        <v>11.258765778401122</v>
      </c>
      <c r="AA1022" s="29">
        <f>IF(AA$19=1,(IF($A$1012=1,IF(AA1019-AA1021&gt;0,(MIN((AA1019-AA1021),(SUM($E1020:AA1020)-SUM($E1021:AA1021))/'Assumptions - Infrastructure'!$E105)),0),0))," ")</f>
        <v>11.802244039270686</v>
      </c>
      <c r="AB1022" s="29">
        <f>IF(AB$19=1,(IF($A$1012=1,IF(AB1019-AB1021&gt;0,(MIN((AB1019-AB1021),(SUM($E1020:AB1020)-SUM($E1021:AB1021))/'Assumptions - Infrastructure'!$E105)),0),0))," ")</f>
        <v>12.345722300140253</v>
      </c>
      <c r="AC1022" s="29">
        <f>IF(AC$19=1,(IF($A$1012=1,IF(AC1019-AC1021&gt;0,(MIN((AC1019-AC1021),(SUM($E1020:AC1020)-SUM($E1021:AC1021))/'Assumptions - Infrastructure'!$E105)),0),0))," ")</f>
        <v>12.889200561009817</v>
      </c>
      <c r="AD1022" s="29">
        <f>IF(AD$19=1,(IF($A$1012=1,IF(AD1019-AD1021&gt;0,(MIN((AD1019-AD1021),(SUM($E1020:AD1020)-SUM($E1021:AD1021))/'Assumptions - Infrastructure'!$E105)),0),0))," ")</f>
        <v>13.432678821879382</v>
      </c>
      <c r="AE1022" s="29">
        <f>IF(AE$19=1,(IF($A$1012=1,IF(AE1019-AE1021&gt;0,(MIN((AE1019-AE1021),(SUM($E1020:AE1020)-SUM($E1021:AE1021))/'Assumptions - Infrastructure'!$E105)),0),0))," ")</f>
        <v>13.976157082748948</v>
      </c>
      <c r="AF1022" s="29">
        <f>IF(AF$19=1,(IF($A$1012=1,IF(AF1019-AF1021&gt;0,(MIN((AF1019-AF1021),(SUM($E1020:AF1020)-SUM($E1021:AF1021))/'Assumptions - Infrastructure'!$E105)),0),0))," ")</f>
        <v>14.519635343618512</v>
      </c>
      <c r="AG1022" s="29">
        <f>IF(AG$19=1,(IF($A$1012=1,IF(AG1019-AG1021&gt;0,(MIN((AG1019-AG1021),(SUM($E1020:AG1020)-SUM($E1021:AG1021))/'Assumptions - Infrastructure'!$E105)),0),0))," ")</f>
        <v>15.063113604488079</v>
      </c>
      <c r="AH1022" s="29">
        <f>IF(AH$19=1,(IF($A$1012=1,IF(AH1019-AH1021&gt;0,(MIN((AH1019-AH1021),(SUM($E1020:AH1020)-SUM($E1021:AH1021))/'Assumptions - Infrastructure'!$E105)),0),0))," ")</f>
        <v>15.606591865357643</v>
      </c>
    </row>
    <row r="1023" spans="1:34" s="20" customFormat="1" ht="14" x14ac:dyDescent="0.2">
      <c r="A1023" s="87"/>
      <c r="B1023" s="30" t="s">
        <v>636</v>
      </c>
      <c r="C1023" s="8"/>
      <c r="D1023" s="8" t="str">
        <f>'Assumptions - General'!$E$27 &amp;" millions"</f>
        <v>R$ millions</v>
      </c>
      <c r="E1023" s="29"/>
      <c r="F1023" s="29">
        <f>IF(F$19=1,SUM($E1022:F1022)," ")</f>
        <v>0</v>
      </c>
      <c r="G1023" s="29">
        <f>IF(G$19=1,SUM($E1022:G1022)," ")</f>
        <v>1.0869565217391304</v>
      </c>
      <c r="H1023" s="29">
        <f>IF(H$19=1,SUM($E1022:H1022)," ")</f>
        <v>2.7173913043478262</v>
      </c>
      <c r="I1023" s="29">
        <f>IF(I$19=1,SUM($E1022:I1022)," ")</f>
        <v>4.8913043478260869</v>
      </c>
      <c r="J1023" s="29">
        <f>IF(J$19=1,SUM($E1022:J1022)," ")</f>
        <v>7.6086956521739131</v>
      </c>
      <c r="K1023" s="29">
        <f>IF(K$19=1,SUM($E1022:K1022)," ")</f>
        <v>10.869565217391305</v>
      </c>
      <c r="L1023" s="29">
        <f>IF(L$19=1,SUM($E1022:L1022)," ")</f>
        <v>14.673913043478262</v>
      </c>
      <c r="M1023" s="29">
        <f>IF(M$19=1,SUM($E1022:M1022)," ")</f>
        <v>19.021739130434781</v>
      </c>
      <c r="N1023" s="29">
        <f>IF(N$19=1,SUM($E1022:N1022)," ")</f>
        <v>23.867461430575034</v>
      </c>
      <c r="O1023" s="29">
        <f>IF(O$19=1,SUM($E1022:O1022)," ")</f>
        <v>29.147966339410939</v>
      </c>
      <c r="P1023" s="29">
        <f>IF(P$19=1,SUM($E1022:P1022)," ")</f>
        <v>34.971949509116406</v>
      </c>
      <c r="Q1023" s="29">
        <f>IF(Q$19=1,SUM($E1022:Q1022)," ")</f>
        <v>41.33941093969144</v>
      </c>
      <c r="R1023" s="29">
        <f>IF(R$19=1,SUM($E1022:R1022)," ")</f>
        <v>48.250350631136037</v>
      </c>
      <c r="S1023" s="29">
        <f>IF(S$19=1,SUM($E1022:S1022)," ")</f>
        <v>55.704768583450203</v>
      </c>
      <c r="T1023" s="29">
        <f>IF(T$19=1,SUM($E1022:T1022)," ")</f>
        <v>63.702664796633933</v>
      </c>
      <c r="U1023" s="29">
        <f>IF(U$19=1,SUM($E1022:U1022)," ")</f>
        <v>72.244039270687225</v>
      </c>
      <c r="V1023" s="29">
        <f>IF(V$19=1,SUM($E1022:V1022)," ")</f>
        <v>81.328892005610086</v>
      </c>
      <c r="W1023" s="29">
        <f>IF(W$19=1,SUM($E1022:W1022)," ")</f>
        <v>90.957223001402511</v>
      </c>
      <c r="X1023" s="29">
        <f>IF(X$19=1,SUM($E1022:X1022)," ")</f>
        <v>101.1290322580645</v>
      </c>
      <c r="Y1023" s="29">
        <f>IF(Y$19=1,SUM($E1022:Y1022)," ")</f>
        <v>111.84431977559605</v>
      </c>
      <c r="Z1023" s="29">
        <f>IF(Z$19=1,SUM($E1022:Z1022)," ")</f>
        <v>123.10308555399718</v>
      </c>
      <c r="AA1023" s="29">
        <f>IF(AA$19=1,SUM($E1022:AA1022)," ")</f>
        <v>134.90532959326785</v>
      </c>
      <c r="AB1023" s="29">
        <f>IF(AB$19=1,SUM($E1022:AB1022)," ")</f>
        <v>147.25105189340809</v>
      </c>
      <c r="AC1023" s="29">
        <f>IF(AC$19=1,SUM($E1022:AC1022)," ")</f>
        <v>160.14025245441792</v>
      </c>
      <c r="AD1023" s="29">
        <f>IF(AD$19=1,SUM($E1022:AD1022)," ")</f>
        <v>173.57293127629731</v>
      </c>
      <c r="AE1023" s="29">
        <f>IF(AE$19=1,SUM($E1022:AE1022)," ")</f>
        <v>187.54908835904627</v>
      </c>
      <c r="AF1023" s="29">
        <f>IF(AF$19=1,SUM($E1022:AF1022)," ")</f>
        <v>202.06872370266478</v>
      </c>
      <c r="AG1023" s="29">
        <f>IF(AG$19=1,SUM($E1022:AG1022)," ")</f>
        <v>217.13183730715286</v>
      </c>
      <c r="AH1023" s="29">
        <f>IF(AH$19=1,SUM($E1022:AH1022)," ")</f>
        <v>232.73842917251051</v>
      </c>
    </row>
    <row r="1024" spans="1:34" s="20" customFormat="1" ht="14" x14ac:dyDescent="0.2">
      <c r="A1024" s="87"/>
      <c r="B1024" s="14" t="s">
        <v>640</v>
      </c>
      <c r="C1024" s="8"/>
      <c r="D1024" s="8" t="str">
        <f>'Assumptions - General'!$E$27 &amp;" millions"</f>
        <v>R$ millions</v>
      </c>
      <c r="E1024" s="29"/>
      <c r="F1024" s="29">
        <f>IF(F$19=1,F1019+F1020-F1021-F1022," ")</f>
        <v>25</v>
      </c>
      <c r="G1024" s="29">
        <f t="shared" ref="G1024:AH1024" si="402">IF(G$19=1,G1019+G1020-G1021-G1022," ")</f>
        <v>48.913043478260867</v>
      </c>
      <c r="H1024" s="29">
        <f t="shared" si="402"/>
        <v>72.282608695652172</v>
      </c>
      <c r="I1024" s="29">
        <f t="shared" si="402"/>
        <v>95.108695652173907</v>
      </c>
      <c r="J1024" s="29">
        <f t="shared" si="402"/>
        <v>117.39130434782608</v>
      </c>
      <c r="K1024" s="29">
        <f t="shared" si="402"/>
        <v>139.13043478260866</v>
      </c>
      <c r="L1024" s="29">
        <f t="shared" si="402"/>
        <v>160.32608695652169</v>
      </c>
      <c r="M1024" s="29">
        <f t="shared" si="402"/>
        <v>180.97826086956516</v>
      </c>
      <c r="N1024" s="29">
        <f t="shared" si="402"/>
        <v>199.03576437587651</v>
      </c>
      <c r="O1024" s="29">
        <f t="shared" si="402"/>
        <v>213.75525946704062</v>
      </c>
      <c r="P1024" s="29">
        <f t="shared" si="402"/>
        <v>232.93127629733516</v>
      </c>
      <c r="Q1024" s="29">
        <f t="shared" si="402"/>
        <v>251.56381486676011</v>
      </c>
      <c r="R1024" s="29">
        <f t="shared" si="402"/>
        <v>269.65287517531556</v>
      </c>
      <c r="S1024" s="29">
        <f t="shared" si="402"/>
        <v>287.19845722300141</v>
      </c>
      <c r="T1024" s="29">
        <f t="shared" si="402"/>
        <v>304.2005610098177</v>
      </c>
      <c r="U1024" s="29">
        <f t="shared" si="402"/>
        <v>320.65918653576443</v>
      </c>
      <c r="V1024" s="29">
        <f t="shared" si="402"/>
        <v>336.5743338008416</v>
      </c>
      <c r="W1024" s="29">
        <f t="shared" si="402"/>
        <v>351.94600280504915</v>
      </c>
      <c r="X1024" s="29">
        <f t="shared" si="402"/>
        <v>366.77419354838713</v>
      </c>
      <c r="Y1024" s="29">
        <f t="shared" si="402"/>
        <v>381.05890603085555</v>
      </c>
      <c r="Z1024" s="29">
        <f t="shared" si="402"/>
        <v>394.80014025245441</v>
      </c>
      <c r="AA1024" s="29">
        <f t="shared" si="402"/>
        <v>407.99789621318371</v>
      </c>
      <c r="AB1024" s="29">
        <f t="shared" si="402"/>
        <v>420.65217391304344</v>
      </c>
      <c r="AC1024" s="29">
        <f t="shared" si="402"/>
        <v>432.76297335203361</v>
      </c>
      <c r="AD1024" s="29">
        <f t="shared" si="402"/>
        <v>444.33029453015422</v>
      </c>
      <c r="AE1024" s="29">
        <f t="shared" si="402"/>
        <v>455.35413744740526</v>
      </c>
      <c r="AF1024" s="29">
        <f t="shared" si="402"/>
        <v>465.83450210378675</v>
      </c>
      <c r="AG1024" s="29">
        <f t="shared" si="402"/>
        <v>475.77138849929867</v>
      </c>
      <c r="AH1024" s="29">
        <f t="shared" si="402"/>
        <v>485.16479663394102</v>
      </c>
    </row>
    <row r="1025" spans="1:34" s="20" customFormat="1" ht="14" x14ac:dyDescent="0.2">
      <c r="A1025" s="87"/>
      <c r="B1025" s="14"/>
      <c r="C1025" s="8"/>
      <c r="D1025" s="8"/>
      <c r="E1025" s="29"/>
      <c r="F1025" s="29"/>
      <c r="G1025" s="29"/>
      <c r="H1025" s="29"/>
      <c r="I1025" s="29"/>
      <c r="J1025" s="29"/>
      <c r="K1025" s="29"/>
      <c r="L1025" s="29"/>
      <c r="M1025" s="29"/>
      <c r="N1025" s="29"/>
      <c r="O1025" s="29"/>
      <c r="P1025" s="29"/>
      <c r="Q1025" s="29"/>
      <c r="R1025" s="29"/>
      <c r="S1025" s="29"/>
      <c r="T1025" s="29"/>
      <c r="U1025" s="29"/>
      <c r="V1025" s="29"/>
      <c r="W1025" s="29"/>
      <c r="X1025" s="29"/>
      <c r="Y1025" s="29"/>
      <c r="Z1025" s="29"/>
      <c r="AA1025" s="29"/>
      <c r="AB1025" s="29"/>
      <c r="AC1025" s="29"/>
      <c r="AD1025" s="29"/>
      <c r="AE1025" s="29"/>
      <c r="AF1025" s="29"/>
      <c r="AG1025" s="29"/>
      <c r="AH1025" s="29"/>
    </row>
    <row r="1026" spans="1:34" s="20" customFormat="1" ht="14" x14ac:dyDescent="0.2">
      <c r="A1026" s="87"/>
      <c r="B1026" s="14" t="s">
        <v>638</v>
      </c>
      <c r="C1026" s="8"/>
      <c r="D1026" s="8" t="str">
        <f>'Assumptions - General'!$E$27 &amp;" millions"</f>
        <v>R$ millions</v>
      </c>
      <c r="E1026" s="29">
        <f>IF(E$19=1,E1017+E1024," ")</f>
        <v>50</v>
      </c>
      <c r="F1026" s="29">
        <f>IF(F$19=1,F1017+F1024," ")</f>
        <v>68.548387096774192</v>
      </c>
      <c r="G1026" s="29">
        <f t="shared" ref="G1026:AH1026" si="403">IF(G$19=1,G1017+G1024," ")</f>
        <v>86.171107994389899</v>
      </c>
      <c r="H1026" s="29">
        <f t="shared" si="403"/>
        <v>103.41164095371668</v>
      </c>
      <c r="I1026" s="29">
        <f t="shared" si="403"/>
        <v>120.26998597475455</v>
      </c>
      <c r="J1026" s="29">
        <f t="shared" si="403"/>
        <v>136.7461430575035</v>
      </c>
      <c r="K1026" s="29">
        <f t="shared" si="403"/>
        <v>152.84011220196351</v>
      </c>
      <c r="L1026" s="29">
        <f t="shared" si="403"/>
        <v>168.55189340813459</v>
      </c>
      <c r="M1026" s="29">
        <f t="shared" si="403"/>
        <v>183.88148667601678</v>
      </c>
      <c r="N1026" s="29">
        <f t="shared" si="403"/>
        <v>199.03576437587651</v>
      </c>
      <c r="O1026" s="29">
        <f t="shared" si="403"/>
        <v>213.75525946704062</v>
      </c>
      <c r="P1026" s="29">
        <f t="shared" si="403"/>
        <v>232.93127629733516</v>
      </c>
      <c r="Q1026" s="29">
        <f t="shared" si="403"/>
        <v>251.56381486676011</v>
      </c>
      <c r="R1026" s="29">
        <f t="shared" si="403"/>
        <v>269.65287517531556</v>
      </c>
      <c r="S1026" s="29">
        <f t="shared" si="403"/>
        <v>287.19845722300141</v>
      </c>
      <c r="T1026" s="29">
        <f t="shared" si="403"/>
        <v>304.2005610098177</v>
      </c>
      <c r="U1026" s="29">
        <f t="shared" si="403"/>
        <v>320.65918653576443</v>
      </c>
      <c r="V1026" s="29">
        <f t="shared" si="403"/>
        <v>336.5743338008416</v>
      </c>
      <c r="W1026" s="29">
        <f t="shared" si="403"/>
        <v>351.94600280504915</v>
      </c>
      <c r="X1026" s="29">
        <f t="shared" si="403"/>
        <v>366.77419354838713</v>
      </c>
      <c r="Y1026" s="29">
        <f t="shared" si="403"/>
        <v>381.05890603085555</v>
      </c>
      <c r="Z1026" s="29">
        <f t="shared" si="403"/>
        <v>394.80014025245441</v>
      </c>
      <c r="AA1026" s="29">
        <f t="shared" si="403"/>
        <v>407.99789621318371</v>
      </c>
      <c r="AB1026" s="29">
        <f t="shared" si="403"/>
        <v>420.65217391304344</v>
      </c>
      <c r="AC1026" s="29">
        <f t="shared" si="403"/>
        <v>432.76297335203361</v>
      </c>
      <c r="AD1026" s="29">
        <f t="shared" si="403"/>
        <v>444.33029453015422</v>
      </c>
      <c r="AE1026" s="29">
        <f t="shared" si="403"/>
        <v>455.35413744740526</v>
      </c>
      <c r="AF1026" s="29">
        <f t="shared" si="403"/>
        <v>465.83450210378675</v>
      </c>
      <c r="AG1026" s="29">
        <f t="shared" si="403"/>
        <v>475.77138849929867</v>
      </c>
      <c r="AH1026" s="29">
        <f t="shared" si="403"/>
        <v>485.16479663394102</v>
      </c>
    </row>
    <row r="1027" spans="1:34" s="310" customFormat="1" ht="14" x14ac:dyDescent="0.2">
      <c r="A1027" s="87"/>
      <c r="B1027" s="446"/>
      <c r="C1027" s="87"/>
      <c r="D1027" s="87"/>
      <c r="E1027" s="447"/>
      <c r="F1027" s="447"/>
      <c r="G1027" s="447"/>
      <c r="H1027" s="447"/>
      <c r="I1027" s="447"/>
      <c r="J1027" s="447"/>
      <c r="K1027" s="447"/>
      <c r="L1027" s="447"/>
      <c r="M1027" s="447"/>
      <c r="N1027" s="447"/>
      <c r="O1027" s="447"/>
      <c r="P1027" s="447"/>
      <c r="Q1027" s="447"/>
      <c r="R1027" s="447"/>
      <c r="S1027" s="447"/>
      <c r="T1027" s="447"/>
      <c r="U1027" s="447"/>
      <c r="V1027" s="447"/>
      <c r="W1027" s="447"/>
      <c r="X1027" s="447"/>
      <c r="Y1027" s="447"/>
      <c r="Z1027" s="447"/>
      <c r="AA1027" s="447"/>
      <c r="AB1027" s="447"/>
      <c r="AC1027" s="447"/>
      <c r="AD1027" s="447"/>
      <c r="AE1027" s="447"/>
      <c r="AF1027" s="447"/>
      <c r="AG1027" s="447"/>
      <c r="AH1027" s="447"/>
    </row>
    <row r="1028" spans="1:34" s="20" customFormat="1" collapsed="1" x14ac:dyDescent="0.2">
      <c r="A1028" s="18"/>
      <c r="B1028" s="14"/>
      <c r="C1028" s="8"/>
      <c r="D1028" s="8"/>
      <c r="E1028" s="29"/>
      <c r="F1028" s="29"/>
      <c r="G1028" s="29"/>
      <c r="H1028" s="29"/>
      <c r="I1028" s="29"/>
      <c r="J1028" s="29"/>
      <c r="K1028" s="29"/>
      <c r="L1028" s="29"/>
      <c r="M1028" s="29"/>
      <c r="N1028" s="29"/>
      <c r="O1028" s="29"/>
      <c r="P1028" s="29"/>
      <c r="Q1028" s="29"/>
      <c r="R1028" s="29"/>
      <c r="S1028" s="29"/>
      <c r="T1028" s="29"/>
      <c r="U1028" s="29"/>
      <c r="V1028" s="29"/>
      <c r="W1028" s="29"/>
      <c r="X1028" s="29"/>
      <c r="Y1028" s="29"/>
      <c r="Z1028" s="29"/>
      <c r="AA1028" s="29"/>
      <c r="AB1028" s="29"/>
      <c r="AC1028" s="29"/>
      <c r="AD1028" s="29"/>
      <c r="AE1028" s="29"/>
      <c r="AF1028" s="29"/>
      <c r="AG1028" s="29"/>
      <c r="AH1028" s="29"/>
    </row>
    <row r="1029" spans="1:34" x14ac:dyDescent="0.2">
      <c r="A1029" s="316"/>
      <c r="B1029" s="315" t="str">
        <f>"Traffic  for " &amp;'Assumptions - General'!$E$26</f>
        <v>Traffic  for Ruritania Railway Infrastructure Company</v>
      </c>
      <c r="C1029" s="316"/>
      <c r="D1029" s="316"/>
      <c r="E1029" s="316"/>
      <c r="F1029" s="316"/>
      <c r="G1029" s="316"/>
      <c r="H1029" s="316"/>
      <c r="I1029" s="316"/>
      <c r="J1029" s="316"/>
      <c r="K1029" s="316"/>
      <c r="L1029" s="316"/>
      <c r="M1029" s="316"/>
      <c r="N1029" s="316"/>
      <c r="O1029" s="316"/>
      <c r="P1029" s="316"/>
      <c r="Q1029" s="316"/>
      <c r="R1029" s="316"/>
      <c r="S1029" s="316"/>
      <c r="T1029" s="316"/>
      <c r="U1029" s="316"/>
      <c r="V1029" s="316"/>
      <c r="W1029" s="316"/>
      <c r="X1029" s="316"/>
      <c r="Y1029" s="316"/>
      <c r="Z1029" s="316"/>
      <c r="AA1029" s="316"/>
      <c r="AB1029" s="316"/>
      <c r="AC1029" s="316"/>
      <c r="AD1029" s="316"/>
      <c r="AE1029" s="316"/>
      <c r="AF1029" s="316"/>
      <c r="AG1029" s="316"/>
      <c r="AH1029" s="316"/>
    </row>
    <row r="1030" spans="1:34" x14ac:dyDescent="0.2">
      <c r="B1030" s="7"/>
      <c r="C1030" s="8"/>
      <c r="D1030" s="8"/>
      <c r="E1030" s="9"/>
      <c r="F1030" s="9"/>
      <c r="G1030" s="9"/>
      <c r="H1030" s="9"/>
      <c r="I1030" s="9"/>
      <c r="J1030" s="9"/>
      <c r="K1030" s="9"/>
      <c r="L1030" s="9"/>
      <c r="M1030" s="9"/>
      <c r="N1030" s="9"/>
      <c r="O1030" s="9"/>
      <c r="P1030" s="9"/>
      <c r="Q1030" s="9"/>
      <c r="R1030" s="9"/>
      <c r="S1030" s="9"/>
      <c r="T1030" s="9"/>
      <c r="U1030" s="9"/>
      <c r="V1030" s="9"/>
      <c r="W1030" s="9"/>
      <c r="X1030" s="9"/>
      <c r="Y1030" s="9"/>
      <c r="Z1030" s="9"/>
      <c r="AA1030" s="9"/>
      <c r="AB1030" s="9"/>
      <c r="AC1030" s="9"/>
      <c r="AD1030" s="9"/>
      <c r="AE1030" s="9"/>
      <c r="AF1030" s="9"/>
      <c r="AG1030" s="9"/>
      <c r="AH1030" s="9"/>
    </row>
    <row r="1031" spans="1:34" outlineLevel="1" x14ac:dyDescent="0.2">
      <c r="B1031" s="8" t="s">
        <v>474</v>
      </c>
      <c r="C1031" s="8"/>
      <c r="D1031" s="287">
        <f>IF('Scenarios - Consolidated'!F3=1,1,'Scenarios - Infra'!F3)</f>
        <v>2</v>
      </c>
      <c r="E1031" s="9"/>
      <c r="F1031" s="9"/>
      <c r="G1031" s="9"/>
      <c r="H1031" s="9"/>
      <c r="I1031" s="9"/>
      <c r="J1031" s="9"/>
      <c r="K1031" s="9"/>
      <c r="L1031" s="9"/>
      <c r="M1031" s="9"/>
      <c r="N1031" s="9"/>
      <c r="O1031" s="9"/>
      <c r="P1031" s="9"/>
      <c r="Q1031" s="9"/>
      <c r="R1031" s="9"/>
      <c r="S1031" s="9"/>
      <c r="T1031" s="9"/>
      <c r="U1031" s="9"/>
      <c r="V1031" s="9"/>
      <c r="W1031" s="9"/>
      <c r="X1031" s="9"/>
      <c r="Y1031" s="9"/>
      <c r="Z1031" s="9"/>
      <c r="AA1031" s="9"/>
      <c r="AB1031" s="9"/>
      <c r="AC1031" s="9"/>
      <c r="AD1031" s="9"/>
      <c r="AE1031" s="9"/>
      <c r="AF1031" s="9"/>
      <c r="AG1031" s="9"/>
      <c r="AH1031" s="9"/>
    </row>
    <row r="1032" spans="1:34" outlineLevel="1" x14ac:dyDescent="0.2">
      <c r="B1032" s="8" t="s">
        <v>470</v>
      </c>
      <c r="C1032" s="8"/>
      <c r="D1032" s="224">
        <f>IF(AND('Scenarios - Consolidated'!F3=1,'Scenarios - Consolidated'!F20=1),'Scenarios - Consolidated'!F25,'Scenarios - Infra'!F25)</f>
        <v>1</v>
      </c>
      <c r="E1032" s="9"/>
      <c r="F1032" s="9"/>
      <c r="G1032" s="9"/>
      <c r="H1032" s="9"/>
      <c r="I1032" s="9"/>
      <c r="J1032" s="9"/>
      <c r="K1032" s="9"/>
      <c r="L1032" s="9"/>
      <c r="M1032" s="9"/>
      <c r="N1032" s="9"/>
      <c r="O1032" s="9"/>
      <c r="P1032" s="9"/>
      <c r="Q1032" s="9"/>
      <c r="R1032" s="9"/>
      <c r="S1032" s="9"/>
      <c r="T1032" s="9"/>
      <c r="U1032" s="9"/>
      <c r="V1032" s="9"/>
      <c r="W1032" s="9"/>
      <c r="X1032" s="9"/>
      <c r="Y1032" s="9"/>
      <c r="Z1032" s="9"/>
      <c r="AA1032" s="9"/>
      <c r="AB1032" s="9"/>
      <c r="AC1032" s="9"/>
      <c r="AD1032" s="9"/>
      <c r="AE1032" s="9"/>
      <c r="AF1032" s="9"/>
      <c r="AG1032" s="9"/>
      <c r="AH1032" s="9"/>
    </row>
    <row r="1033" spans="1:34" outlineLevel="1" x14ac:dyDescent="0.2">
      <c r="B1033" s="8" t="s">
        <v>471</v>
      </c>
      <c r="C1033" s="8"/>
      <c r="D1033" s="288">
        <f>IF(AND('Scenarios - Consolidated'!F3=1,'Scenarios - Consolidated'!G20=1),'Scenarios - Consolidated'!G25,'Scenarios - Infra'!G25)</f>
        <v>1.9469174057293204E-2</v>
      </c>
      <c r="E1033" s="9"/>
      <c r="F1033" s="9"/>
      <c r="G1033" s="9"/>
      <c r="H1033" s="9"/>
      <c r="I1033" s="9"/>
      <c r="J1033" s="9"/>
      <c r="K1033" s="9"/>
      <c r="L1033" s="9"/>
      <c r="M1033" s="9"/>
      <c r="N1033" s="9"/>
      <c r="O1033" s="9"/>
      <c r="P1033" s="9"/>
      <c r="Q1033" s="9"/>
      <c r="R1033" s="9"/>
      <c r="S1033" s="9"/>
      <c r="T1033" s="9"/>
      <c r="U1033" s="9"/>
      <c r="V1033" s="9"/>
      <c r="W1033" s="9"/>
      <c r="X1033" s="9"/>
      <c r="Y1033" s="9"/>
      <c r="Z1033" s="9"/>
      <c r="AA1033" s="9"/>
      <c r="AB1033" s="9"/>
      <c r="AC1033" s="9"/>
      <c r="AD1033" s="9"/>
      <c r="AE1033" s="9"/>
      <c r="AF1033" s="9"/>
      <c r="AG1033" s="9"/>
      <c r="AH1033" s="9"/>
    </row>
    <row r="1034" spans="1:34" outlineLevel="1" x14ac:dyDescent="0.2">
      <c r="B1034" s="30" t="s">
        <v>472</v>
      </c>
      <c r="C1034" s="8"/>
      <c r="D1034" s="287">
        <f>IF(AND('Scenarios - Consolidated'!F3=1,'Scenarios - Consolidated'!G20=1),1,IF(AND('Scenarios - Infra'!F3=1,'Scenarios - Infra'!G20=1),1,2))</f>
        <v>2</v>
      </c>
      <c r="E1034" s="9"/>
      <c r="F1034" s="9"/>
      <c r="G1034" s="9"/>
      <c r="H1034" s="9"/>
      <c r="I1034" s="9"/>
      <c r="J1034" s="9"/>
      <c r="K1034" s="9"/>
      <c r="L1034" s="9"/>
      <c r="M1034" s="9"/>
      <c r="N1034" s="9"/>
      <c r="O1034" s="9"/>
      <c r="P1034" s="9"/>
      <c r="Q1034" s="9"/>
      <c r="R1034" s="9"/>
      <c r="S1034" s="9"/>
      <c r="T1034" s="9"/>
      <c r="U1034" s="9"/>
      <c r="V1034" s="9"/>
      <c r="W1034" s="9"/>
      <c r="X1034" s="9"/>
      <c r="Y1034" s="9"/>
      <c r="Z1034" s="9"/>
      <c r="AA1034" s="9"/>
      <c r="AB1034" s="9"/>
      <c r="AC1034" s="9"/>
      <c r="AD1034" s="9"/>
      <c r="AE1034" s="9"/>
      <c r="AF1034" s="9"/>
      <c r="AG1034" s="9"/>
      <c r="AH1034" s="9"/>
    </row>
    <row r="1035" spans="1:34" x14ac:dyDescent="0.2">
      <c r="B1035" s="7" t="s">
        <v>473</v>
      </c>
      <c r="C1035" s="8"/>
      <c r="D1035" s="8"/>
      <c r="E1035" s="9"/>
      <c r="F1035" s="9"/>
      <c r="G1035" s="9"/>
      <c r="H1035" s="9"/>
      <c r="I1035" s="9"/>
      <c r="J1035" s="9"/>
      <c r="K1035" s="9"/>
      <c r="L1035" s="9"/>
      <c r="M1035" s="9"/>
      <c r="N1035" s="9"/>
      <c r="O1035" s="9"/>
      <c r="P1035" s="9"/>
      <c r="Q1035" s="9"/>
      <c r="R1035" s="9"/>
      <c r="S1035" s="9"/>
      <c r="T1035" s="9"/>
      <c r="U1035" s="9"/>
      <c r="V1035" s="9"/>
      <c r="W1035" s="9"/>
      <c r="X1035" s="9"/>
      <c r="Y1035" s="9"/>
      <c r="Z1035" s="9"/>
      <c r="AA1035" s="9"/>
      <c r="AB1035" s="9"/>
      <c r="AC1035" s="9"/>
      <c r="AD1035" s="9"/>
      <c r="AE1035" s="9"/>
      <c r="AF1035" s="9"/>
      <c r="AG1035" s="9"/>
      <c r="AH1035" s="9"/>
    </row>
    <row r="1036" spans="1:34" x14ac:dyDescent="0.2">
      <c r="B1036" s="7"/>
      <c r="C1036" s="8"/>
      <c r="D1036" s="8"/>
      <c r="E1036" s="9"/>
      <c r="F1036" s="9"/>
      <c r="G1036" s="9"/>
      <c r="H1036" s="9"/>
      <c r="I1036" s="9"/>
      <c r="J1036" s="9"/>
      <c r="K1036" s="9"/>
      <c r="L1036" s="9"/>
      <c r="M1036" s="9"/>
      <c r="N1036" s="9"/>
      <c r="O1036" s="9"/>
      <c r="P1036" s="9"/>
      <c r="Q1036" s="9"/>
      <c r="R1036" s="9"/>
      <c r="S1036" s="9"/>
      <c r="T1036" s="9"/>
      <c r="U1036" s="9"/>
      <c r="V1036" s="9"/>
      <c r="W1036" s="9"/>
      <c r="X1036" s="9"/>
      <c r="Y1036" s="9"/>
      <c r="Z1036" s="9"/>
      <c r="AA1036" s="9"/>
      <c r="AB1036" s="9"/>
      <c r="AC1036" s="9"/>
      <c r="AD1036" s="9"/>
      <c r="AE1036" s="9"/>
      <c r="AF1036" s="9"/>
      <c r="AG1036" s="9"/>
      <c r="AH1036" s="9"/>
    </row>
    <row r="1037" spans="1:34" x14ac:dyDescent="0.2">
      <c r="B1037" s="8" t="str">
        <f>"Annual traffic volume of " &amp;'Assumptions - Infrastructure'!E121</f>
        <v>Annual traffic volume of Freight company 1</v>
      </c>
      <c r="C1037" s="8"/>
      <c r="D1037" s="8" t="str">
        <f>'Assumptions - Infrastructure'!D131</f>
        <v>Net ton-km (million)</v>
      </c>
      <c r="E1037" s="467">
        <f>IF(OR(E$19=1,E$20=1),IF($D$1031=1,$D$1032*'Assumptions - Infrastructure'!E131,'Assumptions - Infrastructure'!E131)," ")</f>
        <v>4000</v>
      </c>
      <c r="F1037" s="12">
        <f>IF(OR(F$19=1,F$20=1),IF(AND($D$1031=1,$D$1034=1),E1037*(1+$D$1033),'Assumptions - Infrastructure'!F131*$D$1032)," ")</f>
        <v>4000</v>
      </c>
      <c r="G1037" s="12">
        <f>IF(OR(G$19=1,G$20=1),IF(AND($D$1031=1,$D$1034=1),F1037*(1+$D$1033),'Assumptions - Infrastructure'!G131*$D$1032)," ")</f>
        <v>4000</v>
      </c>
      <c r="H1037" s="12">
        <f>IF(OR(H$19=1,H$20=1),IF(AND($D$1031=1,$D$1034=1),G1037*(1+$D$1033),'Assumptions - Infrastructure'!H131*$D$1032)," ")</f>
        <v>4000</v>
      </c>
      <c r="I1037" s="12">
        <f>IF(OR(I$19=1,I$20=1),IF(AND($D$1031=1,$D$1034=1),H1037*(1+$D$1033),'Assumptions - Infrastructure'!I131*$D$1032)," ")</f>
        <v>4000</v>
      </c>
      <c r="J1037" s="12">
        <f>IF(OR(J$19=1,J$20=1),IF(AND($D$1031=1,$D$1034=1),I1037*(1+$D$1033),'Assumptions - Infrastructure'!J131*$D$1032)," ")</f>
        <v>4000</v>
      </c>
      <c r="K1037" s="12">
        <f>IF(OR(K$19=1,K$20=1),IF(AND($D$1031=1,$D$1034=1),J1037*(1+$D$1033),'Assumptions - Infrastructure'!K131*$D$1032)," ")</f>
        <v>4500</v>
      </c>
      <c r="L1037" s="12">
        <f>IF(OR(L$19=1,L$20=1),IF(AND($D$1031=1,$D$1034=1),K1037*(1+$D$1033),'Assumptions - Infrastructure'!L131*$D$1032)," ")</f>
        <v>4500</v>
      </c>
      <c r="M1037" s="12">
        <f>IF(OR(M$19=1,M$20=1),IF(AND($D$1031=1,$D$1034=1),L1037*(1+$D$1033),'Assumptions - Infrastructure'!M131*$D$1032)," ")</f>
        <v>4500</v>
      </c>
      <c r="N1037" s="12">
        <f>IF(OR(N$19=1,N$20=1),IF(AND($D$1031=1,$D$1034=1),M1037*(1+$D$1033),'Assumptions - Infrastructure'!N131*$D$1032)," ")</f>
        <v>4500</v>
      </c>
      <c r="O1037" s="12">
        <f>IF(OR(O$19=1,O$20=1),IF(AND($D$1031=1,$D$1034=1),N1037*(1+$D$1033),'Assumptions - Infrastructure'!O131*$D$1032)," ")</f>
        <v>4500</v>
      </c>
      <c r="P1037" s="12">
        <f>IF(OR(P$19=1,P$20=1),IF(AND($D$1031=1,$D$1034=1),O1037*(1+$D$1033),'Assumptions - Infrastructure'!P131*$D$1032)," ")</f>
        <v>4500</v>
      </c>
      <c r="Q1037" s="12">
        <f>IF(OR(Q$19=1,Q$20=1),IF(AND($D$1031=1,$D$1034=1),P1037*(1+$D$1033),'Assumptions - Infrastructure'!Q131*$D$1032)," ")</f>
        <v>4500</v>
      </c>
      <c r="R1037" s="12">
        <f>IF(OR(R$19=1,R$20=1),IF(AND($D$1031=1,$D$1034=1),Q1037*(1+$D$1033),'Assumptions - Infrastructure'!R131*$D$1032)," ")</f>
        <v>4500</v>
      </c>
      <c r="S1037" s="12">
        <f>IF(OR(S$19=1,S$20=1),IF(AND($D$1031=1,$D$1034=1),R1037*(1+$D$1033),'Assumptions - Infrastructure'!S131*$D$1032)," ")</f>
        <v>4500</v>
      </c>
      <c r="T1037" s="12">
        <f>IF(OR(T$19=1,T$20=1),IF(AND($D$1031=1,$D$1034=1),S1037*(1+$D$1033),'Assumptions - Infrastructure'!T131*$D$1032)," ")</f>
        <v>4500</v>
      </c>
      <c r="U1037" s="12">
        <f>IF(OR(U$19=1,U$20=1),IF(AND($D$1031=1,$D$1034=1),T1037*(1+$D$1033),'Assumptions - Infrastructure'!U131*$D$1032)," ")</f>
        <v>4500</v>
      </c>
      <c r="V1037" s="12">
        <f>IF(OR(V$19=1,V$20=1),IF(AND($D$1031=1,$D$1034=1),U1037*(1+$D$1033),'Assumptions - Infrastructure'!V131*$D$1032)," ")</f>
        <v>4500</v>
      </c>
      <c r="W1037" s="12">
        <f>IF(OR(W$19=1,W$20=1),IF(AND($D$1031=1,$D$1034=1),V1037*(1+$D$1033),'Assumptions - Infrastructure'!W131*$D$1032)," ")</f>
        <v>4500</v>
      </c>
      <c r="X1037" s="12">
        <f>IF(OR(X$19=1,X$20=1),IF(AND($D$1031=1,$D$1034=1),W1037*(1+$D$1033),'Assumptions - Infrastructure'!X131*$D$1032)," ")</f>
        <v>4500</v>
      </c>
      <c r="Y1037" s="12">
        <f>IF(OR(Y$19=1,Y$20=1),IF(AND($D$1031=1,$D$1034=1),X1037*(1+$D$1033),'Assumptions - Infrastructure'!Y131*$D$1032)," ")</f>
        <v>4500</v>
      </c>
      <c r="Z1037" s="12">
        <f>IF(OR(Z$19=1,Z$20=1),IF(AND($D$1031=1,$D$1034=1),Y1037*(1+$D$1033),'Assumptions - Infrastructure'!Z131*$D$1032)," ")</f>
        <v>4500</v>
      </c>
      <c r="AA1037" s="12">
        <f>IF(OR(AA$19=1,AA$20=1),IF(AND($D$1031=1,$D$1034=1),Z1037*(1+$D$1033),'Assumptions - Infrastructure'!AA131*$D$1032)," ")</f>
        <v>4500</v>
      </c>
      <c r="AB1037" s="12">
        <f>IF(OR(AB$19=1,AB$20=1),IF(AND($D$1031=1,$D$1034=1),AA1037*(1+$D$1033),'Assumptions - Infrastructure'!AB131*$D$1032)," ")</f>
        <v>4500</v>
      </c>
      <c r="AC1037" s="12">
        <f>IF(OR(AC$19=1,AC$20=1),IF(AND($D$1031=1,$D$1034=1),AB1037*(1+$D$1033),'Assumptions - Infrastructure'!AC131*$D$1032)," ")</f>
        <v>4500</v>
      </c>
      <c r="AD1037" s="12">
        <f>IF(OR(AD$19=1,AD$20=1),IF(AND($D$1031=1,$D$1034=1),AC1037*(1+$D$1033),'Assumptions - Infrastructure'!AD131*$D$1032)," ")</f>
        <v>4500</v>
      </c>
      <c r="AE1037" s="12">
        <f>IF(OR(AE$19=1,AE$20=1),IF(AND($D$1031=1,$D$1034=1),AD1037*(1+$D$1033),'Assumptions - Infrastructure'!AE131*$D$1032)," ")</f>
        <v>4500</v>
      </c>
      <c r="AF1037" s="12">
        <f>IF(OR(AF$19=1,AF$20=1),IF(AND($D$1031=1,$D$1034=1),AE1037*(1+$D$1033),'Assumptions - Infrastructure'!AF131*$D$1032)," ")</f>
        <v>4500</v>
      </c>
      <c r="AG1037" s="12">
        <f>IF(OR(AG$19=1,AG$20=1),IF(AND($D$1031=1,$D$1034=1),AF1037*(1+$D$1033),'Assumptions - Infrastructure'!AG131*$D$1032)," ")</f>
        <v>4500</v>
      </c>
      <c r="AH1037" s="12">
        <f>IF(OR(AH$19=1,AH$20=1),IF(AND($D$1031=1,$D$1034=1),AG1037*(1+$D$1033),'Assumptions - Infrastructure'!AH131*$D$1032)," ")</f>
        <v>4500</v>
      </c>
    </row>
    <row r="1038" spans="1:34" x14ac:dyDescent="0.2">
      <c r="B1038" s="8" t="str">
        <f>"Annual traffic volume of " &amp;'Assumptions - Infrastructure'!E122</f>
        <v>Annual traffic volume of Freight company 2</v>
      </c>
      <c r="C1038" s="8"/>
      <c r="D1038" s="8" t="str">
        <f>D1037</f>
        <v>Net ton-km (million)</v>
      </c>
      <c r="E1038" s="467">
        <f>IF(OR(E$19=1,E$20=1),IF($D$1031=1,$D$1032*'Assumptions - Infrastructure'!E132,'Assumptions - Infrastructure'!E132)," ")</f>
        <v>4000</v>
      </c>
      <c r="F1038" s="12">
        <f>IF(OR(F$19=1,F$20=1),IF(AND($D$1031=1,$D$1034=1),E1038*(1+$D$1033),'Assumptions - Infrastructure'!F132*$D$1032)," ")</f>
        <v>4000</v>
      </c>
      <c r="G1038" s="12">
        <f>IF(OR(G$19=1,G$20=1),IF(AND($D$1031=1,$D$1034=1),F1038*(1+$D$1033),'Assumptions - Infrastructure'!G132*$D$1032)," ")</f>
        <v>4000</v>
      </c>
      <c r="H1038" s="12">
        <f>IF(OR(H$19=1,H$20=1),IF(AND($D$1031=1,$D$1034=1),G1038*(1+$D$1033),'Assumptions - Infrastructure'!H132*$D$1032)," ")</f>
        <v>4000</v>
      </c>
      <c r="I1038" s="12">
        <f>IF(OR(I$19=1,I$20=1),IF(AND($D$1031=1,$D$1034=1),H1038*(1+$D$1033),'Assumptions - Infrastructure'!I132*$D$1032)," ")</f>
        <v>4000</v>
      </c>
      <c r="J1038" s="12">
        <f>IF(OR(J$19=1,J$20=1),IF(AND($D$1031=1,$D$1034=1),I1038*(1+$D$1033),'Assumptions - Infrastructure'!J132*$D$1032)," ")</f>
        <v>4000</v>
      </c>
      <c r="K1038" s="12">
        <f>IF(OR(K$19=1,K$20=1),IF(AND($D$1031=1,$D$1034=1),J1038*(1+$D$1033),'Assumptions - Infrastructure'!K132*$D$1032)," ")</f>
        <v>4500</v>
      </c>
      <c r="L1038" s="12">
        <f>IF(OR(L$19=1,L$20=1),IF(AND($D$1031=1,$D$1034=1),K1038*(1+$D$1033),'Assumptions - Infrastructure'!L132*$D$1032)," ")</f>
        <v>4500</v>
      </c>
      <c r="M1038" s="12">
        <f>IF(OR(M$19=1,M$20=1),IF(AND($D$1031=1,$D$1034=1),L1038*(1+$D$1033),'Assumptions - Infrastructure'!M132*$D$1032)," ")</f>
        <v>4500</v>
      </c>
      <c r="N1038" s="12">
        <f>IF(OR(N$19=1,N$20=1),IF(AND($D$1031=1,$D$1034=1),M1038*(1+$D$1033),'Assumptions - Infrastructure'!N132*$D$1032)," ")</f>
        <v>4500</v>
      </c>
      <c r="O1038" s="12">
        <f>IF(OR(O$19=1,O$20=1),IF(AND($D$1031=1,$D$1034=1),N1038*(1+$D$1033),'Assumptions - Infrastructure'!O132*$D$1032)," ")</f>
        <v>4500</v>
      </c>
      <c r="P1038" s="12">
        <f>IF(OR(P$19=1,P$20=1),IF(AND($D$1031=1,$D$1034=1),O1038*(1+$D$1033),'Assumptions - Infrastructure'!P132*$D$1032)," ")</f>
        <v>4500</v>
      </c>
      <c r="Q1038" s="12">
        <f>IF(OR(Q$19=1,Q$20=1),IF(AND($D$1031=1,$D$1034=1),P1038*(1+$D$1033),'Assumptions - Infrastructure'!Q132*$D$1032)," ")</f>
        <v>4500</v>
      </c>
      <c r="R1038" s="12">
        <f>IF(OR(R$19=1,R$20=1),IF(AND($D$1031=1,$D$1034=1),Q1038*(1+$D$1033),'Assumptions - Infrastructure'!R132*$D$1032)," ")</f>
        <v>4500</v>
      </c>
      <c r="S1038" s="12">
        <f>IF(OR(S$19=1,S$20=1),IF(AND($D$1031=1,$D$1034=1),R1038*(1+$D$1033),'Assumptions - Infrastructure'!S132*$D$1032)," ")</f>
        <v>4500</v>
      </c>
      <c r="T1038" s="12">
        <f>IF(OR(T$19=1,T$20=1),IF(AND($D$1031=1,$D$1034=1),S1038*(1+$D$1033),'Assumptions - Infrastructure'!T132*$D$1032)," ")</f>
        <v>4500</v>
      </c>
      <c r="U1038" s="12">
        <f>IF(OR(U$19=1,U$20=1),IF(AND($D$1031=1,$D$1034=1),T1038*(1+$D$1033),'Assumptions - Infrastructure'!U132*$D$1032)," ")</f>
        <v>4500</v>
      </c>
      <c r="V1038" s="12">
        <f>IF(OR(V$19=1,V$20=1),IF(AND($D$1031=1,$D$1034=1),U1038*(1+$D$1033),'Assumptions - Infrastructure'!V132*$D$1032)," ")</f>
        <v>4500</v>
      </c>
      <c r="W1038" s="12">
        <f>IF(OR(W$19=1,W$20=1),IF(AND($D$1031=1,$D$1034=1),V1038*(1+$D$1033),'Assumptions - Infrastructure'!W132*$D$1032)," ")</f>
        <v>4500</v>
      </c>
      <c r="X1038" s="12">
        <f>IF(OR(X$19=1,X$20=1),IF(AND($D$1031=1,$D$1034=1),W1038*(1+$D$1033),'Assumptions - Infrastructure'!X132*$D$1032)," ")</f>
        <v>4500</v>
      </c>
      <c r="Y1038" s="12">
        <f>IF(OR(Y$19=1,Y$20=1),IF(AND($D$1031=1,$D$1034=1),X1038*(1+$D$1033),'Assumptions - Infrastructure'!Y132*$D$1032)," ")</f>
        <v>4500</v>
      </c>
      <c r="Z1038" s="12">
        <f>IF(OR(Z$19=1,Z$20=1),IF(AND($D$1031=1,$D$1034=1),Y1038*(1+$D$1033),'Assumptions - Infrastructure'!Z132*$D$1032)," ")</f>
        <v>4500</v>
      </c>
      <c r="AA1038" s="12">
        <f>IF(OR(AA$19=1,AA$20=1),IF(AND($D$1031=1,$D$1034=1),Z1038*(1+$D$1033),'Assumptions - Infrastructure'!AA132*$D$1032)," ")</f>
        <v>4500</v>
      </c>
      <c r="AB1038" s="12">
        <f>IF(OR(AB$19=1,AB$20=1),IF(AND($D$1031=1,$D$1034=1),AA1038*(1+$D$1033),'Assumptions - Infrastructure'!AB132*$D$1032)," ")</f>
        <v>4500</v>
      </c>
      <c r="AC1038" s="12">
        <f>IF(OR(AC$19=1,AC$20=1),IF(AND($D$1031=1,$D$1034=1),AB1038*(1+$D$1033),'Assumptions - Infrastructure'!AC132*$D$1032)," ")</f>
        <v>4500</v>
      </c>
      <c r="AD1038" s="12">
        <f>IF(OR(AD$19=1,AD$20=1),IF(AND($D$1031=1,$D$1034=1),AC1038*(1+$D$1033),'Assumptions - Infrastructure'!AD132*$D$1032)," ")</f>
        <v>4500</v>
      </c>
      <c r="AE1038" s="12">
        <f>IF(OR(AE$19=1,AE$20=1),IF(AND($D$1031=1,$D$1034=1),AD1038*(1+$D$1033),'Assumptions - Infrastructure'!AE132*$D$1032)," ")</f>
        <v>4500</v>
      </c>
      <c r="AF1038" s="12">
        <f>IF(OR(AF$19=1,AF$20=1),IF(AND($D$1031=1,$D$1034=1),AE1038*(1+$D$1033),'Assumptions - Infrastructure'!AF132*$D$1032)," ")</f>
        <v>4500</v>
      </c>
      <c r="AG1038" s="12">
        <f>IF(OR(AG$19=1,AG$20=1),IF(AND($D$1031=1,$D$1034=1),AF1038*(1+$D$1033),'Assumptions - Infrastructure'!AG132*$D$1032)," ")</f>
        <v>4500</v>
      </c>
      <c r="AH1038" s="12">
        <f>IF(OR(AH$19=1,AH$20=1),IF(AND($D$1031=1,$D$1034=1),AG1038*(1+$D$1033),'Assumptions - Infrastructure'!AH132*$D$1032)," ")</f>
        <v>4500</v>
      </c>
    </row>
    <row r="1039" spans="1:34" x14ac:dyDescent="0.2">
      <c r="B1039" s="8" t="str">
        <f>"Annual traffic volume of " &amp;'Assumptions - Infrastructure'!E123</f>
        <v>Annual traffic volume of Freight company 3</v>
      </c>
      <c r="C1039" s="8"/>
      <c r="D1039" s="8" t="str">
        <f>D1038</f>
        <v>Net ton-km (million)</v>
      </c>
      <c r="E1039" s="467">
        <f>IF(OR(E$19=1,E$20=1),IF($D$1031=1,$D$1032*'Assumptions - Infrastructure'!E133,'Assumptions - Infrastructure'!E133)," ")</f>
        <v>4000</v>
      </c>
      <c r="F1039" s="12">
        <f>IF(OR(F$19=1,F$20=1),IF(AND($D$1031=1,$D$1034=1),E1039*(1+$D$1033),'Assumptions - Infrastructure'!F133*$D$1032)," ")</f>
        <v>4000</v>
      </c>
      <c r="G1039" s="12">
        <f>IF(OR(G$19=1,G$20=1),IF(AND($D$1031=1,$D$1034=1),F1039*(1+$D$1033),'Assumptions - Infrastructure'!G133*$D$1032)," ")</f>
        <v>4000</v>
      </c>
      <c r="H1039" s="12">
        <f>IF(OR(H$19=1,H$20=1),IF(AND($D$1031=1,$D$1034=1),G1039*(1+$D$1033),'Assumptions - Infrastructure'!H133*$D$1032)," ")</f>
        <v>4000</v>
      </c>
      <c r="I1039" s="12">
        <f>IF(OR(I$19=1,I$20=1),IF(AND($D$1031=1,$D$1034=1),H1039*(1+$D$1033),'Assumptions - Infrastructure'!I133*$D$1032)," ")</f>
        <v>4000</v>
      </c>
      <c r="J1039" s="12">
        <f>IF(OR(J$19=1,J$20=1),IF(AND($D$1031=1,$D$1034=1),I1039*(1+$D$1033),'Assumptions - Infrastructure'!J133*$D$1032)," ")</f>
        <v>4000</v>
      </c>
      <c r="K1039" s="12">
        <f>IF(OR(K$19=1,K$20=1),IF(AND($D$1031=1,$D$1034=1),J1039*(1+$D$1033),'Assumptions - Infrastructure'!K133*$D$1032)," ")</f>
        <v>4500</v>
      </c>
      <c r="L1039" s="12">
        <f>IF(OR(L$19=1,L$20=1),IF(AND($D$1031=1,$D$1034=1),K1039*(1+$D$1033),'Assumptions - Infrastructure'!L133*$D$1032)," ")</f>
        <v>4500</v>
      </c>
      <c r="M1039" s="12">
        <f>IF(OR(M$19=1,M$20=1),IF(AND($D$1031=1,$D$1034=1),L1039*(1+$D$1033),'Assumptions - Infrastructure'!M133*$D$1032)," ")</f>
        <v>4500</v>
      </c>
      <c r="N1039" s="12">
        <f>IF(OR(N$19=1,N$20=1),IF(AND($D$1031=1,$D$1034=1),M1039*(1+$D$1033),'Assumptions - Infrastructure'!N133*$D$1032)," ")</f>
        <v>4500</v>
      </c>
      <c r="O1039" s="12">
        <f>IF(OR(O$19=1,O$20=1),IF(AND($D$1031=1,$D$1034=1),N1039*(1+$D$1033),'Assumptions - Infrastructure'!O133*$D$1032)," ")</f>
        <v>4500</v>
      </c>
      <c r="P1039" s="12">
        <f>IF(OR(P$19=1,P$20=1),IF(AND($D$1031=1,$D$1034=1),O1039*(1+$D$1033),'Assumptions - Infrastructure'!P133*$D$1032)," ")</f>
        <v>4500</v>
      </c>
      <c r="Q1039" s="12">
        <f>IF(OR(Q$19=1,Q$20=1),IF(AND($D$1031=1,$D$1034=1),P1039*(1+$D$1033),'Assumptions - Infrastructure'!Q133*$D$1032)," ")</f>
        <v>4500</v>
      </c>
      <c r="R1039" s="12">
        <f>IF(OR(R$19=1,R$20=1),IF(AND($D$1031=1,$D$1034=1),Q1039*(1+$D$1033),'Assumptions - Infrastructure'!R133*$D$1032)," ")</f>
        <v>4500</v>
      </c>
      <c r="S1039" s="12">
        <f>IF(OR(S$19=1,S$20=1),IF(AND($D$1031=1,$D$1034=1),R1039*(1+$D$1033),'Assumptions - Infrastructure'!S133*$D$1032)," ")</f>
        <v>4500</v>
      </c>
      <c r="T1039" s="12">
        <f>IF(OR(T$19=1,T$20=1),IF(AND($D$1031=1,$D$1034=1),S1039*(1+$D$1033),'Assumptions - Infrastructure'!T133*$D$1032)," ")</f>
        <v>4500</v>
      </c>
      <c r="U1039" s="12">
        <f>IF(OR(U$19=1,U$20=1),IF(AND($D$1031=1,$D$1034=1),T1039*(1+$D$1033),'Assumptions - Infrastructure'!U133*$D$1032)," ")</f>
        <v>4500</v>
      </c>
      <c r="V1039" s="12">
        <f>IF(OR(V$19=1,V$20=1),IF(AND($D$1031=1,$D$1034=1),U1039*(1+$D$1033),'Assumptions - Infrastructure'!V133*$D$1032)," ")</f>
        <v>4500</v>
      </c>
      <c r="W1039" s="12">
        <f>IF(OR(W$19=1,W$20=1),IF(AND($D$1031=1,$D$1034=1),V1039*(1+$D$1033),'Assumptions - Infrastructure'!W133*$D$1032)," ")</f>
        <v>4500</v>
      </c>
      <c r="X1039" s="12">
        <f>IF(OR(X$19=1,X$20=1),IF(AND($D$1031=1,$D$1034=1),W1039*(1+$D$1033),'Assumptions - Infrastructure'!X133*$D$1032)," ")</f>
        <v>4500</v>
      </c>
      <c r="Y1039" s="12">
        <f>IF(OR(Y$19=1,Y$20=1),IF(AND($D$1031=1,$D$1034=1),X1039*(1+$D$1033),'Assumptions - Infrastructure'!Y133*$D$1032)," ")</f>
        <v>4500</v>
      </c>
      <c r="Z1039" s="12">
        <f>IF(OR(Z$19=1,Z$20=1),IF(AND($D$1031=1,$D$1034=1),Y1039*(1+$D$1033),'Assumptions - Infrastructure'!Z133*$D$1032)," ")</f>
        <v>4500</v>
      </c>
      <c r="AA1039" s="12">
        <f>IF(OR(AA$19=1,AA$20=1),IF(AND($D$1031=1,$D$1034=1),Z1039*(1+$D$1033),'Assumptions - Infrastructure'!AA133*$D$1032)," ")</f>
        <v>4500</v>
      </c>
      <c r="AB1039" s="12">
        <f>IF(OR(AB$19=1,AB$20=1),IF(AND($D$1031=1,$D$1034=1),AA1039*(1+$D$1033),'Assumptions - Infrastructure'!AB133*$D$1032)," ")</f>
        <v>4500</v>
      </c>
      <c r="AC1039" s="12">
        <f>IF(OR(AC$19=1,AC$20=1),IF(AND($D$1031=1,$D$1034=1),AB1039*(1+$D$1033),'Assumptions - Infrastructure'!AC133*$D$1032)," ")</f>
        <v>4500</v>
      </c>
      <c r="AD1039" s="12">
        <f>IF(OR(AD$19=1,AD$20=1),IF(AND($D$1031=1,$D$1034=1),AC1039*(1+$D$1033),'Assumptions - Infrastructure'!AD133*$D$1032)," ")</f>
        <v>4500</v>
      </c>
      <c r="AE1039" s="12">
        <f>IF(OR(AE$19=1,AE$20=1),IF(AND($D$1031=1,$D$1034=1),AD1039*(1+$D$1033),'Assumptions - Infrastructure'!AE133*$D$1032)," ")</f>
        <v>4500</v>
      </c>
      <c r="AF1039" s="12">
        <f>IF(OR(AF$19=1,AF$20=1),IF(AND($D$1031=1,$D$1034=1),AE1039*(1+$D$1033),'Assumptions - Infrastructure'!AF133*$D$1032)," ")</f>
        <v>4500</v>
      </c>
      <c r="AG1039" s="12">
        <f>IF(OR(AG$19=1,AG$20=1),IF(AND($D$1031=1,$D$1034=1),AF1039*(1+$D$1033),'Assumptions - Infrastructure'!AG133*$D$1032)," ")</f>
        <v>4500</v>
      </c>
      <c r="AH1039" s="12">
        <f>IF(OR(AH$19=1,AH$20=1),IF(AND($D$1031=1,$D$1034=1),AG1039*(1+$D$1033),'Assumptions - Infrastructure'!AH133*$D$1032)," ")</f>
        <v>4500</v>
      </c>
    </row>
    <row r="1040" spans="1:34" x14ac:dyDescent="0.2">
      <c r="B1040" s="8" t="str">
        <f>"Annual traffic volume of " &amp;'Assumptions - Infrastructure'!E124</f>
        <v>Annual traffic volume of Freight company 4</v>
      </c>
      <c r="C1040" s="8"/>
      <c r="D1040" s="8" t="str">
        <f>D1039</f>
        <v>Net ton-km (million)</v>
      </c>
      <c r="E1040" s="467">
        <f>IF(OR(E$19=1,E$20=1),IF($D$1031=1,$D$1032*'Assumptions - Infrastructure'!E134,'Assumptions - Infrastructure'!E134)," ")</f>
        <v>4000</v>
      </c>
      <c r="F1040" s="12">
        <f>IF(OR(F$19=1,F$20=1),IF(AND($D$1031=1,$D$1034=1),E1040*(1+$D$1033),'Assumptions - Infrastructure'!F134*$D$1032)," ")</f>
        <v>4000</v>
      </c>
      <c r="G1040" s="12">
        <f>IF(OR(G$19=1,G$20=1),IF(AND($D$1031=1,$D$1034=1),F1040*(1+$D$1033),'Assumptions - Infrastructure'!G134*$D$1032)," ")</f>
        <v>4000</v>
      </c>
      <c r="H1040" s="12">
        <f>IF(OR(H$19=1,H$20=1),IF(AND($D$1031=1,$D$1034=1),G1040*(1+$D$1033),'Assumptions - Infrastructure'!H134*$D$1032)," ")</f>
        <v>4000</v>
      </c>
      <c r="I1040" s="12">
        <f>IF(OR(I$19=1,I$20=1),IF(AND($D$1031=1,$D$1034=1),H1040*(1+$D$1033),'Assumptions - Infrastructure'!I134*$D$1032)," ")</f>
        <v>4000</v>
      </c>
      <c r="J1040" s="12">
        <f>IF(OR(J$19=1,J$20=1),IF(AND($D$1031=1,$D$1034=1),I1040*(1+$D$1033),'Assumptions - Infrastructure'!J134*$D$1032)," ")</f>
        <v>4000</v>
      </c>
      <c r="K1040" s="12">
        <f>IF(OR(K$19=1,K$20=1),IF(AND($D$1031=1,$D$1034=1),J1040*(1+$D$1033),'Assumptions - Infrastructure'!K134*$D$1032)," ")</f>
        <v>4500</v>
      </c>
      <c r="L1040" s="12">
        <f>IF(OR(L$19=1,L$20=1),IF(AND($D$1031=1,$D$1034=1),K1040*(1+$D$1033),'Assumptions - Infrastructure'!L134*$D$1032)," ")</f>
        <v>4500</v>
      </c>
      <c r="M1040" s="12">
        <f>IF(OR(M$19=1,M$20=1),IF(AND($D$1031=1,$D$1034=1),L1040*(1+$D$1033),'Assumptions - Infrastructure'!M134*$D$1032)," ")</f>
        <v>4500</v>
      </c>
      <c r="N1040" s="12">
        <f>IF(OR(N$19=1,N$20=1),IF(AND($D$1031=1,$D$1034=1),M1040*(1+$D$1033),'Assumptions - Infrastructure'!N134*$D$1032)," ")</f>
        <v>4500</v>
      </c>
      <c r="O1040" s="12">
        <f>IF(OR(O$19=1,O$20=1),IF(AND($D$1031=1,$D$1034=1),N1040*(1+$D$1033),'Assumptions - Infrastructure'!O134*$D$1032)," ")</f>
        <v>4500</v>
      </c>
      <c r="P1040" s="12">
        <f>IF(OR(P$19=1,P$20=1),IF(AND($D$1031=1,$D$1034=1),O1040*(1+$D$1033),'Assumptions - Infrastructure'!P134*$D$1032)," ")</f>
        <v>4500</v>
      </c>
      <c r="Q1040" s="12">
        <f>IF(OR(Q$19=1,Q$20=1),IF(AND($D$1031=1,$D$1034=1),P1040*(1+$D$1033),'Assumptions - Infrastructure'!Q134*$D$1032)," ")</f>
        <v>4500</v>
      </c>
      <c r="R1040" s="12">
        <f>IF(OR(R$19=1,R$20=1),IF(AND($D$1031=1,$D$1034=1),Q1040*(1+$D$1033),'Assumptions - Infrastructure'!R134*$D$1032)," ")</f>
        <v>4500</v>
      </c>
      <c r="S1040" s="12">
        <f>IF(OR(S$19=1,S$20=1),IF(AND($D$1031=1,$D$1034=1),R1040*(1+$D$1033),'Assumptions - Infrastructure'!S134*$D$1032)," ")</f>
        <v>4500</v>
      </c>
      <c r="T1040" s="12">
        <f>IF(OR(T$19=1,T$20=1),IF(AND($D$1031=1,$D$1034=1),S1040*(1+$D$1033),'Assumptions - Infrastructure'!T134*$D$1032)," ")</f>
        <v>4500</v>
      </c>
      <c r="U1040" s="12">
        <f>IF(OR(U$19=1,U$20=1),IF(AND($D$1031=1,$D$1034=1),T1040*(1+$D$1033),'Assumptions - Infrastructure'!U134*$D$1032)," ")</f>
        <v>4500</v>
      </c>
      <c r="V1040" s="12">
        <f>IF(OR(V$19=1,V$20=1),IF(AND($D$1031=1,$D$1034=1),U1040*(1+$D$1033),'Assumptions - Infrastructure'!V134*$D$1032)," ")</f>
        <v>4500</v>
      </c>
      <c r="W1040" s="12">
        <f>IF(OR(W$19=1,W$20=1),IF(AND($D$1031=1,$D$1034=1),V1040*(1+$D$1033),'Assumptions - Infrastructure'!W134*$D$1032)," ")</f>
        <v>4500</v>
      </c>
      <c r="X1040" s="12">
        <f>IF(OR(X$19=1,X$20=1),IF(AND($D$1031=1,$D$1034=1),W1040*(1+$D$1033),'Assumptions - Infrastructure'!X134*$D$1032)," ")</f>
        <v>4500</v>
      </c>
      <c r="Y1040" s="12">
        <f>IF(OR(Y$19=1,Y$20=1),IF(AND($D$1031=1,$D$1034=1),X1040*(1+$D$1033),'Assumptions - Infrastructure'!Y134*$D$1032)," ")</f>
        <v>4500</v>
      </c>
      <c r="Z1040" s="12">
        <f>IF(OR(Z$19=1,Z$20=1),IF(AND($D$1031=1,$D$1034=1),Y1040*(1+$D$1033),'Assumptions - Infrastructure'!Z134*$D$1032)," ")</f>
        <v>4500</v>
      </c>
      <c r="AA1040" s="12">
        <f>IF(OR(AA$19=1,AA$20=1),IF(AND($D$1031=1,$D$1034=1),Z1040*(1+$D$1033),'Assumptions - Infrastructure'!AA134*$D$1032)," ")</f>
        <v>4500</v>
      </c>
      <c r="AB1040" s="12">
        <f>IF(OR(AB$19=1,AB$20=1),IF(AND($D$1031=1,$D$1034=1),AA1040*(1+$D$1033),'Assumptions - Infrastructure'!AB134*$D$1032)," ")</f>
        <v>4500</v>
      </c>
      <c r="AC1040" s="12">
        <f>IF(OR(AC$19=1,AC$20=1),IF(AND($D$1031=1,$D$1034=1),AB1040*(1+$D$1033),'Assumptions - Infrastructure'!AC134*$D$1032)," ")</f>
        <v>4500</v>
      </c>
      <c r="AD1040" s="12">
        <f>IF(OR(AD$19=1,AD$20=1),IF(AND($D$1031=1,$D$1034=1),AC1040*(1+$D$1033),'Assumptions - Infrastructure'!AD134*$D$1032)," ")</f>
        <v>4500</v>
      </c>
      <c r="AE1040" s="12">
        <f>IF(OR(AE$19=1,AE$20=1),IF(AND($D$1031=1,$D$1034=1),AD1040*(1+$D$1033),'Assumptions - Infrastructure'!AE134*$D$1032)," ")</f>
        <v>4500</v>
      </c>
      <c r="AF1040" s="12">
        <f>IF(OR(AF$19=1,AF$20=1),IF(AND($D$1031=1,$D$1034=1),AE1040*(1+$D$1033),'Assumptions - Infrastructure'!AF134*$D$1032)," ")</f>
        <v>4500</v>
      </c>
      <c r="AG1040" s="12">
        <f>IF(OR(AG$19=1,AG$20=1),IF(AND($D$1031=1,$D$1034=1),AF1040*(1+$D$1033),'Assumptions - Infrastructure'!AG134*$D$1032)," ")</f>
        <v>4500</v>
      </c>
      <c r="AH1040" s="12">
        <f>IF(OR(AH$19=1,AH$20=1),IF(AND($D$1031=1,$D$1034=1),AG1040*(1+$D$1033),'Assumptions - Infrastructure'!AH134*$D$1032)," ")</f>
        <v>4500</v>
      </c>
    </row>
    <row r="1041" spans="2:34" x14ac:dyDescent="0.2">
      <c r="B1041" s="8" t="str">
        <f>"Annual traffic volume of " &amp;'Assumptions - Infrastructure'!E125</f>
        <v>Annual traffic volume of Freight company 5</v>
      </c>
      <c r="C1041" s="8"/>
      <c r="D1041" s="8" t="str">
        <f>D1040</f>
        <v>Net ton-km (million)</v>
      </c>
      <c r="E1041" s="467">
        <f>IF(OR(E$19=1,E$20=1),IF($D$1031=1,$D$1032*'Assumptions - Infrastructure'!E135,'Assumptions - Infrastructure'!E135)," ")</f>
        <v>4000</v>
      </c>
      <c r="F1041" s="12">
        <f>IF(OR(F$19=1,F$20=1),IF(AND($D$1031=1,$D$1034=1),E1041*(1+$D$1033),'Assumptions - Infrastructure'!F135*$D$1032)," ")</f>
        <v>4000</v>
      </c>
      <c r="G1041" s="12">
        <f>IF(OR(G$19=1,G$20=1),IF(AND($D$1031=1,$D$1034=1),F1041*(1+$D$1033),'Assumptions - Infrastructure'!G135*$D$1032)," ")</f>
        <v>4000</v>
      </c>
      <c r="H1041" s="12">
        <f>IF(OR(H$19=1,H$20=1),IF(AND($D$1031=1,$D$1034=1),G1041*(1+$D$1033),'Assumptions - Infrastructure'!H135*$D$1032)," ")</f>
        <v>4000</v>
      </c>
      <c r="I1041" s="12">
        <f>IF(OR(I$19=1,I$20=1),IF(AND($D$1031=1,$D$1034=1),H1041*(1+$D$1033),'Assumptions - Infrastructure'!I135*$D$1032)," ")</f>
        <v>4000</v>
      </c>
      <c r="J1041" s="12">
        <f>IF(OR(J$19=1,J$20=1),IF(AND($D$1031=1,$D$1034=1),I1041*(1+$D$1033),'Assumptions - Infrastructure'!J135*$D$1032)," ")</f>
        <v>4000</v>
      </c>
      <c r="K1041" s="12">
        <f>IF(OR(K$19=1,K$20=1),IF(AND($D$1031=1,$D$1034=1),J1041*(1+$D$1033),'Assumptions - Infrastructure'!K135*$D$1032)," ")</f>
        <v>4500</v>
      </c>
      <c r="L1041" s="12">
        <f>IF(OR(L$19=1,L$20=1),IF(AND($D$1031=1,$D$1034=1),K1041*(1+$D$1033),'Assumptions - Infrastructure'!L135*$D$1032)," ")</f>
        <v>4500</v>
      </c>
      <c r="M1041" s="12">
        <f>IF(OR(M$19=1,M$20=1),IF(AND($D$1031=1,$D$1034=1),L1041*(1+$D$1033),'Assumptions - Infrastructure'!M135*$D$1032)," ")</f>
        <v>4500</v>
      </c>
      <c r="N1041" s="12">
        <f>IF(OR(N$19=1,N$20=1),IF(AND($D$1031=1,$D$1034=1),M1041*(1+$D$1033),'Assumptions - Infrastructure'!N135*$D$1032)," ")</f>
        <v>4500</v>
      </c>
      <c r="O1041" s="12">
        <f>IF(OR(O$19=1,O$20=1),IF(AND($D$1031=1,$D$1034=1),N1041*(1+$D$1033),'Assumptions - Infrastructure'!O135*$D$1032)," ")</f>
        <v>4500</v>
      </c>
      <c r="P1041" s="12">
        <f>IF(OR(P$19=1,P$20=1),IF(AND($D$1031=1,$D$1034=1),O1041*(1+$D$1033),'Assumptions - Infrastructure'!P135*$D$1032)," ")</f>
        <v>4500</v>
      </c>
      <c r="Q1041" s="12">
        <f>IF(OR(Q$19=1,Q$20=1),IF(AND($D$1031=1,$D$1034=1),P1041*(1+$D$1033),'Assumptions - Infrastructure'!Q135*$D$1032)," ")</f>
        <v>4500</v>
      </c>
      <c r="R1041" s="12">
        <f>IF(OR(R$19=1,R$20=1),IF(AND($D$1031=1,$D$1034=1),Q1041*(1+$D$1033),'Assumptions - Infrastructure'!R135*$D$1032)," ")</f>
        <v>4500</v>
      </c>
      <c r="S1041" s="12">
        <f>IF(OR(S$19=1,S$20=1),IF(AND($D$1031=1,$D$1034=1),R1041*(1+$D$1033),'Assumptions - Infrastructure'!S135*$D$1032)," ")</f>
        <v>4500</v>
      </c>
      <c r="T1041" s="12">
        <f>IF(OR(T$19=1,T$20=1),IF(AND($D$1031=1,$D$1034=1),S1041*(1+$D$1033),'Assumptions - Infrastructure'!T135*$D$1032)," ")</f>
        <v>4500</v>
      </c>
      <c r="U1041" s="12">
        <f>IF(OR(U$19=1,U$20=1),IF(AND($D$1031=1,$D$1034=1),T1041*(1+$D$1033),'Assumptions - Infrastructure'!U135*$D$1032)," ")</f>
        <v>4500</v>
      </c>
      <c r="V1041" s="12">
        <f>IF(OR(V$19=1,V$20=1),IF(AND($D$1031=1,$D$1034=1),U1041*(1+$D$1033),'Assumptions - Infrastructure'!V135*$D$1032)," ")</f>
        <v>4500</v>
      </c>
      <c r="W1041" s="12">
        <f>IF(OR(W$19=1,W$20=1),IF(AND($D$1031=1,$D$1034=1),V1041*(1+$D$1033),'Assumptions - Infrastructure'!W135*$D$1032)," ")</f>
        <v>4500</v>
      </c>
      <c r="X1041" s="12">
        <f>IF(OR(X$19=1,X$20=1),IF(AND($D$1031=1,$D$1034=1),W1041*(1+$D$1033),'Assumptions - Infrastructure'!X135*$D$1032)," ")</f>
        <v>4500</v>
      </c>
      <c r="Y1041" s="12">
        <f>IF(OR(Y$19=1,Y$20=1),IF(AND($D$1031=1,$D$1034=1),X1041*(1+$D$1033),'Assumptions - Infrastructure'!Y135*$D$1032)," ")</f>
        <v>4500</v>
      </c>
      <c r="Z1041" s="12">
        <f>IF(OR(Z$19=1,Z$20=1),IF(AND($D$1031=1,$D$1034=1),Y1041*(1+$D$1033),'Assumptions - Infrastructure'!Z135*$D$1032)," ")</f>
        <v>4500</v>
      </c>
      <c r="AA1041" s="12">
        <f>IF(OR(AA$19=1,AA$20=1),IF(AND($D$1031=1,$D$1034=1),Z1041*(1+$D$1033),'Assumptions - Infrastructure'!AA135*$D$1032)," ")</f>
        <v>4500</v>
      </c>
      <c r="AB1041" s="12">
        <f>IF(OR(AB$19=1,AB$20=1),IF(AND($D$1031=1,$D$1034=1),AA1041*(1+$D$1033),'Assumptions - Infrastructure'!AB135*$D$1032)," ")</f>
        <v>4500</v>
      </c>
      <c r="AC1041" s="12">
        <f>IF(OR(AC$19=1,AC$20=1),IF(AND($D$1031=1,$D$1034=1),AB1041*(1+$D$1033),'Assumptions - Infrastructure'!AC135*$D$1032)," ")</f>
        <v>4500</v>
      </c>
      <c r="AD1041" s="12">
        <f>IF(OR(AD$19=1,AD$20=1),IF(AND($D$1031=1,$D$1034=1),AC1041*(1+$D$1033),'Assumptions - Infrastructure'!AD135*$D$1032)," ")</f>
        <v>4500</v>
      </c>
      <c r="AE1041" s="12">
        <f>IF(OR(AE$19=1,AE$20=1),IF(AND($D$1031=1,$D$1034=1),AD1041*(1+$D$1033),'Assumptions - Infrastructure'!AE135*$D$1032)," ")</f>
        <v>4500</v>
      </c>
      <c r="AF1041" s="12">
        <f>IF(OR(AF$19=1,AF$20=1),IF(AND($D$1031=1,$D$1034=1),AE1041*(1+$D$1033),'Assumptions - Infrastructure'!AF135*$D$1032)," ")</f>
        <v>4500</v>
      </c>
      <c r="AG1041" s="12">
        <f>IF(OR(AG$19=1,AG$20=1),IF(AND($D$1031=1,$D$1034=1),AF1041*(1+$D$1033),'Assumptions - Infrastructure'!AG135*$D$1032)," ")</f>
        <v>4500</v>
      </c>
      <c r="AH1041" s="12">
        <f>IF(OR(AH$19=1,AH$20=1),IF(AND($D$1031=1,$D$1034=1),AG1041*(1+$D$1033),'Assumptions - Infrastructure'!AH135*$D$1032)," ")</f>
        <v>4500</v>
      </c>
    </row>
    <row r="1042" spans="2:34" x14ac:dyDescent="0.2">
      <c r="B1042" s="8" t="str">
        <f>"Annual traffic volume of " &amp;'Assumptions - Infrastructure'!E126</f>
        <v>Annual traffic volume of Other companies</v>
      </c>
      <c r="C1042" s="8"/>
      <c r="D1042" s="8" t="str">
        <f>D1041</f>
        <v>Net ton-km (million)</v>
      </c>
      <c r="E1042" s="467">
        <f>IF(OR(E$19=1,E$20=1),IF($D$1031=1,$D$1032*'Assumptions - Infrastructure'!E136,'Assumptions - Infrastructure'!E136)," ")</f>
        <v>4000</v>
      </c>
      <c r="F1042" s="12">
        <f>IF(OR(F$19=1,F$20=1),IF(AND($D$1031=1,$D$1034=1),E1042*(1+$D$1033),'Assumptions - Infrastructure'!F136*$D$1032)," ")</f>
        <v>4000</v>
      </c>
      <c r="G1042" s="12">
        <f>IF(OR(G$19=1,G$20=1),IF(AND($D$1031=1,$D$1034=1),F1042*(1+$D$1033),'Assumptions - Infrastructure'!G136*$D$1032)," ")</f>
        <v>4000</v>
      </c>
      <c r="H1042" s="12">
        <f>IF(OR(H$19=1,H$20=1),IF(AND($D$1031=1,$D$1034=1),G1042*(1+$D$1033),'Assumptions - Infrastructure'!H136*$D$1032)," ")</f>
        <v>4000</v>
      </c>
      <c r="I1042" s="12">
        <f>IF(OR(I$19=1,I$20=1),IF(AND($D$1031=1,$D$1034=1),H1042*(1+$D$1033),'Assumptions - Infrastructure'!I136*$D$1032)," ")</f>
        <v>4000</v>
      </c>
      <c r="J1042" s="12">
        <f>IF(OR(J$19=1,J$20=1),IF(AND($D$1031=1,$D$1034=1),I1042*(1+$D$1033),'Assumptions - Infrastructure'!J136*$D$1032)," ")</f>
        <v>4000</v>
      </c>
      <c r="K1042" s="12">
        <f>IF(OR(K$19=1,K$20=1),IF(AND($D$1031=1,$D$1034=1),J1042*(1+$D$1033),'Assumptions - Infrastructure'!K136*$D$1032)," ")</f>
        <v>4500</v>
      </c>
      <c r="L1042" s="12">
        <f>IF(OR(L$19=1,L$20=1),IF(AND($D$1031=1,$D$1034=1),K1042*(1+$D$1033),'Assumptions - Infrastructure'!L136*$D$1032)," ")</f>
        <v>4500</v>
      </c>
      <c r="M1042" s="12">
        <f>IF(OR(M$19=1,M$20=1),IF(AND($D$1031=1,$D$1034=1),L1042*(1+$D$1033),'Assumptions - Infrastructure'!M136*$D$1032)," ")</f>
        <v>4500</v>
      </c>
      <c r="N1042" s="12">
        <f>IF(OR(N$19=1,N$20=1),IF(AND($D$1031=1,$D$1034=1),M1042*(1+$D$1033),'Assumptions - Infrastructure'!N136*$D$1032)," ")</f>
        <v>4500</v>
      </c>
      <c r="O1042" s="12">
        <f>IF(OR(O$19=1,O$20=1),IF(AND($D$1031=1,$D$1034=1),N1042*(1+$D$1033),'Assumptions - Infrastructure'!O136*$D$1032)," ")</f>
        <v>4500</v>
      </c>
      <c r="P1042" s="12">
        <f>IF(OR(P$19=1,P$20=1),IF(AND($D$1031=1,$D$1034=1),O1042*(1+$D$1033),'Assumptions - Infrastructure'!P136*$D$1032)," ")</f>
        <v>4500</v>
      </c>
      <c r="Q1042" s="12">
        <f>IF(OR(Q$19=1,Q$20=1),IF(AND($D$1031=1,$D$1034=1),P1042*(1+$D$1033),'Assumptions - Infrastructure'!Q136*$D$1032)," ")</f>
        <v>4500</v>
      </c>
      <c r="R1042" s="12">
        <f>IF(OR(R$19=1,R$20=1),IF(AND($D$1031=1,$D$1034=1),Q1042*(1+$D$1033),'Assumptions - Infrastructure'!R136*$D$1032)," ")</f>
        <v>4500</v>
      </c>
      <c r="S1042" s="12">
        <f>IF(OR(S$19=1,S$20=1),IF(AND($D$1031=1,$D$1034=1),R1042*(1+$D$1033),'Assumptions - Infrastructure'!S136*$D$1032)," ")</f>
        <v>4500</v>
      </c>
      <c r="T1042" s="12">
        <f>IF(OR(T$19=1,T$20=1),IF(AND($D$1031=1,$D$1034=1),S1042*(1+$D$1033),'Assumptions - Infrastructure'!T136*$D$1032)," ")</f>
        <v>4500</v>
      </c>
      <c r="U1042" s="12">
        <f>IF(OR(U$19=1,U$20=1),IF(AND($D$1031=1,$D$1034=1),T1042*(1+$D$1033),'Assumptions - Infrastructure'!U136*$D$1032)," ")</f>
        <v>4500</v>
      </c>
      <c r="V1042" s="12">
        <f>IF(OR(V$19=1,V$20=1),IF(AND($D$1031=1,$D$1034=1),U1042*(1+$D$1033),'Assumptions - Infrastructure'!V136*$D$1032)," ")</f>
        <v>4500</v>
      </c>
      <c r="W1042" s="12">
        <f>IF(OR(W$19=1,W$20=1),IF(AND($D$1031=1,$D$1034=1),V1042*(1+$D$1033),'Assumptions - Infrastructure'!W136*$D$1032)," ")</f>
        <v>4500</v>
      </c>
      <c r="X1042" s="12">
        <f>IF(OR(X$19=1,X$20=1),IF(AND($D$1031=1,$D$1034=1),W1042*(1+$D$1033),'Assumptions - Infrastructure'!X136*$D$1032)," ")</f>
        <v>4500</v>
      </c>
      <c r="Y1042" s="12">
        <f>IF(OR(Y$19=1,Y$20=1),IF(AND($D$1031=1,$D$1034=1),X1042*(1+$D$1033),'Assumptions - Infrastructure'!Y136*$D$1032)," ")</f>
        <v>4500</v>
      </c>
      <c r="Z1042" s="12">
        <f>IF(OR(Z$19=1,Z$20=1),IF(AND($D$1031=1,$D$1034=1),Y1042*(1+$D$1033),'Assumptions - Infrastructure'!Z136*$D$1032)," ")</f>
        <v>4500</v>
      </c>
      <c r="AA1042" s="12">
        <f>IF(OR(AA$19=1,AA$20=1),IF(AND($D$1031=1,$D$1034=1),Z1042*(1+$D$1033),'Assumptions - Infrastructure'!AA136*$D$1032)," ")</f>
        <v>4500</v>
      </c>
      <c r="AB1042" s="12">
        <f>IF(OR(AB$19=1,AB$20=1),IF(AND($D$1031=1,$D$1034=1),AA1042*(1+$D$1033),'Assumptions - Infrastructure'!AB136*$D$1032)," ")</f>
        <v>4500</v>
      </c>
      <c r="AC1042" s="12">
        <f>IF(OR(AC$19=1,AC$20=1),IF(AND($D$1031=1,$D$1034=1),AB1042*(1+$D$1033),'Assumptions - Infrastructure'!AC136*$D$1032)," ")</f>
        <v>4500</v>
      </c>
      <c r="AD1042" s="12">
        <f>IF(OR(AD$19=1,AD$20=1),IF(AND($D$1031=1,$D$1034=1),AC1042*(1+$D$1033),'Assumptions - Infrastructure'!AD136*$D$1032)," ")</f>
        <v>4500</v>
      </c>
      <c r="AE1042" s="12">
        <f>IF(OR(AE$19=1,AE$20=1),IF(AND($D$1031=1,$D$1034=1),AD1042*(1+$D$1033),'Assumptions - Infrastructure'!AE136*$D$1032)," ")</f>
        <v>4500</v>
      </c>
      <c r="AF1042" s="12">
        <f>IF(OR(AF$19=1,AF$20=1),IF(AND($D$1031=1,$D$1034=1),AE1042*(1+$D$1033),'Assumptions - Infrastructure'!AF136*$D$1032)," ")</f>
        <v>4500</v>
      </c>
      <c r="AG1042" s="12">
        <f>IF(OR(AG$19=1,AG$20=1),IF(AND($D$1031=1,$D$1034=1),AF1042*(1+$D$1033),'Assumptions - Infrastructure'!AG136*$D$1032)," ")</f>
        <v>4500</v>
      </c>
      <c r="AH1042" s="12">
        <f>IF(OR(AH$19=1,AH$20=1),IF(AND($D$1031=1,$D$1034=1),AG1042*(1+$D$1033),'Assumptions - Infrastructure'!AH136*$D$1032)," ")</f>
        <v>4500</v>
      </c>
    </row>
    <row r="1043" spans="2:34" x14ac:dyDescent="0.2">
      <c r="B1043" s="7"/>
      <c r="C1043" s="8"/>
      <c r="D1043" s="8"/>
      <c r="E1043" s="9"/>
      <c r="F1043" s="9"/>
      <c r="G1043" s="9"/>
      <c r="H1043" s="9"/>
      <c r="I1043" s="9"/>
      <c r="J1043" s="9"/>
      <c r="K1043" s="9"/>
      <c r="L1043" s="9"/>
      <c r="M1043" s="9"/>
      <c r="N1043" s="9"/>
      <c r="O1043" s="9"/>
      <c r="P1043" s="9"/>
      <c r="Q1043" s="9"/>
      <c r="R1043" s="9"/>
      <c r="S1043" s="9"/>
      <c r="T1043" s="9"/>
      <c r="U1043" s="9"/>
      <c r="V1043" s="9"/>
      <c r="W1043" s="9"/>
      <c r="X1043" s="9"/>
      <c r="Y1043" s="9"/>
      <c r="Z1043" s="9"/>
      <c r="AA1043" s="9"/>
      <c r="AB1043" s="9"/>
      <c r="AC1043" s="9"/>
      <c r="AD1043" s="9"/>
      <c r="AE1043" s="9"/>
      <c r="AF1043" s="9"/>
      <c r="AG1043" s="9"/>
      <c r="AH1043" s="9"/>
    </row>
    <row r="1044" spans="2:34" x14ac:dyDescent="0.2">
      <c r="B1044" s="8" t="str">
        <f t="shared" ref="B1044:B1049" si="404">B1037</f>
        <v>Annual traffic volume of Freight company 1</v>
      </c>
      <c r="C1044" s="8"/>
      <c r="D1044" s="8" t="str">
        <f>IF('Assumptions - Infrastructure'!$E$116=1, "Tons (million)", "Net ton-km (million)")</f>
        <v>Tons (million)</v>
      </c>
      <c r="E1044" s="123">
        <f>IF(E1037&lt;&gt;0,IF(OR(E$19=1,E$20=1),IF('Assumptions - Infrastructure'!$E$116=1, E1037/'Assumptions - Infrastructure'!$E$118,E1037*'Assumptions - Infrastructure'!$E$118)," "),0)</f>
        <v>40</v>
      </c>
      <c r="F1044" s="123">
        <f>IF(F1037&lt;&gt;0,IF(OR(F$19=1,F$20=1),IF('Assumptions - Infrastructure'!$E$116=1, F1037/'Assumptions - Infrastructure'!$E$118,F1037*'Assumptions - Infrastructure'!$E$118)," "),0)</f>
        <v>40</v>
      </c>
      <c r="G1044" s="123">
        <f>IF(G1037&lt;&gt;0,IF(OR(G$19=1,G$20=1),IF('Assumptions - Infrastructure'!$E$116=1, G1037/'Assumptions - Infrastructure'!$E$118,G1037*'Assumptions - Infrastructure'!$E$118)," "),0)</f>
        <v>40</v>
      </c>
      <c r="H1044" s="123">
        <f>IF(H1037&lt;&gt;0,IF(OR(H$19=1,H$20=1),IF('Assumptions - Infrastructure'!$E$116=1, H1037/'Assumptions - Infrastructure'!$E$118,H1037*'Assumptions - Infrastructure'!$E$118)," "),0)</f>
        <v>40</v>
      </c>
      <c r="I1044" s="123">
        <f>IF(I1037&lt;&gt;0,IF(OR(I$19=1,I$20=1),IF('Assumptions - Infrastructure'!$E$116=1, I1037/'Assumptions - Infrastructure'!$E$118,I1037*'Assumptions - Infrastructure'!$E$118)," "),0)</f>
        <v>40</v>
      </c>
      <c r="J1044" s="123">
        <f>IF(J1037&lt;&gt;0,IF(OR(J$19=1,J$20=1),IF('Assumptions - Infrastructure'!$E$116=1, J1037/'Assumptions - Infrastructure'!$E$118,J1037*'Assumptions - Infrastructure'!$E$118)," "),0)</f>
        <v>40</v>
      </c>
      <c r="K1044" s="123">
        <f>IF(K1037&lt;&gt;0,IF(OR(K$19=1,K$20=1),IF('Assumptions - Infrastructure'!$E$116=1, K1037/'Assumptions - Infrastructure'!$E$118,K1037*'Assumptions - Infrastructure'!$E$118)," "),0)</f>
        <v>45</v>
      </c>
      <c r="L1044" s="123">
        <f>IF(L1037&lt;&gt;0,IF(OR(L$19=1,L$20=1),IF('Assumptions - Infrastructure'!$E$116=1, L1037/'Assumptions - Infrastructure'!$E$118,L1037*'Assumptions - Infrastructure'!$E$118)," "),0)</f>
        <v>45</v>
      </c>
      <c r="M1044" s="123">
        <f>IF(M1037&lt;&gt;0,IF(OR(M$19=1,M$20=1),IF('Assumptions - Infrastructure'!$E$116=1, M1037/'Assumptions - Infrastructure'!$E$118,M1037*'Assumptions - Infrastructure'!$E$118)," "),0)</f>
        <v>45</v>
      </c>
      <c r="N1044" s="123">
        <f>IF(N1037&lt;&gt;0,IF(OR(N$19=1,N$20=1),IF('Assumptions - Infrastructure'!$E$116=1, N1037/'Assumptions - Infrastructure'!$E$118,N1037*'Assumptions - Infrastructure'!$E$118)," "),0)</f>
        <v>45</v>
      </c>
      <c r="O1044" s="123">
        <f>IF(O1037&lt;&gt;0,IF(OR(O$19=1,O$20=1),IF('Assumptions - Infrastructure'!$E$116=1, O1037/'Assumptions - Infrastructure'!$E$118,O1037*'Assumptions - Infrastructure'!$E$118)," "),0)</f>
        <v>45</v>
      </c>
      <c r="P1044" s="123">
        <f>IF(P1037&lt;&gt;0,IF(OR(P$19=1,P$20=1),IF('Assumptions - Infrastructure'!$E$116=1, P1037/'Assumptions - Infrastructure'!$E$118,P1037*'Assumptions - Infrastructure'!$E$118)," "),0)</f>
        <v>45</v>
      </c>
      <c r="Q1044" s="123">
        <f>IF(Q1037&lt;&gt;0,IF(OR(Q$19=1,Q$20=1),IF('Assumptions - Infrastructure'!$E$116=1, Q1037/'Assumptions - Infrastructure'!$E$118,Q1037*'Assumptions - Infrastructure'!$E$118)," "),0)</f>
        <v>45</v>
      </c>
      <c r="R1044" s="123">
        <f>IF(R1037&lt;&gt;0,IF(OR(R$19=1,R$20=1),IF('Assumptions - Infrastructure'!$E$116=1, R1037/'Assumptions - Infrastructure'!$E$118,R1037*'Assumptions - Infrastructure'!$E$118)," "),0)</f>
        <v>45</v>
      </c>
      <c r="S1044" s="123">
        <f>IF(S1037&lt;&gt;0,IF(OR(S$19=1,S$20=1),IF('Assumptions - Infrastructure'!$E$116=1, S1037/'Assumptions - Infrastructure'!$E$118,S1037*'Assumptions - Infrastructure'!$E$118)," "),0)</f>
        <v>45</v>
      </c>
      <c r="T1044" s="123">
        <f>IF(T1037&lt;&gt;0,IF(OR(T$19=1,T$20=1),IF('Assumptions - Infrastructure'!$E$116=1, T1037/'Assumptions - Infrastructure'!$E$118,T1037*'Assumptions - Infrastructure'!$E$118)," "),0)</f>
        <v>45</v>
      </c>
      <c r="U1044" s="123">
        <f>IF(U1037&lt;&gt;0,IF(OR(U$19=1,U$20=1),IF('Assumptions - Infrastructure'!$E$116=1, U1037/'Assumptions - Infrastructure'!$E$118,U1037*'Assumptions - Infrastructure'!$E$118)," "),0)</f>
        <v>45</v>
      </c>
      <c r="V1044" s="123">
        <f>IF(V1037&lt;&gt;0,IF(OR(V$19=1,V$20=1),IF('Assumptions - Infrastructure'!$E$116=1, V1037/'Assumptions - Infrastructure'!$E$118,V1037*'Assumptions - Infrastructure'!$E$118)," "),0)</f>
        <v>45</v>
      </c>
      <c r="W1044" s="123">
        <f>IF(W1037&lt;&gt;0,IF(OR(W$19=1,W$20=1),IF('Assumptions - Infrastructure'!$E$116=1, W1037/'Assumptions - Infrastructure'!$E$118,W1037*'Assumptions - Infrastructure'!$E$118)," "),0)</f>
        <v>45</v>
      </c>
      <c r="X1044" s="123">
        <f>IF(X1037&lt;&gt;0,IF(OR(X$19=1,X$20=1),IF('Assumptions - Infrastructure'!$E$116=1, X1037/'Assumptions - Infrastructure'!$E$118,X1037*'Assumptions - Infrastructure'!$E$118)," "),0)</f>
        <v>45</v>
      </c>
      <c r="Y1044" s="123">
        <f>IF(Y1037&lt;&gt;0,IF(OR(Y$19=1,Y$20=1),IF('Assumptions - Infrastructure'!$E$116=1, Y1037/'Assumptions - Infrastructure'!$E$118,Y1037*'Assumptions - Infrastructure'!$E$118)," "),0)</f>
        <v>45</v>
      </c>
      <c r="Z1044" s="123">
        <f>IF(Z1037&lt;&gt;0,IF(OR(Z$19=1,Z$20=1),IF('Assumptions - Infrastructure'!$E$116=1, Z1037/'Assumptions - Infrastructure'!$E$118,Z1037*'Assumptions - Infrastructure'!$E$118)," "),0)</f>
        <v>45</v>
      </c>
      <c r="AA1044" s="123">
        <f>IF(AA1037&lt;&gt;0,IF(OR(AA$19=1,AA$20=1),IF('Assumptions - Infrastructure'!$E$116=1, AA1037/'Assumptions - Infrastructure'!$E$118,AA1037*'Assumptions - Infrastructure'!$E$118)," "),0)</f>
        <v>45</v>
      </c>
      <c r="AB1044" s="123">
        <f>IF(AB1037&lt;&gt;0,IF(OR(AB$19=1,AB$20=1),IF('Assumptions - Infrastructure'!$E$116=1, AB1037/'Assumptions - Infrastructure'!$E$118,AB1037*'Assumptions - Infrastructure'!$E$118)," "),0)</f>
        <v>45</v>
      </c>
      <c r="AC1044" s="123">
        <f>IF(AC1037&lt;&gt;0,IF(OR(AC$19=1,AC$20=1),IF('Assumptions - Infrastructure'!$E$116=1, AC1037/'Assumptions - Infrastructure'!$E$118,AC1037*'Assumptions - Infrastructure'!$E$118)," "),0)</f>
        <v>45</v>
      </c>
      <c r="AD1044" s="123">
        <f>IF(AD1037&lt;&gt;0,IF(OR(AD$19=1,AD$20=1),IF('Assumptions - Infrastructure'!$E$116=1, AD1037/'Assumptions - Infrastructure'!$E$118,AD1037*'Assumptions - Infrastructure'!$E$118)," "),0)</f>
        <v>45</v>
      </c>
      <c r="AE1044" s="123">
        <f>IF(AE1037&lt;&gt;0,IF(OR(AE$19=1,AE$20=1),IF('Assumptions - Infrastructure'!$E$116=1, AE1037/'Assumptions - Infrastructure'!$E$118,AE1037*'Assumptions - Infrastructure'!$E$118)," "),0)</f>
        <v>45</v>
      </c>
      <c r="AF1044" s="123">
        <f>IF(AF1037&lt;&gt;0,IF(OR(AF$19=1,AF$20=1),IF('Assumptions - Infrastructure'!$E$116=1, AF1037/'Assumptions - Infrastructure'!$E$118,AF1037*'Assumptions - Infrastructure'!$E$118)," "),0)</f>
        <v>45</v>
      </c>
      <c r="AG1044" s="123">
        <f>IF(AG1037&lt;&gt;0,IF(OR(AG$19=1,AG$20=1),IF('Assumptions - Infrastructure'!$E$116=1, AG1037/'Assumptions - Infrastructure'!$E$118,AG1037*'Assumptions - Infrastructure'!$E$118)," "),0)</f>
        <v>45</v>
      </c>
      <c r="AH1044" s="123">
        <f>IF(AH1037&lt;&gt;0,IF(OR(AH$19=1,AH$20=1),IF('Assumptions - Infrastructure'!$E$116=1, AH1037/'Assumptions - Infrastructure'!$E$118,AH1037*'Assumptions - Infrastructure'!$E$118)," "),0)</f>
        <v>45</v>
      </c>
    </row>
    <row r="1045" spans="2:34" x14ac:dyDescent="0.2">
      <c r="B1045" s="8" t="str">
        <f t="shared" si="404"/>
        <v>Annual traffic volume of Freight company 2</v>
      </c>
      <c r="C1045" s="8"/>
      <c r="D1045" s="8" t="str">
        <f>D1044</f>
        <v>Tons (million)</v>
      </c>
      <c r="E1045" s="123">
        <f>IF(E1038&lt;&gt;0,IF(OR(E$19=1,E$20=1),IF('Assumptions - Infrastructure'!$E$116=1, E1038/'Assumptions - Infrastructure'!$E$118,E1038*'Assumptions - Infrastructure'!$E$118)," "),0)</f>
        <v>40</v>
      </c>
      <c r="F1045" s="123">
        <f>IF(F1038&lt;&gt;0,IF(OR(F$19=1,F$20=1),IF('Assumptions - Infrastructure'!$E$116=1, F1038/'Assumptions - Infrastructure'!$E$118,F1038*'Assumptions - Infrastructure'!$E$118)," "),0)</f>
        <v>40</v>
      </c>
      <c r="G1045" s="123">
        <f>IF(G1038&lt;&gt;0,IF(OR(G$19=1,G$20=1),IF('Assumptions - Infrastructure'!$E$116=1, G1038/'Assumptions - Infrastructure'!$E$118,G1038*'Assumptions - Infrastructure'!$E$118)," "),0)</f>
        <v>40</v>
      </c>
      <c r="H1045" s="123">
        <f>IF(H1038&lt;&gt;0,IF(OR(H$19=1,H$20=1),IF('Assumptions - Infrastructure'!$E$116=1, H1038/'Assumptions - Infrastructure'!$E$118,H1038*'Assumptions - Infrastructure'!$E$118)," "),0)</f>
        <v>40</v>
      </c>
      <c r="I1045" s="123">
        <f>IF(I1038&lt;&gt;0,IF(OR(I$19=1,I$20=1),IF('Assumptions - Infrastructure'!$E$116=1, I1038/'Assumptions - Infrastructure'!$E$118,I1038*'Assumptions - Infrastructure'!$E$118)," "),0)</f>
        <v>40</v>
      </c>
      <c r="J1045" s="123">
        <f>IF(J1038&lt;&gt;0,IF(OR(J$19=1,J$20=1),IF('Assumptions - Infrastructure'!$E$116=1, J1038/'Assumptions - Infrastructure'!$E$118,J1038*'Assumptions - Infrastructure'!$E$118)," "),0)</f>
        <v>40</v>
      </c>
      <c r="K1045" s="123">
        <f>IF(K1038&lt;&gt;0,IF(OR(K$19=1,K$20=1),IF('Assumptions - Infrastructure'!$E$116=1, K1038/'Assumptions - Infrastructure'!$E$118,K1038*'Assumptions - Infrastructure'!$E$118)," "),0)</f>
        <v>45</v>
      </c>
      <c r="L1045" s="123">
        <f>IF(L1038&lt;&gt;0,IF(OR(L$19=1,L$20=1),IF('Assumptions - Infrastructure'!$E$116=1, L1038/'Assumptions - Infrastructure'!$E$118,L1038*'Assumptions - Infrastructure'!$E$118)," "),0)</f>
        <v>45</v>
      </c>
      <c r="M1045" s="123">
        <f>IF(M1038&lt;&gt;0,IF(OR(M$19=1,M$20=1),IF('Assumptions - Infrastructure'!$E$116=1, M1038/'Assumptions - Infrastructure'!$E$118,M1038*'Assumptions - Infrastructure'!$E$118)," "),0)</f>
        <v>45</v>
      </c>
      <c r="N1045" s="123">
        <f>IF(N1038&lt;&gt;0,IF(OR(N$19=1,N$20=1),IF('Assumptions - Infrastructure'!$E$116=1, N1038/'Assumptions - Infrastructure'!$E$118,N1038*'Assumptions - Infrastructure'!$E$118)," "),0)</f>
        <v>45</v>
      </c>
      <c r="O1045" s="123">
        <f>IF(O1038&lt;&gt;0,IF(OR(O$19=1,O$20=1),IF('Assumptions - Infrastructure'!$E$116=1, O1038/'Assumptions - Infrastructure'!$E$118,O1038*'Assumptions - Infrastructure'!$E$118)," "),0)</f>
        <v>45</v>
      </c>
      <c r="P1045" s="123">
        <f>IF(P1038&lt;&gt;0,IF(OR(P$19=1,P$20=1),IF('Assumptions - Infrastructure'!$E$116=1, P1038/'Assumptions - Infrastructure'!$E$118,P1038*'Assumptions - Infrastructure'!$E$118)," "),0)</f>
        <v>45</v>
      </c>
      <c r="Q1045" s="123">
        <f>IF(Q1038&lt;&gt;0,IF(OR(Q$19=1,Q$20=1),IF('Assumptions - Infrastructure'!$E$116=1, Q1038/'Assumptions - Infrastructure'!$E$118,Q1038*'Assumptions - Infrastructure'!$E$118)," "),0)</f>
        <v>45</v>
      </c>
      <c r="R1045" s="123">
        <f>IF(R1038&lt;&gt;0,IF(OR(R$19=1,R$20=1),IF('Assumptions - Infrastructure'!$E$116=1, R1038/'Assumptions - Infrastructure'!$E$118,R1038*'Assumptions - Infrastructure'!$E$118)," "),0)</f>
        <v>45</v>
      </c>
      <c r="S1045" s="123">
        <f>IF(S1038&lt;&gt;0,IF(OR(S$19=1,S$20=1),IF('Assumptions - Infrastructure'!$E$116=1, S1038/'Assumptions - Infrastructure'!$E$118,S1038*'Assumptions - Infrastructure'!$E$118)," "),0)</f>
        <v>45</v>
      </c>
      <c r="T1045" s="123">
        <f>IF(T1038&lt;&gt;0,IF(OR(T$19=1,T$20=1),IF('Assumptions - Infrastructure'!$E$116=1, T1038/'Assumptions - Infrastructure'!$E$118,T1038*'Assumptions - Infrastructure'!$E$118)," "),0)</f>
        <v>45</v>
      </c>
      <c r="U1045" s="123">
        <f>IF(U1038&lt;&gt;0,IF(OR(U$19=1,U$20=1),IF('Assumptions - Infrastructure'!$E$116=1, U1038/'Assumptions - Infrastructure'!$E$118,U1038*'Assumptions - Infrastructure'!$E$118)," "),0)</f>
        <v>45</v>
      </c>
      <c r="V1045" s="123">
        <f>IF(V1038&lt;&gt;0,IF(OR(V$19=1,V$20=1),IF('Assumptions - Infrastructure'!$E$116=1, V1038/'Assumptions - Infrastructure'!$E$118,V1038*'Assumptions - Infrastructure'!$E$118)," "),0)</f>
        <v>45</v>
      </c>
      <c r="W1045" s="123">
        <f>IF(W1038&lt;&gt;0,IF(OR(W$19=1,W$20=1),IF('Assumptions - Infrastructure'!$E$116=1, W1038/'Assumptions - Infrastructure'!$E$118,W1038*'Assumptions - Infrastructure'!$E$118)," "),0)</f>
        <v>45</v>
      </c>
      <c r="X1045" s="123">
        <f>IF(X1038&lt;&gt;0,IF(OR(X$19=1,X$20=1),IF('Assumptions - Infrastructure'!$E$116=1, X1038/'Assumptions - Infrastructure'!$E$118,X1038*'Assumptions - Infrastructure'!$E$118)," "),0)</f>
        <v>45</v>
      </c>
      <c r="Y1045" s="123">
        <f>IF(Y1038&lt;&gt;0,IF(OR(Y$19=1,Y$20=1),IF('Assumptions - Infrastructure'!$E$116=1, Y1038/'Assumptions - Infrastructure'!$E$118,Y1038*'Assumptions - Infrastructure'!$E$118)," "),0)</f>
        <v>45</v>
      </c>
      <c r="Z1045" s="123">
        <f>IF(Z1038&lt;&gt;0,IF(OR(Z$19=1,Z$20=1),IF('Assumptions - Infrastructure'!$E$116=1, Z1038/'Assumptions - Infrastructure'!$E$118,Z1038*'Assumptions - Infrastructure'!$E$118)," "),0)</f>
        <v>45</v>
      </c>
      <c r="AA1045" s="123">
        <f>IF(AA1038&lt;&gt;0,IF(OR(AA$19=1,AA$20=1),IF('Assumptions - Infrastructure'!$E$116=1, AA1038/'Assumptions - Infrastructure'!$E$118,AA1038*'Assumptions - Infrastructure'!$E$118)," "),0)</f>
        <v>45</v>
      </c>
      <c r="AB1045" s="123">
        <f>IF(AB1038&lt;&gt;0,IF(OR(AB$19=1,AB$20=1),IF('Assumptions - Infrastructure'!$E$116=1, AB1038/'Assumptions - Infrastructure'!$E$118,AB1038*'Assumptions - Infrastructure'!$E$118)," "),0)</f>
        <v>45</v>
      </c>
      <c r="AC1045" s="123">
        <f>IF(AC1038&lt;&gt;0,IF(OR(AC$19=1,AC$20=1),IF('Assumptions - Infrastructure'!$E$116=1, AC1038/'Assumptions - Infrastructure'!$E$118,AC1038*'Assumptions - Infrastructure'!$E$118)," "),0)</f>
        <v>45</v>
      </c>
      <c r="AD1045" s="123">
        <f>IF(AD1038&lt;&gt;0,IF(OR(AD$19=1,AD$20=1),IF('Assumptions - Infrastructure'!$E$116=1, AD1038/'Assumptions - Infrastructure'!$E$118,AD1038*'Assumptions - Infrastructure'!$E$118)," "),0)</f>
        <v>45</v>
      </c>
      <c r="AE1045" s="123">
        <f>IF(AE1038&lt;&gt;0,IF(OR(AE$19=1,AE$20=1),IF('Assumptions - Infrastructure'!$E$116=1, AE1038/'Assumptions - Infrastructure'!$E$118,AE1038*'Assumptions - Infrastructure'!$E$118)," "),0)</f>
        <v>45</v>
      </c>
      <c r="AF1045" s="123">
        <f>IF(AF1038&lt;&gt;0,IF(OR(AF$19=1,AF$20=1),IF('Assumptions - Infrastructure'!$E$116=1, AF1038/'Assumptions - Infrastructure'!$E$118,AF1038*'Assumptions - Infrastructure'!$E$118)," "),0)</f>
        <v>45</v>
      </c>
      <c r="AG1045" s="123">
        <f>IF(AG1038&lt;&gt;0,IF(OR(AG$19=1,AG$20=1),IF('Assumptions - Infrastructure'!$E$116=1, AG1038/'Assumptions - Infrastructure'!$E$118,AG1038*'Assumptions - Infrastructure'!$E$118)," "),0)</f>
        <v>45</v>
      </c>
      <c r="AH1045" s="123">
        <f>IF(AH1038&lt;&gt;0,IF(OR(AH$19=1,AH$20=1),IF('Assumptions - Infrastructure'!$E$116=1, AH1038/'Assumptions - Infrastructure'!$E$118,AH1038*'Assumptions - Infrastructure'!$E$118)," "),0)</f>
        <v>45</v>
      </c>
    </row>
    <row r="1046" spans="2:34" x14ac:dyDescent="0.2">
      <c r="B1046" s="8" t="str">
        <f t="shared" si="404"/>
        <v>Annual traffic volume of Freight company 3</v>
      </c>
      <c r="C1046" s="8"/>
      <c r="D1046" s="8" t="str">
        <f>D1045</f>
        <v>Tons (million)</v>
      </c>
      <c r="E1046" s="123">
        <f>IF(E1039&lt;&gt;0,IF(OR(E$19=1,E$20=1),IF('Assumptions - Infrastructure'!$E$116=1, E1039/'Assumptions - Infrastructure'!$E$118,E1039*'Assumptions - Infrastructure'!$E$118)," "),0)</f>
        <v>40</v>
      </c>
      <c r="F1046" s="123">
        <f>IF(F1039&lt;&gt;0,IF(OR(F$19=1,F$20=1),IF('Assumptions - Infrastructure'!$E$116=1, F1039/'Assumptions - Infrastructure'!$E$118,F1039*'Assumptions - Infrastructure'!$E$118)," "),0)</f>
        <v>40</v>
      </c>
      <c r="G1046" s="123">
        <f>IF(G1039&lt;&gt;0,IF(OR(G$19=1,G$20=1),IF('Assumptions - Infrastructure'!$E$116=1, G1039/'Assumptions - Infrastructure'!$E$118,G1039*'Assumptions - Infrastructure'!$E$118)," "),0)</f>
        <v>40</v>
      </c>
      <c r="H1046" s="123">
        <f>IF(H1039&lt;&gt;0,IF(OR(H$19=1,H$20=1),IF('Assumptions - Infrastructure'!$E$116=1, H1039/'Assumptions - Infrastructure'!$E$118,H1039*'Assumptions - Infrastructure'!$E$118)," "),0)</f>
        <v>40</v>
      </c>
      <c r="I1046" s="123">
        <f>IF(I1039&lt;&gt;0,IF(OR(I$19=1,I$20=1),IF('Assumptions - Infrastructure'!$E$116=1, I1039/'Assumptions - Infrastructure'!$E$118,I1039*'Assumptions - Infrastructure'!$E$118)," "),0)</f>
        <v>40</v>
      </c>
      <c r="J1046" s="123">
        <f>IF(J1039&lt;&gt;0,IF(OR(J$19=1,J$20=1),IF('Assumptions - Infrastructure'!$E$116=1, J1039/'Assumptions - Infrastructure'!$E$118,J1039*'Assumptions - Infrastructure'!$E$118)," "),0)</f>
        <v>40</v>
      </c>
      <c r="K1046" s="123">
        <f>IF(K1039&lt;&gt;0,IF(OR(K$19=1,K$20=1),IF('Assumptions - Infrastructure'!$E$116=1, K1039/'Assumptions - Infrastructure'!$E$118,K1039*'Assumptions - Infrastructure'!$E$118)," "),0)</f>
        <v>45</v>
      </c>
      <c r="L1046" s="123">
        <f>IF(L1039&lt;&gt;0,IF(OR(L$19=1,L$20=1),IF('Assumptions - Infrastructure'!$E$116=1, L1039/'Assumptions - Infrastructure'!$E$118,L1039*'Assumptions - Infrastructure'!$E$118)," "),0)</f>
        <v>45</v>
      </c>
      <c r="M1046" s="123">
        <f>IF(M1039&lt;&gt;0,IF(OR(M$19=1,M$20=1),IF('Assumptions - Infrastructure'!$E$116=1, M1039/'Assumptions - Infrastructure'!$E$118,M1039*'Assumptions - Infrastructure'!$E$118)," "),0)</f>
        <v>45</v>
      </c>
      <c r="N1046" s="123">
        <f>IF(N1039&lt;&gt;0,IF(OR(N$19=1,N$20=1),IF('Assumptions - Infrastructure'!$E$116=1, N1039/'Assumptions - Infrastructure'!$E$118,N1039*'Assumptions - Infrastructure'!$E$118)," "),0)</f>
        <v>45</v>
      </c>
      <c r="O1046" s="123">
        <f>IF(O1039&lt;&gt;0,IF(OR(O$19=1,O$20=1),IF('Assumptions - Infrastructure'!$E$116=1, O1039/'Assumptions - Infrastructure'!$E$118,O1039*'Assumptions - Infrastructure'!$E$118)," "),0)</f>
        <v>45</v>
      </c>
      <c r="P1046" s="123">
        <f>IF(P1039&lt;&gt;0,IF(OR(P$19=1,P$20=1),IF('Assumptions - Infrastructure'!$E$116=1, P1039/'Assumptions - Infrastructure'!$E$118,P1039*'Assumptions - Infrastructure'!$E$118)," "),0)</f>
        <v>45</v>
      </c>
      <c r="Q1046" s="123">
        <f>IF(Q1039&lt;&gt;0,IF(OR(Q$19=1,Q$20=1),IF('Assumptions - Infrastructure'!$E$116=1, Q1039/'Assumptions - Infrastructure'!$E$118,Q1039*'Assumptions - Infrastructure'!$E$118)," "),0)</f>
        <v>45</v>
      </c>
      <c r="R1046" s="123">
        <f>IF(R1039&lt;&gt;0,IF(OR(R$19=1,R$20=1),IF('Assumptions - Infrastructure'!$E$116=1, R1039/'Assumptions - Infrastructure'!$E$118,R1039*'Assumptions - Infrastructure'!$E$118)," "),0)</f>
        <v>45</v>
      </c>
      <c r="S1046" s="123">
        <f>IF(S1039&lt;&gt;0,IF(OR(S$19=1,S$20=1),IF('Assumptions - Infrastructure'!$E$116=1, S1039/'Assumptions - Infrastructure'!$E$118,S1039*'Assumptions - Infrastructure'!$E$118)," "),0)</f>
        <v>45</v>
      </c>
      <c r="T1046" s="123">
        <f>IF(T1039&lt;&gt;0,IF(OR(T$19=1,T$20=1),IF('Assumptions - Infrastructure'!$E$116=1, T1039/'Assumptions - Infrastructure'!$E$118,T1039*'Assumptions - Infrastructure'!$E$118)," "),0)</f>
        <v>45</v>
      </c>
      <c r="U1046" s="123">
        <f>IF(U1039&lt;&gt;0,IF(OR(U$19=1,U$20=1),IF('Assumptions - Infrastructure'!$E$116=1, U1039/'Assumptions - Infrastructure'!$E$118,U1039*'Assumptions - Infrastructure'!$E$118)," "),0)</f>
        <v>45</v>
      </c>
      <c r="V1046" s="123">
        <f>IF(V1039&lt;&gt;0,IF(OR(V$19=1,V$20=1),IF('Assumptions - Infrastructure'!$E$116=1, V1039/'Assumptions - Infrastructure'!$E$118,V1039*'Assumptions - Infrastructure'!$E$118)," "),0)</f>
        <v>45</v>
      </c>
      <c r="W1046" s="123">
        <f>IF(W1039&lt;&gt;0,IF(OR(W$19=1,W$20=1),IF('Assumptions - Infrastructure'!$E$116=1, W1039/'Assumptions - Infrastructure'!$E$118,W1039*'Assumptions - Infrastructure'!$E$118)," "),0)</f>
        <v>45</v>
      </c>
      <c r="X1046" s="123">
        <f>IF(X1039&lt;&gt;0,IF(OR(X$19=1,X$20=1),IF('Assumptions - Infrastructure'!$E$116=1, X1039/'Assumptions - Infrastructure'!$E$118,X1039*'Assumptions - Infrastructure'!$E$118)," "),0)</f>
        <v>45</v>
      </c>
      <c r="Y1046" s="123">
        <f>IF(Y1039&lt;&gt;0,IF(OR(Y$19=1,Y$20=1),IF('Assumptions - Infrastructure'!$E$116=1, Y1039/'Assumptions - Infrastructure'!$E$118,Y1039*'Assumptions - Infrastructure'!$E$118)," "),0)</f>
        <v>45</v>
      </c>
      <c r="Z1046" s="123">
        <f>IF(Z1039&lt;&gt;0,IF(OR(Z$19=1,Z$20=1),IF('Assumptions - Infrastructure'!$E$116=1, Z1039/'Assumptions - Infrastructure'!$E$118,Z1039*'Assumptions - Infrastructure'!$E$118)," "),0)</f>
        <v>45</v>
      </c>
      <c r="AA1046" s="123">
        <f>IF(AA1039&lt;&gt;0,IF(OR(AA$19=1,AA$20=1),IF('Assumptions - Infrastructure'!$E$116=1, AA1039/'Assumptions - Infrastructure'!$E$118,AA1039*'Assumptions - Infrastructure'!$E$118)," "),0)</f>
        <v>45</v>
      </c>
      <c r="AB1046" s="123">
        <f>IF(AB1039&lt;&gt;0,IF(OR(AB$19=1,AB$20=1),IF('Assumptions - Infrastructure'!$E$116=1, AB1039/'Assumptions - Infrastructure'!$E$118,AB1039*'Assumptions - Infrastructure'!$E$118)," "),0)</f>
        <v>45</v>
      </c>
      <c r="AC1046" s="123">
        <f>IF(AC1039&lt;&gt;0,IF(OR(AC$19=1,AC$20=1),IF('Assumptions - Infrastructure'!$E$116=1, AC1039/'Assumptions - Infrastructure'!$E$118,AC1039*'Assumptions - Infrastructure'!$E$118)," "),0)</f>
        <v>45</v>
      </c>
      <c r="AD1046" s="123">
        <f>IF(AD1039&lt;&gt;0,IF(OR(AD$19=1,AD$20=1),IF('Assumptions - Infrastructure'!$E$116=1, AD1039/'Assumptions - Infrastructure'!$E$118,AD1039*'Assumptions - Infrastructure'!$E$118)," "),0)</f>
        <v>45</v>
      </c>
      <c r="AE1046" s="123">
        <f>IF(AE1039&lt;&gt;0,IF(OR(AE$19=1,AE$20=1),IF('Assumptions - Infrastructure'!$E$116=1, AE1039/'Assumptions - Infrastructure'!$E$118,AE1039*'Assumptions - Infrastructure'!$E$118)," "),0)</f>
        <v>45</v>
      </c>
      <c r="AF1046" s="123">
        <f>IF(AF1039&lt;&gt;0,IF(OR(AF$19=1,AF$20=1),IF('Assumptions - Infrastructure'!$E$116=1, AF1039/'Assumptions - Infrastructure'!$E$118,AF1039*'Assumptions - Infrastructure'!$E$118)," "),0)</f>
        <v>45</v>
      </c>
      <c r="AG1046" s="123">
        <f>IF(AG1039&lt;&gt;0,IF(OR(AG$19=1,AG$20=1),IF('Assumptions - Infrastructure'!$E$116=1, AG1039/'Assumptions - Infrastructure'!$E$118,AG1039*'Assumptions - Infrastructure'!$E$118)," "),0)</f>
        <v>45</v>
      </c>
      <c r="AH1046" s="123">
        <f>IF(AH1039&lt;&gt;0,IF(OR(AH$19=1,AH$20=1),IF('Assumptions - Infrastructure'!$E$116=1, AH1039/'Assumptions - Infrastructure'!$E$118,AH1039*'Assumptions - Infrastructure'!$E$118)," "),0)</f>
        <v>45</v>
      </c>
    </row>
    <row r="1047" spans="2:34" x14ac:dyDescent="0.2">
      <c r="B1047" s="8" t="str">
        <f t="shared" si="404"/>
        <v>Annual traffic volume of Freight company 4</v>
      </c>
      <c r="C1047" s="8"/>
      <c r="D1047" s="8" t="str">
        <f>D1046</f>
        <v>Tons (million)</v>
      </c>
      <c r="E1047" s="123">
        <f>IF(E1040&lt;&gt;0,IF(OR(E$19=1,E$20=1),IF('Assumptions - Infrastructure'!$E$116=1, E1040/'Assumptions - Infrastructure'!$E$118,E1040*'Assumptions - Infrastructure'!$E$118)," "),0)</f>
        <v>40</v>
      </c>
      <c r="F1047" s="123">
        <f>IF(F1040&lt;&gt;0,IF(OR(F$19=1,F$20=1),IF('Assumptions - Infrastructure'!$E$116=1, F1040/'Assumptions - Infrastructure'!$E$118,F1040*'Assumptions - Infrastructure'!$E$118)," "),0)</f>
        <v>40</v>
      </c>
      <c r="G1047" s="123">
        <f>IF(G1040&lt;&gt;0,IF(OR(G$19=1,G$20=1),IF('Assumptions - Infrastructure'!$E$116=1, G1040/'Assumptions - Infrastructure'!$E$118,G1040*'Assumptions - Infrastructure'!$E$118)," "),0)</f>
        <v>40</v>
      </c>
      <c r="H1047" s="123">
        <f>IF(H1040&lt;&gt;0,IF(OR(H$19=1,H$20=1),IF('Assumptions - Infrastructure'!$E$116=1, H1040/'Assumptions - Infrastructure'!$E$118,H1040*'Assumptions - Infrastructure'!$E$118)," "),0)</f>
        <v>40</v>
      </c>
      <c r="I1047" s="123">
        <f>IF(I1040&lt;&gt;0,IF(OR(I$19=1,I$20=1),IF('Assumptions - Infrastructure'!$E$116=1, I1040/'Assumptions - Infrastructure'!$E$118,I1040*'Assumptions - Infrastructure'!$E$118)," "),0)</f>
        <v>40</v>
      </c>
      <c r="J1047" s="123">
        <f>IF(J1040&lt;&gt;0,IF(OR(J$19=1,J$20=1),IF('Assumptions - Infrastructure'!$E$116=1, J1040/'Assumptions - Infrastructure'!$E$118,J1040*'Assumptions - Infrastructure'!$E$118)," "),0)</f>
        <v>40</v>
      </c>
      <c r="K1047" s="123">
        <f>IF(K1040&lt;&gt;0,IF(OR(K$19=1,K$20=1),IF('Assumptions - Infrastructure'!$E$116=1, K1040/'Assumptions - Infrastructure'!$E$118,K1040*'Assumptions - Infrastructure'!$E$118)," "),0)</f>
        <v>45</v>
      </c>
      <c r="L1047" s="123">
        <f>IF(L1040&lt;&gt;0,IF(OR(L$19=1,L$20=1),IF('Assumptions - Infrastructure'!$E$116=1, L1040/'Assumptions - Infrastructure'!$E$118,L1040*'Assumptions - Infrastructure'!$E$118)," "),0)</f>
        <v>45</v>
      </c>
      <c r="M1047" s="123">
        <f>IF(M1040&lt;&gt;0,IF(OR(M$19=1,M$20=1),IF('Assumptions - Infrastructure'!$E$116=1, M1040/'Assumptions - Infrastructure'!$E$118,M1040*'Assumptions - Infrastructure'!$E$118)," "),0)</f>
        <v>45</v>
      </c>
      <c r="N1047" s="123">
        <f>IF(N1040&lt;&gt;0,IF(OR(N$19=1,N$20=1),IF('Assumptions - Infrastructure'!$E$116=1, N1040/'Assumptions - Infrastructure'!$E$118,N1040*'Assumptions - Infrastructure'!$E$118)," "),0)</f>
        <v>45</v>
      </c>
      <c r="O1047" s="123">
        <f>IF(O1040&lt;&gt;0,IF(OR(O$19=1,O$20=1),IF('Assumptions - Infrastructure'!$E$116=1, O1040/'Assumptions - Infrastructure'!$E$118,O1040*'Assumptions - Infrastructure'!$E$118)," "),0)</f>
        <v>45</v>
      </c>
      <c r="P1047" s="123">
        <f>IF(P1040&lt;&gt;0,IF(OR(P$19=1,P$20=1),IF('Assumptions - Infrastructure'!$E$116=1, P1040/'Assumptions - Infrastructure'!$E$118,P1040*'Assumptions - Infrastructure'!$E$118)," "),0)</f>
        <v>45</v>
      </c>
      <c r="Q1047" s="123">
        <f>IF(Q1040&lt;&gt;0,IF(OR(Q$19=1,Q$20=1),IF('Assumptions - Infrastructure'!$E$116=1, Q1040/'Assumptions - Infrastructure'!$E$118,Q1040*'Assumptions - Infrastructure'!$E$118)," "),0)</f>
        <v>45</v>
      </c>
      <c r="R1047" s="123">
        <f>IF(R1040&lt;&gt;0,IF(OR(R$19=1,R$20=1),IF('Assumptions - Infrastructure'!$E$116=1, R1040/'Assumptions - Infrastructure'!$E$118,R1040*'Assumptions - Infrastructure'!$E$118)," "),0)</f>
        <v>45</v>
      </c>
      <c r="S1047" s="123">
        <f>IF(S1040&lt;&gt;0,IF(OR(S$19=1,S$20=1),IF('Assumptions - Infrastructure'!$E$116=1, S1040/'Assumptions - Infrastructure'!$E$118,S1040*'Assumptions - Infrastructure'!$E$118)," "),0)</f>
        <v>45</v>
      </c>
      <c r="T1047" s="123">
        <f>IF(T1040&lt;&gt;0,IF(OR(T$19=1,T$20=1),IF('Assumptions - Infrastructure'!$E$116=1, T1040/'Assumptions - Infrastructure'!$E$118,T1040*'Assumptions - Infrastructure'!$E$118)," "),0)</f>
        <v>45</v>
      </c>
      <c r="U1047" s="123">
        <f>IF(U1040&lt;&gt;0,IF(OR(U$19=1,U$20=1),IF('Assumptions - Infrastructure'!$E$116=1, U1040/'Assumptions - Infrastructure'!$E$118,U1040*'Assumptions - Infrastructure'!$E$118)," "),0)</f>
        <v>45</v>
      </c>
      <c r="V1047" s="123">
        <f>IF(V1040&lt;&gt;0,IF(OR(V$19=1,V$20=1),IF('Assumptions - Infrastructure'!$E$116=1, V1040/'Assumptions - Infrastructure'!$E$118,V1040*'Assumptions - Infrastructure'!$E$118)," "),0)</f>
        <v>45</v>
      </c>
      <c r="W1047" s="123">
        <f>IF(W1040&lt;&gt;0,IF(OR(W$19=1,W$20=1),IF('Assumptions - Infrastructure'!$E$116=1, W1040/'Assumptions - Infrastructure'!$E$118,W1040*'Assumptions - Infrastructure'!$E$118)," "),0)</f>
        <v>45</v>
      </c>
      <c r="X1047" s="123">
        <f>IF(X1040&lt;&gt;0,IF(OR(X$19=1,X$20=1),IF('Assumptions - Infrastructure'!$E$116=1, X1040/'Assumptions - Infrastructure'!$E$118,X1040*'Assumptions - Infrastructure'!$E$118)," "),0)</f>
        <v>45</v>
      </c>
      <c r="Y1047" s="123">
        <f>IF(Y1040&lt;&gt;0,IF(OR(Y$19=1,Y$20=1),IF('Assumptions - Infrastructure'!$E$116=1, Y1040/'Assumptions - Infrastructure'!$E$118,Y1040*'Assumptions - Infrastructure'!$E$118)," "),0)</f>
        <v>45</v>
      </c>
      <c r="Z1047" s="123">
        <f>IF(Z1040&lt;&gt;0,IF(OR(Z$19=1,Z$20=1),IF('Assumptions - Infrastructure'!$E$116=1, Z1040/'Assumptions - Infrastructure'!$E$118,Z1040*'Assumptions - Infrastructure'!$E$118)," "),0)</f>
        <v>45</v>
      </c>
      <c r="AA1047" s="123">
        <f>IF(AA1040&lt;&gt;0,IF(OR(AA$19=1,AA$20=1),IF('Assumptions - Infrastructure'!$E$116=1, AA1040/'Assumptions - Infrastructure'!$E$118,AA1040*'Assumptions - Infrastructure'!$E$118)," "),0)</f>
        <v>45</v>
      </c>
      <c r="AB1047" s="123">
        <f>IF(AB1040&lt;&gt;0,IF(OR(AB$19=1,AB$20=1),IF('Assumptions - Infrastructure'!$E$116=1, AB1040/'Assumptions - Infrastructure'!$E$118,AB1040*'Assumptions - Infrastructure'!$E$118)," "),0)</f>
        <v>45</v>
      </c>
      <c r="AC1047" s="123">
        <f>IF(AC1040&lt;&gt;0,IF(OR(AC$19=1,AC$20=1),IF('Assumptions - Infrastructure'!$E$116=1, AC1040/'Assumptions - Infrastructure'!$E$118,AC1040*'Assumptions - Infrastructure'!$E$118)," "),0)</f>
        <v>45</v>
      </c>
      <c r="AD1047" s="123">
        <f>IF(AD1040&lt;&gt;0,IF(OR(AD$19=1,AD$20=1),IF('Assumptions - Infrastructure'!$E$116=1, AD1040/'Assumptions - Infrastructure'!$E$118,AD1040*'Assumptions - Infrastructure'!$E$118)," "),0)</f>
        <v>45</v>
      </c>
      <c r="AE1047" s="123">
        <f>IF(AE1040&lt;&gt;0,IF(OR(AE$19=1,AE$20=1),IF('Assumptions - Infrastructure'!$E$116=1, AE1040/'Assumptions - Infrastructure'!$E$118,AE1040*'Assumptions - Infrastructure'!$E$118)," "),0)</f>
        <v>45</v>
      </c>
      <c r="AF1047" s="123">
        <f>IF(AF1040&lt;&gt;0,IF(OR(AF$19=1,AF$20=1),IF('Assumptions - Infrastructure'!$E$116=1, AF1040/'Assumptions - Infrastructure'!$E$118,AF1040*'Assumptions - Infrastructure'!$E$118)," "),0)</f>
        <v>45</v>
      </c>
      <c r="AG1047" s="123">
        <f>IF(AG1040&lt;&gt;0,IF(OR(AG$19=1,AG$20=1),IF('Assumptions - Infrastructure'!$E$116=1, AG1040/'Assumptions - Infrastructure'!$E$118,AG1040*'Assumptions - Infrastructure'!$E$118)," "),0)</f>
        <v>45</v>
      </c>
      <c r="AH1047" s="123">
        <f>IF(AH1040&lt;&gt;0,IF(OR(AH$19=1,AH$20=1),IF('Assumptions - Infrastructure'!$E$116=1, AH1040/'Assumptions - Infrastructure'!$E$118,AH1040*'Assumptions - Infrastructure'!$E$118)," "),0)</f>
        <v>45</v>
      </c>
    </row>
    <row r="1048" spans="2:34" x14ac:dyDescent="0.2">
      <c r="B1048" s="8" t="str">
        <f t="shared" si="404"/>
        <v>Annual traffic volume of Freight company 5</v>
      </c>
      <c r="C1048" s="8"/>
      <c r="D1048" s="8" t="str">
        <f>D1047</f>
        <v>Tons (million)</v>
      </c>
      <c r="E1048" s="123">
        <f>IF(E1041&lt;&gt;0,IF(OR(E$19=1,E$20=1),IF('Assumptions - Infrastructure'!$E$116=1, E1041/'Assumptions - Infrastructure'!$E$118,E1041*'Assumptions - Infrastructure'!$E$118)," "),0)</f>
        <v>40</v>
      </c>
      <c r="F1048" s="123">
        <f>IF(F1041&lt;&gt;0,IF(OR(F$19=1,F$20=1),IF('Assumptions - Infrastructure'!$E$116=1, F1041/'Assumptions - Infrastructure'!$E$118,F1041*'Assumptions - Infrastructure'!$E$118)," "),0)</f>
        <v>40</v>
      </c>
      <c r="G1048" s="123">
        <f>IF(G1041&lt;&gt;0,IF(OR(G$19=1,G$20=1),IF('Assumptions - Infrastructure'!$E$116=1, G1041/'Assumptions - Infrastructure'!$E$118,G1041*'Assumptions - Infrastructure'!$E$118)," "),0)</f>
        <v>40</v>
      </c>
      <c r="H1048" s="123">
        <f>IF(H1041&lt;&gt;0,IF(OR(H$19=1,H$20=1),IF('Assumptions - Infrastructure'!$E$116=1, H1041/'Assumptions - Infrastructure'!$E$118,H1041*'Assumptions - Infrastructure'!$E$118)," "),0)</f>
        <v>40</v>
      </c>
      <c r="I1048" s="123">
        <f>IF(I1041&lt;&gt;0,IF(OR(I$19=1,I$20=1),IF('Assumptions - Infrastructure'!$E$116=1, I1041/'Assumptions - Infrastructure'!$E$118,I1041*'Assumptions - Infrastructure'!$E$118)," "),0)</f>
        <v>40</v>
      </c>
      <c r="J1048" s="123">
        <f>IF(J1041&lt;&gt;0,IF(OR(J$19=1,J$20=1),IF('Assumptions - Infrastructure'!$E$116=1, J1041/'Assumptions - Infrastructure'!$E$118,J1041*'Assumptions - Infrastructure'!$E$118)," "),0)</f>
        <v>40</v>
      </c>
      <c r="K1048" s="123">
        <f>IF(K1041&lt;&gt;0,IF(OR(K$19=1,K$20=1),IF('Assumptions - Infrastructure'!$E$116=1, K1041/'Assumptions - Infrastructure'!$E$118,K1041*'Assumptions - Infrastructure'!$E$118)," "),0)</f>
        <v>45</v>
      </c>
      <c r="L1048" s="123">
        <f>IF(L1041&lt;&gt;0,IF(OR(L$19=1,L$20=1),IF('Assumptions - Infrastructure'!$E$116=1, L1041/'Assumptions - Infrastructure'!$E$118,L1041*'Assumptions - Infrastructure'!$E$118)," "),0)</f>
        <v>45</v>
      </c>
      <c r="M1048" s="123">
        <f>IF(M1041&lt;&gt;0,IF(OR(M$19=1,M$20=1),IF('Assumptions - Infrastructure'!$E$116=1, M1041/'Assumptions - Infrastructure'!$E$118,M1041*'Assumptions - Infrastructure'!$E$118)," "),0)</f>
        <v>45</v>
      </c>
      <c r="N1048" s="123">
        <f>IF(N1041&lt;&gt;0,IF(OR(N$19=1,N$20=1),IF('Assumptions - Infrastructure'!$E$116=1, N1041/'Assumptions - Infrastructure'!$E$118,N1041*'Assumptions - Infrastructure'!$E$118)," "),0)</f>
        <v>45</v>
      </c>
      <c r="O1048" s="123">
        <f>IF(O1041&lt;&gt;0,IF(OR(O$19=1,O$20=1),IF('Assumptions - Infrastructure'!$E$116=1, O1041/'Assumptions - Infrastructure'!$E$118,O1041*'Assumptions - Infrastructure'!$E$118)," "),0)</f>
        <v>45</v>
      </c>
      <c r="P1048" s="123">
        <f>IF(P1041&lt;&gt;0,IF(OR(P$19=1,P$20=1),IF('Assumptions - Infrastructure'!$E$116=1, P1041/'Assumptions - Infrastructure'!$E$118,P1041*'Assumptions - Infrastructure'!$E$118)," "),0)</f>
        <v>45</v>
      </c>
      <c r="Q1048" s="123">
        <f>IF(Q1041&lt;&gt;0,IF(OR(Q$19=1,Q$20=1),IF('Assumptions - Infrastructure'!$E$116=1, Q1041/'Assumptions - Infrastructure'!$E$118,Q1041*'Assumptions - Infrastructure'!$E$118)," "),0)</f>
        <v>45</v>
      </c>
      <c r="R1048" s="123">
        <f>IF(R1041&lt;&gt;0,IF(OR(R$19=1,R$20=1),IF('Assumptions - Infrastructure'!$E$116=1, R1041/'Assumptions - Infrastructure'!$E$118,R1041*'Assumptions - Infrastructure'!$E$118)," "),0)</f>
        <v>45</v>
      </c>
      <c r="S1048" s="123">
        <f>IF(S1041&lt;&gt;0,IF(OR(S$19=1,S$20=1),IF('Assumptions - Infrastructure'!$E$116=1, S1041/'Assumptions - Infrastructure'!$E$118,S1041*'Assumptions - Infrastructure'!$E$118)," "),0)</f>
        <v>45</v>
      </c>
      <c r="T1048" s="123">
        <f>IF(T1041&lt;&gt;0,IF(OR(T$19=1,T$20=1),IF('Assumptions - Infrastructure'!$E$116=1, T1041/'Assumptions - Infrastructure'!$E$118,T1041*'Assumptions - Infrastructure'!$E$118)," "),0)</f>
        <v>45</v>
      </c>
      <c r="U1048" s="123">
        <f>IF(U1041&lt;&gt;0,IF(OR(U$19=1,U$20=1),IF('Assumptions - Infrastructure'!$E$116=1, U1041/'Assumptions - Infrastructure'!$E$118,U1041*'Assumptions - Infrastructure'!$E$118)," "),0)</f>
        <v>45</v>
      </c>
      <c r="V1048" s="123">
        <f>IF(V1041&lt;&gt;0,IF(OR(V$19=1,V$20=1),IF('Assumptions - Infrastructure'!$E$116=1, V1041/'Assumptions - Infrastructure'!$E$118,V1041*'Assumptions - Infrastructure'!$E$118)," "),0)</f>
        <v>45</v>
      </c>
      <c r="W1048" s="123">
        <f>IF(W1041&lt;&gt;0,IF(OR(W$19=1,W$20=1),IF('Assumptions - Infrastructure'!$E$116=1, W1041/'Assumptions - Infrastructure'!$E$118,W1041*'Assumptions - Infrastructure'!$E$118)," "),0)</f>
        <v>45</v>
      </c>
      <c r="X1048" s="123">
        <f>IF(X1041&lt;&gt;0,IF(OR(X$19=1,X$20=1),IF('Assumptions - Infrastructure'!$E$116=1, X1041/'Assumptions - Infrastructure'!$E$118,X1041*'Assumptions - Infrastructure'!$E$118)," "),0)</f>
        <v>45</v>
      </c>
      <c r="Y1048" s="123">
        <f>IF(Y1041&lt;&gt;0,IF(OR(Y$19=1,Y$20=1),IF('Assumptions - Infrastructure'!$E$116=1, Y1041/'Assumptions - Infrastructure'!$E$118,Y1041*'Assumptions - Infrastructure'!$E$118)," "),0)</f>
        <v>45</v>
      </c>
      <c r="Z1048" s="123">
        <f>IF(Z1041&lt;&gt;0,IF(OR(Z$19=1,Z$20=1),IF('Assumptions - Infrastructure'!$E$116=1, Z1041/'Assumptions - Infrastructure'!$E$118,Z1041*'Assumptions - Infrastructure'!$E$118)," "),0)</f>
        <v>45</v>
      </c>
      <c r="AA1048" s="123">
        <f>IF(AA1041&lt;&gt;0,IF(OR(AA$19=1,AA$20=1),IF('Assumptions - Infrastructure'!$E$116=1, AA1041/'Assumptions - Infrastructure'!$E$118,AA1041*'Assumptions - Infrastructure'!$E$118)," "),0)</f>
        <v>45</v>
      </c>
      <c r="AB1048" s="123">
        <f>IF(AB1041&lt;&gt;0,IF(OR(AB$19=1,AB$20=1),IF('Assumptions - Infrastructure'!$E$116=1, AB1041/'Assumptions - Infrastructure'!$E$118,AB1041*'Assumptions - Infrastructure'!$E$118)," "),0)</f>
        <v>45</v>
      </c>
      <c r="AC1048" s="123">
        <f>IF(AC1041&lt;&gt;0,IF(OR(AC$19=1,AC$20=1),IF('Assumptions - Infrastructure'!$E$116=1, AC1041/'Assumptions - Infrastructure'!$E$118,AC1041*'Assumptions - Infrastructure'!$E$118)," "),0)</f>
        <v>45</v>
      </c>
      <c r="AD1048" s="123">
        <f>IF(AD1041&lt;&gt;0,IF(OR(AD$19=1,AD$20=1),IF('Assumptions - Infrastructure'!$E$116=1, AD1041/'Assumptions - Infrastructure'!$E$118,AD1041*'Assumptions - Infrastructure'!$E$118)," "),0)</f>
        <v>45</v>
      </c>
      <c r="AE1048" s="123">
        <f>IF(AE1041&lt;&gt;0,IF(OR(AE$19=1,AE$20=1),IF('Assumptions - Infrastructure'!$E$116=1, AE1041/'Assumptions - Infrastructure'!$E$118,AE1041*'Assumptions - Infrastructure'!$E$118)," "),0)</f>
        <v>45</v>
      </c>
      <c r="AF1048" s="123">
        <f>IF(AF1041&lt;&gt;0,IF(OR(AF$19=1,AF$20=1),IF('Assumptions - Infrastructure'!$E$116=1, AF1041/'Assumptions - Infrastructure'!$E$118,AF1041*'Assumptions - Infrastructure'!$E$118)," "),0)</f>
        <v>45</v>
      </c>
      <c r="AG1048" s="123">
        <f>IF(AG1041&lt;&gt;0,IF(OR(AG$19=1,AG$20=1),IF('Assumptions - Infrastructure'!$E$116=1, AG1041/'Assumptions - Infrastructure'!$E$118,AG1041*'Assumptions - Infrastructure'!$E$118)," "),0)</f>
        <v>45</v>
      </c>
      <c r="AH1048" s="123">
        <f>IF(AH1041&lt;&gt;0,IF(OR(AH$19=1,AH$20=1),IF('Assumptions - Infrastructure'!$E$116=1, AH1041/'Assumptions - Infrastructure'!$E$118,AH1041*'Assumptions - Infrastructure'!$E$118)," "),0)</f>
        <v>45</v>
      </c>
    </row>
    <row r="1049" spans="2:34" x14ac:dyDescent="0.2">
      <c r="B1049" s="8" t="str">
        <f t="shared" si="404"/>
        <v>Annual traffic volume of Other companies</v>
      </c>
      <c r="C1049" s="8"/>
      <c r="D1049" s="8" t="str">
        <f>D1048</f>
        <v>Tons (million)</v>
      </c>
      <c r="E1049" s="123">
        <f>IF(E1042&lt;&gt;0,IF(OR(E$19=1,E$20=1),IF('Assumptions - Infrastructure'!$E$116=1, E1042/'Assumptions - Infrastructure'!$E$118,E1042*'Assumptions - Infrastructure'!$E$118)," "),0)</f>
        <v>40</v>
      </c>
      <c r="F1049" s="123">
        <f>IF(F1042&lt;&gt;0,IF(OR(F$19=1,F$20=1),IF('Assumptions - Infrastructure'!$E$116=1, F1042/'Assumptions - Infrastructure'!$E$118,F1042*'Assumptions - Infrastructure'!$E$118)," "),0)</f>
        <v>40</v>
      </c>
      <c r="G1049" s="123">
        <f>IF(G1042&lt;&gt;0,IF(OR(G$19=1,G$20=1),IF('Assumptions - Infrastructure'!$E$116=1, G1042/'Assumptions - Infrastructure'!$E$118,G1042*'Assumptions - Infrastructure'!$E$118)," "),0)</f>
        <v>40</v>
      </c>
      <c r="H1049" s="123">
        <f>IF(H1042&lt;&gt;0,IF(OR(H$19=1,H$20=1),IF('Assumptions - Infrastructure'!$E$116=1, H1042/'Assumptions - Infrastructure'!$E$118,H1042*'Assumptions - Infrastructure'!$E$118)," "),0)</f>
        <v>40</v>
      </c>
      <c r="I1049" s="123">
        <f>IF(I1042&lt;&gt;0,IF(OR(I$19=1,I$20=1),IF('Assumptions - Infrastructure'!$E$116=1, I1042/'Assumptions - Infrastructure'!$E$118,I1042*'Assumptions - Infrastructure'!$E$118)," "),0)</f>
        <v>40</v>
      </c>
      <c r="J1049" s="123">
        <f>IF(J1042&lt;&gt;0,IF(OR(J$19=1,J$20=1),IF('Assumptions - Infrastructure'!$E$116=1, J1042/'Assumptions - Infrastructure'!$E$118,J1042*'Assumptions - Infrastructure'!$E$118)," "),0)</f>
        <v>40</v>
      </c>
      <c r="K1049" s="123">
        <f>IF(K1042&lt;&gt;0,IF(OR(K$19=1,K$20=1),IF('Assumptions - Infrastructure'!$E$116=1, K1042/'Assumptions - Infrastructure'!$E$118,K1042*'Assumptions - Infrastructure'!$E$118)," "),0)</f>
        <v>45</v>
      </c>
      <c r="L1049" s="123">
        <f>IF(L1042&lt;&gt;0,IF(OR(L$19=1,L$20=1),IF('Assumptions - Infrastructure'!$E$116=1, L1042/'Assumptions - Infrastructure'!$E$118,L1042*'Assumptions - Infrastructure'!$E$118)," "),0)</f>
        <v>45</v>
      </c>
      <c r="M1049" s="123">
        <f>IF(M1042&lt;&gt;0,IF(OR(M$19=1,M$20=1),IF('Assumptions - Infrastructure'!$E$116=1, M1042/'Assumptions - Infrastructure'!$E$118,M1042*'Assumptions - Infrastructure'!$E$118)," "),0)</f>
        <v>45</v>
      </c>
      <c r="N1049" s="123">
        <f>IF(N1042&lt;&gt;0,IF(OR(N$19=1,N$20=1),IF('Assumptions - Infrastructure'!$E$116=1, N1042/'Assumptions - Infrastructure'!$E$118,N1042*'Assumptions - Infrastructure'!$E$118)," "),0)</f>
        <v>45</v>
      </c>
      <c r="O1049" s="123">
        <f>IF(O1042&lt;&gt;0,IF(OR(O$19=1,O$20=1),IF('Assumptions - Infrastructure'!$E$116=1, O1042/'Assumptions - Infrastructure'!$E$118,O1042*'Assumptions - Infrastructure'!$E$118)," "),0)</f>
        <v>45</v>
      </c>
      <c r="P1049" s="123">
        <f>IF(P1042&lt;&gt;0,IF(OR(P$19=1,P$20=1),IF('Assumptions - Infrastructure'!$E$116=1, P1042/'Assumptions - Infrastructure'!$E$118,P1042*'Assumptions - Infrastructure'!$E$118)," "),0)</f>
        <v>45</v>
      </c>
      <c r="Q1049" s="123">
        <f>IF(Q1042&lt;&gt;0,IF(OR(Q$19=1,Q$20=1),IF('Assumptions - Infrastructure'!$E$116=1, Q1042/'Assumptions - Infrastructure'!$E$118,Q1042*'Assumptions - Infrastructure'!$E$118)," "),0)</f>
        <v>45</v>
      </c>
      <c r="R1049" s="123">
        <f>IF(R1042&lt;&gt;0,IF(OR(R$19=1,R$20=1),IF('Assumptions - Infrastructure'!$E$116=1, R1042/'Assumptions - Infrastructure'!$E$118,R1042*'Assumptions - Infrastructure'!$E$118)," "),0)</f>
        <v>45</v>
      </c>
      <c r="S1049" s="123">
        <f>IF(S1042&lt;&gt;0,IF(OR(S$19=1,S$20=1),IF('Assumptions - Infrastructure'!$E$116=1, S1042/'Assumptions - Infrastructure'!$E$118,S1042*'Assumptions - Infrastructure'!$E$118)," "),0)</f>
        <v>45</v>
      </c>
      <c r="T1049" s="123">
        <f>IF(T1042&lt;&gt;0,IF(OR(T$19=1,T$20=1),IF('Assumptions - Infrastructure'!$E$116=1, T1042/'Assumptions - Infrastructure'!$E$118,T1042*'Assumptions - Infrastructure'!$E$118)," "),0)</f>
        <v>45</v>
      </c>
      <c r="U1049" s="123">
        <f>IF(U1042&lt;&gt;0,IF(OR(U$19=1,U$20=1),IF('Assumptions - Infrastructure'!$E$116=1, U1042/'Assumptions - Infrastructure'!$E$118,U1042*'Assumptions - Infrastructure'!$E$118)," "),0)</f>
        <v>45</v>
      </c>
      <c r="V1049" s="123">
        <f>IF(V1042&lt;&gt;0,IF(OR(V$19=1,V$20=1),IF('Assumptions - Infrastructure'!$E$116=1, V1042/'Assumptions - Infrastructure'!$E$118,V1042*'Assumptions - Infrastructure'!$E$118)," "),0)</f>
        <v>45</v>
      </c>
      <c r="W1049" s="123">
        <f>IF(W1042&lt;&gt;0,IF(OR(W$19=1,W$20=1),IF('Assumptions - Infrastructure'!$E$116=1, W1042/'Assumptions - Infrastructure'!$E$118,W1042*'Assumptions - Infrastructure'!$E$118)," "),0)</f>
        <v>45</v>
      </c>
      <c r="X1049" s="123">
        <f>IF(X1042&lt;&gt;0,IF(OR(X$19=1,X$20=1),IF('Assumptions - Infrastructure'!$E$116=1, X1042/'Assumptions - Infrastructure'!$E$118,X1042*'Assumptions - Infrastructure'!$E$118)," "),0)</f>
        <v>45</v>
      </c>
      <c r="Y1049" s="123">
        <f>IF(Y1042&lt;&gt;0,IF(OR(Y$19=1,Y$20=1),IF('Assumptions - Infrastructure'!$E$116=1, Y1042/'Assumptions - Infrastructure'!$E$118,Y1042*'Assumptions - Infrastructure'!$E$118)," "),0)</f>
        <v>45</v>
      </c>
      <c r="Z1049" s="123">
        <f>IF(Z1042&lt;&gt;0,IF(OR(Z$19=1,Z$20=1),IF('Assumptions - Infrastructure'!$E$116=1, Z1042/'Assumptions - Infrastructure'!$E$118,Z1042*'Assumptions - Infrastructure'!$E$118)," "),0)</f>
        <v>45</v>
      </c>
      <c r="AA1049" s="123">
        <f>IF(AA1042&lt;&gt;0,IF(OR(AA$19=1,AA$20=1),IF('Assumptions - Infrastructure'!$E$116=1, AA1042/'Assumptions - Infrastructure'!$E$118,AA1042*'Assumptions - Infrastructure'!$E$118)," "),0)</f>
        <v>45</v>
      </c>
      <c r="AB1049" s="123">
        <f>IF(AB1042&lt;&gt;0,IF(OR(AB$19=1,AB$20=1),IF('Assumptions - Infrastructure'!$E$116=1, AB1042/'Assumptions - Infrastructure'!$E$118,AB1042*'Assumptions - Infrastructure'!$E$118)," "),0)</f>
        <v>45</v>
      </c>
      <c r="AC1049" s="123">
        <f>IF(AC1042&lt;&gt;0,IF(OR(AC$19=1,AC$20=1),IF('Assumptions - Infrastructure'!$E$116=1, AC1042/'Assumptions - Infrastructure'!$E$118,AC1042*'Assumptions - Infrastructure'!$E$118)," "),0)</f>
        <v>45</v>
      </c>
      <c r="AD1049" s="123">
        <f>IF(AD1042&lt;&gt;0,IF(OR(AD$19=1,AD$20=1),IF('Assumptions - Infrastructure'!$E$116=1, AD1042/'Assumptions - Infrastructure'!$E$118,AD1042*'Assumptions - Infrastructure'!$E$118)," "),0)</f>
        <v>45</v>
      </c>
      <c r="AE1049" s="123">
        <f>IF(AE1042&lt;&gt;0,IF(OR(AE$19=1,AE$20=1),IF('Assumptions - Infrastructure'!$E$116=1, AE1042/'Assumptions - Infrastructure'!$E$118,AE1042*'Assumptions - Infrastructure'!$E$118)," "),0)</f>
        <v>45</v>
      </c>
      <c r="AF1049" s="123">
        <f>IF(AF1042&lt;&gt;0,IF(OR(AF$19=1,AF$20=1),IF('Assumptions - Infrastructure'!$E$116=1, AF1042/'Assumptions - Infrastructure'!$E$118,AF1042*'Assumptions - Infrastructure'!$E$118)," "),0)</f>
        <v>45</v>
      </c>
      <c r="AG1049" s="123">
        <f>IF(AG1042&lt;&gt;0,IF(OR(AG$19=1,AG$20=1),IF('Assumptions - Infrastructure'!$E$116=1, AG1042/'Assumptions - Infrastructure'!$E$118,AG1042*'Assumptions - Infrastructure'!$E$118)," "),0)</f>
        <v>45</v>
      </c>
      <c r="AH1049" s="123">
        <f>IF(AH1042&lt;&gt;0,IF(OR(AH$19=1,AH$20=1),IF('Assumptions - Infrastructure'!$E$116=1, AH1042/'Assumptions - Infrastructure'!$E$118,AH1042*'Assumptions - Infrastructure'!$E$118)," "),0)</f>
        <v>45</v>
      </c>
    </row>
    <row r="1050" spans="2:34" x14ac:dyDescent="0.2">
      <c r="B1050" s="7"/>
      <c r="C1050" s="8"/>
      <c r="D1050" s="8"/>
      <c r="E1050" s="9"/>
      <c r="F1050" s="9"/>
      <c r="G1050" s="9"/>
      <c r="H1050" s="9"/>
      <c r="I1050" s="9"/>
      <c r="J1050" s="9"/>
      <c r="K1050" s="9"/>
      <c r="L1050" s="9"/>
      <c r="M1050" s="9"/>
      <c r="N1050" s="9"/>
      <c r="O1050" s="9"/>
      <c r="P1050" s="9"/>
      <c r="Q1050" s="9"/>
      <c r="R1050" s="9"/>
      <c r="S1050" s="9"/>
      <c r="T1050" s="9"/>
      <c r="U1050" s="9"/>
      <c r="V1050" s="9"/>
      <c r="W1050" s="9"/>
      <c r="X1050" s="9"/>
      <c r="Y1050" s="9"/>
      <c r="Z1050" s="9"/>
      <c r="AA1050" s="9"/>
      <c r="AB1050" s="9"/>
      <c r="AC1050" s="9"/>
      <c r="AD1050" s="9"/>
      <c r="AE1050" s="9"/>
      <c r="AF1050" s="9"/>
      <c r="AG1050" s="9"/>
      <c r="AH1050" s="9"/>
    </row>
    <row r="1051" spans="2:34" x14ac:dyDescent="0.2">
      <c r="B1051" s="8" t="str">
        <f>"Annual traffic volume of " &amp;'Assumptions - Infrastructure'!E121</f>
        <v>Annual traffic volume of Freight company 1</v>
      </c>
      <c r="C1051" s="8"/>
      <c r="D1051" s="8" t="s">
        <v>370</v>
      </c>
      <c r="E1051" s="12">
        <f>IF(E1037&lt;&gt;0,IF(OR(E$19=1,E$20=1),IF('Assumptions - Infrastructure'!$E$116=1,E1037/'Assumptions - Infrastructure'!$E$119,E1037*'Assumptions - Freight'!$E$113/'Assumptions - Infrastructure'!$E$119)," "),0)</f>
        <v>40</v>
      </c>
      <c r="F1051" s="12">
        <f>IF(F1037&lt;&gt;0,IF(OR(F$19=1,F$20=1),IF('Assumptions - Infrastructure'!$E$116=1,F1037/'Assumptions - Infrastructure'!$E$119,F1037*'Assumptions - Freight'!$E$113/'Assumptions - Infrastructure'!$E$119)," "),0)</f>
        <v>40</v>
      </c>
      <c r="G1051" s="12">
        <f>IF(G1037&lt;&gt;0,IF(OR(G$19=1,G$20=1),IF('Assumptions - Infrastructure'!$E$116=1,G1037/'Assumptions - Infrastructure'!$E$119,G1037*'Assumptions - Freight'!$E$113/'Assumptions - Infrastructure'!$E$119)," "),0)</f>
        <v>40</v>
      </c>
      <c r="H1051" s="12">
        <f>IF(H1037&lt;&gt;0,IF(OR(H$19=1,H$20=1),IF('Assumptions - Infrastructure'!$E$116=1,H1037/'Assumptions - Infrastructure'!$E$119,H1037*'Assumptions - Freight'!$E$113/'Assumptions - Infrastructure'!$E$119)," "),0)</f>
        <v>40</v>
      </c>
      <c r="I1051" s="12">
        <f>IF(I1037&lt;&gt;0,IF(OR(I$19=1,I$20=1),IF('Assumptions - Infrastructure'!$E$116=1,I1037/'Assumptions - Infrastructure'!$E$119,I1037*'Assumptions - Freight'!$E$113/'Assumptions - Infrastructure'!$E$119)," "),0)</f>
        <v>40</v>
      </c>
      <c r="J1051" s="12">
        <f>IF(J1037&lt;&gt;0,IF(OR(J$19=1,J$20=1),IF('Assumptions - Infrastructure'!$E$116=1,J1037/'Assumptions - Infrastructure'!$E$119,J1037*'Assumptions - Freight'!$E$113/'Assumptions - Infrastructure'!$E$119)," "),0)</f>
        <v>40</v>
      </c>
      <c r="K1051" s="12">
        <f>IF(K1037&lt;&gt;0,IF(OR(K$19=1,K$20=1),IF('Assumptions - Infrastructure'!$E$116=1,K1037/'Assumptions - Infrastructure'!$E$119,K1037*'Assumptions - Freight'!$E$113/'Assumptions - Infrastructure'!$E$119)," "),0)</f>
        <v>45</v>
      </c>
      <c r="L1051" s="12">
        <f>IF(L1037&lt;&gt;0,IF(OR(L$19=1,L$20=1),IF('Assumptions - Infrastructure'!$E$116=1,L1037/'Assumptions - Infrastructure'!$E$119,L1037*'Assumptions - Freight'!$E$113/'Assumptions - Infrastructure'!$E$119)," "),0)</f>
        <v>45</v>
      </c>
      <c r="M1051" s="12">
        <f>IF(M1037&lt;&gt;0,IF(OR(M$19=1,M$20=1),IF('Assumptions - Infrastructure'!$E$116=1,M1037/'Assumptions - Infrastructure'!$E$119,M1037*'Assumptions - Freight'!$E$113/'Assumptions - Infrastructure'!$E$119)," "),0)</f>
        <v>45</v>
      </c>
      <c r="N1051" s="12">
        <f>IF(N1037&lt;&gt;0,IF(OR(N$19=1,N$20=1),IF('Assumptions - Infrastructure'!$E$116=1,N1037/'Assumptions - Infrastructure'!$E$119,N1037*'Assumptions - Freight'!$E$113/'Assumptions - Infrastructure'!$E$119)," "),0)</f>
        <v>45</v>
      </c>
      <c r="O1051" s="12">
        <f>IF(O1037&lt;&gt;0,IF(OR(O$19=1,O$20=1),IF('Assumptions - Infrastructure'!$E$116=1,O1037/'Assumptions - Infrastructure'!$E$119,O1037*'Assumptions - Freight'!$E$113/'Assumptions - Infrastructure'!$E$119)," "),0)</f>
        <v>45</v>
      </c>
      <c r="P1051" s="12">
        <f>IF(P1037&lt;&gt;0,IF(OR(P$19=1,P$20=1),IF('Assumptions - Infrastructure'!$E$116=1,P1037/'Assumptions - Infrastructure'!$E$119,P1037*'Assumptions - Freight'!$E$113/'Assumptions - Infrastructure'!$E$119)," "),0)</f>
        <v>45</v>
      </c>
      <c r="Q1051" s="12">
        <f>IF(Q1037&lt;&gt;0,IF(OR(Q$19=1,Q$20=1),IF('Assumptions - Infrastructure'!$E$116=1,Q1037/'Assumptions - Infrastructure'!$E$119,Q1037*'Assumptions - Freight'!$E$113/'Assumptions - Infrastructure'!$E$119)," "),0)</f>
        <v>45</v>
      </c>
      <c r="R1051" s="12">
        <f>IF(R1037&lt;&gt;0,IF(OR(R$19=1,R$20=1),IF('Assumptions - Infrastructure'!$E$116=1,R1037/'Assumptions - Infrastructure'!$E$119,R1037*'Assumptions - Freight'!$E$113/'Assumptions - Infrastructure'!$E$119)," "),0)</f>
        <v>45</v>
      </c>
      <c r="S1051" s="12">
        <f>IF(S1037&lt;&gt;0,IF(OR(S$19=1,S$20=1),IF('Assumptions - Infrastructure'!$E$116=1,S1037/'Assumptions - Infrastructure'!$E$119,S1037*'Assumptions - Freight'!$E$113/'Assumptions - Infrastructure'!$E$119)," "),0)</f>
        <v>45</v>
      </c>
      <c r="T1051" s="12">
        <f>IF(T1037&lt;&gt;0,IF(OR(T$19=1,T$20=1),IF('Assumptions - Infrastructure'!$E$116=1,T1037/'Assumptions - Infrastructure'!$E$119,T1037*'Assumptions - Freight'!$E$113/'Assumptions - Infrastructure'!$E$119)," "),0)</f>
        <v>45</v>
      </c>
      <c r="U1051" s="12">
        <f>IF(U1037&lt;&gt;0,IF(OR(U$19=1,U$20=1),IF('Assumptions - Infrastructure'!$E$116=1,U1037/'Assumptions - Infrastructure'!$E$119,U1037*'Assumptions - Freight'!$E$113/'Assumptions - Infrastructure'!$E$119)," "),0)</f>
        <v>45</v>
      </c>
      <c r="V1051" s="12">
        <f>IF(V1037&lt;&gt;0,IF(OR(V$19=1,V$20=1),IF('Assumptions - Infrastructure'!$E$116=1,V1037/'Assumptions - Infrastructure'!$E$119,V1037*'Assumptions - Freight'!$E$113/'Assumptions - Infrastructure'!$E$119)," "),0)</f>
        <v>45</v>
      </c>
      <c r="W1051" s="12">
        <f>IF(W1037&lt;&gt;0,IF(OR(W$19=1,W$20=1),IF('Assumptions - Infrastructure'!$E$116=1,W1037/'Assumptions - Infrastructure'!$E$119,W1037*'Assumptions - Freight'!$E$113/'Assumptions - Infrastructure'!$E$119)," "),0)</f>
        <v>45</v>
      </c>
      <c r="X1051" s="12">
        <f>IF(X1037&lt;&gt;0,IF(OR(X$19=1,X$20=1),IF('Assumptions - Infrastructure'!$E$116=1,X1037/'Assumptions - Infrastructure'!$E$119,X1037*'Assumptions - Freight'!$E$113/'Assumptions - Infrastructure'!$E$119)," "),0)</f>
        <v>45</v>
      </c>
      <c r="Y1051" s="12">
        <f>IF(Y1037&lt;&gt;0,IF(OR(Y$19=1,Y$20=1),IF('Assumptions - Infrastructure'!$E$116=1,Y1037/'Assumptions - Infrastructure'!$E$119,Y1037*'Assumptions - Freight'!$E$113/'Assumptions - Infrastructure'!$E$119)," "),0)</f>
        <v>45</v>
      </c>
      <c r="Z1051" s="12">
        <f>IF(Z1037&lt;&gt;0,IF(OR(Z$19=1,Z$20=1),IF('Assumptions - Infrastructure'!$E$116=1,Z1037/'Assumptions - Infrastructure'!$E$119,Z1037*'Assumptions - Freight'!$E$113/'Assumptions - Infrastructure'!$E$119)," "),0)</f>
        <v>45</v>
      </c>
      <c r="AA1051" s="12">
        <f>IF(AA1037&lt;&gt;0,IF(OR(AA$19=1,AA$20=1),IF('Assumptions - Infrastructure'!$E$116=1,AA1037/'Assumptions - Infrastructure'!$E$119,AA1037*'Assumptions - Freight'!$E$113/'Assumptions - Infrastructure'!$E$119)," "),0)</f>
        <v>45</v>
      </c>
      <c r="AB1051" s="12">
        <f>IF(AB1037&lt;&gt;0,IF(OR(AB$19=1,AB$20=1),IF('Assumptions - Infrastructure'!$E$116=1,AB1037/'Assumptions - Infrastructure'!$E$119,AB1037*'Assumptions - Freight'!$E$113/'Assumptions - Infrastructure'!$E$119)," "),0)</f>
        <v>45</v>
      </c>
      <c r="AC1051" s="12">
        <f>IF(AC1037&lt;&gt;0,IF(OR(AC$19=1,AC$20=1),IF('Assumptions - Infrastructure'!$E$116=1,AC1037/'Assumptions - Infrastructure'!$E$119,AC1037*'Assumptions - Freight'!$E$113/'Assumptions - Infrastructure'!$E$119)," "),0)</f>
        <v>45</v>
      </c>
      <c r="AD1051" s="12">
        <f>IF(AD1037&lt;&gt;0,IF(OR(AD$19=1,AD$20=1),IF('Assumptions - Infrastructure'!$E$116=1,AD1037/'Assumptions - Infrastructure'!$E$119,AD1037*'Assumptions - Freight'!$E$113/'Assumptions - Infrastructure'!$E$119)," "),0)</f>
        <v>45</v>
      </c>
      <c r="AE1051" s="12">
        <f>IF(AE1037&lt;&gt;0,IF(OR(AE$19=1,AE$20=1),IF('Assumptions - Infrastructure'!$E$116=1,AE1037/'Assumptions - Infrastructure'!$E$119,AE1037*'Assumptions - Freight'!$E$113/'Assumptions - Infrastructure'!$E$119)," "),0)</f>
        <v>45</v>
      </c>
      <c r="AF1051" s="12">
        <f>IF(AF1037&lt;&gt;0,IF(OR(AF$19=1,AF$20=1),IF('Assumptions - Infrastructure'!$E$116=1,AF1037/'Assumptions - Infrastructure'!$E$119,AF1037*'Assumptions - Freight'!$E$113/'Assumptions - Infrastructure'!$E$119)," "),0)</f>
        <v>45</v>
      </c>
      <c r="AG1051" s="12">
        <f>IF(AG1037&lt;&gt;0,IF(OR(AG$19=1,AG$20=1),IF('Assumptions - Infrastructure'!$E$116=1,AG1037/'Assumptions - Infrastructure'!$E$119,AG1037*'Assumptions - Freight'!$E$113/'Assumptions - Infrastructure'!$E$119)," "),0)</f>
        <v>45</v>
      </c>
      <c r="AH1051" s="12">
        <f>IF(AH1037&lt;&gt;0,IF(OR(AH$19=1,AH$20=1),IF('Assumptions - Infrastructure'!$E$116=1,AH1037/'Assumptions - Infrastructure'!$E$119,AH1037*'Assumptions - Freight'!$E$113/'Assumptions - Infrastructure'!$E$119)," "),0)</f>
        <v>45</v>
      </c>
    </row>
    <row r="1052" spans="2:34" x14ac:dyDescent="0.2">
      <c r="B1052" s="8" t="str">
        <f>"Annual traffic volume of " &amp;'Assumptions - Infrastructure'!E122</f>
        <v>Annual traffic volume of Freight company 2</v>
      </c>
      <c r="C1052" s="8"/>
      <c r="D1052" s="8" t="str">
        <f>D1051</f>
        <v>Train-km (millions)</v>
      </c>
      <c r="E1052" s="12">
        <f>IF(E1038&lt;&gt;0,IF(OR(E$19=1,E$20=1),IF('Assumptions - Infrastructure'!$E$116=1,E1038/'Assumptions - Infrastructure'!$E$119,E1038*'Assumptions - Freight'!$E$113/'Assumptions - Infrastructure'!$E$119)," "),0)</f>
        <v>40</v>
      </c>
      <c r="F1052" s="12">
        <f>IF(F1038&lt;&gt;0,IF(OR(F$19=1,F$20=1),IF('Assumptions - Infrastructure'!$E$116=1,F1038/'Assumptions - Infrastructure'!$E$119,F1038*'Assumptions - Freight'!$E$113/'Assumptions - Infrastructure'!$E$119)," "),0)</f>
        <v>40</v>
      </c>
      <c r="G1052" s="12">
        <f>IF(G1038&lt;&gt;0,IF(OR(G$19=1,G$20=1),IF('Assumptions - Infrastructure'!$E$116=1,G1038/'Assumptions - Infrastructure'!$E$119,G1038*'Assumptions - Freight'!$E$113/'Assumptions - Infrastructure'!$E$119)," "),0)</f>
        <v>40</v>
      </c>
      <c r="H1052" s="12">
        <f>IF(H1038&lt;&gt;0,IF(OR(H$19=1,H$20=1),IF('Assumptions - Infrastructure'!$E$116=1,H1038/'Assumptions - Infrastructure'!$E$119,H1038*'Assumptions - Freight'!$E$113/'Assumptions - Infrastructure'!$E$119)," "),0)</f>
        <v>40</v>
      </c>
      <c r="I1052" s="12">
        <f>IF(I1038&lt;&gt;0,IF(OR(I$19=1,I$20=1),IF('Assumptions - Infrastructure'!$E$116=1,I1038/'Assumptions - Infrastructure'!$E$119,I1038*'Assumptions - Freight'!$E$113/'Assumptions - Infrastructure'!$E$119)," "),0)</f>
        <v>40</v>
      </c>
      <c r="J1052" s="12">
        <f>IF(J1038&lt;&gt;0,IF(OR(J$19=1,J$20=1),IF('Assumptions - Infrastructure'!$E$116=1,J1038/'Assumptions - Infrastructure'!$E$119,J1038*'Assumptions - Freight'!$E$113/'Assumptions - Infrastructure'!$E$119)," "),0)</f>
        <v>40</v>
      </c>
      <c r="K1052" s="12">
        <f>IF(K1038&lt;&gt;0,IF(OR(K$19=1,K$20=1),IF('Assumptions - Infrastructure'!$E$116=1,K1038/'Assumptions - Infrastructure'!$E$119,K1038*'Assumptions - Freight'!$E$113/'Assumptions - Infrastructure'!$E$119)," "),0)</f>
        <v>45</v>
      </c>
      <c r="L1052" s="12">
        <f>IF(L1038&lt;&gt;0,IF(OR(L$19=1,L$20=1),IF('Assumptions - Infrastructure'!$E$116=1,L1038/'Assumptions - Infrastructure'!$E$119,L1038*'Assumptions - Freight'!$E$113/'Assumptions - Infrastructure'!$E$119)," "),0)</f>
        <v>45</v>
      </c>
      <c r="M1052" s="12">
        <f>IF(M1038&lt;&gt;0,IF(OR(M$19=1,M$20=1),IF('Assumptions - Infrastructure'!$E$116=1,M1038/'Assumptions - Infrastructure'!$E$119,M1038*'Assumptions - Freight'!$E$113/'Assumptions - Infrastructure'!$E$119)," "),0)</f>
        <v>45</v>
      </c>
      <c r="N1052" s="12">
        <f>IF(N1038&lt;&gt;0,IF(OR(N$19=1,N$20=1),IF('Assumptions - Infrastructure'!$E$116=1,N1038/'Assumptions - Infrastructure'!$E$119,N1038*'Assumptions - Freight'!$E$113/'Assumptions - Infrastructure'!$E$119)," "),0)</f>
        <v>45</v>
      </c>
      <c r="O1052" s="12">
        <f>IF(O1038&lt;&gt;0,IF(OR(O$19=1,O$20=1),IF('Assumptions - Infrastructure'!$E$116=1,O1038/'Assumptions - Infrastructure'!$E$119,O1038*'Assumptions - Freight'!$E$113/'Assumptions - Infrastructure'!$E$119)," "),0)</f>
        <v>45</v>
      </c>
      <c r="P1052" s="12">
        <f>IF(P1038&lt;&gt;0,IF(OR(P$19=1,P$20=1),IF('Assumptions - Infrastructure'!$E$116=1,P1038/'Assumptions - Infrastructure'!$E$119,P1038*'Assumptions - Freight'!$E$113/'Assumptions - Infrastructure'!$E$119)," "),0)</f>
        <v>45</v>
      </c>
      <c r="Q1052" s="12">
        <f>IF(Q1038&lt;&gt;0,IF(OR(Q$19=1,Q$20=1),IF('Assumptions - Infrastructure'!$E$116=1,Q1038/'Assumptions - Infrastructure'!$E$119,Q1038*'Assumptions - Freight'!$E$113/'Assumptions - Infrastructure'!$E$119)," "),0)</f>
        <v>45</v>
      </c>
      <c r="R1052" s="12">
        <f>IF(R1038&lt;&gt;0,IF(OR(R$19=1,R$20=1),IF('Assumptions - Infrastructure'!$E$116=1,R1038/'Assumptions - Infrastructure'!$E$119,R1038*'Assumptions - Freight'!$E$113/'Assumptions - Infrastructure'!$E$119)," "),0)</f>
        <v>45</v>
      </c>
      <c r="S1052" s="12">
        <f>IF(S1038&lt;&gt;0,IF(OR(S$19=1,S$20=1),IF('Assumptions - Infrastructure'!$E$116=1,S1038/'Assumptions - Infrastructure'!$E$119,S1038*'Assumptions - Freight'!$E$113/'Assumptions - Infrastructure'!$E$119)," "),0)</f>
        <v>45</v>
      </c>
      <c r="T1052" s="12">
        <f>IF(T1038&lt;&gt;0,IF(OR(T$19=1,T$20=1),IF('Assumptions - Infrastructure'!$E$116=1,T1038/'Assumptions - Infrastructure'!$E$119,T1038*'Assumptions - Freight'!$E$113/'Assumptions - Infrastructure'!$E$119)," "),0)</f>
        <v>45</v>
      </c>
      <c r="U1052" s="12">
        <f>IF(U1038&lt;&gt;0,IF(OR(U$19=1,U$20=1),IF('Assumptions - Infrastructure'!$E$116=1,U1038/'Assumptions - Infrastructure'!$E$119,U1038*'Assumptions - Freight'!$E$113/'Assumptions - Infrastructure'!$E$119)," "),0)</f>
        <v>45</v>
      </c>
      <c r="V1052" s="12">
        <f>IF(V1038&lt;&gt;0,IF(OR(V$19=1,V$20=1),IF('Assumptions - Infrastructure'!$E$116=1,V1038/'Assumptions - Infrastructure'!$E$119,V1038*'Assumptions - Freight'!$E$113/'Assumptions - Infrastructure'!$E$119)," "),0)</f>
        <v>45</v>
      </c>
      <c r="W1052" s="12">
        <f>IF(W1038&lt;&gt;0,IF(OR(W$19=1,W$20=1),IF('Assumptions - Infrastructure'!$E$116=1,W1038/'Assumptions - Infrastructure'!$E$119,W1038*'Assumptions - Freight'!$E$113/'Assumptions - Infrastructure'!$E$119)," "),0)</f>
        <v>45</v>
      </c>
      <c r="X1052" s="12">
        <f>IF(X1038&lt;&gt;0,IF(OR(X$19=1,X$20=1),IF('Assumptions - Infrastructure'!$E$116=1,X1038/'Assumptions - Infrastructure'!$E$119,X1038*'Assumptions - Freight'!$E$113/'Assumptions - Infrastructure'!$E$119)," "),0)</f>
        <v>45</v>
      </c>
      <c r="Y1052" s="12">
        <f>IF(Y1038&lt;&gt;0,IF(OR(Y$19=1,Y$20=1),IF('Assumptions - Infrastructure'!$E$116=1,Y1038/'Assumptions - Infrastructure'!$E$119,Y1038*'Assumptions - Freight'!$E$113/'Assumptions - Infrastructure'!$E$119)," "),0)</f>
        <v>45</v>
      </c>
      <c r="Z1052" s="12">
        <f>IF(Z1038&lt;&gt;0,IF(OR(Z$19=1,Z$20=1),IF('Assumptions - Infrastructure'!$E$116=1,Z1038/'Assumptions - Infrastructure'!$E$119,Z1038*'Assumptions - Freight'!$E$113/'Assumptions - Infrastructure'!$E$119)," "),0)</f>
        <v>45</v>
      </c>
      <c r="AA1052" s="12">
        <f>IF(AA1038&lt;&gt;0,IF(OR(AA$19=1,AA$20=1),IF('Assumptions - Infrastructure'!$E$116=1,AA1038/'Assumptions - Infrastructure'!$E$119,AA1038*'Assumptions - Freight'!$E$113/'Assumptions - Infrastructure'!$E$119)," "),0)</f>
        <v>45</v>
      </c>
      <c r="AB1052" s="12">
        <f>IF(AB1038&lt;&gt;0,IF(OR(AB$19=1,AB$20=1),IF('Assumptions - Infrastructure'!$E$116=1,AB1038/'Assumptions - Infrastructure'!$E$119,AB1038*'Assumptions - Freight'!$E$113/'Assumptions - Infrastructure'!$E$119)," "),0)</f>
        <v>45</v>
      </c>
      <c r="AC1052" s="12">
        <f>IF(AC1038&lt;&gt;0,IF(OR(AC$19=1,AC$20=1),IF('Assumptions - Infrastructure'!$E$116=1,AC1038/'Assumptions - Infrastructure'!$E$119,AC1038*'Assumptions - Freight'!$E$113/'Assumptions - Infrastructure'!$E$119)," "),0)</f>
        <v>45</v>
      </c>
      <c r="AD1052" s="12">
        <f>IF(AD1038&lt;&gt;0,IF(OR(AD$19=1,AD$20=1),IF('Assumptions - Infrastructure'!$E$116=1,AD1038/'Assumptions - Infrastructure'!$E$119,AD1038*'Assumptions - Freight'!$E$113/'Assumptions - Infrastructure'!$E$119)," "),0)</f>
        <v>45</v>
      </c>
      <c r="AE1052" s="12">
        <f>IF(AE1038&lt;&gt;0,IF(OR(AE$19=1,AE$20=1),IF('Assumptions - Infrastructure'!$E$116=1,AE1038/'Assumptions - Infrastructure'!$E$119,AE1038*'Assumptions - Freight'!$E$113/'Assumptions - Infrastructure'!$E$119)," "),0)</f>
        <v>45</v>
      </c>
      <c r="AF1052" s="12">
        <f>IF(AF1038&lt;&gt;0,IF(OR(AF$19=1,AF$20=1),IF('Assumptions - Infrastructure'!$E$116=1,AF1038/'Assumptions - Infrastructure'!$E$119,AF1038*'Assumptions - Freight'!$E$113/'Assumptions - Infrastructure'!$E$119)," "),0)</f>
        <v>45</v>
      </c>
      <c r="AG1052" s="12">
        <f>IF(AG1038&lt;&gt;0,IF(OR(AG$19=1,AG$20=1),IF('Assumptions - Infrastructure'!$E$116=1,AG1038/'Assumptions - Infrastructure'!$E$119,AG1038*'Assumptions - Freight'!$E$113/'Assumptions - Infrastructure'!$E$119)," "),0)</f>
        <v>45</v>
      </c>
      <c r="AH1052" s="12">
        <f>IF(AH1038&lt;&gt;0,IF(OR(AH$19=1,AH$20=1),IF('Assumptions - Infrastructure'!$E$116=1,AH1038/'Assumptions - Infrastructure'!$E$119,AH1038*'Assumptions - Freight'!$E$113/'Assumptions - Infrastructure'!$E$119)," "),0)</f>
        <v>45</v>
      </c>
    </row>
    <row r="1053" spans="2:34" x14ac:dyDescent="0.2">
      <c r="B1053" s="8" t="str">
        <f>"Annual traffic volume of " &amp;'Assumptions - Infrastructure'!E123</f>
        <v>Annual traffic volume of Freight company 3</v>
      </c>
      <c r="C1053" s="8"/>
      <c r="D1053" s="8" t="str">
        <f>D1052</f>
        <v>Train-km (millions)</v>
      </c>
      <c r="E1053" s="12">
        <f>IF(E1039&lt;&gt;0,IF(OR(E$19=1,E$20=1),IF('Assumptions - Infrastructure'!$E$116=1,E1039/'Assumptions - Infrastructure'!$E$119,E1039*'Assumptions - Freight'!$E$113/'Assumptions - Infrastructure'!$E$119)," "),0)</f>
        <v>40</v>
      </c>
      <c r="F1053" s="12">
        <f>IF(F1039&lt;&gt;0,IF(OR(F$19=1,F$20=1),IF('Assumptions - Infrastructure'!$E$116=1,F1039/'Assumptions - Infrastructure'!$E$119,F1039*'Assumptions - Freight'!$E$113/'Assumptions - Infrastructure'!$E$119)," "),0)</f>
        <v>40</v>
      </c>
      <c r="G1053" s="12">
        <f>IF(G1039&lt;&gt;0,IF(OR(G$19=1,G$20=1),IF('Assumptions - Infrastructure'!$E$116=1,G1039/'Assumptions - Infrastructure'!$E$119,G1039*'Assumptions - Freight'!$E$113/'Assumptions - Infrastructure'!$E$119)," "),0)</f>
        <v>40</v>
      </c>
      <c r="H1053" s="12">
        <f>IF(H1039&lt;&gt;0,IF(OR(H$19=1,H$20=1),IF('Assumptions - Infrastructure'!$E$116=1,H1039/'Assumptions - Infrastructure'!$E$119,H1039*'Assumptions - Freight'!$E$113/'Assumptions - Infrastructure'!$E$119)," "),0)</f>
        <v>40</v>
      </c>
      <c r="I1053" s="12">
        <f>IF(I1039&lt;&gt;0,IF(OR(I$19=1,I$20=1),IF('Assumptions - Infrastructure'!$E$116=1,I1039/'Assumptions - Infrastructure'!$E$119,I1039*'Assumptions - Freight'!$E$113/'Assumptions - Infrastructure'!$E$119)," "),0)</f>
        <v>40</v>
      </c>
      <c r="J1053" s="12">
        <f>IF(J1039&lt;&gt;0,IF(OR(J$19=1,J$20=1),IF('Assumptions - Infrastructure'!$E$116=1,J1039/'Assumptions - Infrastructure'!$E$119,J1039*'Assumptions - Freight'!$E$113/'Assumptions - Infrastructure'!$E$119)," "),0)</f>
        <v>40</v>
      </c>
      <c r="K1053" s="12">
        <f>IF(K1039&lt;&gt;0,IF(OR(K$19=1,K$20=1),IF('Assumptions - Infrastructure'!$E$116=1,K1039/'Assumptions - Infrastructure'!$E$119,K1039*'Assumptions - Freight'!$E$113/'Assumptions - Infrastructure'!$E$119)," "),0)</f>
        <v>45</v>
      </c>
      <c r="L1053" s="12">
        <f>IF(L1039&lt;&gt;0,IF(OR(L$19=1,L$20=1),IF('Assumptions - Infrastructure'!$E$116=1,L1039/'Assumptions - Infrastructure'!$E$119,L1039*'Assumptions - Freight'!$E$113/'Assumptions - Infrastructure'!$E$119)," "),0)</f>
        <v>45</v>
      </c>
      <c r="M1053" s="12">
        <f>IF(M1039&lt;&gt;0,IF(OR(M$19=1,M$20=1),IF('Assumptions - Infrastructure'!$E$116=1,M1039/'Assumptions - Infrastructure'!$E$119,M1039*'Assumptions - Freight'!$E$113/'Assumptions - Infrastructure'!$E$119)," "),0)</f>
        <v>45</v>
      </c>
      <c r="N1053" s="12">
        <f>IF(N1039&lt;&gt;0,IF(OR(N$19=1,N$20=1),IF('Assumptions - Infrastructure'!$E$116=1,N1039/'Assumptions - Infrastructure'!$E$119,N1039*'Assumptions - Freight'!$E$113/'Assumptions - Infrastructure'!$E$119)," "),0)</f>
        <v>45</v>
      </c>
      <c r="O1053" s="12">
        <f>IF(O1039&lt;&gt;0,IF(OR(O$19=1,O$20=1),IF('Assumptions - Infrastructure'!$E$116=1,O1039/'Assumptions - Infrastructure'!$E$119,O1039*'Assumptions - Freight'!$E$113/'Assumptions - Infrastructure'!$E$119)," "),0)</f>
        <v>45</v>
      </c>
      <c r="P1053" s="12">
        <f>IF(P1039&lt;&gt;0,IF(OR(P$19=1,P$20=1),IF('Assumptions - Infrastructure'!$E$116=1,P1039/'Assumptions - Infrastructure'!$E$119,P1039*'Assumptions - Freight'!$E$113/'Assumptions - Infrastructure'!$E$119)," "),0)</f>
        <v>45</v>
      </c>
      <c r="Q1053" s="12">
        <f>IF(Q1039&lt;&gt;0,IF(OR(Q$19=1,Q$20=1),IF('Assumptions - Infrastructure'!$E$116=1,Q1039/'Assumptions - Infrastructure'!$E$119,Q1039*'Assumptions - Freight'!$E$113/'Assumptions - Infrastructure'!$E$119)," "),0)</f>
        <v>45</v>
      </c>
      <c r="R1053" s="12">
        <f>IF(R1039&lt;&gt;0,IF(OR(R$19=1,R$20=1),IF('Assumptions - Infrastructure'!$E$116=1,R1039/'Assumptions - Infrastructure'!$E$119,R1039*'Assumptions - Freight'!$E$113/'Assumptions - Infrastructure'!$E$119)," "),0)</f>
        <v>45</v>
      </c>
      <c r="S1053" s="12">
        <f>IF(S1039&lt;&gt;0,IF(OR(S$19=1,S$20=1),IF('Assumptions - Infrastructure'!$E$116=1,S1039/'Assumptions - Infrastructure'!$E$119,S1039*'Assumptions - Freight'!$E$113/'Assumptions - Infrastructure'!$E$119)," "),0)</f>
        <v>45</v>
      </c>
      <c r="T1053" s="12">
        <f>IF(T1039&lt;&gt;0,IF(OR(T$19=1,T$20=1),IF('Assumptions - Infrastructure'!$E$116=1,T1039/'Assumptions - Infrastructure'!$E$119,T1039*'Assumptions - Freight'!$E$113/'Assumptions - Infrastructure'!$E$119)," "),0)</f>
        <v>45</v>
      </c>
      <c r="U1053" s="12">
        <f>IF(U1039&lt;&gt;0,IF(OR(U$19=1,U$20=1),IF('Assumptions - Infrastructure'!$E$116=1,U1039/'Assumptions - Infrastructure'!$E$119,U1039*'Assumptions - Freight'!$E$113/'Assumptions - Infrastructure'!$E$119)," "),0)</f>
        <v>45</v>
      </c>
      <c r="V1053" s="12">
        <f>IF(V1039&lt;&gt;0,IF(OR(V$19=1,V$20=1),IF('Assumptions - Infrastructure'!$E$116=1,V1039/'Assumptions - Infrastructure'!$E$119,V1039*'Assumptions - Freight'!$E$113/'Assumptions - Infrastructure'!$E$119)," "),0)</f>
        <v>45</v>
      </c>
      <c r="W1053" s="12">
        <f>IF(W1039&lt;&gt;0,IF(OR(W$19=1,W$20=1),IF('Assumptions - Infrastructure'!$E$116=1,W1039/'Assumptions - Infrastructure'!$E$119,W1039*'Assumptions - Freight'!$E$113/'Assumptions - Infrastructure'!$E$119)," "),0)</f>
        <v>45</v>
      </c>
      <c r="X1053" s="12">
        <f>IF(X1039&lt;&gt;0,IF(OR(X$19=1,X$20=1),IF('Assumptions - Infrastructure'!$E$116=1,X1039/'Assumptions - Infrastructure'!$E$119,X1039*'Assumptions - Freight'!$E$113/'Assumptions - Infrastructure'!$E$119)," "),0)</f>
        <v>45</v>
      </c>
      <c r="Y1053" s="12">
        <f>IF(Y1039&lt;&gt;0,IF(OR(Y$19=1,Y$20=1),IF('Assumptions - Infrastructure'!$E$116=1,Y1039/'Assumptions - Infrastructure'!$E$119,Y1039*'Assumptions - Freight'!$E$113/'Assumptions - Infrastructure'!$E$119)," "),0)</f>
        <v>45</v>
      </c>
      <c r="Z1053" s="12">
        <f>IF(Z1039&lt;&gt;0,IF(OR(Z$19=1,Z$20=1),IF('Assumptions - Infrastructure'!$E$116=1,Z1039/'Assumptions - Infrastructure'!$E$119,Z1039*'Assumptions - Freight'!$E$113/'Assumptions - Infrastructure'!$E$119)," "),0)</f>
        <v>45</v>
      </c>
      <c r="AA1053" s="12">
        <f>IF(AA1039&lt;&gt;0,IF(OR(AA$19=1,AA$20=1),IF('Assumptions - Infrastructure'!$E$116=1,AA1039/'Assumptions - Infrastructure'!$E$119,AA1039*'Assumptions - Freight'!$E$113/'Assumptions - Infrastructure'!$E$119)," "),0)</f>
        <v>45</v>
      </c>
      <c r="AB1053" s="12">
        <f>IF(AB1039&lt;&gt;0,IF(OR(AB$19=1,AB$20=1),IF('Assumptions - Infrastructure'!$E$116=1,AB1039/'Assumptions - Infrastructure'!$E$119,AB1039*'Assumptions - Freight'!$E$113/'Assumptions - Infrastructure'!$E$119)," "),0)</f>
        <v>45</v>
      </c>
      <c r="AC1053" s="12">
        <f>IF(AC1039&lt;&gt;0,IF(OR(AC$19=1,AC$20=1),IF('Assumptions - Infrastructure'!$E$116=1,AC1039/'Assumptions - Infrastructure'!$E$119,AC1039*'Assumptions - Freight'!$E$113/'Assumptions - Infrastructure'!$E$119)," "),0)</f>
        <v>45</v>
      </c>
      <c r="AD1053" s="12">
        <f>IF(AD1039&lt;&gt;0,IF(OR(AD$19=1,AD$20=1),IF('Assumptions - Infrastructure'!$E$116=1,AD1039/'Assumptions - Infrastructure'!$E$119,AD1039*'Assumptions - Freight'!$E$113/'Assumptions - Infrastructure'!$E$119)," "),0)</f>
        <v>45</v>
      </c>
      <c r="AE1053" s="12">
        <f>IF(AE1039&lt;&gt;0,IF(OR(AE$19=1,AE$20=1),IF('Assumptions - Infrastructure'!$E$116=1,AE1039/'Assumptions - Infrastructure'!$E$119,AE1039*'Assumptions - Freight'!$E$113/'Assumptions - Infrastructure'!$E$119)," "),0)</f>
        <v>45</v>
      </c>
      <c r="AF1053" s="12">
        <f>IF(AF1039&lt;&gt;0,IF(OR(AF$19=1,AF$20=1),IF('Assumptions - Infrastructure'!$E$116=1,AF1039/'Assumptions - Infrastructure'!$E$119,AF1039*'Assumptions - Freight'!$E$113/'Assumptions - Infrastructure'!$E$119)," "),0)</f>
        <v>45</v>
      </c>
      <c r="AG1053" s="12">
        <f>IF(AG1039&lt;&gt;0,IF(OR(AG$19=1,AG$20=1),IF('Assumptions - Infrastructure'!$E$116=1,AG1039/'Assumptions - Infrastructure'!$E$119,AG1039*'Assumptions - Freight'!$E$113/'Assumptions - Infrastructure'!$E$119)," "),0)</f>
        <v>45</v>
      </c>
      <c r="AH1053" s="12">
        <f>IF(AH1039&lt;&gt;0,IF(OR(AH$19=1,AH$20=1),IF('Assumptions - Infrastructure'!$E$116=1,AH1039/'Assumptions - Infrastructure'!$E$119,AH1039*'Assumptions - Freight'!$E$113/'Assumptions - Infrastructure'!$E$119)," "),0)</f>
        <v>45</v>
      </c>
    </row>
    <row r="1054" spans="2:34" x14ac:dyDescent="0.2">
      <c r="B1054" s="8" t="str">
        <f>"Annual traffic volume of " &amp;'Assumptions - Infrastructure'!E124</f>
        <v>Annual traffic volume of Freight company 4</v>
      </c>
      <c r="C1054" s="8"/>
      <c r="D1054" s="8" t="str">
        <f>D1053</f>
        <v>Train-km (millions)</v>
      </c>
      <c r="E1054" s="12">
        <f>IF(E1040&lt;&gt;0,IF(OR(E$19=1,E$20=1),IF('Assumptions - Infrastructure'!$E$116=1,E1040/'Assumptions - Infrastructure'!$E$119,E1040*'Assumptions - Freight'!$E$113/'Assumptions - Infrastructure'!$E$119)," "),0)</f>
        <v>40</v>
      </c>
      <c r="F1054" s="12">
        <f>IF(F1040&lt;&gt;0,IF(OR(F$19=1,F$20=1),IF('Assumptions - Infrastructure'!$E$116=1,F1040/'Assumptions - Infrastructure'!$E$119,F1040*'Assumptions - Freight'!$E$113/'Assumptions - Infrastructure'!$E$119)," "),0)</f>
        <v>40</v>
      </c>
      <c r="G1054" s="12">
        <f>IF(G1040&lt;&gt;0,IF(OR(G$19=1,G$20=1),IF('Assumptions - Infrastructure'!$E$116=1,G1040/'Assumptions - Infrastructure'!$E$119,G1040*'Assumptions - Freight'!$E$113/'Assumptions - Infrastructure'!$E$119)," "),0)</f>
        <v>40</v>
      </c>
      <c r="H1054" s="12">
        <f>IF(H1040&lt;&gt;0,IF(OR(H$19=1,H$20=1),IF('Assumptions - Infrastructure'!$E$116=1,H1040/'Assumptions - Infrastructure'!$E$119,H1040*'Assumptions - Freight'!$E$113/'Assumptions - Infrastructure'!$E$119)," "),0)</f>
        <v>40</v>
      </c>
      <c r="I1054" s="12">
        <f>IF(I1040&lt;&gt;0,IF(OR(I$19=1,I$20=1),IF('Assumptions - Infrastructure'!$E$116=1,I1040/'Assumptions - Infrastructure'!$E$119,I1040*'Assumptions - Freight'!$E$113/'Assumptions - Infrastructure'!$E$119)," "),0)</f>
        <v>40</v>
      </c>
      <c r="J1054" s="12">
        <f>IF(J1040&lt;&gt;0,IF(OR(J$19=1,J$20=1),IF('Assumptions - Infrastructure'!$E$116=1,J1040/'Assumptions - Infrastructure'!$E$119,J1040*'Assumptions - Freight'!$E$113/'Assumptions - Infrastructure'!$E$119)," "),0)</f>
        <v>40</v>
      </c>
      <c r="K1054" s="12">
        <f>IF(K1040&lt;&gt;0,IF(OR(K$19=1,K$20=1),IF('Assumptions - Infrastructure'!$E$116=1,K1040/'Assumptions - Infrastructure'!$E$119,K1040*'Assumptions - Freight'!$E$113/'Assumptions - Infrastructure'!$E$119)," "),0)</f>
        <v>45</v>
      </c>
      <c r="L1054" s="12">
        <f>IF(L1040&lt;&gt;0,IF(OR(L$19=1,L$20=1),IF('Assumptions - Infrastructure'!$E$116=1,L1040/'Assumptions - Infrastructure'!$E$119,L1040*'Assumptions - Freight'!$E$113/'Assumptions - Infrastructure'!$E$119)," "),0)</f>
        <v>45</v>
      </c>
      <c r="M1054" s="12">
        <f>IF(M1040&lt;&gt;0,IF(OR(M$19=1,M$20=1),IF('Assumptions - Infrastructure'!$E$116=1,M1040/'Assumptions - Infrastructure'!$E$119,M1040*'Assumptions - Freight'!$E$113/'Assumptions - Infrastructure'!$E$119)," "),0)</f>
        <v>45</v>
      </c>
      <c r="N1054" s="12">
        <f>IF(N1040&lt;&gt;0,IF(OR(N$19=1,N$20=1),IF('Assumptions - Infrastructure'!$E$116=1,N1040/'Assumptions - Infrastructure'!$E$119,N1040*'Assumptions - Freight'!$E$113/'Assumptions - Infrastructure'!$E$119)," "),0)</f>
        <v>45</v>
      </c>
      <c r="O1054" s="12">
        <f>IF(O1040&lt;&gt;0,IF(OR(O$19=1,O$20=1),IF('Assumptions - Infrastructure'!$E$116=1,O1040/'Assumptions - Infrastructure'!$E$119,O1040*'Assumptions - Freight'!$E$113/'Assumptions - Infrastructure'!$E$119)," "),0)</f>
        <v>45</v>
      </c>
      <c r="P1054" s="12">
        <f>IF(P1040&lt;&gt;0,IF(OR(P$19=1,P$20=1),IF('Assumptions - Infrastructure'!$E$116=1,P1040/'Assumptions - Infrastructure'!$E$119,P1040*'Assumptions - Freight'!$E$113/'Assumptions - Infrastructure'!$E$119)," "),0)</f>
        <v>45</v>
      </c>
      <c r="Q1054" s="12">
        <f>IF(Q1040&lt;&gt;0,IF(OR(Q$19=1,Q$20=1),IF('Assumptions - Infrastructure'!$E$116=1,Q1040/'Assumptions - Infrastructure'!$E$119,Q1040*'Assumptions - Freight'!$E$113/'Assumptions - Infrastructure'!$E$119)," "),0)</f>
        <v>45</v>
      </c>
      <c r="R1054" s="12">
        <f>IF(R1040&lt;&gt;0,IF(OR(R$19=1,R$20=1),IF('Assumptions - Infrastructure'!$E$116=1,R1040/'Assumptions - Infrastructure'!$E$119,R1040*'Assumptions - Freight'!$E$113/'Assumptions - Infrastructure'!$E$119)," "),0)</f>
        <v>45</v>
      </c>
      <c r="S1054" s="12">
        <f>IF(S1040&lt;&gt;0,IF(OR(S$19=1,S$20=1),IF('Assumptions - Infrastructure'!$E$116=1,S1040/'Assumptions - Infrastructure'!$E$119,S1040*'Assumptions - Freight'!$E$113/'Assumptions - Infrastructure'!$E$119)," "),0)</f>
        <v>45</v>
      </c>
      <c r="T1054" s="12">
        <f>IF(T1040&lt;&gt;0,IF(OR(T$19=1,T$20=1),IF('Assumptions - Infrastructure'!$E$116=1,T1040/'Assumptions - Infrastructure'!$E$119,T1040*'Assumptions - Freight'!$E$113/'Assumptions - Infrastructure'!$E$119)," "),0)</f>
        <v>45</v>
      </c>
      <c r="U1054" s="12">
        <f>IF(U1040&lt;&gt;0,IF(OR(U$19=1,U$20=1),IF('Assumptions - Infrastructure'!$E$116=1,U1040/'Assumptions - Infrastructure'!$E$119,U1040*'Assumptions - Freight'!$E$113/'Assumptions - Infrastructure'!$E$119)," "),0)</f>
        <v>45</v>
      </c>
      <c r="V1054" s="12">
        <f>IF(V1040&lt;&gt;0,IF(OR(V$19=1,V$20=1),IF('Assumptions - Infrastructure'!$E$116=1,V1040/'Assumptions - Infrastructure'!$E$119,V1040*'Assumptions - Freight'!$E$113/'Assumptions - Infrastructure'!$E$119)," "),0)</f>
        <v>45</v>
      </c>
      <c r="W1054" s="12">
        <f>IF(W1040&lt;&gt;0,IF(OR(W$19=1,W$20=1),IF('Assumptions - Infrastructure'!$E$116=1,W1040/'Assumptions - Infrastructure'!$E$119,W1040*'Assumptions - Freight'!$E$113/'Assumptions - Infrastructure'!$E$119)," "),0)</f>
        <v>45</v>
      </c>
      <c r="X1054" s="12">
        <f>IF(X1040&lt;&gt;0,IF(OR(X$19=1,X$20=1),IF('Assumptions - Infrastructure'!$E$116=1,X1040/'Assumptions - Infrastructure'!$E$119,X1040*'Assumptions - Freight'!$E$113/'Assumptions - Infrastructure'!$E$119)," "),0)</f>
        <v>45</v>
      </c>
      <c r="Y1054" s="12">
        <f>IF(Y1040&lt;&gt;0,IF(OR(Y$19=1,Y$20=1),IF('Assumptions - Infrastructure'!$E$116=1,Y1040/'Assumptions - Infrastructure'!$E$119,Y1040*'Assumptions - Freight'!$E$113/'Assumptions - Infrastructure'!$E$119)," "),0)</f>
        <v>45</v>
      </c>
      <c r="Z1054" s="12">
        <f>IF(Z1040&lt;&gt;0,IF(OR(Z$19=1,Z$20=1),IF('Assumptions - Infrastructure'!$E$116=1,Z1040/'Assumptions - Infrastructure'!$E$119,Z1040*'Assumptions - Freight'!$E$113/'Assumptions - Infrastructure'!$E$119)," "),0)</f>
        <v>45</v>
      </c>
      <c r="AA1054" s="12">
        <f>IF(AA1040&lt;&gt;0,IF(OR(AA$19=1,AA$20=1),IF('Assumptions - Infrastructure'!$E$116=1,AA1040/'Assumptions - Infrastructure'!$E$119,AA1040*'Assumptions - Freight'!$E$113/'Assumptions - Infrastructure'!$E$119)," "),0)</f>
        <v>45</v>
      </c>
      <c r="AB1054" s="12">
        <f>IF(AB1040&lt;&gt;0,IF(OR(AB$19=1,AB$20=1),IF('Assumptions - Infrastructure'!$E$116=1,AB1040/'Assumptions - Infrastructure'!$E$119,AB1040*'Assumptions - Freight'!$E$113/'Assumptions - Infrastructure'!$E$119)," "),0)</f>
        <v>45</v>
      </c>
      <c r="AC1054" s="12">
        <f>IF(AC1040&lt;&gt;0,IF(OR(AC$19=1,AC$20=1),IF('Assumptions - Infrastructure'!$E$116=1,AC1040/'Assumptions - Infrastructure'!$E$119,AC1040*'Assumptions - Freight'!$E$113/'Assumptions - Infrastructure'!$E$119)," "),0)</f>
        <v>45</v>
      </c>
      <c r="AD1054" s="12">
        <f>IF(AD1040&lt;&gt;0,IF(OR(AD$19=1,AD$20=1),IF('Assumptions - Infrastructure'!$E$116=1,AD1040/'Assumptions - Infrastructure'!$E$119,AD1040*'Assumptions - Freight'!$E$113/'Assumptions - Infrastructure'!$E$119)," "),0)</f>
        <v>45</v>
      </c>
      <c r="AE1054" s="12">
        <f>IF(AE1040&lt;&gt;0,IF(OR(AE$19=1,AE$20=1),IF('Assumptions - Infrastructure'!$E$116=1,AE1040/'Assumptions - Infrastructure'!$E$119,AE1040*'Assumptions - Freight'!$E$113/'Assumptions - Infrastructure'!$E$119)," "),0)</f>
        <v>45</v>
      </c>
      <c r="AF1054" s="12">
        <f>IF(AF1040&lt;&gt;0,IF(OR(AF$19=1,AF$20=1),IF('Assumptions - Infrastructure'!$E$116=1,AF1040/'Assumptions - Infrastructure'!$E$119,AF1040*'Assumptions - Freight'!$E$113/'Assumptions - Infrastructure'!$E$119)," "),0)</f>
        <v>45</v>
      </c>
      <c r="AG1054" s="12">
        <f>IF(AG1040&lt;&gt;0,IF(OR(AG$19=1,AG$20=1),IF('Assumptions - Infrastructure'!$E$116=1,AG1040/'Assumptions - Infrastructure'!$E$119,AG1040*'Assumptions - Freight'!$E$113/'Assumptions - Infrastructure'!$E$119)," "),0)</f>
        <v>45</v>
      </c>
      <c r="AH1054" s="12">
        <f>IF(AH1040&lt;&gt;0,IF(OR(AH$19=1,AH$20=1),IF('Assumptions - Infrastructure'!$E$116=1,AH1040/'Assumptions - Infrastructure'!$E$119,AH1040*'Assumptions - Freight'!$E$113/'Assumptions - Infrastructure'!$E$119)," "),0)</f>
        <v>45</v>
      </c>
    </row>
    <row r="1055" spans="2:34" x14ac:dyDescent="0.2">
      <c r="B1055" s="8" t="str">
        <f>"Annual traffic volume of " &amp;'Assumptions - Infrastructure'!E125</f>
        <v>Annual traffic volume of Freight company 5</v>
      </c>
      <c r="C1055" s="8"/>
      <c r="D1055" s="8" t="str">
        <f>D1054</f>
        <v>Train-km (millions)</v>
      </c>
      <c r="E1055" s="12">
        <f>IF(E1041&lt;&gt;0,IF(OR(E$19=1,E$20=1),IF('Assumptions - Infrastructure'!$E$116=1,E1041/'Assumptions - Infrastructure'!$E$119,E1041*'Assumptions - Freight'!$E$113/'Assumptions - Infrastructure'!$E$119)," "),0)</f>
        <v>40</v>
      </c>
      <c r="F1055" s="12">
        <f>IF(F1041&lt;&gt;0,IF(OR(F$19=1,F$20=1),IF('Assumptions - Infrastructure'!$E$116=1,F1041/'Assumptions - Infrastructure'!$E$119,F1041*'Assumptions - Freight'!$E$113/'Assumptions - Infrastructure'!$E$119)," "),0)</f>
        <v>40</v>
      </c>
      <c r="G1055" s="12">
        <f>IF(G1041&lt;&gt;0,IF(OR(G$19=1,G$20=1),IF('Assumptions - Infrastructure'!$E$116=1,G1041/'Assumptions - Infrastructure'!$E$119,G1041*'Assumptions - Freight'!$E$113/'Assumptions - Infrastructure'!$E$119)," "),0)</f>
        <v>40</v>
      </c>
      <c r="H1055" s="12">
        <f>IF(H1041&lt;&gt;0,IF(OR(H$19=1,H$20=1),IF('Assumptions - Infrastructure'!$E$116=1,H1041/'Assumptions - Infrastructure'!$E$119,H1041*'Assumptions - Freight'!$E$113/'Assumptions - Infrastructure'!$E$119)," "),0)</f>
        <v>40</v>
      </c>
      <c r="I1055" s="12">
        <f>IF(I1041&lt;&gt;0,IF(OR(I$19=1,I$20=1),IF('Assumptions - Infrastructure'!$E$116=1,I1041/'Assumptions - Infrastructure'!$E$119,I1041*'Assumptions - Freight'!$E$113/'Assumptions - Infrastructure'!$E$119)," "),0)</f>
        <v>40</v>
      </c>
      <c r="J1055" s="12">
        <f>IF(J1041&lt;&gt;0,IF(OR(J$19=1,J$20=1),IF('Assumptions - Infrastructure'!$E$116=1,J1041/'Assumptions - Infrastructure'!$E$119,J1041*'Assumptions - Freight'!$E$113/'Assumptions - Infrastructure'!$E$119)," "),0)</f>
        <v>40</v>
      </c>
      <c r="K1055" s="12">
        <f>IF(K1041&lt;&gt;0,IF(OR(K$19=1,K$20=1),IF('Assumptions - Infrastructure'!$E$116=1,K1041/'Assumptions - Infrastructure'!$E$119,K1041*'Assumptions - Freight'!$E$113/'Assumptions - Infrastructure'!$E$119)," "),0)</f>
        <v>45</v>
      </c>
      <c r="L1055" s="12">
        <f>IF(L1041&lt;&gt;0,IF(OR(L$19=1,L$20=1),IF('Assumptions - Infrastructure'!$E$116=1,L1041/'Assumptions - Infrastructure'!$E$119,L1041*'Assumptions - Freight'!$E$113/'Assumptions - Infrastructure'!$E$119)," "),0)</f>
        <v>45</v>
      </c>
      <c r="M1055" s="12">
        <f>IF(M1041&lt;&gt;0,IF(OR(M$19=1,M$20=1),IF('Assumptions - Infrastructure'!$E$116=1,M1041/'Assumptions - Infrastructure'!$E$119,M1041*'Assumptions - Freight'!$E$113/'Assumptions - Infrastructure'!$E$119)," "),0)</f>
        <v>45</v>
      </c>
      <c r="N1055" s="12">
        <f>IF(N1041&lt;&gt;0,IF(OR(N$19=1,N$20=1),IF('Assumptions - Infrastructure'!$E$116=1,N1041/'Assumptions - Infrastructure'!$E$119,N1041*'Assumptions - Freight'!$E$113/'Assumptions - Infrastructure'!$E$119)," "),0)</f>
        <v>45</v>
      </c>
      <c r="O1055" s="12">
        <f>IF(O1041&lt;&gt;0,IF(OR(O$19=1,O$20=1),IF('Assumptions - Infrastructure'!$E$116=1,O1041/'Assumptions - Infrastructure'!$E$119,O1041*'Assumptions - Freight'!$E$113/'Assumptions - Infrastructure'!$E$119)," "),0)</f>
        <v>45</v>
      </c>
      <c r="P1055" s="12">
        <f>IF(P1041&lt;&gt;0,IF(OR(P$19=1,P$20=1),IF('Assumptions - Infrastructure'!$E$116=1,P1041/'Assumptions - Infrastructure'!$E$119,P1041*'Assumptions - Freight'!$E$113/'Assumptions - Infrastructure'!$E$119)," "),0)</f>
        <v>45</v>
      </c>
      <c r="Q1055" s="12">
        <f>IF(Q1041&lt;&gt;0,IF(OR(Q$19=1,Q$20=1),IF('Assumptions - Infrastructure'!$E$116=1,Q1041/'Assumptions - Infrastructure'!$E$119,Q1041*'Assumptions - Freight'!$E$113/'Assumptions - Infrastructure'!$E$119)," "),0)</f>
        <v>45</v>
      </c>
      <c r="R1055" s="12">
        <f>IF(R1041&lt;&gt;0,IF(OR(R$19=1,R$20=1),IF('Assumptions - Infrastructure'!$E$116=1,R1041/'Assumptions - Infrastructure'!$E$119,R1041*'Assumptions - Freight'!$E$113/'Assumptions - Infrastructure'!$E$119)," "),0)</f>
        <v>45</v>
      </c>
      <c r="S1055" s="12">
        <f>IF(S1041&lt;&gt;0,IF(OR(S$19=1,S$20=1),IF('Assumptions - Infrastructure'!$E$116=1,S1041/'Assumptions - Infrastructure'!$E$119,S1041*'Assumptions - Freight'!$E$113/'Assumptions - Infrastructure'!$E$119)," "),0)</f>
        <v>45</v>
      </c>
      <c r="T1055" s="12">
        <f>IF(T1041&lt;&gt;0,IF(OR(T$19=1,T$20=1),IF('Assumptions - Infrastructure'!$E$116=1,T1041/'Assumptions - Infrastructure'!$E$119,T1041*'Assumptions - Freight'!$E$113/'Assumptions - Infrastructure'!$E$119)," "),0)</f>
        <v>45</v>
      </c>
      <c r="U1055" s="12">
        <f>IF(U1041&lt;&gt;0,IF(OR(U$19=1,U$20=1),IF('Assumptions - Infrastructure'!$E$116=1,U1041/'Assumptions - Infrastructure'!$E$119,U1041*'Assumptions - Freight'!$E$113/'Assumptions - Infrastructure'!$E$119)," "),0)</f>
        <v>45</v>
      </c>
      <c r="V1055" s="12">
        <f>IF(V1041&lt;&gt;0,IF(OR(V$19=1,V$20=1),IF('Assumptions - Infrastructure'!$E$116=1,V1041/'Assumptions - Infrastructure'!$E$119,V1041*'Assumptions - Freight'!$E$113/'Assumptions - Infrastructure'!$E$119)," "),0)</f>
        <v>45</v>
      </c>
      <c r="W1055" s="12">
        <f>IF(W1041&lt;&gt;0,IF(OR(W$19=1,W$20=1),IF('Assumptions - Infrastructure'!$E$116=1,W1041/'Assumptions - Infrastructure'!$E$119,W1041*'Assumptions - Freight'!$E$113/'Assumptions - Infrastructure'!$E$119)," "),0)</f>
        <v>45</v>
      </c>
      <c r="X1055" s="12">
        <f>IF(X1041&lt;&gt;0,IF(OR(X$19=1,X$20=1),IF('Assumptions - Infrastructure'!$E$116=1,X1041/'Assumptions - Infrastructure'!$E$119,X1041*'Assumptions - Freight'!$E$113/'Assumptions - Infrastructure'!$E$119)," "),0)</f>
        <v>45</v>
      </c>
      <c r="Y1055" s="12">
        <f>IF(Y1041&lt;&gt;0,IF(OR(Y$19=1,Y$20=1),IF('Assumptions - Infrastructure'!$E$116=1,Y1041/'Assumptions - Infrastructure'!$E$119,Y1041*'Assumptions - Freight'!$E$113/'Assumptions - Infrastructure'!$E$119)," "),0)</f>
        <v>45</v>
      </c>
      <c r="Z1055" s="12">
        <f>IF(Z1041&lt;&gt;0,IF(OR(Z$19=1,Z$20=1),IF('Assumptions - Infrastructure'!$E$116=1,Z1041/'Assumptions - Infrastructure'!$E$119,Z1041*'Assumptions - Freight'!$E$113/'Assumptions - Infrastructure'!$E$119)," "),0)</f>
        <v>45</v>
      </c>
      <c r="AA1055" s="12">
        <f>IF(AA1041&lt;&gt;0,IF(OR(AA$19=1,AA$20=1),IF('Assumptions - Infrastructure'!$E$116=1,AA1041/'Assumptions - Infrastructure'!$E$119,AA1041*'Assumptions - Freight'!$E$113/'Assumptions - Infrastructure'!$E$119)," "),0)</f>
        <v>45</v>
      </c>
      <c r="AB1055" s="12">
        <f>IF(AB1041&lt;&gt;0,IF(OR(AB$19=1,AB$20=1),IF('Assumptions - Infrastructure'!$E$116=1,AB1041/'Assumptions - Infrastructure'!$E$119,AB1041*'Assumptions - Freight'!$E$113/'Assumptions - Infrastructure'!$E$119)," "),0)</f>
        <v>45</v>
      </c>
      <c r="AC1055" s="12">
        <f>IF(AC1041&lt;&gt;0,IF(OR(AC$19=1,AC$20=1),IF('Assumptions - Infrastructure'!$E$116=1,AC1041/'Assumptions - Infrastructure'!$E$119,AC1041*'Assumptions - Freight'!$E$113/'Assumptions - Infrastructure'!$E$119)," "),0)</f>
        <v>45</v>
      </c>
      <c r="AD1055" s="12">
        <f>IF(AD1041&lt;&gt;0,IF(OR(AD$19=1,AD$20=1),IF('Assumptions - Infrastructure'!$E$116=1,AD1041/'Assumptions - Infrastructure'!$E$119,AD1041*'Assumptions - Freight'!$E$113/'Assumptions - Infrastructure'!$E$119)," "),0)</f>
        <v>45</v>
      </c>
      <c r="AE1055" s="12">
        <f>IF(AE1041&lt;&gt;0,IF(OR(AE$19=1,AE$20=1),IF('Assumptions - Infrastructure'!$E$116=1,AE1041/'Assumptions - Infrastructure'!$E$119,AE1041*'Assumptions - Freight'!$E$113/'Assumptions - Infrastructure'!$E$119)," "),0)</f>
        <v>45</v>
      </c>
      <c r="AF1055" s="12">
        <f>IF(AF1041&lt;&gt;0,IF(OR(AF$19=1,AF$20=1),IF('Assumptions - Infrastructure'!$E$116=1,AF1041/'Assumptions - Infrastructure'!$E$119,AF1041*'Assumptions - Freight'!$E$113/'Assumptions - Infrastructure'!$E$119)," "),0)</f>
        <v>45</v>
      </c>
      <c r="AG1055" s="12">
        <f>IF(AG1041&lt;&gt;0,IF(OR(AG$19=1,AG$20=1),IF('Assumptions - Infrastructure'!$E$116=1,AG1041/'Assumptions - Infrastructure'!$E$119,AG1041*'Assumptions - Freight'!$E$113/'Assumptions - Infrastructure'!$E$119)," "),0)</f>
        <v>45</v>
      </c>
      <c r="AH1055" s="12">
        <f>IF(AH1041&lt;&gt;0,IF(OR(AH$19=1,AH$20=1),IF('Assumptions - Infrastructure'!$E$116=1,AH1041/'Assumptions - Infrastructure'!$E$119,AH1041*'Assumptions - Freight'!$E$113/'Assumptions - Infrastructure'!$E$119)," "),0)</f>
        <v>45</v>
      </c>
    </row>
    <row r="1056" spans="2:34" x14ac:dyDescent="0.2">
      <c r="B1056" s="8" t="str">
        <f>"Annual traffic volume of " &amp;'Assumptions - Infrastructure'!E126</f>
        <v>Annual traffic volume of Other companies</v>
      </c>
      <c r="C1056" s="8"/>
      <c r="D1056" s="8" t="str">
        <f>D1055</f>
        <v>Train-km (millions)</v>
      </c>
      <c r="E1056" s="12">
        <f>IF(E1042&lt;&gt;0,IF(OR(E$19=1,E$20=1),IF('Assumptions - Infrastructure'!$E$116=1,E1042/'Assumptions - Infrastructure'!$E$119,E1042*'Assumptions - Freight'!$E$113/'Assumptions - Infrastructure'!$E$119)," "),0)</f>
        <v>40</v>
      </c>
      <c r="F1056" s="12">
        <f>IF(F1042&lt;&gt;0,IF(OR(F$19=1,F$20=1),IF('Assumptions - Infrastructure'!$E$116=1,F1042/'Assumptions - Infrastructure'!$E$119,F1042*'Assumptions - Freight'!$E$113/'Assumptions - Infrastructure'!$E$119)," "),0)</f>
        <v>40</v>
      </c>
      <c r="G1056" s="12">
        <f>IF(G1042&lt;&gt;0,IF(OR(G$19=1,G$20=1),IF('Assumptions - Infrastructure'!$E$116=1,G1042/'Assumptions - Infrastructure'!$E$119,G1042*'Assumptions - Freight'!$E$113/'Assumptions - Infrastructure'!$E$119)," "),0)</f>
        <v>40</v>
      </c>
      <c r="H1056" s="12">
        <f>IF(H1042&lt;&gt;0,IF(OR(H$19=1,H$20=1),IF('Assumptions - Infrastructure'!$E$116=1,H1042/'Assumptions - Infrastructure'!$E$119,H1042*'Assumptions - Freight'!$E$113/'Assumptions - Infrastructure'!$E$119)," "),0)</f>
        <v>40</v>
      </c>
      <c r="I1056" s="12">
        <f>IF(I1042&lt;&gt;0,IF(OR(I$19=1,I$20=1),IF('Assumptions - Infrastructure'!$E$116=1,I1042/'Assumptions - Infrastructure'!$E$119,I1042*'Assumptions - Freight'!$E$113/'Assumptions - Infrastructure'!$E$119)," "),0)</f>
        <v>40</v>
      </c>
      <c r="J1056" s="12">
        <f>IF(J1042&lt;&gt;0,IF(OR(J$19=1,J$20=1),IF('Assumptions - Infrastructure'!$E$116=1,J1042/'Assumptions - Infrastructure'!$E$119,J1042*'Assumptions - Freight'!$E$113/'Assumptions - Infrastructure'!$E$119)," "),0)</f>
        <v>40</v>
      </c>
      <c r="K1056" s="12">
        <f>IF(K1042&lt;&gt;0,IF(OR(K$19=1,K$20=1),IF('Assumptions - Infrastructure'!$E$116=1,K1042/'Assumptions - Infrastructure'!$E$119,K1042*'Assumptions - Freight'!$E$113/'Assumptions - Infrastructure'!$E$119)," "),0)</f>
        <v>45</v>
      </c>
      <c r="L1056" s="12">
        <f>IF(L1042&lt;&gt;0,IF(OR(L$19=1,L$20=1),IF('Assumptions - Infrastructure'!$E$116=1,L1042/'Assumptions - Infrastructure'!$E$119,L1042*'Assumptions - Freight'!$E$113/'Assumptions - Infrastructure'!$E$119)," "),0)</f>
        <v>45</v>
      </c>
      <c r="M1056" s="12">
        <f>IF(M1042&lt;&gt;0,IF(OR(M$19=1,M$20=1),IF('Assumptions - Infrastructure'!$E$116=1,M1042/'Assumptions - Infrastructure'!$E$119,M1042*'Assumptions - Freight'!$E$113/'Assumptions - Infrastructure'!$E$119)," "),0)</f>
        <v>45</v>
      </c>
      <c r="N1056" s="12">
        <f>IF(N1042&lt;&gt;0,IF(OR(N$19=1,N$20=1),IF('Assumptions - Infrastructure'!$E$116=1,N1042/'Assumptions - Infrastructure'!$E$119,N1042*'Assumptions - Freight'!$E$113/'Assumptions - Infrastructure'!$E$119)," "),0)</f>
        <v>45</v>
      </c>
      <c r="O1056" s="12">
        <f>IF(O1042&lt;&gt;0,IF(OR(O$19=1,O$20=1),IF('Assumptions - Infrastructure'!$E$116=1,O1042/'Assumptions - Infrastructure'!$E$119,O1042*'Assumptions - Freight'!$E$113/'Assumptions - Infrastructure'!$E$119)," "),0)</f>
        <v>45</v>
      </c>
      <c r="P1056" s="12">
        <f>IF(P1042&lt;&gt;0,IF(OR(P$19=1,P$20=1),IF('Assumptions - Infrastructure'!$E$116=1,P1042/'Assumptions - Infrastructure'!$E$119,P1042*'Assumptions - Freight'!$E$113/'Assumptions - Infrastructure'!$E$119)," "),0)</f>
        <v>45</v>
      </c>
      <c r="Q1056" s="12">
        <f>IF(Q1042&lt;&gt;0,IF(OR(Q$19=1,Q$20=1),IF('Assumptions - Infrastructure'!$E$116=1,Q1042/'Assumptions - Infrastructure'!$E$119,Q1042*'Assumptions - Freight'!$E$113/'Assumptions - Infrastructure'!$E$119)," "),0)</f>
        <v>45</v>
      </c>
      <c r="R1056" s="12">
        <f>IF(R1042&lt;&gt;0,IF(OR(R$19=1,R$20=1),IF('Assumptions - Infrastructure'!$E$116=1,R1042/'Assumptions - Infrastructure'!$E$119,R1042*'Assumptions - Freight'!$E$113/'Assumptions - Infrastructure'!$E$119)," "),0)</f>
        <v>45</v>
      </c>
      <c r="S1056" s="12">
        <f>IF(S1042&lt;&gt;0,IF(OR(S$19=1,S$20=1),IF('Assumptions - Infrastructure'!$E$116=1,S1042/'Assumptions - Infrastructure'!$E$119,S1042*'Assumptions - Freight'!$E$113/'Assumptions - Infrastructure'!$E$119)," "),0)</f>
        <v>45</v>
      </c>
      <c r="T1056" s="12">
        <f>IF(T1042&lt;&gt;0,IF(OR(T$19=1,T$20=1),IF('Assumptions - Infrastructure'!$E$116=1,T1042/'Assumptions - Infrastructure'!$E$119,T1042*'Assumptions - Freight'!$E$113/'Assumptions - Infrastructure'!$E$119)," "),0)</f>
        <v>45</v>
      </c>
      <c r="U1056" s="12">
        <f>IF(U1042&lt;&gt;0,IF(OR(U$19=1,U$20=1),IF('Assumptions - Infrastructure'!$E$116=1,U1042/'Assumptions - Infrastructure'!$E$119,U1042*'Assumptions - Freight'!$E$113/'Assumptions - Infrastructure'!$E$119)," "),0)</f>
        <v>45</v>
      </c>
      <c r="V1056" s="12">
        <f>IF(V1042&lt;&gt;0,IF(OR(V$19=1,V$20=1),IF('Assumptions - Infrastructure'!$E$116=1,V1042/'Assumptions - Infrastructure'!$E$119,V1042*'Assumptions - Freight'!$E$113/'Assumptions - Infrastructure'!$E$119)," "),0)</f>
        <v>45</v>
      </c>
      <c r="W1056" s="12">
        <f>IF(W1042&lt;&gt;0,IF(OR(W$19=1,W$20=1),IF('Assumptions - Infrastructure'!$E$116=1,W1042/'Assumptions - Infrastructure'!$E$119,W1042*'Assumptions - Freight'!$E$113/'Assumptions - Infrastructure'!$E$119)," "),0)</f>
        <v>45</v>
      </c>
      <c r="X1056" s="12">
        <f>IF(X1042&lt;&gt;0,IF(OR(X$19=1,X$20=1),IF('Assumptions - Infrastructure'!$E$116=1,X1042/'Assumptions - Infrastructure'!$E$119,X1042*'Assumptions - Freight'!$E$113/'Assumptions - Infrastructure'!$E$119)," "),0)</f>
        <v>45</v>
      </c>
      <c r="Y1056" s="12">
        <f>IF(Y1042&lt;&gt;0,IF(OR(Y$19=1,Y$20=1),IF('Assumptions - Infrastructure'!$E$116=1,Y1042/'Assumptions - Infrastructure'!$E$119,Y1042*'Assumptions - Freight'!$E$113/'Assumptions - Infrastructure'!$E$119)," "),0)</f>
        <v>45</v>
      </c>
      <c r="Z1056" s="12">
        <f>IF(Z1042&lt;&gt;0,IF(OR(Z$19=1,Z$20=1),IF('Assumptions - Infrastructure'!$E$116=1,Z1042/'Assumptions - Infrastructure'!$E$119,Z1042*'Assumptions - Freight'!$E$113/'Assumptions - Infrastructure'!$E$119)," "),0)</f>
        <v>45</v>
      </c>
      <c r="AA1056" s="12">
        <f>IF(AA1042&lt;&gt;0,IF(OR(AA$19=1,AA$20=1),IF('Assumptions - Infrastructure'!$E$116=1,AA1042/'Assumptions - Infrastructure'!$E$119,AA1042*'Assumptions - Freight'!$E$113/'Assumptions - Infrastructure'!$E$119)," "),0)</f>
        <v>45</v>
      </c>
      <c r="AB1056" s="12">
        <f>IF(AB1042&lt;&gt;0,IF(OR(AB$19=1,AB$20=1),IF('Assumptions - Infrastructure'!$E$116=1,AB1042/'Assumptions - Infrastructure'!$E$119,AB1042*'Assumptions - Freight'!$E$113/'Assumptions - Infrastructure'!$E$119)," "),0)</f>
        <v>45</v>
      </c>
      <c r="AC1056" s="12">
        <f>IF(AC1042&lt;&gt;0,IF(OR(AC$19=1,AC$20=1),IF('Assumptions - Infrastructure'!$E$116=1,AC1042/'Assumptions - Infrastructure'!$E$119,AC1042*'Assumptions - Freight'!$E$113/'Assumptions - Infrastructure'!$E$119)," "),0)</f>
        <v>45</v>
      </c>
      <c r="AD1056" s="12">
        <f>IF(AD1042&lt;&gt;0,IF(OR(AD$19=1,AD$20=1),IF('Assumptions - Infrastructure'!$E$116=1,AD1042/'Assumptions - Infrastructure'!$E$119,AD1042*'Assumptions - Freight'!$E$113/'Assumptions - Infrastructure'!$E$119)," "),0)</f>
        <v>45</v>
      </c>
      <c r="AE1056" s="12">
        <f>IF(AE1042&lt;&gt;0,IF(OR(AE$19=1,AE$20=1),IF('Assumptions - Infrastructure'!$E$116=1,AE1042/'Assumptions - Infrastructure'!$E$119,AE1042*'Assumptions - Freight'!$E$113/'Assumptions - Infrastructure'!$E$119)," "),0)</f>
        <v>45</v>
      </c>
      <c r="AF1056" s="12">
        <f>IF(AF1042&lt;&gt;0,IF(OR(AF$19=1,AF$20=1),IF('Assumptions - Infrastructure'!$E$116=1,AF1042/'Assumptions - Infrastructure'!$E$119,AF1042*'Assumptions - Freight'!$E$113/'Assumptions - Infrastructure'!$E$119)," "),0)</f>
        <v>45</v>
      </c>
      <c r="AG1056" s="12">
        <f>IF(AG1042&lt;&gt;0,IF(OR(AG$19=1,AG$20=1),IF('Assumptions - Infrastructure'!$E$116=1,AG1042/'Assumptions - Infrastructure'!$E$119,AG1042*'Assumptions - Freight'!$E$113/'Assumptions - Infrastructure'!$E$119)," "),0)</f>
        <v>45</v>
      </c>
      <c r="AH1056" s="12">
        <f>IF(AH1042&lt;&gt;0,IF(OR(AH$19=1,AH$20=1),IF('Assumptions - Infrastructure'!$E$116=1,AH1042/'Assumptions - Infrastructure'!$E$119,AH1042*'Assumptions - Freight'!$E$113/'Assumptions - Infrastructure'!$E$119)," "),0)</f>
        <v>45</v>
      </c>
    </row>
    <row r="1057" spans="2:34" x14ac:dyDescent="0.2">
      <c r="B1057" s="14"/>
      <c r="C1057" s="8"/>
      <c r="D1057" s="8"/>
      <c r="E1057" s="12"/>
      <c r="F1057" s="12"/>
      <c r="G1057" s="12"/>
      <c r="H1057" s="12"/>
      <c r="I1057" s="12"/>
      <c r="J1057" s="12"/>
      <c r="K1057" s="12"/>
      <c r="L1057" s="12"/>
      <c r="M1057" s="12"/>
      <c r="N1057" s="12"/>
      <c r="O1057" s="12"/>
      <c r="P1057" s="12"/>
      <c r="Q1057" s="12"/>
      <c r="R1057" s="12"/>
      <c r="S1057" s="12"/>
      <c r="T1057" s="12"/>
      <c r="U1057" s="12"/>
      <c r="V1057" s="12"/>
      <c r="W1057" s="12"/>
      <c r="X1057" s="12"/>
      <c r="Y1057" s="12"/>
      <c r="Z1057" s="12"/>
      <c r="AA1057" s="12"/>
      <c r="AB1057" s="12"/>
      <c r="AC1057" s="12"/>
      <c r="AD1057" s="12"/>
      <c r="AE1057" s="12"/>
      <c r="AF1057" s="12"/>
      <c r="AG1057" s="12"/>
      <c r="AH1057" s="12"/>
    </row>
    <row r="1058" spans="2:34" x14ac:dyDescent="0.2">
      <c r="B1058" s="8" t="str">
        <f>"Annual traffic volume of " &amp;'Assumptions - Infrastructure'!E121</f>
        <v>Annual traffic volume of Freight company 1</v>
      </c>
      <c r="C1058" s="8"/>
      <c r="D1058" s="8" t="s">
        <v>286</v>
      </c>
      <c r="E1058" s="12">
        <f>IF(E1037&lt;&gt;0,IF(OR(E$19=1,E$20=1),IF('Assumptions - Infrastructure'!$E$116=1,('Assumptions - Infrastructure'!E$128)*E1037,('Assumptions - Infrastructure'!E$128)*'Assumptions - Infrastructure'!$E$118*E1037)," "),0)</f>
        <v>8333.3333333333339</v>
      </c>
      <c r="F1058" s="12">
        <f>IF(F1037&lt;&gt;0,IF(OR(F$19=1,F$20=1),IF('Assumptions - Infrastructure'!$E$116=1,('Assumptions - Infrastructure'!F$128)*F1037,('Assumptions - Infrastructure'!F$128)*'Assumptions - Infrastructure'!$E$118*F1037)," "),0)</f>
        <v>8333.3333333333339</v>
      </c>
      <c r="G1058" s="12">
        <f>IF(G1037&lt;&gt;0,IF(OR(G$19=1,G$20=1),IF('Assumptions - Infrastructure'!$E$116=1,('Assumptions - Infrastructure'!G$128)*G1037,('Assumptions - Infrastructure'!G$128)*'Assumptions - Infrastructure'!$E$118*G1037)," "),0)</f>
        <v>8333.3333333333339</v>
      </c>
      <c r="H1058" s="12">
        <f>IF(H1037&lt;&gt;0,IF(OR(H$19=1,H$20=1),IF('Assumptions - Infrastructure'!$E$116=1,('Assumptions - Infrastructure'!H$128)*H1037,('Assumptions - Infrastructure'!H$128)*'Assumptions - Infrastructure'!$E$118*H1037)," "),0)</f>
        <v>8333.3333333333339</v>
      </c>
      <c r="I1058" s="12">
        <f>IF(I1037&lt;&gt;0,IF(OR(I$19=1,I$20=1),IF('Assumptions - Infrastructure'!$E$116=1,('Assumptions - Infrastructure'!I$128)*I1037,('Assumptions - Infrastructure'!I$128)*'Assumptions - Infrastructure'!$E$118*I1037)," "),0)</f>
        <v>8333.3333333333339</v>
      </c>
      <c r="J1058" s="12">
        <f>IF(J1037&lt;&gt;0,IF(OR(J$19=1,J$20=1),IF('Assumptions - Infrastructure'!$E$116=1,('Assumptions - Infrastructure'!J$128)*J1037,('Assumptions - Infrastructure'!J$128)*'Assumptions - Infrastructure'!$E$118*J1037)," "),0)</f>
        <v>8333.3333333333339</v>
      </c>
      <c r="K1058" s="12">
        <f>IF(K1037&lt;&gt;0,IF(OR(K$19=1,K$20=1),IF('Assumptions - Infrastructure'!$E$116=1,('Assumptions - Infrastructure'!K$128)*K1037,('Assumptions - Infrastructure'!K$128)*'Assumptions - Infrastructure'!$E$118*K1037)," "),0)</f>
        <v>9375</v>
      </c>
      <c r="L1058" s="12">
        <f>IF(L1037&lt;&gt;0,IF(OR(L$19=1,L$20=1),IF('Assumptions - Infrastructure'!$E$116=1,('Assumptions - Infrastructure'!L$128)*L1037,('Assumptions - Infrastructure'!L$128)*'Assumptions - Infrastructure'!$E$118*L1037)," "),0)</f>
        <v>9375</v>
      </c>
      <c r="M1058" s="12">
        <f>IF(M1037&lt;&gt;0,IF(OR(M$19=1,M$20=1),IF('Assumptions - Infrastructure'!$E$116=1,('Assumptions - Infrastructure'!M$128)*M1037,('Assumptions - Infrastructure'!M$128)*'Assumptions - Infrastructure'!$E$118*M1037)," "),0)</f>
        <v>9375</v>
      </c>
      <c r="N1058" s="12">
        <f>IF(N1037&lt;&gt;0,IF(OR(N$19=1,N$20=1),IF('Assumptions - Infrastructure'!$E$116=1,('Assumptions - Infrastructure'!N$128)*N1037,('Assumptions - Infrastructure'!N$128)*'Assumptions - Infrastructure'!$E$118*N1037)," "),0)</f>
        <v>9375</v>
      </c>
      <c r="O1058" s="12">
        <f>IF(O1037&lt;&gt;0,IF(OR(O$19=1,O$20=1),IF('Assumptions - Infrastructure'!$E$116=1,('Assumptions - Infrastructure'!O$128)*O1037,('Assumptions - Infrastructure'!O$128)*'Assumptions - Infrastructure'!$E$118*O1037)," "),0)</f>
        <v>9375</v>
      </c>
      <c r="P1058" s="12">
        <f>IF(P1037&lt;&gt;0,IF(OR(P$19=1,P$20=1),IF('Assumptions - Infrastructure'!$E$116=1,('Assumptions - Infrastructure'!P$128)*P1037,('Assumptions - Infrastructure'!P$128)*'Assumptions - Infrastructure'!$E$118*P1037)," "),0)</f>
        <v>9375</v>
      </c>
      <c r="Q1058" s="12">
        <f>IF(Q1037&lt;&gt;0,IF(OR(Q$19=1,Q$20=1),IF('Assumptions - Infrastructure'!$E$116=1,('Assumptions - Infrastructure'!Q$128)*Q1037,('Assumptions - Infrastructure'!Q$128)*'Assumptions - Infrastructure'!$E$118*Q1037)," "),0)</f>
        <v>9375</v>
      </c>
      <c r="R1058" s="12">
        <f>IF(R1037&lt;&gt;0,IF(OR(R$19=1,R$20=1),IF('Assumptions - Infrastructure'!$E$116=1,('Assumptions - Infrastructure'!R$128)*R1037,('Assumptions - Infrastructure'!R$128)*'Assumptions - Infrastructure'!$E$118*R1037)," "),0)</f>
        <v>9375</v>
      </c>
      <c r="S1058" s="12">
        <f>IF(S1037&lt;&gt;0,IF(OR(S$19=1,S$20=1),IF('Assumptions - Infrastructure'!$E$116=1,('Assumptions - Infrastructure'!S$128)*S1037,('Assumptions - Infrastructure'!S$128)*'Assumptions - Infrastructure'!$E$118*S1037)," "),0)</f>
        <v>9375</v>
      </c>
      <c r="T1058" s="12">
        <f>IF(T1037&lt;&gt;0,IF(OR(T$19=1,T$20=1),IF('Assumptions - Infrastructure'!$E$116=1,('Assumptions - Infrastructure'!T$128)*T1037,('Assumptions - Infrastructure'!T$128)*'Assumptions - Infrastructure'!$E$118*T1037)," "),0)</f>
        <v>9375</v>
      </c>
      <c r="U1058" s="12">
        <f>IF(U1037&lt;&gt;0,IF(OR(U$19=1,U$20=1),IF('Assumptions - Infrastructure'!$E$116=1,('Assumptions - Infrastructure'!U$128)*U1037,('Assumptions - Infrastructure'!U$128)*'Assumptions - Infrastructure'!$E$118*U1037)," "),0)</f>
        <v>9375</v>
      </c>
      <c r="V1058" s="12">
        <f>IF(V1037&lt;&gt;0,IF(OR(V$19=1,V$20=1),IF('Assumptions - Infrastructure'!$E$116=1,('Assumptions - Infrastructure'!V$128)*V1037,('Assumptions - Infrastructure'!V$128)*'Assumptions - Infrastructure'!$E$118*V1037)," "),0)</f>
        <v>9375</v>
      </c>
      <c r="W1058" s="12">
        <f>IF(W1037&lt;&gt;0,IF(OR(W$19=1,W$20=1),IF('Assumptions - Infrastructure'!$E$116=1,('Assumptions - Infrastructure'!W$128)*W1037,('Assumptions - Infrastructure'!W$128)*'Assumptions - Infrastructure'!$E$118*W1037)," "),0)</f>
        <v>9375</v>
      </c>
      <c r="X1058" s="12">
        <f>IF(X1037&lt;&gt;0,IF(OR(X$19=1,X$20=1),IF('Assumptions - Infrastructure'!$E$116=1,('Assumptions - Infrastructure'!X$128)*X1037,('Assumptions - Infrastructure'!X$128)*'Assumptions - Infrastructure'!$E$118*X1037)," "),0)</f>
        <v>9375</v>
      </c>
      <c r="Y1058" s="12">
        <f>IF(Y1037&lt;&gt;0,IF(OR(Y$19=1,Y$20=1),IF('Assumptions - Infrastructure'!$E$116=1,('Assumptions - Infrastructure'!Y$128)*Y1037,('Assumptions - Infrastructure'!Y$128)*'Assumptions - Infrastructure'!$E$118*Y1037)," "),0)</f>
        <v>9375</v>
      </c>
      <c r="Z1058" s="12">
        <f>IF(Z1037&lt;&gt;0,IF(OR(Z$19=1,Z$20=1),IF('Assumptions - Infrastructure'!$E$116=1,('Assumptions - Infrastructure'!Z$128)*Z1037,('Assumptions - Infrastructure'!Z$128)*'Assumptions - Infrastructure'!$E$118*Z1037)," "),0)</f>
        <v>9375</v>
      </c>
      <c r="AA1058" s="12">
        <f>IF(AA1037&lt;&gt;0,IF(OR(AA$19=1,AA$20=1),IF('Assumptions - Infrastructure'!$E$116=1,('Assumptions - Infrastructure'!AA$128)*AA1037,('Assumptions - Infrastructure'!AA$128)*'Assumptions - Infrastructure'!$E$118*AA1037)," "),0)</f>
        <v>9375</v>
      </c>
      <c r="AB1058" s="12">
        <f>IF(AB1037&lt;&gt;0,IF(OR(AB$19=1,AB$20=1),IF('Assumptions - Infrastructure'!$E$116=1,('Assumptions - Infrastructure'!AB$128)*AB1037,('Assumptions - Infrastructure'!AB$128)*'Assumptions - Infrastructure'!$E$118*AB1037)," "),0)</f>
        <v>9375</v>
      </c>
      <c r="AC1058" s="12">
        <f>IF(AC1037&lt;&gt;0,IF(OR(AC$19=1,AC$20=1),IF('Assumptions - Infrastructure'!$E$116=1,('Assumptions - Infrastructure'!AC$128)*AC1037,('Assumptions - Infrastructure'!AC$128)*'Assumptions - Infrastructure'!$E$118*AC1037)," "),0)</f>
        <v>9375</v>
      </c>
      <c r="AD1058" s="12">
        <f>IF(AD1037&lt;&gt;0,IF(OR(AD$19=1,AD$20=1),IF('Assumptions - Infrastructure'!$E$116=1,('Assumptions - Infrastructure'!AD$128)*AD1037,('Assumptions - Infrastructure'!AD$128)*'Assumptions - Infrastructure'!$E$118*AD1037)," "),0)</f>
        <v>9375</v>
      </c>
      <c r="AE1058" s="12">
        <f>IF(AE1037&lt;&gt;0,IF(OR(AE$19=1,AE$20=1),IF('Assumptions - Infrastructure'!$E$116=1,('Assumptions - Infrastructure'!AE$128)*AE1037,('Assumptions - Infrastructure'!AE$128)*'Assumptions - Infrastructure'!$E$118*AE1037)," "),0)</f>
        <v>9375</v>
      </c>
      <c r="AF1058" s="12">
        <f>IF(AF1037&lt;&gt;0,IF(OR(AF$19=1,AF$20=1),IF('Assumptions - Infrastructure'!$E$116=1,('Assumptions - Infrastructure'!AF$128)*AF1037,('Assumptions - Infrastructure'!AF$128)*'Assumptions - Infrastructure'!$E$118*AF1037)," "),0)</f>
        <v>9375</v>
      </c>
      <c r="AG1058" s="12">
        <f>IF(AG1037&lt;&gt;0,IF(OR(AG$19=1,AG$20=1),IF('Assumptions - Infrastructure'!$E$116=1,('Assumptions - Infrastructure'!AG$128)*AG1037,('Assumptions - Infrastructure'!AG$128)*'Assumptions - Infrastructure'!$E$118*AG1037)," "),0)</f>
        <v>9375</v>
      </c>
      <c r="AH1058" s="12">
        <f>IF(AH1037&lt;&gt;0,IF(OR(AH$19=1,AH$20=1),IF('Assumptions - Infrastructure'!$E$116=1,('Assumptions - Infrastructure'!AH$128)*AH1037,('Assumptions - Infrastructure'!AH$128)*'Assumptions - Infrastructure'!$E$118*AH1037)," "),0)</f>
        <v>9375</v>
      </c>
    </row>
    <row r="1059" spans="2:34" x14ac:dyDescent="0.2">
      <c r="B1059" s="8" t="str">
        <f>"Annual traffic volume of " &amp;'Assumptions - Infrastructure'!E122</f>
        <v>Annual traffic volume of Freight company 2</v>
      </c>
      <c r="C1059" s="8"/>
      <c r="D1059" s="8" t="str">
        <f t="shared" ref="D1059:D1064" si="405">D1058</f>
        <v>GTK (millions)</v>
      </c>
      <c r="E1059" s="12">
        <f>IF(E1038&lt;&gt;0,IF(OR(E$19=1,E$20=1),IF('Assumptions - Infrastructure'!$E$116=1,('Assumptions - Infrastructure'!E$128)*E1038,('Assumptions - Infrastructure'!E$128)*'Assumptions - Infrastructure'!$E$118*E1038)," "),0)</f>
        <v>8333.3333333333339</v>
      </c>
      <c r="F1059" s="12">
        <f>IF(F1038&lt;&gt;0,IF(OR(F$19=1,F$20=1),IF('Assumptions - Infrastructure'!$E$116=1,('Assumptions - Infrastructure'!F$128)*F1038,('Assumptions - Infrastructure'!F$128)*'Assumptions - Infrastructure'!$E$118*F1038)," "),0)</f>
        <v>8333.3333333333339</v>
      </c>
      <c r="G1059" s="12">
        <f>IF(G1038&lt;&gt;0,IF(OR(G$19=1,G$20=1),IF('Assumptions - Infrastructure'!$E$116=1,('Assumptions - Infrastructure'!G$128)*G1038,('Assumptions - Infrastructure'!G$128)*'Assumptions - Infrastructure'!$E$118*G1038)," "),0)</f>
        <v>8333.3333333333339</v>
      </c>
      <c r="H1059" s="12">
        <f>IF(H1038&lt;&gt;0,IF(OR(H$19=1,H$20=1),IF('Assumptions - Infrastructure'!$E$116=1,('Assumptions - Infrastructure'!H$128)*H1038,('Assumptions - Infrastructure'!H$128)*'Assumptions - Infrastructure'!$E$118*H1038)," "),0)</f>
        <v>8333.3333333333339</v>
      </c>
      <c r="I1059" s="12">
        <f>IF(I1038&lt;&gt;0,IF(OR(I$19=1,I$20=1),IF('Assumptions - Infrastructure'!$E$116=1,('Assumptions - Infrastructure'!I$128)*I1038,('Assumptions - Infrastructure'!I$128)*'Assumptions - Infrastructure'!$E$118*I1038)," "),0)</f>
        <v>8333.3333333333339</v>
      </c>
      <c r="J1059" s="12">
        <f>IF(J1038&lt;&gt;0,IF(OR(J$19=1,J$20=1),IF('Assumptions - Infrastructure'!$E$116=1,('Assumptions - Infrastructure'!J$128)*J1038,('Assumptions - Infrastructure'!J$128)*'Assumptions - Infrastructure'!$E$118*J1038)," "),0)</f>
        <v>8333.3333333333339</v>
      </c>
      <c r="K1059" s="12">
        <f>IF(K1038&lt;&gt;0,IF(OR(K$19=1,K$20=1),IF('Assumptions - Infrastructure'!$E$116=1,('Assumptions - Infrastructure'!K$128)*K1038,('Assumptions - Infrastructure'!K$128)*'Assumptions - Infrastructure'!$E$118*K1038)," "),0)</f>
        <v>9375</v>
      </c>
      <c r="L1059" s="12">
        <f>IF(L1038&lt;&gt;0,IF(OR(L$19=1,L$20=1),IF('Assumptions - Infrastructure'!$E$116=1,('Assumptions - Infrastructure'!L$128)*L1038,('Assumptions - Infrastructure'!L$128)*'Assumptions - Infrastructure'!$E$118*L1038)," "),0)</f>
        <v>9375</v>
      </c>
      <c r="M1059" s="12">
        <f>IF(M1038&lt;&gt;0,IF(OR(M$19=1,M$20=1),IF('Assumptions - Infrastructure'!$E$116=1,('Assumptions - Infrastructure'!M$128)*M1038,('Assumptions - Infrastructure'!M$128)*'Assumptions - Infrastructure'!$E$118*M1038)," "),0)</f>
        <v>9375</v>
      </c>
      <c r="N1059" s="12">
        <f>IF(N1038&lt;&gt;0,IF(OR(N$19=1,N$20=1),IF('Assumptions - Infrastructure'!$E$116=1,('Assumptions - Infrastructure'!N$128)*N1038,('Assumptions - Infrastructure'!N$128)*'Assumptions - Infrastructure'!$E$118*N1038)," "),0)</f>
        <v>9375</v>
      </c>
      <c r="O1059" s="12">
        <f>IF(O1038&lt;&gt;0,IF(OR(O$19=1,O$20=1),IF('Assumptions - Infrastructure'!$E$116=1,('Assumptions - Infrastructure'!O$128)*O1038,('Assumptions - Infrastructure'!O$128)*'Assumptions - Infrastructure'!$E$118*O1038)," "),0)</f>
        <v>9375</v>
      </c>
      <c r="P1059" s="12">
        <f>IF(P1038&lt;&gt;0,IF(OR(P$19=1,P$20=1),IF('Assumptions - Infrastructure'!$E$116=1,('Assumptions - Infrastructure'!P$128)*P1038,('Assumptions - Infrastructure'!P$128)*'Assumptions - Infrastructure'!$E$118*P1038)," "),0)</f>
        <v>9375</v>
      </c>
      <c r="Q1059" s="12">
        <f>IF(Q1038&lt;&gt;0,IF(OR(Q$19=1,Q$20=1),IF('Assumptions - Infrastructure'!$E$116=1,('Assumptions - Infrastructure'!Q$128)*Q1038,('Assumptions - Infrastructure'!Q$128)*'Assumptions - Infrastructure'!$E$118*Q1038)," "),0)</f>
        <v>9375</v>
      </c>
      <c r="R1059" s="12">
        <f>IF(R1038&lt;&gt;0,IF(OR(R$19=1,R$20=1),IF('Assumptions - Infrastructure'!$E$116=1,('Assumptions - Infrastructure'!R$128)*R1038,('Assumptions - Infrastructure'!R$128)*'Assumptions - Infrastructure'!$E$118*R1038)," "),0)</f>
        <v>9375</v>
      </c>
      <c r="S1059" s="12">
        <f>IF(S1038&lt;&gt;0,IF(OR(S$19=1,S$20=1),IF('Assumptions - Infrastructure'!$E$116=1,('Assumptions - Infrastructure'!S$128)*S1038,('Assumptions - Infrastructure'!S$128)*'Assumptions - Infrastructure'!$E$118*S1038)," "),0)</f>
        <v>9375</v>
      </c>
      <c r="T1059" s="12">
        <f>IF(T1038&lt;&gt;0,IF(OR(T$19=1,T$20=1),IF('Assumptions - Infrastructure'!$E$116=1,('Assumptions - Infrastructure'!T$128)*T1038,('Assumptions - Infrastructure'!T$128)*'Assumptions - Infrastructure'!$E$118*T1038)," "),0)</f>
        <v>9375</v>
      </c>
      <c r="U1059" s="12">
        <f>IF(U1038&lt;&gt;0,IF(OR(U$19=1,U$20=1),IF('Assumptions - Infrastructure'!$E$116=1,('Assumptions - Infrastructure'!U$128)*U1038,('Assumptions - Infrastructure'!U$128)*'Assumptions - Infrastructure'!$E$118*U1038)," "),0)</f>
        <v>9375</v>
      </c>
      <c r="V1059" s="12">
        <f>IF(V1038&lt;&gt;0,IF(OR(V$19=1,V$20=1),IF('Assumptions - Infrastructure'!$E$116=1,('Assumptions - Infrastructure'!V$128)*V1038,('Assumptions - Infrastructure'!V$128)*'Assumptions - Infrastructure'!$E$118*V1038)," "),0)</f>
        <v>9375</v>
      </c>
      <c r="W1059" s="12">
        <f>IF(W1038&lt;&gt;0,IF(OR(W$19=1,W$20=1),IF('Assumptions - Infrastructure'!$E$116=1,('Assumptions - Infrastructure'!W$128)*W1038,('Assumptions - Infrastructure'!W$128)*'Assumptions - Infrastructure'!$E$118*W1038)," "),0)</f>
        <v>9375</v>
      </c>
      <c r="X1059" s="12">
        <f>IF(X1038&lt;&gt;0,IF(OR(X$19=1,X$20=1),IF('Assumptions - Infrastructure'!$E$116=1,('Assumptions - Infrastructure'!X$128)*X1038,('Assumptions - Infrastructure'!X$128)*'Assumptions - Infrastructure'!$E$118*X1038)," "),0)</f>
        <v>9375</v>
      </c>
      <c r="Y1059" s="12">
        <f>IF(Y1038&lt;&gt;0,IF(OR(Y$19=1,Y$20=1),IF('Assumptions - Infrastructure'!$E$116=1,('Assumptions - Infrastructure'!Y$128)*Y1038,('Assumptions - Infrastructure'!Y$128)*'Assumptions - Infrastructure'!$E$118*Y1038)," "),0)</f>
        <v>9375</v>
      </c>
      <c r="Z1059" s="12">
        <f>IF(Z1038&lt;&gt;0,IF(OR(Z$19=1,Z$20=1),IF('Assumptions - Infrastructure'!$E$116=1,('Assumptions - Infrastructure'!Z$128)*Z1038,('Assumptions - Infrastructure'!Z$128)*'Assumptions - Infrastructure'!$E$118*Z1038)," "),0)</f>
        <v>9375</v>
      </c>
      <c r="AA1059" s="12">
        <f>IF(AA1038&lt;&gt;0,IF(OR(AA$19=1,AA$20=1),IF('Assumptions - Infrastructure'!$E$116=1,('Assumptions - Infrastructure'!AA$128)*AA1038,('Assumptions - Infrastructure'!AA$128)*'Assumptions - Infrastructure'!$E$118*AA1038)," "),0)</f>
        <v>9375</v>
      </c>
      <c r="AB1059" s="12">
        <f>IF(AB1038&lt;&gt;0,IF(OR(AB$19=1,AB$20=1),IF('Assumptions - Infrastructure'!$E$116=1,('Assumptions - Infrastructure'!AB$128)*AB1038,('Assumptions - Infrastructure'!AB$128)*'Assumptions - Infrastructure'!$E$118*AB1038)," "),0)</f>
        <v>9375</v>
      </c>
      <c r="AC1059" s="12">
        <f>IF(AC1038&lt;&gt;0,IF(OR(AC$19=1,AC$20=1),IF('Assumptions - Infrastructure'!$E$116=1,('Assumptions - Infrastructure'!AC$128)*AC1038,('Assumptions - Infrastructure'!AC$128)*'Assumptions - Infrastructure'!$E$118*AC1038)," "),0)</f>
        <v>9375</v>
      </c>
      <c r="AD1059" s="12">
        <f>IF(AD1038&lt;&gt;0,IF(OR(AD$19=1,AD$20=1),IF('Assumptions - Infrastructure'!$E$116=1,('Assumptions - Infrastructure'!AD$128)*AD1038,('Assumptions - Infrastructure'!AD$128)*'Assumptions - Infrastructure'!$E$118*AD1038)," "),0)</f>
        <v>9375</v>
      </c>
      <c r="AE1059" s="12">
        <f>IF(AE1038&lt;&gt;0,IF(OR(AE$19=1,AE$20=1),IF('Assumptions - Infrastructure'!$E$116=1,('Assumptions - Infrastructure'!AE$128)*AE1038,('Assumptions - Infrastructure'!AE$128)*'Assumptions - Infrastructure'!$E$118*AE1038)," "),0)</f>
        <v>9375</v>
      </c>
      <c r="AF1059" s="12">
        <f>IF(AF1038&lt;&gt;0,IF(OR(AF$19=1,AF$20=1),IF('Assumptions - Infrastructure'!$E$116=1,('Assumptions - Infrastructure'!AF$128)*AF1038,('Assumptions - Infrastructure'!AF$128)*'Assumptions - Infrastructure'!$E$118*AF1038)," "),0)</f>
        <v>9375</v>
      </c>
      <c r="AG1059" s="12">
        <f>IF(AG1038&lt;&gt;0,IF(OR(AG$19=1,AG$20=1),IF('Assumptions - Infrastructure'!$E$116=1,('Assumptions - Infrastructure'!AG$128)*AG1038,('Assumptions - Infrastructure'!AG$128)*'Assumptions - Infrastructure'!$E$118*AG1038)," "),0)</f>
        <v>9375</v>
      </c>
      <c r="AH1059" s="12">
        <f>IF(AH1038&lt;&gt;0,IF(OR(AH$19=1,AH$20=1),IF('Assumptions - Infrastructure'!$E$116=1,('Assumptions - Infrastructure'!AH$128)*AH1038,('Assumptions - Infrastructure'!AH$128)*'Assumptions - Infrastructure'!$E$118*AH1038)," "),0)</f>
        <v>9375</v>
      </c>
    </row>
    <row r="1060" spans="2:34" x14ac:dyDescent="0.2">
      <c r="B1060" s="8" t="str">
        <f>"Annual traffic volume of " &amp;'Assumptions - Infrastructure'!E123</f>
        <v>Annual traffic volume of Freight company 3</v>
      </c>
      <c r="C1060" s="8"/>
      <c r="D1060" s="8" t="str">
        <f t="shared" si="405"/>
        <v>GTK (millions)</v>
      </c>
      <c r="E1060" s="12">
        <f>IF(E1039&lt;&gt;0,IF(OR(E$19=1,E$20=1),IF('Assumptions - Infrastructure'!$E$116=1,('Assumptions - Infrastructure'!E$128)*E1039,('Assumptions - Infrastructure'!E$128)*'Assumptions - Infrastructure'!$E$118*E1039)," "),0)</f>
        <v>8333.3333333333339</v>
      </c>
      <c r="F1060" s="12">
        <f>IF(F1039&lt;&gt;0,IF(OR(F$19=1,F$20=1),IF('Assumptions - Infrastructure'!$E$116=1,('Assumptions - Infrastructure'!F$128)*F1039,('Assumptions - Infrastructure'!F$128)*'Assumptions - Infrastructure'!$E$118*F1039)," "),0)</f>
        <v>8333.3333333333339</v>
      </c>
      <c r="G1060" s="12">
        <f>IF(G1039&lt;&gt;0,IF(OR(G$19=1,G$20=1),IF('Assumptions - Infrastructure'!$E$116=1,('Assumptions - Infrastructure'!G$128)*G1039,('Assumptions - Infrastructure'!G$128)*'Assumptions - Infrastructure'!$E$118*G1039)," "),0)</f>
        <v>8333.3333333333339</v>
      </c>
      <c r="H1060" s="12">
        <f>IF(H1039&lt;&gt;0,IF(OR(H$19=1,H$20=1),IF('Assumptions - Infrastructure'!$E$116=1,('Assumptions - Infrastructure'!H$128)*H1039,('Assumptions - Infrastructure'!H$128)*'Assumptions - Infrastructure'!$E$118*H1039)," "),0)</f>
        <v>8333.3333333333339</v>
      </c>
      <c r="I1060" s="12">
        <f>IF(I1039&lt;&gt;0,IF(OR(I$19=1,I$20=1),IF('Assumptions - Infrastructure'!$E$116=1,('Assumptions - Infrastructure'!I$128)*I1039,('Assumptions - Infrastructure'!I$128)*'Assumptions - Infrastructure'!$E$118*I1039)," "),0)</f>
        <v>8333.3333333333339</v>
      </c>
      <c r="J1060" s="12">
        <f>IF(J1039&lt;&gt;0,IF(OR(J$19=1,J$20=1),IF('Assumptions - Infrastructure'!$E$116=1,('Assumptions - Infrastructure'!J$128)*J1039,('Assumptions - Infrastructure'!J$128)*'Assumptions - Infrastructure'!$E$118*J1039)," "),0)</f>
        <v>8333.3333333333339</v>
      </c>
      <c r="K1060" s="12">
        <f>IF(K1039&lt;&gt;0,IF(OR(K$19=1,K$20=1),IF('Assumptions - Infrastructure'!$E$116=1,('Assumptions - Infrastructure'!K$128)*K1039,('Assumptions - Infrastructure'!K$128)*'Assumptions - Infrastructure'!$E$118*K1039)," "),0)</f>
        <v>9375</v>
      </c>
      <c r="L1060" s="12">
        <f>IF(L1039&lt;&gt;0,IF(OR(L$19=1,L$20=1),IF('Assumptions - Infrastructure'!$E$116=1,('Assumptions - Infrastructure'!L$128)*L1039,('Assumptions - Infrastructure'!L$128)*'Assumptions - Infrastructure'!$E$118*L1039)," "),0)</f>
        <v>9375</v>
      </c>
      <c r="M1060" s="12">
        <f>IF(M1039&lt;&gt;0,IF(OR(M$19=1,M$20=1),IF('Assumptions - Infrastructure'!$E$116=1,('Assumptions - Infrastructure'!M$128)*M1039,('Assumptions - Infrastructure'!M$128)*'Assumptions - Infrastructure'!$E$118*M1039)," "),0)</f>
        <v>9375</v>
      </c>
      <c r="N1060" s="12">
        <f>IF(N1039&lt;&gt;0,IF(OR(N$19=1,N$20=1),IF('Assumptions - Infrastructure'!$E$116=1,('Assumptions - Infrastructure'!N$128)*N1039,('Assumptions - Infrastructure'!N$128)*'Assumptions - Infrastructure'!$E$118*N1039)," "),0)</f>
        <v>9375</v>
      </c>
      <c r="O1060" s="12">
        <f>IF(O1039&lt;&gt;0,IF(OR(O$19=1,O$20=1),IF('Assumptions - Infrastructure'!$E$116=1,('Assumptions - Infrastructure'!O$128)*O1039,('Assumptions - Infrastructure'!O$128)*'Assumptions - Infrastructure'!$E$118*O1039)," "),0)</f>
        <v>9375</v>
      </c>
      <c r="P1060" s="12">
        <f>IF(P1039&lt;&gt;0,IF(OR(P$19=1,P$20=1),IF('Assumptions - Infrastructure'!$E$116=1,('Assumptions - Infrastructure'!P$128)*P1039,('Assumptions - Infrastructure'!P$128)*'Assumptions - Infrastructure'!$E$118*P1039)," "),0)</f>
        <v>9375</v>
      </c>
      <c r="Q1060" s="12">
        <f>IF(Q1039&lt;&gt;0,IF(OR(Q$19=1,Q$20=1),IF('Assumptions - Infrastructure'!$E$116=1,('Assumptions - Infrastructure'!Q$128)*Q1039,('Assumptions - Infrastructure'!Q$128)*'Assumptions - Infrastructure'!$E$118*Q1039)," "),0)</f>
        <v>9375</v>
      </c>
      <c r="R1060" s="12">
        <f>IF(R1039&lt;&gt;0,IF(OR(R$19=1,R$20=1),IF('Assumptions - Infrastructure'!$E$116=1,('Assumptions - Infrastructure'!R$128)*R1039,('Assumptions - Infrastructure'!R$128)*'Assumptions - Infrastructure'!$E$118*R1039)," "),0)</f>
        <v>9375</v>
      </c>
      <c r="S1060" s="12">
        <f>IF(S1039&lt;&gt;0,IF(OR(S$19=1,S$20=1),IF('Assumptions - Infrastructure'!$E$116=1,('Assumptions - Infrastructure'!S$128)*S1039,('Assumptions - Infrastructure'!S$128)*'Assumptions - Infrastructure'!$E$118*S1039)," "),0)</f>
        <v>9375</v>
      </c>
      <c r="T1060" s="12">
        <f>IF(T1039&lt;&gt;0,IF(OR(T$19=1,T$20=1),IF('Assumptions - Infrastructure'!$E$116=1,('Assumptions - Infrastructure'!T$128)*T1039,('Assumptions - Infrastructure'!T$128)*'Assumptions - Infrastructure'!$E$118*T1039)," "),0)</f>
        <v>9375</v>
      </c>
      <c r="U1060" s="12">
        <f>IF(U1039&lt;&gt;0,IF(OR(U$19=1,U$20=1),IF('Assumptions - Infrastructure'!$E$116=1,('Assumptions - Infrastructure'!U$128)*U1039,('Assumptions - Infrastructure'!U$128)*'Assumptions - Infrastructure'!$E$118*U1039)," "),0)</f>
        <v>9375</v>
      </c>
      <c r="V1060" s="12">
        <f>IF(V1039&lt;&gt;0,IF(OR(V$19=1,V$20=1),IF('Assumptions - Infrastructure'!$E$116=1,('Assumptions - Infrastructure'!V$128)*V1039,('Assumptions - Infrastructure'!V$128)*'Assumptions - Infrastructure'!$E$118*V1039)," "),0)</f>
        <v>9375</v>
      </c>
      <c r="W1060" s="12">
        <f>IF(W1039&lt;&gt;0,IF(OR(W$19=1,W$20=1),IF('Assumptions - Infrastructure'!$E$116=1,('Assumptions - Infrastructure'!W$128)*W1039,('Assumptions - Infrastructure'!W$128)*'Assumptions - Infrastructure'!$E$118*W1039)," "),0)</f>
        <v>9375</v>
      </c>
      <c r="X1060" s="12">
        <f>IF(X1039&lt;&gt;0,IF(OR(X$19=1,X$20=1),IF('Assumptions - Infrastructure'!$E$116=1,('Assumptions - Infrastructure'!X$128)*X1039,('Assumptions - Infrastructure'!X$128)*'Assumptions - Infrastructure'!$E$118*X1039)," "),0)</f>
        <v>9375</v>
      </c>
      <c r="Y1060" s="12">
        <f>IF(Y1039&lt;&gt;0,IF(OR(Y$19=1,Y$20=1),IF('Assumptions - Infrastructure'!$E$116=1,('Assumptions - Infrastructure'!Y$128)*Y1039,('Assumptions - Infrastructure'!Y$128)*'Assumptions - Infrastructure'!$E$118*Y1039)," "),0)</f>
        <v>9375</v>
      </c>
      <c r="Z1060" s="12">
        <f>IF(Z1039&lt;&gt;0,IF(OR(Z$19=1,Z$20=1),IF('Assumptions - Infrastructure'!$E$116=1,('Assumptions - Infrastructure'!Z$128)*Z1039,('Assumptions - Infrastructure'!Z$128)*'Assumptions - Infrastructure'!$E$118*Z1039)," "),0)</f>
        <v>9375</v>
      </c>
      <c r="AA1060" s="12">
        <f>IF(AA1039&lt;&gt;0,IF(OR(AA$19=1,AA$20=1),IF('Assumptions - Infrastructure'!$E$116=1,('Assumptions - Infrastructure'!AA$128)*AA1039,('Assumptions - Infrastructure'!AA$128)*'Assumptions - Infrastructure'!$E$118*AA1039)," "),0)</f>
        <v>9375</v>
      </c>
      <c r="AB1060" s="12">
        <f>IF(AB1039&lt;&gt;0,IF(OR(AB$19=1,AB$20=1),IF('Assumptions - Infrastructure'!$E$116=1,('Assumptions - Infrastructure'!AB$128)*AB1039,('Assumptions - Infrastructure'!AB$128)*'Assumptions - Infrastructure'!$E$118*AB1039)," "),0)</f>
        <v>9375</v>
      </c>
      <c r="AC1060" s="12">
        <f>IF(AC1039&lt;&gt;0,IF(OR(AC$19=1,AC$20=1),IF('Assumptions - Infrastructure'!$E$116=1,('Assumptions - Infrastructure'!AC$128)*AC1039,('Assumptions - Infrastructure'!AC$128)*'Assumptions - Infrastructure'!$E$118*AC1039)," "),0)</f>
        <v>9375</v>
      </c>
      <c r="AD1060" s="12">
        <f>IF(AD1039&lt;&gt;0,IF(OR(AD$19=1,AD$20=1),IF('Assumptions - Infrastructure'!$E$116=1,('Assumptions - Infrastructure'!AD$128)*AD1039,('Assumptions - Infrastructure'!AD$128)*'Assumptions - Infrastructure'!$E$118*AD1039)," "),0)</f>
        <v>9375</v>
      </c>
      <c r="AE1060" s="12">
        <f>IF(AE1039&lt;&gt;0,IF(OR(AE$19=1,AE$20=1),IF('Assumptions - Infrastructure'!$E$116=1,('Assumptions - Infrastructure'!AE$128)*AE1039,('Assumptions - Infrastructure'!AE$128)*'Assumptions - Infrastructure'!$E$118*AE1039)," "),0)</f>
        <v>9375</v>
      </c>
      <c r="AF1060" s="12">
        <f>IF(AF1039&lt;&gt;0,IF(OR(AF$19=1,AF$20=1),IF('Assumptions - Infrastructure'!$E$116=1,('Assumptions - Infrastructure'!AF$128)*AF1039,('Assumptions - Infrastructure'!AF$128)*'Assumptions - Infrastructure'!$E$118*AF1039)," "),0)</f>
        <v>9375</v>
      </c>
      <c r="AG1060" s="12">
        <f>IF(AG1039&lt;&gt;0,IF(OR(AG$19=1,AG$20=1),IF('Assumptions - Infrastructure'!$E$116=1,('Assumptions - Infrastructure'!AG$128)*AG1039,('Assumptions - Infrastructure'!AG$128)*'Assumptions - Infrastructure'!$E$118*AG1039)," "),0)</f>
        <v>9375</v>
      </c>
      <c r="AH1060" s="12">
        <f>IF(AH1039&lt;&gt;0,IF(OR(AH$19=1,AH$20=1),IF('Assumptions - Infrastructure'!$E$116=1,('Assumptions - Infrastructure'!AH$128)*AH1039,('Assumptions - Infrastructure'!AH$128)*'Assumptions - Infrastructure'!$E$118*AH1039)," "),0)</f>
        <v>9375</v>
      </c>
    </row>
    <row r="1061" spans="2:34" x14ac:dyDescent="0.2">
      <c r="B1061" s="8" t="str">
        <f>"Annual traffic volume of " &amp;'Assumptions - Infrastructure'!E124</f>
        <v>Annual traffic volume of Freight company 4</v>
      </c>
      <c r="C1061" s="8"/>
      <c r="D1061" s="8" t="str">
        <f t="shared" si="405"/>
        <v>GTK (millions)</v>
      </c>
      <c r="E1061" s="12">
        <f>IF(E1040&lt;&gt;0,IF(OR(E$19=1,E$20=1),IF('Assumptions - Infrastructure'!$E$116=1,('Assumptions - Infrastructure'!E$128)*E1040,('Assumptions - Infrastructure'!E$128)*'Assumptions - Infrastructure'!$E$118*E1040)," "),0)</f>
        <v>8333.3333333333339</v>
      </c>
      <c r="F1061" s="12">
        <f>IF(F1040&lt;&gt;0,IF(OR(F$19=1,F$20=1),IF('Assumptions - Infrastructure'!$E$116=1,('Assumptions - Infrastructure'!F$128)*F1040,('Assumptions - Infrastructure'!F$128)*'Assumptions - Infrastructure'!$E$118*F1040)," "),0)</f>
        <v>8333.3333333333339</v>
      </c>
      <c r="G1061" s="12">
        <f>IF(G1040&lt;&gt;0,IF(OR(G$19=1,G$20=1),IF('Assumptions - Infrastructure'!$E$116=1,('Assumptions - Infrastructure'!G$128)*G1040,('Assumptions - Infrastructure'!G$128)*'Assumptions - Infrastructure'!$E$118*G1040)," "),0)</f>
        <v>8333.3333333333339</v>
      </c>
      <c r="H1061" s="12">
        <f>IF(H1040&lt;&gt;0,IF(OR(H$19=1,H$20=1),IF('Assumptions - Infrastructure'!$E$116=1,('Assumptions - Infrastructure'!H$128)*H1040,('Assumptions - Infrastructure'!H$128)*'Assumptions - Infrastructure'!$E$118*H1040)," "),0)</f>
        <v>8333.3333333333339</v>
      </c>
      <c r="I1061" s="12">
        <f>IF(I1040&lt;&gt;0,IF(OR(I$19=1,I$20=1),IF('Assumptions - Infrastructure'!$E$116=1,('Assumptions - Infrastructure'!I$128)*I1040,('Assumptions - Infrastructure'!I$128)*'Assumptions - Infrastructure'!$E$118*I1040)," "),0)</f>
        <v>8333.3333333333339</v>
      </c>
      <c r="J1061" s="12">
        <f>IF(J1040&lt;&gt;0,IF(OR(J$19=1,J$20=1),IF('Assumptions - Infrastructure'!$E$116=1,('Assumptions - Infrastructure'!J$128)*J1040,('Assumptions - Infrastructure'!J$128)*'Assumptions - Infrastructure'!$E$118*J1040)," "),0)</f>
        <v>8333.3333333333339</v>
      </c>
      <c r="K1061" s="12">
        <f>IF(K1040&lt;&gt;0,IF(OR(K$19=1,K$20=1),IF('Assumptions - Infrastructure'!$E$116=1,('Assumptions - Infrastructure'!K$128)*K1040,('Assumptions - Infrastructure'!K$128)*'Assumptions - Infrastructure'!$E$118*K1040)," "),0)</f>
        <v>9375</v>
      </c>
      <c r="L1061" s="12">
        <f>IF(L1040&lt;&gt;0,IF(OR(L$19=1,L$20=1),IF('Assumptions - Infrastructure'!$E$116=1,('Assumptions - Infrastructure'!L$128)*L1040,('Assumptions - Infrastructure'!L$128)*'Assumptions - Infrastructure'!$E$118*L1040)," "),0)</f>
        <v>9375</v>
      </c>
      <c r="M1061" s="12">
        <f>IF(M1040&lt;&gt;0,IF(OR(M$19=1,M$20=1),IF('Assumptions - Infrastructure'!$E$116=1,('Assumptions - Infrastructure'!M$128)*M1040,('Assumptions - Infrastructure'!M$128)*'Assumptions - Infrastructure'!$E$118*M1040)," "),0)</f>
        <v>9375</v>
      </c>
      <c r="N1061" s="12">
        <f>IF(N1040&lt;&gt;0,IF(OR(N$19=1,N$20=1),IF('Assumptions - Infrastructure'!$E$116=1,('Assumptions - Infrastructure'!N$128)*N1040,('Assumptions - Infrastructure'!N$128)*'Assumptions - Infrastructure'!$E$118*N1040)," "),0)</f>
        <v>9375</v>
      </c>
      <c r="O1061" s="12">
        <f>IF(O1040&lt;&gt;0,IF(OR(O$19=1,O$20=1),IF('Assumptions - Infrastructure'!$E$116=1,('Assumptions - Infrastructure'!O$128)*O1040,('Assumptions - Infrastructure'!O$128)*'Assumptions - Infrastructure'!$E$118*O1040)," "),0)</f>
        <v>9375</v>
      </c>
      <c r="P1061" s="12">
        <f>IF(P1040&lt;&gt;0,IF(OR(P$19=1,P$20=1),IF('Assumptions - Infrastructure'!$E$116=1,('Assumptions - Infrastructure'!P$128)*P1040,('Assumptions - Infrastructure'!P$128)*'Assumptions - Infrastructure'!$E$118*P1040)," "),0)</f>
        <v>9375</v>
      </c>
      <c r="Q1061" s="12">
        <f>IF(Q1040&lt;&gt;0,IF(OR(Q$19=1,Q$20=1),IF('Assumptions - Infrastructure'!$E$116=1,('Assumptions - Infrastructure'!Q$128)*Q1040,('Assumptions - Infrastructure'!Q$128)*'Assumptions - Infrastructure'!$E$118*Q1040)," "),0)</f>
        <v>9375</v>
      </c>
      <c r="R1061" s="12">
        <f>IF(R1040&lt;&gt;0,IF(OR(R$19=1,R$20=1),IF('Assumptions - Infrastructure'!$E$116=1,('Assumptions - Infrastructure'!R$128)*R1040,('Assumptions - Infrastructure'!R$128)*'Assumptions - Infrastructure'!$E$118*R1040)," "),0)</f>
        <v>9375</v>
      </c>
      <c r="S1061" s="12">
        <f>IF(S1040&lt;&gt;0,IF(OR(S$19=1,S$20=1),IF('Assumptions - Infrastructure'!$E$116=1,('Assumptions - Infrastructure'!S$128)*S1040,('Assumptions - Infrastructure'!S$128)*'Assumptions - Infrastructure'!$E$118*S1040)," "),0)</f>
        <v>9375</v>
      </c>
      <c r="T1061" s="12">
        <f>IF(T1040&lt;&gt;0,IF(OR(T$19=1,T$20=1),IF('Assumptions - Infrastructure'!$E$116=1,('Assumptions - Infrastructure'!T$128)*T1040,('Assumptions - Infrastructure'!T$128)*'Assumptions - Infrastructure'!$E$118*T1040)," "),0)</f>
        <v>9375</v>
      </c>
      <c r="U1061" s="12">
        <f>IF(U1040&lt;&gt;0,IF(OR(U$19=1,U$20=1),IF('Assumptions - Infrastructure'!$E$116=1,('Assumptions - Infrastructure'!U$128)*U1040,('Assumptions - Infrastructure'!U$128)*'Assumptions - Infrastructure'!$E$118*U1040)," "),0)</f>
        <v>9375</v>
      </c>
      <c r="V1061" s="12">
        <f>IF(V1040&lt;&gt;0,IF(OR(V$19=1,V$20=1),IF('Assumptions - Infrastructure'!$E$116=1,('Assumptions - Infrastructure'!V$128)*V1040,('Assumptions - Infrastructure'!V$128)*'Assumptions - Infrastructure'!$E$118*V1040)," "),0)</f>
        <v>9375</v>
      </c>
      <c r="W1061" s="12">
        <f>IF(W1040&lt;&gt;0,IF(OR(W$19=1,W$20=1),IF('Assumptions - Infrastructure'!$E$116=1,('Assumptions - Infrastructure'!W$128)*W1040,('Assumptions - Infrastructure'!W$128)*'Assumptions - Infrastructure'!$E$118*W1040)," "),0)</f>
        <v>9375</v>
      </c>
      <c r="X1061" s="12">
        <f>IF(X1040&lt;&gt;0,IF(OR(X$19=1,X$20=1),IF('Assumptions - Infrastructure'!$E$116=1,('Assumptions - Infrastructure'!X$128)*X1040,('Assumptions - Infrastructure'!X$128)*'Assumptions - Infrastructure'!$E$118*X1040)," "),0)</f>
        <v>9375</v>
      </c>
      <c r="Y1061" s="12">
        <f>IF(Y1040&lt;&gt;0,IF(OR(Y$19=1,Y$20=1),IF('Assumptions - Infrastructure'!$E$116=1,('Assumptions - Infrastructure'!Y$128)*Y1040,('Assumptions - Infrastructure'!Y$128)*'Assumptions - Infrastructure'!$E$118*Y1040)," "),0)</f>
        <v>9375</v>
      </c>
      <c r="Z1061" s="12">
        <f>IF(Z1040&lt;&gt;0,IF(OR(Z$19=1,Z$20=1),IF('Assumptions - Infrastructure'!$E$116=1,('Assumptions - Infrastructure'!Z$128)*Z1040,('Assumptions - Infrastructure'!Z$128)*'Assumptions - Infrastructure'!$E$118*Z1040)," "),0)</f>
        <v>9375</v>
      </c>
      <c r="AA1061" s="12">
        <f>IF(AA1040&lt;&gt;0,IF(OR(AA$19=1,AA$20=1),IF('Assumptions - Infrastructure'!$E$116=1,('Assumptions - Infrastructure'!AA$128)*AA1040,('Assumptions - Infrastructure'!AA$128)*'Assumptions - Infrastructure'!$E$118*AA1040)," "),0)</f>
        <v>9375</v>
      </c>
      <c r="AB1061" s="12">
        <f>IF(AB1040&lt;&gt;0,IF(OR(AB$19=1,AB$20=1),IF('Assumptions - Infrastructure'!$E$116=1,('Assumptions - Infrastructure'!AB$128)*AB1040,('Assumptions - Infrastructure'!AB$128)*'Assumptions - Infrastructure'!$E$118*AB1040)," "),0)</f>
        <v>9375</v>
      </c>
      <c r="AC1061" s="12">
        <f>IF(AC1040&lt;&gt;0,IF(OR(AC$19=1,AC$20=1),IF('Assumptions - Infrastructure'!$E$116=1,('Assumptions - Infrastructure'!AC$128)*AC1040,('Assumptions - Infrastructure'!AC$128)*'Assumptions - Infrastructure'!$E$118*AC1040)," "),0)</f>
        <v>9375</v>
      </c>
      <c r="AD1061" s="12">
        <f>IF(AD1040&lt;&gt;0,IF(OR(AD$19=1,AD$20=1),IF('Assumptions - Infrastructure'!$E$116=1,('Assumptions - Infrastructure'!AD$128)*AD1040,('Assumptions - Infrastructure'!AD$128)*'Assumptions - Infrastructure'!$E$118*AD1040)," "),0)</f>
        <v>9375</v>
      </c>
      <c r="AE1061" s="12">
        <f>IF(AE1040&lt;&gt;0,IF(OR(AE$19=1,AE$20=1),IF('Assumptions - Infrastructure'!$E$116=1,('Assumptions - Infrastructure'!AE$128)*AE1040,('Assumptions - Infrastructure'!AE$128)*'Assumptions - Infrastructure'!$E$118*AE1040)," "),0)</f>
        <v>9375</v>
      </c>
      <c r="AF1061" s="12">
        <f>IF(AF1040&lt;&gt;0,IF(OR(AF$19=1,AF$20=1),IF('Assumptions - Infrastructure'!$E$116=1,('Assumptions - Infrastructure'!AF$128)*AF1040,('Assumptions - Infrastructure'!AF$128)*'Assumptions - Infrastructure'!$E$118*AF1040)," "),0)</f>
        <v>9375</v>
      </c>
      <c r="AG1061" s="12">
        <f>IF(AG1040&lt;&gt;0,IF(OR(AG$19=1,AG$20=1),IF('Assumptions - Infrastructure'!$E$116=1,('Assumptions - Infrastructure'!AG$128)*AG1040,('Assumptions - Infrastructure'!AG$128)*'Assumptions - Infrastructure'!$E$118*AG1040)," "),0)</f>
        <v>9375</v>
      </c>
      <c r="AH1061" s="12">
        <f>IF(AH1040&lt;&gt;0,IF(OR(AH$19=1,AH$20=1),IF('Assumptions - Infrastructure'!$E$116=1,('Assumptions - Infrastructure'!AH$128)*AH1040,('Assumptions - Infrastructure'!AH$128)*'Assumptions - Infrastructure'!$E$118*AH1040)," "),0)</f>
        <v>9375</v>
      </c>
    </row>
    <row r="1062" spans="2:34" x14ac:dyDescent="0.2">
      <c r="B1062" s="8" t="str">
        <f>"Annual traffic volume of " &amp;'Assumptions - Infrastructure'!E125</f>
        <v>Annual traffic volume of Freight company 5</v>
      </c>
      <c r="C1062" s="8"/>
      <c r="D1062" s="8" t="str">
        <f t="shared" si="405"/>
        <v>GTK (millions)</v>
      </c>
      <c r="E1062" s="12">
        <f>IF(E1041&lt;&gt;0,IF(OR(E$19=1,E$20=1),IF('Assumptions - Infrastructure'!$E$116=1,('Assumptions - Infrastructure'!E$128)*E1041,('Assumptions - Infrastructure'!E$128)*'Assumptions - Infrastructure'!$E$118*E1041)," "),0)</f>
        <v>8333.3333333333339</v>
      </c>
      <c r="F1062" s="12">
        <f>IF(F1041&lt;&gt;0,IF(OR(F$19=1,F$20=1),IF('Assumptions - Infrastructure'!$E$116=1,('Assumptions - Infrastructure'!F$128)*F1041,('Assumptions - Infrastructure'!F$128)*'Assumptions - Infrastructure'!$E$118*F1041)," "),0)</f>
        <v>8333.3333333333339</v>
      </c>
      <c r="G1062" s="12">
        <f>IF(G1041&lt;&gt;0,IF(OR(G$19=1,G$20=1),IF('Assumptions - Infrastructure'!$E$116=1,('Assumptions - Infrastructure'!G$128)*G1041,('Assumptions - Infrastructure'!G$128)*'Assumptions - Infrastructure'!$E$118*G1041)," "),0)</f>
        <v>8333.3333333333339</v>
      </c>
      <c r="H1062" s="12">
        <f>IF(H1041&lt;&gt;0,IF(OR(H$19=1,H$20=1),IF('Assumptions - Infrastructure'!$E$116=1,('Assumptions - Infrastructure'!H$128)*H1041,('Assumptions - Infrastructure'!H$128)*'Assumptions - Infrastructure'!$E$118*H1041)," "),0)</f>
        <v>8333.3333333333339</v>
      </c>
      <c r="I1062" s="12">
        <f>IF(I1041&lt;&gt;0,IF(OR(I$19=1,I$20=1),IF('Assumptions - Infrastructure'!$E$116=1,('Assumptions - Infrastructure'!I$128)*I1041,('Assumptions - Infrastructure'!I$128)*'Assumptions - Infrastructure'!$E$118*I1041)," "),0)</f>
        <v>8333.3333333333339</v>
      </c>
      <c r="J1062" s="12">
        <f>IF(J1041&lt;&gt;0,IF(OR(J$19=1,J$20=1),IF('Assumptions - Infrastructure'!$E$116=1,('Assumptions - Infrastructure'!J$128)*J1041,('Assumptions - Infrastructure'!J$128)*'Assumptions - Infrastructure'!$E$118*J1041)," "),0)</f>
        <v>8333.3333333333339</v>
      </c>
      <c r="K1062" s="12">
        <f>IF(K1041&lt;&gt;0,IF(OR(K$19=1,K$20=1),IF('Assumptions - Infrastructure'!$E$116=1,('Assumptions - Infrastructure'!K$128)*K1041,('Assumptions - Infrastructure'!K$128)*'Assumptions - Infrastructure'!$E$118*K1041)," "),0)</f>
        <v>9375</v>
      </c>
      <c r="L1062" s="12">
        <f>IF(L1041&lt;&gt;0,IF(OR(L$19=1,L$20=1),IF('Assumptions - Infrastructure'!$E$116=1,('Assumptions - Infrastructure'!L$128)*L1041,('Assumptions - Infrastructure'!L$128)*'Assumptions - Infrastructure'!$E$118*L1041)," "),0)</f>
        <v>9375</v>
      </c>
      <c r="M1062" s="12">
        <f>IF(M1041&lt;&gt;0,IF(OR(M$19=1,M$20=1),IF('Assumptions - Infrastructure'!$E$116=1,('Assumptions - Infrastructure'!M$128)*M1041,('Assumptions - Infrastructure'!M$128)*'Assumptions - Infrastructure'!$E$118*M1041)," "),0)</f>
        <v>9375</v>
      </c>
      <c r="N1062" s="12">
        <f>IF(N1041&lt;&gt;0,IF(OR(N$19=1,N$20=1),IF('Assumptions - Infrastructure'!$E$116=1,('Assumptions - Infrastructure'!N$128)*N1041,('Assumptions - Infrastructure'!N$128)*'Assumptions - Infrastructure'!$E$118*N1041)," "),0)</f>
        <v>9375</v>
      </c>
      <c r="O1062" s="12">
        <f>IF(O1041&lt;&gt;0,IF(OR(O$19=1,O$20=1),IF('Assumptions - Infrastructure'!$E$116=1,('Assumptions - Infrastructure'!O$128)*O1041,('Assumptions - Infrastructure'!O$128)*'Assumptions - Infrastructure'!$E$118*O1041)," "),0)</f>
        <v>9375</v>
      </c>
      <c r="P1062" s="12">
        <f>IF(P1041&lt;&gt;0,IF(OR(P$19=1,P$20=1),IF('Assumptions - Infrastructure'!$E$116=1,('Assumptions - Infrastructure'!P$128)*P1041,('Assumptions - Infrastructure'!P$128)*'Assumptions - Infrastructure'!$E$118*P1041)," "),0)</f>
        <v>9375</v>
      </c>
      <c r="Q1062" s="12">
        <f>IF(Q1041&lt;&gt;0,IF(OR(Q$19=1,Q$20=1),IF('Assumptions - Infrastructure'!$E$116=1,('Assumptions - Infrastructure'!Q$128)*Q1041,('Assumptions - Infrastructure'!Q$128)*'Assumptions - Infrastructure'!$E$118*Q1041)," "),0)</f>
        <v>9375</v>
      </c>
      <c r="R1062" s="12">
        <f>IF(R1041&lt;&gt;0,IF(OR(R$19=1,R$20=1),IF('Assumptions - Infrastructure'!$E$116=1,('Assumptions - Infrastructure'!R$128)*R1041,('Assumptions - Infrastructure'!R$128)*'Assumptions - Infrastructure'!$E$118*R1041)," "),0)</f>
        <v>9375</v>
      </c>
      <c r="S1062" s="12">
        <f>IF(S1041&lt;&gt;0,IF(OR(S$19=1,S$20=1),IF('Assumptions - Infrastructure'!$E$116=1,('Assumptions - Infrastructure'!S$128)*S1041,('Assumptions - Infrastructure'!S$128)*'Assumptions - Infrastructure'!$E$118*S1041)," "),0)</f>
        <v>9375</v>
      </c>
      <c r="T1062" s="12">
        <f>IF(T1041&lt;&gt;0,IF(OR(T$19=1,T$20=1),IF('Assumptions - Infrastructure'!$E$116=1,('Assumptions - Infrastructure'!T$128)*T1041,('Assumptions - Infrastructure'!T$128)*'Assumptions - Infrastructure'!$E$118*T1041)," "),0)</f>
        <v>9375</v>
      </c>
      <c r="U1062" s="12">
        <f>IF(U1041&lt;&gt;0,IF(OR(U$19=1,U$20=1),IF('Assumptions - Infrastructure'!$E$116=1,('Assumptions - Infrastructure'!U$128)*U1041,('Assumptions - Infrastructure'!U$128)*'Assumptions - Infrastructure'!$E$118*U1041)," "),0)</f>
        <v>9375</v>
      </c>
      <c r="V1062" s="12">
        <f>IF(V1041&lt;&gt;0,IF(OR(V$19=1,V$20=1),IF('Assumptions - Infrastructure'!$E$116=1,('Assumptions - Infrastructure'!V$128)*V1041,('Assumptions - Infrastructure'!V$128)*'Assumptions - Infrastructure'!$E$118*V1041)," "),0)</f>
        <v>9375</v>
      </c>
      <c r="W1062" s="12">
        <f>IF(W1041&lt;&gt;0,IF(OR(W$19=1,W$20=1),IF('Assumptions - Infrastructure'!$E$116=1,('Assumptions - Infrastructure'!W$128)*W1041,('Assumptions - Infrastructure'!W$128)*'Assumptions - Infrastructure'!$E$118*W1041)," "),0)</f>
        <v>9375</v>
      </c>
      <c r="X1062" s="12">
        <f>IF(X1041&lt;&gt;0,IF(OR(X$19=1,X$20=1),IF('Assumptions - Infrastructure'!$E$116=1,('Assumptions - Infrastructure'!X$128)*X1041,('Assumptions - Infrastructure'!X$128)*'Assumptions - Infrastructure'!$E$118*X1041)," "),0)</f>
        <v>9375</v>
      </c>
      <c r="Y1062" s="12">
        <f>IF(Y1041&lt;&gt;0,IF(OR(Y$19=1,Y$20=1),IF('Assumptions - Infrastructure'!$E$116=1,('Assumptions - Infrastructure'!Y$128)*Y1041,('Assumptions - Infrastructure'!Y$128)*'Assumptions - Infrastructure'!$E$118*Y1041)," "),0)</f>
        <v>9375</v>
      </c>
      <c r="Z1062" s="12">
        <f>IF(Z1041&lt;&gt;0,IF(OR(Z$19=1,Z$20=1),IF('Assumptions - Infrastructure'!$E$116=1,('Assumptions - Infrastructure'!Z$128)*Z1041,('Assumptions - Infrastructure'!Z$128)*'Assumptions - Infrastructure'!$E$118*Z1041)," "),0)</f>
        <v>9375</v>
      </c>
      <c r="AA1062" s="12">
        <f>IF(AA1041&lt;&gt;0,IF(OR(AA$19=1,AA$20=1),IF('Assumptions - Infrastructure'!$E$116=1,('Assumptions - Infrastructure'!AA$128)*AA1041,('Assumptions - Infrastructure'!AA$128)*'Assumptions - Infrastructure'!$E$118*AA1041)," "),0)</f>
        <v>9375</v>
      </c>
      <c r="AB1062" s="12">
        <f>IF(AB1041&lt;&gt;0,IF(OR(AB$19=1,AB$20=1),IF('Assumptions - Infrastructure'!$E$116=1,('Assumptions - Infrastructure'!AB$128)*AB1041,('Assumptions - Infrastructure'!AB$128)*'Assumptions - Infrastructure'!$E$118*AB1041)," "),0)</f>
        <v>9375</v>
      </c>
      <c r="AC1062" s="12">
        <f>IF(AC1041&lt;&gt;0,IF(OR(AC$19=1,AC$20=1),IF('Assumptions - Infrastructure'!$E$116=1,('Assumptions - Infrastructure'!AC$128)*AC1041,('Assumptions - Infrastructure'!AC$128)*'Assumptions - Infrastructure'!$E$118*AC1041)," "),0)</f>
        <v>9375</v>
      </c>
      <c r="AD1062" s="12">
        <f>IF(AD1041&lt;&gt;0,IF(OR(AD$19=1,AD$20=1),IF('Assumptions - Infrastructure'!$E$116=1,('Assumptions - Infrastructure'!AD$128)*AD1041,('Assumptions - Infrastructure'!AD$128)*'Assumptions - Infrastructure'!$E$118*AD1041)," "),0)</f>
        <v>9375</v>
      </c>
      <c r="AE1062" s="12">
        <f>IF(AE1041&lt;&gt;0,IF(OR(AE$19=1,AE$20=1),IF('Assumptions - Infrastructure'!$E$116=1,('Assumptions - Infrastructure'!AE$128)*AE1041,('Assumptions - Infrastructure'!AE$128)*'Assumptions - Infrastructure'!$E$118*AE1041)," "),0)</f>
        <v>9375</v>
      </c>
      <c r="AF1062" s="12">
        <f>IF(AF1041&lt;&gt;0,IF(OR(AF$19=1,AF$20=1),IF('Assumptions - Infrastructure'!$E$116=1,('Assumptions - Infrastructure'!AF$128)*AF1041,('Assumptions - Infrastructure'!AF$128)*'Assumptions - Infrastructure'!$E$118*AF1041)," "),0)</f>
        <v>9375</v>
      </c>
      <c r="AG1062" s="12">
        <f>IF(AG1041&lt;&gt;0,IF(OR(AG$19=1,AG$20=1),IF('Assumptions - Infrastructure'!$E$116=1,('Assumptions - Infrastructure'!AG$128)*AG1041,('Assumptions - Infrastructure'!AG$128)*'Assumptions - Infrastructure'!$E$118*AG1041)," "),0)</f>
        <v>9375</v>
      </c>
      <c r="AH1062" s="12">
        <f>IF(AH1041&lt;&gt;0,IF(OR(AH$19=1,AH$20=1),IF('Assumptions - Infrastructure'!$E$116=1,('Assumptions - Infrastructure'!AH$128)*AH1041,('Assumptions - Infrastructure'!AH$128)*'Assumptions - Infrastructure'!$E$118*AH1041)," "),0)</f>
        <v>9375</v>
      </c>
    </row>
    <row r="1063" spans="2:34" x14ac:dyDescent="0.2">
      <c r="B1063" s="8" t="str">
        <f>"Annual traffic volume of " &amp;'Assumptions - Infrastructure'!E126</f>
        <v>Annual traffic volume of Other companies</v>
      </c>
      <c r="C1063" s="8"/>
      <c r="D1063" s="8" t="str">
        <f t="shared" si="405"/>
        <v>GTK (millions)</v>
      </c>
      <c r="E1063" s="12">
        <f>IF(E1042&lt;&gt;0,IF(OR(E$19=1,E$20=1),IF('Assumptions - Infrastructure'!$E$116=1,('Assumptions - Infrastructure'!E$128)*E1042,('Assumptions - Infrastructure'!E$128)*'Assumptions - Infrastructure'!$E$118*E1042)," "),0)</f>
        <v>8333.3333333333339</v>
      </c>
      <c r="F1063" s="12">
        <f>IF(F1042&lt;&gt;0,IF(OR(F$19=1,F$20=1),IF('Assumptions - Infrastructure'!$E$116=1,('Assumptions - Infrastructure'!F$128)*F1042,('Assumptions - Infrastructure'!F$128)*'Assumptions - Infrastructure'!$E$118*F1042)," "),0)</f>
        <v>8333.3333333333339</v>
      </c>
      <c r="G1063" s="12">
        <f>IF(G1042&lt;&gt;0,IF(OR(G$19=1,G$20=1),IF('Assumptions - Infrastructure'!$E$116=1,('Assumptions - Infrastructure'!G$128)*G1042,('Assumptions - Infrastructure'!G$128)*'Assumptions - Infrastructure'!$E$118*G1042)," "),0)</f>
        <v>8333.3333333333339</v>
      </c>
      <c r="H1063" s="12">
        <f>IF(H1042&lt;&gt;0,IF(OR(H$19=1,H$20=1),IF('Assumptions - Infrastructure'!$E$116=1,('Assumptions - Infrastructure'!H$128)*H1042,('Assumptions - Infrastructure'!H$128)*'Assumptions - Infrastructure'!$E$118*H1042)," "),0)</f>
        <v>8333.3333333333339</v>
      </c>
      <c r="I1063" s="12">
        <f>IF(I1042&lt;&gt;0,IF(OR(I$19=1,I$20=1),IF('Assumptions - Infrastructure'!$E$116=1,('Assumptions - Infrastructure'!I$128)*I1042,('Assumptions - Infrastructure'!I$128)*'Assumptions - Infrastructure'!$E$118*I1042)," "),0)</f>
        <v>8333.3333333333339</v>
      </c>
      <c r="J1063" s="12">
        <f>IF(J1042&lt;&gt;0,IF(OR(J$19=1,J$20=1),IF('Assumptions - Infrastructure'!$E$116=1,('Assumptions - Infrastructure'!J$128)*J1042,('Assumptions - Infrastructure'!J$128)*'Assumptions - Infrastructure'!$E$118*J1042)," "),0)</f>
        <v>8333.3333333333339</v>
      </c>
      <c r="K1063" s="12">
        <f>IF(K1042&lt;&gt;0,IF(OR(K$19=1,K$20=1),IF('Assumptions - Infrastructure'!$E$116=1,('Assumptions - Infrastructure'!K$128)*K1042,('Assumptions - Infrastructure'!K$128)*'Assumptions - Infrastructure'!$E$118*K1042)," "),0)</f>
        <v>9375</v>
      </c>
      <c r="L1063" s="12">
        <f>IF(L1042&lt;&gt;0,IF(OR(L$19=1,L$20=1),IF('Assumptions - Infrastructure'!$E$116=1,('Assumptions - Infrastructure'!L$128)*L1042,('Assumptions - Infrastructure'!L$128)*'Assumptions - Infrastructure'!$E$118*L1042)," "),0)</f>
        <v>9375</v>
      </c>
      <c r="M1063" s="12">
        <f>IF(M1042&lt;&gt;0,IF(OR(M$19=1,M$20=1),IF('Assumptions - Infrastructure'!$E$116=1,('Assumptions - Infrastructure'!M$128)*M1042,('Assumptions - Infrastructure'!M$128)*'Assumptions - Infrastructure'!$E$118*M1042)," "),0)</f>
        <v>9375</v>
      </c>
      <c r="N1063" s="12">
        <f>IF(N1042&lt;&gt;0,IF(OR(N$19=1,N$20=1),IF('Assumptions - Infrastructure'!$E$116=1,('Assumptions - Infrastructure'!N$128)*N1042,('Assumptions - Infrastructure'!N$128)*'Assumptions - Infrastructure'!$E$118*N1042)," "),0)</f>
        <v>9375</v>
      </c>
      <c r="O1063" s="12">
        <f>IF(O1042&lt;&gt;0,IF(OR(O$19=1,O$20=1),IF('Assumptions - Infrastructure'!$E$116=1,('Assumptions - Infrastructure'!O$128)*O1042,('Assumptions - Infrastructure'!O$128)*'Assumptions - Infrastructure'!$E$118*O1042)," "),0)</f>
        <v>9375</v>
      </c>
      <c r="P1063" s="12">
        <f>IF(P1042&lt;&gt;0,IF(OR(P$19=1,P$20=1),IF('Assumptions - Infrastructure'!$E$116=1,('Assumptions - Infrastructure'!P$128)*P1042,('Assumptions - Infrastructure'!P$128)*'Assumptions - Infrastructure'!$E$118*P1042)," "),0)</f>
        <v>9375</v>
      </c>
      <c r="Q1063" s="12">
        <f>IF(Q1042&lt;&gt;0,IF(OR(Q$19=1,Q$20=1),IF('Assumptions - Infrastructure'!$E$116=1,('Assumptions - Infrastructure'!Q$128)*Q1042,('Assumptions - Infrastructure'!Q$128)*'Assumptions - Infrastructure'!$E$118*Q1042)," "),0)</f>
        <v>9375</v>
      </c>
      <c r="R1063" s="12">
        <f>IF(R1042&lt;&gt;0,IF(OR(R$19=1,R$20=1),IF('Assumptions - Infrastructure'!$E$116=1,('Assumptions - Infrastructure'!R$128)*R1042,('Assumptions - Infrastructure'!R$128)*'Assumptions - Infrastructure'!$E$118*R1042)," "),0)</f>
        <v>9375</v>
      </c>
      <c r="S1063" s="12">
        <f>IF(S1042&lt;&gt;0,IF(OR(S$19=1,S$20=1),IF('Assumptions - Infrastructure'!$E$116=1,('Assumptions - Infrastructure'!S$128)*S1042,('Assumptions - Infrastructure'!S$128)*'Assumptions - Infrastructure'!$E$118*S1042)," "),0)</f>
        <v>9375</v>
      </c>
      <c r="T1063" s="12">
        <f>IF(T1042&lt;&gt;0,IF(OR(T$19=1,T$20=1),IF('Assumptions - Infrastructure'!$E$116=1,('Assumptions - Infrastructure'!T$128)*T1042,('Assumptions - Infrastructure'!T$128)*'Assumptions - Infrastructure'!$E$118*T1042)," "),0)</f>
        <v>9375</v>
      </c>
      <c r="U1063" s="12">
        <f>IF(U1042&lt;&gt;0,IF(OR(U$19=1,U$20=1),IF('Assumptions - Infrastructure'!$E$116=1,('Assumptions - Infrastructure'!U$128)*U1042,('Assumptions - Infrastructure'!U$128)*'Assumptions - Infrastructure'!$E$118*U1042)," "),0)</f>
        <v>9375</v>
      </c>
      <c r="V1063" s="12">
        <f>IF(V1042&lt;&gt;0,IF(OR(V$19=1,V$20=1),IF('Assumptions - Infrastructure'!$E$116=1,('Assumptions - Infrastructure'!V$128)*V1042,('Assumptions - Infrastructure'!V$128)*'Assumptions - Infrastructure'!$E$118*V1042)," "),0)</f>
        <v>9375</v>
      </c>
      <c r="W1063" s="12">
        <f>IF(W1042&lt;&gt;0,IF(OR(W$19=1,W$20=1),IF('Assumptions - Infrastructure'!$E$116=1,('Assumptions - Infrastructure'!W$128)*W1042,('Assumptions - Infrastructure'!W$128)*'Assumptions - Infrastructure'!$E$118*W1042)," "),0)</f>
        <v>9375</v>
      </c>
      <c r="X1063" s="12">
        <f>IF(X1042&lt;&gt;0,IF(OR(X$19=1,X$20=1),IF('Assumptions - Infrastructure'!$E$116=1,('Assumptions - Infrastructure'!X$128)*X1042,('Assumptions - Infrastructure'!X$128)*'Assumptions - Infrastructure'!$E$118*X1042)," "),0)</f>
        <v>9375</v>
      </c>
      <c r="Y1063" s="12">
        <f>IF(Y1042&lt;&gt;0,IF(OR(Y$19=1,Y$20=1),IF('Assumptions - Infrastructure'!$E$116=1,('Assumptions - Infrastructure'!Y$128)*Y1042,('Assumptions - Infrastructure'!Y$128)*'Assumptions - Infrastructure'!$E$118*Y1042)," "),0)</f>
        <v>9375</v>
      </c>
      <c r="Z1063" s="12">
        <f>IF(Z1042&lt;&gt;0,IF(OR(Z$19=1,Z$20=1),IF('Assumptions - Infrastructure'!$E$116=1,('Assumptions - Infrastructure'!Z$128)*Z1042,('Assumptions - Infrastructure'!Z$128)*'Assumptions - Infrastructure'!$E$118*Z1042)," "),0)</f>
        <v>9375</v>
      </c>
      <c r="AA1063" s="12">
        <f>IF(AA1042&lt;&gt;0,IF(OR(AA$19=1,AA$20=1),IF('Assumptions - Infrastructure'!$E$116=1,('Assumptions - Infrastructure'!AA$128)*AA1042,('Assumptions - Infrastructure'!AA$128)*'Assumptions - Infrastructure'!$E$118*AA1042)," "),0)</f>
        <v>9375</v>
      </c>
      <c r="AB1063" s="12">
        <f>IF(AB1042&lt;&gt;0,IF(OR(AB$19=1,AB$20=1),IF('Assumptions - Infrastructure'!$E$116=1,('Assumptions - Infrastructure'!AB$128)*AB1042,('Assumptions - Infrastructure'!AB$128)*'Assumptions - Infrastructure'!$E$118*AB1042)," "),0)</f>
        <v>9375</v>
      </c>
      <c r="AC1063" s="12">
        <f>IF(AC1042&lt;&gt;0,IF(OR(AC$19=1,AC$20=1),IF('Assumptions - Infrastructure'!$E$116=1,('Assumptions - Infrastructure'!AC$128)*AC1042,('Assumptions - Infrastructure'!AC$128)*'Assumptions - Infrastructure'!$E$118*AC1042)," "),0)</f>
        <v>9375</v>
      </c>
      <c r="AD1063" s="12">
        <f>IF(AD1042&lt;&gt;0,IF(OR(AD$19=1,AD$20=1),IF('Assumptions - Infrastructure'!$E$116=1,('Assumptions - Infrastructure'!AD$128)*AD1042,('Assumptions - Infrastructure'!AD$128)*'Assumptions - Infrastructure'!$E$118*AD1042)," "),0)</f>
        <v>9375</v>
      </c>
      <c r="AE1063" s="12">
        <f>IF(AE1042&lt;&gt;0,IF(OR(AE$19=1,AE$20=1),IF('Assumptions - Infrastructure'!$E$116=1,('Assumptions - Infrastructure'!AE$128)*AE1042,('Assumptions - Infrastructure'!AE$128)*'Assumptions - Infrastructure'!$E$118*AE1042)," "),0)</f>
        <v>9375</v>
      </c>
      <c r="AF1063" s="12">
        <f>IF(AF1042&lt;&gt;0,IF(OR(AF$19=1,AF$20=1),IF('Assumptions - Infrastructure'!$E$116=1,('Assumptions - Infrastructure'!AF$128)*AF1042,('Assumptions - Infrastructure'!AF$128)*'Assumptions - Infrastructure'!$E$118*AF1042)," "),0)</f>
        <v>9375</v>
      </c>
      <c r="AG1063" s="12">
        <f>IF(AG1042&lt;&gt;0,IF(OR(AG$19=1,AG$20=1),IF('Assumptions - Infrastructure'!$E$116=1,('Assumptions - Infrastructure'!AG$128)*AG1042,('Assumptions - Infrastructure'!AG$128)*'Assumptions - Infrastructure'!$E$118*AG1042)," "),0)</f>
        <v>9375</v>
      </c>
      <c r="AH1063" s="12">
        <f>IF(AH1042&lt;&gt;0,IF(OR(AH$19=1,AH$20=1),IF('Assumptions - Infrastructure'!$E$116=1,('Assumptions - Infrastructure'!AH$128)*AH1042,('Assumptions - Infrastructure'!AH$128)*'Assumptions - Infrastructure'!$E$118*AH1042)," "),0)</f>
        <v>9375</v>
      </c>
    </row>
    <row r="1064" spans="2:34" x14ac:dyDescent="0.2">
      <c r="B1064" s="30" t="s">
        <v>460</v>
      </c>
      <c r="C1064" s="8"/>
      <c r="D1064" s="8" t="str">
        <f t="shared" si="405"/>
        <v>GTK (millions)</v>
      </c>
      <c r="E1064" s="12">
        <f>IF(OR(E$19=1,E$20=1),SUM(E1058:E1063)," ")</f>
        <v>50000.000000000007</v>
      </c>
      <c r="F1064" s="12">
        <f t="shared" ref="F1064:AH1064" si="406">IF(OR(F$19=1,F$20=1),SUM(F1058:F1063)," ")</f>
        <v>50000.000000000007</v>
      </c>
      <c r="G1064" s="12">
        <f t="shared" si="406"/>
        <v>50000.000000000007</v>
      </c>
      <c r="H1064" s="12">
        <f t="shared" si="406"/>
        <v>50000.000000000007</v>
      </c>
      <c r="I1064" s="12">
        <f t="shared" si="406"/>
        <v>50000.000000000007</v>
      </c>
      <c r="J1064" s="12">
        <f t="shared" si="406"/>
        <v>50000.000000000007</v>
      </c>
      <c r="K1064" s="12">
        <f t="shared" si="406"/>
        <v>56250</v>
      </c>
      <c r="L1064" s="12">
        <f t="shared" si="406"/>
        <v>56250</v>
      </c>
      <c r="M1064" s="12">
        <f t="shared" si="406"/>
        <v>56250</v>
      </c>
      <c r="N1064" s="12">
        <f t="shared" si="406"/>
        <v>56250</v>
      </c>
      <c r="O1064" s="12">
        <f t="shared" si="406"/>
        <v>56250</v>
      </c>
      <c r="P1064" s="12">
        <f t="shared" si="406"/>
        <v>56250</v>
      </c>
      <c r="Q1064" s="12">
        <f t="shared" si="406"/>
        <v>56250</v>
      </c>
      <c r="R1064" s="12">
        <f t="shared" si="406"/>
        <v>56250</v>
      </c>
      <c r="S1064" s="12">
        <f t="shared" si="406"/>
        <v>56250</v>
      </c>
      <c r="T1064" s="12">
        <f t="shared" si="406"/>
        <v>56250</v>
      </c>
      <c r="U1064" s="12">
        <f t="shared" si="406"/>
        <v>56250</v>
      </c>
      <c r="V1064" s="12">
        <f t="shared" si="406"/>
        <v>56250</v>
      </c>
      <c r="W1064" s="12">
        <f t="shared" si="406"/>
        <v>56250</v>
      </c>
      <c r="X1064" s="12">
        <f t="shared" si="406"/>
        <v>56250</v>
      </c>
      <c r="Y1064" s="12">
        <f t="shared" si="406"/>
        <v>56250</v>
      </c>
      <c r="Z1064" s="12">
        <f t="shared" si="406"/>
        <v>56250</v>
      </c>
      <c r="AA1064" s="12">
        <f t="shared" si="406"/>
        <v>56250</v>
      </c>
      <c r="AB1064" s="12">
        <f t="shared" si="406"/>
        <v>56250</v>
      </c>
      <c r="AC1064" s="12">
        <f t="shared" si="406"/>
        <v>56250</v>
      </c>
      <c r="AD1064" s="12">
        <f t="shared" si="406"/>
        <v>56250</v>
      </c>
      <c r="AE1064" s="12">
        <f t="shared" si="406"/>
        <v>56250</v>
      </c>
      <c r="AF1064" s="12">
        <f t="shared" si="406"/>
        <v>56250</v>
      </c>
      <c r="AG1064" s="12">
        <f t="shared" si="406"/>
        <v>56250</v>
      </c>
      <c r="AH1064" s="12">
        <f t="shared" si="406"/>
        <v>56250</v>
      </c>
    </row>
    <row r="1065" spans="2:34" x14ac:dyDescent="0.2">
      <c r="B1065" s="14"/>
      <c r="C1065" s="8"/>
      <c r="D1065" s="8"/>
      <c r="E1065" s="12"/>
      <c r="F1065" s="12"/>
      <c r="G1065" s="12"/>
      <c r="H1065" s="12"/>
      <c r="I1065" s="12"/>
      <c r="J1065" s="12"/>
      <c r="K1065" s="12"/>
      <c r="L1065" s="12"/>
      <c r="M1065" s="12"/>
      <c r="N1065" s="12"/>
      <c r="O1065" s="12"/>
      <c r="P1065" s="12"/>
      <c r="Q1065" s="12"/>
      <c r="R1065" s="12"/>
      <c r="S1065" s="12"/>
      <c r="T1065" s="12"/>
      <c r="U1065" s="12"/>
      <c r="V1065" s="12"/>
      <c r="W1065" s="12"/>
      <c r="X1065" s="12"/>
      <c r="Y1065" s="12"/>
      <c r="Z1065" s="12"/>
      <c r="AA1065" s="12"/>
      <c r="AB1065" s="12"/>
      <c r="AC1065" s="12"/>
      <c r="AD1065" s="12"/>
      <c r="AE1065" s="12"/>
      <c r="AF1065" s="12"/>
      <c r="AG1065" s="12"/>
      <c r="AH1065" s="12"/>
    </row>
    <row r="1066" spans="2:34" x14ac:dyDescent="0.2">
      <c r="B1066" s="8" t="str">
        <f>"Diesel traffic volume of " &amp;'Assumptions - Infrastructure'!E121</f>
        <v>Diesel traffic volume of Freight company 1</v>
      </c>
      <c r="C1066" s="8"/>
      <c r="D1066" s="8" t="s">
        <v>286</v>
      </c>
      <c r="E1066" s="12">
        <f>IF(E1058&lt;&gt;0,IF(OR(E$19=1,E$20=1),'Assumptions - Infrastructure'!E$18*E1058," "),0)</f>
        <v>4166.666666666667</v>
      </c>
      <c r="F1066" s="12">
        <f>IF(F1058&lt;&gt;0,IF(OR(F$19=1,F$20=1),'Assumptions - Infrastructure'!F$18*F1058," "),0)</f>
        <v>4166.666666666667</v>
      </c>
      <c r="G1066" s="12">
        <f>IF(G1058&lt;&gt;0,IF(OR(G$19=1,G$20=1),'Assumptions - Infrastructure'!G$18*G1058," "),0)</f>
        <v>4166.666666666667</v>
      </c>
      <c r="H1066" s="12">
        <f>IF(H1058&lt;&gt;0,IF(OR(H$19=1,H$20=1),'Assumptions - Infrastructure'!H$18*H1058," "),0)</f>
        <v>4166.666666666667</v>
      </c>
      <c r="I1066" s="12">
        <f>IF(I1058&lt;&gt;0,IF(OR(I$19=1,I$20=1),'Assumptions - Infrastructure'!I$18*I1058," "),0)</f>
        <v>4166.666666666667</v>
      </c>
      <c r="J1066" s="12">
        <f>IF(J1058&lt;&gt;0,IF(OR(J$19=1,J$20=1),'Assumptions - Infrastructure'!J$18*J1058," "),0)</f>
        <v>4166.666666666667</v>
      </c>
      <c r="K1066" s="12">
        <f>IF(K1058&lt;&gt;0,IF(OR(K$19=1,K$20=1),'Assumptions - Infrastructure'!K$18*K1058," "),0)</f>
        <v>4687.5</v>
      </c>
      <c r="L1066" s="12">
        <f>IF(L1058&lt;&gt;0,IF(OR(L$19=1,L$20=1),'Assumptions - Infrastructure'!L$18*L1058," "),0)</f>
        <v>4687.5</v>
      </c>
      <c r="M1066" s="12">
        <f>IF(M1058&lt;&gt;0,IF(OR(M$19=1,M$20=1),'Assumptions - Infrastructure'!M$18*M1058," "),0)</f>
        <v>4687.5</v>
      </c>
      <c r="N1066" s="12">
        <f>IF(N1058&lt;&gt;0,IF(OR(N$19=1,N$20=1),'Assumptions - Infrastructure'!N$18*N1058," "),0)</f>
        <v>4687.5</v>
      </c>
      <c r="O1066" s="12">
        <f>IF(O1058&lt;&gt;0,IF(OR(O$19=1,O$20=1),'Assumptions - Infrastructure'!O$18*O1058," "),0)</f>
        <v>4687.5</v>
      </c>
      <c r="P1066" s="12">
        <f>IF(P1058&lt;&gt;0,IF(OR(P$19=1,P$20=1),'Assumptions - Infrastructure'!P$18*P1058," "),0)</f>
        <v>4687.5</v>
      </c>
      <c r="Q1066" s="12">
        <f>IF(Q1058&lt;&gt;0,IF(OR(Q$19=1,Q$20=1),'Assumptions - Infrastructure'!Q$18*Q1058," "),0)</f>
        <v>4687.5</v>
      </c>
      <c r="R1066" s="12">
        <f>IF(R1058&lt;&gt;0,IF(OR(R$19=1,R$20=1),'Assumptions - Infrastructure'!R$18*R1058," "),0)</f>
        <v>4687.5</v>
      </c>
      <c r="S1066" s="12">
        <f>IF(S1058&lt;&gt;0,IF(OR(S$19=1,S$20=1),'Assumptions - Infrastructure'!S$18*S1058," "),0)</f>
        <v>4687.5</v>
      </c>
      <c r="T1066" s="12">
        <f>IF(T1058&lt;&gt;0,IF(OR(T$19=1,T$20=1),'Assumptions - Infrastructure'!T$18*T1058," "),0)</f>
        <v>4687.5</v>
      </c>
      <c r="U1066" s="12">
        <f>IF(U1058&lt;&gt;0,IF(OR(U$19=1,U$20=1),'Assumptions - Infrastructure'!U$18*U1058," "),0)</f>
        <v>4687.5</v>
      </c>
      <c r="V1066" s="12">
        <f>IF(V1058&lt;&gt;0,IF(OR(V$19=1,V$20=1),'Assumptions - Infrastructure'!V$18*V1058," "),0)</f>
        <v>4687.5</v>
      </c>
      <c r="W1066" s="12">
        <f>IF(W1058&lt;&gt;0,IF(OR(W$19=1,W$20=1),'Assumptions - Infrastructure'!W$18*W1058," "),0)</f>
        <v>4687.5</v>
      </c>
      <c r="X1066" s="12">
        <f>IF(X1058&lt;&gt;0,IF(OR(X$19=1,X$20=1),'Assumptions - Infrastructure'!X$18*X1058," "),0)</f>
        <v>4687.5</v>
      </c>
      <c r="Y1066" s="12">
        <f>IF(Y1058&lt;&gt;0,IF(OR(Y$19=1,Y$20=1),'Assumptions - Infrastructure'!Y$18*Y1058," "),0)</f>
        <v>4687.5</v>
      </c>
      <c r="Z1066" s="12">
        <f>IF(Z1058&lt;&gt;0,IF(OR(Z$19=1,Z$20=1),'Assumptions - Infrastructure'!Z$18*Z1058," "),0)</f>
        <v>4687.5</v>
      </c>
      <c r="AA1066" s="12">
        <f>IF(AA1058&lt;&gt;0,IF(OR(AA$19=1,AA$20=1),'Assumptions - Infrastructure'!AA$18*AA1058," "),0)</f>
        <v>4687.5</v>
      </c>
      <c r="AB1066" s="12">
        <f>IF(AB1058&lt;&gt;0,IF(OR(AB$19=1,AB$20=1),'Assumptions - Infrastructure'!AB$18*AB1058," "),0)</f>
        <v>4687.5</v>
      </c>
      <c r="AC1066" s="12">
        <f>IF(AC1058&lt;&gt;0,IF(OR(AC$19=1,AC$20=1),'Assumptions - Infrastructure'!AC$18*AC1058," "),0)</f>
        <v>4687.5</v>
      </c>
      <c r="AD1066" s="12">
        <f>IF(AD1058&lt;&gt;0,IF(OR(AD$19=1,AD$20=1),'Assumptions - Infrastructure'!AD$18*AD1058," "),0)</f>
        <v>4687.5</v>
      </c>
      <c r="AE1066" s="12">
        <f>IF(AE1058&lt;&gt;0,IF(OR(AE$19=1,AE$20=1),'Assumptions - Infrastructure'!AE$18*AE1058," "),0)</f>
        <v>4687.5</v>
      </c>
      <c r="AF1066" s="12">
        <f>IF(AF1058&lt;&gt;0,IF(OR(AF$19=1,AF$20=1),'Assumptions - Infrastructure'!AF$18*AF1058," "),0)</f>
        <v>4687.5</v>
      </c>
      <c r="AG1066" s="12">
        <f>IF(AG1058&lt;&gt;0,IF(OR(AG$19=1,AG$20=1),'Assumptions - Infrastructure'!AG$18*AG1058," "),0)</f>
        <v>4687.5</v>
      </c>
      <c r="AH1066" s="12">
        <f>IF(AH1058&lt;&gt;0,IF(OR(AH$19=1,AH$20=1),'Assumptions - Infrastructure'!AH$18*AH1058," "),0)</f>
        <v>4687.5</v>
      </c>
    </row>
    <row r="1067" spans="2:34" x14ac:dyDescent="0.2">
      <c r="B1067" s="8" t="str">
        <f>"Diesel traffic volume of " &amp;'Assumptions - Infrastructure'!E122</f>
        <v>Diesel traffic volume of Freight company 2</v>
      </c>
      <c r="C1067" s="8"/>
      <c r="D1067" s="8" t="str">
        <f t="shared" ref="D1067:D1072" si="407">D1066</f>
        <v>GTK (millions)</v>
      </c>
      <c r="E1067" s="12">
        <f>IF(E1059&lt;&gt;0,IF(OR(E$19=1,E$20=1),'Assumptions - Infrastructure'!E$18*E1059," "),0)</f>
        <v>4166.666666666667</v>
      </c>
      <c r="F1067" s="12">
        <f>IF(F1059&lt;&gt;0,IF(OR(F$19=1,F$20=1),'Assumptions - Infrastructure'!F$18*F1059," "),0)</f>
        <v>4166.666666666667</v>
      </c>
      <c r="G1067" s="12">
        <f>IF(G1059&lt;&gt;0,IF(OR(G$19=1,G$20=1),'Assumptions - Infrastructure'!G$18*G1059," "),0)</f>
        <v>4166.666666666667</v>
      </c>
      <c r="H1067" s="12">
        <f>IF(H1059&lt;&gt;0,IF(OR(H$19=1,H$20=1),'Assumptions - Infrastructure'!H$18*H1059," "),0)</f>
        <v>4166.666666666667</v>
      </c>
      <c r="I1067" s="12">
        <f>IF(I1059&lt;&gt;0,IF(OR(I$19=1,I$20=1),'Assumptions - Infrastructure'!I$18*I1059," "),0)</f>
        <v>4166.666666666667</v>
      </c>
      <c r="J1067" s="12">
        <f>IF(J1059&lt;&gt;0,IF(OR(J$19=1,J$20=1),'Assumptions - Infrastructure'!J$18*J1059," "),0)</f>
        <v>4166.666666666667</v>
      </c>
      <c r="K1067" s="12">
        <f>IF(K1059&lt;&gt;0,IF(OR(K$19=1,K$20=1),'Assumptions - Infrastructure'!K$18*K1059," "),0)</f>
        <v>4687.5</v>
      </c>
      <c r="L1067" s="12">
        <f>IF(L1059&lt;&gt;0,IF(OR(L$19=1,L$20=1),'Assumptions - Infrastructure'!L$18*L1059," "),0)</f>
        <v>4687.5</v>
      </c>
      <c r="M1067" s="12">
        <f>IF(M1059&lt;&gt;0,IF(OR(M$19=1,M$20=1),'Assumptions - Infrastructure'!M$18*M1059," "),0)</f>
        <v>4687.5</v>
      </c>
      <c r="N1067" s="12">
        <f>IF(N1059&lt;&gt;0,IF(OR(N$19=1,N$20=1),'Assumptions - Infrastructure'!N$18*N1059," "),0)</f>
        <v>4687.5</v>
      </c>
      <c r="O1067" s="12">
        <f>IF(O1059&lt;&gt;0,IF(OR(O$19=1,O$20=1),'Assumptions - Infrastructure'!O$18*O1059," "),0)</f>
        <v>4687.5</v>
      </c>
      <c r="P1067" s="12">
        <f>IF(P1059&lt;&gt;0,IF(OR(P$19=1,P$20=1),'Assumptions - Infrastructure'!P$18*P1059," "),0)</f>
        <v>4687.5</v>
      </c>
      <c r="Q1067" s="12">
        <f>IF(Q1059&lt;&gt;0,IF(OR(Q$19=1,Q$20=1),'Assumptions - Infrastructure'!Q$18*Q1059," "),0)</f>
        <v>4687.5</v>
      </c>
      <c r="R1067" s="12">
        <f>IF(R1059&lt;&gt;0,IF(OR(R$19=1,R$20=1),'Assumptions - Infrastructure'!R$18*R1059," "),0)</f>
        <v>4687.5</v>
      </c>
      <c r="S1067" s="12">
        <f>IF(S1059&lt;&gt;0,IF(OR(S$19=1,S$20=1),'Assumptions - Infrastructure'!S$18*S1059," "),0)</f>
        <v>4687.5</v>
      </c>
      <c r="T1067" s="12">
        <f>IF(T1059&lt;&gt;0,IF(OR(T$19=1,T$20=1),'Assumptions - Infrastructure'!T$18*T1059," "),0)</f>
        <v>4687.5</v>
      </c>
      <c r="U1067" s="12">
        <f>IF(U1059&lt;&gt;0,IF(OR(U$19=1,U$20=1),'Assumptions - Infrastructure'!U$18*U1059," "),0)</f>
        <v>4687.5</v>
      </c>
      <c r="V1067" s="12">
        <f>IF(V1059&lt;&gt;0,IF(OR(V$19=1,V$20=1),'Assumptions - Infrastructure'!V$18*V1059," "),0)</f>
        <v>4687.5</v>
      </c>
      <c r="W1067" s="12">
        <f>IF(W1059&lt;&gt;0,IF(OR(W$19=1,W$20=1),'Assumptions - Infrastructure'!W$18*W1059," "),0)</f>
        <v>4687.5</v>
      </c>
      <c r="X1067" s="12">
        <f>IF(X1059&lt;&gt;0,IF(OR(X$19=1,X$20=1),'Assumptions - Infrastructure'!X$18*X1059," "),0)</f>
        <v>4687.5</v>
      </c>
      <c r="Y1067" s="12">
        <f>IF(Y1059&lt;&gt;0,IF(OR(Y$19=1,Y$20=1),'Assumptions - Infrastructure'!Y$18*Y1059," "),0)</f>
        <v>4687.5</v>
      </c>
      <c r="Z1067" s="12">
        <f>IF(Z1059&lt;&gt;0,IF(OR(Z$19=1,Z$20=1),'Assumptions - Infrastructure'!Z$18*Z1059," "),0)</f>
        <v>4687.5</v>
      </c>
      <c r="AA1067" s="12">
        <f>IF(AA1059&lt;&gt;0,IF(OR(AA$19=1,AA$20=1),'Assumptions - Infrastructure'!AA$18*AA1059," "),0)</f>
        <v>4687.5</v>
      </c>
      <c r="AB1067" s="12">
        <f>IF(AB1059&lt;&gt;0,IF(OR(AB$19=1,AB$20=1),'Assumptions - Infrastructure'!AB$18*AB1059," "),0)</f>
        <v>4687.5</v>
      </c>
      <c r="AC1067" s="12">
        <f>IF(AC1059&lt;&gt;0,IF(OR(AC$19=1,AC$20=1),'Assumptions - Infrastructure'!AC$18*AC1059," "),0)</f>
        <v>4687.5</v>
      </c>
      <c r="AD1067" s="12">
        <f>IF(AD1059&lt;&gt;0,IF(OR(AD$19=1,AD$20=1),'Assumptions - Infrastructure'!AD$18*AD1059," "),0)</f>
        <v>4687.5</v>
      </c>
      <c r="AE1067" s="12">
        <f>IF(AE1059&lt;&gt;0,IF(OR(AE$19=1,AE$20=1),'Assumptions - Infrastructure'!AE$18*AE1059," "),0)</f>
        <v>4687.5</v>
      </c>
      <c r="AF1067" s="12">
        <f>IF(AF1059&lt;&gt;0,IF(OR(AF$19=1,AF$20=1),'Assumptions - Infrastructure'!AF$18*AF1059," "),0)</f>
        <v>4687.5</v>
      </c>
      <c r="AG1067" s="12">
        <f>IF(AG1059&lt;&gt;0,IF(OR(AG$19=1,AG$20=1),'Assumptions - Infrastructure'!AG$18*AG1059," "),0)</f>
        <v>4687.5</v>
      </c>
      <c r="AH1067" s="12">
        <f>IF(AH1059&lt;&gt;0,IF(OR(AH$19=1,AH$20=1),'Assumptions - Infrastructure'!AH$18*AH1059," "),0)</f>
        <v>4687.5</v>
      </c>
    </row>
    <row r="1068" spans="2:34" x14ac:dyDescent="0.2">
      <c r="B1068" s="8" t="str">
        <f>"Diesel traffic volume of " &amp;'Assumptions - Infrastructure'!E123</f>
        <v>Diesel traffic volume of Freight company 3</v>
      </c>
      <c r="C1068" s="8"/>
      <c r="D1068" s="8" t="str">
        <f t="shared" si="407"/>
        <v>GTK (millions)</v>
      </c>
      <c r="E1068" s="12">
        <f>IF(E1060&lt;&gt;0,IF(OR(E$19=1,E$20=1),'Assumptions - Infrastructure'!E$18*E1060," "),0)</f>
        <v>4166.666666666667</v>
      </c>
      <c r="F1068" s="12">
        <f>IF(F1060&lt;&gt;0,IF(OR(F$19=1,F$20=1),'Assumptions - Infrastructure'!F$18*F1060," "),0)</f>
        <v>4166.666666666667</v>
      </c>
      <c r="G1068" s="12">
        <f>IF(G1060&lt;&gt;0,IF(OR(G$19=1,G$20=1),'Assumptions - Infrastructure'!G$18*G1060," "),0)</f>
        <v>4166.666666666667</v>
      </c>
      <c r="H1068" s="12">
        <f>IF(H1060&lt;&gt;0,IF(OR(H$19=1,H$20=1),'Assumptions - Infrastructure'!H$18*H1060," "),0)</f>
        <v>4166.666666666667</v>
      </c>
      <c r="I1068" s="12">
        <f>IF(I1060&lt;&gt;0,IF(OR(I$19=1,I$20=1),'Assumptions - Infrastructure'!I$18*I1060," "),0)</f>
        <v>4166.666666666667</v>
      </c>
      <c r="J1068" s="12">
        <f>IF(J1060&lt;&gt;0,IF(OR(J$19=1,J$20=1),'Assumptions - Infrastructure'!J$18*J1060," "),0)</f>
        <v>4166.666666666667</v>
      </c>
      <c r="K1068" s="12">
        <f>IF(K1060&lt;&gt;0,IF(OR(K$19=1,K$20=1),'Assumptions - Infrastructure'!K$18*K1060," "),0)</f>
        <v>4687.5</v>
      </c>
      <c r="L1068" s="12">
        <f>IF(L1060&lt;&gt;0,IF(OR(L$19=1,L$20=1),'Assumptions - Infrastructure'!L$18*L1060," "),0)</f>
        <v>4687.5</v>
      </c>
      <c r="M1068" s="12">
        <f>IF(M1060&lt;&gt;0,IF(OR(M$19=1,M$20=1),'Assumptions - Infrastructure'!M$18*M1060," "),0)</f>
        <v>4687.5</v>
      </c>
      <c r="N1068" s="12">
        <f>IF(N1060&lt;&gt;0,IF(OR(N$19=1,N$20=1),'Assumptions - Infrastructure'!N$18*N1060," "),0)</f>
        <v>4687.5</v>
      </c>
      <c r="O1068" s="12">
        <f>IF(O1060&lt;&gt;0,IF(OR(O$19=1,O$20=1),'Assumptions - Infrastructure'!O$18*O1060," "),0)</f>
        <v>4687.5</v>
      </c>
      <c r="P1068" s="12">
        <f>IF(P1060&lt;&gt;0,IF(OR(P$19=1,P$20=1),'Assumptions - Infrastructure'!P$18*P1060," "),0)</f>
        <v>4687.5</v>
      </c>
      <c r="Q1068" s="12">
        <f>IF(Q1060&lt;&gt;0,IF(OR(Q$19=1,Q$20=1),'Assumptions - Infrastructure'!Q$18*Q1060," "),0)</f>
        <v>4687.5</v>
      </c>
      <c r="R1068" s="12">
        <f>IF(R1060&lt;&gt;0,IF(OR(R$19=1,R$20=1),'Assumptions - Infrastructure'!R$18*R1060," "),0)</f>
        <v>4687.5</v>
      </c>
      <c r="S1068" s="12">
        <f>IF(S1060&lt;&gt;0,IF(OR(S$19=1,S$20=1),'Assumptions - Infrastructure'!S$18*S1060," "),0)</f>
        <v>4687.5</v>
      </c>
      <c r="T1068" s="12">
        <f>IF(T1060&lt;&gt;0,IF(OR(T$19=1,T$20=1),'Assumptions - Infrastructure'!T$18*T1060," "),0)</f>
        <v>4687.5</v>
      </c>
      <c r="U1068" s="12">
        <f>IF(U1060&lt;&gt;0,IF(OR(U$19=1,U$20=1),'Assumptions - Infrastructure'!U$18*U1060," "),0)</f>
        <v>4687.5</v>
      </c>
      <c r="V1068" s="12">
        <f>IF(V1060&lt;&gt;0,IF(OR(V$19=1,V$20=1),'Assumptions - Infrastructure'!V$18*V1060," "),0)</f>
        <v>4687.5</v>
      </c>
      <c r="W1068" s="12">
        <f>IF(W1060&lt;&gt;0,IF(OR(W$19=1,W$20=1),'Assumptions - Infrastructure'!W$18*W1060," "),0)</f>
        <v>4687.5</v>
      </c>
      <c r="X1068" s="12">
        <f>IF(X1060&lt;&gt;0,IF(OR(X$19=1,X$20=1),'Assumptions - Infrastructure'!X$18*X1060," "),0)</f>
        <v>4687.5</v>
      </c>
      <c r="Y1068" s="12">
        <f>IF(Y1060&lt;&gt;0,IF(OR(Y$19=1,Y$20=1),'Assumptions - Infrastructure'!Y$18*Y1060," "),0)</f>
        <v>4687.5</v>
      </c>
      <c r="Z1068" s="12">
        <f>IF(Z1060&lt;&gt;0,IF(OR(Z$19=1,Z$20=1),'Assumptions - Infrastructure'!Z$18*Z1060," "),0)</f>
        <v>4687.5</v>
      </c>
      <c r="AA1068" s="12">
        <f>IF(AA1060&lt;&gt;0,IF(OR(AA$19=1,AA$20=1),'Assumptions - Infrastructure'!AA$18*AA1060," "),0)</f>
        <v>4687.5</v>
      </c>
      <c r="AB1068" s="12">
        <f>IF(AB1060&lt;&gt;0,IF(OR(AB$19=1,AB$20=1),'Assumptions - Infrastructure'!AB$18*AB1060," "),0)</f>
        <v>4687.5</v>
      </c>
      <c r="AC1068" s="12">
        <f>IF(AC1060&lt;&gt;0,IF(OR(AC$19=1,AC$20=1),'Assumptions - Infrastructure'!AC$18*AC1060," "),0)</f>
        <v>4687.5</v>
      </c>
      <c r="AD1068" s="12">
        <f>IF(AD1060&lt;&gt;0,IF(OR(AD$19=1,AD$20=1),'Assumptions - Infrastructure'!AD$18*AD1060," "),0)</f>
        <v>4687.5</v>
      </c>
      <c r="AE1068" s="12">
        <f>IF(AE1060&lt;&gt;0,IF(OR(AE$19=1,AE$20=1),'Assumptions - Infrastructure'!AE$18*AE1060," "),0)</f>
        <v>4687.5</v>
      </c>
      <c r="AF1068" s="12">
        <f>IF(AF1060&lt;&gt;0,IF(OR(AF$19=1,AF$20=1),'Assumptions - Infrastructure'!AF$18*AF1060," "),0)</f>
        <v>4687.5</v>
      </c>
      <c r="AG1068" s="12">
        <f>IF(AG1060&lt;&gt;0,IF(OR(AG$19=1,AG$20=1),'Assumptions - Infrastructure'!AG$18*AG1060," "),0)</f>
        <v>4687.5</v>
      </c>
      <c r="AH1068" s="12">
        <f>IF(AH1060&lt;&gt;0,IF(OR(AH$19=1,AH$20=1),'Assumptions - Infrastructure'!AH$18*AH1060," "),0)</f>
        <v>4687.5</v>
      </c>
    </row>
    <row r="1069" spans="2:34" x14ac:dyDescent="0.2">
      <c r="B1069" s="8" t="str">
        <f>"Diesel traffic volume of " &amp;'Assumptions - Infrastructure'!E124</f>
        <v>Diesel traffic volume of Freight company 4</v>
      </c>
      <c r="C1069" s="8"/>
      <c r="D1069" s="8" t="str">
        <f t="shared" si="407"/>
        <v>GTK (millions)</v>
      </c>
      <c r="E1069" s="12">
        <f>IF(E1061&lt;&gt;0,IF(OR(E$19=1,E$20=1),'Assumptions - Infrastructure'!E$18*E1061," "),0)</f>
        <v>4166.666666666667</v>
      </c>
      <c r="F1069" s="12">
        <f>IF(F1061&lt;&gt;0,IF(OR(F$19=1,F$20=1),'Assumptions - Infrastructure'!F$18*F1061," "),0)</f>
        <v>4166.666666666667</v>
      </c>
      <c r="G1069" s="12">
        <f>IF(G1061&lt;&gt;0,IF(OR(G$19=1,G$20=1),'Assumptions - Infrastructure'!G$18*G1061," "),0)</f>
        <v>4166.666666666667</v>
      </c>
      <c r="H1069" s="12">
        <f>IF(H1061&lt;&gt;0,IF(OR(H$19=1,H$20=1),'Assumptions - Infrastructure'!H$18*H1061," "),0)</f>
        <v>4166.666666666667</v>
      </c>
      <c r="I1069" s="12">
        <f>IF(I1061&lt;&gt;0,IF(OR(I$19=1,I$20=1),'Assumptions - Infrastructure'!I$18*I1061," "),0)</f>
        <v>4166.666666666667</v>
      </c>
      <c r="J1069" s="12">
        <f>IF(J1061&lt;&gt;0,IF(OR(J$19=1,J$20=1),'Assumptions - Infrastructure'!J$18*J1061," "),0)</f>
        <v>4166.666666666667</v>
      </c>
      <c r="K1069" s="12">
        <f>IF(K1061&lt;&gt;0,IF(OR(K$19=1,K$20=1),'Assumptions - Infrastructure'!K$18*K1061," "),0)</f>
        <v>4687.5</v>
      </c>
      <c r="L1069" s="12">
        <f>IF(L1061&lt;&gt;0,IF(OR(L$19=1,L$20=1),'Assumptions - Infrastructure'!L$18*L1061," "),0)</f>
        <v>4687.5</v>
      </c>
      <c r="M1069" s="12">
        <f>IF(M1061&lt;&gt;0,IF(OR(M$19=1,M$20=1),'Assumptions - Infrastructure'!M$18*M1061," "),0)</f>
        <v>4687.5</v>
      </c>
      <c r="N1069" s="12">
        <f>IF(N1061&lt;&gt;0,IF(OR(N$19=1,N$20=1),'Assumptions - Infrastructure'!N$18*N1061," "),0)</f>
        <v>4687.5</v>
      </c>
      <c r="O1069" s="12">
        <f>IF(O1061&lt;&gt;0,IF(OR(O$19=1,O$20=1),'Assumptions - Infrastructure'!O$18*O1061," "),0)</f>
        <v>4687.5</v>
      </c>
      <c r="P1069" s="12">
        <f>IF(P1061&lt;&gt;0,IF(OR(P$19=1,P$20=1),'Assumptions - Infrastructure'!P$18*P1061," "),0)</f>
        <v>4687.5</v>
      </c>
      <c r="Q1069" s="12">
        <f>IF(Q1061&lt;&gt;0,IF(OR(Q$19=1,Q$20=1),'Assumptions - Infrastructure'!Q$18*Q1061," "),0)</f>
        <v>4687.5</v>
      </c>
      <c r="R1069" s="12">
        <f>IF(R1061&lt;&gt;0,IF(OR(R$19=1,R$20=1),'Assumptions - Infrastructure'!R$18*R1061," "),0)</f>
        <v>4687.5</v>
      </c>
      <c r="S1069" s="12">
        <f>IF(S1061&lt;&gt;0,IF(OR(S$19=1,S$20=1),'Assumptions - Infrastructure'!S$18*S1061," "),0)</f>
        <v>4687.5</v>
      </c>
      <c r="T1069" s="12">
        <f>IF(T1061&lt;&gt;0,IF(OR(T$19=1,T$20=1),'Assumptions - Infrastructure'!T$18*T1061," "),0)</f>
        <v>4687.5</v>
      </c>
      <c r="U1069" s="12">
        <f>IF(U1061&lt;&gt;0,IF(OR(U$19=1,U$20=1),'Assumptions - Infrastructure'!U$18*U1061," "),0)</f>
        <v>4687.5</v>
      </c>
      <c r="V1069" s="12">
        <f>IF(V1061&lt;&gt;0,IF(OR(V$19=1,V$20=1),'Assumptions - Infrastructure'!V$18*V1061," "),0)</f>
        <v>4687.5</v>
      </c>
      <c r="W1069" s="12">
        <f>IF(W1061&lt;&gt;0,IF(OR(W$19=1,W$20=1),'Assumptions - Infrastructure'!W$18*W1061," "),0)</f>
        <v>4687.5</v>
      </c>
      <c r="X1069" s="12">
        <f>IF(X1061&lt;&gt;0,IF(OR(X$19=1,X$20=1),'Assumptions - Infrastructure'!X$18*X1061," "),0)</f>
        <v>4687.5</v>
      </c>
      <c r="Y1069" s="12">
        <f>IF(Y1061&lt;&gt;0,IF(OR(Y$19=1,Y$20=1),'Assumptions - Infrastructure'!Y$18*Y1061," "),0)</f>
        <v>4687.5</v>
      </c>
      <c r="Z1069" s="12">
        <f>IF(Z1061&lt;&gt;0,IF(OR(Z$19=1,Z$20=1),'Assumptions - Infrastructure'!Z$18*Z1061," "),0)</f>
        <v>4687.5</v>
      </c>
      <c r="AA1069" s="12">
        <f>IF(AA1061&lt;&gt;0,IF(OR(AA$19=1,AA$20=1),'Assumptions - Infrastructure'!AA$18*AA1061," "),0)</f>
        <v>4687.5</v>
      </c>
      <c r="AB1069" s="12">
        <f>IF(AB1061&lt;&gt;0,IF(OR(AB$19=1,AB$20=1),'Assumptions - Infrastructure'!AB$18*AB1061," "),0)</f>
        <v>4687.5</v>
      </c>
      <c r="AC1069" s="12">
        <f>IF(AC1061&lt;&gt;0,IF(OR(AC$19=1,AC$20=1),'Assumptions - Infrastructure'!AC$18*AC1061," "),0)</f>
        <v>4687.5</v>
      </c>
      <c r="AD1069" s="12">
        <f>IF(AD1061&lt;&gt;0,IF(OR(AD$19=1,AD$20=1),'Assumptions - Infrastructure'!AD$18*AD1061," "),0)</f>
        <v>4687.5</v>
      </c>
      <c r="AE1069" s="12">
        <f>IF(AE1061&lt;&gt;0,IF(OR(AE$19=1,AE$20=1),'Assumptions - Infrastructure'!AE$18*AE1061," "),0)</f>
        <v>4687.5</v>
      </c>
      <c r="AF1069" s="12">
        <f>IF(AF1061&lt;&gt;0,IF(OR(AF$19=1,AF$20=1),'Assumptions - Infrastructure'!AF$18*AF1061," "),0)</f>
        <v>4687.5</v>
      </c>
      <c r="AG1069" s="12">
        <f>IF(AG1061&lt;&gt;0,IF(OR(AG$19=1,AG$20=1),'Assumptions - Infrastructure'!AG$18*AG1061," "),0)</f>
        <v>4687.5</v>
      </c>
      <c r="AH1069" s="12">
        <f>IF(AH1061&lt;&gt;0,IF(OR(AH$19=1,AH$20=1),'Assumptions - Infrastructure'!AH$18*AH1061," "),0)</f>
        <v>4687.5</v>
      </c>
    </row>
    <row r="1070" spans="2:34" x14ac:dyDescent="0.2">
      <c r="B1070" s="8" t="str">
        <f>"Diesel traffic volume of " &amp;'Assumptions - Infrastructure'!E125</f>
        <v>Diesel traffic volume of Freight company 5</v>
      </c>
      <c r="C1070" s="8"/>
      <c r="D1070" s="8" t="str">
        <f t="shared" si="407"/>
        <v>GTK (millions)</v>
      </c>
      <c r="E1070" s="12">
        <f>IF(E1062&lt;&gt;0,IF(OR(E$19=1,E$20=1),'Assumptions - Infrastructure'!E$18*E1062," "),0)</f>
        <v>4166.666666666667</v>
      </c>
      <c r="F1070" s="12">
        <f>IF(F1062&lt;&gt;0,IF(OR(F$19=1,F$20=1),'Assumptions - Infrastructure'!F$18*F1062," "),0)</f>
        <v>4166.666666666667</v>
      </c>
      <c r="G1070" s="12">
        <f>IF(G1062&lt;&gt;0,IF(OR(G$19=1,G$20=1),'Assumptions - Infrastructure'!G$18*G1062," "),0)</f>
        <v>4166.666666666667</v>
      </c>
      <c r="H1070" s="12">
        <f>IF(H1062&lt;&gt;0,IF(OR(H$19=1,H$20=1),'Assumptions - Infrastructure'!H$18*H1062," "),0)</f>
        <v>4166.666666666667</v>
      </c>
      <c r="I1070" s="12">
        <f>IF(I1062&lt;&gt;0,IF(OR(I$19=1,I$20=1),'Assumptions - Infrastructure'!I$18*I1062," "),0)</f>
        <v>4166.666666666667</v>
      </c>
      <c r="J1070" s="12">
        <f>IF(J1062&lt;&gt;0,IF(OR(J$19=1,J$20=1),'Assumptions - Infrastructure'!J$18*J1062," "),0)</f>
        <v>4166.666666666667</v>
      </c>
      <c r="K1070" s="12">
        <f>IF(K1062&lt;&gt;0,IF(OR(K$19=1,K$20=1),'Assumptions - Infrastructure'!K$18*K1062," "),0)</f>
        <v>4687.5</v>
      </c>
      <c r="L1070" s="12">
        <f>IF(L1062&lt;&gt;0,IF(OR(L$19=1,L$20=1),'Assumptions - Infrastructure'!L$18*L1062," "),0)</f>
        <v>4687.5</v>
      </c>
      <c r="M1070" s="12">
        <f>IF(M1062&lt;&gt;0,IF(OR(M$19=1,M$20=1),'Assumptions - Infrastructure'!M$18*M1062," "),0)</f>
        <v>4687.5</v>
      </c>
      <c r="N1070" s="12">
        <f>IF(N1062&lt;&gt;0,IF(OR(N$19=1,N$20=1),'Assumptions - Infrastructure'!N$18*N1062," "),0)</f>
        <v>4687.5</v>
      </c>
      <c r="O1070" s="12">
        <f>IF(O1062&lt;&gt;0,IF(OR(O$19=1,O$20=1),'Assumptions - Infrastructure'!O$18*O1062," "),0)</f>
        <v>4687.5</v>
      </c>
      <c r="P1070" s="12">
        <f>IF(P1062&lt;&gt;0,IF(OR(P$19=1,P$20=1),'Assumptions - Infrastructure'!P$18*P1062," "),0)</f>
        <v>4687.5</v>
      </c>
      <c r="Q1070" s="12">
        <f>IF(Q1062&lt;&gt;0,IF(OR(Q$19=1,Q$20=1),'Assumptions - Infrastructure'!Q$18*Q1062," "),0)</f>
        <v>4687.5</v>
      </c>
      <c r="R1070" s="12">
        <f>IF(R1062&lt;&gt;0,IF(OR(R$19=1,R$20=1),'Assumptions - Infrastructure'!R$18*R1062," "),0)</f>
        <v>4687.5</v>
      </c>
      <c r="S1070" s="12">
        <f>IF(S1062&lt;&gt;0,IF(OR(S$19=1,S$20=1),'Assumptions - Infrastructure'!S$18*S1062," "),0)</f>
        <v>4687.5</v>
      </c>
      <c r="T1070" s="12">
        <f>IF(T1062&lt;&gt;0,IF(OR(T$19=1,T$20=1),'Assumptions - Infrastructure'!T$18*T1062," "),0)</f>
        <v>4687.5</v>
      </c>
      <c r="U1070" s="12">
        <f>IF(U1062&lt;&gt;0,IF(OR(U$19=1,U$20=1),'Assumptions - Infrastructure'!U$18*U1062," "),0)</f>
        <v>4687.5</v>
      </c>
      <c r="V1070" s="12">
        <f>IF(V1062&lt;&gt;0,IF(OR(V$19=1,V$20=1),'Assumptions - Infrastructure'!V$18*V1062," "),0)</f>
        <v>4687.5</v>
      </c>
      <c r="W1070" s="12">
        <f>IF(W1062&lt;&gt;0,IF(OR(W$19=1,W$20=1),'Assumptions - Infrastructure'!W$18*W1062," "),0)</f>
        <v>4687.5</v>
      </c>
      <c r="X1070" s="12">
        <f>IF(X1062&lt;&gt;0,IF(OR(X$19=1,X$20=1),'Assumptions - Infrastructure'!X$18*X1062," "),0)</f>
        <v>4687.5</v>
      </c>
      <c r="Y1070" s="12">
        <f>IF(Y1062&lt;&gt;0,IF(OR(Y$19=1,Y$20=1),'Assumptions - Infrastructure'!Y$18*Y1062," "),0)</f>
        <v>4687.5</v>
      </c>
      <c r="Z1070" s="12">
        <f>IF(Z1062&lt;&gt;0,IF(OR(Z$19=1,Z$20=1),'Assumptions - Infrastructure'!Z$18*Z1062," "),0)</f>
        <v>4687.5</v>
      </c>
      <c r="AA1070" s="12">
        <f>IF(AA1062&lt;&gt;0,IF(OR(AA$19=1,AA$20=1),'Assumptions - Infrastructure'!AA$18*AA1062," "),0)</f>
        <v>4687.5</v>
      </c>
      <c r="AB1070" s="12">
        <f>IF(AB1062&lt;&gt;0,IF(OR(AB$19=1,AB$20=1),'Assumptions - Infrastructure'!AB$18*AB1062," "),0)</f>
        <v>4687.5</v>
      </c>
      <c r="AC1070" s="12">
        <f>IF(AC1062&lt;&gt;0,IF(OR(AC$19=1,AC$20=1),'Assumptions - Infrastructure'!AC$18*AC1062," "),0)</f>
        <v>4687.5</v>
      </c>
      <c r="AD1070" s="12">
        <f>IF(AD1062&lt;&gt;0,IF(OR(AD$19=1,AD$20=1),'Assumptions - Infrastructure'!AD$18*AD1062," "),0)</f>
        <v>4687.5</v>
      </c>
      <c r="AE1070" s="12">
        <f>IF(AE1062&lt;&gt;0,IF(OR(AE$19=1,AE$20=1),'Assumptions - Infrastructure'!AE$18*AE1062," "),0)</f>
        <v>4687.5</v>
      </c>
      <c r="AF1070" s="12">
        <f>IF(AF1062&lt;&gt;0,IF(OR(AF$19=1,AF$20=1),'Assumptions - Infrastructure'!AF$18*AF1062," "),0)</f>
        <v>4687.5</v>
      </c>
      <c r="AG1070" s="12">
        <f>IF(AG1062&lt;&gt;0,IF(OR(AG$19=1,AG$20=1),'Assumptions - Infrastructure'!AG$18*AG1062," "),0)</f>
        <v>4687.5</v>
      </c>
      <c r="AH1070" s="12">
        <f>IF(AH1062&lt;&gt;0,IF(OR(AH$19=1,AH$20=1),'Assumptions - Infrastructure'!AH$18*AH1062," "),0)</f>
        <v>4687.5</v>
      </c>
    </row>
    <row r="1071" spans="2:34" x14ac:dyDescent="0.2">
      <c r="B1071" s="8" t="str">
        <f>"Diesel traffic volume of " &amp;'Assumptions - Infrastructure'!E126</f>
        <v>Diesel traffic volume of Other companies</v>
      </c>
      <c r="C1071" s="8"/>
      <c r="D1071" s="8" t="str">
        <f t="shared" si="407"/>
        <v>GTK (millions)</v>
      </c>
      <c r="E1071" s="12">
        <f>IF(E1063&lt;&gt;0,IF(OR(E$19=1,E$20=1),'Assumptions - Infrastructure'!E$18*E1063," "),0)</f>
        <v>4166.666666666667</v>
      </c>
      <c r="F1071" s="12">
        <f>IF(F1063&lt;&gt;0,IF(OR(F$19=1,F$20=1),'Assumptions - Infrastructure'!F$18*F1063," "),0)</f>
        <v>4166.666666666667</v>
      </c>
      <c r="G1071" s="12">
        <f>IF(G1063&lt;&gt;0,IF(OR(G$19=1,G$20=1),'Assumptions - Infrastructure'!G$18*G1063," "),0)</f>
        <v>4166.666666666667</v>
      </c>
      <c r="H1071" s="12">
        <f>IF(H1063&lt;&gt;0,IF(OR(H$19=1,H$20=1),'Assumptions - Infrastructure'!H$18*H1063," "),0)</f>
        <v>4166.666666666667</v>
      </c>
      <c r="I1071" s="12">
        <f>IF(I1063&lt;&gt;0,IF(OR(I$19=1,I$20=1),'Assumptions - Infrastructure'!I$18*I1063," "),0)</f>
        <v>4166.666666666667</v>
      </c>
      <c r="J1071" s="12">
        <f>IF(J1063&lt;&gt;0,IF(OR(J$19=1,J$20=1),'Assumptions - Infrastructure'!J$18*J1063," "),0)</f>
        <v>4166.666666666667</v>
      </c>
      <c r="K1071" s="12">
        <f>IF(K1063&lt;&gt;0,IF(OR(K$19=1,K$20=1),'Assumptions - Infrastructure'!K$18*K1063," "),0)</f>
        <v>4687.5</v>
      </c>
      <c r="L1071" s="12">
        <f>IF(L1063&lt;&gt;0,IF(OR(L$19=1,L$20=1),'Assumptions - Infrastructure'!L$18*L1063," "),0)</f>
        <v>4687.5</v>
      </c>
      <c r="M1071" s="12">
        <f>IF(M1063&lt;&gt;0,IF(OR(M$19=1,M$20=1),'Assumptions - Infrastructure'!M$18*M1063," "),0)</f>
        <v>4687.5</v>
      </c>
      <c r="N1071" s="12">
        <f>IF(N1063&lt;&gt;0,IF(OR(N$19=1,N$20=1),'Assumptions - Infrastructure'!N$18*N1063," "),0)</f>
        <v>4687.5</v>
      </c>
      <c r="O1071" s="12">
        <f>IF(O1063&lt;&gt;0,IF(OR(O$19=1,O$20=1),'Assumptions - Infrastructure'!O$18*O1063," "),0)</f>
        <v>4687.5</v>
      </c>
      <c r="P1071" s="12">
        <f>IF(P1063&lt;&gt;0,IF(OR(P$19=1,P$20=1),'Assumptions - Infrastructure'!P$18*P1063," "),0)</f>
        <v>4687.5</v>
      </c>
      <c r="Q1071" s="12">
        <f>IF(Q1063&lt;&gt;0,IF(OR(Q$19=1,Q$20=1),'Assumptions - Infrastructure'!Q$18*Q1063," "),0)</f>
        <v>4687.5</v>
      </c>
      <c r="R1071" s="12">
        <f>IF(R1063&lt;&gt;0,IF(OR(R$19=1,R$20=1),'Assumptions - Infrastructure'!R$18*R1063," "),0)</f>
        <v>4687.5</v>
      </c>
      <c r="S1071" s="12">
        <f>IF(S1063&lt;&gt;0,IF(OR(S$19=1,S$20=1),'Assumptions - Infrastructure'!S$18*S1063," "),0)</f>
        <v>4687.5</v>
      </c>
      <c r="T1071" s="12">
        <f>IF(T1063&lt;&gt;0,IF(OR(T$19=1,T$20=1),'Assumptions - Infrastructure'!T$18*T1063," "),0)</f>
        <v>4687.5</v>
      </c>
      <c r="U1071" s="12">
        <f>IF(U1063&lt;&gt;0,IF(OR(U$19=1,U$20=1),'Assumptions - Infrastructure'!U$18*U1063," "),0)</f>
        <v>4687.5</v>
      </c>
      <c r="V1071" s="12">
        <f>IF(V1063&lt;&gt;0,IF(OR(V$19=1,V$20=1),'Assumptions - Infrastructure'!V$18*V1063," "),0)</f>
        <v>4687.5</v>
      </c>
      <c r="W1071" s="12">
        <f>IF(W1063&lt;&gt;0,IF(OR(W$19=1,W$20=1),'Assumptions - Infrastructure'!W$18*W1063," "),0)</f>
        <v>4687.5</v>
      </c>
      <c r="X1071" s="12">
        <f>IF(X1063&lt;&gt;0,IF(OR(X$19=1,X$20=1),'Assumptions - Infrastructure'!X$18*X1063," "),0)</f>
        <v>4687.5</v>
      </c>
      <c r="Y1071" s="12">
        <f>IF(Y1063&lt;&gt;0,IF(OR(Y$19=1,Y$20=1),'Assumptions - Infrastructure'!Y$18*Y1063," "),0)</f>
        <v>4687.5</v>
      </c>
      <c r="Z1071" s="12">
        <f>IF(Z1063&lt;&gt;0,IF(OR(Z$19=1,Z$20=1),'Assumptions - Infrastructure'!Z$18*Z1063," "),0)</f>
        <v>4687.5</v>
      </c>
      <c r="AA1071" s="12">
        <f>IF(AA1063&lt;&gt;0,IF(OR(AA$19=1,AA$20=1),'Assumptions - Infrastructure'!AA$18*AA1063," "),0)</f>
        <v>4687.5</v>
      </c>
      <c r="AB1071" s="12">
        <f>IF(AB1063&lt;&gt;0,IF(OR(AB$19=1,AB$20=1),'Assumptions - Infrastructure'!AB$18*AB1063," "),0)</f>
        <v>4687.5</v>
      </c>
      <c r="AC1071" s="12">
        <f>IF(AC1063&lt;&gt;0,IF(OR(AC$19=1,AC$20=1),'Assumptions - Infrastructure'!AC$18*AC1063," "),0)</f>
        <v>4687.5</v>
      </c>
      <c r="AD1071" s="12">
        <f>IF(AD1063&lt;&gt;0,IF(OR(AD$19=1,AD$20=1),'Assumptions - Infrastructure'!AD$18*AD1063," "),0)</f>
        <v>4687.5</v>
      </c>
      <c r="AE1071" s="12">
        <f>IF(AE1063&lt;&gt;0,IF(OR(AE$19=1,AE$20=1),'Assumptions - Infrastructure'!AE$18*AE1063," "),0)</f>
        <v>4687.5</v>
      </c>
      <c r="AF1071" s="12">
        <f>IF(AF1063&lt;&gt;0,IF(OR(AF$19=1,AF$20=1),'Assumptions - Infrastructure'!AF$18*AF1063," "),0)</f>
        <v>4687.5</v>
      </c>
      <c r="AG1071" s="12">
        <f>IF(AG1063&lt;&gt;0,IF(OR(AG$19=1,AG$20=1),'Assumptions - Infrastructure'!AG$18*AG1063," "),0)</f>
        <v>4687.5</v>
      </c>
      <c r="AH1071" s="12">
        <f>IF(AH1063&lt;&gt;0,IF(OR(AH$19=1,AH$20=1),'Assumptions - Infrastructure'!AH$18*AH1063," "),0)</f>
        <v>4687.5</v>
      </c>
    </row>
    <row r="1072" spans="2:34" x14ac:dyDescent="0.2">
      <c r="B1072" s="30" t="s">
        <v>460</v>
      </c>
      <c r="C1072" s="8"/>
      <c r="D1072" s="8" t="str">
        <f t="shared" si="407"/>
        <v>GTK (millions)</v>
      </c>
      <c r="E1072" s="12">
        <f>IF(OR(E$19=1,E$20=1),SUM(E1066:E1071)," ")</f>
        <v>25000.000000000004</v>
      </c>
      <c r="F1072" s="12">
        <f t="shared" ref="F1072:AH1072" si="408">IF(OR(F$19=1,F$20=1),SUM(F1066:F1071)," ")</f>
        <v>25000.000000000004</v>
      </c>
      <c r="G1072" s="12">
        <f t="shared" si="408"/>
        <v>25000.000000000004</v>
      </c>
      <c r="H1072" s="12">
        <f t="shared" si="408"/>
        <v>25000.000000000004</v>
      </c>
      <c r="I1072" s="12">
        <f t="shared" si="408"/>
        <v>25000.000000000004</v>
      </c>
      <c r="J1072" s="12">
        <f t="shared" si="408"/>
        <v>25000.000000000004</v>
      </c>
      <c r="K1072" s="12">
        <f t="shared" si="408"/>
        <v>28125</v>
      </c>
      <c r="L1072" s="12">
        <f t="shared" si="408"/>
        <v>28125</v>
      </c>
      <c r="M1072" s="12">
        <f t="shared" si="408"/>
        <v>28125</v>
      </c>
      <c r="N1072" s="12">
        <f t="shared" si="408"/>
        <v>28125</v>
      </c>
      <c r="O1072" s="12">
        <f t="shared" si="408"/>
        <v>28125</v>
      </c>
      <c r="P1072" s="12">
        <f t="shared" si="408"/>
        <v>28125</v>
      </c>
      <c r="Q1072" s="12">
        <f t="shared" si="408"/>
        <v>28125</v>
      </c>
      <c r="R1072" s="12">
        <f t="shared" si="408"/>
        <v>28125</v>
      </c>
      <c r="S1072" s="12">
        <f t="shared" si="408"/>
        <v>28125</v>
      </c>
      <c r="T1072" s="12">
        <f t="shared" si="408"/>
        <v>28125</v>
      </c>
      <c r="U1072" s="12">
        <f t="shared" si="408"/>
        <v>28125</v>
      </c>
      <c r="V1072" s="12">
        <f t="shared" si="408"/>
        <v>28125</v>
      </c>
      <c r="W1072" s="12">
        <f t="shared" si="408"/>
        <v>28125</v>
      </c>
      <c r="X1072" s="12">
        <f t="shared" si="408"/>
        <v>28125</v>
      </c>
      <c r="Y1072" s="12">
        <f t="shared" si="408"/>
        <v>28125</v>
      </c>
      <c r="Z1072" s="12">
        <f t="shared" si="408"/>
        <v>28125</v>
      </c>
      <c r="AA1072" s="12">
        <f t="shared" si="408"/>
        <v>28125</v>
      </c>
      <c r="AB1072" s="12">
        <f t="shared" si="408"/>
        <v>28125</v>
      </c>
      <c r="AC1072" s="12">
        <f t="shared" si="408"/>
        <v>28125</v>
      </c>
      <c r="AD1072" s="12">
        <f t="shared" si="408"/>
        <v>28125</v>
      </c>
      <c r="AE1072" s="12">
        <f t="shared" si="408"/>
        <v>28125</v>
      </c>
      <c r="AF1072" s="12">
        <f t="shared" si="408"/>
        <v>28125</v>
      </c>
      <c r="AG1072" s="12">
        <f t="shared" si="408"/>
        <v>28125</v>
      </c>
      <c r="AH1072" s="12">
        <f t="shared" si="408"/>
        <v>28125</v>
      </c>
    </row>
    <row r="1073" spans="1:34" x14ac:dyDescent="0.2">
      <c r="B1073" s="14"/>
      <c r="C1073" s="8"/>
      <c r="D1073" s="8"/>
      <c r="E1073" s="12"/>
      <c r="F1073" s="12"/>
      <c r="G1073" s="12"/>
      <c r="H1073" s="12"/>
      <c r="I1073" s="12"/>
      <c r="J1073" s="12"/>
      <c r="K1073" s="12"/>
      <c r="L1073" s="12"/>
      <c r="M1073" s="12"/>
      <c r="N1073" s="12"/>
      <c r="O1073" s="12"/>
      <c r="P1073" s="12"/>
      <c r="Q1073" s="12"/>
      <c r="R1073" s="12"/>
      <c r="S1073" s="12"/>
      <c r="T1073" s="12"/>
      <c r="U1073" s="12"/>
      <c r="V1073" s="12"/>
      <c r="W1073" s="12"/>
      <c r="X1073" s="12"/>
      <c r="Y1073" s="12"/>
      <c r="Z1073" s="12"/>
      <c r="AA1073" s="12"/>
      <c r="AB1073" s="12"/>
      <c r="AC1073" s="12"/>
      <c r="AD1073" s="12"/>
      <c r="AE1073" s="12"/>
      <c r="AF1073" s="12"/>
      <c r="AG1073" s="12"/>
      <c r="AH1073" s="12"/>
    </row>
    <row r="1074" spans="1:34" x14ac:dyDescent="0.2">
      <c r="B1074" s="8" t="str">
        <f>"Electric traffic volume of " &amp;'Assumptions - Infrastructure'!E121</f>
        <v>Electric traffic volume of Freight company 1</v>
      </c>
      <c r="C1074" s="8"/>
      <c r="D1074" s="8" t="s">
        <v>286</v>
      </c>
      <c r="E1074" s="12">
        <f t="shared" ref="E1074:E1079" si="409">IF(E1058&lt;&gt;0,IF(OR(E$19=1,E$20=1),E1058-E1066," "),0)</f>
        <v>4166.666666666667</v>
      </c>
      <c r="F1074" s="12">
        <f t="shared" ref="F1074:AH1074" si="410">IF(F1058&lt;&gt;0,IF(OR(F$19=1,F$20=1),F1058-F1066," "),0)</f>
        <v>4166.666666666667</v>
      </c>
      <c r="G1074" s="12">
        <f t="shared" si="410"/>
        <v>4166.666666666667</v>
      </c>
      <c r="H1074" s="12">
        <f t="shared" si="410"/>
        <v>4166.666666666667</v>
      </c>
      <c r="I1074" s="12">
        <f t="shared" si="410"/>
        <v>4166.666666666667</v>
      </c>
      <c r="J1074" s="12">
        <f t="shared" si="410"/>
        <v>4166.666666666667</v>
      </c>
      <c r="K1074" s="12">
        <f t="shared" si="410"/>
        <v>4687.5</v>
      </c>
      <c r="L1074" s="12">
        <f t="shared" si="410"/>
        <v>4687.5</v>
      </c>
      <c r="M1074" s="12">
        <f t="shared" si="410"/>
        <v>4687.5</v>
      </c>
      <c r="N1074" s="12">
        <f t="shared" si="410"/>
        <v>4687.5</v>
      </c>
      <c r="O1074" s="12">
        <f t="shared" si="410"/>
        <v>4687.5</v>
      </c>
      <c r="P1074" s="12">
        <f t="shared" si="410"/>
        <v>4687.5</v>
      </c>
      <c r="Q1074" s="12">
        <f t="shared" si="410"/>
        <v>4687.5</v>
      </c>
      <c r="R1074" s="12">
        <f t="shared" si="410"/>
        <v>4687.5</v>
      </c>
      <c r="S1074" s="12">
        <f t="shared" si="410"/>
        <v>4687.5</v>
      </c>
      <c r="T1074" s="12">
        <f t="shared" si="410"/>
        <v>4687.5</v>
      </c>
      <c r="U1074" s="12">
        <f t="shared" si="410"/>
        <v>4687.5</v>
      </c>
      <c r="V1074" s="12">
        <f t="shared" si="410"/>
        <v>4687.5</v>
      </c>
      <c r="W1074" s="12">
        <f t="shared" si="410"/>
        <v>4687.5</v>
      </c>
      <c r="X1074" s="12">
        <f t="shared" si="410"/>
        <v>4687.5</v>
      </c>
      <c r="Y1074" s="12">
        <f t="shared" si="410"/>
        <v>4687.5</v>
      </c>
      <c r="Z1074" s="12">
        <f t="shared" si="410"/>
        <v>4687.5</v>
      </c>
      <c r="AA1074" s="12">
        <f t="shared" si="410"/>
        <v>4687.5</v>
      </c>
      <c r="AB1074" s="12">
        <f t="shared" si="410"/>
        <v>4687.5</v>
      </c>
      <c r="AC1074" s="12">
        <f t="shared" si="410"/>
        <v>4687.5</v>
      </c>
      <c r="AD1074" s="12">
        <f t="shared" si="410"/>
        <v>4687.5</v>
      </c>
      <c r="AE1074" s="12">
        <f t="shared" si="410"/>
        <v>4687.5</v>
      </c>
      <c r="AF1074" s="12">
        <f t="shared" si="410"/>
        <v>4687.5</v>
      </c>
      <c r="AG1074" s="12">
        <f t="shared" si="410"/>
        <v>4687.5</v>
      </c>
      <c r="AH1074" s="12">
        <f t="shared" si="410"/>
        <v>4687.5</v>
      </c>
    </row>
    <row r="1075" spans="1:34" x14ac:dyDescent="0.2">
      <c r="B1075" s="8" t="str">
        <f>"Electric traffic volume of " &amp;'Assumptions - Infrastructure'!E122</f>
        <v>Electric traffic volume of Freight company 2</v>
      </c>
      <c r="C1075" s="8"/>
      <c r="D1075" s="8" t="str">
        <f t="shared" ref="D1075:D1080" si="411">D1074</f>
        <v>GTK (millions)</v>
      </c>
      <c r="E1075" s="12">
        <f t="shared" si="409"/>
        <v>4166.666666666667</v>
      </c>
      <c r="F1075" s="12">
        <f t="shared" ref="F1075:AH1075" si="412">IF(F1059&lt;&gt;0,IF(OR(F$19=1,F$20=1),F1059-F1067," "),0)</f>
        <v>4166.666666666667</v>
      </c>
      <c r="G1075" s="12">
        <f t="shared" si="412"/>
        <v>4166.666666666667</v>
      </c>
      <c r="H1075" s="12">
        <f t="shared" si="412"/>
        <v>4166.666666666667</v>
      </c>
      <c r="I1075" s="12">
        <f t="shared" si="412"/>
        <v>4166.666666666667</v>
      </c>
      <c r="J1075" s="12">
        <f t="shared" si="412"/>
        <v>4166.666666666667</v>
      </c>
      <c r="K1075" s="12">
        <f t="shared" si="412"/>
        <v>4687.5</v>
      </c>
      <c r="L1075" s="12">
        <f t="shared" si="412"/>
        <v>4687.5</v>
      </c>
      <c r="M1075" s="12">
        <f t="shared" si="412"/>
        <v>4687.5</v>
      </c>
      <c r="N1075" s="12">
        <f t="shared" si="412"/>
        <v>4687.5</v>
      </c>
      <c r="O1075" s="12">
        <f t="shared" si="412"/>
        <v>4687.5</v>
      </c>
      <c r="P1075" s="12">
        <f t="shared" si="412"/>
        <v>4687.5</v>
      </c>
      <c r="Q1075" s="12">
        <f t="shared" si="412"/>
        <v>4687.5</v>
      </c>
      <c r="R1075" s="12">
        <f t="shared" si="412"/>
        <v>4687.5</v>
      </c>
      <c r="S1075" s="12">
        <f t="shared" si="412"/>
        <v>4687.5</v>
      </c>
      <c r="T1075" s="12">
        <f t="shared" si="412"/>
        <v>4687.5</v>
      </c>
      <c r="U1075" s="12">
        <f t="shared" si="412"/>
        <v>4687.5</v>
      </c>
      <c r="V1075" s="12">
        <f t="shared" si="412"/>
        <v>4687.5</v>
      </c>
      <c r="W1075" s="12">
        <f t="shared" si="412"/>
        <v>4687.5</v>
      </c>
      <c r="X1075" s="12">
        <f t="shared" si="412"/>
        <v>4687.5</v>
      </c>
      <c r="Y1075" s="12">
        <f t="shared" si="412"/>
        <v>4687.5</v>
      </c>
      <c r="Z1075" s="12">
        <f t="shared" si="412"/>
        <v>4687.5</v>
      </c>
      <c r="AA1075" s="12">
        <f t="shared" si="412"/>
        <v>4687.5</v>
      </c>
      <c r="AB1075" s="12">
        <f t="shared" si="412"/>
        <v>4687.5</v>
      </c>
      <c r="AC1075" s="12">
        <f t="shared" si="412"/>
        <v>4687.5</v>
      </c>
      <c r="AD1075" s="12">
        <f t="shared" si="412"/>
        <v>4687.5</v>
      </c>
      <c r="AE1075" s="12">
        <f t="shared" si="412"/>
        <v>4687.5</v>
      </c>
      <c r="AF1075" s="12">
        <f t="shared" si="412"/>
        <v>4687.5</v>
      </c>
      <c r="AG1075" s="12">
        <f t="shared" si="412"/>
        <v>4687.5</v>
      </c>
      <c r="AH1075" s="12">
        <f t="shared" si="412"/>
        <v>4687.5</v>
      </c>
    </row>
    <row r="1076" spans="1:34" x14ac:dyDescent="0.2">
      <c r="B1076" s="8" t="str">
        <f>"Electric traffic volume of " &amp;'Assumptions - Infrastructure'!E123</f>
        <v>Electric traffic volume of Freight company 3</v>
      </c>
      <c r="C1076" s="8"/>
      <c r="D1076" s="8" t="str">
        <f t="shared" si="411"/>
        <v>GTK (millions)</v>
      </c>
      <c r="E1076" s="12">
        <f t="shared" si="409"/>
        <v>4166.666666666667</v>
      </c>
      <c r="F1076" s="12">
        <f t="shared" ref="F1076:AH1076" si="413">IF(F1060&lt;&gt;0,IF(OR(F$19=1,F$20=1),F1060-F1068," "),0)</f>
        <v>4166.666666666667</v>
      </c>
      <c r="G1076" s="12">
        <f t="shared" si="413"/>
        <v>4166.666666666667</v>
      </c>
      <c r="H1076" s="12">
        <f t="shared" si="413"/>
        <v>4166.666666666667</v>
      </c>
      <c r="I1076" s="12">
        <f t="shared" si="413"/>
        <v>4166.666666666667</v>
      </c>
      <c r="J1076" s="12">
        <f t="shared" si="413"/>
        <v>4166.666666666667</v>
      </c>
      <c r="K1076" s="12">
        <f t="shared" si="413"/>
        <v>4687.5</v>
      </c>
      <c r="L1076" s="12">
        <f t="shared" si="413"/>
        <v>4687.5</v>
      </c>
      <c r="M1076" s="12">
        <f t="shared" si="413"/>
        <v>4687.5</v>
      </c>
      <c r="N1076" s="12">
        <f t="shared" si="413"/>
        <v>4687.5</v>
      </c>
      <c r="O1076" s="12">
        <f t="shared" si="413"/>
        <v>4687.5</v>
      </c>
      <c r="P1076" s="12">
        <f t="shared" si="413"/>
        <v>4687.5</v>
      </c>
      <c r="Q1076" s="12">
        <f t="shared" si="413"/>
        <v>4687.5</v>
      </c>
      <c r="R1076" s="12">
        <f t="shared" si="413"/>
        <v>4687.5</v>
      </c>
      <c r="S1076" s="12">
        <f t="shared" si="413"/>
        <v>4687.5</v>
      </c>
      <c r="T1076" s="12">
        <f t="shared" si="413"/>
        <v>4687.5</v>
      </c>
      <c r="U1076" s="12">
        <f t="shared" si="413"/>
        <v>4687.5</v>
      </c>
      <c r="V1076" s="12">
        <f t="shared" si="413"/>
        <v>4687.5</v>
      </c>
      <c r="W1076" s="12">
        <f t="shared" si="413"/>
        <v>4687.5</v>
      </c>
      <c r="X1076" s="12">
        <f t="shared" si="413"/>
        <v>4687.5</v>
      </c>
      <c r="Y1076" s="12">
        <f t="shared" si="413"/>
        <v>4687.5</v>
      </c>
      <c r="Z1076" s="12">
        <f t="shared" si="413"/>
        <v>4687.5</v>
      </c>
      <c r="AA1076" s="12">
        <f t="shared" si="413"/>
        <v>4687.5</v>
      </c>
      <c r="AB1076" s="12">
        <f t="shared" si="413"/>
        <v>4687.5</v>
      </c>
      <c r="AC1076" s="12">
        <f t="shared" si="413"/>
        <v>4687.5</v>
      </c>
      <c r="AD1076" s="12">
        <f t="shared" si="413"/>
        <v>4687.5</v>
      </c>
      <c r="AE1076" s="12">
        <f t="shared" si="413"/>
        <v>4687.5</v>
      </c>
      <c r="AF1076" s="12">
        <f t="shared" si="413"/>
        <v>4687.5</v>
      </c>
      <c r="AG1076" s="12">
        <f t="shared" si="413"/>
        <v>4687.5</v>
      </c>
      <c r="AH1076" s="12">
        <f t="shared" si="413"/>
        <v>4687.5</v>
      </c>
    </row>
    <row r="1077" spans="1:34" x14ac:dyDescent="0.2">
      <c r="B1077" s="8" t="str">
        <f>"Electric traffic volume of " &amp;'Assumptions - Infrastructure'!E124</f>
        <v>Electric traffic volume of Freight company 4</v>
      </c>
      <c r="C1077" s="8"/>
      <c r="D1077" s="8" t="str">
        <f t="shared" si="411"/>
        <v>GTK (millions)</v>
      </c>
      <c r="E1077" s="12">
        <f t="shared" si="409"/>
        <v>4166.666666666667</v>
      </c>
      <c r="F1077" s="12">
        <f t="shared" ref="F1077:AH1077" si="414">IF(F1061&lt;&gt;0,IF(OR(F$19=1,F$20=1),F1061-F1069," "),0)</f>
        <v>4166.666666666667</v>
      </c>
      <c r="G1077" s="12">
        <f t="shared" si="414"/>
        <v>4166.666666666667</v>
      </c>
      <c r="H1077" s="12">
        <f t="shared" si="414"/>
        <v>4166.666666666667</v>
      </c>
      <c r="I1077" s="12">
        <f t="shared" si="414"/>
        <v>4166.666666666667</v>
      </c>
      <c r="J1077" s="12">
        <f t="shared" si="414"/>
        <v>4166.666666666667</v>
      </c>
      <c r="K1077" s="12">
        <f t="shared" si="414"/>
        <v>4687.5</v>
      </c>
      <c r="L1077" s="12">
        <f t="shared" si="414"/>
        <v>4687.5</v>
      </c>
      <c r="M1077" s="12">
        <f t="shared" si="414"/>
        <v>4687.5</v>
      </c>
      <c r="N1077" s="12">
        <f t="shared" si="414"/>
        <v>4687.5</v>
      </c>
      <c r="O1077" s="12">
        <f t="shared" si="414"/>
        <v>4687.5</v>
      </c>
      <c r="P1077" s="12">
        <f t="shared" si="414"/>
        <v>4687.5</v>
      </c>
      <c r="Q1077" s="12">
        <f t="shared" si="414"/>
        <v>4687.5</v>
      </c>
      <c r="R1077" s="12">
        <f t="shared" si="414"/>
        <v>4687.5</v>
      </c>
      <c r="S1077" s="12">
        <f t="shared" si="414"/>
        <v>4687.5</v>
      </c>
      <c r="T1077" s="12">
        <f t="shared" si="414"/>
        <v>4687.5</v>
      </c>
      <c r="U1077" s="12">
        <f t="shared" si="414"/>
        <v>4687.5</v>
      </c>
      <c r="V1077" s="12">
        <f t="shared" si="414"/>
        <v>4687.5</v>
      </c>
      <c r="W1077" s="12">
        <f t="shared" si="414"/>
        <v>4687.5</v>
      </c>
      <c r="X1077" s="12">
        <f t="shared" si="414"/>
        <v>4687.5</v>
      </c>
      <c r="Y1077" s="12">
        <f t="shared" si="414"/>
        <v>4687.5</v>
      </c>
      <c r="Z1077" s="12">
        <f t="shared" si="414"/>
        <v>4687.5</v>
      </c>
      <c r="AA1077" s="12">
        <f t="shared" si="414"/>
        <v>4687.5</v>
      </c>
      <c r="AB1077" s="12">
        <f t="shared" si="414"/>
        <v>4687.5</v>
      </c>
      <c r="AC1077" s="12">
        <f t="shared" si="414"/>
        <v>4687.5</v>
      </c>
      <c r="AD1077" s="12">
        <f t="shared" si="414"/>
        <v>4687.5</v>
      </c>
      <c r="AE1077" s="12">
        <f t="shared" si="414"/>
        <v>4687.5</v>
      </c>
      <c r="AF1077" s="12">
        <f t="shared" si="414"/>
        <v>4687.5</v>
      </c>
      <c r="AG1077" s="12">
        <f t="shared" si="414"/>
        <v>4687.5</v>
      </c>
      <c r="AH1077" s="12">
        <f t="shared" si="414"/>
        <v>4687.5</v>
      </c>
    </row>
    <row r="1078" spans="1:34" x14ac:dyDescent="0.2">
      <c r="B1078" s="8" t="str">
        <f>"Electric traffic volume of " &amp;'Assumptions - Infrastructure'!E125</f>
        <v>Electric traffic volume of Freight company 5</v>
      </c>
      <c r="C1078" s="8"/>
      <c r="D1078" s="8" t="str">
        <f t="shared" si="411"/>
        <v>GTK (millions)</v>
      </c>
      <c r="E1078" s="12">
        <f t="shared" si="409"/>
        <v>4166.666666666667</v>
      </c>
      <c r="F1078" s="12">
        <f t="shared" ref="F1078:AH1078" si="415">IF(F1062&lt;&gt;0,IF(OR(F$19=1,F$20=1),F1062-F1070," "),0)</f>
        <v>4166.666666666667</v>
      </c>
      <c r="G1078" s="12">
        <f t="shared" si="415"/>
        <v>4166.666666666667</v>
      </c>
      <c r="H1078" s="12">
        <f t="shared" si="415"/>
        <v>4166.666666666667</v>
      </c>
      <c r="I1078" s="12">
        <f t="shared" si="415"/>
        <v>4166.666666666667</v>
      </c>
      <c r="J1078" s="12">
        <f t="shared" si="415"/>
        <v>4166.666666666667</v>
      </c>
      <c r="K1078" s="12">
        <f t="shared" si="415"/>
        <v>4687.5</v>
      </c>
      <c r="L1078" s="12">
        <f t="shared" si="415"/>
        <v>4687.5</v>
      </c>
      <c r="M1078" s="12">
        <f t="shared" si="415"/>
        <v>4687.5</v>
      </c>
      <c r="N1078" s="12">
        <f t="shared" si="415"/>
        <v>4687.5</v>
      </c>
      <c r="O1078" s="12">
        <f t="shared" si="415"/>
        <v>4687.5</v>
      </c>
      <c r="P1078" s="12">
        <f t="shared" si="415"/>
        <v>4687.5</v>
      </c>
      <c r="Q1078" s="12">
        <f t="shared" si="415"/>
        <v>4687.5</v>
      </c>
      <c r="R1078" s="12">
        <f t="shared" si="415"/>
        <v>4687.5</v>
      </c>
      <c r="S1078" s="12">
        <f t="shared" si="415"/>
        <v>4687.5</v>
      </c>
      <c r="T1078" s="12">
        <f t="shared" si="415"/>
        <v>4687.5</v>
      </c>
      <c r="U1078" s="12">
        <f t="shared" si="415"/>
        <v>4687.5</v>
      </c>
      <c r="V1078" s="12">
        <f t="shared" si="415"/>
        <v>4687.5</v>
      </c>
      <c r="W1078" s="12">
        <f t="shared" si="415"/>
        <v>4687.5</v>
      </c>
      <c r="X1078" s="12">
        <f t="shared" si="415"/>
        <v>4687.5</v>
      </c>
      <c r="Y1078" s="12">
        <f t="shared" si="415"/>
        <v>4687.5</v>
      </c>
      <c r="Z1078" s="12">
        <f t="shared" si="415"/>
        <v>4687.5</v>
      </c>
      <c r="AA1078" s="12">
        <f t="shared" si="415"/>
        <v>4687.5</v>
      </c>
      <c r="AB1078" s="12">
        <f t="shared" si="415"/>
        <v>4687.5</v>
      </c>
      <c r="AC1078" s="12">
        <f t="shared" si="415"/>
        <v>4687.5</v>
      </c>
      <c r="AD1078" s="12">
        <f t="shared" si="415"/>
        <v>4687.5</v>
      </c>
      <c r="AE1078" s="12">
        <f t="shared" si="415"/>
        <v>4687.5</v>
      </c>
      <c r="AF1078" s="12">
        <f t="shared" si="415"/>
        <v>4687.5</v>
      </c>
      <c r="AG1078" s="12">
        <f t="shared" si="415"/>
        <v>4687.5</v>
      </c>
      <c r="AH1078" s="12">
        <f t="shared" si="415"/>
        <v>4687.5</v>
      </c>
    </row>
    <row r="1079" spans="1:34" x14ac:dyDescent="0.2">
      <c r="B1079" s="8" t="str">
        <f>"Electric traffic volume of " &amp;'Assumptions - Infrastructure'!E126</f>
        <v>Electric traffic volume of Other companies</v>
      </c>
      <c r="C1079" s="8"/>
      <c r="D1079" s="8" t="str">
        <f t="shared" si="411"/>
        <v>GTK (millions)</v>
      </c>
      <c r="E1079" s="12">
        <f t="shared" si="409"/>
        <v>4166.666666666667</v>
      </c>
      <c r="F1079" s="12">
        <f t="shared" ref="F1079:AH1079" si="416">IF(F1063&lt;&gt;0,IF(OR(F$19=1,F$20=1),F1063-F1071," "),0)</f>
        <v>4166.666666666667</v>
      </c>
      <c r="G1079" s="12">
        <f t="shared" si="416"/>
        <v>4166.666666666667</v>
      </c>
      <c r="H1079" s="12">
        <f t="shared" si="416"/>
        <v>4166.666666666667</v>
      </c>
      <c r="I1079" s="12">
        <f t="shared" si="416"/>
        <v>4166.666666666667</v>
      </c>
      <c r="J1079" s="12">
        <f t="shared" si="416"/>
        <v>4166.666666666667</v>
      </c>
      <c r="K1079" s="12">
        <f t="shared" si="416"/>
        <v>4687.5</v>
      </c>
      <c r="L1079" s="12">
        <f t="shared" si="416"/>
        <v>4687.5</v>
      </c>
      <c r="M1079" s="12">
        <f t="shared" si="416"/>
        <v>4687.5</v>
      </c>
      <c r="N1079" s="12">
        <f t="shared" si="416"/>
        <v>4687.5</v>
      </c>
      <c r="O1079" s="12">
        <f t="shared" si="416"/>
        <v>4687.5</v>
      </c>
      <c r="P1079" s="12">
        <f t="shared" si="416"/>
        <v>4687.5</v>
      </c>
      <c r="Q1079" s="12">
        <f t="shared" si="416"/>
        <v>4687.5</v>
      </c>
      <c r="R1079" s="12">
        <f t="shared" si="416"/>
        <v>4687.5</v>
      </c>
      <c r="S1079" s="12">
        <f t="shared" si="416"/>
        <v>4687.5</v>
      </c>
      <c r="T1079" s="12">
        <f t="shared" si="416"/>
        <v>4687.5</v>
      </c>
      <c r="U1079" s="12">
        <f t="shared" si="416"/>
        <v>4687.5</v>
      </c>
      <c r="V1079" s="12">
        <f t="shared" si="416"/>
        <v>4687.5</v>
      </c>
      <c r="W1079" s="12">
        <f t="shared" si="416"/>
        <v>4687.5</v>
      </c>
      <c r="X1079" s="12">
        <f t="shared" si="416"/>
        <v>4687.5</v>
      </c>
      <c r="Y1079" s="12">
        <f t="shared" si="416"/>
        <v>4687.5</v>
      </c>
      <c r="Z1079" s="12">
        <f t="shared" si="416"/>
        <v>4687.5</v>
      </c>
      <c r="AA1079" s="12">
        <f t="shared" si="416"/>
        <v>4687.5</v>
      </c>
      <c r="AB1079" s="12">
        <f t="shared" si="416"/>
        <v>4687.5</v>
      </c>
      <c r="AC1079" s="12">
        <f t="shared" si="416"/>
        <v>4687.5</v>
      </c>
      <c r="AD1079" s="12">
        <f t="shared" si="416"/>
        <v>4687.5</v>
      </c>
      <c r="AE1079" s="12">
        <f t="shared" si="416"/>
        <v>4687.5</v>
      </c>
      <c r="AF1079" s="12">
        <f t="shared" si="416"/>
        <v>4687.5</v>
      </c>
      <c r="AG1079" s="12">
        <f t="shared" si="416"/>
        <v>4687.5</v>
      </c>
      <c r="AH1079" s="12">
        <f t="shared" si="416"/>
        <v>4687.5</v>
      </c>
    </row>
    <row r="1080" spans="1:34" x14ac:dyDescent="0.2">
      <c r="B1080" s="30" t="s">
        <v>460</v>
      </c>
      <c r="C1080" s="8"/>
      <c r="D1080" s="8" t="str">
        <f t="shared" si="411"/>
        <v>GTK (millions)</v>
      </c>
      <c r="E1080" s="12">
        <f>IF(OR(E$19=1,E$20=1),SUM(E1074:E1079)," ")</f>
        <v>25000.000000000004</v>
      </c>
      <c r="F1080" s="12">
        <f t="shared" ref="F1080:AH1080" si="417">IF(OR(F$19=1,F$20=1),SUM(F1074:F1079)," ")</f>
        <v>25000.000000000004</v>
      </c>
      <c r="G1080" s="12">
        <f t="shared" si="417"/>
        <v>25000.000000000004</v>
      </c>
      <c r="H1080" s="12">
        <f t="shared" si="417"/>
        <v>25000.000000000004</v>
      </c>
      <c r="I1080" s="12">
        <f t="shared" si="417"/>
        <v>25000.000000000004</v>
      </c>
      <c r="J1080" s="12">
        <f t="shared" si="417"/>
        <v>25000.000000000004</v>
      </c>
      <c r="K1080" s="12">
        <f t="shared" si="417"/>
        <v>28125</v>
      </c>
      <c r="L1080" s="12">
        <f t="shared" si="417"/>
        <v>28125</v>
      </c>
      <c r="M1080" s="12">
        <f t="shared" si="417"/>
        <v>28125</v>
      </c>
      <c r="N1080" s="12">
        <f t="shared" si="417"/>
        <v>28125</v>
      </c>
      <c r="O1080" s="12">
        <f t="shared" si="417"/>
        <v>28125</v>
      </c>
      <c r="P1080" s="12">
        <f t="shared" si="417"/>
        <v>28125</v>
      </c>
      <c r="Q1080" s="12">
        <f t="shared" si="417"/>
        <v>28125</v>
      </c>
      <c r="R1080" s="12">
        <f t="shared" si="417"/>
        <v>28125</v>
      </c>
      <c r="S1080" s="12">
        <f t="shared" si="417"/>
        <v>28125</v>
      </c>
      <c r="T1080" s="12">
        <f t="shared" si="417"/>
        <v>28125</v>
      </c>
      <c r="U1080" s="12">
        <f t="shared" si="417"/>
        <v>28125</v>
      </c>
      <c r="V1080" s="12">
        <f t="shared" si="417"/>
        <v>28125</v>
      </c>
      <c r="W1080" s="12">
        <f t="shared" si="417"/>
        <v>28125</v>
      </c>
      <c r="X1080" s="12">
        <f t="shared" si="417"/>
        <v>28125</v>
      </c>
      <c r="Y1080" s="12">
        <f t="shared" si="417"/>
        <v>28125</v>
      </c>
      <c r="Z1080" s="12">
        <f t="shared" si="417"/>
        <v>28125</v>
      </c>
      <c r="AA1080" s="12">
        <f t="shared" si="417"/>
        <v>28125</v>
      </c>
      <c r="AB1080" s="12">
        <f t="shared" si="417"/>
        <v>28125</v>
      </c>
      <c r="AC1080" s="12">
        <f t="shared" si="417"/>
        <v>28125</v>
      </c>
      <c r="AD1080" s="12">
        <f t="shared" si="417"/>
        <v>28125</v>
      </c>
      <c r="AE1080" s="12">
        <f t="shared" si="417"/>
        <v>28125</v>
      </c>
      <c r="AF1080" s="12">
        <f t="shared" si="417"/>
        <v>28125</v>
      </c>
      <c r="AG1080" s="12">
        <f t="shared" si="417"/>
        <v>28125</v>
      </c>
      <c r="AH1080" s="12">
        <f t="shared" si="417"/>
        <v>28125</v>
      </c>
    </row>
    <row r="1081" spans="1:34" x14ac:dyDescent="0.2">
      <c r="B1081" s="30"/>
      <c r="C1081" s="8"/>
      <c r="D1081" s="8"/>
      <c r="E1081" s="12"/>
      <c r="F1081" s="12"/>
      <c r="G1081" s="12"/>
      <c r="H1081" s="12"/>
      <c r="I1081" s="12"/>
      <c r="J1081" s="12"/>
      <c r="K1081" s="12"/>
      <c r="L1081" s="12"/>
      <c r="M1081" s="12"/>
      <c r="N1081" s="12"/>
      <c r="O1081" s="12"/>
      <c r="P1081" s="12"/>
      <c r="Q1081" s="12"/>
      <c r="R1081" s="12"/>
      <c r="S1081" s="12"/>
      <c r="T1081" s="12"/>
      <c r="U1081" s="12"/>
      <c r="V1081" s="12"/>
      <c r="W1081" s="12"/>
      <c r="X1081" s="12"/>
      <c r="Y1081" s="12"/>
      <c r="Z1081" s="12"/>
      <c r="AA1081" s="12"/>
      <c r="AB1081" s="12"/>
      <c r="AC1081" s="12"/>
      <c r="AD1081" s="12"/>
      <c r="AE1081" s="12"/>
      <c r="AF1081" s="12"/>
      <c r="AG1081" s="12"/>
      <c r="AH1081" s="12"/>
    </row>
    <row r="1082" spans="1:34" x14ac:dyDescent="0.2">
      <c r="B1082" s="8" t="str">
        <f>"Annual traffic volume of " &amp;'Assumptions - Infrastructure'!E142</f>
        <v>Annual traffic volume of Passenger company 1</v>
      </c>
      <c r="C1082" s="8"/>
      <c r="D1082" s="8" t="s">
        <v>371</v>
      </c>
      <c r="E1082" s="467">
        <f>IF(OR(E$19=1,E$20=1),IF($D$1031=1,IF('Assumptions - Infrastructure'!$E$139=1,'Assumptions - Infrastructure'!E149*$D$1032,'Assumptions - Infrastructure'!$E$140*'Assumptions - Infrastructure'!E149*$D$1032),IF('Assumptions - Infrastructure'!$E$139=1,'Assumptions - Infrastructure'!E149,'Assumptions - Infrastructure'!$E$140*'Assumptions - Infrastructure'!E149))," ")</f>
        <v>8000</v>
      </c>
      <c r="F1082" s="12">
        <f>IF(OR(F$19=1,F$20=1),IF(AND($D$1031=1,$D$1034=1),(1+$D$1033)*Calculations!E1082,IF('Assumptions - Infrastructure'!$E$139=1,'Assumptions - Infrastructure'!F149*$D$1032,'Assumptions - Infrastructure'!$E$140*'Assumptions - Infrastructure'!F149*$D$1032))," ")</f>
        <v>8500</v>
      </c>
      <c r="G1082" s="12">
        <f>IF(OR(G$19=1,G$20=1),IF(AND($D$1031=1,$D$1034=1),(1+$D$1033)*Calculations!F1082,IF('Assumptions - Infrastructure'!$E$139=1,'Assumptions - Infrastructure'!G149*$D$1032,'Assumptions - Infrastructure'!$E$140*'Assumptions - Infrastructure'!G149*$D$1032))," ")</f>
        <v>8500</v>
      </c>
      <c r="H1082" s="12">
        <f>IF(OR(H$19=1,H$20=1),IF(AND($D$1031=1,$D$1034=1),(1+$D$1033)*Calculations!G1082,IF('Assumptions - Infrastructure'!$E$139=1,'Assumptions - Infrastructure'!H149*$D$1032,'Assumptions - Infrastructure'!$E$140*'Assumptions - Infrastructure'!H149*$D$1032))," ")</f>
        <v>9000</v>
      </c>
      <c r="I1082" s="12">
        <f>IF(OR(I$19=1,I$20=1),IF(AND($D$1031=1,$D$1034=1),(1+$D$1033)*Calculations!H1082,IF('Assumptions - Infrastructure'!$E$139=1,'Assumptions - Infrastructure'!I149*$D$1032,'Assumptions - Infrastructure'!$E$140*'Assumptions - Infrastructure'!I149*$D$1032))," ")</f>
        <v>10000</v>
      </c>
      <c r="J1082" s="12">
        <f>IF(OR(J$19=1,J$20=1),IF(AND($D$1031=1,$D$1034=1),(1+$D$1033)*Calculations!I1082,IF('Assumptions - Infrastructure'!$E$139=1,'Assumptions - Infrastructure'!J149*$D$1032,'Assumptions - Infrastructure'!$E$140*'Assumptions - Infrastructure'!J149*$D$1032))," ")</f>
        <v>10500</v>
      </c>
      <c r="K1082" s="12">
        <f>IF(OR(K$19=1,K$20=1),IF(AND($D$1031=1,$D$1034=1),(1+$D$1033)*Calculations!J1082,IF('Assumptions - Infrastructure'!$E$139=1,'Assumptions - Infrastructure'!K149*$D$1032,'Assumptions - Infrastructure'!$E$140*'Assumptions - Infrastructure'!K149*$D$1032))," ")</f>
        <v>11000</v>
      </c>
      <c r="L1082" s="12">
        <f>IF(OR(L$19=1,L$20=1),IF(AND($D$1031=1,$D$1034=1),(1+$D$1033)*Calculations!K1082,IF('Assumptions - Infrastructure'!$E$139=1,'Assumptions - Infrastructure'!L149*$D$1032,'Assumptions - Infrastructure'!$E$140*'Assumptions - Infrastructure'!L149*$D$1032))," ")</f>
        <v>11500</v>
      </c>
      <c r="M1082" s="12">
        <f>IF(OR(M$19=1,M$20=1),IF(AND($D$1031=1,$D$1034=1),(1+$D$1033)*Calculations!L1082,IF('Assumptions - Infrastructure'!$E$139=1,'Assumptions - Infrastructure'!M149*$D$1032,'Assumptions - Infrastructure'!$E$140*'Assumptions - Infrastructure'!M149*$D$1032))," ")</f>
        <v>12000</v>
      </c>
      <c r="N1082" s="12">
        <f>IF(OR(N$19=1,N$20=1),IF(AND($D$1031=1,$D$1034=1),(1+$D$1033)*Calculations!M1082,IF('Assumptions - Infrastructure'!$E$139=1,'Assumptions - Infrastructure'!N149*$D$1032,'Assumptions - Infrastructure'!$E$140*'Assumptions - Infrastructure'!N149*$D$1032))," ")</f>
        <v>12500</v>
      </c>
      <c r="O1082" s="12">
        <f>IF(OR(O$19=1,O$20=1),IF(AND($D$1031=1,$D$1034=1),(1+$D$1033)*Calculations!N1082,IF('Assumptions - Infrastructure'!$E$139=1,'Assumptions - Infrastructure'!O149*$D$1032,'Assumptions - Infrastructure'!$E$140*'Assumptions - Infrastructure'!O149*$D$1032))," ")</f>
        <v>13000</v>
      </c>
      <c r="P1082" s="12">
        <f>IF(OR(P$19=1,P$20=1),IF(AND($D$1031=1,$D$1034=1),(1+$D$1033)*Calculations!O1082,IF('Assumptions - Infrastructure'!$E$139=1,'Assumptions - Infrastructure'!P149*$D$1032,'Assumptions - Infrastructure'!$E$140*'Assumptions - Infrastructure'!P149*$D$1032))," ")</f>
        <v>13500</v>
      </c>
      <c r="Q1082" s="12">
        <f>IF(OR(Q$19=1,Q$20=1),IF(AND($D$1031=1,$D$1034=1),(1+$D$1033)*Calculations!P1082,IF('Assumptions - Infrastructure'!$E$139=1,'Assumptions - Infrastructure'!Q149*$D$1032,'Assumptions - Infrastructure'!$E$140*'Assumptions - Infrastructure'!Q149*$D$1032))," ")</f>
        <v>14000</v>
      </c>
      <c r="R1082" s="12">
        <f>IF(OR(R$19=1,R$20=1),IF(AND($D$1031=1,$D$1034=1),(1+$D$1033)*Calculations!Q1082,IF('Assumptions - Infrastructure'!$E$139=1,'Assumptions - Infrastructure'!R149*$D$1032,'Assumptions - Infrastructure'!$E$140*'Assumptions - Infrastructure'!R149*$D$1032))," ")</f>
        <v>14500</v>
      </c>
      <c r="S1082" s="12">
        <f>IF(OR(S$19=1,S$20=1),IF(AND($D$1031=1,$D$1034=1),(1+$D$1033)*Calculations!R1082,IF('Assumptions - Infrastructure'!$E$139=1,'Assumptions - Infrastructure'!S149*$D$1032,'Assumptions - Infrastructure'!$E$140*'Assumptions - Infrastructure'!S149*$D$1032))," ")</f>
        <v>15000</v>
      </c>
      <c r="T1082" s="12">
        <f>IF(OR(T$19=1,T$20=1),IF(AND($D$1031=1,$D$1034=1),(1+$D$1033)*Calculations!S1082,IF('Assumptions - Infrastructure'!$E$139=1,'Assumptions - Infrastructure'!T149*$D$1032,'Assumptions - Infrastructure'!$E$140*'Assumptions - Infrastructure'!T149*$D$1032))," ")</f>
        <v>15500</v>
      </c>
      <c r="U1082" s="12">
        <f>IF(OR(U$19=1,U$20=1),IF(AND($D$1031=1,$D$1034=1),(1+$D$1033)*Calculations!T1082,IF('Assumptions - Infrastructure'!$E$139=1,'Assumptions - Infrastructure'!U149*$D$1032,'Assumptions - Infrastructure'!$E$140*'Assumptions - Infrastructure'!U149*$D$1032))," ")</f>
        <v>16000</v>
      </c>
      <c r="V1082" s="12">
        <f>IF(OR(V$19=1,V$20=1),IF(AND($D$1031=1,$D$1034=1),(1+$D$1033)*Calculations!U1082,IF('Assumptions - Infrastructure'!$E$139=1,'Assumptions - Infrastructure'!V149*$D$1032,'Assumptions - Infrastructure'!$E$140*'Assumptions - Infrastructure'!V149*$D$1032))," ")</f>
        <v>16500</v>
      </c>
      <c r="W1082" s="12">
        <f>IF(OR(W$19=1,W$20=1),IF(AND($D$1031=1,$D$1034=1),(1+$D$1033)*Calculations!V1082,IF('Assumptions - Infrastructure'!$E$139=1,'Assumptions - Infrastructure'!W149*$D$1032,'Assumptions - Infrastructure'!$E$140*'Assumptions - Infrastructure'!W149*$D$1032))," ")</f>
        <v>17000</v>
      </c>
      <c r="X1082" s="12">
        <f>IF(OR(X$19=1,X$20=1),IF(AND($D$1031=1,$D$1034=1),(1+$D$1033)*Calculations!W1082,IF('Assumptions - Infrastructure'!$E$139=1,'Assumptions - Infrastructure'!X149*$D$1032,'Assumptions - Infrastructure'!$E$140*'Assumptions - Infrastructure'!X149*$D$1032))," ")</f>
        <v>17500</v>
      </c>
      <c r="Y1082" s="12">
        <f>IF(OR(Y$19=1,Y$20=1),IF(AND($D$1031=1,$D$1034=1),(1+$D$1033)*Calculations!X1082,IF('Assumptions - Infrastructure'!$E$139=1,'Assumptions - Infrastructure'!Y149*$D$1032,'Assumptions - Infrastructure'!$E$140*'Assumptions - Infrastructure'!Y149*$D$1032))," ")</f>
        <v>18000</v>
      </c>
      <c r="Z1082" s="12">
        <f>IF(OR(Z$19=1,Z$20=1),IF(AND($D$1031=1,$D$1034=1),(1+$D$1033)*Calculations!Y1082,IF('Assumptions - Infrastructure'!$E$139=1,'Assumptions - Infrastructure'!Z149*$D$1032,'Assumptions - Infrastructure'!$E$140*'Assumptions - Infrastructure'!Z149*$D$1032))," ")</f>
        <v>18500</v>
      </c>
      <c r="AA1082" s="12">
        <f>IF(OR(AA$19=1,AA$20=1),IF(AND($D$1031=1,$D$1034=1),(1+$D$1033)*Calculations!Z1082,IF('Assumptions - Infrastructure'!$E$139=1,'Assumptions - Infrastructure'!AA149*$D$1032,'Assumptions - Infrastructure'!$E$140*'Assumptions - Infrastructure'!AA149*$D$1032))," ")</f>
        <v>19000</v>
      </c>
      <c r="AB1082" s="12">
        <f>IF(OR(AB$19=1,AB$20=1),IF(AND($D$1031=1,$D$1034=1),(1+$D$1033)*Calculations!AA1082,IF('Assumptions - Infrastructure'!$E$139=1,'Assumptions - Infrastructure'!AB149*$D$1032,'Assumptions - Infrastructure'!$E$140*'Assumptions - Infrastructure'!AB149*$D$1032))," ")</f>
        <v>19500</v>
      </c>
      <c r="AC1082" s="12">
        <f>IF(OR(AC$19=1,AC$20=1),IF(AND($D$1031=1,$D$1034=1),(1+$D$1033)*Calculations!AB1082,IF('Assumptions - Infrastructure'!$E$139=1,'Assumptions - Infrastructure'!AC149*$D$1032,'Assumptions - Infrastructure'!$E$140*'Assumptions - Infrastructure'!AC149*$D$1032))," ")</f>
        <v>20000</v>
      </c>
      <c r="AD1082" s="12">
        <f>IF(OR(AD$19=1,AD$20=1),IF(AND($D$1031=1,$D$1034=1),(1+$D$1033)*Calculations!AC1082,IF('Assumptions - Infrastructure'!$E$139=1,'Assumptions - Infrastructure'!AD149*$D$1032,'Assumptions - Infrastructure'!$E$140*'Assumptions - Infrastructure'!AD149*$D$1032))," ")</f>
        <v>20500</v>
      </c>
      <c r="AE1082" s="12">
        <f>IF(OR(AE$19=1,AE$20=1),IF(AND($D$1031=1,$D$1034=1),(1+$D$1033)*Calculations!AD1082,IF('Assumptions - Infrastructure'!$E$139=1,'Assumptions - Infrastructure'!AE149*$D$1032,'Assumptions - Infrastructure'!$E$140*'Assumptions - Infrastructure'!AE149*$D$1032))," ")</f>
        <v>21000</v>
      </c>
      <c r="AF1082" s="12">
        <f>IF(OR(AF$19=1,AF$20=1),IF(AND($D$1031=1,$D$1034=1),(1+$D$1033)*Calculations!AE1082,IF('Assumptions - Infrastructure'!$E$139=1,'Assumptions - Infrastructure'!AF149*$D$1032,'Assumptions - Infrastructure'!$E$140*'Assumptions - Infrastructure'!AF149*$D$1032))," ")</f>
        <v>21500</v>
      </c>
      <c r="AG1082" s="12">
        <f>IF(OR(AG$19=1,AG$20=1),IF(AND($D$1031=1,$D$1034=1),(1+$D$1033)*Calculations!AF1082,IF('Assumptions - Infrastructure'!$E$139=1,'Assumptions - Infrastructure'!AG149*$D$1032,'Assumptions - Infrastructure'!$E$140*'Assumptions - Infrastructure'!AG149*$D$1032))," ")</f>
        <v>22000</v>
      </c>
      <c r="AH1082" s="12">
        <f>IF(OR(AH$19=1,AH$20=1),IF(AND($D$1031=1,$D$1034=1),(1+$D$1033)*Calculations!AG1082,IF('Assumptions - Infrastructure'!$E$139=1,'Assumptions - Infrastructure'!AH149*$D$1032,'Assumptions - Infrastructure'!$E$140*'Assumptions - Infrastructure'!AH149*$D$1032))," ")</f>
        <v>22500</v>
      </c>
    </row>
    <row r="1083" spans="1:34" x14ac:dyDescent="0.2">
      <c r="B1083" s="8" t="str">
        <f>"Annual traffic volume of " &amp;'Assumptions - Infrastructure'!E143</f>
        <v>Annual traffic volume of Passenger company 2</v>
      </c>
      <c r="C1083" s="8"/>
      <c r="D1083" s="8" t="s">
        <v>371</v>
      </c>
      <c r="E1083" s="467">
        <f>IF(OR(E$19=1,E$20=1),IF($D$1031=1,IF('Assumptions - Infrastructure'!$E$139=1,'Assumptions - Infrastructure'!E151*$D$1032,'Assumptions - Infrastructure'!$E$140*'Assumptions - Infrastructure'!E151*$D$1032),IF('Assumptions - Infrastructure'!$E$139=1,'Assumptions - Infrastructure'!E151,'Assumptions - Infrastructure'!$E$140*'Assumptions - Infrastructure'!E151))," ")</f>
        <v>8000</v>
      </c>
      <c r="F1083" s="12">
        <f>IF(OR(F$19=1,F$20=1),IF(AND($D$1031=1,$D$1034=1),(1+$D$1033)*Calculations!E1083,IF('Assumptions - Infrastructure'!$E$139=1,'Assumptions - Infrastructure'!F151*$D$1032,'Assumptions - Infrastructure'!$E$140*'Assumptions - Infrastructure'!F151*$D$1032))," ")</f>
        <v>8500</v>
      </c>
      <c r="G1083" s="12">
        <f>IF(OR(G$19=1,G$20=1),IF(AND($D$1031=1,$D$1034=1),(1+$D$1033)*Calculations!F1083,IF('Assumptions - Infrastructure'!$E$139=1,'Assumptions - Infrastructure'!G151*$D$1032,'Assumptions - Infrastructure'!$E$140*'Assumptions - Infrastructure'!G151*$D$1032))," ")</f>
        <v>8500</v>
      </c>
      <c r="H1083" s="12">
        <f>IF(OR(H$19=1,H$20=1),IF(AND($D$1031=1,$D$1034=1),(1+$D$1033)*Calculations!G1083,IF('Assumptions - Infrastructure'!$E$139=1,'Assumptions - Infrastructure'!H151*$D$1032,'Assumptions - Infrastructure'!$E$140*'Assumptions - Infrastructure'!H151*$D$1032))," ")</f>
        <v>9000</v>
      </c>
      <c r="I1083" s="12">
        <f>IF(OR(I$19=1,I$20=1),IF(AND($D$1031=1,$D$1034=1),(1+$D$1033)*Calculations!H1083,IF('Assumptions - Infrastructure'!$E$139=1,'Assumptions - Infrastructure'!I151*$D$1032,'Assumptions - Infrastructure'!$E$140*'Assumptions - Infrastructure'!I151*$D$1032))," ")</f>
        <v>10000</v>
      </c>
      <c r="J1083" s="12">
        <f>IF(OR(J$19=1,J$20=1),IF(AND($D$1031=1,$D$1034=1),(1+$D$1033)*Calculations!I1083,IF('Assumptions - Infrastructure'!$E$139=1,'Assumptions - Infrastructure'!J151*$D$1032,'Assumptions - Infrastructure'!$E$140*'Assumptions - Infrastructure'!J151*$D$1032))," ")</f>
        <v>10500</v>
      </c>
      <c r="K1083" s="12">
        <f>IF(OR(K$19=1,K$20=1),IF(AND($D$1031=1,$D$1034=1),(1+$D$1033)*Calculations!J1083,IF('Assumptions - Infrastructure'!$E$139=1,'Assumptions - Infrastructure'!K151*$D$1032,'Assumptions - Infrastructure'!$E$140*'Assumptions - Infrastructure'!K151*$D$1032))," ")</f>
        <v>11000</v>
      </c>
      <c r="L1083" s="12">
        <f>IF(OR(L$19=1,L$20=1),IF(AND($D$1031=1,$D$1034=1),(1+$D$1033)*Calculations!K1083,IF('Assumptions - Infrastructure'!$E$139=1,'Assumptions - Infrastructure'!L151*$D$1032,'Assumptions - Infrastructure'!$E$140*'Assumptions - Infrastructure'!L151*$D$1032))," ")</f>
        <v>11500</v>
      </c>
      <c r="M1083" s="12">
        <f>IF(OR(M$19=1,M$20=1),IF(AND($D$1031=1,$D$1034=1),(1+$D$1033)*Calculations!L1083,IF('Assumptions - Infrastructure'!$E$139=1,'Assumptions - Infrastructure'!M151*$D$1032,'Assumptions - Infrastructure'!$E$140*'Assumptions - Infrastructure'!M151*$D$1032))," ")</f>
        <v>12000</v>
      </c>
      <c r="N1083" s="12">
        <f>IF(OR(N$19=1,N$20=1),IF(AND($D$1031=1,$D$1034=1),(1+$D$1033)*Calculations!M1083,IF('Assumptions - Infrastructure'!$E$139=1,'Assumptions - Infrastructure'!N151*$D$1032,'Assumptions - Infrastructure'!$E$140*'Assumptions - Infrastructure'!N151*$D$1032))," ")</f>
        <v>12500</v>
      </c>
      <c r="O1083" s="12">
        <f>IF(OR(O$19=1,O$20=1),IF(AND($D$1031=1,$D$1034=1),(1+$D$1033)*Calculations!N1083,IF('Assumptions - Infrastructure'!$E$139=1,'Assumptions - Infrastructure'!O151*$D$1032,'Assumptions - Infrastructure'!$E$140*'Assumptions - Infrastructure'!O151*$D$1032))," ")</f>
        <v>13000</v>
      </c>
      <c r="P1083" s="12">
        <f>IF(OR(P$19=1,P$20=1),IF(AND($D$1031=1,$D$1034=1),(1+$D$1033)*Calculations!O1083,IF('Assumptions - Infrastructure'!$E$139=1,'Assumptions - Infrastructure'!P151*$D$1032,'Assumptions - Infrastructure'!$E$140*'Assumptions - Infrastructure'!P151*$D$1032))," ")</f>
        <v>13500</v>
      </c>
      <c r="Q1083" s="12">
        <f>IF(OR(Q$19=1,Q$20=1),IF(AND($D$1031=1,$D$1034=1),(1+$D$1033)*Calculations!P1083,IF('Assumptions - Infrastructure'!$E$139=1,'Assumptions - Infrastructure'!Q151*$D$1032,'Assumptions - Infrastructure'!$E$140*'Assumptions - Infrastructure'!Q151*$D$1032))," ")</f>
        <v>14000</v>
      </c>
      <c r="R1083" s="12">
        <f>IF(OR(R$19=1,R$20=1),IF(AND($D$1031=1,$D$1034=1),(1+$D$1033)*Calculations!Q1083,IF('Assumptions - Infrastructure'!$E$139=1,'Assumptions - Infrastructure'!R151*$D$1032,'Assumptions - Infrastructure'!$E$140*'Assumptions - Infrastructure'!R151*$D$1032))," ")</f>
        <v>14500</v>
      </c>
      <c r="S1083" s="12">
        <f>IF(OR(S$19=1,S$20=1),IF(AND($D$1031=1,$D$1034=1),(1+$D$1033)*Calculations!R1083,IF('Assumptions - Infrastructure'!$E$139=1,'Assumptions - Infrastructure'!S151*$D$1032,'Assumptions - Infrastructure'!$E$140*'Assumptions - Infrastructure'!S151*$D$1032))," ")</f>
        <v>15000</v>
      </c>
      <c r="T1083" s="12">
        <f>IF(OR(T$19=1,T$20=1),IF(AND($D$1031=1,$D$1034=1),(1+$D$1033)*Calculations!S1083,IF('Assumptions - Infrastructure'!$E$139=1,'Assumptions - Infrastructure'!T151*$D$1032,'Assumptions - Infrastructure'!$E$140*'Assumptions - Infrastructure'!T151*$D$1032))," ")</f>
        <v>15500</v>
      </c>
      <c r="U1083" s="12">
        <f>IF(OR(U$19=1,U$20=1),IF(AND($D$1031=1,$D$1034=1),(1+$D$1033)*Calculations!T1083,IF('Assumptions - Infrastructure'!$E$139=1,'Assumptions - Infrastructure'!U151*$D$1032,'Assumptions - Infrastructure'!$E$140*'Assumptions - Infrastructure'!U151*$D$1032))," ")</f>
        <v>16000</v>
      </c>
      <c r="V1083" s="12">
        <f>IF(OR(V$19=1,V$20=1),IF(AND($D$1031=1,$D$1034=1),(1+$D$1033)*Calculations!U1083,IF('Assumptions - Infrastructure'!$E$139=1,'Assumptions - Infrastructure'!V151*$D$1032,'Assumptions - Infrastructure'!$E$140*'Assumptions - Infrastructure'!V151*$D$1032))," ")</f>
        <v>16500</v>
      </c>
      <c r="W1083" s="12">
        <f>IF(OR(W$19=1,W$20=1),IF(AND($D$1031=1,$D$1034=1),(1+$D$1033)*Calculations!V1083,IF('Assumptions - Infrastructure'!$E$139=1,'Assumptions - Infrastructure'!W151*$D$1032,'Assumptions - Infrastructure'!$E$140*'Assumptions - Infrastructure'!W151*$D$1032))," ")</f>
        <v>17000</v>
      </c>
      <c r="X1083" s="12">
        <f>IF(OR(X$19=1,X$20=1),IF(AND($D$1031=1,$D$1034=1),(1+$D$1033)*Calculations!W1083,IF('Assumptions - Infrastructure'!$E$139=1,'Assumptions - Infrastructure'!X151*$D$1032,'Assumptions - Infrastructure'!$E$140*'Assumptions - Infrastructure'!X151*$D$1032))," ")</f>
        <v>17500</v>
      </c>
      <c r="Y1083" s="12">
        <f>IF(OR(Y$19=1,Y$20=1),IF(AND($D$1031=1,$D$1034=1),(1+$D$1033)*Calculations!X1083,IF('Assumptions - Infrastructure'!$E$139=1,'Assumptions - Infrastructure'!Y151*$D$1032,'Assumptions - Infrastructure'!$E$140*'Assumptions - Infrastructure'!Y151*$D$1032))," ")</f>
        <v>18000</v>
      </c>
      <c r="Z1083" s="12">
        <f>IF(OR(Z$19=1,Z$20=1),IF(AND($D$1031=1,$D$1034=1),(1+$D$1033)*Calculations!Y1083,IF('Assumptions - Infrastructure'!$E$139=1,'Assumptions - Infrastructure'!Z151*$D$1032,'Assumptions - Infrastructure'!$E$140*'Assumptions - Infrastructure'!Z151*$D$1032))," ")</f>
        <v>18500</v>
      </c>
      <c r="AA1083" s="12">
        <f>IF(OR(AA$19=1,AA$20=1),IF(AND($D$1031=1,$D$1034=1),(1+$D$1033)*Calculations!Z1083,IF('Assumptions - Infrastructure'!$E$139=1,'Assumptions - Infrastructure'!AA151*$D$1032,'Assumptions - Infrastructure'!$E$140*'Assumptions - Infrastructure'!AA151*$D$1032))," ")</f>
        <v>19000</v>
      </c>
      <c r="AB1083" s="12">
        <f>IF(OR(AB$19=1,AB$20=1),IF(AND($D$1031=1,$D$1034=1),(1+$D$1033)*Calculations!AA1083,IF('Assumptions - Infrastructure'!$E$139=1,'Assumptions - Infrastructure'!AB151*$D$1032,'Assumptions - Infrastructure'!$E$140*'Assumptions - Infrastructure'!AB151*$D$1032))," ")</f>
        <v>19500</v>
      </c>
      <c r="AC1083" s="12">
        <f>IF(OR(AC$19=1,AC$20=1),IF(AND($D$1031=1,$D$1034=1),(1+$D$1033)*Calculations!AB1083,IF('Assumptions - Infrastructure'!$E$139=1,'Assumptions - Infrastructure'!AC151*$D$1032,'Assumptions - Infrastructure'!$E$140*'Assumptions - Infrastructure'!AC151*$D$1032))," ")</f>
        <v>20000</v>
      </c>
      <c r="AD1083" s="12">
        <f>IF(OR(AD$19=1,AD$20=1),IF(AND($D$1031=1,$D$1034=1),(1+$D$1033)*Calculations!AC1083,IF('Assumptions - Infrastructure'!$E$139=1,'Assumptions - Infrastructure'!AD151*$D$1032,'Assumptions - Infrastructure'!$E$140*'Assumptions - Infrastructure'!AD151*$D$1032))," ")</f>
        <v>20500</v>
      </c>
      <c r="AE1083" s="12">
        <f>IF(OR(AE$19=1,AE$20=1),IF(AND($D$1031=1,$D$1034=1),(1+$D$1033)*Calculations!AD1083,IF('Assumptions - Infrastructure'!$E$139=1,'Assumptions - Infrastructure'!AE151*$D$1032,'Assumptions - Infrastructure'!$E$140*'Assumptions - Infrastructure'!AE151*$D$1032))," ")</f>
        <v>21000</v>
      </c>
      <c r="AF1083" s="12">
        <f>IF(OR(AF$19=1,AF$20=1),IF(AND($D$1031=1,$D$1034=1),(1+$D$1033)*Calculations!AE1083,IF('Assumptions - Infrastructure'!$E$139=1,'Assumptions - Infrastructure'!AF151*$D$1032,'Assumptions - Infrastructure'!$E$140*'Assumptions - Infrastructure'!AF151*$D$1032))," ")</f>
        <v>21500</v>
      </c>
      <c r="AG1083" s="12">
        <f>IF(OR(AG$19=1,AG$20=1),IF(AND($D$1031=1,$D$1034=1),(1+$D$1033)*Calculations!AF1083,IF('Assumptions - Infrastructure'!$E$139=1,'Assumptions - Infrastructure'!AG151*$D$1032,'Assumptions - Infrastructure'!$E$140*'Assumptions - Infrastructure'!AG151*$D$1032))," ")</f>
        <v>22000</v>
      </c>
      <c r="AH1083" s="12">
        <f>IF(OR(AH$19=1,AH$20=1),IF(AND($D$1031=1,$D$1034=1),(1+$D$1033)*Calculations!AG1083,IF('Assumptions - Infrastructure'!$E$139=1,'Assumptions - Infrastructure'!AH151*$D$1032,'Assumptions - Infrastructure'!$E$140*'Assumptions - Infrastructure'!AH151*$D$1032))," ")</f>
        <v>22500</v>
      </c>
    </row>
    <row r="1084" spans="1:34" x14ac:dyDescent="0.2">
      <c r="B1084" s="8" t="str">
        <f>"Annual traffic volume of " &amp;'Assumptions - Infrastructure'!E144</f>
        <v>Annual traffic volume of Other companies</v>
      </c>
      <c r="C1084" s="8"/>
      <c r="D1084" s="8" t="s">
        <v>371</v>
      </c>
      <c r="E1084" s="467">
        <f>IF(OR(E$19=1,E$20=1),IF($D$1031=1,IF('Assumptions - Infrastructure'!$E$139=1,'Assumptions - Infrastructure'!E153*$D$1032,'Assumptions - Infrastructure'!$E$140*'Assumptions - Infrastructure'!E153*$D$1032),IF('Assumptions - Infrastructure'!$E$139=1,'Assumptions - Infrastructure'!E153,'Assumptions - Infrastructure'!$E$140*'Assumptions - Infrastructure'!E153))," ")</f>
        <v>8000</v>
      </c>
      <c r="F1084" s="12">
        <f>IF(OR(F$19=1,F$20=1),IF(AND($D$1031=1,$D$1034=1),(1+$D$1033)*Calculations!E1084,IF('Assumptions - Infrastructure'!$E$139=1,'Assumptions - Infrastructure'!F153*$D$1032,'Assumptions - Infrastructure'!$E$140*'Assumptions - Infrastructure'!F153*$D$1032))," ")</f>
        <v>8500</v>
      </c>
      <c r="G1084" s="12">
        <f>IF(OR(G$19=1,G$20=1),IF(AND($D$1031=1,$D$1034=1),(1+$D$1033)*Calculations!F1084,IF('Assumptions - Infrastructure'!$E$139=1,'Assumptions - Infrastructure'!G153*$D$1032,'Assumptions - Infrastructure'!$E$140*'Assumptions - Infrastructure'!G153*$D$1032))," ")</f>
        <v>8500</v>
      </c>
      <c r="H1084" s="12">
        <f>IF(OR(H$19=1,H$20=1),IF(AND($D$1031=1,$D$1034=1),(1+$D$1033)*Calculations!G1084,IF('Assumptions - Infrastructure'!$E$139=1,'Assumptions - Infrastructure'!H153*$D$1032,'Assumptions - Infrastructure'!$E$140*'Assumptions - Infrastructure'!H153*$D$1032))," ")</f>
        <v>9000</v>
      </c>
      <c r="I1084" s="12">
        <f>IF(OR(I$19=1,I$20=1),IF(AND($D$1031=1,$D$1034=1),(1+$D$1033)*Calculations!H1084,IF('Assumptions - Infrastructure'!$E$139=1,'Assumptions - Infrastructure'!I153*$D$1032,'Assumptions - Infrastructure'!$E$140*'Assumptions - Infrastructure'!I153*$D$1032))," ")</f>
        <v>10000</v>
      </c>
      <c r="J1084" s="12">
        <f>IF(OR(J$19=1,J$20=1),IF(AND($D$1031=1,$D$1034=1),(1+$D$1033)*Calculations!I1084,IF('Assumptions - Infrastructure'!$E$139=1,'Assumptions - Infrastructure'!J153*$D$1032,'Assumptions - Infrastructure'!$E$140*'Assumptions - Infrastructure'!J153*$D$1032))," ")</f>
        <v>10500</v>
      </c>
      <c r="K1084" s="12">
        <f>IF(OR(K$19=1,K$20=1),IF(AND($D$1031=1,$D$1034=1),(1+$D$1033)*Calculations!J1084,IF('Assumptions - Infrastructure'!$E$139=1,'Assumptions - Infrastructure'!K153*$D$1032,'Assumptions - Infrastructure'!$E$140*'Assumptions - Infrastructure'!K153*$D$1032))," ")</f>
        <v>11000</v>
      </c>
      <c r="L1084" s="12">
        <f>IF(OR(L$19=1,L$20=1),IF(AND($D$1031=1,$D$1034=1),(1+$D$1033)*Calculations!K1084,IF('Assumptions - Infrastructure'!$E$139=1,'Assumptions - Infrastructure'!L153*$D$1032,'Assumptions - Infrastructure'!$E$140*'Assumptions - Infrastructure'!L153*$D$1032))," ")</f>
        <v>11500</v>
      </c>
      <c r="M1084" s="12">
        <f>IF(OR(M$19=1,M$20=1),IF(AND($D$1031=1,$D$1034=1),(1+$D$1033)*Calculations!L1084,IF('Assumptions - Infrastructure'!$E$139=1,'Assumptions - Infrastructure'!M153*$D$1032,'Assumptions - Infrastructure'!$E$140*'Assumptions - Infrastructure'!M153*$D$1032))," ")</f>
        <v>12000</v>
      </c>
      <c r="N1084" s="12">
        <f>IF(OR(N$19=1,N$20=1),IF(AND($D$1031=1,$D$1034=1),(1+$D$1033)*Calculations!M1084,IF('Assumptions - Infrastructure'!$E$139=1,'Assumptions - Infrastructure'!N153*$D$1032,'Assumptions - Infrastructure'!$E$140*'Assumptions - Infrastructure'!N153*$D$1032))," ")</f>
        <v>12500</v>
      </c>
      <c r="O1084" s="12">
        <f>IF(OR(O$19=1,O$20=1),IF(AND($D$1031=1,$D$1034=1),(1+$D$1033)*Calculations!N1084,IF('Assumptions - Infrastructure'!$E$139=1,'Assumptions - Infrastructure'!O153*$D$1032,'Assumptions - Infrastructure'!$E$140*'Assumptions - Infrastructure'!O153*$D$1032))," ")</f>
        <v>13000</v>
      </c>
      <c r="P1084" s="12">
        <f>IF(OR(P$19=1,P$20=1),IF(AND($D$1031=1,$D$1034=1),(1+$D$1033)*Calculations!O1084,IF('Assumptions - Infrastructure'!$E$139=1,'Assumptions - Infrastructure'!P153*$D$1032,'Assumptions - Infrastructure'!$E$140*'Assumptions - Infrastructure'!P153*$D$1032))," ")</f>
        <v>13500</v>
      </c>
      <c r="Q1084" s="12">
        <f>IF(OR(Q$19=1,Q$20=1),IF(AND($D$1031=1,$D$1034=1),(1+$D$1033)*Calculations!P1084,IF('Assumptions - Infrastructure'!$E$139=1,'Assumptions - Infrastructure'!Q153*$D$1032,'Assumptions - Infrastructure'!$E$140*'Assumptions - Infrastructure'!Q153*$D$1032))," ")</f>
        <v>14000</v>
      </c>
      <c r="R1084" s="12">
        <f>IF(OR(R$19=1,R$20=1),IF(AND($D$1031=1,$D$1034=1),(1+$D$1033)*Calculations!Q1084,IF('Assumptions - Infrastructure'!$E$139=1,'Assumptions - Infrastructure'!R153*$D$1032,'Assumptions - Infrastructure'!$E$140*'Assumptions - Infrastructure'!R153*$D$1032))," ")</f>
        <v>14500</v>
      </c>
      <c r="S1084" s="12">
        <f>IF(OR(S$19=1,S$20=1),IF(AND($D$1031=1,$D$1034=1),(1+$D$1033)*Calculations!R1084,IF('Assumptions - Infrastructure'!$E$139=1,'Assumptions - Infrastructure'!S153*$D$1032,'Assumptions - Infrastructure'!$E$140*'Assumptions - Infrastructure'!S153*$D$1032))," ")</f>
        <v>15000</v>
      </c>
      <c r="T1084" s="12">
        <f>IF(OR(T$19=1,T$20=1),IF(AND($D$1031=1,$D$1034=1),(1+$D$1033)*Calculations!S1084,IF('Assumptions - Infrastructure'!$E$139=1,'Assumptions - Infrastructure'!T153*$D$1032,'Assumptions - Infrastructure'!$E$140*'Assumptions - Infrastructure'!T153*$D$1032))," ")</f>
        <v>15500</v>
      </c>
      <c r="U1084" s="12">
        <f>IF(OR(U$19=1,U$20=1),IF(AND($D$1031=1,$D$1034=1),(1+$D$1033)*Calculations!T1084,IF('Assumptions - Infrastructure'!$E$139=1,'Assumptions - Infrastructure'!U153*$D$1032,'Assumptions - Infrastructure'!$E$140*'Assumptions - Infrastructure'!U153*$D$1032))," ")</f>
        <v>16000</v>
      </c>
      <c r="V1084" s="12">
        <f>IF(OR(V$19=1,V$20=1),IF(AND($D$1031=1,$D$1034=1),(1+$D$1033)*Calculations!U1084,IF('Assumptions - Infrastructure'!$E$139=1,'Assumptions - Infrastructure'!V153*$D$1032,'Assumptions - Infrastructure'!$E$140*'Assumptions - Infrastructure'!V153*$D$1032))," ")</f>
        <v>16500</v>
      </c>
      <c r="W1084" s="12">
        <f>IF(OR(W$19=1,W$20=1),IF(AND($D$1031=1,$D$1034=1),(1+$D$1033)*Calculations!V1084,IF('Assumptions - Infrastructure'!$E$139=1,'Assumptions - Infrastructure'!W153*$D$1032,'Assumptions - Infrastructure'!$E$140*'Assumptions - Infrastructure'!W153*$D$1032))," ")</f>
        <v>17000</v>
      </c>
      <c r="X1084" s="12">
        <f>IF(OR(X$19=1,X$20=1),IF(AND($D$1031=1,$D$1034=1),(1+$D$1033)*Calculations!W1084,IF('Assumptions - Infrastructure'!$E$139=1,'Assumptions - Infrastructure'!X153*$D$1032,'Assumptions - Infrastructure'!$E$140*'Assumptions - Infrastructure'!X153*$D$1032))," ")</f>
        <v>17500</v>
      </c>
      <c r="Y1084" s="12">
        <f>IF(OR(Y$19=1,Y$20=1),IF(AND($D$1031=1,$D$1034=1),(1+$D$1033)*Calculations!X1084,IF('Assumptions - Infrastructure'!$E$139=1,'Assumptions - Infrastructure'!Y153*$D$1032,'Assumptions - Infrastructure'!$E$140*'Assumptions - Infrastructure'!Y153*$D$1032))," ")</f>
        <v>18000</v>
      </c>
      <c r="Z1084" s="12">
        <f>IF(OR(Z$19=1,Z$20=1),IF(AND($D$1031=1,$D$1034=1),(1+$D$1033)*Calculations!Y1084,IF('Assumptions - Infrastructure'!$E$139=1,'Assumptions - Infrastructure'!Z153*$D$1032,'Assumptions - Infrastructure'!$E$140*'Assumptions - Infrastructure'!Z153*$D$1032))," ")</f>
        <v>18500</v>
      </c>
      <c r="AA1084" s="12">
        <f>IF(OR(AA$19=1,AA$20=1),IF(AND($D$1031=1,$D$1034=1),(1+$D$1033)*Calculations!Z1084,IF('Assumptions - Infrastructure'!$E$139=1,'Assumptions - Infrastructure'!AA153*$D$1032,'Assumptions - Infrastructure'!$E$140*'Assumptions - Infrastructure'!AA153*$D$1032))," ")</f>
        <v>19000</v>
      </c>
      <c r="AB1084" s="12">
        <f>IF(OR(AB$19=1,AB$20=1),IF(AND($D$1031=1,$D$1034=1),(1+$D$1033)*Calculations!AA1084,IF('Assumptions - Infrastructure'!$E$139=1,'Assumptions - Infrastructure'!AB153*$D$1032,'Assumptions - Infrastructure'!$E$140*'Assumptions - Infrastructure'!AB153*$D$1032))," ")</f>
        <v>19500</v>
      </c>
      <c r="AC1084" s="12">
        <f>IF(OR(AC$19=1,AC$20=1),IF(AND($D$1031=1,$D$1034=1),(1+$D$1033)*Calculations!AB1084,IF('Assumptions - Infrastructure'!$E$139=1,'Assumptions - Infrastructure'!AC153*$D$1032,'Assumptions - Infrastructure'!$E$140*'Assumptions - Infrastructure'!AC153*$D$1032))," ")</f>
        <v>20000</v>
      </c>
      <c r="AD1084" s="12">
        <f>IF(OR(AD$19=1,AD$20=1),IF(AND($D$1031=1,$D$1034=1),(1+$D$1033)*Calculations!AC1084,IF('Assumptions - Infrastructure'!$E$139=1,'Assumptions - Infrastructure'!AD153*$D$1032,'Assumptions - Infrastructure'!$E$140*'Assumptions - Infrastructure'!AD153*$D$1032))," ")</f>
        <v>20500</v>
      </c>
      <c r="AE1084" s="12">
        <f>IF(OR(AE$19=1,AE$20=1),IF(AND($D$1031=1,$D$1034=1),(1+$D$1033)*Calculations!AD1084,IF('Assumptions - Infrastructure'!$E$139=1,'Assumptions - Infrastructure'!AE153*$D$1032,'Assumptions - Infrastructure'!$E$140*'Assumptions - Infrastructure'!AE153*$D$1032))," ")</f>
        <v>21000</v>
      </c>
      <c r="AF1084" s="12">
        <f>IF(OR(AF$19=1,AF$20=1),IF(AND($D$1031=1,$D$1034=1),(1+$D$1033)*Calculations!AE1084,IF('Assumptions - Infrastructure'!$E$139=1,'Assumptions - Infrastructure'!AF153*$D$1032,'Assumptions - Infrastructure'!$E$140*'Assumptions - Infrastructure'!AF153*$D$1032))," ")</f>
        <v>21500</v>
      </c>
      <c r="AG1084" s="12">
        <f>IF(OR(AG$19=1,AG$20=1),IF(AND($D$1031=1,$D$1034=1),(1+$D$1033)*Calculations!AF1084,IF('Assumptions - Infrastructure'!$E$139=1,'Assumptions - Infrastructure'!AG153*$D$1032,'Assumptions - Infrastructure'!$E$140*'Assumptions - Infrastructure'!AG153*$D$1032))," ")</f>
        <v>22000</v>
      </c>
      <c r="AH1084" s="12">
        <f>IF(OR(AH$19=1,AH$20=1),IF(AND($D$1031=1,$D$1034=1),(1+$D$1033)*Calculations!AG1084,IF('Assumptions - Infrastructure'!$E$139=1,'Assumptions - Infrastructure'!AH153*$D$1032,'Assumptions - Infrastructure'!$E$140*'Assumptions - Infrastructure'!AH153*$D$1032))," ")</f>
        <v>22500</v>
      </c>
    </row>
    <row r="1085" spans="1:34" x14ac:dyDescent="0.2">
      <c r="A1085" s="18"/>
      <c r="B1085" s="30" t="s">
        <v>433</v>
      </c>
      <c r="D1085" s="8" t="s">
        <v>15</v>
      </c>
      <c r="E1085" s="471"/>
      <c r="F1085" s="11">
        <f>IF(OR(F$19=1,F$20=1),SUM(F1082:F1084)/SUM(E1082:E1084)-1," ")</f>
        <v>6.25E-2</v>
      </c>
      <c r="G1085" s="11">
        <f t="shared" ref="G1085:AH1085" si="418">IF(OR(G$19=1,G$20=1),SUM(G1082:G1084)/SUM(F1082:F1084)-1," ")</f>
        <v>0</v>
      </c>
      <c r="H1085" s="11">
        <f t="shared" si="418"/>
        <v>5.8823529411764719E-2</v>
      </c>
      <c r="I1085" s="11">
        <f t="shared" si="418"/>
        <v>0.11111111111111116</v>
      </c>
      <c r="J1085" s="11">
        <f t="shared" si="418"/>
        <v>5.0000000000000044E-2</v>
      </c>
      <c r="K1085" s="11">
        <f t="shared" si="418"/>
        <v>4.7619047619047672E-2</v>
      </c>
      <c r="L1085" s="11">
        <f t="shared" si="418"/>
        <v>4.5454545454545414E-2</v>
      </c>
      <c r="M1085" s="11">
        <f t="shared" si="418"/>
        <v>4.3478260869565188E-2</v>
      </c>
      <c r="N1085" s="11">
        <f t="shared" si="418"/>
        <v>4.1666666666666741E-2</v>
      </c>
      <c r="O1085" s="11">
        <f t="shared" si="418"/>
        <v>4.0000000000000036E-2</v>
      </c>
      <c r="P1085" s="11">
        <f t="shared" si="418"/>
        <v>3.8461538461538547E-2</v>
      </c>
      <c r="Q1085" s="11">
        <f t="shared" si="418"/>
        <v>3.7037037037036979E-2</v>
      </c>
      <c r="R1085" s="11">
        <f t="shared" si="418"/>
        <v>3.5714285714285809E-2</v>
      </c>
      <c r="S1085" s="11">
        <f t="shared" si="418"/>
        <v>3.4482758620689724E-2</v>
      </c>
      <c r="T1085" s="11">
        <f t="shared" si="418"/>
        <v>3.3333333333333437E-2</v>
      </c>
      <c r="U1085" s="11">
        <f t="shared" si="418"/>
        <v>3.2258064516129004E-2</v>
      </c>
      <c r="V1085" s="11">
        <f t="shared" si="418"/>
        <v>3.125E-2</v>
      </c>
      <c r="W1085" s="11">
        <f t="shared" si="418"/>
        <v>3.0303030303030276E-2</v>
      </c>
      <c r="X1085" s="11">
        <f t="shared" si="418"/>
        <v>2.9411764705882248E-2</v>
      </c>
      <c r="Y1085" s="11">
        <f t="shared" si="418"/>
        <v>2.857142857142847E-2</v>
      </c>
      <c r="Z1085" s="11">
        <f t="shared" si="418"/>
        <v>2.7777777777777679E-2</v>
      </c>
      <c r="AA1085" s="11">
        <f t="shared" si="418"/>
        <v>2.7027027027026973E-2</v>
      </c>
      <c r="AB1085" s="11">
        <f t="shared" si="418"/>
        <v>2.6315789473684292E-2</v>
      </c>
      <c r="AC1085" s="11">
        <f t="shared" si="418"/>
        <v>2.564102564102555E-2</v>
      </c>
      <c r="AD1085" s="11">
        <f t="shared" si="418"/>
        <v>2.4999999999999911E-2</v>
      </c>
      <c r="AE1085" s="11">
        <f t="shared" si="418"/>
        <v>2.4390243902439046E-2</v>
      </c>
      <c r="AF1085" s="11">
        <f t="shared" si="418"/>
        <v>2.3809523809523725E-2</v>
      </c>
      <c r="AG1085" s="11">
        <f t="shared" si="418"/>
        <v>2.3255813953488413E-2</v>
      </c>
      <c r="AH1085" s="11">
        <f t="shared" si="418"/>
        <v>2.2727272727272707E-2</v>
      </c>
    </row>
    <row r="1086" spans="1:34" x14ac:dyDescent="0.2">
      <c r="A1086" s="18"/>
      <c r="B1086" s="30"/>
      <c r="F1086" s="11"/>
      <c r="G1086" s="11"/>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row>
    <row r="1087" spans="1:34" x14ac:dyDescent="0.2">
      <c r="A1087" s="18"/>
      <c r="B1087" s="16" t="str">
        <f>B1082</f>
        <v>Annual traffic volume of Passenger company 1</v>
      </c>
      <c r="D1087" s="8" t="s">
        <v>370</v>
      </c>
      <c r="E1087" s="467">
        <f>IF(OR(E$19=1,E$20=1),IF($D$1031=1,$D$1032*'Assumptions - Infrastructure'!E150,'Assumptions - Infrastructure'!E150)," ")</f>
        <v>500</v>
      </c>
      <c r="F1087" s="12">
        <f>IF(OR(F$19=1,F$20=1),IF(AND($D$1031=1,$D$1034=1),E1087*(1+$D$1033),$D$1032*'Assumptions - Infrastructure'!F150)," ")</f>
        <v>500</v>
      </c>
      <c r="G1087" s="12">
        <f>IF(OR(G$19=1,G$20=1),IF(AND($D$1031=1,$D$1034=1),F1087*(1+$D$1033),$D$1032*'Assumptions - Infrastructure'!G150)," ")</f>
        <v>500</v>
      </c>
      <c r="H1087" s="12">
        <f>IF(OR(H$19=1,H$20=1),IF(AND($D$1031=1,$D$1034=1),G1087*(1+$D$1033),$D$1032*'Assumptions - Infrastructure'!H150)," ")</f>
        <v>500</v>
      </c>
      <c r="I1087" s="12">
        <f>IF(OR(I$19=1,I$20=1),IF(AND($D$1031=1,$D$1034=1),H1087*(1+$D$1033),$D$1032*'Assumptions - Infrastructure'!I150)," ")</f>
        <v>500</v>
      </c>
      <c r="J1087" s="12">
        <f>IF(OR(J$19=1,J$20=1),IF(AND($D$1031=1,$D$1034=1),I1087*(1+$D$1033),$D$1032*'Assumptions - Infrastructure'!J150)," ")</f>
        <v>500</v>
      </c>
      <c r="K1087" s="12">
        <f>IF(OR(K$19=1,K$20=1),IF(AND($D$1031=1,$D$1034=1),J1087*(1+$D$1033),$D$1032*'Assumptions - Infrastructure'!K150)," ")</f>
        <v>500</v>
      </c>
      <c r="L1087" s="12">
        <f>IF(OR(L$19=1,L$20=1),IF(AND($D$1031=1,$D$1034=1),K1087*(1+$D$1033),$D$1032*'Assumptions - Infrastructure'!L150)," ")</f>
        <v>500</v>
      </c>
      <c r="M1087" s="12">
        <f>IF(OR(M$19=1,M$20=1),IF(AND($D$1031=1,$D$1034=1),L1087*(1+$D$1033),$D$1032*'Assumptions - Infrastructure'!M150)," ")</f>
        <v>500</v>
      </c>
      <c r="N1087" s="12">
        <f>IF(OR(N$19=1,N$20=1),IF(AND($D$1031=1,$D$1034=1),M1087*(1+$D$1033),$D$1032*'Assumptions - Infrastructure'!N150)," ")</f>
        <v>500</v>
      </c>
      <c r="O1087" s="12">
        <f>IF(OR(O$19=1,O$20=1),IF(AND($D$1031=1,$D$1034=1),N1087*(1+$D$1033),$D$1032*'Assumptions - Infrastructure'!O150)," ")</f>
        <v>500</v>
      </c>
      <c r="P1087" s="12">
        <f>IF(OR(P$19=1,P$20=1),IF(AND($D$1031=1,$D$1034=1),O1087*(1+$D$1033),$D$1032*'Assumptions - Infrastructure'!P150)," ")</f>
        <v>500</v>
      </c>
      <c r="Q1087" s="12">
        <f>IF(OR(Q$19=1,Q$20=1),IF(AND($D$1031=1,$D$1034=1),P1087*(1+$D$1033),$D$1032*'Assumptions - Infrastructure'!Q150)," ")</f>
        <v>500</v>
      </c>
      <c r="R1087" s="12">
        <f>IF(OR(R$19=1,R$20=1),IF(AND($D$1031=1,$D$1034=1),Q1087*(1+$D$1033),$D$1032*'Assumptions - Infrastructure'!R150)," ")</f>
        <v>500</v>
      </c>
      <c r="S1087" s="12">
        <f>IF(OR(S$19=1,S$20=1),IF(AND($D$1031=1,$D$1034=1),R1087*(1+$D$1033),$D$1032*'Assumptions - Infrastructure'!S150)," ")</f>
        <v>500</v>
      </c>
      <c r="T1087" s="12">
        <f>IF(OR(T$19=1,T$20=1),IF(AND($D$1031=1,$D$1034=1),S1087*(1+$D$1033),$D$1032*'Assumptions - Infrastructure'!T150)," ")</f>
        <v>500</v>
      </c>
      <c r="U1087" s="12">
        <f>IF(OR(U$19=1,U$20=1),IF(AND($D$1031=1,$D$1034=1),T1087*(1+$D$1033),$D$1032*'Assumptions - Infrastructure'!U150)," ")</f>
        <v>500</v>
      </c>
      <c r="V1087" s="12">
        <f>IF(OR(V$19=1,V$20=1),IF(AND($D$1031=1,$D$1034=1),U1087*(1+$D$1033),$D$1032*'Assumptions - Infrastructure'!V150)," ")</f>
        <v>500</v>
      </c>
      <c r="W1087" s="12">
        <f>IF(OR(W$19=1,W$20=1),IF(AND($D$1031=1,$D$1034=1),V1087*(1+$D$1033),$D$1032*'Assumptions - Infrastructure'!W150)," ")</f>
        <v>500</v>
      </c>
      <c r="X1087" s="12">
        <f>IF(OR(X$19=1,X$20=1),IF(AND($D$1031=1,$D$1034=1),W1087*(1+$D$1033),$D$1032*'Assumptions - Infrastructure'!X150)," ")</f>
        <v>500</v>
      </c>
      <c r="Y1087" s="12">
        <f>IF(OR(Y$19=1,Y$20=1),IF(AND($D$1031=1,$D$1034=1),X1087*(1+$D$1033),$D$1032*'Assumptions - Infrastructure'!Y150)," ")</f>
        <v>500</v>
      </c>
      <c r="Z1087" s="12">
        <f>IF(OR(Z$19=1,Z$20=1),IF(AND($D$1031=1,$D$1034=1),Y1087*(1+$D$1033),$D$1032*'Assumptions - Infrastructure'!Z150)," ")</f>
        <v>500</v>
      </c>
      <c r="AA1087" s="12">
        <f>IF(OR(AA$19=1,AA$20=1),IF(AND($D$1031=1,$D$1034=1),Z1087*(1+$D$1033),$D$1032*'Assumptions - Infrastructure'!AA150)," ")</f>
        <v>500</v>
      </c>
      <c r="AB1087" s="12">
        <f>IF(OR(AB$19=1,AB$20=1),IF(AND($D$1031=1,$D$1034=1),AA1087*(1+$D$1033),$D$1032*'Assumptions - Infrastructure'!AB150)," ")</f>
        <v>500</v>
      </c>
      <c r="AC1087" s="12">
        <f>IF(OR(AC$19=1,AC$20=1),IF(AND($D$1031=1,$D$1034=1),AB1087*(1+$D$1033),$D$1032*'Assumptions - Infrastructure'!AC150)," ")</f>
        <v>500</v>
      </c>
      <c r="AD1087" s="12">
        <f>IF(OR(AD$19=1,AD$20=1),IF(AND($D$1031=1,$D$1034=1),AC1087*(1+$D$1033),$D$1032*'Assumptions - Infrastructure'!AD150)," ")</f>
        <v>500</v>
      </c>
      <c r="AE1087" s="12">
        <f>IF(OR(AE$19=1,AE$20=1),IF(AND($D$1031=1,$D$1034=1),AD1087*(1+$D$1033),$D$1032*'Assumptions - Infrastructure'!AE150)," ")</f>
        <v>500</v>
      </c>
      <c r="AF1087" s="12">
        <f>IF(OR(AF$19=1,AF$20=1),IF(AND($D$1031=1,$D$1034=1),AE1087*(1+$D$1033),$D$1032*'Assumptions - Infrastructure'!AF150)," ")</f>
        <v>500</v>
      </c>
      <c r="AG1087" s="12">
        <f>IF(OR(AG$19=1,AG$20=1),IF(AND($D$1031=1,$D$1034=1),AF1087*(1+$D$1033),$D$1032*'Assumptions - Infrastructure'!AG150)," ")</f>
        <v>500</v>
      </c>
      <c r="AH1087" s="12">
        <f>IF(OR(AH$19=1,AH$20=1),IF(AND($D$1031=1,$D$1034=1),AG1087*(1+$D$1033),$D$1032*'Assumptions - Infrastructure'!AH150)," ")</f>
        <v>500</v>
      </c>
    </row>
    <row r="1088" spans="1:34" x14ac:dyDescent="0.2">
      <c r="A1088" s="18"/>
      <c r="B1088" s="16" t="str">
        <f>B1083</f>
        <v>Annual traffic volume of Passenger company 2</v>
      </c>
      <c r="D1088" s="8" t="s">
        <v>370</v>
      </c>
      <c r="E1088" s="467">
        <f>IF(OR(E$19=1,E$20=1),IF($D$1031=1,$D$1032*'Assumptions - Infrastructure'!E152,'Assumptions - Infrastructure'!E152)," ")</f>
        <v>500</v>
      </c>
      <c r="F1088" s="12">
        <f>IF(OR(F$19=1,F$20=1),IF(AND($D$1031=1,$D$1034=1),E1088*(1+$D$1033),$D$1032*'Assumptions - Infrastructure'!F152)," ")</f>
        <v>500</v>
      </c>
      <c r="G1088" s="12">
        <f>IF(OR(G$19=1,G$20=1),IF(AND($D$1031=1,$D$1034=1),F1088*(1+$D$1033),$D$1032*'Assumptions - Infrastructure'!G152)," ")</f>
        <v>500</v>
      </c>
      <c r="H1088" s="12">
        <f>IF(OR(H$19=1,H$20=1),IF(AND($D$1031=1,$D$1034=1),G1088*(1+$D$1033),$D$1032*'Assumptions - Infrastructure'!H152)," ")</f>
        <v>500</v>
      </c>
      <c r="I1088" s="12">
        <f>IF(OR(I$19=1,I$20=1),IF(AND($D$1031=1,$D$1034=1),H1088*(1+$D$1033),$D$1032*'Assumptions - Infrastructure'!I152)," ")</f>
        <v>500</v>
      </c>
      <c r="J1088" s="12">
        <f>IF(OR(J$19=1,J$20=1),IF(AND($D$1031=1,$D$1034=1),I1088*(1+$D$1033),$D$1032*'Assumptions - Infrastructure'!J152)," ")</f>
        <v>500</v>
      </c>
      <c r="K1088" s="12">
        <f>IF(OR(K$19=1,K$20=1),IF(AND($D$1031=1,$D$1034=1),J1088*(1+$D$1033),$D$1032*'Assumptions - Infrastructure'!K152)," ")</f>
        <v>500</v>
      </c>
      <c r="L1088" s="12">
        <f>IF(OR(L$19=1,L$20=1),IF(AND($D$1031=1,$D$1034=1),K1088*(1+$D$1033),$D$1032*'Assumptions - Infrastructure'!L152)," ")</f>
        <v>500</v>
      </c>
      <c r="M1088" s="12">
        <f>IF(OR(M$19=1,M$20=1),IF(AND($D$1031=1,$D$1034=1),L1088*(1+$D$1033),$D$1032*'Assumptions - Infrastructure'!M152)," ")</f>
        <v>500</v>
      </c>
      <c r="N1088" s="12">
        <f>IF(OR(N$19=1,N$20=1),IF(AND($D$1031=1,$D$1034=1),M1088*(1+$D$1033),$D$1032*'Assumptions - Infrastructure'!N152)," ")</f>
        <v>500</v>
      </c>
      <c r="O1088" s="12">
        <f>IF(OR(O$19=1,O$20=1),IF(AND($D$1031=1,$D$1034=1),N1088*(1+$D$1033),$D$1032*'Assumptions - Infrastructure'!O152)," ")</f>
        <v>500</v>
      </c>
      <c r="P1088" s="12">
        <f>IF(OR(P$19=1,P$20=1),IF(AND($D$1031=1,$D$1034=1),O1088*(1+$D$1033),$D$1032*'Assumptions - Infrastructure'!P152)," ")</f>
        <v>500</v>
      </c>
      <c r="Q1088" s="12">
        <f>IF(OR(Q$19=1,Q$20=1),IF(AND($D$1031=1,$D$1034=1),P1088*(1+$D$1033),$D$1032*'Assumptions - Infrastructure'!Q152)," ")</f>
        <v>500</v>
      </c>
      <c r="R1088" s="12">
        <f>IF(OR(R$19=1,R$20=1),IF(AND($D$1031=1,$D$1034=1),Q1088*(1+$D$1033),$D$1032*'Assumptions - Infrastructure'!R152)," ")</f>
        <v>500</v>
      </c>
      <c r="S1088" s="12">
        <f>IF(OR(S$19=1,S$20=1),IF(AND($D$1031=1,$D$1034=1),R1088*(1+$D$1033),$D$1032*'Assumptions - Infrastructure'!S152)," ")</f>
        <v>500</v>
      </c>
      <c r="T1088" s="12">
        <f>IF(OR(T$19=1,T$20=1),IF(AND($D$1031=1,$D$1034=1),S1088*(1+$D$1033),$D$1032*'Assumptions - Infrastructure'!T152)," ")</f>
        <v>500</v>
      </c>
      <c r="U1088" s="12">
        <f>IF(OR(U$19=1,U$20=1),IF(AND($D$1031=1,$D$1034=1),T1088*(1+$D$1033),$D$1032*'Assumptions - Infrastructure'!U152)," ")</f>
        <v>500</v>
      </c>
      <c r="V1088" s="12">
        <f>IF(OR(V$19=1,V$20=1),IF(AND($D$1031=1,$D$1034=1),U1088*(1+$D$1033),$D$1032*'Assumptions - Infrastructure'!V152)," ")</f>
        <v>500</v>
      </c>
      <c r="W1088" s="12">
        <f>IF(OR(W$19=1,W$20=1),IF(AND($D$1031=1,$D$1034=1),V1088*(1+$D$1033),$D$1032*'Assumptions - Infrastructure'!W152)," ")</f>
        <v>500</v>
      </c>
      <c r="X1088" s="12">
        <f>IF(OR(X$19=1,X$20=1),IF(AND($D$1031=1,$D$1034=1),W1088*(1+$D$1033),$D$1032*'Assumptions - Infrastructure'!X152)," ")</f>
        <v>500</v>
      </c>
      <c r="Y1088" s="12">
        <f>IF(OR(Y$19=1,Y$20=1),IF(AND($D$1031=1,$D$1034=1),X1088*(1+$D$1033),$D$1032*'Assumptions - Infrastructure'!Y152)," ")</f>
        <v>500</v>
      </c>
      <c r="Z1088" s="12">
        <f>IF(OR(Z$19=1,Z$20=1),IF(AND($D$1031=1,$D$1034=1),Y1088*(1+$D$1033),$D$1032*'Assumptions - Infrastructure'!Z152)," ")</f>
        <v>500</v>
      </c>
      <c r="AA1088" s="12">
        <f>IF(OR(AA$19=1,AA$20=1),IF(AND($D$1031=1,$D$1034=1),Z1088*(1+$D$1033),$D$1032*'Assumptions - Infrastructure'!AA152)," ")</f>
        <v>500</v>
      </c>
      <c r="AB1088" s="12">
        <f>IF(OR(AB$19=1,AB$20=1),IF(AND($D$1031=1,$D$1034=1),AA1088*(1+$D$1033),$D$1032*'Assumptions - Infrastructure'!AB152)," ")</f>
        <v>500</v>
      </c>
      <c r="AC1088" s="12">
        <f>IF(OR(AC$19=1,AC$20=1),IF(AND($D$1031=1,$D$1034=1),AB1088*(1+$D$1033),$D$1032*'Assumptions - Infrastructure'!AC152)," ")</f>
        <v>500</v>
      </c>
      <c r="AD1088" s="12">
        <f>IF(OR(AD$19=1,AD$20=1),IF(AND($D$1031=1,$D$1034=1),AC1088*(1+$D$1033),$D$1032*'Assumptions - Infrastructure'!AD152)," ")</f>
        <v>500</v>
      </c>
      <c r="AE1088" s="12">
        <f>IF(OR(AE$19=1,AE$20=1),IF(AND($D$1031=1,$D$1034=1),AD1088*(1+$D$1033),$D$1032*'Assumptions - Infrastructure'!AE152)," ")</f>
        <v>500</v>
      </c>
      <c r="AF1088" s="12">
        <f>IF(OR(AF$19=1,AF$20=1),IF(AND($D$1031=1,$D$1034=1),AE1088*(1+$D$1033),$D$1032*'Assumptions - Infrastructure'!AF152)," ")</f>
        <v>500</v>
      </c>
      <c r="AG1088" s="12">
        <f>IF(OR(AG$19=1,AG$20=1),IF(AND($D$1031=1,$D$1034=1),AF1088*(1+$D$1033),$D$1032*'Assumptions - Infrastructure'!AG152)," ")</f>
        <v>500</v>
      </c>
      <c r="AH1088" s="12">
        <f>IF(OR(AH$19=1,AH$20=1),IF(AND($D$1031=1,$D$1034=1),AG1088*(1+$D$1033),$D$1032*'Assumptions - Infrastructure'!AH152)," ")</f>
        <v>500</v>
      </c>
    </row>
    <row r="1089" spans="1:34" x14ac:dyDescent="0.2">
      <c r="A1089" s="18"/>
      <c r="B1089" s="16" t="str">
        <f>B1084</f>
        <v>Annual traffic volume of Other companies</v>
      </c>
      <c r="D1089" s="8" t="s">
        <v>370</v>
      </c>
      <c r="E1089" s="467">
        <f>IF(OR(E$19=1,E$20=1),IF($D$1031=1,$D$1032*'Assumptions - Infrastructure'!E154,'Assumptions - Infrastructure'!E154)," ")</f>
        <v>500</v>
      </c>
      <c r="F1089" s="12">
        <f>IF(OR(F$19=1,F$20=1),IF(AND($D$1031=1,$D$1034=1),E1089*(1+$D$1033),$D$1032*'Assumptions - Infrastructure'!F154)," ")</f>
        <v>500</v>
      </c>
      <c r="G1089" s="12">
        <f>IF(OR(G$19=1,G$20=1),IF(AND($D$1031=1,$D$1034=1),F1089*(1+$D$1033),$D$1032*'Assumptions - Infrastructure'!G154)," ")</f>
        <v>500</v>
      </c>
      <c r="H1089" s="12">
        <f>IF(OR(H$19=1,H$20=1),IF(AND($D$1031=1,$D$1034=1),G1089*(1+$D$1033),$D$1032*'Assumptions - Infrastructure'!H154)," ")</f>
        <v>500</v>
      </c>
      <c r="I1089" s="12">
        <f>IF(OR(I$19=1,I$20=1),IF(AND($D$1031=1,$D$1034=1),H1089*(1+$D$1033),$D$1032*'Assumptions - Infrastructure'!I154)," ")</f>
        <v>500</v>
      </c>
      <c r="J1089" s="12">
        <f>IF(OR(J$19=1,J$20=1),IF(AND($D$1031=1,$D$1034=1),I1089*(1+$D$1033),$D$1032*'Assumptions - Infrastructure'!J154)," ")</f>
        <v>500</v>
      </c>
      <c r="K1089" s="12">
        <f>IF(OR(K$19=1,K$20=1),IF(AND($D$1031=1,$D$1034=1),J1089*(1+$D$1033),$D$1032*'Assumptions - Infrastructure'!K154)," ")</f>
        <v>500</v>
      </c>
      <c r="L1089" s="12">
        <f>IF(OR(L$19=1,L$20=1),IF(AND($D$1031=1,$D$1034=1),K1089*(1+$D$1033),$D$1032*'Assumptions - Infrastructure'!L154)," ")</f>
        <v>500</v>
      </c>
      <c r="M1089" s="12">
        <f>IF(OR(M$19=1,M$20=1),IF(AND($D$1031=1,$D$1034=1),L1089*(1+$D$1033),$D$1032*'Assumptions - Infrastructure'!M154)," ")</f>
        <v>500</v>
      </c>
      <c r="N1089" s="12">
        <f>IF(OR(N$19=1,N$20=1),IF(AND($D$1031=1,$D$1034=1),M1089*(1+$D$1033),$D$1032*'Assumptions - Infrastructure'!N154)," ")</f>
        <v>500</v>
      </c>
      <c r="O1089" s="12">
        <f>IF(OR(O$19=1,O$20=1),IF(AND($D$1031=1,$D$1034=1),N1089*(1+$D$1033),$D$1032*'Assumptions - Infrastructure'!O154)," ")</f>
        <v>500</v>
      </c>
      <c r="P1089" s="12">
        <f>IF(OR(P$19=1,P$20=1),IF(AND($D$1031=1,$D$1034=1),O1089*(1+$D$1033),$D$1032*'Assumptions - Infrastructure'!P154)," ")</f>
        <v>500</v>
      </c>
      <c r="Q1089" s="12">
        <f>IF(OR(Q$19=1,Q$20=1),IF(AND($D$1031=1,$D$1034=1),P1089*(1+$D$1033),$D$1032*'Assumptions - Infrastructure'!Q154)," ")</f>
        <v>500</v>
      </c>
      <c r="R1089" s="12">
        <f>IF(OR(R$19=1,R$20=1),IF(AND($D$1031=1,$D$1034=1),Q1089*(1+$D$1033),$D$1032*'Assumptions - Infrastructure'!R154)," ")</f>
        <v>500</v>
      </c>
      <c r="S1089" s="12">
        <f>IF(OR(S$19=1,S$20=1),IF(AND($D$1031=1,$D$1034=1),R1089*(1+$D$1033),$D$1032*'Assumptions - Infrastructure'!S154)," ")</f>
        <v>500</v>
      </c>
      <c r="T1089" s="12">
        <f>IF(OR(T$19=1,T$20=1),IF(AND($D$1031=1,$D$1034=1),S1089*(1+$D$1033),$D$1032*'Assumptions - Infrastructure'!T154)," ")</f>
        <v>500</v>
      </c>
      <c r="U1089" s="12">
        <f>IF(OR(U$19=1,U$20=1),IF(AND($D$1031=1,$D$1034=1),T1089*(1+$D$1033),$D$1032*'Assumptions - Infrastructure'!U154)," ")</f>
        <v>500</v>
      </c>
      <c r="V1089" s="12">
        <f>IF(OR(V$19=1,V$20=1),IF(AND($D$1031=1,$D$1034=1),U1089*(1+$D$1033),$D$1032*'Assumptions - Infrastructure'!V154)," ")</f>
        <v>500</v>
      </c>
      <c r="W1089" s="12">
        <f>IF(OR(W$19=1,W$20=1),IF(AND($D$1031=1,$D$1034=1),V1089*(1+$D$1033),$D$1032*'Assumptions - Infrastructure'!W154)," ")</f>
        <v>500</v>
      </c>
      <c r="X1089" s="12">
        <f>IF(OR(X$19=1,X$20=1),IF(AND($D$1031=1,$D$1034=1),W1089*(1+$D$1033),$D$1032*'Assumptions - Infrastructure'!X154)," ")</f>
        <v>500</v>
      </c>
      <c r="Y1089" s="12">
        <f>IF(OR(Y$19=1,Y$20=1),IF(AND($D$1031=1,$D$1034=1),X1089*(1+$D$1033),$D$1032*'Assumptions - Infrastructure'!Y154)," ")</f>
        <v>500</v>
      </c>
      <c r="Z1089" s="12">
        <f>IF(OR(Z$19=1,Z$20=1),IF(AND($D$1031=1,$D$1034=1),Y1089*(1+$D$1033),$D$1032*'Assumptions - Infrastructure'!Z154)," ")</f>
        <v>500</v>
      </c>
      <c r="AA1089" s="12">
        <f>IF(OR(AA$19=1,AA$20=1),IF(AND($D$1031=1,$D$1034=1),Z1089*(1+$D$1033),$D$1032*'Assumptions - Infrastructure'!AA154)," ")</f>
        <v>500</v>
      </c>
      <c r="AB1089" s="12">
        <f>IF(OR(AB$19=1,AB$20=1),IF(AND($D$1031=1,$D$1034=1),AA1089*(1+$D$1033),$D$1032*'Assumptions - Infrastructure'!AB154)," ")</f>
        <v>500</v>
      </c>
      <c r="AC1089" s="12">
        <f>IF(OR(AC$19=1,AC$20=1),IF(AND($D$1031=1,$D$1034=1),AB1089*(1+$D$1033),$D$1032*'Assumptions - Infrastructure'!AC154)," ")</f>
        <v>500</v>
      </c>
      <c r="AD1089" s="12">
        <f>IF(OR(AD$19=1,AD$20=1),IF(AND($D$1031=1,$D$1034=1),AC1089*(1+$D$1033),$D$1032*'Assumptions - Infrastructure'!AD154)," ")</f>
        <v>500</v>
      </c>
      <c r="AE1089" s="12">
        <f>IF(OR(AE$19=1,AE$20=1),IF(AND($D$1031=1,$D$1034=1),AD1089*(1+$D$1033),$D$1032*'Assumptions - Infrastructure'!AE154)," ")</f>
        <v>500</v>
      </c>
      <c r="AF1089" s="12">
        <f>IF(OR(AF$19=1,AF$20=1),IF(AND($D$1031=1,$D$1034=1),AE1089*(1+$D$1033),$D$1032*'Assumptions - Infrastructure'!AF154)," ")</f>
        <v>500</v>
      </c>
      <c r="AG1089" s="12">
        <f>IF(OR(AG$19=1,AG$20=1),IF(AND($D$1031=1,$D$1034=1),AF1089*(1+$D$1033),$D$1032*'Assumptions - Infrastructure'!AG154)," ")</f>
        <v>500</v>
      </c>
      <c r="AH1089" s="12">
        <f>IF(OR(AH$19=1,AH$20=1),IF(AND($D$1031=1,$D$1034=1),AG1089*(1+$D$1033),$D$1032*'Assumptions - Infrastructure'!AH154)," ")</f>
        <v>500</v>
      </c>
    </row>
    <row r="1090" spans="1:34" x14ac:dyDescent="0.2">
      <c r="A1090" s="18"/>
      <c r="B1090" s="14"/>
      <c r="F1090" s="11"/>
      <c r="G1090" s="11"/>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row>
    <row r="1091" spans="1:34" x14ac:dyDescent="0.2">
      <c r="B1091" s="8" t="str">
        <f>B1082</f>
        <v>Annual traffic volume of Passenger company 1</v>
      </c>
      <c r="C1091" s="8"/>
      <c r="D1091" s="8" t="s">
        <v>286</v>
      </c>
      <c r="E1091" s="12">
        <f>IF(E1082&lt;&gt;0,IF(OR(E$19=1,E$20=1),E1082*'Assumptions - Infrastructure'!E$146," "),0)</f>
        <v>10000</v>
      </c>
      <c r="F1091" s="12">
        <f>IF(F1082&lt;&gt;0,IF(OR(F$19=1,F$20=1),F1082*'Assumptions - Infrastructure'!F$146," "),0)</f>
        <v>10625</v>
      </c>
      <c r="G1091" s="12">
        <f>IF(G1082&lt;&gt;0,IF(OR(G$19=1,G$20=1),G1082*'Assumptions - Infrastructure'!G$146," "),0)</f>
        <v>10625</v>
      </c>
      <c r="H1091" s="12">
        <f>IF(H1082&lt;&gt;0,IF(OR(H$19=1,H$20=1),H1082*'Assumptions - Infrastructure'!H$146," "),0)</f>
        <v>11250</v>
      </c>
      <c r="I1091" s="12">
        <f>IF(I1082&lt;&gt;0,IF(OR(I$19=1,I$20=1),I1082*'Assumptions - Infrastructure'!I$146," "),0)</f>
        <v>12500</v>
      </c>
      <c r="J1091" s="12">
        <f>IF(J1082&lt;&gt;0,IF(OR(J$19=1,J$20=1),J1082*'Assumptions - Infrastructure'!J$146," "),0)</f>
        <v>13125</v>
      </c>
      <c r="K1091" s="12">
        <f>IF(K1082&lt;&gt;0,IF(OR(K$19=1,K$20=1),K1082*'Assumptions - Infrastructure'!K$146," "),0)</f>
        <v>13750</v>
      </c>
      <c r="L1091" s="12">
        <f>IF(L1082&lt;&gt;0,IF(OR(L$19=1,L$20=1),L1082*'Assumptions - Infrastructure'!L$146," "),0)</f>
        <v>14375</v>
      </c>
      <c r="M1091" s="12">
        <f>IF(M1082&lt;&gt;0,IF(OR(M$19=1,M$20=1),M1082*'Assumptions - Infrastructure'!M$146," "),0)</f>
        <v>15000</v>
      </c>
      <c r="N1091" s="12">
        <f>IF(N1082&lt;&gt;0,IF(OR(N$19=1,N$20=1),N1082*'Assumptions - Infrastructure'!N$146," "),0)</f>
        <v>15625</v>
      </c>
      <c r="O1091" s="12">
        <f>IF(O1082&lt;&gt;0,IF(OR(O$19=1,O$20=1),O1082*'Assumptions - Infrastructure'!O$146," "),0)</f>
        <v>16250</v>
      </c>
      <c r="P1091" s="12">
        <f>IF(P1082&lt;&gt;0,IF(OR(P$19=1,P$20=1),P1082*'Assumptions - Infrastructure'!P$146," "),0)</f>
        <v>16875</v>
      </c>
      <c r="Q1091" s="12">
        <f>IF(Q1082&lt;&gt;0,IF(OR(Q$19=1,Q$20=1),Q1082*'Assumptions - Infrastructure'!Q$146," "),0)</f>
        <v>17500</v>
      </c>
      <c r="R1091" s="12">
        <f>IF(R1082&lt;&gt;0,IF(OR(R$19=1,R$20=1),R1082*'Assumptions - Infrastructure'!R$146," "),0)</f>
        <v>18125</v>
      </c>
      <c r="S1091" s="12">
        <f>IF(S1082&lt;&gt;0,IF(OR(S$19=1,S$20=1),S1082*'Assumptions - Infrastructure'!S$146," "),0)</f>
        <v>18750</v>
      </c>
      <c r="T1091" s="12">
        <f>IF(T1082&lt;&gt;0,IF(OR(T$19=1,T$20=1),T1082*'Assumptions - Infrastructure'!T$146," "),0)</f>
        <v>19375</v>
      </c>
      <c r="U1091" s="12">
        <f>IF(U1082&lt;&gt;0,IF(OR(U$19=1,U$20=1),U1082*'Assumptions - Infrastructure'!U$146," "),0)</f>
        <v>20000</v>
      </c>
      <c r="V1091" s="12">
        <f>IF(V1082&lt;&gt;0,IF(OR(V$19=1,V$20=1),V1082*'Assumptions - Infrastructure'!V$146," "),0)</f>
        <v>20625</v>
      </c>
      <c r="W1091" s="12">
        <f>IF(W1082&lt;&gt;0,IF(OR(W$19=1,W$20=1),W1082*'Assumptions - Infrastructure'!W$146," "),0)</f>
        <v>21250</v>
      </c>
      <c r="X1091" s="12">
        <f>IF(X1082&lt;&gt;0,IF(OR(X$19=1,X$20=1),X1082*'Assumptions - Infrastructure'!X$146," "),0)</f>
        <v>21875</v>
      </c>
      <c r="Y1091" s="12">
        <f>IF(Y1082&lt;&gt;0,IF(OR(Y$19=1,Y$20=1),Y1082*'Assumptions - Infrastructure'!Y$146," "),0)</f>
        <v>22500</v>
      </c>
      <c r="Z1091" s="12">
        <f>IF(Z1082&lt;&gt;0,IF(OR(Z$19=1,Z$20=1),Z1082*'Assumptions - Infrastructure'!Z$146," "),0)</f>
        <v>23125</v>
      </c>
      <c r="AA1091" s="12">
        <f>IF(AA1082&lt;&gt;0,IF(OR(AA$19=1,AA$20=1),AA1082*'Assumptions - Infrastructure'!AA$146," "),0)</f>
        <v>23750</v>
      </c>
      <c r="AB1091" s="12">
        <f>IF(AB1082&lt;&gt;0,IF(OR(AB$19=1,AB$20=1),AB1082*'Assumptions - Infrastructure'!AB$146," "),0)</f>
        <v>24375</v>
      </c>
      <c r="AC1091" s="12">
        <f>IF(AC1082&lt;&gt;0,IF(OR(AC$19=1,AC$20=1),AC1082*'Assumptions - Infrastructure'!AC$146," "),0)</f>
        <v>25000</v>
      </c>
      <c r="AD1091" s="12">
        <f>IF(AD1082&lt;&gt;0,IF(OR(AD$19=1,AD$20=1),AD1082*'Assumptions - Infrastructure'!AD$146," "),0)</f>
        <v>25625</v>
      </c>
      <c r="AE1091" s="12">
        <f>IF(AE1082&lt;&gt;0,IF(OR(AE$19=1,AE$20=1),AE1082*'Assumptions - Infrastructure'!AE$146," "),0)</f>
        <v>26250</v>
      </c>
      <c r="AF1091" s="12">
        <f>IF(AF1082&lt;&gt;0,IF(OR(AF$19=1,AF$20=1),AF1082*'Assumptions - Infrastructure'!AF$146," "),0)</f>
        <v>26875</v>
      </c>
      <c r="AG1091" s="12">
        <f>IF(AG1082&lt;&gt;0,IF(OR(AG$19=1,AG$20=1),AG1082*'Assumptions - Infrastructure'!AG$146," "),0)</f>
        <v>27500</v>
      </c>
      <c r="AH1091" s="12">
        <f>IF(AH1082&lt;&gt;0,IF(OR(AH$19=1,AH$20=1),AH1082*'Assumptions - Infrastructure'!AH$146," "),0)</f>
        <v>28125</v>
      </c>
    </row>
    <row r="1092" spans="1:34" x14ac:dyDescent="0.2">
      <c r="B1092" s="8" t="str">
        <f>B1083</f>
        <v>Annual traffic volume of Passenger company 2</v>
      </c>
      <c r="C1092" s="8"/>
      <c r="D1092" s="8" t="str">
        <f>D1091</f>
        <v>GTK (millions)</v>
      </c>
      <c r="E1092" s="12">
        <f>IF(E1083&lt;&gt;0,IF(OR(E$19=1,E$20=1),E1083*'Assumptions - Infrastructure'!E$146," "),0)</f>
        <v>10000</v>
      </c>
      <c r="F1092" s="12">
        <f>IF(F1083&lt;&gt;0,IF(OR(F$19=1,F$20=1),F1083*'Assumptions - Infrastructure'!F$146," "),0)</f>
        <v>10625</v>
      </c>
      <c r="G1092" s="12">
        <f>IF(G1083&lt;&gt;0,IF(OR(G$19=1,G$20=1),G1083*'Assumptions - Infrastructure'!G$146," "),0)</f>
        <v>10625</v>
      </c>
      <c r="H1092" s="12">
        <f>IF(H1083&lt;&gt;0,IF(OR(H$19=1,H$20=1),H1083*'Assumptions - Infrastructure'!H$146," "),0)</f>
        <v>11250</v>
      </c>
      <c r="I1092" s="12">
        <f>IF(I1083&lt;&gt;0,IF(OR(I$19=1,I$20=1),I1083*'Assumptions - Infrastructure'!I$146," "),0)</f>
        <v>12500</v>
      </c>
      <c r="J1092" s="12">
        <f>IF(J1083&lt;&gt;0,IF(OR(J$19=1,J$20=1),J1083*'Assumptions - Infrastructure'!J$146," "),0)</f>
        <v>13125</v>
      </c>
      <c r="K1092" s="12">
        <f>IF(K1083&lt;&gt;0,IF(OR(K$19=1,K$20=1),K1083*'Assumptions - Infrastructure'!K$146," "),0)</f>
        <v>13750</v>
      </c>
      <c r="L1092" s="12">
        <f>IF(L1083&lt;&gt;0,IF(OR(L$19=1,L$20=1),L1083*'Assumptions - Infrastructure'!L$146," "),0)</f>
        <v>14375</v>
      </c>
      <c r="M1092" s="12">
        <f>IF(M1083&lt;&gt;0,IF(OR(M$19=1,M$20=1),M1083*'Assumptions - Infrastructure'!M$146," "),0)</f>
        <v>15000</v>
      </c>
      <c r="N1092" s="12">
        <f>IF(N1083&lt;&gt;0,IF(OR(N$19=1,N$20=1),N1083*'Assumptions - Infrastructure'!N$146," "),0)</f>
        <v>15625</v>
      </c>
      <c r="O1092" s="12">
        <f>IF(O1083&lt;&gt;0,IF(OR(O$19=1,O$20=1),O1083*'Assumptions - Infrastructure'!O$146," "),0)</f>
        <v>16250</v>
      </c>
      <c r="P1092" s="12">
        <f>IF(P1083&lt;&gt;0,IF(OR(P$19=1,P$20=1),P1083*'Assumptions - Infrastructure'!P$146," "),0)</f>
        <v>16875</v>
      </c>
      <c r="Q1092" s="12">
        <f>IF(Q1083&lt;&gt;0,IF(OR(Q$19=1,Q$20=1),Q1083*'Assumptions - Infrastructure'!Q$146," "),0)</f>
        <v>17500</v>
      </c>
      <c r="R1092" s="12">
        <f>IF(R1083&lt;&gt;0,IF(OR(R$19=1,R$20=1),R1083*'Assumptions - Infrastructure'!R$146," "),0)</f>
        <v>18125</v>
      </c>
      <c r="S1092" s="12">
        <f>IF(S1083&lt;&gt;0,IF(OR(S$19=1,S$20=1),S1083*'Assumptions - Infrastructure'!S$146," "),0)</f>
        <v>18750</v>
      </c>
      <c r="T1092" s="12">
        <f>IF(T1083&lt;&gt;0,IF(OR(T$19=1,T$20=1),T1083*'Assumptions - Infrastructure'!T$146," "),0)</f>
        <v>19375</v>
      </c>
      <c r="U1092" s="12">
        <f>IF(U1083&lt;&gt;0,IF(OR(U$19=1,U$20=1),U1083*'Assumptions - Infrastructure'!U$146," "),0)</f>
        <v>20000</v>
      </c>
      <c r="V1092" s="12">
        <f>IF(V1083&lt;&gt;0,IF(OR(V$19=1,V$20=1),V1083*'Assumptions - Infrastructure'!V$146," "),0)</f>
        <v>20625</v>
      </c>
      <c r="W1092" s="12">
        <f>IF(W1083&lt;&gt;0,IF(OR(W$19=1,W$20=1),W1083*'Assumptions - Infrastructure'!W$146," "),0)</f>
        <v>21250</v>
      </c>
      <c r="X1092" s="12">
        <f>IF(X1083&lt;&gt;0,IF(OR(X$19=1,X$20=1),X1083*'Assumptions - Infrastructure'!X$146," "),0)</f>
        <v>21875</v>
      </c>
      <c r="Y1092" s="12">
        <f>IF(Y1083&lt;&gt;0,IF(OR(Y$19=1,Y$20=1),Y1083*'Assumptions - Infrastructure'!Y$146," "),0)</f>
        <v>22500</v>
      </c>
      <c r="Z1092" s="12">
        <f>IF(Z1083&lt;&gt;0,IF(OR(Z$19=1,Z$20=1),Z1083*'Assumptions - Infrastructure'!Z$146," "),0)</f>
        <v>23125</v>
      </c>
      <c r="AA1092" s="12">
        <f>IF(AA1083&lt;&gt;0,IF(OR(AA$19=1,AA$20=1),AA1083*'Assumptions - Infrastructure'!AA$146," "),0)</f>
        <v>23750</v>
      </c>
      <c r="AB1092" s="12">
        <f>IF(AB1083&lt;&gt;0,IF(OR(AB$19=1,AB$20=1),AB1083*'Assumptions - Infrastructure'!AB$146," "),0)</f>
        <v>24375</v>
      </c>
      <c r="AC1092" s="12">
        <f>IF(AC1083&lt;&gt;0,IF(OR(AC$19=1,AC$20=1),AC1083*'Assumptions - Infrastructure'!AC$146," "),0)</f>
        <v>25000</v>
      </c>
      <c r="AD1092" s="12">
        <f>IF(AD1083&lt;&gt;0,IF(OR(AD$19=1,AD$20=1),AD1083*'Assumptions - Infrastructure'!AD$146," "),0)</f>
        <v>25625</v>
      </c>
      <c r="AE1092" s="12">
        <f>IF(AE1083&lt;&gt;0,IF(OR(AE$19=1,AE$20=1),AE1083*'Assumptions - Infrastructure'!AE$146," "),0)</f>
        <v>26250</v>
      </c>
      <c r="AF1092" s="12">
        <f>IF(AF1083&lt;&gt;0,IF(OR(AF$19=1,AF$20=1),AF1083*'Assumptions - Infrastructure'!AF$146," "),0)</f>
        <v>26875</v>
      </c>
      <c r="AG1092" s="12">
        <f>IF(AG1083&lt;&gt;0,IF(OR(AG$19=1,AG$20=1),AG1083*'Assumptions - Infrastructure'!AG$146," "),0)</f>
        <v>27500</v>
      </c>
      <c r="AH1092" s="12">
        <f>IF(AH1083&lt;&gt;0,IF(OR(AH$19=1,AH$20=1),AH1083*'Assumptions - Infrastructure'!AH$146," "),0)</f>
        <v>28125</v>
      </c>
    </row>
    <row r="1093" spans="1:34" x14ac:dyDescent="0.2">
      <c r="B1093" s="8" t="str">
        <f>B1084</f>
        <v>Annual traffic volume of Other companies</v>
      </c>
      <c r="C1093" s="8"/>
      <c r="D1093" s="8" t="str">
        <f>D1092</f>
        <v>GTK (millions)</v>
      </c>
      <c r="E1093" s="12">
        <f>IF(E1084&lt;&gt;0,IF(OR(E$19=1,E$20=1),E1084*'Assumptions - Infrastructure'!E$146," "),0)</f>
        <v>10000</v>
      </c>
      <c r="F1093" s="12">
        <f>IF(F1084&lt;&gt;0,IF(OR(F$19=1,F$20=1),F1084*'Assumptions - Infrastructure'!F$146," "),0)</f>
        <v>10625</v>
      </c>
      <c r="G1093" s="12">
        <f>IF(G1084&lt;&gt;0,IF(OR(G$19=1,G$20=1),G1084*'Assumptions - Infrastructure'!G$146," "),0)</f>
        <v>10625</v>
      </c>
      <c r="H1093" s="12">
        <f>IF(H1084&lt;&gt;0,IF(OR(H$19=1,H$20=1),H1084*'Assumptions - Infrastructure'!H$146," "),0)</f>
        <v>11250</v>
      </c>
      <c r="I1093" s="12">
        <f>IF(I1084&lt;&gt;0,IF(OR(I$19=1,I$20=1),I1084*'Assumptions - Infrastructure'!I$146," "),0)</f>
        <v>12500</v>
      </c>
      <c r="J1093" s="12">
        <f>IF(J1084&lt;&gt;0,IF(OR(J$19=1,J$20=1),J1084*'Assumptions - Infrastructure'!J$146," "),0)</f>
        <v>13125</v>
      </c>
      <c r="K1093" s="12">
        <f>IF(K1084&lt;&gt;0,IF(OR(K$19=1,K$20=1),K1084*'Assumptions - Infrastructure'!K$146," "),0)</f>
        <v>13750</v>
      </c>
      <c r="L1093" s="12">
        <f>IF(L1084&lt;&gt;0,IF(OR(L$19=1,L$20=1),L1084*'Assumptions - Infrastructure'!L$146," "),0)</f>
        <v>14375</v>
      </c>
      <c r="M1093" s="12">
        <f>IF(M1084&lt;&gt;0,IF(OR(M$19=1,M$20=1),M1084*'Assumptions - Infrastructure'!M$146," "),0)</f>
        <v>15000</v>
      </c>
      <c r="N1093" s="12">
        <f>IF(N1084&lt;&gt;0,IF(OR(N$19=1,N$20=1),N1084*'Assumptions - Infrastructure'!N$146," "),0)</f>
        <v>15625</v>
      </c>
      <c r="O1093" s="12">
        <f>IF(O1084&lt;&gt;0,IF(OR(O$19=1,O$20=1),O1084*'Assumptions - Infrastructure'!O$146," "),0)</f>
        <v>16250</v>
      </c>
      <c r="P1093" s="12">
        <f>IF(P1084&lt;&gt;0,IF(OR(P$19=1,P$20=1),P1084*'Assumptions - Infrastructure'!P$146," "),0)</f>
        <v>16875</v>
      </c>
      <c r="Q1093" s="12">
        <f>IF(Q1084&lt;&gt;0,IF(OR(Q$19=1,Q$20=1),Q1084*'Assumptions - Infrastructure'!Q$146," "),0)</f>
        <v>17500</v>
      </c>
      <c r="R1093" s="12">
        <f>IF(R1084&lt;&gt;0,IF(OR(R$19=1,R$20=1),R1084*'Assumptions - Infrastructure'!R$146," "),0)</f>
        <v>18125</v>
      </c>
      <c r="S1093" s="12">
        <f>IF(S1084&lt;&gt;0,IF(OR(S$19=1,S$20=1),S1084*'Assumptions - Infrastructure'!S$146," "),0)</f>
        <v>18750</v>
      </c>
      <c r="T1093" s="12">
        <f>IF(T1084&lt;&gt;0,IF(OR(T$19=1,T$20=1),T1084*'Assumptions - Infrastructure'!T$146," "),0)</f>
        <v>19375</v>
      </c>
      <c r="U1093" s="12">
        <f>IF(U1084&lt;&gt;0,IF(OR(U$19=1,U$20=1),U1084*'Assumptions - Infrastructure'!U$146," "),0)</f>
        <v>20000</v>
      </c>
      <c r="V1093" s="12">
        <f>IF(V1084&lt;&gt;0,IF(OR(V$19=1,V$20=1),V1084*'Assumptions - Infrastructure'!V$146," "),0)</f>
        <v>20625</v>
      </c>
      <c r="W1093" s="12">
        <f>IF(W1084&lt;&gt;0,IF(OR(W$19=1,W$20=1),W1084*'Assumptions - Infrastructure'!W$146," "),0)</f>
        <v>21250</v>
      </c>
      <c r="X1093" s="12">
        <f>IF(X1084&lt;&gt;0,IF(OR(X$19=1,X$20=1),X1084*'Assumptions - Infrastructure'!X$146," "),0)</f>
        <v>21875</v>
      </c>
      <c r="Y1093" s="12">
        <f>IF(Y1084&lt;&gt;0,IF(OR(Y$19=1,Y$20=1),Y1084*'Assumptions - Infrastructure'!Y$146," "),0)</f>
        <v>22500</v>
      </c>
      <c r="Z1093" s="12">
        <f>IF(Z1084&lt;&gt;0,IF(OR(Z$19=1,Z$20=1),Z1084*'Assumptions - Infrastructure'!Z$146," "),0)</f>
        <v>23125</v>
      </c>
      <c r="AA1093" s="12">
        <f>IF(AA1084&lt;&gt;0,IF(OR(AA$19=1,AA$20=1),AA1084*'Assumptions - Infrastructure'!AA$146," "),0)</f>
        <v>23750</v>
      </c>
      <c r="AB1093" s="12">
        <f>IF(AB1084&lt;&gt;0,IF(OR(AB$19=1,AB$20=1),AB1084*'Assumptions - Infrastructure'!AB$146," "),0)</f>
        <v>24375</v>
      </c>
      <c r="AC1093" s="12">
        <f>IF(AC1084&lt;&gt;0,IF(OR(AC$19=1,AC$20=1),AC1084*'Assumptions - Infrastructure'!AC$146," "),0)</f>
        <v>25000</v>
      </c>
      <c r="AD1093" s="12">
        <f>IF(AD1084&lt;&gt;0,IF(OR(AD$19=1,AD$20=1),AD1084*'Assumptions - Infrastructure'!AD$146," "),0)</f>
        <v>25625</v>
      </c>
      <c r="AE1093" s="12">
        <f>IF(AE1084&lt;&gt;0,IF(OR(AE$19=1,AE$20=1),AE1084*'Assumptions - Infrastructure'!AE$146," "),0)</f>
        <v>26250</v>
      </c>
      <c r="AF1093" s="12">
        <f>IF(AF1084&lt;&gt;0,IF(OR(AF$19=1,AF$20=1),AF1084*'Assumptions - Infrastructure'!AF$146," "),0)</f>
        <v>26875</v>
      </c>
      <c r="AG1093" s="12">
        <f>IF(AG1084&lt;&gt;0,IF(OR(AG$19=1,AG$20=1),AG1084*'Assumptions - Infrastructure'!AG$146," "),0)</f>
        <v>27500</v>
      </c>
      <c r="AH1093" s="12">
        <f>IF(AH1084&lt;&gt;0,IF(OR(AH$19=1,AH$20=1),AH1084*'Assumptions - Infrastructure'!AH$146," "),0)</f>
        <v>28125</v>
      </c>
    </row>
    <row r="1094" spans="1:34" x14ac:dyDescent="0.2">
      <c r="B1094" s="30" t="s">
        <v>460</v>
      </c>
      <c r="C1094" s="8"/>
      <c r="D1094" s="8" t="str">
        <f>D1093</f>
        <v>GTK (millions)</v>
      </c>
      <c r="E1094" s="12">
        <f>IF(OR(E$19=1,E$20=1),SUM(E1091:E1093)," ")</f>
        <v>30000</v>
      </c>
      <c r="F1094" s="12">
        <f t="shared" ref="F1094:AH1094" si="419">IF(OR(F$19=1,F$20=1),SUM(F1091:F1093)," ")</f>
        <v>31875</v>
      </c>
      <c r="G1094" s="12">
        <f t="shared" si="419"/>
        <v>31875</v>
      </c>
      <c r="H1094" s="12">
        <f t="shared" si="419"/>
        <v>33750</v>
      </c>
      <c r="I1094" s="12">
        <f t="shared" si="419"/>
        <v>37500</v>
      </c>
      <c r="J1094" s="12">
        <f t="shared" si="419"/>
        <v>39375</v>
      </c>
      <c r="K1094" s="12">
        <f t="shared" si="419"/>
        <v>41250</v>
      </c>
      <c r="L1094" s="12">
        <f t="shared" si="419"/>
        <v>43125</v>
      </c>
      <c r="M1094" s="12">
        <f t="shared" si="419"/>
        <v>45000</v>
      </c>
      <c r="N1094" s="12">
        <f t="shared" si="419"/>
        <v>46875</v>
      </c>
      <c r="O1094" s="12">
        <f t="shared" si="419"/>
        <v>48750</v>
      </c>
      <c r="P1094" s="12">
        <f t="shared" si="419"/>
        <v>50625</v>
      </c>
      <c r="Q1094" s="12">
        <f t="shared" si="419"/>
        <v>52500</v>
      </c>
      <c r="R1094" s="12">
        <f t="shared" si="419"/>
        <v>54375</v>
      </c>
      <c r="S1094" s="12">
        <f t="shared" si="419"/>
        <v>56250</v>
      </c>
      <c r="T1094" s="12">
        <f t="shared" si="419"/>
        <v>58125</v>
      </c>
      <c r="U1094" s="12">
        <f t="shared" si="419"/>
        <v>60000</v>
      </c>
      <c r="V1094" s="12">
        <f t="shared" si="419"/>
        <v>61875</v>
      </c>
      <c r="W1094" s="12">
        <f t="shared" si="419"/>
        <v>63750</v>
      </c>
      <c r="X1094" s="12">
        <f t="shared" si="419"/>
        <v>65625</v>
      </c>
      <c r="Y1094" s="12">
        <f t="shared" si="419"/>
        <v>67500</v>
      </c>
      <c r="Z1094" s="12">
        <f t="shared" si="419"/>
        <v>69375</v>
      </c>
      <c r="AA1094" s="12">
        <f t="shared" si="419"/>
        <v>71250</v>
      </c>
      <c r="AB1094" s="12">
        <f t="shared" si="419"/>
        <v>73125</v>
      </c>
      <c r="AC1094" s="12">
        <f t="shared" si="419"/>
        <v>75000</v>
      </c>
      <c r="AD1094" s="12">
        <f t="shared" si="419"/>
        <v>76875</v>
      </c>
      <c r="AE1094" s="12">
        <f t="shared" si="419"/>
        <v>78750</v>
      </c>
      <c r="AF1094" s="12">
        <f t="shared" si="419"/>
        <v>80625</v>
      </c>
      <c r="AG1094" s="12">
        <f t="shared" si="419"/>
        <v>82500</v>
      </c>
      <c r="AH1094" s="12">
        <f t="shared" si="419"/>
        <v>84375</v>
      </c>
    </row>
    <row r="1095" spans="1:34" x14ac:dyDescent="0.2">
      <c r="B1095" s="30" t="s">
        <v>297</v>
      </c>
      <c r="C1095" s="8"/>
      <c r="D1095" s="8" t="s">
        <v>15</v>
      </c>
      <c r="E1095" s="128" t="str">
        <f t="shared" ref="E1095:AH1095" si="420">IF(E19=1,IF(AND(($E$4+SUM($F$19:$AH$19))=E$4,SUM($E$628:$E$630)&gt;0),(SUM(E1091:E1093)/SUM($E1091:$E1093))^(1/SUM($F$19:$AH$19))-1," ")," ")</f>
        <v xml:space="preserve"> </v>
      </c>
      <c r="F1095" s="128" t="str">
        <f t="shared" si="420"/>
        <v xml:space="preserve"> </v>
      </c>
      <c r="G1095" s="128" t="str">
        <f t="shared" si="420"/>
        <v xml:space="preserve"> </v>
      </c>
      <c r="H1095" s="128" t="str">
        <f t="shared" si="420"/>
        <v xml:space="preserve"> </v>
      </c>
      <c r="I1095" s="128" t="str">
        <f t="shared" si="420"/>
        <v xml:space="preserve"> </v>
      </c>
      <c r="J1095" s="128" t="str">
        <f t="shared" si="420"/>
        <v xml:space="preserve"> </v>
      </c>
      <c r="K1095" s="128" t="str">
        <f t="shared" si="420"/>
        <v xml:space="preserve"> </v>
      </c>
      <c r="L1095" s="128" t="str">
        <f t="shared" si="420"/>
        <v xml:space="preserve"> </v>
      </c>
      <c r="M1095" s="128" t="str">
        <f t="shared" si="420"/>
        <v xml:space="preserve"> </v>
      </c>
      <c r="N1095" s="128" t="str">
        <f t="shared" si="420"/>
        <v xml:space="preserve"> </v>
      </c>
      <c r="O1095" s="128" t="str">
        <f t="shared" si="420"/>
        <v xml:space="preserve"> </v>
      </c>
      <c r="P1095" s="128" t="str">
        <f t="shared" si="420"/>
        <v xml:space="preserve"> </v>
      </c>
      <c r="Q1095" s="128" t="str">
        <f t="shared" si="420"/>
        <v xml:space="preserve"> </v>
      </c>
      <c r="R1095" s="128" t="str">
        <f t="shared" si="420"/>
        <v xml:space="preserve"> </v>
      </c>
      <c r="S1095" s="128" t="str">
        <f t="shared" si="420"/>
        <v xml:space="preserve"> </v>
      </c>
      <c r="T1095" s="128" t="str">
        <f t="shared" si="420"/>
        <v xml:space="preserve"> </v>
      </c>
      <c r="U1095" s="128" t="str">
        <f t="shared" si="420"/>
        <v xml:space="preserve"> </v>
      </c>
      <c r="V1095" s="128" t="str">
        <f t="shared" si="420"/>
        <v xml:space="preserve"> </v>
      </c>
      <c r="W1095" s="128" t="str">
        <f t="shared" si="420"/>
        <v xml:space="preserve"> </v>
      </c>
      <c r="X1095" s="128" t="str">
        <f t="shared" si="420"/>
        <v xml:space="preserve"> </v>
      </c>
      <c r="Y1095" s="128" t="str">
        <f t="shared" si="420"/>
        <v xml:space="preserve"> </v>
      </c>
      <c r="Z1095" s="128" t="str">
        <f t="shared" si="420"/>
        <v xml:space="preserve"> </v>
      </c>
      <c r="AA1095" s="128" t="str">
        <f t="shared" si="420"/>
        <v xml:space="preserve"> </v>
      </c>
      <c r="AB1095" s="128" t="str">
        <f t="shared" si="420"/>
        <v xml:space="preserve"> </v>
      </c>
      <c r="AC1095" s="128" t="str">
        <f t="shared" si="420"/>
        <v xml:space="preserve"> </v>
      </c>
      <c r="AD1095" s="128" t="str">
        <f t="shared" si="420"/>
        <v xml:space="preserve"> </v>
      </c>
      <c r="AE1095" s="128" t="str">
        <f t="shared" si="420"/>
        <v xml:space="preserve"> </v>
      </c>
      <c r="AF1095" s="128" t="str">
        <f t="shared" si="420"/>
        <v xml:space="preserve"> </v>
      </c>
      <c r="AG1095" s="128" t="str">
        <f t="shared" si="420"/>
        <v xml:space="preserve"> </v>
      </c>
      <c r="AH1095" s="128">
        <f t="shared" si="420"/>
        <v>3.6301076626834794E-2</v>
      </c>
    </row>
    <row r="1096" spans="1:34" x14ac:dyDescent="0.2">
      <c r="A1096" s="18"/>
      <c r="B1096" s="14"/>
      <c r="E1096" s="314"/>
      <c r="F1096" s="314"/>
      <c r="G1096" s="314"/>
      <c r="H1096" s="314"/>
      <c r="I1096" s="314"/>
      <c r="J1096" s="314"/>
      <c r="K1096" s="314"/>
      <c r="L1096" s="314"/>
      <c r="M1096" s="314"/>
      <c r="N1096" s="314"/>
      <c r="O1096" s="314"/>
      <c r="P1096" s="314"/>
      <c r="Q1096" s="314"/>
      <c r="R1096" s="314"/>
      <c r="S1096" s="314"/>
      <c r="T1096" s="314"/>
      <c r="U1096" s="314"/>
      <c r="V1096" s="314"/>
      <c r="W1096" s="314"/>
      <c r="X1096" s="314"/>
      <c r="Y1096" s="314"/>
      <c r="Z1096" s="314"/>
      <c r="AA1096" s="314"/>
      <c r="AB1096" s="314"/>
      <c r="AC1096" s="314"/>
      <c r="AD1096" s="314"/>
      <c r="AE1096" s="314"/>
      <c r="AF1096" s="314"/>
      <c r="AG1096" s="314"/>
      <c r="AH1096" s="314"/>
    </row>
    <row r="1097" spans="1:34" x14ac:dyDescent="0.2">
      <c r="B1097" s="8" t="str">
        <f>"Diesel traffic volume of " &amp;'Assumptions - Infrastructure'!E142</f>
        <v>Diesel traffic volume of Passenger company 1</v>
      </c>
      <c r="C1097" s="8"/>
      <c r="D1097" s="8" t="s">
        <v>286</v>
      </c>
      <c r="E1097" s="12">
        <f>IF(E1091&lt;&gt;0,IF(OR(E$19=1,E$20=1),E1091*'Assumptions - Infrastructure'!E$22," "),0)</f>
        <v>5000</v>
      </c>
      <c r="F1097" s="12">
        <f>IF(F1091&lt;&gt;0,IF(OR(F$19=1,F$20=1),F1091*'Assumptions - Infrastructure'!F$22," "),0)</f>
        <v>5312.5</v>
      </c>
      <c r="G1097" s="12">
        <f>IF(G1091&lt;&gt;0,IF(OR(G$19=1,G$20=1),G1091*'Assumptions - Infrastructure'!G$22," "),0)</f>
        <v>5312.5</v>
      </c>
      <c r="H1097" s="12">
        <f>IF(H1091&lt;&gt;0,IF(OR(H$19=1,H$20=1),H1091*'Assumptions - Infrastructure'!H$22," "),0)</f>
        <v>5625</v>
      </c>
      <c r="I1097" s="12">
        <f>IF(I1091&lt;&gt;0,IF(OR(I$19=1,I$20=1),I1091*'Assumptions - Infrastructure'!I$22," "),0)</f>
        <v>6250</v>
      </c>
      <c r="J1097" s="12">
        <f>IF(J1091&lt;&gt;0,IF(OR(J$19=1,J$20=1),J1091*'Assumptions - Infrastructure'!J$22," "),0)</f>
        <v>6562.5</v>
      </c>
      <c r="K1097" s="12">
        <f>IF(K1091&lt;&gt;0,IF(OR(K$19=1,K$20=1),K1091*'Assumptions - Infrastructure'!K$22," "),0)</f>
        <v>6875</v>
      </c>
      <c r="L1097" s="12">
        <f>IF(L1091&lt;&gt;0,IF(OR(L$19=1,L$20=1),L1091*'Assumptions - Infrastructure'!L$22," "),0)</f>
        <v>7187.5</v>
      </c>
      <c r="M1097" s="12">
        <f>IF(M1091&lt;&gt;0,IF(OR(M$19=1,M$20=1),M1091*'Assumptions - Infrastructure'!M$22," "),0)</f>
        <v>7500</v>
      </c>
      <c r="N1097" s="12">
        <f>IF(N1091&lt;&gt;0,IF(OR(N$19=1,N$20=1),N1091*'Assumptions - Infrastructure'!N$22," "),0)</f>
        <v>7812.5</v>
      </c>
      <c r="O1097" s="12">
        <f>IF(O1091&lt;&gt;0,IF(OR(O$19=1,O$20=1),O1091*'Assumptions - Infrastructure'!O$22," "),0)</f>
        <v>8125</v>
      </c>
      <c r="P1097" s="12">
        <f>IF(P1091&lt;&gt;0,IF(OR(P$19=1,P$20=1),P1091*'Assumptions - Infrastructure'!P$22," "),0)</f>
        <v>8437.5</v>
      </c>
      <c r="Q1097" s="12">
        <f>IF(Q1091&lt;&gt;0,IF(OR(Q$19=1,Q$20=1),Q1091*'Assumptions - Infrastructure'!Q$22," "),0)</f>
        <v>8750</v>
      </c>
      <c r="R1097" s="12">
        <f>IF(R1091&lt;&gt;0,IF(OR(R$19=1,R$20=1),R1091*'Assumptions - Infrastructure'!R$22," "),0)</f>
        <v>9062.5</v>
      </c>
      <c r="S1097" s="12">
        <f>IF(S1091&lt;&gt;0,IF(OR(S$19=1,S$20=1),S1091*'Assumptions - Infrastructure'!S$22," "),0)</f>
        <v>9375</v>
      </c>
      <c r="T1097" s="12">
        <f>IF(T1091&lt;&gt;0,IF(OR(T$19=1,T$20=1),T1091*'Assumptions - Infrastructure'!T$22," "),0)</f>
        <v>9687.5</v>
      </c>
      <c r="U1097" s="12">
        <f>IF(U1091&lt;&gt;0,IF(OR(U$19=1,U$20=1),U1091*'Assumptions - Infrastructure'!U$22," "),0)</f>
        <v>10000</v>
      </c>
      <c r="V1097" s="12">
        <f>IF(V1091&lt;&gt;0,IF(OR(V$19=1,V$20=1),V1091*'Assumptions - Infrastructure'!V$22," "),0)</f>
        <v>10312.5</v>
      </c>
      <c r="W1097" s="12">
        <f>IF(W1091&lt;&gt;0,IF(OR(W$19=1,W$20=1),W1091*'Assumptions - Infrastructure'!W$22," "),0)</f>
        <v>10625</v>
      </c>
      <c r="X1097" s="12">
        <f>IF(X1091&lt;&gt;0,IF(OR(X$19=1,X$20=1),X1091*'Assumptions - Infrastructure'!X$22," "),0)</f>
        <v>10937.5</v>
      </c>
      <c r="Y1097" s="12">
        <f>IF(Y1091&lt;&gt;0,IF(OR(Y$19=1,Y$20=1),Y1091*'Assumptions - Infrastructure'!Y$22," "),0)</f>
        <v>11250</v>
      </c>
      <c r="Z1097" s="12">
        <f>IF(Z1091&lt;&gt;0,IF(OR(Z$19=1,Z$20=1),Z1091*'Assumptions - Infrastructure'!Z$22," "),0)</f>
        <v>11562.5</v>
      </c>
      <c r="AA1097" s="12">
        <f>IF(AA1091&lt;&gt;0,IF(OR(AA$19=1,AA$20=1),AA1091*'Assumptions - Infrastructure'!AA$22," "),0)</f>
        <v>11875</v>
      </c>
      <c r="AB1097" s="12">
        <f>IF(AB1091&lt;&gt;0,IF(OR(AB$19=1,AB$20=1),AB1091*'Assumptions - Infrastructure'!AB$22," "),0)</f>
        <v>12187.5</v>
      </c>
      <c r="AC1097" s="12">
        <f>IF(AC1091&lt;&gt;0,IF(OR(AC$19=1,AC$20=1),AC1091*'Assumptions - Infrastructure'!AC$22," "),0)</f>
        <v>12500</v>
      </c>
      <c r="AD1097" s="12">
        <f>IF(AD1091&lt;&gt;0,IF(OR(AD$19=1,AD$20=1),AD1091*'Assumptions - Infrastructure'!AD$22," "),0)</f>
        <v>12812.5</v>
      </c>
      <c r="AE1097" s="12">
        <f>IF(AE1091&lt;&gt;0,IF(OR(AE$19=1,AE$20=1),AE1091*'Assumptions - Infrastructure'!AE$22," "),0)</f>
        <v>13125</v>
      </c>
      <c r="AF1097" s="12">
        <f>IF(AF1091&lt;&gt;0,IF(OR(AF$19=1,AF$20=1),AF1091*'Assumptions - Infrastructure'!AF$22," "),0)</f>
        <v>13437.5</v>
      </c>
      <c r="AG1097" s="12">
        <f>IF(AG1091&lt;&gt;0,IF(OR(AG$19=1,AG$20=1),AG1091*'Assumptions - Infrastructure'!AG$22," "),0)</f>
        <v>13750</v>
      </c>
      <c r="AH1097" s="12">
        <f>IF(AH1091&lt;&gt;0,IF(OR(AH$19=1,AH$20=1),AH1091*'Assumptions - Infrastructure'!AH$22," "),0)</f>
        <v>14062.5</v>
      </c>
    </row>
    <row r="1098" spans="1:34" x14ac:dyDescent="0.2">
      <c r="B1098" s="8" t="str">
        <f>"Diesel traffic volume of " &amp;'Assumptions - Infrastructure'!E143</f>
        <v>Diesel traffic volume of Passenger company 2</v>
      </c>
      <c r="C1098" s="8"/>
      <c r="D1098" s="8" t="str">
        <f>D1097</f>
        <v>GTK (millions)</v>
      </c>
      <c r="E1098" s="12">
        <f>IF(E1092&lt;&gt;0,IF(OR(E$19=1,E$20=1),E1092*'Assumptions - Infrastructure'!E$22," "),0)</f>
        <v>5000</v>
      </c>
      <c r="F1098" s="12">
        <f>IF(F1092&lt;&gt;0,IF(OR(F$19=1,F$20=1),F1092*'Assumptions - Infrastructure'!F$22," "),0)</f>
        <v>5312.5</v>
      </c>
      <c r="G1098" s="12">
        <f>IF(G1092&lt;&gt;0,IF(OR(G$19=1,G$20=1),G1092*'Assumptions - Infrastructure'!G$22," "),0)</f>
        <v>5312.5</v>
      </c>
      <c r="H1098" s="12">
        <f>IF(H1092&lt;&gt;0,IF(OR(H$19=1,H$20=1),H1092*'Assumptions - Infrastructure'!H$22," "),0)</f>
        <v>5625</v>
      </c>
      <c r="I1098" s="12">
        <f>IF(I1092&lt;&gt;0,IF(OR(I$19=1,I$20=1),I1092*'Assumptions - Infrastructure'!I$22," "),0)</f>
        <v>6250</v>
      </c>
      <c r="J1098" s="12">
        <f>IF(J1092&lt;&gt;0,IF(OR(J$19=1,J$20=1),J1092*'Assumptions - Infrastructure'!J$22," "),0)</f>
        <v>6562.5</v>
      </c>
      <c r="K1098" s="12">
        <f>IF(K1092&lt;&gt;0,IF(OR(K$19=1,K$20=1),K1092*'Assumptions - Infrastructure'!K$22," "),0)</f>
        <v>6875</v>
      </c>
      <c r="L1098" s="12">
        <f>IF(L1092&lt;&gt;0,IF(OR(L$19=1,L$20=1),L1092*'Assumptions - Infrastructure'!L$22," "),0)</f>
        <v>7187.5</v>
      </c>
      <c r="M1098" s="12">
        <f>IF(M1092&lt;&gt;0,IF(OR(M$19=1,M$20=1),M1092*'Assumptions - Infrastructure'!M$22," "),0)</f>
        <v>7500</v>
      </c>
      <c r="N1098" s="12">
        <f>IF(N1092&lt;&gt;0,IF(OR(N$19=1,N$20=1),N1092*'Assumptions - Infrastructure'!N$22," "),0)</f>
        <v>7812.5</v>
      </c>
      <c r="O1098" s="12">
        <f>IF(O1092&lt;&gt;0,IF(OR(O$19=1,O$20=1),O1092*'Assumptions - Infrastructure'!O$22," "),0)</f>
        <v>8125</v>
      </c>
      <c r="P1098" s="12">
        <f>IF(P1092&lt;&gt;0,IF(OR(P$19=1,P$20=1),P1092*'Assumptions - Infrastructure'!P$22," "),0)</f>
        <v>8437.5</v>
      </c>
      <c r="Q1098" s="12">
        <f>IF(Q1092&lt;&gt;0,IF(OR(Q$19=1,Q$20=1),Q1092*'Assumptions - Infrastructure'!Q$22," "),0)</f>
        <v>8750</v>
      </c>
      <c r="R1098" s="12">
        <f>IF(R1092&lt;&gt;0,IF(OR(R$19=1,R$20=1),R1092*'Assumptions - Infrastructure'!R$22," "),0)</f>
        <v>9062.5</v>
      </c>
      <c r="S1098" s="12">
        <f>IF(S1092&lt;&gt;0,IF(OR(S$19=1,S$20=1),S1092*'Assumptions - Infrastructure'!S$22," "),0)</f>
        <v>9375</v>
      </c>
      <c r="T1098" s="12">
        <f>IF(T1092&lt;&gt;0,IF(OR(T$19=1,T$20=1),T1092*'Assumptions - Infrastructure'!T$22," "),0)</f>
        <v>9687.5</v>
      </c>
      <c r="U1098" s="12">
        <f>IF(U1092&lt;&gt;0,IF(OR(U$19=1,U$20=1),U1092*'Assumptions - Infrastructure'!U$22," "),0)</f>
        <v>10000</v>
      </c>
      <c r="V1098" s="12">
        <f>IF(V1092&lt;&gt;0,IF(OR(V$19=1,V$20=1),V1092*'Assumptions - Infrastructure'!V$22," "),0)</f>
        <v>10312.5</v>
      </c>
      <c r="W1098" s="12">
        <f>IF(W1092&lt;&gt;0,IF(OR(W$19=1,W$20=1),W1092*'Assumptions - Infrastructure'!W$22," "),0)</f>
        <v>10625</v>
      </c>
      <c r="X1098" s="12">
        <f>IF(X1092&lt;&gt;0,IF(OR(X$19=1,X$20=1),X1092*'Assumptions - Infrastructure'!X$22," "),0)</f>
        <v>10937.5</v>
      </c>
      <c r="Y1098" s="12">
        <f>IF(Y1092&lt;&gt;0,IF(OR(Y$19=1,Y$20=1),Y1092*'Assumptions - Infrastructure'!Y$22," "),0)</f>
        <v>11250</v>
      </c>
      <c r="Z1098" s="12">
        <f>IF(Z1092&lt;&gt;0,IF(OR(Z$19=1,Z$20=1),Z1092*'Assumptions - Infrastructure'!Z$22," "),0)</f>
        <v>11562.5</v>
      </c>
      <c r="AA1098" s="12">
        <f>IF(AA1092&lt;&gt;0,IF(OR(AA$19=1,AA$20=1),AA1092*'Assumptions - Infrastructure'!AA$22," "),0)</f>
        <v>11875</v>
      </c>
      <c r="AB1098" s="12">
        <f>IF(AB1092&lt;&gt;0,IF(OR(AB$19=1,AB$20=1),AB1092*'Assumptions - Infrastructure'!AB$22," "),0)</f>
        <v>12187.5</v>
      </c>
      <c r="AC1098" s="12">
        <f>IF(AC1092&lt;&gt;0,IF(OR(AC$19=1,AC$20=1),AC1092*'Assumptions - Infrastructure'!AC$22," "),0)</f>
        <v>12500</v>
      </c>
      <c r="AD1098" s="12">
        <f>IF(AD1092&lt;&gt;0,IF(OR(AD$19=1,AD$20=1),AD1092*'Assumptions - Infrastructure'!AD$22," "),0)</f>
        <v>12812.5</v>
      </c>
      <c r="AE1098" s="12">
        <f>IF(AE1092&lt;&gt;0,IF(OR(AE$19=1,AE$20=1),AE1092*'Assumptions - Infrastructure'!AE$22," "),0)</f>
        <v>13125</v>
      </c>
      <c r="AF1098" s="12">
        <f>IF(AF1092&lt;&gt;0,IF(OR(AF$19=1,AF$20=1),AF1092*'Assumptions - Infrastructure'!AF$22," "),0)</f>
        <v>13437.5</v>
      </c>
      <c r="AG1098" s="12">
        <f>IF(AG1092&lt;&gt;0,IF(OR(AG$19=1,AG$20=1),AG1092*'Assumptions - Infrastructure'!AG$22," "),0)</f>
        <v>13750</v>
      </c>
      <c r="AH1098" s="12">
        <f>IF(AH1092&lt;&gt;0,IF(OR(AH$19=1,AH$20=1),AH1092*'Assumptions - Infrastructure'!AH$22," "),0)</f>
        <v>14062.5</v>
      </c>
    </row>
    <row r="1099" spans="1:34" x14ac:dyDescent="0.2">
      <c r="B1099" s="8" t="str">
        <f>"Diesel traffic volume of " &amp;'Assumptions - Infrastructure'!E144</f>
        <v>Diesel traffic volume of Other companies</v>
      </c>
      <c r="C1099" s="8"/>
      <c r="D1099" s="8" t="str">
        <f>D1098</f>
        <v>GTK (millions)</v>
      </c>
      <c r="E1099" s="12">
        <f>IF(E1093&lt;&gt;0,IF(OR(E$19=1,E$20=1),E1093*'Assumptions - Infrastructure'!E$22," "),0)</f>
        <v>5000</v>
      </c>
      <c r="F1099" s="12">
        <f>IF(F1093&lt;&gt;0,IF(OR(F$19=1,F$20=1),F1093*'Assumptions - Infrastructure'!F$22," "),0)</f>
        <v>5312.5</v>
      </c>
      <c r="G1099" s="12">
        <f>IF(G1093&lt;&gt;0,IF(OR(G$19=1,G$20=1),G1093*'Assumptions - Infrastructure'!G$22," "),0)</f>
        <v>5312.5</v>
      </c>
      <c r="H1099" s="12">
        <f>IF(H1093&lt;&gt;0,IF(OR(H$19=1,H$20=1),H1093*'Assumptions - Infrastructure'!H$22," "),0)</f>
        <v>5625</v>
      </c>
      <c r="I1099" s="12">
        <f>IF(I1093&lt;&gt;0,IF(OR(I$19=1,I$20=1),I1093*'Assumptions - Infrastructure'!I$22," "),0)</f>
        <v>6250</v>
      </c>
      <c r="J1099" s="12">
        <f>IF(J1093&lt;&gt;0,IF(OR(J$19=1,J$20=1),J1093*'Assumptions - Infrastructure'!J$22," "),0)</f>
        <v>6562.5</v>
      </c>
      <c r="K1099" s="12">
        <f>IF(K1093&lt;&gt;0,IF(OR(K$19=1,K$20=1),K1093*'Assumptions - Infrastructure'!K$22," "),0)</f>
        <v>6875</v>
      </c>
      <c r="L1099" s="12">
        <f>IF(L1093&lt;&gt;0,IF(OR(L$19=1,L$20=1),L1093*'Assumptions - Infrastructure'!L$22," "),0)</f>
        <v>7187.5</v>
      </c>
      <c r="M1099" s="12">
        <f>IF(M1093&lt;&gt;0,IF(OR(M$19=1,M$20=1),M1093*'Assumptions - Infrastructure'!M$22," "),0)</f>
        <v>7500</v>
      </c>
      <c r="N1099" s="12">
        <f>IF(N1093&lt;&gt;0,IF(OR(N$19=1,N$20=1),N1093*'Assumptions - Infrastructure'!N$22," "),0)</f>
        <v>7812.5</v>
      </c>
      <c r="O1099" s="12">
        <f>IF(O1093&lt;&gt;0,IF(OR(O$19=1,O$20=1),O1093*'Assumptions - Infrastructure'!O$22," "),0)</f>
        <v>8125</v>
      </c>
      <c r="P1099" s="12">
        <f>IF(P1093&lt;&gt;0,IF(OR(P$19=1,P$20=1),P1093*'Assumptions - Infrastructure'!P$22," "),0)</f>
        <v>8437.5</v>
      </c>
      <c r="Q1099" s="12">
        <f>IF(Q1093&lt;&gt;0,IF(OR(Q$19=1,Q$20=1),Q1093*'Assumptions - Infrastructure'!Q$22," "),0)</f>
        <v>8750</v>
      </c>
      <c r="R1099" s="12">
        <f>IF(R1093&lt;&gt;0,IF(OR(R$19=1,R$20=1),R1093*'Assumptions - Infrastructure'!R$22," "),0)</f>
        <v>9062.5</v>
      </c>
      <c r="S1099" s="12">
        <f>IF(S1093&lt;&gt;0,IF(OR(S$19=1,S$20=1),S1093*'Assumptions - Infrastructure'!S$22," "),0)</f>
        <v>9375</v>
      </c>
      <c r="T1099" s="12">
        <f>IF(T1093&lt;&gt;0,IF(OR(T$19=1,T$20=1),T1093*'Assumptions - Infrastructure'!T$22," "),0)</f>
        <v>9687.5</v>
      </c>
      <c r="U1099" s="12">
        <f>IF(U1093&lt;&gt;0,IF(OR(U$19=1,U$20=1),U1093*'Assumptions - Infrastructure'!U$22," "),0)</f>
        <v>10000</v>
      </c>
      <c r="V1099" s="12">
        <f>IF(V1093&lt;&gt;0,IF(OR(V$19=1,V$20=1),V1093*'Assumptions - Infrastructure'!V$22," "),0)</f>
        <v>10312.5</v>
      </c>
      <c r="W1099" s="12">
        <f>IF(W1093&lt;&gt;0,IF(OR(W$19=1,W$20=1),W1093*'Assumptions - Infrastructure'!W$22," "),0)</f>
        <v>10625</v>
      </c>
      <c r="X1099" s="12">
        <f>IF(X1093&lt;&gt;0,IF(OR(X$19=1,X$20=1),X1093*'Assumptions - Infrastructure'!X$22," "),0)</f>
        <v>10937.5</v>
      </c>
      <c r="Y1099" s="12">
        <f>IF(Y1093&lt;&gt;0,IF(OR(Y$19=1,Y$20=1),Y1093*'Assumptions - Infrastructure'!Y$22," "),0)</f>
        <v>11250</v>
      </c>
      <c r="Z1099" s="12">
        <f>IF(Z1093&lt;&gt;0,IF(OR(Z$19=1,Z$20=1),Z1093*'Assumptions - Infrastructure'!Z$22," "),0)</f>
        <v>11562.5</v>
      </c>
      <c r="AA1099" s="12">
        <f>IF(AA1093&lt;&gt;0,IF(OR(AA$19=1,AA$20=1),AA1093*'Assumptions - Infrastructure'!AA$22," "),0)</f>
        <v>11875</v>
      </c>
      <c r="AB1099" s="12">
        <f>IF(AB1093&lt;&gt;0,IF(OR(AB$19=1,AB$20=1),AB1093*'Assumptions - Infrastructure'!AB$22," "),0)</f>
        <v>12187.5</v>
      </c>
      <c r="AC1099" s="12">
        <f>IF(AC1093&lt;&gt;0,IF(OR(AC$19=1,AC$20=1),AC1093*'Assumptions - Infrastructure'!AC$22," "),0)</f>
        <v>12500</v>
      </c>
      <c r="AD1099" s="12">
        <f>IF(AD1093&lt;&gt;0,IF(OR(AD$19=1,AD$20=1),AD1093*'Assumptions - Infrastructure'!AD$22," "),0)</f>
        <v>12812.5</v>
      </c>
      <c r="AE1099" s="12">
        <f>IF(AE1093&lt;&gt;0,IF(OR(AE$19=1,AE$20=1),AE1093*'Assumptions - Infrastructure'!AE$22," "),0)</f>
        <v>13125</v>
      </c>
      <c r="AF1099" s="12">
        <f>IF(AF1093&lt;&gt;0,IF(OR(AF$19=1,AF$20=1),AF1093*'Assumptions - Infrastructure'!AF$22," "),0)</f>
        <v>13437.5</v>
      </c>
      <c r="AG1099" s="12">
        <f>IF(AG1093&lt;&gt;0,IF(OR(AG$19=1,AG$20=1),AG1093*'Assumptions - Infrastructure'!AG$22," "),0)</f>
        <v>13750</v>
      </c>
      <c r="AH1099" s="12">
        <f>IF(AH1093&lt;&gt;0,IF(OR(AH$19=1,AH$20=1),AH1093*'Assumptions - Infrastructure'!AH$22," "),0)</f>
        <v>14062.5</v>
      </c>
    </row>
    <row r="1100" spans="1:34" x14ac:dyDescent="0.2">
      <c r="B1100" s="30" t="s">
        <v>460</v>
      </c>
      <c r="C1100" s="8"/>
      <c r="D1100" s="8" t="str">
        <f>D1099</f>
        <v>GTK (millions)</v>
      </c>
      <c r="E1100" s="12">
        <f>IF(OR(E$19=1,E$20=1),SUM(E1097:E1099)," ")</f>
        <v>15000</v>
      </c>
      <c r="F1100" s="12">
        <f t="shared" ref="F1100:AH1100" si="421">IF(OR(F$19=1,F$20=1),SUM(F1097:F1099)," ")</f>
        <v>15937.5</v>
      </c>
      <c r="G1100" s="12">
        <f t="shared" si="421"/>
        <v>15937.5</v>
      </c>
      <c r="H1100" s="12">
        <f t="shared" si="421"/>
        <v>16875</v>
      </c>
      <c r="I1100" s="12">
        <f t="shared" si="421"/>
        <v>18750</v>
      </c>
      <c r="J1100" s="12">
        <f t="shared" si="421"/>
        <v>19687.5</v>
      </c>
      <c r="K1100" s="12">
        <f t="shared" si="421"/>
        <v>20625</v>
      </c>
      <c r="L1100" s="12">
        <f t="shared" si="421"/>
        <v>21562.5</v>
      </c>
      <c r="M1100" s="12">
        <f t="shared" si="421"/>
        <v>22500</v>
      </c>
      <c r="N1100" s="12">
        <f t="shared" si="421"/>
        <v>23437.5</v>
      </c>
      <c r="O1100" s="12">
        <f t="shared" si="421"/>
        <v>24375</v>
      </c>
      <c r="P1100" s="12">
        <f t="shared" si="421"/>
        <v>25312.5</v>
      </c>
      <c r="Q1100" s="12">
        <f t="shared" si="421"/>
        <v>26250</v>
      </c>
      <c r="R1100" s="12">
        <f t="shared" si="421"/>
        <v>27187.5</v>
      </c>
      <c r="S1100" s="12">
        <f t="shared" si="421"/>
        <v>28125</v>
      </c>
      <c r="T1100" s="12">
        <f t="shared" si="421"/>
        <v>29062.5</v>
      </c>
      <c r="U1100" s="12">
        <f t="shared" si="421"/>
        <v>30000</v>
      </c>
      <c r="V1100" s="12">
        <f t="shared" si="421"/>
        <v>30937.5</v>
      </c>
      <c r="W1100" s="12">
        <f t="shared" si="421"/>
        <v>31875</v>
      </c>
      <c r="X1100" s="12">
        <f t="shared" si="421"/>
        <v>32812.5</v>
      </c>
      <c r="Y1100" s="12">
        <f t="shared" si="421"/>
        <v>33750</v>
      </c>
      <c r="Z1100" s="12">
        <f t="shared" si="421"/>
        <v>34687.5</v>
      </c>
      <c r="AA1100" s="12">
        <f t="shared" si="421"/>
        <v>35625</v>
      </c>
      <c r="AB1100" s="12">
        <f t="shared" si="421"/>
        <v>36562.5</v>
      </c>
      <c r="AC1100" s="12">
        <f t="shared" si="421"/>
        <v>37500</v>
      </c>
      <c r="AD1100" s="12">
        <f t="shared" si="421"/>
        <v>38437.5</v>
      </c>
      <c r="AE1100" s="12">
        <f t="shared" si="421"/>
        <v>39375</v>
      </c>
      <c r="AF1100" s="12">
        <f t="shared" si="421"/>
        <v>40312.5</v>
      </c>
      <c r="AG1100" s="12">
        <f t="shared" si="421"/>
        <v>41250</v>
      </c>
      <c r="AH1100" s="12">
        <f t="shared" si="421"/>
        <v>42187.5</v>
      </c>
    </row>
    <row r="1101" spans="1:34" x14ac:dyDescent="0.2">
      <c r="A1101" s="18"/>
      <c r="B1101" s="14"/>
    </row>
    <row r="1102" spans="1:34" x14ac:dyDescent="0.2">
      <c r="B1102" s="8" t="str">
        <f>"Electric traffic volume of " &amp;'Assumptions - Infrastructure'!E142</f>
        <v>Electric traffic volume of Passenger company 1</v>
      </c>
      <c r="C1102" s="8"/>
      <c r="D1102" s="8" t="s">
        <v>286</v>
      </c>
      <c r="E1102" s="12">
        <f>IF(E1091&lt;&gt;0,IF(OR(E$19=1,E$20=1),E1091-E1097," "),0)</f>
        <v>5000</v>
      </c>
      <c r="F1102" s="12">
        <f t="shared" ref="F1102:AH1102" si="422">IF(F1091&lt;&gt;0,IF(OR(F$19=1,F$20=1),F1091-F1097," "),0)</f>
        <v>5312.5</v>
      </c>
      <c r="G1102" s="12">
        <f t="shared" si="422"/>
        <v>5312.5</v>
      </c>
      <c r="H1102" s="12">
        <f t="shared" si="422"/>
        <v>5625</v>
      </c>
      <c r="I1102" s="12">
        <f t="shared" si="422"/>
        <v>6250</v>
      </c>
      <c r="J1102" s="12">
        <f t="shared" si="422"/>
        <v>6562.5</v>
      </c>
      <c r="K1102" s="12">
        <f t="shared" si="422"/>
        <v>6875</v>
      </c>
      <c r="L1102" s="12">
        <f t="shared" si="422"/>
        <v>7187.5</v>
      </c>
      <c r="M1102" s="12">
        <f t="shared" si="422"/>
        <v>7500</v>
      </c>
      <c r="N1102" s="12">
        <f t="shared" si="422"/>
        <v>7812.5</v>
      </c>
      <c r="O1102" s="12">
        <f t="shared" si="422"/>
        <v>8125</v>
      </c>
      <c r="P1102" s="12">
        <f t="shared" si="422"/>
        <v>8437.5</v>
      </c>
      <c r="Q1102" s="12">
        <f t="shared" si="422"/>
        <v>8750</v>
      </c>
      <c r="R1102" s="12">
        <f t="shared" si="422"/>
        <v>9062.5</v>
      </c>
      <c r="S1102" s="12">
        <f t="shared" si="422"/>
        <v>9375</v>
      </c>
      <c r="T1102" s="12">
        <f t="shared" si="422"/>
        <v>9687.5</v>
      </c>
      <c r="U1102" s="12">
        <f t="shared" si="422"/>
        <v>10000</v>
      </c>
      <c r="V1102" s="12">
        <f t="shared" si="422"/>
        <v>10312.5</v>
      </c>
      <c r="W1102" s="12">
        <f t="shared" si="422"/>
        <v>10625</v>
      </c>
      <c r="X1102" s="12">
        <f t="shared" si="422"/>
        <v>10937.5</v>
      </c>
      <c r="Y1102" s="12">
        <f t="shared" si="422"/>
        <v>11250</v>
      </c>
      <c r="Z1102" s="12">
        <f t="shared" si="422"/>
        <v>11562.5</v>
      </c>
      <c r="AA1102" s="12">
        <f t="shared" si="422"/>
        <v>11875</v>
      </c>
      <c r="AB1102" s="12">
        <f t="shared" si="422"/>
        <v>12187.5</v>
      </c>
      <c r="AC1102" s="12">
        <f t="shared" si="422"/>
        <v>12500</v>
      </c>
      <c r="AD1102" s="12">
        <f t="shared" si="422"/>
        <v>12812.5</v>
      </c>
      <c r="AE1102" s="12">
        <f t="shared" si="422"/>
        <v>13125</v>
      </c>
      <c r="AF1102" s="12">
        <f t="shared" si="422"/>
        <v>13437.5</v>
      </c>
      <c r="AG1102" s="12">
        <f t="shared" si="422"/>
        <v>13750</v>
      </c>
      <c r="AH1102" s="12">
        <f t="shared" si="422"/>
        <v>14062.5</v>
      </c>
    </row>
    <row r="1103" spans="1:34" x14ac:dyDescent="0.2">
      <c r="B1103" s="8" t="str">
        <f>"Electric traffic volume of " &amp;'Assumptions - Infrastructure'!E143</f>
        <v>Electric traffic volume of Passenger company 2</v>
      </c>
      <c r="C1103" s="8"/>
      <c r="D1103" s="8" t="str">
        <f>D1102</f>
        <v>GTK (millions)</v>
      </c>
      <c r="E1103" s="12">
        <f>IF(E1092&lt;&gt;0,IF(OR(E$19=1,E$20=1),E1092-E1098," "),0)</f>
        <v>5000</v>
      </c>
      <c r="F1103" s="12">
        <f t="shared" ref="F1103:AH1103" si="423">IF(F1092&lt;&gt;0,IF(OR(F$19=1,F$20=1),F1092-F1098," "),0)</f>
        <v>5312.5</v>
      </c>
      <c r="G1103" s="12">
        <f t="shared" si="423"/>
        <v>5312.5</v>
      </c>
      <c r="H1103" s="12">
        <f t="shared" si="423"/>
        <v>5625</v>
      </c>
      <c r="I1103" s="12">
        <f t="shared" si="423"/>
        <v>6250</v>
      </c>
      <c r="J1103" s="12">
        <f t="shared" si="423"/>
        <v>6562.5</v>
      </c>
      <c r="K1103" s="12">
        <f t="shared" si="423"/>
        <v>6875</v>
      </c>
      <c r="L1103" s="12">
        <f t="shared" si="423"/>
        <v>7187.5</v>
      </c>
      <c r="M1103" s="12">
        <f t="shared" si="423"/>
        <v>7500</v>
      </c>
      <c r="N1103" s="12">
        <f t="shared" si="423"/>
        <v>7812.5</v>
      </c>
      <c r="O1103" s="12">
        <f t="shared" si="423"/>
        <v>8125</v>
      </c>
      <c r="P1103" s="12">
        <f t="shared" si="423"/>
        <v>8437.5</v>
      </c>
      <c r="Q1103" s="12">
        <f t="shared" si="423"/>
        <v>8750</v>
      </c>
      <c r="R1103" s="12">
        <f t="shared" si="423"/>
        <v>9062.5</v>
      </c>
      <c r="S1103" s="12">
        <f t="shared" si="423"/>
        <v>9375</v>
      </c>
      <c r="T1103" s="12">
        <f t="shared" si="423"/>
        <v>9687.5</v>
      </c>
      <c r="U1103" s="12">
        <f t="shared" si="423"/>
        <v>10000</v>
      </c>
      <c r="V1103" s="12">
        <f t="shared" si="423"/>
        <v>10312.5</v>
      </c>
      <c r="W1103" s="12">
        <f t="shared" si="423"/>
        <v>10625</v>
      </c>
      <c r="X1103" s="12">
        <f t="shared" si="423"/>
        <v>10937.5</v>
      </c>
      <c r="Y1103" s="12">
        <f t="shared" si="423"/>
        <v>11250</v>
      </c>
      <c r="Z1103" s="12">
        <f t="shared" si="423"/>
        <v>11562.5</v>
      </c>
      <c r="AA1103" s="12">
        <f t="shared" si="423"/>
        <v>11875</v>
      </c>
      <c r="AB1103" s="12">
        <f t="shared" si="423"/>
        <v>12187.5</v>
      </c>
      <c r="AC1103" s="12">
        <f t="shared" si="423"/>
        <v>12500</v>
      </c>
      <c r="AD1103" s="12">
        <f t="shared" si="423"/>
        <v>12812.5</v>
      </c>
      <c r="AE1103" s="12">
        <f t="shared" si="423"/>
        <v>13125</v>
      </c>
      <c r="AF1103" s="12">
        <f t="shared" si="423"/>
        <v>13437.5</v>
      </c>
      <c r="AG1103" s="12">
        <f t="shared" si="423"/>
        <v>13750</v>
      </c>
      <c r="AH1103" s="12">
        <f t="shared" si="423"/>
        <v>14062.5</v>
      </c>
    </row>
    <row r="1104" spans="1:34" x14ac:dyDescent="0.2">
      <c r="B1104" s="8" t="str">
        <f>"Electric traffic volume of " &amp;'Assumptions - Infrastructure'!E144</f>
        <v>Electric traffic volume of Other companies</v>
      </c>
      <c r="C1104" s="8"/>
      <c r="D1104" s="8" t="str">
        <f>D1103</f>
        <v>GTK (millions)</v>
      </c>
      <c r="E1104" s="12">
        <f>IF(E1093&lt;&gt;0,IF(OR(E$19=1,E$20=1),E1093-E1099," "),0)</f>
        <v>5000</v>
      </c>
      <c r="F1104" s="12">
        <f t="shared" ref="F1104:AH1104" si="424">IF(F1093&lt;&gt;0,IF(OR(F$19=1,F$20=1),F1093-F1099," "),0)</f>
        <v>5312.5</v>
      </c>
      <c r="G1104" s="12">
        <f t="shared" si="424"/>
        <v>5312.5</v>
      </c>
      <c r="H1104" s="12">
        <f t="shared" si="424"/>
        <v>5625</v>
      </c>
      <c r="I1104" s="12">
        <f t="shared" si="424"/>
        <v>6250</v>
      </c>
      <c r="J1104" s="12">
        <f t="shared" si="424"/>
        <v>6562.5</v>
      </c>
      <c r="K1104" s="12">
        <f t="shared" si="424"/>
        <v>6875</v>
      </c>
      <c r="L1104" s="12">
        <f t="shared" si="424"/>
        <v>7187.5</v>
      </c>
      <c r="M1104" s="12">
        <f t="shared" si="424"/>
        <v>7500</v>
      </c>
      <c r="N1104" s="12">
        <f t="shared" si="424"/>
        <v>7812.5</v>
      </c>
      <c r="O1104" s="12">
        <f t="shared" si="424"/>
        <v>8125</v>
      </c>
      <c r="P1104" s="12">
        <f t="shared" si="424"/>
        <v>8437.5</v>
      </c>
      <c r="Q1104" s="12">
        <f t="shared" si="424"/>
        <v>8750</v>
      </c>
      <c r="R1104" s="12">
        <f t="shared" si="424"/>
        <v>9062.5</v>
      </c>
      <c r="S1104" s="12">
        <f t="shared" si="424"/>
        <v>9375</v>
      </c>
      <c r="T1104" s="12">
        <f t="shared" si="424"/>
        <v>9687.5</v>
      </c>
      <c r="U1104" s="12">
        <f t="shared" si="424"/>
        <v>10000</v>
      </c>
      <c r="V1104" s="12">
        <f t="shared" si="424"/>
        <v>10312.5</v>
      </c>
      <c r="W1104" s="12">
        <f t="shared" si="424"/>
        <v>10625</v>
      </c>
      <c r="X1104" s="12">
        <f t="shared" si="424"/>
        <v>10937.5</v>
      </c>
      <c r="Y1104" s="12">
        <f t="shared" si="424"/>
        <v>11250</v>
      </c>
      <c r="Z1104" s="12">
        <f t="shared" si="424"/>
        <v>11562.5</v>
      </c>
      <c r="AA1104" s="12">
        <f t="shared" si="424"/>
        <v>11875</v>
      </c>
      <c r="AB1104" s="12">
        <f t="shared" si="424"/>
        <v>12187.5</v>
      </c>
      <c r="AC1104" s="12">
        <f t="shared" si="424"/>
        <v>12500</v>
      </c>
      <c r="AD1104" s="12">
        <f t="shared" si="424"/>
        <v>12812.5</v>
      </c>
      <c r="AE1104" s="12">
        <f t="shared" si="424"/>
        <v>13125</v>
      </c>
      <c r="AF1104" s="12">
        <f t="shared" si="424"/>
        <v>13437.5</v>
      </c>
      <c r="AG1104" s="12">
        <f t="shared" si="424"/>
        <v>13750</v>
      </c>
      <c r="AH1104" s="12">
        <f t="shared" si="424"/>
        <v>14062.5</v>
      </c>
    </row>
    <row r="1105" spans="1:34" x14ac:dyDescent="0.2">
      <c r="B1105" s="30" t="s">
        <v>460</v>
      </c>
      <c r="C1105" s="8"/>
      <c r="D1105" s="8" t="str">
        <f>D1104</f>
        <v>GTK (millions)</v>
      </c>
      <c r="E1105" s="12">
        <f>IF(OR(E$19=1,E$20=1),SUM(E1102:E1104)," ")</f>
        <v>15000</v>
      </c>
      <c r="F1105" s="12">
        <f t="shared" ref="F1105:AH1105" si="425">IF(OR(F$19=1,F$20=1),SUM(F1102:F1104)," ")</f>
        <v>15937.5</v>
      </c>
      <c r="G1105" s="12">
        <f t="shared" si="425"/>
        <v>15937.5</v>
      </c>
      <c r="H1105" s="12">
        <f t="shared" si="425"/>
        <v>16875</v>
      </c>
      <c r="I1105" s="12">
        <f t="shared" si="425"/>
        <v>18750</v>
      </c>
      <c r="J1105" s="12">
        <f t="shared" si="425"/>
        <v>19687.5</v>
      </c>
      <c r="K1105" s="12">
        <f t="shared" si="425"/>
        <v>20625</v>
      </c>
      <c r="L1105" s="12">
        <f t="shared" si="425"/>
        <v>21562.5</v>
      </c>
      <c r="M1105" s="12">
        <f t="shared" si="425"/>
        <v>22500</v>
      </c>
      <c r="N1105" s="12">
        <f t="shared" si="425"/>
        <v>23437.5</v>
      </c>
      <c r="O1105" s="12">
        <f t="shared" si="425"/>
        <v>24375</v>
      </c>
      <c r="P1105" s="12">
        <f t="shared" si="425"/>
        <v>25312.5</v>
      </c>
      <c r="Q1105" s="12">
        <f t="shared" si="425"/>
        <v>26250</v>
      </c>
      <c r="R1105" s="12">
        <f t="shared" si="425"/>
        <v>27187.5</v>
      </c>
      <c r="S1105" s="12">
        <f t="shared" si="425"/>
        <v>28125</v>
      </c>
      <c r="T1105" s="12">
        <f t="shared" si="425"/>
        <v>29062.5</v>
      </c>
      <c r="U1105" s="12">
        <f t="shared" si="425"/>
        <v>30000</v>
      </c>
      <c r="V1105" s="12">
        <f t="shared" si="425"/>
        <v>30937.5</v>
      </c>
      <c r="W1105" s="12">
        <f t="shared" si="425"/>
        <v>31875</v>
      </c>
      <c r="X1105" s="12">
        <f t="shared" si="425"/>
        <v>32812.5</v>
      </c>
      <c r="Y1105" s="12">
        <f t="shared" si="425"/>
        <v>33750</v>
      </c>
      <c r="Z1105" s="12">
        <f t="shared" si="425"/>
        <v>34687.5</v>
      </c>
      <c r="AA1105" s="12">
        <f t="shared" si="425"/>
        <v>35625</v>
      </c>
      <c r="AB1105" s="12">
        <f t="shared" si="425"/>
        <v>36562.5</v>
      </c>
      <c r="AC1105" s="12">
        <f t="shared" si="425"/>
        <v>37500</v>
      </c>
      <c r="AD1105" s="12">
        <f t="shared" si="425"/>
        <v>38437.5</v>
      </c>
      <c r="AE1105" s="12">
        <f t="shared" si="425"/>
        <v>39375</v>
      </c>
      <c r="AF1105" s="12">
        <f t="shared" si="425"/>
        <v>40312.5</v>
      </c>
      <c r="AG1105" s="12">
        <f t="shared" si="425"/>
        <v>41250</v>
      </c>
      <c r="AH1105" s="12">
        <f t="shared" si="425"/>
        <v>42187.5</v>
      </c>
    </row>
    <row r="1106" spans="1:34" collapsed="1" x14ac:dyDescent="0.2">
      <c r="A1106" s="18"/>
      <c r="B1106" s="14"/>
      <c r="F1106" s="11"/>
      <c r="G1106" s="11"/>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row>
    <row r="1107" spans="1:34" x14ac:dyDescent="0.2">
      <c r="A1107" s="316"/>
      <c r="B1107" s="315" t="str">
        <f>"Track access charges and revenue for " &amp;'Assumptions - General'!$E$26</f>
        <v>Track access charges and revenue for Ruritania Railway Infrastructure Company</v>
      </c>
      <c r="C1107" s="316"/>
      <c r="D1107" s="316"/>
      <c r="E1107" s="316"/>
      <c r="F1107" s="316"/>
      <c r="G1107" s="316"/>
      <c r="H1107" s="316"/>
      <c r="I1107" s="316"/>
      <c r="J1107" s="316"/>
      <c r="K1107" s="316"/>
      <c r="L1107" s="316"/>
      <c r="M1107" s="316"/>
      <c r="N1107" s="316"/>
      <c r="O1107" s="316"/>
      <c r="P1107" s="316"/>
      <c r="Q1107" s="316"/>
      <c r="R1107" s="316"/>
      <c r="S1107" s="316"/>
      <c r="T1107" s="316"/>
      <c r="U1107" s="316"/>
      <c r="V1107" s="316"/>
      <c r="W1107" s="316"/>
      <c r="X1107" s="316"/>
      <c r="Y1107" s="316"/>
      <c r="Z1107" s="316"/>
      <c r="AA1107" s="316"/>
      <c r="AB1107" s="316"/>
      <c r="AC1107" s="316"/>
      <c r="AD1107" s="316"/>
      <c r="AE1107" s="316"/>
      <c r="AF1107" s="316"/>
      <c r="AG1107" s="316"/>
      <c r="AH1107" s="316"/>
    </row>
    <row r="1108" spans="1:34" s="20" customFormat="1" ht="14" x14ac:dyDescent="0.2">
      <c r="A1108" s="8"/>
      <c r="B1108" s="7"/>
      <c r="C1108" s="8"/>
      <c r="D1108" s="8"/>
      <c r="E1108" s="9"/>
      <c r="F1108" s="9"/>
      <c r="G1108" s="9"/>
      <c r="H1108" s="9"/>
      <c r="I1108" s="9"/>
      <c r="J1108" s="9"/>
      <c r="K1108" s="9"/>
      <c r="L1108" s="9"/>
      <c r="M1108" s="9"/>
      <c r="N1108" s="9"/>
      <c r="O1108" s="9"/>
      <c r="P1108" s="9"/>
      <c r="Q1108" s="9"/>
      <c r="R1108" s="9"/>
      <c r="S1108" s="9"/>
      <c r="T1108" s="9"/>
      <c r="U1108" s="9"/>
      <c r="V1108" s="9"/>
      <c r="W1108" s="9"/>
      <c r="X1108" s="9"/>
      <c r="Y1108" s="9"/>
      <c r="Z1108" s="9"/>
      <c r="AA1108" s="9"/>
      <c r="AB1108" s="9"/>
      <c r="AC1108" s="9"/>
      <c r="AD1108" s="9"/>
      <c r="AE1108" s="9"/>
      <c r="AF1108" s="9"/>
      <c r="AG1108" s="9"/>
      <c r="AH1108" s="9"/>
    </row>
    <row r="1109" spans="1:34" outlineLevel="1" x14ac:dyDescent="0.2">
      <c r="B1109" s="8" t="s">
        <v>474</v>
      </c>
      <c r="C1109" s="8"/>
      <c r="D1109" s="287">
        <f>'Scenarios - Infra'!F3</f>
        <v>2</v>
      </c>
      <c r="E1109" s="9"/>
      <c r="F1109" s="9"/>
      <c r="G1109" s="9"/>
      <c r="H1109" s="9"/>
      <c r="I1109" s="9"/>
      <c r="J1109" s="9"/>
      <c r="K1109" s="9"/>
      <c r="L1109" s="9"/>
      <c r="M1109" s="9"/>
      <c r="N1109" s="9"/>
      <c r="O1109" s="9"/>
      <c r="P1109" s="9"/>
      <c r="Q1109" s="9"/>
      <c r="R1109" s="9"/>
      <c r="S1109" s="9"/>
      <c r="T1109" s="9"/>
      <c r="U1109" s="9"/>
      <c r="V1109" s="9"/>
      <c r="W1109" s="9"/>
      <c r="X1109" s="9"/>
      <c r="Y1109" s="9"/>
      <c r="Z1109" s="9"/>
      <c r="AA1109" s="9"/>
      <c r="AB1109" s="9"/>
      <c r="AC1109" s="9"/>
      <c r="AD1109" s="9"/>
      <c r="AE1109" s="9"/>
      <c r="AF1109" s="9"/>
      <c r="AG1109" s="9"/>
      <c r="AH1109" s="9"/>
    </row>
    <row r="1110" spans="1:34" outlineLevel="1" x14ac:dyDescent="0.2">
      <c r="B1110" s="8" t="s">
        <v>476</v>
      </c>
      <c r="C1110" s="8"/>
      <c r="D1110" s="224">
        <f>'Scenarios - Infra'!D25</f>
        <v>1</v>
      </c>
      <c r="E1110" s="9"/>
      <c r="F1110" s="9"/>
      <c r="G1110" s="9"/>
      <c r="H1110" s="9"/>
      <c r="I1110" s="9"/>
      <c r="J1110" s="9"/>
      <c r="K1110" s="9"/>
      <c r="L1110" s="9"/>
      <c r="M1110" s="9"/>
      <c r="N1110" s="9"/>
      <c r="O1110" s="9"/>
      <c r="P1110" s="9"/>
      <c r="Q1110" s="9"/>
      <c r="R1110" s="9"/>
      <c r="S1110" s="9"/>
      <c r="T1110" s="9"/>
      <c r="U1110" s="9"/>
      <c r="V1110" s="9"/>
      <c r="W1110" s="9"/>
      <c r="X1110" s="9"/>
      <c r="Y1110" s="9"/>
      <c r="Z1110" s="9"/>
      <c r="AA1110" s="9"/>
      <c r="AB1110" s="9"/>
      <c r="AC1110" s="9"/>
      <c r="AD1110" s="9"/>
      <c r="AE1110" s="9"/>
      <c r="AF1110" s="9"/>
      <c r="AG1110" s="9"/>
      <c r="AH1110" s="9"/>
    </row>
    <row r="1111" spans="1:34" outlineLevel="1" x14ac:dyDescent="0.2">
      <c r="B1111" s="8" t="s">
        <v>477</v>
      </c>
      <c r="C1111" s="8"/>
      <c r="D1111" s="288">
        <f>'Scenarios - Infra'!E25</f>
        <v>3.0000000000000027E-2</v>
      </c>
      <c r="E1111" s="9"/>
      <c r="F1111" s="9"/>
      <c r="G1111" s="9"/>
      <c r="H1111" s="9"/>
      <c r="I1111" s="9"/>
      <c r="J1111" s="9"/>
      <c r="K1111" s="9"/>
      <c r="L1111" s="9"/>
      <c r="M1111" s="9"/>
      <c r="N1111" s="9"/>
      <c r="O1111" s="9"/>
      <c r="P1111" s="9"/>
      <c r="Q1111" s="9"/>
      <c r="R1111" s="9"/>
      <c r="S1111" s="9"/>
      <c r="T1111" s="9"/>
      <c r="U1111" s="9"/>
      <c r="V1111" s="9"/>
      <c r="W1111" s="9"/>
      <c r="X1111" s="9"/>
      <c r="Y1111" s="9"/>
      <c r="Z1111" s="9"/>
      <c r="AA1111" s="9"/>
      <c r="AB1111" s="9"/>
      <c r="AC1111" s="9"/>
      <c r="AD1111" s="9"/>
      <c r="AE1111" s="9"/>
      <c r="AF1111" s="9"/>
      <c r="AG1111" s="9"/>
      <c r="AH1111" s="9"/>
    </row>
    <row r="1112" spans="1:34" outlineLevel="1" x14ac:dyDescent="0.2">
      <c r="B1112" s="30" t="s">
        <v>472</v>
      </c>
      <c r="C1112" s="8"/>
      <c r="D1112" s="287">
        <f>'Scenarios - Infra'!E20</f>
        <v>2</v>
      </c>
      <c r="E1112" s="9"/>
      <c r="F1112" s="9"/>
      <c r="G1112" s="9"/>
      <c r="H1112" s="9"/>
      <c r="I1112" s="9"/>
      <c r="J1112" s="9"/>
      <c r="K1112" s="9"/>
      <c r="L1112" s="9"/>
      <c r="M1112" s="9"/>
      <c r="N1112" s="9"/>
      <c r="O1112" s="9"/>
      <c r="P1112" s="9"/>
      <c r="Q1112" s="9"/>
      <c r="R1112" s="9"/>
      <c r="S1112" s="9"/>
      <c r="T1112" s="9"/>
      <c r="U1112" s="9"/>
      <c r="V1112" s="9"/>
      <c r="W1112" s="9"/>
      <c r="X1112" s="9"/>
      <c r="Y1112" s="9"/>
      <c r="Z1112" s="9"/>
      <c r="AA1112" s="9"/>
      <c r="AB1112" s="9"/>
      <c r="AC1112" s="9"/>
      <c r="AD1112" s="9"/>
      <c r="AE1112" s="9"/>
      <c r="AF1112" s="9"/>
      <c r="AG1112" s="9"/>
      <c r="AH1112" s="9"/>
    </row>
    <row r="1113" spans="1:34" x14ac:dyDescent="0.2">
      <c r="B1113" s="7" t="s">
        <v>473</v>
      </c>
      <c r="C1113" s="8"/>
      <c r="D1113" s="8"/>
      <c r="E1113" s="9"/>
      <c r="F1113" s="9"/>
      <c r="G1113" s="9"/>
      <c r="H1113" s="9"/>
      <c r="I1113" s="9"/>
      <c r="J1113" s="9"/>
      <c r="K1113" s="9"/>
      <c r="L1113" s="9"/>
      <c r="M1113" s="9"/>
      <c r="N1113" s="9"/>
      <c r="O1113" s="9"/>
      <c r="P1113" s="9"/>
      <c r="Q1113" s="9"/>
      <c r="R1113" s="9"/>
      <c r="S1113" s="9"/>
      <c r="T1113" s="9"/>
      <c r="U1113" s="9"/>
      <c r="V1113" s="9"/>
      <c r="W1113" s="9"/>
      <c r="X1113" s="9"/>
      <c r="Y1113" s="9"/>
      <c r="Z1113" s="9"/>
      <c r="AA1113" s="9"/>
      <c r="AB1113" s="9"/>
      <c r="AC1113" s="9"/>
      <c r="AD1113" s="9"/>
      <c r="AE1113" s="9"/>
      <c r="AF1113" s="9"/>
      <c r="AG1113" s="9"/>
      <c r="AH1113" s="9"/>
    </row>
    <row r="1114" spans="1:34" x14ac:dyDescent="0.2">
      <c r="B1114" s="7"/>
      <c r="C1114" s="8"/>
      <c r="D1114" s="8"/>
      <c r="E1114" s="9"/>
      <c r="F1114" s="9"/>
      <c r="G1114" s="9"/>
      <c r="H1114" s="9"/>
      <c r="I1114" s="9"/>
      <c r="J1114" s="9"/>
      <c r="K1114" s="9"/>
      <c r="L1114" s="9"/>
      <c r="M1114" s="9"/>
      <c r="N1114" s="9"/>
      <c r="O1114" s="9"/>
      <c r="P1114" s="9"/>
      <c r="Q1114" s="9"/>
      <c r="R1114" s="9"/>
      <c r="S1114" s="9"/>
      <c r="T1114" s="9"/>
      <c r="U1114" s="9"/>
      <c r="V1114" s="9"/>
      <c r="W1114" s="9"/>
      <c r="X1114" s="9"/>
      <c r="Y1114" s="9"/>
      <c r="Z1114" s="9"/>
      <c r="AA1114" s="9"/>
      <c r="AB1114" s="9"/>
      <c r="AC1114" s="9"/>
      <c r="AD1114" s="9"/>
      <c r="AE1114" s="9"/>
      <c r="AF1114" s="9"/>
      <c r="AG1114" s="9"/>
      <c r="AH1114" s="9"/>
    </row>
    <row r="1115" spans="1:34" s="20" customFormat="1" ht="14" x14ac:dyDescent="0.2">
      <c r="A1115" s="8"/>
      <c r="B1115" s="8" t="s">
        <v>452</v>
      </c>
      <c r="C1115" s="8"/>
      <c r="D1115" s="8" t="str">
        <f>'Assumptions - Freight'!D282</f>
        <v>R$/GTK</v>
      </c>
      <c r="E1115" s="472">
        <f>IF(OR(E$16=1,E$19=1,E$20=1),IF($D$1109=1,'Assumptions - Freight'!E282*$D$1110,'Assumptions - Freight'!E282),0)</f>
        <v>0.25</v>
      </c>
      <c r="F1115" s="88">
        <f>IF(OR(F$16=1,F$19=1,F$20=1),E1115*IF($D$1112=1,1+$D$1111,1)*(IF('Assumptions - Freight'!$E$284=1,('Assumptions - Freight'!$E$286*'Assumptions - General'!F$37+1)*(1+'Assumptions - Freight'!F$287),(1+'Assumptions - Freight'!F$287))),0)</f>
        <v>0.25750000000000001</v>
      </c>
      <c r="G1115" s="88">
        <f>IF(OR(G$16=1,G$19=1,G$20=1),F1115*IF($D$1112=1,1+$D$1111,1)*(IF('Assumptions - Freight'!$E$284=1,('Assumptions - Freight'!$E$286*'Assumptions - General'!G$37+1)*(1+'Assumptions - Freight'!G$287),(1+'Assumptions - Freight'!G$287))),0)</f>
        <v>0.26522499999999999</v>
      </c>
      <c r="H1115" s="88">
        <f>IF(OR(H$16=1,H$19=1,H$20=1),G1115*IF($D$1112=1,1+$D$1111,1)*(IF('Assumptions - Freight'!$E$284=1,('Assumptions - Freight'!$E$286*'Assumptions - General'!H$37+1)*(1+'Assumptions - Freight'!H$287),(1+'Assumptions - Freight'!H$287))),0)</f>
        <v>0.27318175</v>
      </c>
      <c r="I1115" s="88">
        <f>IF(OR(I$16=1,I$19=1,I$20=1),H1115*IF($D$1112=1,1+$D$1111,1)*(IF('Assumptions - Freight'!$E$284=1,('Assumptions - Freight'!$E$286*'Assumptions - General'!I$37+1)*(1+'Assumptions - Freight'!I$287),(1+'Assumptions - Freight'!I$287))),0)</f>
        <v>0.28137720250000003</v>
      </c>
      <c r="J1115" s="88">
        <f>IF(OR(J$16=1,J$19=1,J$20=1),I1115*IF($D$1112=1,1+$D$1111,1)*(IF('Assumptions - Freight'!$E$284=1,('Assumptions - Freight'!$E$286*'Assumptions - General'!J$37+1)*(1+'Assumptions - Freight'!J$287),(1+'Assumptions - Freight'!J$287)))," ")</f>
        <v>0.28981851857500002</v>
      </c>
      <c r="K1115" s="88">
        <f>IF(OR(K$16=1,K$19=1,K$20=1),J1115*IF($D$1112=1,1+$D$1111,1)*(IF('Assumptions - Freight'!$E$284=1,('Assumptions - Freight'!$E$286*'Assumptions - General'!K$37+1)*(1+'Assumptions - Freight'!K$287),(1+'Assumptions - Freight'!K$287)))," ")</f>
        <v>0.29851307413225003</v>
      </c>
      <c r="L1115" s="88">
        <f>IF(OR(L$16=1,L$19=1,L$20=1),K1115*IF($D$1112=1,1+$D$1111,1)*(IF('Assumptions - Freight'!$E$284=1,('Assumptions - Freight'!$E$286*'Assumptions - General'!L$37+1)*(1+'Assumptions - Freight'!L$287),(1+'Assumptions - Freight'!L$287)))," ")</f>
        <v>0.30746846635621755</v>
      </c>
      <c r="M1115" s="88">
        <f>IF(OR(M$16=1,M$19=1,M$20=1),L1115*IF($D$1112=1,1+$D$1111,1)*(IF('Assumptions - Freight'!$E$284=1,('Assumptions - Freight'!$E$286*'Assumptions - General'!M$37+1)*(1+'Assumptions - Freight'!M$287),(1+'Assumptions - Freight'!M$287)))," ")</f>
        <v>0.31669252034690409</v>
      </c>
      <c r="N1115" s="88">
        <f>IF(OR(N$16=1,N$19=1,N$20=1),M1115*IF($D$1112=1,1+$D$1111,1)*(IF('Assumptions - Freight'!$E$284=1,('Assumptions - Freight'!$E$286*'Assumptions - General'!N$37+1)*(1+'Assumptions - Freight'!N$287),(1+'Assumptions - Freight'!N$287)))," ")</f>
        <v>0.32619329595731122</v>
      </c>
      <c r="O1115" s="88">
        <f>IF(OR(O$16=1,O$19=1,O$20=1),N1115*IF($D$1112=1,1+$D$1111,1)*(IF('Assumptions - Freight'!$E$284=1,('Assumptions - Freight'!$E$286*'Assumptions - General'!O$37+1)*(1+'Assumptions - Freight'!O$287),(1+'Assumptions - Freight'!O$287)))," ")</f>
        <v>0.33597909483603056</v>
      </c>
      <c r="P1115" s="88">
        <f>IF(OR(P$16=1,P$19=1,P$20=1),O1115*IF($D$1112=1,1+$D$1111,1)*(IF('Assumptions - Freight'!$E$284=1,('Assumptions - Freight'!$E$286*'Assumptions - General'!P$37+1)*(1+'Assumptions - Freight'!P$287),(1+'Assumptions - Freight'!P$287)))," ")</f>
        <v>0.34605846768111148</v>
      </c>
      <c r="Q1115" s="88">
        <f>IF(OR(Q$16=1,Q$19=1,Q$20=1),P1115*IF($D$1112=1,1+$D$1111,1)*(IF('Assumptions - Freight'!$E$284=1,('Assumptions - Freight'!$E$286*'Assumptions - General'!Q$37+1)*(1+'Assumptions - Freight'!Q$287),(1+'Assumptions - Freight'!Q$287)))," ")</f>
        <v>0.35644022171154482</v>
      </c>
      <c r="R1115" s="88">
        <f>IF(OR(R$16=1,R$19=1,R$20=1),Q1115*IF($D$1112=1,1+$D$1111,1)*(IF('Assumptions - Freight'!$E$284=1,('Assumptions - Freight'!$E$286*'Assumptions - General'!R$37+1)*(1+'Assumptions - Freight'!R$287),(1+'Assumptions - Freight'!R$287)))," ")</f>
        <v>0.3671334283628912</v>
      </c>
      <c r="S1115" s="88">
        <f>IF(OR(S$16=1,S$19=1,S$20=1),R1115*IF($D$1112=1,1+$D$1111,1)*(IF('Assumptions - Freight'!$E$284=1,('Assumptions - Freight'!$E$286*'Assumptions - General'!S$37+1)*(1+'Assumptions - Freight'!S$287),(1+'Assumptions - Freight'!S$287)))," ")</f>
        <v>0.37814743121377797</v>
      </c>
      <c r="T1115" s="88">
        <f>IF(OR(T$16=1,T$19=1,T$20=1),S1115*IF($D$1112=1,1+$D$1111,1)*(IF('Assumptions - Freight'!$E$284=1,('Assumptions - Freight'!$E$286*'Assumptions - General'!T$37+1)*(1+'Assumptions - Freight'!T$287),(1+'Assumptions - Freight'!T$287)))," ")</f>
        <v>0.38949185415019133</v>
      </c>
      <c r="U1115" s="88">
        <f>IF(OR(U$16=1,U$19=1,U$20=1),T1115*IF($D$1112=1,1+$D$1111,1)*(IF('Assumptions - Freight'!$E$284=1,('Assumptions - Freight'!$E$286*'Assumptions - General'!U$37+1)*(1+'Assumptions - Freight'!U$287),(1+'Assumptions - Freight'!U$287)))," ")</f>
        <v>0.4011766097746971</v>
      </c>
      <c r="V1115" s="88">
        <f>IF(OR(V$16=1,V$19=1,V$20=1),U1115*IF($D$1112=1,1+$D$1111,1)*(IF('Assumptions - Freight'!$E$284=1,('Assumptions - Freight'!$E$286*'Assumptions - General'!V$37+1)*(1+'Assumptions - Freight'!V$287),(1+'Assumptions - Freight'!V$287)))," ")</f>
        <v>0.41321190806793801</v>
      </c>
      <c r="W1115" s="88">
        <f>IF(OR(W$16=1,W$19=1,W$20=1),V1115*IF($D$1112=1,1+$D$1111,1)*(IF('Assumptions - Freight'!$E$284=1,('Assumptions - Freight'!$E$286*'Assumptions - General'!W$37+1)*(1+'Assumptions - Freight'!W$287),(1+'Assumptions - Freight'!W$287)))," ")</f>
        <v>0.42560826530997614</v>
      </c>
      <c r="X1115" s="88">
        <f>IF(OR(X$16=1,X$19=1,X$20=1),W1115*IF($D$1112=1,1+$D$1111,1)*(IF('Assumptions - Freight'!$E$284=1,('Assumptions - Freight'!$E$286*'Assumptions - General'!X$37+1)*(1+'Assumptions - Freight'!X$287),(1+'Assumptions - Freight'!X$287)))," ")</f>
        <v>0.43837651326927546</v>
      </c>
      <c r="Y1115" s="88">
        <f>IF(OR(Y$16=1,Y$19=1,Y$20=1),X1115*IF($D$1112=1,1+$D$1111,1)*(IF('Assumptions - Freight'!$E$284=1,('Assumptions - Freight'!$E$286*'Assumptions - General'!Y$37+1)*(1+'Assumptions - Freight'!Y$287),(1+'Assumptions - Freight'!Y$287)))," ")</f>
        <v>0.45152780866735376</v>
      </c>
      <c r="Z1115" s="88">
        <f>IF(OR(Z$16=1,Z$19=1,Z$20=1),Y1115*IF($D$1112=1,1+$D$1111,1)*(IF('Assumptions - Freight'!$E$284=1,('Assumptions - Freight'!$E$286*'Assumptions - General'!Z$37+1)*(1+'Assumptions - Freight'!Z$287),(1+'Assumptions - Freight'!Z$287)))," ")</f>
        <v>0.46507364292737441</v>
      </c>
      <c r="AA1115" s="88">
        <f>IF(OR(AA$16=1,AA$19=1,AA$20=1),Z1115*IF($D$1112=1,1+$D$1111,1)*(IF('Assumptions - Freight'!$E$284=1,('Assumptions - Freight'!$E$286*'Assumptions - General'!AA$37+1)*(1+'Assumptions - Freight'!AA$287),(1+'Assumptions - Freight'!AA$287)))," ")</f>
        <v>0.47902585221519567</v>
      </c>
      <c r="AB1115" s="88">
        <f>IF(OR(AB$16=1,AB$19=1,AB$20=1),AA1115*IF($D$1112=1,1+$D$1111,1)*(IF('Assumptions - Freight'!$E$284=1,('Assumptions - Freight'!$E$286*'Assumptions - General'!AB$37+1)*(1+'Assumptions - Freight'!AB$287),(1+'Assumptions - Freight'!AB$287)))," ")</f>
        <v>0.49339662778165155</v>
      </c>
      <c r="AC1115" s="88">
        <f>IF(OR(AC$16=1,AC$19=1,AC$20=1),AB1115*IF($D$1112=1,1+$D$1111,1)*(IF('Assumptions - Freight'!$E$284=1,('Assumptions - Freight'!$E$286*'Assumptions - General'!AC$37+1)*(1+'Assumptions - Freight'!AC$287),(1+'Assumptions - Freight'!AC$287)))," ")</f>
        <v>0.50819852661510112</v>
      </c>
      <c r="AD1115" s="88">
        <f>IF(OR(AD$16=1,AD$19=1,AD$20=1),AC1115*IF($D$1112=1,1+$D$1111,1)*(IF('Assumptions - Freight'!$E$284=1,('Assumptions - Freight'!$E$286*'Assumptions - General'!AD$37+1)*(1+'Assumptions - Freight'!AD$287),(1+'Assumptions - Freight'!AD$287)))," ")</f>
        <v>0.52344448241355412</v>
      </c>
      <c r="AE1115" s="88">
        <f>IF(OR(AE$16=1,AE$19=1,AE$20=1),AD1115*IF($D$1112=1,1+$D$1111,1)*(IF('Assumptions - Freight'!$E$284=1,('Assumptions - Freight'!$E$286*'Assumptions - General'!AE$37+1)*(1+'Assumptions - Freight'!AE$287),(1+'Assumptions - Freight'!AE$287)))," ")</f>
        <v>0.53914781688596081</v>
      </c>
      <c r="AF1115" s="88">
        <f>IF(OR(AF$16=1,AF$19=1,AF$20=1),AE1115*IF($D$1112=1,1+$D$1111,1)*(IF('Assumptions - Freight'!$E$284=1,('Assumptions - Freight'!$E$286*'Assumptions - General'!AF$37+1)*(1+'Assumptions - Freight'!AF$287),(1+'Assumptions - Freight'!AF$287)))," ")</f>
        <v>0.55532225139253966</v>
      </c>
      <c r="AG1115" s="88">
        <f>IF(OR(AG$16=1,AG$19=1,AG$20=1),AF1115*IF($D$1112=1,1+$D$1111,1)*(IF('Assumptions - Freight'!$E$284=1,('Assumptions - Freight'!$E$286*'Assumptions - General'!AG$37+1)*(1+'Assumptions - Freight'!AG$287),(1+'Assumptions - Freight'!AG$287)))," ")</f>
        <v>0.57198191893431582</v>
      </c>
      <c r="AH1115" s="88">
        <f>IF(OR(AH$16=1,AH$19=1,AH$20=1),AG1115*IF($D$1112=1,1+$D$1111,1)*(IF('Assumptions - Freight'!$E$284=1,('Assumptions - Freight'!$E$286*'Assumptions - General'!AH$37+1)*(1+'Assumptions - Freight'!AH$287),(1+'Assumptions - Freight'!AH$287)))," ")</f>
        <v>0.58914137650234533</v>
      </c>
    </row>
    <row r="1116" spans="1:34" s="20" customFormat="1" ht="14" x14ac:dyDescent="0.2">
      <c r="A1116" s="8"/>
      <c r="B1116" s="8" t="s">
        <v>453</v>
      </c>
      <c r="C1116" s="8"/>
      <c r="D1116" s="8" t="str">
        <f>'Assumptions - Freight'!D283</f>
        <v>R$/Train-km</v>
      </c>
      <c r="E1116" s="472">
        <f>IF(OR(E$16=1,E$19=1,E$20=1),IF($D$1109=1,'Assumptions - Freight'!E283*$D$1110,'Assumptions - Freight'!E283),0)</f>
        <v>0.25</v>
      </c>
      <c r="F1116" s="88">
        <f>IF(OR(F$16=1,F$19=1,F$20=1),E1116*IF($D$1112=1,1+$D$1111,1)*(IF('Assumptions - Freight'!$E$284=1,('Assumptions - Freight'!$E$286*'Assumptions - General'!F$37+1)*(1+'Assumptions - Freight'!F$287),(1+'Assumptions - Freight'!F$287))),0)</f>
        <v>0.25750000000000001</v>
      </c>
      <c r="G1116" s="88">
        <f>IF(OR(G$16=1,G$19=1,G$20=1),F1116*IF($D$1112=1,1+$D$1111,1)*(IF('Assumptions - Freight'!$E$284=1,('Assumptions - Freight'!$E$286*'Assumptions - General'!G$37+1)*(1+'Assumptions - Freight'!G$287),(1+'Assumptions - Freight'!G$287))),0)</f>
        <v>0.26522499999999999</v>
      </c>
      <c r="H1116" s="88">
        <f>IF(OR(H$16=1,H$19=1,H$20=1),G1116*IF($D$1112=1,1+$D$1111,1)*(IF('Assumptions - Freight'!$E$284=1,('Assumptions - Freight'!$E$286*'Assumptions - General'!H$37+1)*(1+'Assumptions - Freight'!H$287),(1+'Assumptions - Freight'!H$287))),0)</f>
        <v>0.27318175</v>
      </c>
      <c r="I1116" s="88">
        <f>IF(OR(I$16=1,I$19=1,I$20=1),H1116*IF($D$1112=1,1+$D$1111,1)*(IF('Assumptions - Freight'!$E$284=1,('Assumptions - Freight'!$E$286*'Assumptions - General'!I$37+1)*(1+'Assumptions - Freight'!I$287),(1+'Assumptions - Freight'!I$287))),0)</f>
        <v>0.28137720250000003</v>
      </c>
      <c r="J1116" s="88">
        <f>IF(OR(J$16=1,J$19=1,J$20=1),I1116*IF($D$1112=1,1+$D$1111,1)*(IF('Assumptions - Freight'!$E$284=1,('Assumptions - Freight'!$E$286*'Assumptions - General'!J$37+1)*(1+'Assumptions - Freight'!J$287),(1+'Assumptions - Freight'!J$287)))," ")</f>
        <v>0.28981851857500002</v>
      </c>
      <c r="K1116" s="88">
        <f>IF(OR(K$16=1,K$19=1,K$20=1),J1116*IF($D$1112=1,1+$D$1111,1)*(IF('Assumptions - Freight'!$E$284=1,('Assumptions - Freight'!$E$286*'Assumptions - General'!K$37+1)*(1+'Assumptions - Freight'!K$287),(1+'Assumptions - Freight'!K$287)))," ")</f>
        <v>0.29851307413225003</v>
      </c>
      <c r="L1116" s="88">
        <f>IF(OR(L$16=1,L$19=1,L$20=1),K1116*IF($D$1112=1,1+$D$1111,1)*(IF('Assumptions - Freight'!$E$284=1,('Assumptions - Freight'!$E$286*'Assumptions - General'!L$37+1)*(1+'Assumptions - Freight'!L$287),(1+'Assumptions - Freight'!L$287)))," ")</f>
        <v>0.30746846635621755</v>
      </c>
      <c r="M1116" s="88">
        <f>IF(OR(M$16=1,M$19=1,M$20=1),L1116*IF($D$1112=1,1+$D$1111,1)*(IF('Assumptions - Freight'!$E$284=1,('Assumptions - Freight'!$E$286*'Assumptions - General'!M$37+1)*(1+'Assumptions - Freight'!M$287),(1+'Assumptions - Freight'!M$287)))," ")</f>
        <v>0.31669252034690409</v>
      </c>
      <c r="N1116" s="88">
        <f>IF(OR(N$16=1,N$19=1,N$20=1),M1116*IF($D$1112=1,1+$D$1111,1)*(IF('Assumptions - Freight'!$E$284=1,('Assumptions - Freight'!$E$286*'Assumptions - General'!N$37+1)*(1+'Assumptions - Freight'!N$287),(1+'Assumptions - Freight'!N$287)))," ")</f>
        <v>0.32619329595731122</v>
      </c>
      <c r="O1116" s="88">
        <f>IF(OR(O$16=1,O$19=1,O$20=1),N1116*IF($D$1112=1,1+$D$1111,1)*(IF('Assumptions - Freight'!$E$284=1,('Assumptions - Freight'!$E$286*'Assumptions - General'!O$37+1)*(1+'Assumptions - Freight'!O$287),(1+'Assumptions - Freight'!O$287)))," ")</f>
        <v>0.33597909483603056</v>
      </c>
      <c r="P1116" s="88">
        <f>IF(OR(P$16=1,P$19=1,P$20=1),O1116*IF($D$1112=1,1+$D$1111,1)*(IF('Assumptions - Freight'!$E$284=1,('Assumptions - Freight'!$E$286*'Assumptions - General'!P$37+1)*(1+'Assumptions - Freight'!P$287),(1+'Assumptions - Freight'!P$287)))," ")</f>
        <v>0.34605846768111148</v>
      </c>
      <c r="Q1116" s="88">
        <f>IF(OR(Q$16=1,Q$19=1,Q$20=1),P1116*IF($D$1112=1,1+$D$1111,1)*(IF('Assumptions - Freight'!$E$284=1,('Assumptions - Freight'!$E$286*'Assumptions - General'!Q$37+1)*(1+'Assumptions - Freight'!Q$287),(1+'Assumptions - Freight'!Q$287)))," ")</f>
        <v>0.35644022171154482</v>
      </c>
      <c r="R1116" s="88">
        <f>IF(OR(R$16=1,R$19=1,R$20=1),Q1116*IF($D$1112=1,1+$D$1111,1)*(IF('Assumptions - Freight'!$E$284=1,('Assumptions - Freight'!$E$286*'Assumptions - General'!R$37+1)*(1+'Assumptions - Freight'!R$287),(1+'Assumptions - Freight'!R$287)))," ")</f>
        <v>0.3671334283628912</v>
      </c>
      <c r="S1116" s="88">
        <f>IF(OR(S$16=1,S$19=1,S$20=1),R1116*IF($D$1112=1,1+$D$1111,1)*(IF('Assumptions - Freight'!$E$284=1,('Assumptions - Freight'!$E$286*'Assumptions - General'!S$37+1)*(1+'Assumptions - Freight'!S$287),(1+'Assumptions - Freight'!S$287)))," ")</f>
        <v>0.37814743121377797</v>
      </c>
      <c r="T1116" s="88">
        <f>IF(OR(T$16=1,T$19=1,T$20=1),S1116*IF($D$1112=1,1+$D$1111,1)*(IF('Assumptions - Freight'!$E$284=1,('Assumptions - Freight'!$E$286*'Assumptions - General'!T$37+1)*(1+'Assumptions - Freight'!T$287),(1+'Assumptions - Freight'!T$287)))," ")</f>
        <v>0.38949185415019133</v>
      </c>
      <c r="U1116" s="88">
        <f>IF(OR(U$16=1,U$19=1,U$20=1),T1116*IF($D$1112=1,1+$D$1111,1)*(IF('Assumptions - Freight'!$E$284=1,('Assumptions - Freight'!$E$286*'Assumptions - General'!U$37+1)*(1+'Assumptions - Freight'!U$287),(1+'Assumptions - Freight'!U$287)))," ")</f>
        <v>0.4011766097746971</v>
      </c>
      <c r="V1116" s="88">
        <f>IF(OR(V$16=1,V$19=1,V$20=1),U1116*IF($D$1112=1,1+$D$1111,1)*(IF('Assumptions - Freight'!$E$284=1,('Assumptions - Freight'!$E$286*'Assumptions - General'!V$37+1)*(1+'Assumptions - Freight'!V$287),(1+'Assumptions - Freight'!V$287)))," ")</f>
        <v>0.41321190806793801</v>
      </c>
      <c r="W1116" s="88">
        <f>IF(OR(W$16=1,W$19=1,W$20=1),V1116*IF($D$1112=1,1+$D$1111,1)*(IF('Assumptions - Freight'!$E$284=1,('Assumptions - Freight'!$E$286*'Assumptions - General'!W$37+1)*(1+'Assumptions - Freight'!W$287),(1+'Assumptions - Freight'!W$287)))," ")</f>
        <v>0.42560826530997614</v>
      </c>
      <c r="X1116" s="88">
        <f>IF(OR(X$16=1,X$19=1,X$20=1),W1116*IF($D$1112=1,1+$D$1111,1)*(IF('Assumptions - Freight'!$E$284=1,('Assumptions - Freight'!$E$286*'Assumptions - General'!X$37+1)*(1+'Assumptions - Freight'!X$287),(1+'Assumptions - Freight'!X$287)))," ")</f>
        <v>0.43837651326927546</v>
      </c>
      <c r="Y1116" s="88">
        <f>IF(OR(Y$16=1,Y$19=1,Y$20=1),X1116*IF($D$1112=1,1+$D$1111,1)*(IF('Assumptions - Freight'!$E$284=1,('Assumptions - Freight'!$E$286*'Assumptions - General'!Y$37+1)*(1+'Assumptions - Freight'!Y$287),(1+'Assumptions - Freight'!Y$287)))," ")</f>
        <v>0.45152780866735376</v>
      </c>
      <c r="Z1116" s="88">
        <f>IF(OR(Z$16=1,Z$19=1,Z$20=1),Y1116*IF($D$1112=1,1+$D$1111,1)*(IF('Assumptions - Freight'!$E$284=1,('Assumptions - Freight'!$E$286*'Assumptions - General'!Z$37+1)*(1+'Assumptions - Freight'!Z$287),(1+'Assumptions - Freight'!Z$287)))," ")</f>
        <v>0.46507364292737441</v>
      </c>
      <c r="AA1116" s="88">
        <f>IF(OR(AA$16=1,AA$19=1,AA$20=1),Z1116*IF($D$1112=1,1+$D$1111,1)*(IF('Assumptions - Freight'!$E$284=1,('Assumptions - Freight'!$E$286*'Assumptions - General'!AA$37+1)*(1+'Assumptions - Freight'!AA$287),(1+'Assumptions - Freight'!AA$287)))," ")</f>
        <v>0.47902585221519567</v>
      </c>
      <c r="AB1116" s="88">
        <f>IF(OR(AB$16=1,AB$19=1,AB$20=1),AA1116*IF($D$1112=1,1+$D$1111,1)*(IF('Assumptions - Freight'!$E$284=1,('Assumptions - Freight'!$E$286*'Assumptions - General'!AB$37+1)*(1+'Assumptions - Freight'!AB$287),(1+'Assumptions - Freight'!AB$287)))," ")</f>
        <v>0.49339662778165155</v>
      </c>
      <c r="AC1116" s="88">
        <f>IF(OR(AC$16=1,AC$19=1,AC$20=1),AB1116*IF($D$1112=1,1+$D$1111,1)*(IF('Assumptions - Freight'!$E$284=1,('Assumptions - Freight'!$E$286*'Assumptions - General'!AC$37+1)*(1+'Assumptions - Freight'!AC$287),(1+'Assumptions - Freight'!AC$287)))," ")</f>
        <v>0.50819852661510112</v>
      </c>
      <c r="AD1116" s="88">
        <f>IF(OR(AD$16=1,AD$19=1,AD$20=1),AC1116*IF($D$1112=1,1+$D$1111,1)*(IF('Assumptions - Freight'!$E$284=1,('Assumptions - Freight'!$E$286*'Assumptions - General'!AD$37+1)*(1+'Assumptions - Freight'!AD$287),(1+'Assumptions - Freight'!AD$287)))," ")</f>
        <v>0.52344448241355412</v>
      </c>
      <c r="AE1116" s="88">
        <f>IF(OR(AE$16=1,AE$19=1,AE$20=1),AD1116*IF($D$1112=1,1+$D$1111,1)*(IF('Assumptions - Freight'!$E$284=1,('Assumptions - Freight'!$E$286*'Assumptions - General'!AE$37+1)*(1+'Assumptions - Freight'!AE$287),(1+'Assumptions - Freight'!AE$287)))," ")</f>
        <v>0.53914781688596081</v>
      </c>
      <c r="AF1116" s="88">
        <f>IF(OR(AF$16=1,AF$19=1,AF$20=1),AE1116*IF($D$1112=1,1+$D$1111,1)*(IF('Assumptions - Freight'!$E$284=1,('Assumptions - Freight'!$E$286*'Assumptions - General'!AF$37+1)*(1+'Assumptions - Freight'!AF$287),(1+'Assumptions - Freight'!AF$287)))," ")</f>
        <v>0.55532225139253966</v>
      </c>
      <c r="AG1116" s="88">
        <f>IF(OR(AG$16=1,AG$19=1,AG$20=1),AF1116*IF($D$1112=1,1+$D$1111,1)*(IF('Assumptions - Freight'!$E$284=1,('Assumptions - Freight'!$E$286*'Assumptions - General'!AG$37+1)*(1+'Assumptions - Freight'!AG$287),(1+'Assumptions - Freight'!AG$287)))," ")</f>
        <v>0.57198191893431582</v>
      </c>
      <c r="AH1116" s="88">
        <f>IF(OR(AH$16=1,AH$19=1,AH$20=1),AG1116*IF($D$1112=1,1+$D$1111,1)*(IF('Assumptions - Freight'!$E$284=1,('Assumptions - Freight'!$E$286*'Assumptions - General'!AH$37+1)*(1+'Assumptions - Freight'!AH$287),(1+'Assumptions - Freight'!AH$287)))," ")</f>
        <v>0.58914137650234533</v>
      </c>
    </row>
    <row r="1117" spans="1:34" s="20" customFormat="1" ht="14" x14ac:dyDescent="0.2">
      <c r="A1117" s="8"/>
      <c r="B1117" s="8" t="s">
        <v>502</v>
      </c>
      <c r="C1117" s="8"/>
      <c r="D1117" s="8" t="str">
        <f>'Assumptions - General'!$E$27 &amp;" millions"</f>
        <v>R$ millions</v>
      </c>
      <c r="E1117" s="12">
        <f t="shared" ref="E1117:AH1117" si="426">IF(E1115&lt;&gt;0,IF(OR(E$16=1,E$19=1,E$20=1),E1115*SUM(E167:E176)," "),0)</f>
        <v>12500.000000000002</v>
      </c>
      <c r="F1117" s="12">
        <f t="shared" si="426"/>
        <v>12560.9756097561</v>
      </c>
      <c r="G1117" s="12">
        <f t="shared" si="426"/>
        <v>12937.804878048782</v>
      </c>
      <c r="H1117" s="12">
        <f t="shared" si="426"/>
        <v>13325.939024390247</v>
      </c>
      <c r="I1117" s="12">
        <f t="shared" si="426"/>
        <v>13725.717195121955</v>
      </c>
      <c r="J1117" s="12">
        <f t="shared" si="426"/>
        <v>14137.488710975613</v>
      </c>
      <c r="K1117" s="12">
        <f t="shared" si="426"/>
        <v>16381.815043842989</v>
      </c>
      <c r="L1117" s="12">
        <f t="shared" si="426"/>
        <v>16873.269495158282</v>
      </c>
      <c r="M1117" s="12">
        <f t="shared" si="426"/>
        <v>17379.467580013032</v>
      </c>
      <c r="N1117" s="12">
        <f t="shared" si="426"/>
        <v>17900.85160741342</v>
      </c>
      <c r="O1117" s="12">
        <f t="shared" si="426"/>
        <v>18437.877155635822</v>
      </c>
      <c r="P1117" s="12">
        <f t="shared" si="426"/>
        <v>18991.013470304901</v>
      </c>
      <c r="Q1117" s="12">
        <f t="shared" si="426"/>
        <v>19560.743874414045</v>
      </c>
      <c r="R1117" s="12">
        <f t="shared" si="426"/>
        <v>20147.56619064647</v>
      </c>
      <c r="S1117" s="12">
        <f t="shared" si="426"/>
        <v>20751.993176365864</v>
      </c>
      <c r="T1117" s="12">
        <f t="shared" si="426"/>
        <v>21374.552971656842</v>
      </c>
      <c r="U1117" s="12">
        <f t="shared" si="426"/>
        <v>22015.789560806548</v>
      </c>
      <c r="V1117" s="12">
        <f t="shared" si="426"/>
        <v>22676.263247630744</v>
      </c>
      <c r="W1117" s="12">
        <f t="shared" si="426"/>
        <v>23356.551145059668</v>
      </c>
      <c r="X1117" s="12">
        <f t="shared" si="426"/>
        <v>24057.247679411459</v>
      </c>
      <c r="Y1117" s="12">
        <f t="shared" si="426"/>
        <v>24778.965109793804</v>
      </c>
      <c r="Z1117" s="12">
        <f t="shared" si="426"/>
        <v>25522.334063087619</v>
      </c>
      <c r="AA1117" s="12">
        <f t="shared" si="426"/>
        <v>26288.00408498025</v>
      </c>
      <c r="AB1117" s="12">
        <f t="shared" si="426"/>
        <v>27076.644207529658</v>
      </c>
      <c r="AC1117" s="12">
        <f t="shared" si="426"/>
        <v>27888.943533755551</v>
      </c>
      <c r="AD1117" s="12">
        <f t="shared" si="426"/>
        <v>28725.611839768215</v>
      </c>
      <c r="AE1117" s="12">
        <f t="shared" si="426"/>
        <v>29587.380194961264</v>
      </c>
      <c r="AF1117" s="12">
        <f t="shared" si="426"/>
        <v>30475.001600810105</v>
      </c>
      <c r="AG1117" s="12">
        <f t="shared" si="426"/>
        <v>31389.251648834404</v>
      </c>
      <c r="AH1117" s="12">
        <f t="shared" si="426"/>
        <v>32330.92919829944</v>
      </c>
    </row>
    <row r="1118" spans="1:34" s="20" customFormat="1" ht="14" x14ac:dyDescent="0.2">
      <c r="A1118" s="8"/>
      <c r="B1118" s="8" t="s">
        <v>503</v>
      </c>
      <c r="C1118" s="8"/>
      <c r="D1118" s="8" t="str">
        <f>'Assumptions - General'!$E$27 &amp;" millions"</f>
        <v>R$ millions</v>
      </c>
      <c r="E1118" s="12">
        <f t="shared" ref="E1118:AH1118" si="427">IF(E1116&lt;&gt;0,IF(OR(E$16=1,E$19=1,E$20=1),E1116*SUM(E156:E165)," "),0)</f>
        <v>102.5</v>
      </c>
      <c r="F1118" s="12">
        <f t="shared" si="427"/>
        <v>103</v>
      </c>
      <c r="G1118" s="12">
        <f t="shared" si="427"/>
        <v>106.08999999999999</v>
      </c>
      <c r="H1118" s="12">
        <f t="shared" si="427"/>
        <v>109.2727</v>
      </c>
      <c r="I1118" s="12">
        <f t="shared" si="427"/>
        <v>112.55088100000002</v>
      </c>
      <c r="J1118" s="12">
        <f t="shared" si="427"/>
        <v>115.92740743</v>
      </c>
      <c r="K1118" s="12">
        <f t="shared" si="427"/>
        <v>134.33088335951251</v>
      </c>
      <c r="L1118" s="12">
        <f t="shared" si="427"/>
        <v>138.36080986029791</v>
      </c>
      <c r="M1118" s="12">
        <f t="shared" si="427"/>
        <v>142.51163415610685</v>
      </c>
      <c r="N1118" s="12">
        <f t="shared" si="427"/>
        <v>146.78698318079006</v>
      </c>
      <c r="O1118" s="12">
        <f t="shared" si="427"/>
        <v>151.19059267621375</v>
      </c>
      <c r="P1118" s="12">
        <f t="shared" si="427"/>
        <v>155.72631045650016</v>
      </c>
      <c r="Q1118" s="12">
        <f t="shared" si="427"/>
        <v>160.39809977019516</v>
      </c>
      <c r="R1118" s="12">
        <f t="shared" si="427"/>
        <v>165.21004276330103</v>
      </c>
      <c r="S1118" s="12">
        <f t="shared" si="427"/>
        <v>170.16634404620009</v>
      </c>
      <c r="T1118" s="12">
        <f t="shared" si="427"/>
        <v>175.27133436758609</v>
      </c>
      <c r="U1118" s="12">
        <f t="shared" si="427"/>
        <v>180.5294743986137</v>
      </c>
      <c r="V1118" s="12">
        <f t="shared" si="427"/>
        <v>185.94535863057212</v>
      </c>
      <c r="W1118" s="12">
        <f t="shared" si="427"/>
        <v>191.52371938948926</v>
      </c>
      <c r="X1118" s="12">
        <f t="shared" si="427"/>
        <v>197.26943097117396</v>
      </c>
      <c r="Y1118" s="12">
        <f t="shared" si="427"/>
        <v>203.1875139003092</v>
      </c>
      <c r="Z1118" s="12">
        <f t="shared" si="427"/>
        <v>209.28313931731847</v>
      </c>
      <c r="AA1118" s="12">
        <f t="shared" si="427"/>
        <v>215.56163349683806</v>
      </c>
      <c r="AB1118" s="12">
        <f t="shared" si="427"/>
        <v>222.02848250174321</v>
      </c>
      <c r="AC1118" s="12">
        <f t="shared" si="427"/>
        <v>228.68933697679552</v>
      </c>
      <c r="AD1118" s="12">
        <f t="shared" si="427"/>
        <v>235.55001708609936</v>
      </c>
      <c r="AE1118" s="12">
        <f t="shared" si="427"/>
        <v>242.61651759868235</v>
      </c>
      <c r="AF1118" s="12">
        <f t="shared" si="427"/>
        <v>249.89501312664285</v>
      </c>
      <c r="AG1118" s="12">
        <f t="shared" si="427"/>
        <v>257.39186352044214</v>
      </c>
      <c r="AH1118" s="12">
        <f t="shared" si="427"/>
        <v>265.11361942605538</v>
      </c>
    </row>
    <row r="1119" spans="1:34" s="20" customFormat="1" ht="14" x14ac:dyDescent="0.2">
      <c r="A1119" s="8"/>
      <c r="B1119" s="8" t="s">
        <v>501</v>
      </c>
      <c r="C1119" s="8"/>
      <c r="D1119" s="8" t="str">
        <f>'Assumptions - General'!$E$27 &amp;" millions"</f>
        <v>R$ millions</v>
      </c>
      <c r="E1119" s="12">
        <f>IF(E1115&lt;&gt;0,IF(OR(E$19=1,E$20=1),E1115*SUM(E1058:E1063),0),0)</f>
        <v>12500.000000000002</v>
      </c>
      <c r="F1119" s="12">
        <f t="shared" ref="F1119:AH1119" si="428">IF(F1115&lt;&gt;0,IF(OR(F$19=1,F$20=1),F1115*SUM(F1058:F1063),0),0)</f>
        <v>12875.000000000002</v>
      </c>
      <c r="G1119" s="12">
        <f t="shared" si="428"/>
        <v>13261.250000000002</v>
      </c>
      <c r="H1119" s="12">
        <f t="shared" si="428"/>
        <v>13659.087500000001</v>
      </c>
      <c r="I1119" s="12">
        <f t="shared" si="428"/>
        <v>14068.860125000003</v>
      </c>
      <c r="J1119" s="12">
        <f t="shared" si="428"/>
        <v>14490.925928750003</v>
      </c>
      <c r="K1119" s="12">
        <f t="shared" si="428"/>
        <v>16791.360419939065</v>
      </c>
      <c r="L1119" s="12">
        <f t="shared" si="428"/>
        <v>17295.101232537236</v>
      </c>
      <c r="M1119" s="12">
        <f t="shared" si="428"/>
        <v>17813.954269513357</v>
      </c>
      <c r="N1119" s="12">
        <f t="shared" si="428"/>
        <v>18348.372897598758</v>
      </c>
      <c r="O1119" s="12">
        <f t="shared" si="428"/>
        <v>18898.824084526717</v>
      </c>
      <c r="P1119" s="12">
        <f t="shared" si="428"/>
        <v>19465.788807062519</v>
      </c>
      <c r="Q1119" s="12">
        <f t="shared" si="428"/>
        <v>20049.762471274396</v>
      </c>
      <c r="R1119" s="12">
        <f t="shared" si="428"/>
        <v>20651.255345412632</v>
      </c>
      <c r="S1119" s="12">
        <f t="shared" si="428"/>
        <v>21270.793005775013</v>
      </c>
      <c r="T1119" s="12">
        <f t="shared" si="428"/>
        <v>21908.916795948262</v>
      </c>
      <c r="U1119" s="12">
        <f t="shared" si="428"/>
        <v>22566.184299826713</v>
      </c>
      <c r="V1119" s="12">
        <f t="shared" si="428"/>
        <v>23243.169828821512</v>
      </c>
      <c r="W1119" s="12">
        <f t="shared" si="428"/>
        <v>23940.464923686159</v>
      </c>
      <c r="X1119" s="12">
        <f t="shared" si="428"/>
        <v>24658.678871396743</v>
      </c>
      <c r="Y1119" s="12">
        <f t="shared" si="428"/>
        <v>25398.439237538649</v>
      </c>
      <c r="Z1119" s="12">
        <f t="shared" si="428"/>
        <v>26160.39241466481</v>
      </c>
      <c r="AA1119" s="12">
        <f t="shared" si="428"/>
        <v>26945.204187104755</v>
      </c>
      <c r="AB1119" s="12">
        <f t="shared" si="428"/>
        <v>27753.560312717898</v>
      </c>
      <c r="AC1119" s="12">
        <f t="shared" si="428"/>
        <v>28586.167122099439</v>
      </c>
      <c r="AD1119" s="12">
        <f t="shared" si="428"/>
        <v>29443.752135762421</v>
      </c>
      <c r="AE1119" s="12">
        <f t="shared" si="428"/>
        <v>30327.064699835297</v>
      </c>
      <c r="AF1119" s="12">
        <f t="shared" si="428"/>
        <v>31236.876640830356</v>
      </c>
      <c r="AG1119" s="12">
        <f t="shared" si="428"/>
        <v>32173.982940055266</v>
      </c>
      <c r="AH1119" s="12">
        <f t="shared" si="428"/>
        <v>33139.202428256925</v>
      </c>
    </row>
    <row r="1120" spans="1:34" s="20" customFormat="1" ht="14" x14ac:dyDescent="0.2">
      <c r="A1120" s="8"/>
      <c r="B1120" s="8" t="s">
        <v>504</v>
      </c>
      <c r="C1120" s="8"/>
      <c r="D1120" s="8" t="str">
        <f>'Assumptions - General'!$E$27 &amp;" millions"</f>
        <v>R$ millions</v>
      </c>
      <c r="E1120" s="12">
        <f>IF(E1116&lt;&gt;0,IF(OR(E$19=1,E$20=1),E1116*SUM(E1051:E1056),0),0)</f>
        <v>60</v>
      </c>
      <c r="F1120" s="12">
        <f t="shared" ref="F1120:AH1120" si="429">IF(F1116&lt;&gt;0,IF(OR(F$19=1,F$20=1),F1116*SUM(F1051:F1056),0),0)</f>
        <v>61.800000000000004</v>
      </c>
      <c r="G1120" s="12">
        <f t="shared" si="429"/>
        <v>63.653999999999996</v>
      </c>
      <c r="H1120" s="12">
        <f t="shared" si="429"/>
        <v>65.56362</v>
      </c>
      <c r="I1120" s="12">
        <f t="shared" si="429"/>
        <v>67.530528600000011</v>
      </c>
      <c r="J1120" s="12">
        <f t="shared" si="429"/>
        <v>69.556444458000001</v>
      </c>
      <c r="K1120" s="12">
        <f t="shared" si="429"/>
        <v>80.59853001570751</v>
      </c>
      <c r="L1120" s="12">
        <f t="shared" si="429"/>
        <v>83.016485916178738</v>
      </c>
      <c r="M1120" s="12">
        <f t="shared" si="429"/>
        <v>85.506980493664102</v>
      </c>
      <c r="N1120" s="12">
        <f t="shared" si="429"/>
        <v>88.07218990847403</v>
      </c>
      <c r="O1120" s="12">
        <f t="shared" si="429"/>
        <v>90.714355605728244</v>
      </c>
      <c r="P1120" s="12">
        <f t="shared" si="429"/>
        <v>93.435786273900106</v>
      </c>
      <c r="Q1120" s="12">
        <f t="shared" si="429"/>
        <v>96.238859862117096</v>
      </c>
      <c r="R1120" s="12">
        <f t="shared" si="429"/>
        <v>99.12602565798062</v>
      </c>
      <c r="S1120" s="12">
        <f t="shared" si="429"/>
        <v>102.09980642772005</v>
      </c>
      <c r="T1120" s="12">
        <f t="shared" si="429"/>
        <v>105.16280062055166</v>
      </c>
      <c r="U1120" s="12">
        <f t="shared" si="429"/>
        <v>108.31768463916822</v>
      </c>
      <c r="V1120" s="12">
        <f t="shared" si="429"/>
        <v>111.56721517834326</v>
      </c>
      <c r="W1120" s="12">
        <f t="shared" si="429"/>
        <v>114.91423163369356</v>
      </c>
      <c r="X1120" s="12">
        <f t="shared" si="429"/>
        <v>118.36165858270438</v>
      </c>
      <c r="Y1120" s="12">
        <f t="shared" si="429"/>
        <v>121.91250834018551</v>
      </c>
      <c r="Z1120" s="12">
        <f t="shared" si="429"/>
        <v>125.56988359039109</v>
      </c>
      <c r="AA1120" s="12">
        <f t="shared" si="429"/>
        <v>129.33698009810283</v>
      </c>
      <c r="AB1120" s="12">
        <f t="shared" si="429"/>
        <v>133.21708950104593</v>
      </c>
      <c r="AC1120" s="12">
        <f t="shared" si="429"/>
        <v>137.21360218607731</v>
      </c>
      <c r="AD1120" s="12">
        <f t="shared" si="429"/>
        <v>141.33001025165962</v>
      </c>
      <c r="AE1120" s="12">
        <f t="shared" si="429"/>
        <v>145.5699105592094</v>
      </c>
      <c r="AF1120" s="12">
        <f t="shared" si="429"/>
        <v>149.9370078759857</v>
      </c>
      <c r="AG1120" s="12">
        <f t="shared" si="429"/>
        <v>154.43511811226529</v>
      </c>
      <c r="AH1120" s="12">
        <f t="shared" si="429"/>
        <v>159.06817165563325</v>
      </c>
    </row>
    <row r="1121" spans="1:35" s="20" customFormat="1" ht="14" x14ac:dyDescent="0.2">
      <c r="A1121" s="8"/>
      <c r="B1121" s="15" t="s">
        <v>373</v>
      </c>
      <c r="C1121" s="8"/>
      <c r="D1121" s="8" t="str">
        <f>'Assumptions - General'!$E$27 &amp;" millions"</f>
        <v>R$ millions</v>
      </c>
      <c r="E1121" s="12">
        <f>SUM(E1117:E1120)</f>
        <v>25162.500000000004</v>
      </c>
      <c r="F1121" s="12">
        <f>SUM(F1117:F1120)</f>
        <v>25600.775609756103</v>
      </c>
      <c r="G1121" s="12">
        <f t="shared" ref="G1121:AH1121" si="430">SUM(G1117:G1120)</f>
        <v>26368.798878048783</v>
      </c>
      <c r="H1121" s="12">
        <f t="shared" si="430"/>
        <v>27159.862844390249</v>
      </c>
      <c r="I1121" s="12">
        <f t="shared" si="430"/>
        <v>27974.658729721959</v>
      </c>
      <c r="J1121" s="12">
        <f t="shared" si="430"/>
        <v>28813.898491613618</v>
      </c>
      <c r="K1121" s="12">
        <f t="shared" si="430"/>
        <v>33388.104877157268</v>
      </c>
      <c r="L1121" s="12">
        <f t="shared" si="430"/>
        <v>34389.748023471991</v>
      </c>
      <c r="M1121" s="12">
        <f t="shared" si="430"/>
        <v>35421.440464176165</v>
      </c>
      <c r="N1121" s="12">
        <f t="shared" si="430"/>
        <v>36484.083678101444</v>
      </c>
      <c r="O1121" s="12">
        <f t="shared" si="430"/>
        <v>37578.606188444479</v>
      </c>
      <c r="P1121" s="12">
        <f t="shared" si="430"/>
        <v>38705.964374097821</v>
      </c>
      <c r="Q1121" s="12">
        <f t="shared" si="430"/>
        <v>39867.143305320758</v>
      </c>
      <c r="R1121" s="12">
        <f t="shared" si="430"/>
        <v>41063.157604480381</v>
      </c>
      <c r="S1121" s="12">
        <f t="shared" si="430"/>
        <v>42295.052332614796</v>
      </c>
      <c r="T1121" s="12">
        <f t="shared" si="430"/>
        <v>43563.903902593236</v>
      </c>
      <c r="U1121" s="12">
        <f t="shared" si="430"/>
        <v>44870.821019671035</v>
      </c>
      <c r="V1121" s="12">
        <f t="shared" si="430"/>
        <v>46216.945650261172</v>
      </c>
      <c r="W1121" s="12">
        <f t="shared" si="430"/>
        <v>47603.454019769008</v>
      </c>
      <c r="X1121" s="12">
        <f t="shared" si="430"/>
        <v>49031.55764036208</v>
      </c>
      <c r="Y1121" s="12">
        <f t="shared" si="430"/>
        <v>50502.504369572955</v>
      </c>
      <c r="Z1121" s="12">
        <f t="shared" si="430"/>
        <v>52017.57950066014</v>
      </c>
      <c r="AA1121" s="12">
        <f t="shared" si="430"/>
        <v>53578.106885679939</v>
      </c>
      <c r="AB1121" s="12">
        <f t="shared" si="430"/>
        <v>55185.45009225035</v>
      </c>
      <c r="AC1121" s="12">
        <f t="shared" si="430"/>
        <v>56841.013595017866</v>
      </c>
      <c r="AD1121" s="12">
        <f t="shared" si="430"/>
        <v>58546.244002868392</v>
      </c>
      <c r="AE1121" s="12">
        <f t="shared" si="430"/>
        <v>60302.631322954447</v>
      </c>
      <c r="AF1121" s="12">
        <f t="shared" si="430"/>
        <v>62111.710262643086</v>
      </c>
      <c r="AG1121" s="12">
        <f t="shared" si="430"/>
        <v>63975.061570522375</v>
      </c>
      <c r="AH1121" s="12">
        <f t="shared" si="430"/>
        <v>65894.313417638055</v>
      </c>
    </row>
    <row r="1122" spans="1:35" s="20" customFormat="1" ht="14" x14ac:dyDescent="0.2">
      <c r="A1122" s="8"/>
      <c r="B1122" s="8"/>
      <c r="C1122" s="8"/>
      <c r="D1122" s="8"/>
      <c r="E1122" s="12"/>
      <c r="F1122" s="12"/>
      <c r="G1122" s="12"/>
      <c r="H1122" s="12"/>
      <c r="I1122" s="12"/>
      <c r="J1122" s="12"/>
      <c r="K1122" s="12"/>
      <c r="L1122" s="12"/>
      <c r="M1122" s="12"/>
      <c r="N1122" s="12"/>
      <c r="O1122" s="12"/>
      <c r="P1122" s="12"/>
      <c r="Q1122" s="12"/>
      <c r="R1122" s="12"/>
      <c r="S1122" s="12"/>
      <c r="T1122" s="12"/>
      <c r="U1122" s="12"/>
      <c r="V1122" s="12"/>
      <c r="W1122" s="12"/>
      <c r="X1122" s="12"/>
      <c r="Y1122" s="12"/>
      <c r="Z1122" s="12"/>
      <c r="AA1122" s="12"/>
      <c r="AB1122" s="12"/>
      <c r="AC1122" s="12"/>
      <c r="AD1122" s="12"/>
      <c r="AE1122" s="12"/>
      <c r="AF1122" s="12"/>
      <c r="AG1122" s="12"/>
      <c r="AH1122" s="12"/>
    </row>
    <row r="1123" spans="1:35" s="20" customFormat="1" ht="14" x14ac:dyDescent="0.2">
      <c r="A1123" s="8"/>
      <c r="B1123" s="8" t="s">
        <v>454</v>
      </c>
      <c r="C1123" s="8"/>
      <c r="D1123" s="8" t="str">
        <f>'Assumptions - Freight'!D282</f>
        <v>R$/GTK</v>
      </c>
      <c r="E1123" s="472">
        <f>IF(OR(E$17=1,E$18=1,E$19=1,E$20=1),IF($D$1109=1,'Assumptions - Passenger'!E231*$D$1110,'Assumptions - Passenger'!E231),0)</f>
        <v>0.25</v>
      </c>
      <c r="F1123" s="88">
        <f>IF(OR(F$17=1,F$18=1,F$19=1,F$20=1),E1123*IF($D$1112=1,1+$D$1111,1)*(IF('Assumptions - Passenger'!$E$233=1,('Assumptions - Passenger'!$E$235*'Assumptions - General'!F$37+1)*(1+'Assumptions - Passenger'!F$236),(1+'Assumptions - Passenger'!F$236))),0)</f>
        <v>0.25750000000000001</v>
      </c>
      <c r="G1123" s="88">
        <f>IF(OR(G$17=1,G$18=1,G$19=1,G$20=1),F1123*IF($D$1112=1,1+$D$1111,1)*(IF('Assumptions - Passenger'!$E$233=1,('Assumptions - Passenger'!$E$235*'Assumptions - General'!G$37+1)*(1+'Assumptions - Passenger'!G$236),(1+'Assumptions - Passenger'!G$236))),0)</f>
        <v>0.26522499999999999</v>
      </c>
      <c r="H1123" s="88">
        <f>IF(OR(H$17=1,H$18=1,H$19=1,H$20=1),G1123*IF($D$1112=1,1+$D$1111,1)*(IF('Assumptions - Passenger'!$E$233=1,('Assumptions - Passenger'!$E$235*'Assumptions - General'!H$37+1)*(1+'Assumptions - Passenger'!H$236),(1+'Assumptions - Passenger'!H$236))),0)</f>
        <v>0.27318175</v>
      </c>
      <c r="I1123" s="88">
        <f>IF(OR(I$17=1,I$18=1,I$19=1,I$20=1),H1123*IF($D$1112=1,1+$D$1111,1)*(IF('Assumptions - Passenger'!$E$233=1,('Assumptions - Passenger'!$E$235*'Assumptions - General'!I$37+1)*(1+'Assumptions - Passenger'!I$236),(1+'Assumptions - Passenger'!I$236))),0)</f>
        <v>0.28137720250000003</v>
      </c>
      <c r="J1123" s="88">
        <f>IF(OR(J$17=1,J$18=1,J$19=1,J$20=1),I1123*IF($D$1112=1,1+$D$1111,1)*(IF('Assumptions - Passenger'!$E$233=1,('Assumptions - Passenger'!$E$235*'Assumptions - General'!J$37+1)*(1+'Assumptions - Passenger'!J$236),(1+'Assumptions - Passenger'!J$236)))," ")</f>
        <v>0.28981851857500002</v>
      </c>
      <c r="K1123" s="88">
        <f>IF(OR(K$17=1,K$18=1,K$19=1,K$20=1),J1123*IF($D$1112=1,1+$D$1111,1)*(IF('Assumptions - Passenger'!$E$233=1,('Assumptions - Passenger'!$E$235*'Assumptions - General'!K$37+1)*(1+'Assumptions - Passenger'!K$236),(1+'Assumptions - Passenger'!K$236)))," ")</f>
        <v>0.29851307413225003</v>
      </c>
      <c r="L1123" s="88">
        <f>IF(OR(L$17=1,L$18=1,L$19=1,L$20=1),K1123*IF($D$1112=1,1+$D$1111,1)*(IF('Assumptions - Passenger'!$E$233=1,('Assumptions - Passenger'!$E$235*'Assumptions - General'!L$37+1)*(1+'Assumptions - Passenger'!L$236),(1+'Assumptions - Passenger'!L$236)))," ")</f>
        <v>0.30746846635621755</v>
      </c>
      <c r="M1123" s="88">
        <f>IF(OR(M$17=1,M$18=1,M$19=1,M$20=1),L1123*IF($D$1112=1,1+$D$1111,1)*(IF('Assumptions - Passenger'!$E$233=1,('Assumptions - Passenger'!$E$235*'Assumptions - General'!M$37+1)*(1+'Assumptions - Passenger'!M$236),(1+'Assumptions - Passenger'!M$236)))," ")</f>
        <v>0.31669252034690409</v>
      </c>
      <c r="N1123" s="88">
        <f>IF(OR(N$17=1,N$18=1,N$19=1,N$20=1),M1123*IF($D$1112=1,1+$D$1111,1)*(IF('Assumptions - Passenger'!$E$233=1,('Assumptions - Passenger'!$E$235*'Assumptions - General'!N$37+1)*(1+'Assumptions - Passenger'!N$236),(1+'Assumptions - Passenger'!N$236)))," ")</f>
        <v>0.32619329595731122</v>
      </c>
      <c r="O1123" s="88">
        <f>IF(OR(O$17=1,O$18=1,O$19=1,O$20=1),N1123*IF($D$1112=1,1+$D$1111,1)*(IF('Assumptions - Passenger'!$E$233=1,('Assumptions - Passenger'!$E$235*'Assumptions - General'!O$37+1)*(1+'Assumptions - Passenger'!O$236),(1+'Assumptions - Passenger'!O$236)))," ")</f>
        <v>0.33597909483603056</v>
      </c>
      <c r="P1123" s="88">
        <f>IF(OR(P$17=1,P$18=1,P$19=1,P$20=1),O1123*IF($D$1112=1,1+$D$1111,1)*(IF('Assumptions - Passenger'!$E$233=1,('Assumptions - Passenger'!$E$235*'Assumptions - General'!P$37+1)*(1+'Assumptions - Passenger'!P$236),(1+'Assumptions - Passenger'!P$236)))," ")</f>
        <v>0.34605846768111148</v>
      </c>
      <c r="Q1123" s="88">
        <f>IF(OR(Q$17=1,Q$18=1,Q$19=1,Q$20=1),P1123*IF($D$1112=1,1+$D$1111,1)*(IF('Assumptions - Passenger'!$E$233=1,('Assumptions - Passenger'!$E$235*'Assumptions - General'!Q$37+1)*(1+'Assumptions - Passenger'!Q$236),(1+'Assumptions - Passenger'!Q$236)))," ")</f>
        <v>0.35644022171154482</v>
      </c>
      <c r="R1123" s="88">
        <f>IF(OR(R$17=1,R$18=1,R$19=1,R$20=1),Q1123*IF($D$1112=1,1+$D$1111,1)*(IF('Assumptions - Passenger'!$E$233=1,('Assumptions - Passenger'!$E$235*'Assumptions - General'!R$37+1)*(1+'Assumptions - Passenger'!R$236),(1+'Assumptions - Passenger'!R$236)))," ")</f>
        <v>0.3671334283628912</v>
      </c>
      <c r="S1123" s="88">
        <f>IF(OR(S$17=1,S$18=1,S$19=1,S$20=1),R1123*IF($D$1112=1,1+$D$1111,1)*(IF('Assumptions - Passenger'!$E$233=1,('Assumptions - Passenger'!$E$235*'Assumptions - General'!S$37+1)*(1+'Assumptions - Passenger'!S$236),(1+'Assumptions - Passenger'!S$236)))," ")</f>
        <v>0.37814743121377797</v>
      </c>
      <c r="T1123" s="88">
        <f>IF(OR(T$17=1,T$18=1,T$19=1,T$20=1),S1123*IF($D$1112=1,1+$D$1111,1)*(IF('Assumptions - Passenger'!$E$233=1,('Assumptions - Passenger'!$E$235*'Assumptions - General'!T$37+1)*(1+'Assumptions - Passenger'!T$236),(1+'Assumptions - Passenger'!T$236)))," ")</f>
        <v>0.38949185415019133</v>
      </c>
      <c r="U1123" s="88">
        <f>IF(OR(U$17=1,U$18=1,U$19=1,U$20=1),T1123*IF($D$1112=1,1+$D$1111,1)*(IF('Assumptions - Passenger'!$E$233=1,('Assumptions - Passenger'!$E$235*'Assumptions - General'!U$37+1)*(1+'Assumptions - Passenger'!U$236),(1+'Assumptions - Passenger'!U$236)))," ")</f>
        <v>0.4011766097746971</v>
      </c>
      <c r="V1123" s="88">
        <f>IF(OR(V$17=1,V$18=1,V$19=1,V$20=1),U1123*IF($D$1112=1,1+$D$1111,1)*(IF('Assumptions - Passenger'!$E$233=1,('Assumptions - Passenger'!$E$235*'Assumptions - General'!V$37+1)*(1+'Assumptions - Passenger'!V$236),(1+'Assumptions - Passenger'!V$236)))," ")</f>
        <v>0.41321190806793801</v>
      </c>
      <c r="W1123" s="88">
        <f>IF(OR(W$17=1,W$18=1,W$19=1,W$20=1),V1123*IF($D$1112=1,1+$D$1111,1)*(IF('Assumptions - Passenger'!$E$233=1,('Assumptions - Passenger'!$E$235*'Assumptions - General'!W$37+1)*(1+'Assumptions - Passenger'!W$236),(1+'Assumptions - Passenger'!W$236)))," ")</f>
        <v>0.42560826530997614</v>
      </c>
      <c r="X1123" s="88">
        <f>IF(OR(X$17=1,X$18=1,X$19=1,X$20=1),W1123*IF($D$1112=1,1+$D$1111,1)*(IF('Assumptions - Passenger'!$E$233=1,('Assumptions - Passenger'!$E$235*'Assumptions - General'!X$37+1)*(1+'Assumptions - Passenger'!X$236),(1+'Assumptions - Passenger'!X$236)))," ")</f>
        <v>0.43837651326927546</v>
      </c>
      <c r="Y1123" s="88">
        <f>IF(OR(Y$17=1,Y$18=1,Y$19=1,Y$20=1),X1123*IF($D$1112=1,1+$D$1111,1)*(IF('Assumptions - Passenger'!$E$233=1,('Assumptions - Passenger'!$E$235*'Assumptions - General'!Y$37+1)*(1+'Assumptions - Passenger'!Y$236),(1+'Assumptions - Passenger'!Y$236)))," ")</f>
        <v>0.45152780866735376</v>
      </c>
      <c r="Z1123" s="88">
        <f>IF(OR(Z$17=1,Z$18=1,Z$19=1,Z$20=1),Y1123*IF($D$1112=1,1+$D$1111,1)*(IF('Assumptions - Passenger'!$E$233=1,('Assumptions - Passenger'!$E$235*'Assumptions - General'!Z$37+1)*(1+'Assumptions - Passenger'!Z$236),(1+'Assumptions - Passenger'!Z$236)))," ")</f>
        <v>0.46507364292737441</v>
      </c>
      <c r="AA1123" s="88">
        <f>IF(OR(AA$17=1,AA$18=1,AA$19=1,AA$20=1),Z1123*IF($D$1112=1,1+$D$1111,1)*(IF('Assumptions - Passenger'!$E$233=1,('Assumptions - Passenger'!$E$235*'Assumptions - General'!AA$37+1)*(1+'Assumptions - Passenger'!AA$236),(1+'Assumptions - Passenger'!AA$236)))," ")</f>
        <v>0.47902585221519567</v>
      </c>
      <c r="AB1123" s="88">
        <f>IF(OR(AB$17=1,AB$18=1,AB$19=1,AB$20=1),AA1123*IF($D$1112=1,1+$D$1111,1)*(IF('Assumptions - Passenger'!$E$233=1,('Assumptions - Passenger'!$E$235*'Assumptions - General'!AB$37+1)*(1+'Assumptions - Passenger'!AB$236),(1+'Assumptions - Passenger'!AB$236)))," ")</f>
        <v>0.49339662778165155</v>
      </c>
      <c r="AC1123" s="88">
        <f>IF(OR(AC$17=1,AC$18=1,AC$19=1,AC$20=1),AB1123*IF($D$1112=1,1+$D$1111,1)*(IF('Assumptions - Passenger'!$E$233=1,('Assumptions - Passenger'!$E$235*'Assumptions - General'!AC$37+1)*(1+'Assumptions - Passenger'!AC$236),(1+'Assumptions - Passenger'!AC$236)))," ")</f>
        <v>0.50819852661510112</v>
      </c>
      <c r="AD1123" s="88">
        <f>IF(OR(AD$17=1,AD$18=1,AD$19=1,AD$20=1),AC1123*IF($D$1112=1,1+$D$1111,1)*(IF('Assumptions - Passenger'!$E$233=1,('Assumptions - Passenger'!$E$235*'Assumptions - General'!AD$37+1)*(1+'Assumptions - Passenger'!AD$236),(1+'Assumptions - Passenger'!AD$236)))," ")</f>
        <v>0.52344448241355412</v>
      </c>
      <c r="AE1123" s="88">
        <f>IF(OR(AE$17=1,AE$18=1,AE$19=1,AE$20=1),AD1123*IF($D$1112=1,1+$D$1111,1)*(IF('Assumptions - Passenger'!$E$233=1,('Assumptions - Passenger'!$E$235*'Assumptions - General'!AE$37+1)*(1+'Assumptions - Passenger'!AE$236),(1+'Assumptions - Passenger'!AE$236)))," ")</f>
        <v>0.53914781688596081</v>
      </c>
      <c r="AF1123" s="88">
        <f>IF(OR(AF$17=1,AF$18=1,AF$19=1,AF$20=1),AE1123*IF($D$1112=1,1+$D$1111,1)*(IF('Assumptions - Passenger'!$E$233=1,('Assumptions - Passenger'!$E$235*'Assumptions - General'!AF$37+1)*(1+'Assumptions - Passenger'!AF$236),(1+'Assumptions - Passenger'!AF$236)))," ")</f>
        <v>0.55532225139253966</v>
      </c>
      <c r="AG1123" s="88">
        <f>IF(OR(AG$17=1,AG$18=1,AG$19=1,AG$20=1),AF1123*IF($D$1112=1,1+$D$1111,1)*(IF('Assumptions - Passenger'!$E$233=1,('Assumptions - Passenger'!$E$235*'Assumptions - General'!AG$37+1)*(1+'Assumptions - Passenger'!AG$236),(1+'Assumptions - Passenger'!AG$236)))," ")</f>
        <v>0.57198191893431582</v>
      </c>
      <c r="AH1123" s="88">
        <f>IF(OR(AH$17=1,AH$18=1,AH$19=1,AH$20=1),AG1123*IF($D$1112=1,1+$D$1111,1)*(IF('Assumptions - Passenger'!$E$233=1,('Assumptions - Passenger'!$E$235*'Assumptions - General'!AH$37+1)*(1+'Assumptions - Passenger'!AH$236),(1+'Assumptions - Passenger'!AH$236)))," ")</f>
        <v>0.58914137650234533</v>
      </c>
    </row>
    <row r="1124" spans="1:35" s="20" customFormat="1" ht="14" x14ac:dyDescent="0.2">
      <c r="A1124" s="8"/>
      <c r="B1124" s="8" t="s">
        <v>455</v>
      </c>
      <c r="C1124" s="8"/>
      <c r="D1124" s="8" t="str">
        <f>'Assumptions - Freight'!D283</f>
        <v>R$/Train-km</v>
      </c>
      <c r="E1124" s="472">
        <f>IF(OR(E$17=1,E$18=1,E$19=1,E$20=1),IF($D$1109=1,'Assumptions - Passenger'!E232*$D$1110,'Assumptions - Passenger'!E232),0)</f>
        <v>0.25</v>
      </c>
      <c r="F1124" s="88">
        <f>IF(OR(F$17=1,F$18=1,F$19=1,F$20=1),E1124*IF($D$1112=1,1+$D$1111,1)*(IF('Assumptions - Passenger'!$E$233=1,('Assumptions - Passenger'!$E$235*'Assumptions - General'!F$37+1)*(1+'Assumptions - Passenger'!F$236),(1+'Assumptions - Passenger'!F$236))),0)</f>
        <v>0.25750000000000001</v>
      </c>
      <c r="G1124" s="88">
        <f>IF(OR(G$17=1,G$18=1,G$19=1,G$20=1),F1124*IF($D$1112=1,1+$D$1111,1)*(IF('Assumptions - Passenger'!$E$233=1,('Assumptions - Passenger'!$E$235*'Assumptions - General'!G$37+1)*(1+'Assumptions - Passenger'!G$236),(1+'Assumptions - Passenger'!G$236))),0)</f>
        <v>0.26522499999999999</v>
      </c>
      <c r="H1124" s="88">
        <f>IF(OR(H$17=1,H$18=1,H$19=1,H$20=1),G1124*IF($D$1112=1,1+$D$1111,1)*(IF('Assumptions - Passenger'!$E$233=1,('Assumptions - Passenger'!$E$235*'Assumptions - General'!H$37+1)*(1+'Assumptions - Passenger'!H$236),(1+'Assumptions - Passenger'!H$236))),0)</f>
        <v>0.27318175</v>
      </c>
      <c r="I1124" s="88">
        <f>IF(OR(I$17=1,I$18=1,I$19=1,I$20=1),H1124*IF($D$1112=1,1+$D$1111,1)*(IF('Assumptions - Passenger'!$E$233=1,('Assumptions - Passenger'!$E$235*'Assumptions - General'!I$37+1)*(1+'Assumptions - Passenger'!I$236),(1+'Assumptions - Passenger'!I$236))),0)</f>
        <v>0.28137720250000003</v>
      </c>
      <c r="J1124" s="88">
        <f>IF(OR(J$17=1,J$18=1,J$19=1,J$20=1),I1124*IF($D$1112=1,1+$D$1111,1)*(IF('Assumptions - Passenger'!$E$233=1,('Assumptions - Passenger'!$E$235*'Assumptions - General'!J$37+1)*(1+'Assumptions - Passenger'!J$236),(1+'Assumptions - Passenger'!J$236)))," ")</f>
        <v>0.28981851857500002</v>
      </c>
      <c r="K1124" s="88">
        <f>IF(OR(K$17=1,K$18=1,K$19=1,K$20=1),J1124*IF($D$1112=1,1+$D$1111,1)*(IF('Assumptions - Passenger'!$E$233=1,('Assumptions - Passenger'!$E$235*'Assumptions - General'!K$37+1)*(1+'Assumptions - Passenger'!K$236),(1+'Assumptions - Passenger'!K$236)))," ")</f>
        <v>0.29851307413225003</v>
      </c>
      <c r="L1124" s="88">
        <f>IF(OR(L$17=1,L$18=1,L$19=1,L$20=1),K1124*IF($D$1112=1,1+$D$1111,1)*(IF('Assumptions - Passenger'!$E$233=1,('Assumptions - Passenger'!$E$235*'Assumptions - General'!L$37+1)*(1+'Assumptions - Passenger'!L$236),(1+'Assumptions - Passenger'!L$236)))," ")</f>
        <v>0.30746846635621755</v>
      </c>
      <c r="M1124" s="88">
        <f>IF(OR(M$17=1,M$18=1,M$19=1,M$20=1),L1124*IF($D$1112=1,1+$D$1111,1)*(IF('Assumptions - Passenger'!$E$233=1,('Assumptions - Passenger'!$E$235*'Assumptions - General'!M$37+1)*(1+'Assumptions - Passenger'!M$236),(1+'Assumptions - Passenger'!M$236)))," ")</f>
        <v>0.31669252034690409</v>
      </c>
      <c r="N1124" s="88">
        <f>IF(OR(N$17=1,N$18=1,N$19=1,N$20=1),M1124*IF($D$1112=1,1+$D$1111,1)*(IF('Assumptions - Passenger'!$E$233=1,('Assumptions - Passenger'!$E$235*'Assumptions - General'!N$37+1)*(1+'Assumptions - Passenger'!N$236),(1+'Assumptions - Passenger'!N$236)))," ")</f>
        <v>0.32619329595731122</v>
      </c>
      <c r="O1124" s="88">
        <f>IF(OR(O$17=1,O$18=1,O$19=1,O$20=1),N1124*IF($D$1112=1,1+$D$1111,1)*(IF('Assumptions - Passenger'!$E$233=1,('Assumptions - Passenger'!$E$235*'Assumptions - General'!O$37+1)*(1+'Assumptions - Passenger'!O$236),(1+'Assumptions - Passenger'!O$236)))," ")</f>
        <v>0.33597909483603056</v>
      </c>
      <c r="P1124" s="88">
        <f>IF(OR(P$17=1,P$18=1,P$19=1,P$20=1),O1124*IF($D$1112=1,1+$D$1111,1)*(IF('Assumptions - Passenger'!$E$233=1,('Assumptions - Passenger'!$E$235*'Assumptions - General'!P$37+1)*(1+'Assumptions - Passenger'!P$236),(1+'Assumptions - Passenger'!P$236)))," ")</f>
        <v>0.34605846768111148</v>
      </c>
      <c r="Q1124" s="88">
        <f>IF(OR(Q$17=1,Q$18=1,Q$19=1,Q$20=1),P1124*IF($D$1112=1,1+$D$1111,1)*(IF('Assumptions - Passenger'!$E$233=1,('Assumptions - Passenger'!$E$235*'Assumptions - General'!Q$37+1)*(1+'Assumptions - Passenger'!Q$236),(1+'Assumptions - Passenger'!Q$236)))," ")</f>
        <v>0.35644022171154482</v>
      </c>
      <c r="R1124" s="88">
        <f>IF(OR(R$17=1,R$18=1,R$19=1,R$20=1),Q1124*IF($D$1112=1,1+$D$1111,1)*(IF('Assumptions - Passenger'!$E$233=1,('Assumptions - Passenger'!$E$235*'Assumptions - General'!R$37+1)*(1+'Assumptions - Passenger'!R$236),(1+'Assumptions - Passenger'!R$236)))," ")</f>
        <v>0.3671334283628912</v>
      </c>
      <c r="S1124" s="88">
        <f>IF(OR(S$17=1,S$18=1,S$19=1,S$20=1),R1124*IF($D$1112=1,1+$D$1111,1)*(IF('Assumptions - Passenger'!$E$233=1,('Assumptions - Passenger'!$E$235*'Assumptions - General'!S$37+1)*(1+'Assumptions - Passenger'!S$236),(1+'Assumptions - Passenger'!S$236)))," ")</f>
        <v>0.37814743121377797</v>
      </c>
      <c r="T1124" s="88">
        <f>IF(OR(T$17=1,T$18=1,T$19=1,T$20=1),S1124*IF($D$1112=1,1+$D$1111,1)*(IF('Assumptions - Passenger'!$E$233=1,('Assumptions - Passenger'!$E$235*'Assumptions - General'!T$37+1)*(1+'Assumptions - Passenger'!T$236),(1+'Assumptions - Passenger'!T$236)))," ")</f>
        <v>0.38949185415019133</v>
      </c>
      <c r="U1124" s="88">
        <f>IF(OR(U$17=1,U$18=1,U$19=1,U$20=1),T1124*IF($D$1112=1,1+$D$1111,1)*(IF('Assumptions - Passenger'!$E$233=1,('Assumptions - Passenger'!$E$235*'Assumptions - General'!U$37+1)*(1+'Assumptions - Passenger'!U$236),(1+'Assumptions - Passenger'!U$236)))," ")</f>
        <v>0.4011766097746971</v>
      </c>
      <c r="V1124" s="88">
        <f>IF(OR(V$17=1,V$18=1,V$19=1,V$20=1),U1124*IF($D$1112=1,1+$D$1111,1)*(IF('Assumptions - Passenger'!$E$233=1,('Assumptions - Passenger'!$E$235*'Assumptions - General'!V$37+1)*(1+'Assumptions - Passenger'!V$236),(1+'Assumptions - Passenger'!V$236)))," ")</f>
        <v>0.41321190806793801</v>
      </c>
      <c r="W1124" s="88">
        <f>IF(OR(W$17=1,W$18=1,W$19=1,W$20=1),V1124*IF($D$1112=1,1+$D$1111,1)*(IF('Assumptions - Passenger'!$E$233=1,('Assumptions - Passenger'!$E$235*'Assumptions - General'!W$37+1)*(1+'Assumptions - Passenger'!W$236),(1+'Assumptions - Passenger'!W$236)))," ")</f>
        <v>0.42560826530997614</v>
      </c>
      <c r="X1124" s="88">
        <f>IF(OR(X$17=1,X$18=1,X$19=1,X$20=1),W1124*IF($D$1112=1,1+$D$1111,1)*(IF('Assumptions - Passenger'!$E$233=1,('Assumptions - Passenger'!$E$235*'Assumptions - General'!X$37+1)*(1+'Assumptions - Passenger'!X$236),(1+'Assumptions - Passenger'!X$236)))," ")</f>
        <v>0.43837651326927546</v>
      </c>
      <c r="Y1124" s="88">
        <f>IF(OR(Y$17=1,Y$18=1,Y$19=1,Y$20=1),X1124*IF($D$1112=1,1+$D$1111,1)*(IF('Assumptions - Passenger'!$E$233=1,('Assumptions - Passenger'!$E$235*'Assumptions - General'!Y$37+1)*(1+'Assumptions - Passenger'!Y$236),(1+'Assumptions - Passenger'!Y$236)))," ")</f>
        <v>0.45152780866735376</v>
      </c>
      <c r="Z1124" s="88">
        <f>IF(OR(Z$17=1,Z$18=1,Z$19=1,Z$20=1),Y1124*IF($D$1112=1,1+$D$1111,1)*(IF('Assumptions - Passenger'!$E$233=1,('Assumptions - Passenger'!$E$235*'Assumptions - General'!Z$37+1)*(1+'Assumptions - Passenger'!Z$236),(1+'Assumptions - Passenger'!Z$236)))," ")</f>
        <v>0.46507364292737441</v>
      </c>
      <c r="AA1124" s="88">
        <f>IF(OR(AA$17=1,AA$18=1,AA$19=1,AA$20=1),Z1124*IF($D$1112=1,1+$D$1111,1)*(IF('Assumptions - Passenger'!$E$233=1,('Assumptions - Passenger'!$E$235*'Assumptions - General'!AA$37+1)*(1+'Assumptions - Passenger'!AA$236),(1+'Assumptions - Passenger'!AA$236)))," ")</f>
        <v>0.47902585221519567</v>
      </c>
      <c r="AB1124" s="88">
        <f>IF(OR(AB$17=1,AB$18=1,AB$19=1,AB$20=1),AA1124*IF($D$1112=1,1+$D$1111,1)*(IF('Assumptions - Passenger'!$E$233=1,('Assumptions - Passenger'!$E$235*'Assumptions - General'!AB$37+1)*(1+'Assumptions - Passenger'!AB$236),(1+'Assumptions - Passenger'!AB$236)))," ")</f>
        <v>0.49339662778165155</v>
      </c>
      <c r="AC1124" s="88">
        <f>IF(OR(AC$17=1,AC$18=1,AC$19=1,AC$20=1),AB1124*IF($D$1112=1,1+$D$1111,1)*(IF('Assumptions - Passenger'!$E$233=1,('Assumptions - Passenger'!$E$235*'Assumptions - General'!AC$37+1)*(1+'Assumptions - Passenger'!AC$236),(1+'Assumptions - Passenger'!AC$236)))," ")</f>
        <v>0.50819852661510112</v>
      </c>
      <c r="AD1124" s="88">
        <f>IF(OR(AD$17=1,AD$18=1,AD$19=1,AD$20=1),AC1124*IF($D$1112=1,1+$D$1111,1)*(IF('Assumptions - Passenger'!$E$233=1,('Assumptions - Passenger'!$E$235*'Assumptions - General'!AD$37+1)*(1+'Assumptions - Passenger'!AD$236),(1+'Assumptions - Passenger'!AD$236)))," ")</f>
        <v>0.52344448241355412</v>
      </c>
      <c r="AE1124" s="88">
        <f>IF(OR(AE$17=1,AE$18=1,AE$19=1,AE$20=1),AD1124*IF($D$1112=1,1+$D$1111,1)*(IF('Assumptions - Passenger'!$E$233=1,('Assumptions - Passenger'!$E$235*'Assumptions - General'!AE$37+1)*(1+'Assumptions - Passenger'!AE$236),(1+'Assumptions - Passenger'!AE$236)))," ")</f>
        <v>0.53914781688596081</v>
      </c>
      <c r="AF1124" s="88">
        <f>IF(OR(AF$17=1,AF$18=1,AF$19=1,AF$20=1),AE1124*IF($D$1112=1,1+$D$1111,1)*(IF('Assumptions - Passenger'!$E$233=1,('Assumptions - Passenger'!$E$235*'Assumptions - General'!AF$37+1)*(1+'Assumptions - Passenger'!AF$236),(1+'Assumptions - Passenger'!AF$236)))," ")</f>
        <v>0.55532225139253966</v>
      </c>
      <c r="AG1124" s="88">
        <f>IF(OR(AG$17=1,AG$18=1,AG$19=1,AG$20=1),AF1124*IF($D$1112=1,1+$D$1111,1)*(IF('Assumptions - Passenger'!$E$233=1,('Assumptions - Passenger'!$E$235*'Assumptions - General'!AG$37+1)*(1+'Assumptions - Passenger'!AG$236),(1+'Assumptions - Passenger'!AG$236)))," ")</f>
        <v>0.57198191893431582</v>
      </c>
      <c r="AH1124" s="88">
        <f>IF(OR(AH$17=1,AH$18=1,AH$19=1,AH$20=1),AG1124*IF($D$1112=1,1+$D$1111,1)*(IF('Assumptions - Passenger'!$E$233=1,('Assumptions - Passenger'!$E$235*'Assumptions - General'!AH$37+1)*(1+'Assumptions - Passenger'!AH$236),(1+'Assumptions - Passenger'!AH$236)))," ")</f>
        <v>0.58914137650234533</v>
      </c>
    </row>
    <row r="1125" spans="1:35" s="20" customFormat="1" ht="14" x14ac:dyDescent="0.2">
      <c r="A1125" s="8"/>
      <c r="B1125" s="8" t="s">
        <v>505</v>
      </c>
      <c r="C1125" s="8"/>
      <c r="D1125" s="8" t="str">
        <f>'Assumptions - General'!$E$27 &amp;" millions"</f>
        <v>R$ millions</v>
      </c>
      <c r="E1125" s="12">
        <f t="shared" ref="E1125:AH1125" si="431">IF(E1123&lt;&gt;0,IF(OR(E$17=1,E$18=1,E$19=1,E$20=1),E1123*SUM(E628:E630)," "),0)</f>
        <v>7500</v>
      </c>
      <c r="F1125" s="12">
        <f t="shared" si="431"/>
        <v>8207.8125</v>
      </c>
      <c r="G1125" s="12">
        <f t="shared" si="431"/>
        <v>8454.046875</v>
      </c>
      <c r="H1125" s="12">
        <f t="shared" si="431"/>
        <v>9219.8840624999993</v>
      </c>
      <c r="I1125" s="12">
        <f t="shared" si="431"/>
        <v>10551.645093750001</v>
      </c>
      <c r="J1125" s="12">
        <f t="shared" si="431"/>
        <v>11411.604168890626</v>
      </c>
      <c r="K1125" s="12">
        <f t="shared" si="431"/>
        <v>12313.664307955314</v>
      </c>
      <c r="L1125" s="12">
        <f t="shared" si="431"/>
        <v>13259.577611611881</v>
      </c>
      <c r="M1125" s="12">
        <f t="shared" si="431"/>
        <v>14251.163415610685</v>
      </c>
      <c r="N1125" s="12">
        <f t="shared" si="431"/>
        <v>15290.310747998963</v>
      </c>
      <c r="O1125" s="12">
        <f t="shared" si="431"/>
        <v>16378.980873256489</v>
      </c>
      <c r="P1125" s="12">
        <f t="shared" si="431"/>
        <v>17519.20992635627</v>
      </c>
      <c r="Q1125" s="12">
        <f t="shared" si="431"/>
        <v>18713.111639856103</v>
      </c>
      <c r="R1125" s="12">
        <f t="shared" si="431"/>
        <v>19962.880167232208</v>
      </c>
      <c r="S1125" s="12">
        <f t="shared" si="431"/>
        <v>21270.793005775013</v>
      </c>
      <c r="T1125" s="12">
        <f t="shared" si="431"/>
        <v>22639.214022479871</v>
      </c>
      <c r="U1125" s="12">
        <f t="shared" si="431"/>
        <v>24070.596586481824</v>
      </c>
      <c r="V1125" s="12">
        <f t="shared" si="431"/>
        <v>25567.486811703664</v>
      </c>
      <c r="W1125" s="12">
        <f t="shared" si="431"/>
        <v>27132.526913510977</v>
      </c>
      <c r="X1125" s="12">
        <f t="shared" si="431"/>
        <v>28768.458683296201</v>
      </c>
      <c r="Y1125" s="12">
        <f t="shared" si="431"/>
        <v>30478.127085046377</v>
      </c>
      <c r="Z1125" s="12">
        <f t="shared" si="431"/>
        <v>32264.483978086599</v>
      </c>
      <c r="AA1125" s="12">
        <f t="shared" si="431"/>
        <v>34130.591970332694</v>
      </c>
      <c r="AB1125" s="12">
        <f t="shared" si="431"/>
        <v>36079.628406533273</v>
      </c>
      <c r="AC1125" s="12">
        <f t="shared" si="431"/>
        <v>38114.889496132586</v>
      </c>
      <c r="AD1125" s="12">
        <f t="shared" si="431"/>
        <v>40239.794585541975</v>
      </c>
      <c r="AE1125" s="12">
        <f t="shared" si="431"/>
        <v>42457.890579769417</v>
      </c>
      <c r="AF1125" s="12">
        <f t="shared" si="431"/>
        <v>44772.856518523513</v>
      </c>
      <c r="AG1125" s="12">
        <f t="shared" si="431"/>
        <v>47188.508312081052</v>
      </c>
      <c r="AH1125" s="12">
        <f t="shared" si="431"/>
        <v>49708.803642385385</v>
      </c>
      <c r="AI1125" s="38"/>
    </row>
    <row r="1126" spans="1:35" s="20" customFormat="1" ht="14" x14ac:dyDescent="0.2">
      <c r="A1126" s="8"/>
      <c r="B1126" s="8" t="s">
        <v>506</v>
      </c>
      <c r="C1126" s="8"/>
      <c r="D1126" s="8" t="str">
        <f>'Assumptions - General'!$E$27 &amp;" millions"</f>
        <v>R$ millions</v>
      </c>
      <c r="E1126" s="12">
        <f t="shared" ref="E1126:AH1126" si="432">IF(E1124&lt;&gt;0,IF(OR(E$17=1,E$18=1,E$19=1,E$20=1),E1124*SUM(E624:E626)," "),0)</f>
        <v>375</v>
      </c>
      <c r="F1126" s="12">
        <f t="shared" si="432"/>
        <v>386.25</v>
      </c>
      <c r="G1126" s="12">
        <f t="shared" si="432"/>
        <v>397.83749999999998</v>
      </c>
      <c r="H1126" s="12">
        <f t="shared" si="432"/>
        <v>409.77262500000001</v>
      </c>
      <c r="I1126" s="12">
        <f t="shared" si="432"/>
        <v>422.06580375000004</v>
      </c>
      <c r="J1126" s="12">
        <f t="shared" si="432"/>
        <v>434.72777786250003</v>
      </c>
      <c r="K1126" s="12">
        <f t="shared" si="432"/>
        <v>447.76961119837506</v>
      </c>
      <c r="L1126" s="12">
        <f t="shared" si="432"/>
        <v>461.20269953432631</v>
      </c>
      <c r="M1126" s="12">
        <f t="shared" si="432"/>
        <v>475.03878052035611</v>
      </c>
      <c r="N1126" s="12">
        <f t="shared" si="432"/>
        <v>489.28994393596685</v>
      </c>
      <c r="O1126" s="12">
        <f t="shared" si="432"/>
        <v>503.96864225404585</v>
      </c>
      <c r="P1126" s="12">
        <f t="shared" si="432"/>
        <v>519.08770152166721</v>
      </c>
      <c r="Q1126" s="12">
        <f t="shared" si="432"/>
        <v>534.66033256731725</v>
      </c>
      <c r="R1126" s="12">
        <f t="shared" si="432"/>
        <v>550.70014254433681</v>
      </c>
      <c r="S1126" s="12">
        <f t="shared" si="432"/>
        <v>567.22114682066695</v>
      </c>
      <c r="T1126" s="12">
        <f t="shared" si="432"/>
        <v>584.23778122528699</v>
      </c>
      <c r="U1126" s="12">
        <f t="shared" si="432"/>
        <v>601.76491466204561</v>
      </c>
      <c r="V1126" s="12">
        <f t="shared" si="432"/>
        <v>619.81786210190705</v>
      </c>
      <c r="W1126" s="12">
        <f t="shared" si="432"/>
        <v>638.41239796496416</v>
      </c>
      <c r="X1126" s="12">
        <f t="shared" si="432"/>
        <v>657.5647699039132</v>
      </c>
      <c r="Y1126" s="12">
        <f t="shared" si="432"/>
        <v>677.29171300103064</v>
      </c>
      <c r="Z1126" s="12">
        <f t="shared" si="432"/>
        <v>697.61046439106167</v>
      </c>
      <c r="AA1126" s="12">
        <f t="shared" si="432"/>
        <v>718.53877832279352</v>
      </c>
      <c r="AB1126" s="12">
        <f t="shared" si="432"/>
        <v>740.09494167247738</v>
      </c>
      <c r="AC1126" s="12">
        <f t="shared" si="432"/>
        <v>762.29778992265165</v>
      </c>
      <c r="AD1126" s="12">
        <f t="shared" si="432"/>
        <v>785.16672362033114</v>
      </c>
      <c r="AE1126" s="12">
        <f t="shared" si="432"/>
        <v>808.72172532894126</v>
      </c>
      <c r="AF1126" s="12">
        <f t="shared" si="432"/>
        <v>832.98337708880945</v>
      </c>
      <c r="AG1126" s="12">
        <f t="shared" si="432"/>
        <v>857.97287840147374</v>
      </c>
      <c r="AH1126" s="12">
        <f t="shared" si="432"/>
        <v>883.71206475351801</v>
      </c>
      <c r="AI1126" s="38"/>
    </row>
    <row r="1127" spans="1:35" s="20" customFormat="1" ht="14" x14ac:dyDescent="0.2">
      <c r="A1127" s="8"/>
      <c r="B1127" s="8" t="s">
        <v>507</v>
      </c>
      <c r="C1127" s="8"/>
      <c r="D1127" s="8" t="str">
        <f>'Assumptions - General'!$E$27 &amp;" millions"</f>
        <v>R$ millions</v>
      </c>
      <c r="E1127" s="12">
        <f>IF(E1123&lt;&gt;0,IF(OR(E$19=1,E$20=1),E1123*SUM(E1091:E1093),0),0)</f>
        <v>7500</v>
      </c>
      <c r="F1127" s="12">
        <f t="shared" ref="F1127:AH1127" si="433">IF(F1123&lt;&gt;0,IF(OR(F$19=1,F$20=1),F1123*SUM(F1091:F1093),0),0)</f>
        <v>8207.8125</v>
      </c>
      <c r="G1127" s="12">
        <f t="shared" si="433"/>
        <v>8454.046875</v>
      </c>
      <c r="H1127" s="12">
        <f t="shared" si="433"/>
        <v>9219.8840624999993</v>
      </c>
      <c r="I1127" s="12">
        <f t="shared" si="433"/>
        <v>10551.645093750001</v>
      </c>
      <c r="J1127" s="12">
        <f t="shared" si="433"/>
        <v>11411.604168890626</v>
      </c>
      <c r="K1127" s="12">
        <f t="shared" si="433"/>
        <v>12313.664307955314</v>
      </c>
      <c r="L1127" s="12">
        <f t="shared" si="433"/>
        <v>13259.577611611881</v>
      </c>
      <c r="M1127" s="12">
        <f t="shared" si="433"/>
        <v>14251.163415610685</v>
      </c>
      <c r="N1127" s="12">
        <f t="shared" si="433"/>
        <v>15290.310747998963</v>
      </c>
      <c r="O1127" s="12">
        <f t="shared" si="433"/>
        <v>16378.980873256489</v>
      </c>
      <c r="P1127" s="12">
        <f t="shared" si="433"/>
        <v>17519.20992635627</v>
      </c>
      <c r="Q1127" s="12">
        <f t="shared" si="433"/>
        <v>18713.111639856103</v>
      </c>
      <c r="R1127" s="12">
        <f t="shared" si="433"/>
        <v>19962.880167232208</v>
      </c>
      <c r="S1127" s="12">
        <f t="shared" si="433"/>
        <v>21270.793005775013</v>
      </c>
      <c r="T1127" s="12">
        <f t="shared" si="433"/>
        <v>22639.214022479871</v>
      </c>
      <c r="U1127" s="12">
        <f t="shared" si="433"/>
        <v>24070.596586481824</v>
      </c>
      <c r="V1127" s="12">
        <f t="shared" si="433"/>
        <v>25567.486811703664</v>
      </c>
      <c r="W1127" s="12">
        <f t="shared" si="433"/>
        <v>27132.526913510977</v>
      </c>
      <c r="X1127" s="12">
        <f t="shared" si="433"/>
        <v>28768.458683296201</v>
      </c>
      <c r="Y1127" s="12">
        <f t="shared" si="433"/>
        <v>30478.127085046377</v>
      </c>
      <c r="Z1127" s="12">
        <f t="shared" si="433"/>
        <v>32264.483978086599</v>
      </c>
      <c r="AA1127" s="12">
        <f t="shared" si="433"/>
        <v>34130.591970332694</v>
      </c>
      <c r="AB1127" s="12">
        <f t="shared" si="433"/>
        <v>36079.628406533273</v>
      </c>
      <c r="AC1127" s="12">
        <f t="shared" si="433"/>
        <v>38114.889496132586</v>
      </c>
      <c r="AD1127" s="12">
        <f t="shared" si="433"/>
        <v>40239.794585541975</v>
      </c>
      <c r="AE1127" s="12">
        <f t="shared" si="433"/>
        <v>42457.890579769417</v>
      </c>
      <c r="AF1127" s="12">
        <f t="shared" si="433"/>
        <v>44772.856518523513</v>
      </c>
      <c r="AG1127" s="12">
        <f t="shared" si="433"/>
        <v>47188.508312081052</v>
      </c>
      <c r="AH1127" s="12">
        <f t="shared" si="433"/>
        <v>49708.803642385385</v>
      </c>
      <c r="AI1127" s="38"/>
    </row>
    <row r="1128" spans="1:35" s="20" customFormat="1" ht="14" x14ac:dyDescent="0.2">
      <c r="A1128" s="8"/>
      <c r="B1128" s="8" t="s">
        <v>508</v>
      </c>
      <c r="C1128" s="8"/>
      <c r="D1128" s="8" t="str">
        <f>'Assumptions - General'!$E$27 &amp;" millions"</f>
        <v>R$ millions</v>
      </c>
      <c r="E1128" s="12">
        <f>IF(E1124&lt;&gt;0,IF(OR(E$19=1,E$20=1),E1124*SUM(E1087:E1089),0),0)</f>
        <v>375</v>
      </c>
      <c r="F1128" s="12">
        <f t="shared" ref="F1128:AH1128" si="434">IF(F1124&lt;&gt;0,IF(OR(F$19=1,F$20=1),F1124*SUM(F1087:F1089),0),0)</f>
        <v>386.25</v>
      </c>
      <c r="G1128" s="12">
        <f t="shared" si="434"/>
        <v>397.83749999999998</v>
      </c>
      <c r="H1128" s="12">
        <f t="shared" si="434"/>
        <v>409.77262500000001</v>
      </c>
      <c r="I1128" s="12">
        <f t="shared" si="434"/>
        <v>422.06580375000004</v>
      </c>
      <c r="J1128" s="12">
        <f t="shared" si="434"/>
        <v>434.72777786250003</v>
      </c>
      <c r="K1128" s="12">
        <f t="shared" si="434"/>
        <v>447.76961119837506</v>
      </c>
      <c r="L1128" s="12">
        <f t="shared" si="434"/>
        <v>461.20269953432631</v>
      </c>
      <c r="M1128" s="12">
        <f t="shared" si="434"/>
        <v>475.03878052035611</v>
      </c>
      <c r="N1128" s="12">
        <f t="shared" si="434"/>
        <v>489.28994393596685</v>
      </c>
      <c r="O1128" s="12">
        <f t="shared" si="434"/>
        <v>503.96864225404585</v>
      </c>
      <c r="P1128" s="12">
        <f t="shared" si="434"/>
        <v>519.08770152166721</v>
      </c>
      <c r="Q1128" s="12">
        <f t="shared" si="434"/>
        <v>534.66033256731725</v>
      </c>
      <c r="R1128" s="12">
        <f t="shared" si="434"/>
        <v>550.70014254433681</v>
      </c>
      <c r="S1128" s="12">
        <f t="shared" si="434"/>
        <v>567.22114682066695</v>
      </c>
      <c r="T1128" s="12">
        <f t="shared" si="434"/>
        <v>584.23778122528699</v>
      </c>
      <c r="U1128" s="12">
        <f t="shared" si="434"/>
        <v>601.76491466204561</v>
      </c>
      <c r="V1128" s="12">
        <f t="shared" si="434"/>
        <v>619.81786210190705</v>
      </c>
      <c r="W1128" s="12">
        <f t="shared" si="434"/>
        <v>638.41239796496416</v>
      </c>
      <c r="X1128" s="12">
        <f t="shared" si="434"/>
        <v>657.5647699039132</v>
      </c>
      <c r="Y1128" s="12">
        <f t="shared" si="434"/>
        <v>677.29171300103064</v>
      </c>
      <c r="Z1128" s="12">
        <f t="shared" si="434"/>
        <v>697.61046439106167</v>
      </c>
      <c r="AA1128" s="12">
        <f t="shared" si="434"/>
        <v>718.53877832279352</v>
      </c>
      <c r="AB1128" s="12">
        <f t="shared" si="434"/>
        <v>740.09494167247738</v>
      </c>
      <c r="AC1128" s="12">
        <f t="shared" si="434"/>
        <v>762.29778992265165</v>
      </c>
      <c r="AD1128" s="12">
        <f t="shared" si="434"/>
        <v>785.16672362033114</v>
      </c>
      <c r="AE1128" s="12">
        <f t="shared" si="434"/>
        <v>808.72172532894126</v>
      </c>
      <c r="AF1128" s="12">
        <f t="shared" si="434"/>
        <v>832.98337708880945</v>
      </c>
      <c r="AG1128" s="12">
        <f t="shared" si="434"/>
        <v>857.97287840147374</v>
      </c>
      <c r="AH1128" s="12">
        <f t="shared" si="434"/>
        <v>883.71206475351801</v>
      </c>
      <c r="AI1128" s="38"/>
    </row>
    <row r="1129" spans="1:35" s="20" customFormat="1" ht="14" x14ac:dyDescent="0.2">
      <c r="A1129" s="8"/>
      <c r="B1129" s="15" t="s">
        <v>372</v>
      </c>
      <c r="C1129" s="8"/>
      <c r="D1129" s="8" t="str">
        <f>'Assumptions - General'!$E$27 &amp;" millions"</f>
        <v>R$ millions</v>
      </c>
      <c r="E1129" s="12">
        <f t="shared" ref="E1129:AH1129" si="435">SUM(E1125:E1128)</f>
        <v>15750</v>
      </c>
      <c r="F1129" s="12">
        <f t="shared" si="435"/>
        <v>17188.125</v>
      </c>
      <c r="G1129" s="12">
        <f t="shared" si="435"/>
        <v>17703.768750000003</v>
      </c>
      <c r="H1129" s="12">
        <f t="shared" si="435"/>
        <v>19259.313375000002</v>
      </c>
      <c r="I1129" s="12">
        <f t="shared" si="435"/>
        <v>21947.421795000002</v>
      </c>
      <c r="J1129" s="12">
        <f t="shared" si="435"/>
        <v>23692.663893506251</v>
      </c>
      <c r="K1129" s="12">
        <f t="shared" si="435"/>
        <v>25522.867838307378</v>
      </c>
      <c r="L1129" s="12">
        <f t="shared" si="435"/>
        <v>27441.560622292414</v>
      </c>
      <c r="M1129" s="12">
        <f t="shared" si="435"/>
        <v>29452.404392262084</v>
      </c>
      <c r="N1129" s="12">
        <f t="shared" si="435"/>
        <v>31559.201383869862</v>
      </c>
      <c r="O1129" s="12">
        <f t="shared" si="435"/>
        <v>33765.899031021072</v>
      </c>
      <c r="P1129" s="12">
        <f t="shared" si="435"/>
        <v>36076.595255755878</v>
      </c>
      <c r="Q1129" s="12">
        <f t="shared" si="435"/>
        <v>38495.543944846839</v>
      </c>
      <c r="R1129" s="12">
        <f t="shared" si="435"/>
        <v>41027.160619553091</v>
      </c>
      <c r="S1129" s="12">
        <f t="shared" si="435"/>
        <v>43676.028305191358</v>
      </c>
      <c r="T1129" s="12">
        <f t="shared" si="435"/>
        <v>46446.903607410313</v>
      </c>
      <c r="U1129" s="12">
        <f t="shared" si="435"/>
        <v>49344.723002287741</v>
      </c>
      <c r="V1129" s="12">
        <f t="shared" si="435"/>
        <v>52374.609347611149</v>
      </c>
      <c r="W1129" s="12">
        <f t="shared" si="435"/>
        <v>55541.878622951881</v>
      </c>
      <c r="X1129" s="12">
        <f t="shared" si="435"/>
        <v>58852.046906400225</v>
      </c>
      <c r="Y1129" s="12">
        <f t="shared" si="435"/>
        <v>62310.837596094818</v>
      </c>
      <c r="Z1129" s="12">
        <f t="shared" si="435"/>
        <v>65924.188884955322</v>
      </c>
      <c r="AA1129" s="12">
        <f t="shared" si="435"/>
        <v>69698.261497310974</v>
      </c>
      <c r="AB1129" s="12">
        <f t="shared" si="435"/>
        <v>73639.446696411498</v>
      </c>
      <c r="AC1129" s="12">
        <f t="shared" si="435"/>
        <v>77754.374572110479</v>
      </c>
      <c r="AD1129" s="12">
        <f t="shared" si="435"/>
        <v>82049.922618324621</v>
      </c>
      <c r="AE1129" s="12">
        <f t="shared" si="435"/>
        <v>86533.224610196718</v>
      </c>
      <c r="AF1129" s="12">
        <f t="shared" si="435"/>
        <v>91211.67979122464</v>
      </c>
      <c r="AG1129" s="12">
        <f t="shared" si="435"/>
        <v>96092.962380965051</v>
      </c>
      <c r="AH1129" s="12">
        <f t="shared" si="435"/>
        <v>101185.03141427781</v>
      </c>
      <c r="AI1129" s="38"/>
    </row>
    <row r="1130" spans="1:35" s="20" customFormat="1" collapsed="1" x14ac:dyDescent="0.2">
      <c r="A1130" s="18"/>
      <c r="B1130" s="8"/>
      <c r="C1130" s="8"/>
      <c r="D1130" s="8"/>
      <c r="E1130" s="8"/>
      <c r="F1130" s="8"/>
      <c r="G1130" s="8"/>
      <c r="H1130" s="8"/>
      <c r="I1130" s="8"/>
      <c r="J1130" s="8"/>
      <c r="K1130" s="8"/>
      <c r="L1130" s="8"/>
      <c r="M1130" s="8"/>
      <c r="N1130" s="8"/>
      <c r="O1130" s="8"/>
      <c r="P1130" s="8"/>
      <c r="Q1130" s="8"/>
      <c r="R1130" s="8"/>
      <c r="S1130" s="8"/>
      <c r="T1130" s="8"/>
      <c r="U1130" s="8"/>
      <c r="V1130" s="8"/>
      <c r="W1130" s="8"/>
      <c r="X1130" s="8"/>
      <c r="Y1130" s="8"/>
      <c r="Z1130" s="8"/>
      <c r="AA1130" s="8"/>
      <c r="AB1130" s="8"/>
      <c r="AC1130" s="8"/>
      <c r="AD1130" s="8"/>
      <c r="AE1130" s="8"/>
      <c r="AF1130" s="8"/>
      <c r="AG1130" s="8"/>
      <c r="AH1130" s="8"/>
    </row>
    <row r="1131" spans="1:35" x14ac:dyDescent="0.2">
      <c r="A1131" s="316"/>
      <c r="B1131" s="315" t="str">
        <f>"Non-operating revenue of " &amp;'Assumptions - General'!$E$26</f>
        <v>Non-operating revenue of Ruritania Railway Infrastructure Company</v>
      </c>
      <c r="C1131" s="316"/>
      <c r="D1131" s="316"/>
      <c r="E1131" s="316"/>
      <c r="F1131" s="316"/>
      <c r="G1131" s="316"/>
      <c r="H1131" s="316"/>
      <c r="I1131" s="316"/>
      <c r="J1131" s="316"/>
      <c r="K1131" s="316"/>
      <c r="L1131" s="316"/>
      <c r="M1131" s="316"/>
      <c r="N1131" s="316"/>
      <c r="O1131" s="316"/>
      <c r="P1131" s="316"/>
      <c r="Q1131" s="316"/>
      <c r="R1131" s="316"/>
      <c r="S1131" s="316"/>
      <c r="T1131" s="316"/>
      <c r="U1131" s="316"/>
      <c r="V1131" s="316"/>
      <c r="W1131" s="316"/>
      <c r="X1131" s="316"/>
      <c r="Y1131" s="316"/>
      <c r="Z1131" s="316"/>
      <c r="AA1131" s="316"/>
      <c r="AB1131" s="316"/>
      <c r="AC1131" s="316"/>
      <c r="AD1131" s="316"/>
      <c r="AE1131" s="316"/>
      <c r="AF1131" s="316"/>
      <c r="AG1131" s="316"/>
      <c r="AH1131" s="316"/>
    </row>
    <row r="1132" spans="1:35" s="20" customFormat="1" ht="14" x14ac:dyDescent="0.2">
      <c r="B1132" s="55"/>
      <c r="E1132" s="56"/>
      <c r="F1132" s="56"/>
      <c r="G1132" s="56"/>
      <c r="H1132" s="56"/>
      <c r="I1132" s="56"/>
      <c r="J1132" s="56"/>
      <c r="K1132" s="56"/>
      <c r="L1132" s="56"/>
      <c r="M1132" s="56"/>
      <c r="N1132" s="56"/>
      <c r="O1132" s="56"/>
      <c r="P1132" s="56"/>
      <c r="Q1132" s="56"/>
      <c r="R1132" s="56"/>
      <c r="S1132" s="56"/>
      <c r="T1132" s="56"/>
      <c r="U1132" s="56"/>
      <c r="V1132" s="56"/>
      <c r="W1132" s="56"/>
      <c r="X1132" s="56"/>
      <c r="Y1132" s="56"/>
      <c r="Z1132" s="56"/>
      <c r="AA1132" s="56"/>
      <c r="AB1132" s="56"/>
      <c r="AC1132" s="56"/>
      <c r="AD1132" s="56"/>
      <c r="AE1132" s="56"/>
      <c r="AF1132" s="56"/>
      <c r="AG1132" s="56"/>
      <c r="AH1132" s="56"/>
    </row>
    <row r="1133" spans="1:35" s="20" customFormat="1" ht="14" x14ac:dyDescent="0.2">
      <c r="B1133" s="57" t="str">
        <f>'Assumptions - Infrastructure'!E165</f>
        <v>Tax credit</v>
      </c>
      <c r="D1133" s="20" t="str">
        <f>'Assumptions - General'!$E$27 &amp;" millions"</f>
        <v>R$ millions</v>
      </c>
      <c r="E1133" s="467">
        <f>IF(OR(E$19=1,E$20=1),'Assumptions - Infrastructure'!E166,0)</f>
        <v>100</v>
      </c>
      <c r="F1133" s="38">
        <f>IF(OR(F$19=1,F$20=1),'Assumptions - Infrastructure'!F167*'Assumptions - Infrastructure'!F171/1000000,0)</f>
        <v>103</v>
      </c>
      <c r="G1133" s="38">
        <f>IF(OR(G$19=1,G$20=1),'Assumptions - Infrastructure'!G167*'Assumptions - Infrastructure'!G171/1000000,0)</f>
        <v>106.09</v>
      </c>
      <c r="H1133" s="38">
        <f>IF(OR(H$19=1,H$20=1),'Assumptions - Infrastructure'!H167*'Assumptions - Infrastructure'!H171/1000000,0)</f>
        <v>109.2727</v>
      </c>
      <c r="I1133" s="38">
        <f>IF(OR(I$19=1,I$20=1),'Assumptions - Infrastructure'!I167*'Assumptions - Infrastructure'!I171/1000000,0)</f>
        <v>112.550881</v>
      </c>
      <c r="J1133" s="38">
        <f>IF(OR(J$19=1,J$20=1),'Assumptions - Infrastructure'!J167*'Assumptions - Infrastructure'!J171/1000000,0)</f>
        <v>115.92740742999999</v>
      </c>
      <c r="K1133" s="38">
        <f>IF(OR(K$19=1,K$20=1),'Assumptions - Infrastructure'!K167*'Assumptions - Infrastructure'!K171/1000000,0)</f>
        <v>119.40522965289999</v>
      </c>
      <c r="L1133" s="38">
        <f>IF(OR(L$19=1,L$20=1),'Assumptions - Infrastructure'!L167*'Assumptions - Infrastructure'!L171/1000000,0)</f>
        <v>122.98738654248702</v>
      </c>
      <c r="M1133" s="38">
        <f>IF(OR(M$19=1,M$20=1),'Assumptions - Infrastructure'!M167*'Assumptions - Infrastructure'!M171/1000000,0)</f>
        <v>126.67700813876162</v>
      </c>
      <c r="N1133" s="38">
        <f>IF(OR(N$19=1,N$20=1),'Assumptions - Infrastructure'!N167*'Assumptions - Infrastructure'!N171/1000000,0)</f>
        <v>130.47731838292447</v>
      </c>
      <c r="O1133" s="38">
        <f>IF(OR(O$19=1,O$20=1),'Assumptions - Infrastructure'!O167*'Assumptions - Infrastructure'!O171/1000000,0)</f>
        <v>134.39163793441222</v>
      </c>
      <c r="P1133" s="38">
        <f>IF(OR(P$19=1,P$20=1),'Assumptions - Infrastructure'!P167*'Assumptions - Infrastructure'!P171/1000000,0)</f>
        <v>138.42338707244457</v>
      </c>
      <c r="Q1133" s="38">
        <f>IF(OR(Q$19=1,Q$20=1),'Assumptions - Infrastructure'!Q167*'Assumptions - Infrastructure'!Q171/1000000,0)</f>
        <v>142.5760886846179</v>
      </c>
      <c r="R1133" s="38">
        <f>IF(OR(R$19=1,R$20=1),'Assumptions - Infrastructure'!R167*'Assumptions - Infrastructure'!R171/1000000,0)</f>
        <v>146.85337134515646</v>
      </c>
      <c r="S1133" s="38">
        <f>IF(OR(S$19=1,S$20=1),'Assumptions - Infrastructure'!S167*'Assumptions - Infrastructure'!S171/1000000,0)</f>
        <v>151.25897248551115</v>
      </c>
      <c r="T1133" s="38">
        <f>IF(OR(T$19=1,T$20=1),'Assumptions - Infrastructure'!T167*'Assumptions - Infrastructure'!T171/1000000,0)</f>
        <v>155.79674166007646</v>
      </c>
      <c r="U1133" s="38">
        <f>IF(OR(U$19=1,U$20=1),'Assumptions - Infrastructure'!U167*'Assumptions - Infrastructure'!U171/1000000,0)</f>
        <v>160.47064390987876</v>
      </c>
      <c r="V1133" s="38">
        <f>IF(OR(V$19=1,V$20=1),'Assumptions - Infrastructure'!V167*'Assumptions - Infrastructure'!V171/1000000,0)</f>
        <v>165.28476322717512</v>
      </c>
      <c r="W1133" s="38">
        <f>IF(OR(W$19=1,W$20=1),'Assumptions - Infrastructure'!W167*'Assumptions - Infrastructure'!W171/1000000,0)</f>
        <v>170.24330612399038</v>
      </c>
      <c r="X1133" s="38">
        <f>IF(OR(X$19=1,X$20=1),'Assumptions - Infrastructure'!X167*'Assumptions - Infrastructure'!X171/1000000,0)</f>
        <v>175.35060530771011</v>
      </c>
      <c r="Y1133" s="38">
        <f>IF(OR(Y$19=1,Y$20=1),'Assumptions - Infrastructure'!Y167*'Assumptions - Infrastructure'!Y171/1000000,0)</f>
        <v>180.61112346694142</v>
      </c>
      <c r="Z1133" s="38">
        <f>IF(OR(Z$19=1,Z$20=1),'Assumptions - Infrastructure'!Z167*'Assumptions - Infrastructure'!Z171/1000000,0)</f>
        <v>186.02945717094966</v>
      </c>
      <c r="AA1133" s="38">
        <f>IF(OR(AA$19=1,AA$20=1),'Assumptions - Infrastructure'!AA167*'Assumptions - Infrastructure'!AA171/1000000,0)</f>
        <v>191.61034088607818</v>
      </c>
      <c r="AB1133" s="38">
        <f>IF(OR(AB$19=1,AB$20=1),'Assumptions - Infrastructure'!AB167*'Assumptions - Infrastructure'!AB171/1000000,0)</f>
        <v>197.35865111266051</v>
      </c>
      <c r="AC1133" s="38">
        <f>IF(OR(AC$19=1,AC$20=1),'Assumptions - Infrastructure'!AC167*'Assumptions - Infrastructure'!AC171/1000000,0)</f>
        <v>203.27941064604033</v>
      </c>
      <c r="AD1133" s="38">
        <f>IF(OR(AD$19=1,AD$20=1),'Assumptions - Infrastructure'!AD167*'Assumptions - Infrastructure'!AD171/1000000,0)</f>
        <v>209.37779296542152</v>
      </c>
      <c r="AE1133" s="38">
        <f>IF(OR(AE$19=1,AE$20=1),'Assumptions - Infrastructure'!AE167*'Assumptions - Infrastructure'!AE171/1000000,0)</f>
        <v>215.65912675438415</v>
      </c>
      <c r="AF1133" s="38">
        <f>IF(OR(AF$19=1,AF$20=1),'Assumptions - Infrastructure'!AF167*'Assumptions - Infrastructure'!AF171/1000000,0)</f>
        <v>222.1289005570157</v>
      </c>
      <c r="AG1133" s="38">
        <f>IF(OR(AG$19=1,AG$20=1),'Assumptions - Infrastructure'!AG167*'Assumptions - Infrastructure'!AG171/1000000,0)</f>
        <v>228.79276757372617</v>
      </c>
      <c r="AH1133" s="38">
        <f>IF(OR(AH$19=1,AH$20=1),'Assumptions - Infrastructure'!AH167*'Assumptions - Infrastructure'!AH171/1000000,0)</f>
        <v>235.656550600938</v>
      </c>
    </row>
    <row r="1134" spans="1:35" s="20" customFormat="1" ht="14" x14ac:dyDescent="0.2">
      <c r="B1134" s="57" t="str">
        <f>'Assumptions - Infrastructure'!E174</f>
        <v>Investment income</v>
      </c>
      <c r="D1134" s="20" t="str">
        <f>'Assumptions - General'!$E$27 &amp;" millions"</f>
        <v>R$ millions</v>
      </c>
      <c r="E1134" s="38">
        <f>IF(OR(E$19=1,E$20=1),'Assumptions - Infrastructure'!E175,0)</f>
        <v>50</v>
      </c>
      <c r="F1134" s="38">
        <f>IF(OR(F$19=1,F$20=1),'Assumptions - Infrastructure'!F176*'Assumptions - Infrastructure'!F180/1000000+F1135,0)</f>
        <v>51.5</v>
      </c>
      <c r="G1134" s="38">
        <f>IF(OR(G$19=1,G$20=1),'Assumptions - Infrastructure'!G176*'Assumptions - Infrastructure'!G180/1000000+G1135,0)</f>
        <v>53.045000000000002</v>
      </c>
      <c r="H1134" s="38">
        <f>IF(OR(H$19=1,H$20=1),'Assumptions - Infrastructure'!H176*'Assumptions - Infrastructure'!H180/1000000+H1135,0)</f>
        <v>54.63635</v>
      </c>
      <c r="I1134" s="38">
        <f>IF(OR(I$19=1,I$20=1),'Assumptions - Infrastructure'!I176*'Assumptions - Infrastructure'!I180/1000000+I1135,0)</f>
        <v>56.275440500000002</v>
      </c>
      <c r="J1134" s="38">
        <f>IF(OR(J$19=1,J$20=1),'Assumptions - Infrastructure'!J176*'Assumptions - Infrastructure'!J180/1000000+J1135,0)</f>
        <v>57.963703714999994</v>
      </c>
      <c r="K1134" s="38">
        <f>IF(OR(K$19=1,K$20=1),'Assumptions - Infrastructure'!K176*'Assumptions - Infrastructure'!K180/1000000+K1135,0)</f>
        <v>59.702614826449995</v>
      </c>
      <c r="L1134" s="38">
        <f>IF(OR(L$19=1,L$20=1),'Assumptions - Infrastructure'!L176*'Assumptions - Infrastructure'!L180/1000000+L1135,0)</f>
        <v>61.493693271243508</v>
      </c>
      <c r="M1134" s="38">
        <f>IF(OR(M$19=1,M$20=1),'Assumptions - Infrastructure'!M176*'Assumptions - Infrastructure'!M180/1000000+M1135,0)</f>
        <v>63.338504069380811</v>
      </c>
      <c r="N1134" s="38">
        <f>IF(OR(N$19=1,N$20=1),'Assumptions - Infrastructure'!N176*'Assumptions - Infrastructure'!N180/1000000+N1135,0)</f>
        <v>65.238659191462233</v>
      </c>
      <c r="O1134" s="38">
        <f>IF(OR(O$19=1,O$20=1),'Assumptions - Infrastructure'!O176*'Assumptions - Infrastructure'!O180/1000000+O1135,0)</f>
        <v>67.195818967206108</v>
      </c>
      <c r="P1134" s="38">
        <f>IF(OR(P$19=1,P$20=1),'Assumptions - Infrastructure'!P176*'Assumptions - Infrastructure'!P180/1000000+P1135,0)</f>
        <v>69.211693536222285</v>
      </c>
      <c r="Q1134" s="38">
        <f>IF(OR(Q$19=1,Q$20=1),'Assumptions - Infrastructure'!Q176*'Assumptions - Infrastructure'!Q180/1000000+Q1135,0)</f>
        <v>71.28804434230895</v>
      </c>
      <c r="R1134" s="38">
        <f>IF(OR(R$19=1,R$20=1),'Assumptions - Infrastructure'!R176*'Assumptions - Infrastructure'!R180/1000000+R1135,0)</f>
        <v>73.42668567257823</v>
      </c>
      <c r="S1134" s="38">
        <f>IF(OR(S$19=1,S$20=1),'Assumptions - Infrastructure'!S176*'Assumptions - Infrastructure'!S180/1000000+S1135,0)</f>
        <v>75.629486242755576</v>
      </c>
      <c r="T1134" s="38">
        <f>IF(OR(T$19=1,T$20=1),'Assumptions - Infrastructure'!T176*'Assumptions - Infrastructure'!T180/1000000+T1135,0)</f>
        <v>77.898370830038232</v>
      </c>
      <c r="U1134" s="38">
        <f>IF(OR(U$19=1,U$20=1),'Assumptions - Infrastructure'!U176*'Assumptions - Infrastructure'!U180/1000000+U1135,0)</f>
        <v>80.23532195493938</v>
      </c>
      <c r="V1134" s="38">
        <f>IF(OR(V$19=1,V$20=1),'Assumptions - Infrastructure'!V176*'Assumptions - Infrastructure'!V180/1000000+V1135,0)</f>
        <v>82.64238161358756</v>
      </c>
      <c r="W1134" s="38">
        <f>IF(OR(W$19=1,W$20=1),'Assumptions - Infrastructure'!W176*'Assumptions - Infrastructure'!W180/1000000+W1135,0)</f>
        <v>85.12165306199519</v>
      </c>
      <c r="X1134" s="38">
        <f>IF(OR(X$19=1,X$20=1),'Assumptions - Infrastructure'!X176*'Assumptions - Infrastructure'!X180/1000000+X1135,0)</f>
        <v>87.675302653855056</v>
      </c>
      <c r="Y1134" s="38">
        <f>IF(OR(Y$19=1,Y$20=1),'Assumptions - Infrastructure'!Y176*'Assumptions - Infrastructure'!Y180/1000000+Y1135,0)</f>
        <v>90.305561733470711</v>
      </c>
      <c r="Z1134" s="38">
        <f>IF(OR(Z$19=1,Z$20=1),'Assumptions - Infrastructure'!Z176*'Assumptions - Infrastructure'!Z180/1000000+Z1135,0)</f>
        <v>93.014728585474828</v>
      </c>
      <c r="AA1134" s="38">
        <f>IF(OR(AA$19=1,AA$20=1),'Assumptions - Infrastructure'!AA176*'Assumptions - Infrastructure'!AA180/1000000+AA1135,0)</f>
        <v>95.805170443039088</v>
      </c>
      <c r="AB1134" s="38">
        <f>IF(OR(AB$19=1,AB$20=1),'Assumptions - Infrastructure'!AB176*'Assumptions - Infrastructure'!AB180/1000000+AB1135,0)</f>
        <v>98.679325556330255</v>
      </c>
      <c r="AC1134" s="38">
        <f>IF(OR(AC$19=1,AC$20=1),'Assumptions - Infrastructure'!AC176*'Assumptions - Infrastructure'!AC180/1000000+AC1135,0)</f>
        <v>101.63970532302017</v>
      </c>
      <c r="AD1134" s="38">
        <f>IF(OR(AD$19=1,AD$20=1),'Assumptions - Infrastructure'!AD176*'Assumptions - Infrastructure'!AD180/1000000+AD1135,0)</f>
        <v>104.68889648271076</v>
      </c>
      <c r="AE1134" s="38">
        <f>IF(OR(AE$19=1,AE$20=1),'Assumptions - Infrastructure'!AE176*'Assumptions - Infrastructure'!AE180/1000000+AE1135,0)</f>
        <v>107.82956337719207</v>
      </c>
      <c r="AF1134" s="38">
        <f>IF(OR(AF$19=1,AF$20=1),'Assumptions - Infrastructure'!AF176*'Assumptions - Infrastructure'!AF180/1000000+AF1135,0)</f>
        <v>111.06445027850785</v>
      </c>
      <c r="AG1134" s="38">
        <f>IF(OR(AG$19=1,AG$20=1),'Assumptions - Infrastructure'!AG176*'Assumptions - Infrastructure'!AG180/1000000+AG1135,0)</f>
        <v>114.39638378686308</v>
      </c>
      <c r="AH1134" s="38">
        <f>IF(OR(AH$19=1,AH$20=1),'Assumptions - Infrastructure'!AH176*'Assumptions - Infrastructure'!AH180/1000000+AH1135,0)</f>
        <v>117.828275300469</v>
      </c>
    </row>
    <row r="1135" spans="1:35" s="20" customFormat="1" ht="14" x14ac:dyDescent="0.2">
      <c r="B1135" s="271" t="s">
        <v>692</v>
      </c>
      <c r="D1135" s="20" t="str">
        <f>'Assumptions - General'!$E$27 &amp;" millions"</f>
        <v>R$ millions</v>
      </c>
      <c r="E1135" s="466">
        <v>0</v>
      </c>
      <c r="F1135" s="38">
        <f>IF(OR(F$19=1,F$20=1),IF(F1225/E1225&lt;1,F1227/(F1225/E1225)-F1227,0)+IF(F1241/E1241&lt;1,F1243/(F1241/E1241)-F1243,0)+IF(F1257/E1257&lt;1,F1259/(F1257/E1257)-F1259,0)+IF(F1283/E1283&lt;1,F1285/(F1283/E1283)-F1285,0)+IF(F1313/E1313&lt;1,F1315/(F1313/E1313)-F1315,0)+IF(F1343/E1343&lt;1,F1345/(F1343/E1343)-F1345,0)+IF(F1373/E1373&lt;1,F1375/(F1373/E1373)-F1375,0)+IF(F1283/E1283&gt;1,F1286-F1286/(F1283/E1283),0)+IF(F1313/E1313&gt;1,F1316-F1316/(F1313/E1313),0)+IF(F1343/E1343&gt;1,F1346-F1346/(F1343/E1343),0)+IF(F1373/E1373&gt;1,F1376-F1376/(F1373/E1373),0),0)</f>
        <v>0</v>
      </c>
      <c r="G1135" s="38">
        <f t="shared" ref="G1135:AH1135" si="436">IF(OR(G$19=1,G$20=1),IF(G1225/F1225&lt;1,G1227/(G1225/F1225)-G1227,0)+IF(G1241/F1241&lt;1,G1243/(G1241/F1241)-G1243,0)+IF(G1257/F1257&lt;1,G1259/(G1257/F1257)-G1259,0)+IF(G1283/F1283&lt;1,G1285/(G1283/F1283)-G1285,0)+IF(G1313/F1313&lt;1,G1315/(G1313/F1313)-G1315,0)+IF(G1343/F1343&lt;1,G1345/(G1343/F1343)-G1345,0)+IF(G1373/F1373&lt;1,G1375/(G1373/F1373)-G1375,0)+IF(G1283/F1283&gt;1,G1286-G1286/(G1283/F1283),0)+IF(G1313/F1313&gt;1,G1316-G1316/(G1313/F1313),0)+IF(G1343/F1343&gt;1,G1346-G1346/(G1343/F1343),0)+IF(G1373/F1373&gt;1,G1376-G1376/(G1373/F1373),0),0)</f>
        <v>0</v>
      </c>
      <c r="H1135" s="38">
        <f t="shared" si="436"/>
        <v>0</v>
      </c>
      <c r="I1135" s="38">
        <f t="shared" si="436"/>
        <v>0</v>
      </c>
      <c r="J1135" s="38">
        <f t="shared" si="436"/>
        <v>0</v>
      </c>
      <c r="K1135" s="38">
        <f t="shared" si="436"/>
        <v>0</v>
      </c>
      <c r="L1135" s="38">
        <f t="shared" si="436"/>
        <v>0</v>
      </c>
      <c r="M1135" s="38">
        <f t="shared" si="436"/>
        <v>0</v>
      </c>
      <c r="N1135" s="38">
        <f t="shared" si="436"/>
        <v>0</v>
      </c>
      <c r="O1135" s="38">
        <f t="shared" si="436"/>
        <v>0</v>
      </c>
      <c r="P1135" s="38">
        <f t="shared" si="436"/>
        <v>0</v>
      </c>
      <c r="Q1135" s="38">
        <f t="shared" si="436"/>
        <v>0</v>
      </c>
      <c r="R1135" s="38">
        <f t="shared" si="436"/>
        <v>0</v>
      </c>
      <c r="S1135" s="38">
        <f t="shared" si="436"/>
        <v>0</v>
      </c>
      <c r="T1135" s="38">
        <f t="shared" si="436"/>
        <v>0</v>
      </c>
      <c r="U1135" s="38">
        <f t="shared" si="436"/>
        <v>0</v>
      </c>
      <c r="V1135" s="38">
        <f t="shared" si="436"/>
        <v>0</v>
      </c>
      <c r="W1135" s="38">
        <f t="shared" si="436"/>
        <v>0</v>
      </c>
      <c r="X1135" s="38">
        <f t="shared" si="436"/>
        <v>0</v>
      </c>
      <c r="Y1135" s="38">
        <f t="shared" si="436"/>
        <v>0</v>
      </c>
      <c r="Z1135" s="38">
        <f t="shared" si="436"/>
        <v>0</v>
      </c>
      <c r="AA1135" s="38">
        <f t="shared" si="436"/>
        <v>0</v>
      </c>
      <c r="AB1135" s="38">
        <f t="shared" si="436"/>
        <v>0</v>
      </c>
      <c r="AC1135" s="38">
        <f t="shared" si="436"/>
        <v>0</v>
      </c>
      <c r="AD1135" s="38">
        <f t="shared" si="436"/>
        <v>0</v>
      </c>
      <c r="AE1135" s="38">
        <f t="shared" si="436"/>
        <v>0</v>
      </c>
      <c r="AF1135" s="38">
        <f t="shared" si="436"/>
        <v>0</v>
      </c>
      <c r="AG1135" s="38">
        <f t="shared" si="436"/>
        <v>0</v>
      </c>
      <c r="AH1135" s="38">
        <f t="shared" si="436"/>
        <v>0</v>
      </c>
    </row>
    <row r="1136" spans="1:35" s="20" customFormat="1" ht="14" x14ac:dyDescent="0.2">
      <c r="B1136" s="57" t="str">
        <f>'Assumptions - Infrastructure'!E183</f>
        <v>Other</v>
      </c>
      <c r="D1136" s="20" t="str">
        <f>'Assumptions - General'!$E$27 &amp;" millions"</f>
        <v>R$ millions</v>
      </c>
      <c r="E1136" s="467">
        <f>IF(OR(E$19=1,E$20=1),'Assumptions - Infrastructure'!E184,0)</f>
        <v>50</v>
      </c>
      <c r="F1136" s="38">
        <f>IF(OR(F$19=1,F$20=1),'Assumptions - Infrastructure'!F185*'Assumptions - Infrastructure'!F189/1000000,0)</f>
        <v>51.5</v>
      </c>
      <c r="G1136" s="38">
        <f>IF(OR(G$19=1,G$20=1),'Assumptions - Infrastructure'!G185*'Assumptions - Infrastructure'!G189/1000000,0)</f>
        <v>53.045000000000002</v>
      </c>
      <c r="H1136" s="38">
        <f>IF(OR(H$19=1,H$20=1),'Assumptions - Infrastructure'!H185*'Assumptions - Infrastructure'!H189/1000000,0)</f>
        <v>54.63635</v>
      </c>
      <c r="I1136" s="38">
        <f>IF(OR(I$19=1,I$20=1),'Assumptions - Infrastructure'!I185*'Assumptions - Infrastructure'!I189/1000000,0)</f>
        <v>56.275440500000002</v>
      </c>
      <c r="J1136" s="38">
        <f>IF(OR(J$19=1,J$20=1),'Assumptions - Infrastructure'!J185*'Assumptions - Infrastructure'!J189/1000000,0)</f>
        <v>57.963703714999994</v>
      </c>
      <c r="K1136" s="38">
        <f>IF(OR(K$19=1,K$20=1),'Assumptions - Infrastructure'!K185*'Assumptions - Infrastructure'!K189/1000000,0)</f>
        <v>59.702614826449995</v>
      </c>
      <c r="L1136" s="38">
        <f>IF(OR(L$19=1,L$20=1),'Assumptions - Infrastructure'!L185*'Assumptions - Infrastructure'!L189/1000000,0)</f>
        <v>61.493693271243508</v>
      </c>
      <c r="M1136" s="38">
        <f>IF(OR(M$19=1,M$20=1),'Assumptions - Infrastructure'!M185*'Assumptions - Infrastructure'!M189/1000000,0)</f>
        <v>63.338504069380811</v>
      </c>
      <c r="N1136" s="38">
        <f>IF(OR(N$19=1,N$20=1),'Assumptions - Infrastructure'!N185*'Assumptions - Infrastructure'!N189/1000000,0)</f>
        <v>65.238659191462233</v>
      </c>
      <c r="O1136" s="38">
        <f>IF(OR(O$19=1,O$20=1),'Assumptions - Infrastructure'!O185*'Assumptions - Infrastructure'!O189/1000000,0)</f>
        <v>67.195818967206108</v>
      </c>
      <c r="P1136" s="38">
        <f>IF(OR(P$19=1,P$20=1),'Assumptions - Infrastructure'!P185*'Assumptions - Infrastructure'!P189/1000000,0)</f>
        <v>69.211693536222285</v>
      </c>
      <c r="Q1136" s="38">
        <f>IF(OR(Q$19=1,Q$20=1),'Assumptions - Infrastructure'!Q185*'Assumptions - Infrastructure'!Q189/1000000,0)</f>
        <v>71.28804434230895</v>
      </c>
      <c r="R1136" s="38">
        <f>IF(OR(R$19=1,R$20=1),'Assumptions - Infrastructure'!R185*'Assumptions - Infrastructure'!R189/1000000,0)</f>
        <v>73.42668567257823</v>
      </c>
      <c r="S1136" s="38">
        <f>IF(OR(S$19=1,S$20=1),'Assumptions - Infrastructure'!S185*'Assumptions - Infrastructure'!S189/1000000,0)</f>
        <v>75.629486242755576</v>
      </c>
      <c r="T1136" s="38">
        <f>IF(OR(T$19=1,T$20=1),'Assumptions - Infrastructure'!T185*'Assumptions - Infrastructure'!T189/1000000,0)</f>
        <v>77.898370830038232</v>
      </c>
      <c r="U1136" s="38">
        <f>IF(OR(U$19=1,U$20=1),'Assumptions - Infrastructure'!U185*'Assumptions - Infrastructure'!U189/1000000,0)</f>
        <v>80.23532195493938</v>
      </c>
      <c r="V1136" s="38">
        <f>IF(OR(V$19=1,V$20=1),'Assumptions - Infrastructure'!V185*'Assumptions - Infrastructure'!V189/1000000,0)</f>
        <v>82.64238161358756</v>
      </c>
      <c r="W1136" s="38">
        <f>IF(OR(W$19=1,W$20=1),'Assumptions - Infrastructure'!W185*'Assumptions - Infrastructure'!W189/1000000,0)</f>
        <v>85.12165306199519</v>
      </c>
      <c r="X1136" s="38">
        <f>IF(OR(X$19=1,X$20=1),'Assumptions - Infrastructure'!X185*'Assumptions - Infrastructure'!X189/1000000,0)</f>
        <v>87.675302653855056</v>
      </c>
      <c r="Y1136" s="38">
        <f>IF(OR(Y$19=1,Y$20=1),'Assumptions - Infrastructure'!Y185*'Assumptions - Infrastructure'!Y189/1000000,0)</f>
        <v>90.305561733470711</v>
      </c>
      <c r="Z1136" s="38">
        <f>IF(OR(Z$19=1,Z$20=1),'Assumptions - Infrastructure'!Z185*'Assumptions - Infrastructure'!Z189/1000000,0)</f>
        <v>93.014728585474828</v>
      </c>
      <c r="AA1136" s="38">
        <f>IF(OR(AA$19=1,AA$20=1),'Assumptions - Infrastructure'!AA185*'Assumptions - Infrastructure'!AA189/1000000,0)</f>
        <v>95.805170443039088</v>
      </c>
      <c r="AB1136" s="38">
        <f>IF(OR(AB$19=1,AB$20=1),'Assumptions - Infrastructure'!AB185*'Assumptions - Infrastructure'!AB189/1000000,0)</f>
        <v>98.679325556330255</v>
      </c>
      <c r="AC1136" s="38">
        <f>IF(OR(AC$19=1,AC$20=1),'Assumptions - Infrastructure'!AC185*'Assumptions - Infrastructure'!AC189/1000000,0)</f>
        <v>101.63970532302017</v>
      </c>
      <c r="AD1136" s="38">
        <f>IF(OR(AD$19=1,AD$20=1),'Assumptions - Infrastructure'!AD185*'Assumptions - Infrastructure'!AD189/1000000,0)</f>
        <v>104.68889648271076</v>
      </c>
      <c r="AE1136" s="38">
        <f>IF(OR(AE$19=1,AE$20=1),'Assumptions - Infrastructure'!AE185*'Assumptions - Infrastructure'!AE189/1000000,0)</f>
        <v>107.82956337719207</v>
      </c>
      <c r="AF1136" s="38">
        <f>IF(OR(AF$19=1,AF$20=1),'Assumptions - Infrastructure'!AF185*'Assumptions - Infrastructure'!AF189/1000000,0)</f>
        <v>111.06445027850785</v>
      </c>
      <c r="AG1136" s="38">
        <f>IF(OR(AG$19=1,AG$20=1),'Assumptions - Infrastructure'!AG185*'Assumptions - Infrastructure'!AG189/1000000,0)</f>
        <v>114.39638378686308</v>
      </c>
      <c r="AH1136" s="38">
        <f>IF(OR(AH$19=1,AH$20=1),'Assumptions - Infrastructure'!AH185*'Assumptions - Infrastructure'!AH189/1000000,0)</f>
        <v>117.828275300469</v>
      </c>
    </row>
    <row r="1137" spans="1:34" s="20" customFormat="1" ht="14" x14ac:dyDescent="0.2">
      <c r="B1137" s="57" t="s">
        <v>322</v>
      </c>
      <c r="D1137" s="20" t="s">
        <v>15</v>
      </c>
      <c r="E1137" s="128" t="str">
        <f t="shared" ref="E1137:AH1137" si="437">IF(E19=1,IF(AND(SUM($E$1133:$AH$1136)&gt;0,($E$4+SUM($F$19:$AH$19))=E$4),(SUM(E1133:E1136)/SUM($E1133:$E1136))^(1/SUM($F$19:$AH$19))-1," ")," ")</f>
        <v xml:space="preserve"> </v>
      </c>
      <c r="F1137" s="128" t="str">
        <f t="shared" si="437"/>
        <v xml:space="preserve"> </v>
      </c>
      <c r="G1137" s="128" t="str">
        <f t="shared" si="437"/>
        <v xml:space="preserve"> </v>
      </c>
      <c r="H1137" s="128" t="str">
        <f t="shared" si="437"/>
        <v xml:space="preserve"> </v>
      </c>
      <c r="I1137" s="128" t="str">
        <f t="shared" si="437"/>
        <v xml:space="preserve"> </v>
      </c>
      <c r="J1137" s="128" t="str">
        <f t="shared" si="437"/>
        <v xml:space="preserve"> </v>
      </c>
      <c r="K1137" s="128" t="str">
        <f t="shared" si="437"/>
        <v xml:space="preserve"> </v>
      </c>
      <c r="L1137" s="128" t="str">
        <f t="shared" si="437"/>
        <v xml:space="preserve"> </v>
      </c>
      <c r="M1137" s="128" t="str">
        <f t="shared" si="437"/>
        <v xml:space="preserve"> </v>
      </c>
      <c r="N1137" s="128" t="str">
        <f t="shared" si="437"/>
        <v xml:space="preserve"> </v>
      </c>
      <c r="O1137" s="128" t="str">
        <f t="shared" si="437"/>
        <v xml:space="preserve"> </v>
      </c>
      <c r="P1137" s="128" t="str">
        <f t="shared" si="437"/>
        <v xml:space="preserve"> </v>
      </c>
      <c r="Q1137" s="128" t="str">
        <f t="shared" si="437"/>
        <v xml:space="preserve"> </v>
      </c>
      <c r="R1137" s="128" t="str">
        <f t="shared" si="437"/>
        <v xml:space="preserve"> </v>
      </c>
      <c r="S1137" s="128" t="str">
        <f t="shared" si="437"/>
        <v xml:space="preserve"> </v>
      </c>
      <c r="T1137" s="128" t="str">
        <f t="shared" si="437"/>
        <v xml:space="preserve"> </v>
      </c>
      <c r="U1137" s="128" t="str">
        <f t="shared" si="437"/>
        <v xml:space="preserve"> </v>
      </c>
      <c r="V1137" s="128" t="str">
        <f t="shared" si="437"/>
        <v xml:space="preserve"> </v>
      </c>
      <c r="W1137" s="128" t="str">
        <f t="shared" si="437"/>
        <v xml:space="preserve"> </v>
      </c>
      <c r="X1137" s="128" t="str">
        <f t="shared" si="437"/>
        <v xml:space="preserve"> </v>
      </c>
      <c r="Y1137" s="128" t="str">
        <f t="shared" si="437"/>
        <v xml:space="preserve"> </v>
      </c>
      <c r="Z1137" s="128" t="str">
        <f t="shared" si="437"/>
        <v xml:space="preserve"> </v>
      </c>
      <c r="AA1137" s="128" t="str">
        <f t="shared" si="437"/>
        <v xml:space="preserve"> </v>
      </c>
      <c r="AB1137" s="128" t="str">
        <f t="shared" si="437"/>
        <v xml:space="preserve"> </v>
      </c>
      <c r="AC1137" s="128" t="str">
        <f t="shared" si="437"/>
        <v xml:space="preserve"> </v>
      </c>
      <c r="AD1137" s="128" t="str">
        <f t="shared" si="437"/>
        <v xml:space="preserve"> </v>
      </c>
      <c r="AE1137" s="128" t="str">
        <f t="shared" si="437"/>
        <v xml:space="preserve"> </v>
      </c>
      <c r="AF1137" s="128" t="str">
        <f t="shared" si="437"/>
        <v xml:space="preserve"> </v>
      </c>
      <c r="AG1137" s="128" t="str">
        <f t="shared" si="437"/>
        <v xml:space="preserve"> </v>
      </c>
      <c r="AH1137" s="128">
        <f t="shared" si="437"/>
        <v>3.0000000000000027E-2</v>
      </c>
    </row>
    <row r="1138" spans="1:34" s="20" customFormat="1" ht="14" x14ac:dyDescent="0.2">
      <c r="B1138" s="55"/>
      <c r="E1138" s="56"/>
      <c r="F1138" s="56"/>
      <c r="G1138" s="56"/>
      <c r="H1138" s="56"/>
      <c r="I1138" s="56"/>
      <c r="J1138" s="56"/>
      <c r="K1138" s="56"/>
      <c r="L1138" s="56"/>
      <c r="M1138" s="56"/>
      <c r="N1138" s="56"/>
      <c r="O1138" s="56"/>
      <c r="P1138" s="56"/>
      <c r="Q1138" s="56"/>
      <c r="R1138" s="56"/>
      <c r="S1138" s="56"/>
      <c r="T1138" s="56"/>
      <c r="U1138" s="56"/>
      <c r="V1138" s="56"/>
      <c r="W1138" s="56"/>
      <c r="X1138" s="56"/>
      <c r="Y1138" s="56"/>
      <c r="Z1138" s="56"/>
      <c r="AA1138" s="56"/>
      <c r="AB1138" s="56"/>
      <c r="AC1138" s="56"/>
      <c r="AD1138" s="56"/>
      <c r="AE1138" s="56"/>
      <c r="AF1138" s="56"/>
      <c r="AG1138" s="56"/>
      <c r="AH1138" s="56"/>
    </row>
    <row r="1139" spans="1:34" x14ac:dyDescent="0.2">
      <c r="A1139" s="316"/>
      <c r="B1139" s="315" t="str">
        <f>"Public subsidy assumptions for " &amp;'Assumptions - General'!$E$26</f>
        <v>Public subsidy assumptions for Ruritania Railway Infrastructure Company</v>
      </c>
      <c r="C1139" s="316"/>
      <c r="D1139" s="316"/>
      <c r="E1139" s="316"/>
      <c r="F1139" s="316"/>
      <c r="G1139" s="316"/>
      <c r="H1139" s="316"/>
      <c r="I1139" s="316"/>
      <c r="J1139" s="316"/>
      <c r="K1139" s="316"/>
      <c r="L1139" s="316"/>
      <c r="M1139" s="316"/>
      <c r="N1139" s="316"/>
      <c r="O1139" s="316"/>
      <c r="P1139" s="316"/>
      <c r="Q1139" s="316"/>
      <c r="R1139" s="316"/>
      <c r="S1139" s="316"/>
      <c r="T1139" s="316"/>
      <c r="U1139" s="316"/>
      <c r="V1139" s="316"/>
      <c r="W1139" s="316"/>
      <c r="X1139" s="316"/>
      <c r="Y1139" s="316"/>
      <c r="Z1139" s="316"/>
      <c r="AA1139" s="316"/>
      <c r="AB1139" s="316"/>
      <c r="AC1139" s="316"/>
      <c r="AD1139" s="316"/>
      <c r="AE1139" s="316"/>
      <c r="AF1139" s="316"/>
      <c r="AG1139" s="316"/>
      <c r="AH1139" s="316"/>
    </row>
    <row r="1140" spans="1:34" s="20" customFormat="1" ht="14" x14ac:dyDescent="0.2">
      <c r="A1140" s="8"/>
      <c r="B1140" s="7"/>
      <c r="C1140" s="8"/>
      <c r="D1140" s="8"/>
      <c r="E1140" s="9"/>
      <c r="F1140" s="9"/>
      <c r="G1140" s="9"/>
      <c r="H1140" s="9"/>
      <c r="I1140" s="9"/>
      <c r="J1140" s="9"/>
      <c r="K1140" s="9"/>
      <c r="L1140" s="9"/>
      <c r="M1140" s="9"/>
      <c r="N1140" s="9"/>
      <c r="O1140" s="9"/>
      <c r="P1140" s="9"/>
      <c r="Q1140" s="9"/>
      <c r="R1140" s="9"/>
      <c r="S1140" s="9"/>
      <c r="T1140" s="9"/>
      <c r="U1140" s="9"/>
      <c r="V1140" s="9"/>
      <c r="W1140" s="9"/>
      <c r="X1140" s="9"/>
      <c r="Y1140" s="9"/>
      <c r="Z1140" s="9"/>
      <c r="AA1140" s="9"/>
      <c r="AB1140" s="9"/>
      <c r="AC1140" s="9"/>
      <c r="AD1140" s="9"/>
      <c r="AE1140" s="9"/>
      <c r="AF1140" s="9"/>
      <c r="AG1140" s="9"/>
      <c r="AH1140" s="9"/>
    </row>
    <row r="1141" spans="1:34" s="20" customFormat="1" ht="14" x14ac:dyDescent="0.2">
      <c r="A1141" s="8"/>
      <c r="B1141" s="8" t="s">
        <v>610</v>
      </c>
      <c r="C1141" s="8"/>
      <c r="D1141" s="8" t="str">
        <f>'Assumptions - General'!$E$27 &amp;" millions"</f>
        <v>R$ millions</v>
      </c>
      <c r="E1141" s="472">
        <f>IF(AND(OR(E$19=1,E$20=1),'Assumptions - Infrastructure'!E200=1),'Assumptions - Infrastructure'!E202,0)</f>
        <v>50</v>
      </c>
      <c r="F1141" s="88">
        <f>IF(OR(F$19=1,F$20=1),IF('Assumptions - Infrastructure'!$E$203=2,'Assumptions - Infrastructure'!F209,IF('Assumptions - Infrastructure'!$E$200=1,E1141*IF('Assumptions - Infrastructure'!$E$205=1,('Assumptions - Infrastructure'!$E$207*'Assumptions - General'!F$37+1)*(1+'Assumptions - Infrastructure'!F$208),(1+'Assumptions - Infrastructure'!F$208)),0)),0)</f>
        <v>51.5</v>
      </c>
      <c r="G1141" s="88">
        <f>IF(OR(G$19=1,G$20=1),IF('Assumptions - Infrastructure'!$E$203=2,'Assumptions - Infrastructure'!G209,IF('Assumptions - Infrastructure'!$E$200=1,F1141*IF('Assumptions - Infrastructure'!$E$205=1,('Assumptions - Infrastructure'!$E$207*'Assumptions - General'!G$37+1)*(1+'Assumptions - Infrastructure'!G$208),(1+'Assumptions - Infrastructure'!G$208)),0)),0)</f>
        <v>53.045000000000002</v>
      </c>
      <c r="H1141" s="88">
        <f>IF(OR(H$19=1,H$20=1),IF('Assumptions - Infrastructure'!$E$203=2,'Assumptions - Infrastructure'!H209,IF('Assumptions - Infrastructure'!$E$200=1,G1141*IF('Assumptions - Infrastructure'!$E$205=1,('Assumptions - Infrastructure'!$E$207*'Assumptions - General'!H$37+1)*(1+'Assumptions - Infrastructure'!H$208),(1+'Assumptions - Infrastructure'!H$208)),0)),0)</f>
        <v>54.63635</v>
      </c>
      <c r="I1141" s="88">
        <f>IF(OR(I$19=1,I$20=1),IF('Assumptions - Infrastructure'!$E$203=2,'Assumptions - Infrastructure'!I209,IF('Assumptions - Infrastructure'!$E$200=1,H1141*IF('Assumptions - Infrastructure'!$E$205=1,('Assumptions - Infrastructure'!$E$207*'Assumptions - General'!I$37+1)*(1+'Assumptions - Infrastructure'!I$208),(1+'Assumptions - Infrastructure'!I$208)),0)),0)</f>
        <v>56.275440500000002</v>
      </c>
      <c r="J1141" s="88">
        <f>IF(OR(J$19=1,J$20=1),IF('Assumptions - Infrastructure'!$E$203=2,'Assumptions - Infrastructure'!J209,IF('Assumptions - Infrastructure'!$E$200=1,I1141*IF('Assumptions - Infrastructure'!$E$205=1,('Assumptions - Infrastructure'!$E$207*'Assumptions - General'!J$37+1)*(1+'Assumptions - Infrastructure'!J$208),(1+'Assumptions - Infrastructure'!J$208)),0)),0)</f>
        <v>57.963703715000001</v>
      </c>
      <c r="K1141" s="88">
        <f>IF(OR(K$19=1,K$20=1),IF('Assumptions - Infrastructure'!$E$203=2,'Assumptions - Infrastructure'!K209,IF('Assumptions - Infrastructure'!$E$200=1,J1141*IF('Assumptions - Infrastructure'!$E$205=1,('Assumptions - Infrastructure'!$E$207*'Assumptions - General'!K$37+1)*(1+'Assumptions - Infrastructure'!K$208),(1+'Assumptions - Infrastructure'!K$208)),0)),0)</f>
        <v>59.702614826450002</v>
      </c>
      <c r="L1141" s="88">
        <f>IF(OR(L$19=1,L$20=1),IF('Assumptions - Infrastructure'!$E$203=2,'Assumptions - Infrastructure'!L209,IF('Assumptions - Infrastructure'!$E$200=1,K1141*IF('Assumptions - Infrastructure'!$E$205=1,('Assumptions - Infrastructure'!$E$207*'Assumptions - General'!L$37+1)*(1+'Assumptions - Infrastructure'!L$208),(1+'Assumptions - Infrastructure'!L$208)),0)),0)</f>
        <v>61.493693271243501</v>
      </c>
      <c r="M1141" s="88">
        <f>IF(OR(M$19=1,M$20=1),IF('Assumptions - Infrastructure'!$E$203=2,'Assumptions - Infrastructure'!M209,IF('Assumptions - Infrastructure'!$E$200=1,L1141*IF('Assumptions - Infrastructure'!$E$205=1,('Assumptions - Infrastructure'!$E$207*'Assumptions - General'!M$37+1)*(1+'Assumptions - Infrastructure'!M$208),(1+'Assumptions - Infrastructure'!M$208)),0)),0)</f>
        <v>63.338504069380811</v>
      </c>
      <c r="N1141" s="88">
        <f>IF(OR(N$19=1,N$20=1),IF('Assumptions - Infrastructure'!$E$203=2,'Assumptions - Infrastructure'!N209,IF('Assumptions - Infrastructure'!$E$200=1,M1141*IF('Assumptions - Infrastructure'!$E$205=1,('Assumptions - Infrastructure'!$E$207*'Assumptions - General'!N$37+1)*(1+'Assumptions - Infrastructure'!N$208),(1+'Assumptions - Infrastructure'!N$208)),0)),0)</f>
        <v>65.238659191462233</v>
      </c>
      <c r="O1141" s="88">
        <f>IF(OR(O$19=1,O$20=1),IF('Assumptions - Infrastructure'!$E$203=2,'Assumptions - Infrastructure'!O209,IF('Assumptions - Infrastructure'!$E$200=1,N1141*IF('Assumptions - Infrastructure'!$E$205=1,('Assumptions - Infrastructure'!$E$207*'Assumptions - General'!O$37+1)*(1+'Assumptions - Infrastructure'!O$208),(1+'Assumptions - Infrastructure'!O$208)),0)),0)</f>
        <v>67.195818967206108</v>
      </c>
      <c r="P1141" s="88">
        <f>IF(OR(P$19=1,P$20=1),IF('Assumptions - Infrastructure'!$E$203=2,'Assumptions - Infrastructure'!P209,IF('Assumptions - Infrastructure'!$E$200=1,O1141*IF('Assumptions - Infrastructure'!$E$205=1,('Assumptions - Infrastructure'!$E$207*'Assumptions - General'!P$37+1)*(1+'Assumptions - Infrastructure'!P$208),(1+'Assumptions - Infrastructure'!P$208)),0)),0)</f>
        <v>69.211693536222299</v>
      </c>
      <c r="Q1141" s="88">
        <f>IF(OR(Q$19=1,Q$20=1),IF('Assumptions - Infrastructure'!$E$203=2,'Assumptions - Infrastructure'!Q209,IF('Assumptions - Infrastructure'!$E$200=1,P1141*IF('Assumptions - Infrastructure'!$E$205=1,('Assumptions - Infrastructure'!$E$207*'Assumptions - General'!Q$37+1)*(1+'Assumptions - Infrastructure'!Q$208),(1+'Assumptions - Infrastructure'!Q$208)),0)),0)</f>
        <v>71.288044342308964</v>
      </c>
      <c r="R1141" s="88">
        <f>IF(OR(R$19=1,R$20=1),IF('Assumptions - Infrastructure'!$E$203=2,'Assumptions - Infrastructure'!R209,IF('Assumptions - Infrastructure'!$E$200=1,Q1141*IF('Assumptions - Infrastructure'!$E$205=1,('Assumptions - Infrastructure'!$E$207*'Assumptions - General'!R$37+1)*(1+'Assumptions - Infrastructure'!R$208),(1+'Assumptions - Infrastructure'!R$208)),0)),0)</f>
        <v>73.42668567257823</v>
      </c>
      <c r="S1141" s="88">
        <f>IF(OR(S$19=1,S$20=1),IF('Assumptions - Infrastructure'!$E$203=2,'Assumptions - Infrastructure'!S209,IF('Assumptions - Infrastructure'!$E$200=1,R1141*IF('Assumptions - Infrastructure'!$E$205=1,('Assumptions - Infrastructure'!$E$207*'Assumptions - General'!S$37+1)*(1+'Assumptions - Infrastructure'!S$208),(1+'Assumptions - Infrastructure'!S$208)),0)),0)</f>
        <v>75.629486242755576</v>
      </c>
      <c r="T1141" s="88">
        <f>IF(OR(T$19=1,T$20=1),IF('Assumptions - Infrastructure'!$E$203=2,'Assumptions - Infrastructure'!T209,IF('Assumptions - Infrastructure'!$E$200=1,S1141*IF('Assumptions - Infrastructure'!$E$205=1,('Assumptions - Infrastructure'!$E$207*'Assumptions - General'!T$37+1)*(1+'Assumptions - Infrastructure'!T$208),(1+'Assumptions - Infrastructure'!T$208)),0)),0)</f>
        <v>77.898370830038246</v>
      </c>
      <c r="U1141" s="88">
        <f>IF(OR(U$19=1,U$20=1),IF('Assumptions - Infrastructure'!$E$203=2,'Assumptions - Infrastructure'!U209,IF('Assumptions - Infrastructure'!$E$200=1,T1141*IF('Assumptions - Infrastructure'!$E$205=1,('Assumptions - Infrastructure'!$E$207*'Assumptions - General'!U$37+1)*(1+'Assumptions - Infrastructure'!U$208),(1+'Assumptions - Infrastructure'!U$208)),0)),0)</f>
        <v>80.235321954939394</v>
      </c>
      <c r="V1141" s="88">
        <f>IF(OR(V$19=1,V$20=1),IF('Assumptions - Infrastructure'!$E$203=2,'Assumptions - Infrastructure'!V209,IF('Assumptions - Infrastructure'!$E$200=1,U1141*IF('Assumptions - Infrastructure'!$E$205=1,('Assumptions - Infrastructure'!$E$207*'Assumptions - General'!V$37+1)*(1+'Assumptions - Infrastructure'!V$208),(1+'Assumptions - Infrastructure'!V$208)),0)),0)</f>
        <v>82.642381613587574</v>
      </c>
      <c r="W1141" s="88">
        <f>IF(OR(W$19=1,W$20=1),IF('Assumptions - Infrastructure'!$E$203=2,'Assumptions - Infrastructure'!W209,IF('Assumptions - Infrastructure'!$E$200=1,V1141*IF('Assumptions - Infrastructure'!$E$205=1,('Assumptions - Infrastructure'!$E$207*'Assumptions - General'!W$37+1)*(1+'Assumptions - Infrastructure'!W$208),(1+'Assumptions - Infrastructure'!W$208)),0)),0)</f>
        <v>85.121653061995204</v>
      </c>
      <c r="X1141" s="88">
        <f>IF(OR(X$19=1,X$20=1),IF('Assumptions - Infrastructure'!$E$203=2,'Assumptions - Infrastructure'!X209,IF('Assumptions - Infrastructure'!$E$200=1,W1141*IF('Assumptions - Infrastructure'!$E$205=1,('Assumptions - Infrastructure'!$E$207*'Assumptions - General'!X$37+1)*(1+'Assumptions - Infrastructure'!X$208),(1+'Assumptions - Infrastructure'!X$208)),0)),0)</f>
        <v>87.675302653855056</v>
      </c>
      <c r="Y1141" s="88">
        <f>IF(OR(Y$19=1,Y$20=1),IF('Assumptions - Infrastructure'!$E$203=2,'Assumptions - Infrastructure'!Y209,IF('Assumptions - Infrastructure'!$E$200=1,X1141*IF('Assumptions - Infrastructure'!$E$205=1,('Assumptions - Infrastructure'!$E$207*'Assumptions - General'!Y$37+1)*(1+'Assumptions - Infrastructure'!Y$208),(1+'Assumptions - Infrastructure'!Y$208)),0)),0)</f>
        <v>90.305561733470711</v>
      </c>
      <c r="Z1141" s="88">
        <f>IF(OR(Z$19=1,Z$20=1),IF('Assumptions - Infrastructure'!$E$203=2,'Assumptions - Infrastructure'!Z209,IF('Assumptions - Infrastructure'!$E$200=1,Y1141*IF('Assumptions - Infrastructure'!$E$205=1,('Assumptions - Infrastructure'!$E$207*'Assumptions - General'!Z$37+1)*(1+'Assumptions - Infrastructure'!Z$208),(1+'Assumptions - Infrastructure'!Z$208)),0)),0)</f>
        <v>93.014728585474828</v>
      </c>
      <c r="AA1141" s="88">
        <f>IF(OR(AA$19=1,AA$20=1),IF('Assumptions - Infrastructure'!$E$203=2,'Assumptions - Infrastructure'!AA209,IF('Assumptions - Infrastructure'!$E$200=1,Z1141*IF('Assumptions - Infrastructure'!$E$205=1,('Assumptions - Infrastructure'!$E$207*'Assumptions - General'!AA$37+1)*(1+'Assumptions - Infrastructure'!AA$208),(1+'Assumptions - Infrastructure'!AA$208)),0)),0)</f>
        <v>95.805170443039074</v>
      </c>
      <c r="AB1141" s="88">
        <f>IF(OR(AB$19=1,AB$20=1),IF('Assumptions - Infrastructure'!$E$203=2,'Assumptions - Infrastructure'!AB209,IF('Assumptions - Infrastructure'!$E$200=1,AA1141*IF('Assumptions - Infrastructure'!$E$205=1,('Assumptions - Infrastructure'!$E$207*'Assumptions - General'!AB$37+1)*(1+'Assumptions - Infrastructure'!AB$208),(1+'Assumptions - Infrastructure'!AB$208)),0)),0)</f>
        <v>98.679325556330255</v>
      </c>
      <c r="AC1141" s="88">
        <f>IF(OR(AC$19=1,AC$20=1),IF('Assumptions - Infrastructure'!$E$203=2,'Assumptions - Infrastructure'!AC209,IF('Assumptions - Infrastructure'!$E$200=1,AB1141*IF('Assumptions - Infrastructure'!$E$205=1,('Assumptions - Infrastructure'!$E$207*'Assumptions - General'!AC$37+1)*(1+'Assumptions - Infrastructure'!AC$208),(1+'Assumptions - Infrastructure'!AC$208)),0)),0)</f>
        <v>101.63970532302017</v>
      </c>
      <c r="AD1141" s="88">
        <f>IF(OR(AD$19=1,AD$20=1),IF('Assumptions - Infrastructure'!$E$203=2,'Assumptions - Infrastructure'!AD209,IF('Assumptions - Infrastructure'!$E$200=1,AC1141*IF('Assumptions - Infrastructure'!$E$205=1,('Assumptions - Infrastructure'!$E$207*'Assumptions - General'!AD$37+1)*(1+'Assumptions - Infrastructure'!AD$208),(1+'Assumptions - Infrastructure'!AD$208)),0)),0)</f>
        <v>104.68889648271077</v>
      </c>
      <c r="AE1141" s="88">
        <f>IF(OR(AE$19=1,AE$20=1),IF('Assumptions - Infrastructure'!$E$203=2,'Assumptions - Infrastructure'!AE209,IF('Assumptions - Infrastructure'!$E$200=1,AD1141*IF('Assumptions - Infrastructure'!$E$205=1,('Assumptions - Infrastructure'!$E$207*'Assumptions - General'!AE$37+1)*(1+'Assumptions - Infrastructure'!AE$208),(1+'Assumptions - Infrastructure'!AE$208)),0)),0)</f>
        <v>107.8295633771921</v>
      </c>
      <c r="AF1141" s="88">
        <f>IF(OR(AF$19=1,AF$20=1),IF('Assumptions - Infrastructure'!$E$203=2,'Assumptions - Infrastructure'!AF209,IF('Assumptions - Infrastructure'!$E$200=1,AE1141*IF('Assumptions - Infrastructure'!$E$205=1,('Assumptions - Infrastructure'!$E$207*'Assumptions - General'!AF$37+1)*(1+'Assumptions - Infrastructure'!AF$208),(1+'Assumptions - Infrastructure'!AF$208)),0)),0)</f>
        <v>111.06445027850786</v>
      </c>
      <c r="AG1141" s="88">
        <f>IF(OR(AG$19=1,AG$20=1),IF('Assumptions - Infrastructure'!$E$203=2,'Assumptions - Infrastructure'!AG209,IF('Assumptions - Infrastructure'!$E$200=1,AF1141*IF('Assumptions - Infrastructure'!$E$205=1,('Assumptions - Infrastructure'!$E$207*'Assumptions - General'!AG$37+1)*(1+'Assumptions - Infrastructure'!AG$208),(1+'Assumptions - Infrastructure'!AG$208)),0)),0)</f>
        <v>114.3963837868631</v>
      </c>
      <c r="AH1141" s="88">
        <f>IF(OR(AH$19=1,AH$20=1),IF('Assumptions - Infrastructure'!$E$203=2,'Assumptions - Infrastructure'!AH209,IF('Assumptions - Infrastructure'!$E$200=1,AG1141*IF('Assumptions - Infrastructure'!$E$205=1,('Assumptions - Infrastructure'!$E$207*'Assumptions - General'!AH$37+1)*(1+'Assumptions - Infrastructure'!AH$208),(1+'Assumptions - Infrastructure'!AH$208)),0)),0)</f>
        <v>117.82827530046899</v>
      </c>
    </row>
    <row r="1142" spans="1:34" s="20" customFormat="1" ht="14" x14ac:dyDescent="0.2">
      <c r="A1142" s="8"/>
      <c r="B1142" s="8" t="s">
        <v>609</v>
      </c>
      <c r="C1142" s="8"/>
      <c r="D1142" s="8" t="str">
        <f>'Assumptions - General'!$E$27 &amp;" millions"</f>
        <v>R$ millions</v>
      </c>
      <c r="E1142" s="472">
        <f>IF(AND('Assumptions - Infrastructure'!$E$211=1,E$19=1),'Assumptions - Infrastructure'!E213,0)</f>
        <v>15</v>
      </c>
      <c r="F1142" s="88">
        <f>IF(AND(F$19=1,'Assumptions - Infrastructure'!$E$211=1),IF('Assumptions - Infrastructure'!$E$215=2,'Assumptions - Infrastructure'!F221,E1142*IF('Assumptions - Infrastructure'!$E$217=1,('Assumptions - Infrastructure'!$E$219*'Assumptions - General'!F$37+1)*(1+'Assumptions - Infrastructure'!F220),(1+'Assumptions - Infrastructure'!F220))),0)</f>
        <v>15.450000000000001</v>
      </c>
      <c r="G1142" s="88">
        <f>IF(AND(G$19=1,'Assumptions - Infrastructure'!$E$211=1),IF('Assumptions - Infrastructure'!$E$215=2,'Assumptions - Infrastructure'!G221,F1142*IF('Assumptions - Infrastructure'!$E$217=1,('Assumptions - Infrastructure'!$E$219*'Assumptions - General'!G$37+1)*(1+'Assumptions - Infrastructure'!G220),(1+'Assumptions - Infrastructure'!G220))),0)</f>
        <v>15.913500000000001</v>
      </c>
      <c r="H1142" s="88">
        <f>IF(AND(H$19=1,'Assumptions - Infrastructure'!$E$211=1),IF('Assumptions - Infrastructure'!$E$215=2,'Assumptions - Infrastructure'!H221,G1142*IF('Assumptions - Infrastructure'!$E$217=1,('Assumptions - Infrastructure'!$E$219*'Assumptions - General'!H$37+1)*(1+'Assumptions - Infrastructure'!H220),(1+'Assumptions - Infrastructure'!H220))),0)</f>
        <v>16.390905</v>
      </c>
      <c r="I1142" s="88">
        <f>IF(AND(I$19=1,'Assumptions - Infrastructure'!$E$211=1),IF('Assumptions - Infrastructure'!$E$215=2,'Assumptions - Infrastructure'!I221,H1142*IF('Assumptions - Infrastructure'!$E$217=1,('Assumptions - Infrastructure'!$E$219*'Assumptions - General'!I$37+1)*(1+'Assumptions - Infrastructure'!I220),(1+'Assumptions - Infrastructure'!I220))),0)</f>
        <v>16.882632149999999</v>
      </c>
      <c r="J1142" s="88">
        <f>IF(AND(J$19=1,'Assumptions - Infrastructure'!$E$211=1),IF('Assumptions - Infrastructure'!$E$215=2,'Assumptions - Infrastructure'!J221,I1142*IF('Assumptions - Infrastructure'!$E$217=1,('Assumptions - Infrastructure'!$E$219*'Assumptions - General'!J$37+1)*(1+'Assumptions - Infrastructure'!J220),(1+'Assumptions - Infrastructure'!J220))),0)</f>
        <v>17.3891111145</v>
      </c>
      <c r="K1142" s="88">
        <f>IF(AND(K$19=1,'Assumptions - Infrastructure'!$E$211=1),IF('Assumptions - Infrastructure'!$E$215=2,'Assumptions - Infrastructure'!K221,J1142*IF('Assumptions - Infrastructure'!$E$217=1,('Assumptions - Infrastructure'!$E$219*'Assumptions - General'!K$37+1)*(1+'Assumptions - Infrastructure'!K220),(1+'Assumptions - Infrastructure'!K220))),0)</f>
        <v>17.910784447935001</v>
      </c>
      <c r="L1142" s="88">
        <f>IF(AND(L$19=1,'Assumptions - Infrastructure'!$E$211=1),IF('Assumptions - Infrastructure'!$E$215=2,'Assumptions - Infrastructure'!L221,K1142*IF('Assumptions - Infrastructure'!$E$217=1,('Assumptions - Infrastructure'!$E$219*'Assumptions - General'!L$37+1)*(1+'Assumptions - Infrastructure'!L220),(1+'Assumptions - Infrastructure'!L220))),0)</f>
        <v>18.448107981373052</v>
      </c>
      <c r="M1142" s="88">
        <f>IF(AND(M$19=1,'Assumptions - Infrastructure'!$E$211=1),IF('Assumptions - Infrastructure'!$E$215=2,'Assumptions - Infrastructure'!M221,L1142*IF('Assumptions - Infrastructure'!$E$217=1,('Assumptions - Infrastructure'!$E$219*'Assumptions - General'!M$37+1)*(1+'Assumptions - Infrastructure'!M220),(1+'Assumptions - Infrastructure'!M220))),0)</f>
        <v>19.001551220814246</v>
      </c>
      <c r="N1142" s="88">
        <f>IF(AND(N$19=1,'Assumptions - Infrastructure'!$E$211=1),IF('Assumptions - Infrastructure'!$E$215=2,'Assumptions - Infrastructure'!N221,M1142*IF('Assumptions - Infrastructure'!$E$217=1,('Assumptions - Infrastructure'!$E$219*'Assumptions - General'!N$37+1)*(1+'Assumptions - Infrastructure'!N220),(1+'Assumptions - Infrastructure'!N220))),0)</f>
        <v>19.571597757438674</v>
      </c>
      <c r="O1142" s="88">
        <f>IF(AND(O$19=1,'Assumptions - Infrastructure'!$E$211=1),IF('Assumptions - Infrastructure'!$E$215=2,'Assumptions - Infrastructure'!O221,N1142*IF('Assumptions - Infrastructure'!$E$217=1,('Assumptions - Infrastructure'!$E$219*'Assumptions - General'!O$37+1)*(1+'Assumptions - Infrastructure'!O220),(1+'Assumptions - Infrastructure'!O220))),0)</f>
        <v>20.158745690161833</v>
      </c>
      <c r="P1142" s="88">
        <f>IF(AND(P$19=1,'Assumptions - Infrastructure'!$E$211=1),IF('Assumptions - Infrastructure'!$E$215=2,'Assumptions - Infrastructure'!P221,O1142*IF('Assumptions - Infrastructure'!$E$217=1,('Assumptions - Infrastructure'!$E$219*'Assumptions - General'!P$37+1)*(1+'Assumptions - Infrastructure'!P220),(1+'Assumptions - Infrastructure'!P220))),0)</f>
        <v>20.763508060866688</v>
      </c>
      <c r="Q1142" s="88">
        <f>IF(AND(Q$19=1,'Assumptions - Infrastructure'!$E$211=1),IF('Assumptions - Infrastructure'!$E$215=2,'Assumptions - Infrastructure'!Q221,P1142*IF('Assumptions - Infrastructure'!$E$217=1,('Assumptions - Infrastructure'!$E$219*'Assumptions - General'!Q$37+1)*(1+'Assumptions - Infrastructure'!Q220),(1+'Assumptions - Infrastructure'!Q220))),0)</f>
        <v>21.386413302692688</v>
      </c>
      <c r="R1142" s="88">
        <f>IF(AND(R$19=1,'Assumptions - Infrastructure'!$E$211=1),IF('Assumptions - Infrastructure'!$E$215=2,'Assumptions - Infrastructure'!R221,Q1142*IF('Assumptions - Infrastructure'!$E$217=1,('Assumptions - Infrastructure'!$E$219*'Assumptions - General'!R$37+1)*(1+'Assumptions - Infrastructure'!R220),(1+'Assumptions - Infrastructure'!R220))),0)</f>
        <v>22.02800570177347</v>
      </c>
      <c r="S1142" s="88">
        <f>IF(AND(S$19=1,'Assumptions - Infrastructure'!$E$211=1),IF('Assumptions - Infrastructure'!$E$215=2,'Assumptions - Infrastructure'!S221,R1142*IF('Assumptions - Infrastructure'!$E$217=1,('Assumptions - Infrastructure'!$E$219*'Assumptions - General'!S$37+1)*(1+'Assumptions - Infrastructure'!S220),(1+'Assumptions - Infrastructure'!S220))),0)</f>
        <v>22.688845872826676</v>
      </c>
      <c r="T1142" s="88">
        <f>IF(AND(T$19=1,'Assumptions - Infrastructure'!$E$211=1),IF('Assumptions - Infrastructure'!$E$215=2,'Assumptions - Infrastructure'!T221,S1142*IF('Assumptions - Infrastructure'!$E$217=1,('Assumptions - Infrastructure'!$E$219*'Assumptions - General'!T$37+1)*(1+'Assumptions - Infrastructure'!T220),(1+'Assumptions - Infrastructure'!T220))),0)</f>
        <v>23.369511249011477</v>
      </c>
      <c r="U1142" s="88">
        <f>IF(AND(U$19=1,'Assumptions - Infrastructure'!$E$211=1),IF('Assumptions - Infrastructure'!$E$215=2,'Assumptions - Infrastructure'!U221,T1142*IF('Assumptions - Infrastructure'!$E$217=1,('Assumptions - Infrastructure'!$E$219*'Assumptions - General'!U$37+1)*(1+'Assumptions - Infrastructure'!U220),(1+'Assumptions - Infrastructure'!U220))),0)</f>
        <v>24.070596586481823</v>
      </c>
      <c r="V1142" s="88">
        <f>IF(AND(V$19=1,'Assumptions - Infrastructure'!$E$211=1),IF('Assumptions - Infrastructure'!$E$215=2,'Assumptions - Infrastructure'!V221,U1142*IF('Assumptions - Infrastructure'!$E$217=1,('Assumptions - Infrastructure'!$E$219*'Assumptions - General'!V$37+1)*(1+'Assumptions - Infrastructure'!V220),(1+'Assumptions - Infrastructure'!V220))),0)</f>
        <v>24.792714484076278</v>
      </c>
      <c r="W1142" s="88">
        <f>IF(AND(W$19=1,'Assumptions - Infrastructure'!$E$211=1),IF('Assumptions - Infrastructure'!$E$215=2,'Assumptions - Infrastructure'!W221,V1142*IF('Assumptions - Infrastructure'!$E$217=1,('Assumptions - Infrastructure'!$E$219*'Assumptions - General'!W$37+1)*(1+'Assumptions - Infrastructure'!W220),(1+'Assumptions - Infrastructure'!W220))),0)</f>
        <v>25.536495918598568</v>
      </c>
      <c r="X1142" s="88">
        <f>IF(AND(X$19=1,'Assumptions - Infrastructure'!$E$211=1),IF('Assumptions - Infrastructure'!$E$215=2,'Assumptions - Infrastructure'!X221,W1142*IF('Assumptions - Infrastructure'!$E$217=1,('Assumptions - Infrastructure'!$E$219*'Assumptions - General'!X$37+1)*(1+'Assumptions - Infrastructure'!X220),(1+'Assumptions - Infrastructure'!X220))),0)</f>
        <v>26.302590796156526</v>
      </c>
      <c r="Y1142" s="88">
        <f>IF(AND(Y$19=1,'Assumptions - Infrastructure'!$E$211=1),IF('Assumptions - Infrastructure'!$E$215=2,'Assumptions - Infrastructure'!Y221,X1142*IF('Assumptions - Infrastructure'!$E$217=1,('Assumptions - Infrastructure'!$E$219*'Assumptions - General'!Y$37+1)*(1+'Assumptions - Infrastructure'!Y220),(1+'Assumptions - Infrastructure'!Y220))),0)</f>
        <v>27.091668520041221</v>
      </c>
      <c r="Z1142" s="88">
        <f>IF(AND(Z$19=1,'Assumptions - Infrastructure'!$E$211=1),IF('Assumptions - Infrastructure'!$E$215=2,'Assumptions - Infrastructure'!Z221,Y1142*IF('Assumptions - Infrastructure'!$E$217=1,('Assumptions - Infrastructure'!$E$219*'Assumptions - General'!Z$37+1)*(1+'Assumptions - Infrastructure'!Z220),(1+'Assumptions - Infrastructure'!Z220))),0)</f>
        <v>27.90441857564246</v>
      </c>
      <c r="AA1142" s="88">
        <f>IF(AND(AA$19=1,'Assumptions - Infrastructure'!$E$211=1),IF('Assumptions - Infrastructure'!$E$215=2,'Assumptions - Infrastructure'!AA221,Z1142*IF('Assumptions - Infrastructure'!$E$217=1,('Assumptions - Infrastructure'!$E$219*'Assumptions - General'!AA$37+1)*(1+'Assumptions - Infrastructure'!AA220),(1+'Assumptions - Infrastructure'!AA220))),0)</f>
        <v>28.741551132911734</v>
      </c>
      <c r="AB1142" s="88">
        <f>IF(AND(AB$19=1,'Assumptions - Infrastructure'!$E$211=1),IF('Assumptions - Infrastructure'!$E$215=2,'Assumptions - Infrastructure'!AB221,AA1142*IF('Assumptions - Infrastructure'!$E$217=1,('Assumptions - Infrastructure'!$E$219*'Assumptions - General'!AB$37+1)*(1+'Assumptions - Infrastructure'!AB220),(1+'Assumptions - Infrastructure'!AB220))),0)</f>
        <v>29.603797666899087</v>
      </c>
      <c r="AC1142" s="88">
        <f>IF(AND(AC$19=1,'Assumptions - Infrastructure'!$E$211=1),IF('Assumptions - Infrastructure'!$E$215=2,'Assumptions - Infrastructure'!AC221,AB1142*IF('Assumptions - Infrastructure'!$E$217=1,('Assumptions - Infrastructure'!$E$219*'Assumptions - General'!AC$37+1)*(1+'Assumptions - Infrastructure'!AC220),(1+'Assumptions - Infrastructure'!AC220))),0)</f>
        <v>30.491911596906061</v>
      </c>
      <c r="AD1142" s="88">
        <f>IF(AND(AD$19=1,'Assumptions - Infrastructure'!$E$211=1),IF('Assumptions - Infrastructure'!$E$215=2,'Assumptions - Infrastructure'!AD221,AC1142*IF('Assumptions - Infrastructure'!$E$217=1,('Assumptions - Infrastructure'!$E$219*'Assumptions - General'!AD$37+1)*(1+'Assumptions - Infrastructure'!AD220),(1+'Assumptions - Infrastructure'!AD220))),0)</f>
        <v>31.406668944813244</v>
      </c>
      <c r="AE1142" s="88">
        <f>IF(AND(AE$19=1,'Assumptions - Infrastructure'!$E$211=1),IF('Assumptions - Infrastructure'!$E$215=2,'Assumptions - Infrastructure'!AE221,AD1142*IF('Assumptions - Infrastructure'!$E$217=1,('Assumptions - Infrastructure'!$E$219*'Assumptions - General'!AE$37+1)*(1+'Assumptions - Infrastructure'!AE220),(1+'Assumptions - Infrastructure'!AE220))),0)</f>
        <v>32.348869013157639</v>
      </c>
      <c r="AF1142" s="88">
        <f>IF(AND(AF$19=1,'Assumptions - Infrastructure'!$E$211=1),IF('Assumptions - Infrastructure'!$E$215=2,'Assumptions - Infrastructure'!AF221,AE1142*IF('Assumptions - Infrastructure'!$E$217=1,('Assumptions - Infrastructure'!$E$219*'Assumptions - General'!AF$37+1)*(1+'Assumptions - Infrastructure'!AF220),(1+'Assumptions - Infrastructure'!AF220))),0)</f>
        <v>33.319335083552367</v>
      </c>
      <c r="AG1142" s="88">
        <f>IF(AND(AG$19=1,'Assumptions - Infrastructure'!$E$211=1),IF('Assumptions - Infrastructure'!$E$215=2,'Assumptions - Infrastructure'!AG221,AF1142*IF('Assumptions - Infrastructure'!$E$217=1,('Assumptions - Infrastructure'!$E$219*'Assumptions - General'!AG$37+1)*(1+'Assumptions - Infrastructure'!AG220),(1+'Assumptions - Infrastructure'!AG220))),0)</f>
        <v>34.318915136058941</v>
      </c>
      <c r="AH1142" s="88">
        <f>IF(AND(AH$19=1,'Assumptions - Infrastructure'!$E$211=1),IF('Assumptions - Infrastructure'!$E$215=2,'Assumptions - Infrastructure'!AH221,AG1142*IF('Assumptions - Infrastructure'!$E$217=1,('Assumptions - Infrastructure'!$E$219*'Assumptions - General'!AH$37+1)*(1+'Assumptions - Infrastructure'!AH220),(1+'Assumptions - Infrastructure'!AH220))),0)</f>
        <v>35.348482590140712</v>
      </c>
    </row>
    <row r="1143" spans="1:34" s="20" customFormat="1" ht="14" x14ac:dyDescent="0.2">
      <c r="A1143" s="8"/>
      <c r="B1143" s="8" t="s">
        <v>611</v>
      </c>
      <c r="C1143" s="8"/>
      <c r="D1143" s="8" t="str">
        <f>'Assumptions - General'!$E$27 &amp;" millions"</f>
        <v>R$ millions</v>
      </c>
      <c r="E1143" s="472">
        <f>IF(E$19=1,'Assumptions - Infrastructure'!E214,0)</f>
        <v>2</v>
      </c>
      <c r="F1143" s="88">
        <f>IF($E$1143&lt;&gt;0,IF(F$19=1,($E$1143/('Assumptions - Infrastructure'!$E$60))*(F$935+F$951+F$967+F$983+F$999+F$1015)+(SUM($E1142:F1142)/SUM('Assumptions - Infrastructure'!$E50:F50))*(F$942+F$958+F$974+F$990+F$1006+F$1022),0),0)</f>
        <v>2.0127574985851728</v>
      </c>
      <c r="G1143" s="88">
        <f>IF($E$1143&lt;&gt;0,IF(G$19=1,($E$1143/('Assumptions - Infrastructure'!$E$60))*(G$935+G$951+G$967+G$983+G$999+G$1015)+(SUM($E1142:G1142)/SUM('Assumptions - Infrastructure'!$E50:G50))*(G$942+G$958+G$974+G$990+G$1006+G$1022),0),0)</f>
        <v>3.8498475114809247</v>
      </c>
      <c r="H1143" s="88">
        <f>IF($E$1143&lt;&gt;0,IF(H$19=1,($E$1143/('Assumptions - Infrastructure'!$E$60))*(H$935+H$951+H$967+H$983+H$999+H$1015)+(SUM($E1142:H1142)/SUM('Assumptions - Infrastructure'!$E50:H50))*(H$942+H$958+H$974+H$990+H$1006+H$1022),0),0)</f>
        <v>4.5665842113255577</v>
      </c>
      <c r="I1143" s="88">
        <f>IF($E$1143&lt;&gt;0,IF(I$19=1,($E$1143/('Assumptions - Infrastructure'!$E$60))*(I$935+I$951+I$967+I$983+I$999+I$1015)+(SUM($E1142:I1142)/SUM('Assumptions - Infrastructure'!$E50:I50))*(I$942+I$958+I$974+I$990+I$1006+I$1022),0),0)</f>
        <v>5.2838809399187348</v>
      </c>
      <c r="J1143" s="88">
        <f>IF($E$1143&lt;&gt;0,IF(J$19=1,($E$1143/('Assumptions - Infrastructure'!$E$60))*(J$935+J$951+J$967+J$983+J$999+J$1015)+(SUM($E1142:J1142)/SUM('Assumptions - Infrastructure'!$E50:J50))*(J$942+J$958+J$974+J$990+J$1006+J$1022),0),0)</f>
        <v>6.0167533612445645</v>
      </c>
      <c r="K1143" s="88">
        <f>IF($E$1143&lt;&gt;0,IF(K$19=1,($E$1143/('Assumptions - Infrastructure'!$E$60))*(K$935+K$951+K$967+K$983+K$999+K$1015)+(SUM($E1142:K1142)/SUM('Assumptions - Infrastructure'!$E50:K50))*(K$942+K$958+K$974+K$990+K$1006+K$1022),0),0)</f>
        <v>6.7697291753483508</v>
      </c>
      <c r="L1143" s="88">
        <f>IF($E$1143&lt;&gt;0,IF(L$19=1,($E$1143/('Assumptions - Infrastructure'!$E$60))*(L$935+L$951+L$967+L$983+L$999+L$1015)+(SUM($E1142:L1142)/SUM('Assumptions - Infrastructure'!$E50:L50))*(L$942+L$958+L$974+L$990+L$1006+L$1022),0),0)</f>
        <v>7.5449746747606437</v>
      </c>
      <c r="M1143" s="88">
        <f>IF($E$1143&lt;&gt;0,IF(M$19=1,($E$1143/('Assumptions - Infrastructure'!$E$60))*(M$935+M$951+M$967+M$983+M$999+M$1015)+(SUM($E1142:M1142)/SUM('Assumptions - Infrastructure'!$E50:M50))*(M$942+M$958+M$974+M$990+M$1006+M$1022),0),0)</f>
        <v>8.343890520914151</v>
      </c>
      <c r="N1143" s="88">
        <f>IF($E$1143&lt;&gt;0,IF(N$19=1,($E$1143/('Assumptions - Infrastructure'!$E$60))*(N$935+N$951+N$967+N$983+N$999+N$1015)+(SUM($E1142:N1142)/SUM('Assumptions - Infrastructure'!$E50:N50))*(N$942+N$958+N$974+N$990+N$1006+N$1022),0),0)</f>
        <v>9.1579325876949333</v>
      </c>
      <c r="O1143" s="88">
        <f>IF($E$1143&lt;&gt;0,IF(O$19=1,($E$1143/('Assumptions - Infrastructure'!$E$60))*(O$935+O$951+O$967+O$983+O$999+O$1015)+(SUM($E1142:O1142)/SUM('Assumptions - Infrastructure'!$E50:O50))*(O$942+O$958+O$974+O$990+O$1006+O$1022),0),0)</f>
        <v>10.006206945372597</v>
      </c>
      <c r="P1143" s="88">
        <f>IF($E$1143&lt;&gt;0,IF(P$19=1,($E$1143/('Assumptions - Infrastructure'!$E$60))*(P$935+P$951+P$967+P$983+P$999+P$1015)+(SUM($E1142:P1142)/SUM('Assumptions - Infrastructure'!$E50:P50))*(P$942+P$958+P$974+P$990+P$1006+P$1022),0),0)</f>
        <v>10.888717650353012</v>
      </c>
      <c r="Q1143" s="88">
        <f>IF($E$1143&lt;&gt;0,IF(Q$19=1,($E$1143/('Assumptions - Infrastructure'!$E$60))*(Q$935+Q$951+Q$967+Q$983+Q$999+Q$1015)+(SUM($E1142:Q1142)/SUM('Assumptions - Infrastructure'!$E50:Q50))*(Q$942+Q$958+Q$974+Q$990+Q$1006+Q$1022),0),0)</f>
        <v>11.638751811596757</v>
      </c>
      <c r="R1143" s="88">
        <f>IF($E$1143&lt;&gt;0,IF(R$19=1,($E$1143/('Assumptions - Infrastructure'!$E$60))*(R$935+R$951+R$967+R$983+R$999+R$1015)+(SUM($E1142:R1142)/SUM('Assumptions - Infrastructure'!$E50:R50))*(R$942+R$958+R$974+R$990+R$1006+R$1022),0),0)</f>
        <v>12.182832117541741</v>
      </c>
      <c r="S1143" s="88">
        <f>IF($E$1143&lt;&gt;0,IF(S$19=1,($E$1143/('Assumptions - Infrastructure'!$E$60))*(S$935+S$951+S$967+S$983+S$999+S$1015)+(SUM($E1142:S1142)/SUM('Assumptions - Infrastructure'!$E50:S50))*(S$942+S$958+S$974+S$990+S$1006+S$1022),0),0)</f>
        <v>13.105634338698621</v>
      </c>
      <c r="T1143" s="88">
        <f>IF($E$1143&lt;&gt;0,IF(T$19=1,($E$1143/('Assumptions - Infrastructure'!$E$60))*(T$935+T$951+T$967+T$983+T$999+T$1015)+(SUM($E1142:T1142)/SUM('Assumptions - Infrastructure'!$E50:T50))*(T$942+T$958+T$974+T$990+T$1006+T$1022),0),0)</f>
        <v>13.525367804356828</v>
      </c>
      <c r="U1143" s="88">
        <f>IF($E$1143&lt;&gt;0,IF(U$19=1,($E$1143/('Assumptions - Infrastructure'!$E$60))*(U$935+U$951+U$967+U$983+U$999+U$1015)+(SUM($E1142:U1142)/SUM('Assumptions - Infrastructure'!$E50:U50))*(U$942+U$958+U$974+U$990+U$1006+U$1022),0),0)</f>
        <v>14.549717225382311</v>
      </c>
      <c r="V1143" s="88">
        <f>IF($E$1143&lt;&gt;0,IF(V$19=1,($E$1143/('Assumptions - Infrastructure'!$E$60))*(V$935+V$951+V$967+V$983+V$999+V$1015)+(SUM($E1142:V1142)/SUM('Assumptions - Infrastructure'!$E50:V50))*(V$942+V$958+V$974+V$990+V$1006+V$1022),0),0)</f>
        <v>15.605203667862748</v>
      </c>
      <c r="W1143" s="88">
        <f>IF($E$1143&lt;&gt;0,IF(W$19=1,($E$1143/('Assumptions - Infrastructure'!$E$60))*(W$935+W$951+W$967+W$983+W$999+W$1015)+(SUM($E1142:W1142)/SUM('Assumptions - Infrastructure'!$E50:W50))*(W$942+W$958+W$974+W$990+W$1006+W$1022),0),0)</f>
        <v>16.692711075724191</v>
      </c>
      <c r="X1143" s="88">
        <f>IF($E$1143&lt;&gt;0,IF(X$19=1,($E$1143/('Assumptions - Infrastructure'!$E$60))*(X$935+X$951+X$967+X$983+X$999+X$1015)+(SUM($E1142:X1142)/SUM('Assumptions - Infrastructure'!$E50:X50))*(X$942+X$958+X$974+X$990+X$1006+X$1022),0),0)</f>
        <v>17.813160244248245</v>
      </c>
      <c r="Y1143" s="88">
        <f>IF($E$1143&lt;&gt;0,IF(Y$19=1,($E$1143/('Assumptions - Infrastructure'!$E$60))*(Y$935+Y$951+Y$967+Y$983+Y$999+Y$1015)+(SUM($E1142:Y1142)/SUM('Assumptions - Infrastructure'!$E50:Y50))*(Y$942+Y$958+Y$974+Y$990+Y$1006+Y$1022),0),0)</f>
        <v>18.967507317614327</v>
      </c>
      <c r="Z1143" s="88">
        <f>IF($E$1143&lt;&gt;0,IF(Z$19=1,($E$1143/('Assumptions - Infrastructure'!$E$60))*(Z$935+Z$951+Z$967+Z$983+Z$999+Z$1015)+(SUM($E1142:Z1142)/SUM('Assumptions - Infrastructure'!$E50:Z50))*(Z$942+Z$958+Z$974+Z$990+Z$1006+Z$1022),0),0)</f>
        <v>20.156742995964997</v>
      </c>
      <c r="AA1143" s="88">
        <f>IF($E$1143&lt;&gt;0,IF(AA$19=1,($E$1143/('Assumptions - Infrastructure'!$E$60))*(AA$935+AA$951+AA$967+AA$983+AA$999+AA$1015)+(SUM($E1142:AA1142)/SUM('Assumptions - Infrastructure'!$E50:AA50))*(AA$942+AA$958+AA$974+AA$990+AA$1006+AA$1022),0),0)</f>
        <v>21.381892229506761</v>
      </c>
      <c r="AB1143" s="88">
        <f>IF($E$1143&lt;&gt;0,IF(AB$19=1,($E$1143/('Assumptions - Infrastructure'!$E$60))*(AB$935+AB$951+AB$967+AB$983+AB$999+AB$1015)+(SUM($E1142:AB1142)/SUM('Assumptions - Infrastructure'!$E50:AB50))*(AB$942+AB$958+AB$974+AB$990+AB$1006+AB$1022),0),0)</f>
        <v>22.644014256676144</v>
      </c>
      <c r="AC1143" s="88">
        <f>IF($E$1143&lt;&gt;0,IF(AC$19=1,($E$1143/('Assumptions - Infrastructure'!$E$60))*(AC$935+AC$951+AC$967+AC$983+AC$999+AC$1015)+(SUM($E1142:AC1142)/SUM('Assumptions - Infrastructure'!$E50:AC50))*(AC$942+AC$958+AC$974+AC$990+AC$1006+AC$1022),0),0)</f>
        <v>23.944202892429015</v>
      </c>
      <c r="AD1143" s="88">
        <f>IF($E$1143&lt;&gt;0,IF(AD$19=1,($E$1143/('Assumptions - Infrastructure'!$E$60))*(AD$935+AD$951+AD$967+AD$983+AD$999+AD$1015)+(SUM($E1142:AD1142)/SUM('Assumptions - Infrastructure'!$E50:AD50))*(AD$942+AD$958+AD$974+AD$990+AD$1006+AD$1022),0),0)</f>
        <v>25.283587003712924</v>
      </c>
      <c r="AE1143" s="88">
        <f>IF($E$1143&lt;&gt;0,IF(AE$19=1,($E$1143/('Assumptions - Infrastructure'!$E$60))*(AE$935+AE$951+AE$967+AE$983+AE$999+AE$1015)+(SUM($E1142:AE1142)/SUM('Assumptions - Infrastructure'!$E50:AE50))*(AE$942+AE$958+AE$974+AE$990+AE$1006+AE$1022),0),0)</f>
        <v>26.663331129236809</v>
      </c>
      <c r="AF1143" s="88">
        <f>IF($E$1143&lt;&gt;0,IF(AF$19=1,($E$1143/('Assumptions - Infrastructure'!$E$60))*(AF$935+AF$951+AF$967+AF$983+AF$999+AF$1015)+(SUM($E1142:AF1142)/SUM('Assumptions - Infrastructure'!$E50:AF50))*(AF$942+AF$958+AF$974+AF$990+AF$1006+AF$1022),0),0)</f>
        <v>28.084636213895521</v>
      </c>
      <c r="AG1143" s="88">
        <f>IF($E$1143&lt;&gt;0,IF(AG$19=1,($E$1143/('Assumptions - Infrastructure'!$E$60))*(AG$935+AG$951+AG$967+AG$983+AG$999+AG$1015)+(SUM($E1142:AG1142)/SUM('Assumptions - Infrastructure'!$E50:AG50))*(AG$942+AG$958+AG$974+AG$990+AG$1006+AG$1022),0),0)</f>
        <v>29.367652876138781</v>
      </c>
      <c r="AH1143" s="88">
        <f>IF($E$1143&lt;&gt;0,IF(AH$19=1,($E$1143/('Assumptions - Infrastructure'!$E$60))*(AH$935+AH$951+AH$967+AH$983+AH$999+AH$1015)+(SUM($E1142:AH1142)/SUM('Assumptions - Infrastructure'!$E50:AH50))*(AH$942+AH$958+AH$974+AH$990+AH$1006+AH$1022),0),0)</f>
        <v>25.790473362175096</v>
      </c>
    </row>
    <row r="1144" spans="1:34" s="20" customFormat="1" ht="14" x14ac:dyDescent="0.2">
      <c r="A1144" s="8"/>
      <c r="B1144" s="8"/>
      <c r="C1144" s="8"/>
      <c r="D1144" s="8"/>
      <c r="E1144" s="88"/>
      <c r="F1144" s="88"/>
      <c r="G1144" s="88"/>
      <c r="H1144" s="88"/>
      <c r="I1144" s="88"/>
      <c r="J1144" s="88"/>
      <c r="K1144" s="88"/>
      <c r="L1144" s="88"/>
      <c r="M1144" s="88"/>
      <c r="N1144" s="88"/>
      <c r="O1144" s="88"/>
      <c r="P1144" s="88"/>
      <c r="Q1144" s="88"/>
      <c r="R1144" s="88"/>
      <c r="S1144" s="88"/>
      <c r="T1144" s="88"/>
      <c r="U1144" s="88"/>
      <c r="V1144" s="88"/>
      <c r="W1144" s="88"/>
      <c r="X1144" s="88"/>
      <c r="Y1144" s="88"/>
      <c r="Z1144" s="88"/>
      <c r="AA1144" s="88"/>
      <c r="AB1144" s="88"/>
      <c r="AC1144" s="88"/>
      <c r="AD1144" s="88"/>
      <c r="AE1144" s="88"/>
      <c r="AF1144" s="88"/>
      <c r="AG1144" s="88"/>
      <c r="AH1144" s="88"/>
    </row>
    <row r="1145" spans="1:34" x14ac:dyDescent="0.2">
      <c r="A1145" s="316"/>
      <c r="B1145" s="315" t="str">
        <f>"Operating costs of " &amp;'Assumptions - General'!E26</f>
        <v>Operating costs of Ruritania Railway Infrastructure Company</v>
      </c>
      <c r="C1145" s="316"/>
      <c r="D1145" s="316"/>
      <c r="E1145" s="316"/>
      <c r="F1145" s="316"/>
      <c r="G1145" s="316"/>
      <c r="H1145" s="316"/>
      <c r="I1145" s="316"/>
      <c r="J1145" s="316"/>
      <c r="K1145" s="316"/>
      <c r="L1145" s="316"/>
      <c r="M1145" s="316"/>
      <c r="N1145" s="316"/>
      <c r="O1145" s="316"/>
      <c r="P1145" s="316"/>
      <c r="Q1145" s="316"/>
      <c r="R1145" s="316"/>
      <c r="S1145" s="316"/>
      <c r="T1145" s="316"/>
      <c r="U1145" s="316"/>
      <c r="V1145" s="316"/>
      <c r="W1145" s="316"/>
      <c r="X1145" s="316"/>
      <c r="Y1145" s="316"/>
      <c r="Z1145" s="316"/>
      <c r="AA1145" s="316"/>
      <c r="AB1145" s="316"/>
      <c r="AC1145" s="316"/>
      <c r="AD1145" s="316"/>
      <c r="AE1145" s="316"/>
      <c r="AF1145" s="316"/>
      <c r="AG1145" s="316"/>
      <c r="AH1145" s="316"/>
    </row>
    <row r="1146" spans="1:34" s="20" customFormat="1" ht="14" x14ac:dyDescent="0.2">
      <c r="A1146" s="8"/>
      <c r="B1146" s="7"/>
      <c r="C1146" s="8"/>
      <c r="D1146" s="8"/>
      <c r="E1146" s="9"/>
      <c r="F1146" s="28"/>
      <c r="G1146" s="9"/>
      <c r="H1146" s="9"/>
      <c r="I1146" s="9"/>
      <c r="J1146" s="9"/>
      <c r="K1146" s="9"/>
      <c r="L1146" s="9"/>
      <c r="M1146" s="9"/>
      <c r="N1146" s="9"/>
      <c r="O1146" s="9"/>
      <c r="P1146" s="9"/>
      <c r="Q1146" s="9"/>
      <c r="R1146" s="9"/>
      <c r="S1146" s="9"/>
      <c r="T1146" s="9"/>
      <c r="U1146" s="9"/>
      <c r="V1146" s="9"/>
      <c r="W1146" s="9"/>
      <c r="X1146" s="9"/>
      <c r="Y1146" s="9"/>
      <c r="Z1146" s="9"/>
      <c r="AA1146" s="9"/>
      <c r="AB1146" s="9"/>
      <c r="AC1146" s="9"/>
      <c r="AD1146" s="9"/>
      <c r="AE1146" s="9"/>
      <c r="AF1146" s="9"/>
      <c r="AG1146" s="9"/>
      <c r="AH1146" s="9"/>
    </row>
    <row r="1147" spans="1:34" s="20" customFormat="1" ht="14" x14ac:dyDescent="0.2">
      <c r="A1147" s="8"/>
      <c r="B1147" s="8" t="s">
        <v>44</v>
      </c>
      <c r="C1147" s="8"/>
      <c r="D1147" s="8" t="str">
        <f>'Assumptions - General'!$E$27 &amp;" millions"</f>
        <v>R$ millions</v>
      </c>
      <c r="E1147" s="473">
        <f>IF(OR(E$19=1,E$20=1),IF('Assumptions - Infrastructure'!$D$232=1,'Assumptions - Infrastructure'!$D$233*'Assumptions - Infrastructure'!E237,'Assumptions - Infrastructure'!E237),0)</f>
        <v>1000</v>
      </c>
      <c r="F1147" s="12">
        <f>IF(AND(OR(F$19=1,F$20=1),'Assumptions - Infrastructure'!$E$237&gt;0),'Assumptions - Infrastructure'!F240*'Assumptions - Infrastructure'!F243/1000000,0)</f>
        <v>1098.6666666666667</v>
      </c>
      <c r="G1147" s="12">
        <f>IF(AND(OR(G$19=1,G$20=1),'Assumptions - Infrastructure'!$E$237&gt;0),'Assumptions - Infrastructure'!G240*'Assumptions - Infrastructure'!G243/1000000,0)</f>
        <v>1202.3533333333335</v>
      </c>
      <c r="H1147" s="12">
        <f>IF(AND(OR(H$19=1,H$20=1),'Assumptions - Infrastructure'!$E$237&gt;0),'Assumptions - Infrastructure'!H240*'Assumptions - Infrastructure'!H243/1000000,0)</f>
        <v>1311.2724000000003</v>
      </c>
      <c r="I1147" s="12">
        <f>IF(AND(OR(I$19=1,I$20=1),'Assumptions - Infrastructure'!$E$237&gt;0),'Assumptions - Infrastructure'!I240*'Assumptions - Infrastructure'!I243/1000000,0)</f>
        <v>1500.6784133333335</v>
      </c>
      <c r="J1147" s="12">
        <f>IF(AND(OR(J$19=1,J$20=1),'Assumptions - Infrastructure'!$E$237&gt;0),'Assumptions - Infrastructure'!J240*'Assumptions - Infrastructure'!J243/1000000,0)</f>
        <v>1545.6987657333334</v>
      </c>
      <c r="K1147" s="12">
        <f>IF(AND(OR(K$19=1,K$20=1),'Assumptions - Infrastructure'!$E$237&gt;0),'Assumptions - Infrastructure'!K240*'Assumptions - Infrastructure'!K243/1000000,0)</f>
        <v>1592.0697287053335</v>
      </c>
      <c r="L1147" s="12">
        <f>IF(AND(OR(L$19=1,L$20=1),'Assumptions - Infrastructure'!$E$237&gt;0),'Assumptions - Infrastructure'!L240*'Assumptions - Infrastructure'!L243/1000000,0)</f>
        <v>1639.8318205664934</v>
      </c>
      <c r="M1147" s="12">
        <f>IF(AND(OR(M$19=1,M$20=1),'Assumptions - Infrastructure'!$E$237&gt;0),'Assumptions - Infrastructure'!M240*'Assumptions - Infrastructure'!M243/1000000,0)</f>
        <v>1689.0267751834886</v>
      </c>
      <c r="N1147" s="12">
        <f>IF(AND(OR(N$19=1,N$20=1),'Assumptions - Infrastructure'!$E$237&gt;0),'Assumptions - Infrastructure'!N240*'Assumptions - Infrastructure'!N243/1000000,0)</f>
        <v>1739.6975784389929</v>
      </c>
      <c r="O1147" s="12">
        <f>IF(AND(OR(O$19=1,O$20=1),'Assumptions - Infrastructure'!$E$237&gt;0),'Assumptions - Infrastructure'!O240*'Assumptions - Infrastructure'!O243/1000000,0)</f>
        <v>1791.888505792163</v>
      </c>
      <c r="P1147" s="12">
        <f>IF(AND(OR(P$19=1,P$20=1),'Assumptions - Infrastructure'!$E$237&gt;0),'Assumptions - Infrastructure'!P240*'Assumptions - Infrastructure'!P243/1000000,0)</f>
        <v>1845.6451609659277</v>
      </c>
      <c r="Q1147" s="12">
        <f>IF(AND(OR(Q$19=1,Q$20=1),'Assumptions - Infrastructure'!$E$237&gt;0),'Assumptions - Infrastructure'!Q240*'Assumptions - Infrastructure'!Q243/1000000,0)</f>
        <v>1901.0145157949059</v>
      </c>
      <c r="R1147" s="12">
        <f>IF(AND(OR(R$19=1,R$20=1),'Assumptions - Infrastructure'!$E$237&gt;0),'Assumptions - Infrastructure'!R240*'Assumptions - Infrastructure'!R243/1000000,0)</f>
        <v>1958.0449512687533</v>
      </c>
      <c r="S1147" s="12">
        <f>IF(AND(OR(S$19=1,S$20=1),'Assumptions - Infrastructure'!$E$237&gt;0),'Assumptions - Infrastructure'!S240*'Assumptions - Infrastructure'!S243/1000000,0)</f>
        <v>2016.7862998068158</v>
      </c>
      <c r="T1147" s="12">
        <f>IF(AND(OR(T$19=1,T$20=1),'Assumptions - Infrastructure'!$E$237&gt;0),'Assumptions - Infrastructure'!T240*'Assumptions - Infrastructure'!T243/1000000,0)</f>
        <v>2077.2898888010204</v>
      </c>
      <c r="U1147" s="12">
        <f>IF(AND(OR(U$19=1,U$20=1),'Assumptions - Infrastructure'!$E$237&gt;0),'Assumptions - Infrastructure'!U240*'Assumptions - Infrastructure'!U243/1000000,0)</f>
        <v>2139.608585465051</v>
      </c>
      <c r="V1147" s="12">
        <f>IF(AND(OR(V$19=1,V$20=1),'Assumptions - Infrastructure'!$E$237&gt;0),'Assumptions - Infrastructure'!V240*'Assumptions - Infrastructure'!V243/1000000,0)</f>
        <v>2203.7968430290025</v>
      </c>
      <c r="W1147" s="12">
        <f>IF(AND(OR(W$19=1,W$20=1),'Assumptions - Infrastructure'!$E$237&gt;0),'Assumptions - Infrastructure'!W240*'Assumptions - Infrastructure'!W243/1000000,0)</f>
        <v>2269.9107483198727</v>
      </c>
      <c r="X1147" s="12">
        <f>IF(AND(OR(X$19=1,X$20=1),'Assumptions - Infrastructure'!$E$237&gt;0),'Assumptions - Infrastructure'!X240*'Assumptions - Infrastructure'!X243/1000000,0)</f>
        <v>2338.0080707694688</v>
      </c>
      <c r="Y1147" s="12">
        <f>IF(AND(OR(Y$19=1,Y$20=1),'Assumptions - Infrastructure'!$E$237&gt;0),'Assumptions - Infrastructure'!Y240*'Assumptions - Infrastructure'!Y243/1000000,0)</f>
        <v>2408.1483128925529</v>
      </c>
      <c r="Z1147" s="12">
        <f>IF(AND(OR(Z$19=1,Z$20=1),'Assumptions - Infrastructure'!$E$237&gt;0),'Assumptions - Infrastructure'!Z240*'Assumptions - Infrastructure'!Z243/1000000,0)</f>
        <v>2480.3927622793294</v>
      </c>
      <c r="AA1147" s="12">
        <f>IF(AND(OR(AA$19=1,AA$20=1),'Assumptions - Infrastructure'!$E$237&gt;0),'Assumptions - Infrastructure'!AA240*'Assumptions - Infrastructure'!AA243/1000000,0)</f>
        <v>2554.8045451477092</v>
      </c>
      <c r="AB1147" s="12">
        <f>IF(AND(OR(AB$19=1,AB$20=1),'Assumptions - Infrastructure'!$E$237&gt;0),'Assumptions - Infrastructure'!AB240*'Assumptions - Infrastructure'!AB243/1000000,0)</f>
        <v>2631.448681502141</v>
      </c>
      <c r="AC1147" s="12">
        <f>IF(AND(OR(AC$19=1,AC$20=1),'Assumptions - Infrastructure'!$E$237&gt;0),'Assumptions - Infrastructure'!AC240*'Assumptions - Infrastructure'!AC243/1000000,0)</f>
        <v>2710.3921419472049</v>
      </c>
      <c r="AD1147" s="12">
        <f>IF(AND(OR(AD$19=1,AD$20=1),'Assumptions - Infrastructure'!$E$237&gt;0),'Assumptions - Infrastructure'!AD240*'Assumptions - Infrastructure'!AD243/1000000,0)</f>
        <v>2791.703906205621</v>
      </c>
      <c r="AE1147" s="12">
        <f>IF(AND(OR(AE$19=1,AE$20=1),'Assumptions - Infrastructure'!$E$237&gt;0),'Assumptions - Infrastructure'!AE240*'Assumptions - Infrastructure'!AE243/1000000,0)</f>
        <v>2875.4550233917898</v>
      </c>
      <c r="AF1147" s="12">
        <f>IF(AND(OR(AF$19=1,AF$20=1),'Assumptions - Infrastructure'!$E$237&gt;0),'Assumptions - Infrastructure'!AF240*'Assumptions - Infrastructure'!AF243/1000000,0)</f>
        <v>2961.7186740935435</v>
      </c>
      <c r="AG1147" s="12">
        <f>IF(AND(OR(AG$19=1,AG$20=1),'Assumptions - Infrastructure'!$E$237&gt;0),'Assumptions - Infrastructure'!AG240*'Assumptions - Infrastructure'!AG243/1000000,0)</f>
        <v>3050.5702343163498</v>
      </c>
      <c r="AH1147" s="12">
        <f>IF(AND(OR(AH$19=1,AH$20=1),'Assumptions - Infrastructure'!$E$237&gt;0),'Assumptions - Infrastructure'!AH240*'Assumptions - Infrastructure'!AH243/1000000,0)</f>
        <v>3142.0873413458403</v>
      </c>
    </row>
    <row r="1148" spans="1:34" s="20" customFormat="1" ht="14" x14ac:dyDescent="0.2">
      <c r="A1148" s="8"/>
      <c r="B1148" s="30" t="s">
        <v>297</v>
      </c>
      <c r="C1148" s="8"/>
      <c r="D1148" s="8" t="s">
        <v>15</v>
      </c>
      <c r="E1148" s="128" t="str">
        <f t="shared" ref="E1148:AH1148" si="438">IF(E19=1,IF(AND(($E$4+SUM($F$19:$AH$19))=E$4,$E$1147&gt;0),(E1147/$E1147)^(1/SUM($F$19:$AH$19))-1," ")," ")</f>
        <v xml:space="preserve"> </v>
      </c>
      <c r="F1148" s="128" t="str">
        <f t="shared" si="438"/>
        <v xml:space="preserve"> </v>
      </c>
      <c r="G1148" s="128" t="str">
        <f t="shared" si="438"/>
        <v xml:space="preserve"> </v>
      </c>
      <c r="H1148" s="128" t="str">
        <f t="shared" si="438"/>
        <v xml:space="preserve"> </v>
      </c>
      <c r="I1148" s="128" t="str">
        <f t="shared" si="438"/>
        <v xml:space="preserve"> </v>
      </c>
      <c r="J1148" s="128" t="str">
        <f t="shared" si="438"/>
        <v xml:space="preserve"> </v>
      </c>
      <c r="K1148" s="128" t="str">
        <f t="shared" si="438"/>
        <v xml:space="preserve"> </v>
      </c>
      <c r="L1148" s="128" t="str">
        <f t="shared" si="438"/>
        <v xml:space="preserve"> </v>
      </c>
      <c r="M1148" s="128" t="str">
        <f t="shared" si="438"/>
        <v xml:space="preserve"> </v>
      </c>
      <c r="N1148" s="128" t="str">
        <f t="shared" si="438"/>
        <v xml:space="preserve"> </v>
      </c>
      <c r="O1148" s="128" t="str">
        <f t="shared" si="438"/>
        <v xml:space="preserve"> </v>
      </c>
      <c r="P1148" s="128" t="str">
        <f t="shared" si="438"/>
        <v xml:space="preserve"> </v>
      </c>
      <c r="Q1148" s="128" t="str">
        <f t="shared" si="438"/>
        <v xml:space="preserve"> </v>
      </c>
      <c r="R1148" s="128" t="str">
        <f t="shared" si="438"/>
        <v xml:space="preserve"> </v>
      </c>
      <c r="S1148" s="128" t="str">
        <f t="shared" si="438"/>
        <v xml:space="preserve"> </v>
      </c>
      <c r="T1148" s="128" t="str">
        <f t="shared" si="438"/>
        <v xml:space="preserve"> </v>
      </c>
      <c r="U1148" s="128" t="str">
        <f t="shared" si="438"/>
        <v xml:space="preserve"> </v>
      </c>
      <c r="V1148" s="128" t="str">
        <f t="shared" si="438"/>
        <v xml:space="preserve"> </v>
      </c>
      <c r="W1148" s="128" t="str">
        <f t="shared" si="438"/>
        <v xml:space="preserve"> </v>
      </c>
      <c r="X1148" s="128" t="str">
        <f t="shared" si="438"/>
        <v xml:space="preserve"> </v>
      </c>
      <c r="Y1148" s="128" t="str">
        <f t="shared" si="438"/>
        <v xml:space="preserve"> </v>
      </c>
      <c r="Z1148" s="128" t="str">
        <f t="shared" si="438"/>
        <v xml:space="preserve"> </v>
      </c>
      <c r="AA1148" s="128" t="str">
        <f t="shared" si="438"/>
        <v xml:space="preserve"> </v>
      </c>
      <c r="AB1148" s="128" t="str">
        <f t="shared" si="438"/>
        <v xml:space="preserve"> </v>
      </c>
      <c r="AC1148" s="128" t="str">
        <f t="shared" si="438"/>
        <v xml:space="preserve"> </v>
      </c>
      <c r="AD1148" s="128" t="str">
        <f t="shared" si="438"/>
        <v xml:space="preserve"> </v>
      </c>
      <c r="AE1148" s="128" t="str">
        <f t="shared" si="438"/>
        <v xml:space="preserve"> </v>
      </c>
      <c r="AF1148" s="128" t="str">
        <f t="shared" si="438"/>
        <v xml:space="preserve"> </v>
      </c>
      <c r="AG1148" s="128" t="str">
        <f t="shared" si="438"/>
        <v xml:space="preserve"> </v>
      </c>
      <c r="AH1148" s="128">
        <f t="shared" si="438"/>
        <v>4.0268521633557652E-2</v>
      </c>
    </row>
    <row r="1149" spans="1:34" s="20" customFormat="1" ht="14" x14ac:dyDescent="0.2">
      <c r="A1149" s="8"/>
      <c r="B1149" s="8" t="s">
        <v>45</v>
      </c>
      <c r="C1149" s="8"/>
      <c r="D1149" s="8" t="str">
        <f>'Assumptions - General'!$E$27 &amp;" millions"</f>
        <v>R$ millions</v>
      </c>
      <c r="E1149" s="473">
        <f>IF(OR(E$19=1,E$20=1),IF($D$1031=1,$D$1032*'Assumptions - Infrastructure'!E247,'Assumptions - Infrastructure'!E247),0)</f>
        <v>500</v>
      </c>
      <c r="F1149" s="12">
        <f>IF(AND(OR(F$19=1,F$20=1),'Assumptions - Infrastructure'!$E$247&gt;0),E1149*(1+((F177+F631+F1064+F1094)/(E177+E631+E1064+E1094)-1)*'Assumptions - Infrastructure'!$E$249)*('Assumptions - Infrastructure'!F252/'Assumptions - Infrastructure'!E252),0)</f>
        <v>523.14500762195121</v>
      </c>
      <c r="G1149" s="12">
        <f>IF(AND(OR(G$19=1,G$20=1),'Assumptions - Infrastructure'!$E$247&gt;0),F1149*(1+((G177+G631+G1064+G1094)/(F177+F631+F1064+F1094)-1)*'Assumptions - Infrastructure'!$E$249)*('Assumptions - Infrastructure'!G252/'Assumptions - Infrastructure'!F252),0)</f>
        <v>538.83935785060976</v>
      </c>
      <c r="H1149" s="12">
        <f>IF(AND(OR(H$19=1,H$20=1),'Assumptions - Infrastructure'!$E$247&gt;0),G1149*(1+((H177+H631+H1064+H1094)/(G177+G631+G1064+G1094)-1)*'Assumptions - Infrastructure'!$E$249)*('Assumptions - Infrastructure'!H252/'Assumptions - Infrastructure'!G252),0)</f>
        <v>567.80993311737814</v>
      </c>
      <c r="I1149" s="12">
        <f>IF(AND(OR(I$19=1,I$20=1),'Assumptions - Infrastructure'!$E$247&gt;0),H1149*(1+((I177+I631+I1064+I1094)/(H177+H631+H1064+H1094)-1)*'Assumptions - Infrastructure'!$E$249)*('Assumptions - Infrastructure'!I252/'Assumptions - Infrastructure'!H252),0)</f>
        <v>611.22334384527448</v>
      </c>
      <c r="J1149" s="12">
        <f>IF(AND(OR(J$19=1,J$20=1),'Assumptions - Infrastructure'!$E$247&gt;0),I1149*(1+((J177+J631+J1064+J1094)/(I177+I631+I1064+I1094)-1)*'Assumptions - Infrastructure'!$E$249)*('Assumptions - Infrastructure'!J252/'Assumptions - Infrastructure'!I252),0)</f>
        <v>643.14528721883596</v>
      </c>
      <c r="K1149" s="12">
        <f>IF(AND(OR(K$19=1,K$20=1),'Assumptions - Infrastructure'!$E$247&gt;0),J1149*(1+((K177+K631+K1064+K1094)/(J177+J631+J1064+J1094)-1)*'Assumptions - Infrastructure'!$E$249)*('Assumptions - Infrastructure'!K252/'Assumptions - Infrastructure'!J252),0)</f>
        <v>722.50630099615864</v>
      </c>
      <c r="L1149" s="12">
        <f>IF(AND(OR(L$19=1,L$20=1),'Assumptions - Infrastructure'!$E$247&gt;0),K1149*(1+((L177+L631+L1064+L1094)/(K177+K631+K1064+K1094)-1)*'Assumptions - Infrastructure'!$E$249)*('Assumptions - Infrastructure'!L252/'Assumptions - Infrastructure'!K252),0)</f>
        <v>758.59407438649112</v>
      </c>
      <c r="M1149" s="12">
        <f>IF(AND(OR(M$19=1,M$20=1),'Assumptions - Infrastructure'!$E$247&gt;0),L1149*(1+((M177+M631+M1064+M1094)/(L177+L631+L1064+L1094)-1)*'Assumptions - Infrastructure'!$E$249)*('Assumptions - Infrastructure'!M252/'Assumptions - Infrastructure'!L252),0)</f>
        <v>796.19685850934695</v>
      </c>
      <c r="N1149" s="12">
        <f>IF(AND(OR(N$19=1,N$20=1),'Assumptions - Infrastructure'!$E$247&gt;0),M1149*(1+((N177+N631+N1064+N1094)/(M177+M631+M1064+M1094)-1)*'Assumptions - Infrastructure'!$E$249)*('Assumptions - Infrastructure'!N252/'Assumptions - Infrastructure'!M252),0)</f>
        <v>835.37307501262637</v>
      </c>
      <c r="O1149" s="12">
        <f>IF(AND(OR(O$19=1,O$20=1),'Assumptions - Infrastructure'!$E$247&gt;0),N1149*(1+((O177+O631+O1064+O1094)/(N177+N631+N1064+N1094)-1)*'Assumptions - Infrastructure'!$E$249)*('Assumptions - Infrastructure'!O252/'Assumptions - Infrastructure'!N252),0)</f>
        <v>876.18328733344413</v>
      </c>
      <c r="P1149" s="12">
        <f>IF(AND(OR(P$19=1,P$20=1),'Assumptions - Infrastructure'!$E$247&gt;0),O1149*(1+((P177+P631+P1064+P1094)/(O177+O631+O1064+O1094)-1)*'Assumptions - Infrastructure'!$E$249)*('Assumptions - Infrastructure'!P252/'Assumptions - Infrastructure'!O252),0)</f>
        <v>918.69027662599967</v>
      </c>
      <c r="Q1149" s="12">
        <f>IF(AND(OR(Q$19=1,Q$20=1),'Assumptions - Infrastructure'!$E$247&gt;0),P1149*(1+((Q177+Q631+Q1064+Q1094)/(P177+P631+P1064+P1094)-1)*'Assumptions - Infrastructure'!$E$249)*('Assumptions - Infrastructure'!Q252/'Assumptions - Infrastructure'!P252),0)</f>
        <v>962.95912031750822</v>
      </c>
      <c r="R1149" s="12">
        <f>IF(AND(OR(R$19=1,R$20=1),'Assumptions - Infrastructure'!$E$247&gt;0),Q1149*(1+((R177+R631+R1064+R1094)/(Q177+Q631+Q1064+Q1094)-1)*'Assumptions - Infrastructure'!$E$249)*('Assumptions - Infrastructure'!R252/'Assumptions - Infrastructure'!Q252),0)</f>
        <v>1009.057273381544</v>
      </c>
      <c r="S1149" s="12">
        <f>IF(AND(OR(S$19=1,S$20=1),'Assumptions - Infrastructure'!$E$247&gt;0),R1149*(1+((S177+S631+S1064+S1094)/(R177+R631+R1064+R1094)-1)*'Assumptions - Infrastructure'!$E$249)*('Assumptions - Infrastructure'!S252/'Assumptions - Infrastructure'!R252),0)</f>
        <v>1057.0546524211361</v>
      </c>
      <c r="T1149" s="12">
        <f>IF(AND(OR(T$19=1,T$20=1),'Assumptions - Infrastructure'!$E$247&gt;0),S1149*(1+((T177+T631+T1064+T1094)/(S177+S631+S1064+S1094)-1)*'Assumptions - Infrastructure'!$E$249)*('Assumptions - Infrastructure'!T252/'Assumptions - Infrastructure'!S252),0)</f>
        <v>1107.0237226570605</v>
      </c>
      <c r="U1149" s="12">
        <f>IF(AND(OR(U$19=1,U$20=1),'Assumptions - Infrastructure'!$E$247&gt;0),T1149*(1+((U177+U631+U1064+U1094)/(T177+T631+T1064+T1094)-1)*'Assumptions - Infrastructure'!$E$249)*('Assumptions - Infrastructure'!U252/'Assumptions - Infrastructure'!T252),0)</f>
        <v>1159.0395879199611</v>
      </c>
      <c r="V1149" s="12">
        <f>IF(AND(OR(V$19=1,V$20=1),'Assumptions - Infrastructure'!$E$247&gt;0),U1149*(1+((V177+V631+V1064+V1094)/(U177+U631+U1064+U1094)-1)*'Assumptions - Infrastructure'!$E$249)*('Assumptions - Infrastructure'!V252/'Assumptions - Infrastructure'!U252),0)</f>
        <v>1213.1800837482444</v>
      </c>
      <c r="W1149" s="12">
        <f>IF(AND(OR(W$19=1,W$20=1),'Assumptions - Infrastructure'!$E$247&gt;0),V1149*(1+((W177+W631+W1064+W1094)/(V177+V631+V1064+V1094)-1)*'Assumptions - Infrastructure'!$E$249)*('Assumptions - Infrastructure'!W252/'Assumptions - Infrastructure'!V252),0)</f>
        <v>1269.525873697097</v>
      </c>
      <c r="X1149" s="12">
        <f>IF(AND(OR(X$19=1,X$20=1),'Assumptions - Infrastructure'!$E$247&gt;0),W1149*(1+((X177+X631+X1064+X1094)/(W177+W631+W1064+W1094)-1)*'Assumptions - Infrastructure'!$E$249)*('Assumptions - Infrastructure'!X252/'Assumptions - Infrastructure'!W252),0)</f>
        <v>1328.1605489675073</v>
      </c>
      <c r="Y1149" s="12">
        <f>IF(AND(OR(Y$19=1,Y$20=1),'Assumptions - Infrastructure'!$E$247&gt;0),X1149*(1+((Y177+Y631+Y1064+Y1094)/(X177+X631+X1064+X1094)-1)*'Assumptions - Infrastructure'!$E$249)*('Assumptions - Infrastructure'!Y252/'Assumptions - Infrastructure'!X252),0)</f>
        <v>1389.1707314678147</v>
      </c>
      <c r="Z1149" s="12">
        <f>IF(AND(OR(Z$19=1,Z$20=1),'Assumptions - Infrastructure'!$E$247&gt;0),Y1149*(1+((Z177+Z631+Z1064+Z1094)/(Y177+Y631+Y1064+Y1094)-1)*'Assumptions - Infrastructure'!$E$249)*('Assumptions - Infrastructure'!Z252/'Assumptions - Infrastructure'!Y252),0)</f>
        <v>1452.6461804240698</v>
      </c>
      <c r="AA1149" s="12">
        <f>IF(AND(OR(AA$19=1,AA$20=1),'Assumptions - Infrastructure'!$E$247&gt;0),Z1149*(1+((AA177+AA631+AA1064+AA1094)/(Z177+Z631+Z1064+Z1094)-1)*'Assumptions - Infrastructure'!$E$249)*('Assumptions - Infrastructure'!AA252/'Assumptions - Infrastructure'!Z252),0)</f>
        <v>1518.6799026593794</v>
      </c>
      <c r="AB1149" s="12">
        <f>IF(AND(OR(AB$19=1,AB$20=1),'Assumptions - Infrastructure'!$E$247&gt;0),AA1149*(1+((AB177+AB631+AB1064+AB1094)/(AA177+AA631+AA1064+AA1094)-1)*'Assumptions - Infrastructure'!$E$249)*('Assumptions - Infrastructure'!AB252/'Assumptions - Infrastructure'!AA252),0)</f>
        <v>1587.3682666664261</v>
      </c>
      <c r="AC1149" s="12">
        <f>IF(AND(OR(AC$19=1,AC$20=1),'Assumptions - Infrastructure'!$E$247&gt;0),AB1149*(1+((AC177+AC631+AC1064+AC1094)/(AB177+AB631+AB1064+AB1094)-1)*'Assumptions - Infrastructure'!$E$249)*('Assumptions - Infrastructure'!AC252/'Assumptions - Infrastructure'!AB252),0)</f>
        <v>1658.8111206015017</v>
      </c>
      <c r="AD1149" s="12">
        <f>IF(AND(OR(AD$19=1,AD$20=1),'Assumptions - Infrastructure'!$E$247&gt;0),AC1149*(1+((AD177+AD631+AD1064+AD1094)/(AC177+AC631+AC1064+AC1094)-1)*'Assumptions - Infrastructure'!$E$249)*('Assumptions - Infrastructure'!AD252/'Assumptions - Infrastructure'!AC252),0)</f>
        <v>1733.1119143326819</v>
      </c>
      <c r="AE1149" s="12">
        <f>IF(AND(OR(AE$19=1,AE$20=1),'Assumptions - Infrastructure'!$E$247&gt;0),AD1149*(1+((AE177+AE631+AE1064+AE1094)/(AD177+AD631+AD1064+AD1094)-1)*'Assumptions - Infrastructure'!$E$249)*('Assumptions - Infrastructure'!AE252/'Assumptions - Infrastructure'!AD252),0)</f>
        <v>1810.377825679192</v>
      </c>
      <c r="AF1149" s="12">
        <f>IF(AND(OR(AF$19=1,AF$20=1),'Assumptions - Infrastructure'!$E$247&gt;0),AE1149*(1+((AF177+AF631+AF1064+AF1094)/(AE177+AE631+AE1064+AE1094)-1)*'Assumptions - Infrastructure'!$E$249)*('Assumptions - Infrastructure'!AF252/'Assumptions - Infrastructure'!AE252),0)</f>
        <v>1890.7198909835929</v>
      </c>
      <c r="AG1149" s="12">
        <f>IF(AND(OR(AG$19=1,AG$20=1),'Assumptions - Infrastructure'!$E$247&gt;0),AF1149*(1+((AG177+AG631+AG1064+AG1094)/(AF177+AF631+AF1064+AF1094)-1)*'Assumptions - Infrastructure'!$E$249)*('Assumptions - Infrastructure'!AG252/'Assumptions - Infrastructure'!AF252),0)</f>
        <v>1974.2531401631468</v>
      </c>
      <c r="AH1149" s="12">
        <f>IF(AND(OR(AH$19=1,AH$20=1),'Assumptions - Infrastructure'!$E$247&gt;0),AG1149*(1+((AH177+AH631+AH1064+AH1094)/(AG177+AG631+AG1064+AG1094)-1)*'Assumptions - Infrastructure'!$E$249)*('Assumptions - Infrastructure'!AH252/'Assumptions - Infrastructure'!AG252),0)</f>
        <v>2061.0967363915888</v>
      </c>
    </row>
    <row r="1150" spans="1:34" s="20" customFormat="1" ht="14" x14ac:dyDescent="0.2">
      <c r="A1150" s="8"/>
      <c r="B1150" s="30" t="s">
        <v>297</v>
      </c>
      <c r="C1150" s="8"/>
      <c r="D1150" s="8" t="s">
        <v>15</v>
      </c>
      <c r="E1150" s="128" t="str">
        <f t="shared" ref="E1150:AH1150" si="439">IF(E19=1,IF(AND(($E$4+SUM($F$19:$AH$19))=E$4,$E$1149&gt;0),(E1149/$E1149)^(1/SUM($F$19:$AH$19))-1," ")," ")</f>
        <v xml:space="preserve"> </v>
      </c>
      <c r="F1150" s="128" t="str">
        <f t="shared" si="439"/>
        <v xml:space="preserve"> </v>
      </c>
      <c r="G1150" s="128" t="str">
        <f t="shared" si="439"/>
        <v xml:space="preserve"> </v>
      </c>
      <c r="H1150" s="128" t="str">
        <f t="shared" si="439"/>
        <v xml:space="preserve"> </v>
      </c>
      <c r="I1150" s="128" t="str">
        <f t="shared" si="439"/>
        <v xml:space="preserve"> </v>
      </c>
      <c r="J1150" s="128" t="str">
        <f t="shared" si="439"/>
        <v xml:space="preserve"> </v>
      </c>
      <c r="K1150" s="128" t="str">
        <f t="shared" si="439"/>
        <v xml:space="preserve"> </v>
      </c>
      <c r="L1150" s="128" t="str">
        <f t="shared" si="439"/>
        <v xml:space="preserve"> </v>
      </c>
      <c r="M1150" s="128" t="str">
        <f t="shared" si="439"/>
        <v xml:space="preserve"> </v>
      </c>
      <c r="N1150" s="128" t="str">
        <f t="shared" si="439"/>
        <v xml:space="preserve"> </v>
      </c>
      <c r="O1150" s="128" t="str">
        <f t="shared" si="439"/>
        <v xml:space="preserve"> </v>
      </c>
      <c r="P1150" s="128" t="str">
        <f t="shared" si="439"/>
        <v xml:space="preserve"> </v>
      </c>
      <c r="Q1150" s="128" t="str">
        <f t="shared" si="439"/>
        <v xml:space="preserve"> </v>
      </c>
      <c r="R1150" s="128" t="str">
        <f t="shared" si="439"/>
        <v xml:space="preserve"> </v>
      </c>
      <c r="S1150" s="128" t="str">
        <f t="shared" si="439"/>
        <v xml:space="preserve"> </v>
      </c>
      <c r="T1150" s="128" t="str">
        <f t="shared" si="439"/>
        <v xml:space="preserve"> </v>
      </c>
      <c r="U1150" s="128" t="str">
        <f t="shared" si="439"/>
        <v xml:space="preserve"> </v>
      </c>
      <c r="V1150" s="128" t="str">
        <f t="shared" si="439"/>
        <v xml:space="preserve"> </v>
      </c>
      <c r="W1150" s="128" t="str">
        <f t="shared" si="439"/>
        <v xml:space="preserve"> </v>
      </c>
      <c r="X1150" s="128" t="str">
        <f t="shared" si="439"/>
        <v xml:space="preserve"> </v>
      </c>
      <c r="Y1150" s="128" t="str">
        <f t="shared" si="439"/>
        <v xml:space="preserve"> </v>
      </c>
      <c r="Z1150" s="128" t="str">
        <f t="shared" si="439"/>
        <v xml:space="preserve"> </v>
      </c>
      <c r="AA1150" s="128" t="str">
        <f t="shared" si="439"/>
        <v xml:space="preserve"> </v>
      </c>
      <c r="AB1150" s="128" t="str">
        <f t="shared" si="439"/>
        <v xml:space="preserve"> </v>
      </c>
      <c r="AC1150" s="128" t="str">
        <f t="shared" si="439"/>
        <v xml:space="preserve"> </v>
      </c>
      <c r="AD1150" s="128" t="str">
        <f t="shared" si="439"/>
        <v xml:space="preserve"> </v>
      </c>
      <c r="AE1150" s="128" t="str">
        <f t="shared" si="439"/>
        <v xml:space="preserve"> </v>
      </c>
      <c r="AF1150" s="128" t="str">
        <f t="shared" si="439"/>
        <v xml:space="preserve"> </v>
      </c>
      <c r="AG1150" s="128" t="str">
        <f t="shared" si="439"/>
        <v xml:space="preserve"> </v>
      </c>
      <c r="AH1150" s="128">
        <f t="shared" si="439"/>
        <v>5.0053249279012002E-2</v>
      </c>
    </row>
    <row r="1151" spans="1:34" s="20" customFormat="1" ht="14" x14ac:dyDescent="0.2">
      <c r="A1151" s="8"/>
      <c r="B1151" s="8" t="s">
        <v>46</v>
      </c>
      <c r="C1151" s="8"/>
      <c r="D1151" s="8" t="str">
        <f>'Assumptions - General'!$E$27 &amp;" millions"</f>
        <v>R$ millions</v>
      </c>
      <c r="E1151" s="473">
        <f>IF(OR(E$19=1,E$20=1),IF($D$1031=1,$D$1032*'Assumptions - Infrastructure'!E256,'Assumptions - Infrastructure'!E256),0)</f>
        <v>500</v>
      </c>
      <c r="F1151" s="12">
        <f>IF(AND(OR(F$19=1,F$20=1),'Assumptions - Infrastructure'!$E$256&gt;0),IF(OR('Assumptions - Freight'!F18&gt;0,'Assumptions - Passenger'!F18&gt;0,'Assumptions - Infrastructure'!F18&gt;0,'Assumptions - Infrastructure'!F22&gt;0),((E1151*(1+((F189+F636+F1072+F1100)/(E189+E636+E1072+E1100)-1)*'Assumptions - Infrastructure'!$E$258))*('Assumptions - Infrastructure'!F261/'Assumptions - Infrastructure'!E261)),0),0)</f>
        <v>520.0047637195122</v>
      </c>
      <c r="G1151" s="12">
        <f>IF(AND(OR(G$19=1,G$20=1),'Assumptions - Infrastructure'!$E$256&gt;0),IF(OR('Assumptions - Freight'!G18&gt;0,'Assumptions - Passenger'!G18&gt;0,'Assumptions - Infrastructure'!G18&gt;0,'Assumptions - Infrastructure'!G22&gt;0),((F1151*(1+((G189+G636+G1072+G1100)/(F189+F636+F1072+F1100)-1)*'Assumptions - Infrastructure'!$E$258))*('Assumptions - Infrastructure'!G261/'Assumptions - Infrastructure'!F261)),0),0)</f>
        <v>532.37045541158545</v>
      </c>
      <c r="H1151" s="12">
        <f>IF(AND(OR(H$19=1,H$20=1),'Assumptions - Infrastructure'!$E$256&gt;0),IF(OR('Assumptions - Freight'!H18&gt;0,'Assumptions - Passenger'!H18&gt;0,'Assumptions - Infrastructure'!H18&gt;0,'Assumptions - Infrastructure'!H22&gt;0),((G1151*(1+((H189+H636+H1072+H1100)/(G189+G636+G1072+G1100)-1)*'Assumptions - Infrastructure'!$E$258))*('Assumptions - Infrastructure'!H261/'Assumptions - Infrastructure'!G261)),0),0)</f>
        <v>557.81547884908559</v>
      </c>
      <c r="I1151" s="12">
        <f>IF(AND(OR(I$19=1,I$20=1),'Assumptions - Infrastructure'!$E$256&gt;0),IF(OR('Assumptions - Freight'!I18&gt;0,'Assumptions - Passenger'!I18&gt;0,'Assumptions - Infrastructure'!I18&gt;0,'Assumptions - Infrastructure'!I22&gt;0),((H1151*(1+((I189+I636+I1072+I1100)/(H189+H636+H1072+H1100)-1)*'Assumptions - Infrastructure'!$E$258))*('Assumptions - Infrastructure'!I261/'Assumptions - Infrastructure'!H261)),0),0)</f>
        <v>597.49762665015271</v>
      </c>
      <c r="J1151" s="12">
        <f>IF(AND(OR(J$19=1,J$20=1),'Assumptions - Infrastructure'!$E$256&gt;0),IF(OR('Assumptions - Freight'!J18&gt;0,'Assumptions - Passenger'!J18&gt;0,'Assumptions - Infrastructure'!J18&gt;0,'Assumptions - Infrastructure'!J22&gt;0),((I1151*(1+((J189+J636+J1072+J1100)/(I189+I636+I1072+I1100)-1)*'Assumptions - Infrastructure'!$E$258))*('Assumptions - Infrastructure'!J261/'Assumptions - Infrastructure'!I261)),0),0)</f>
        <v>625.47342633011669</v>
      </c>
      <c r="K1151" s="12">
        <f>IF(AND(OR(K$19=1,K$20=1),'Assumptions - Infrastructure'!$E$256&gt;0),IF(OR('Assumptions - Freight'!K18&gt;0,'Assumptions - Passenger'!K18&gt;0,'Assumptions - Infrastructure'!K18&gt;0,'Assumptions - Infrastructure'!K22&gt;0),((J1151*(1+((K189+K636+K1072+K1100)/(J189+J636+J1072+J1100)-1)*'Assumptions - Infrastructure'!$E$258))*('Assumptions - Infrastructure'!K261/'Assumptions - Infrastructure'!J261)),0),0)</f>
        <v>697.9335784303945</v>
      </c>
      <c r="L1151" s="12">
        <f>IF(AND(OR(L$19=1,L$20=1),'Assumptions - Infrastructure'!$E$256&gt;0),IF(OR('Assumptions - Freight'!L18&gt;0,'Assumptions - Passenger'!L18&gt;0,'Assumptions - Infrastructure'!L18&gt;0,'Assumptions - Infrastructure'!L22&gt;0),((K1151*(1+((L189+L636+L1072+L1100)/(K189+K636+K1072+K1100)-1)*'Assumptions - Infrastructure'!$E$258))*('Assumptions - Infrastructure'!L261/'Assumptions - Infrastructure'!K261)),0),0)</f>
        <v>729.06585276996452</v>
      </c>
      <c r="M1151" s="12">
        <f>IF(AND(OR(M$19=1,M$20=1),'Assumptions - Infrastructure'!$E$256&gt;0),IF(OR('Assumptions - Freight'!M18&gt;0,'Assumptions - Passenger'!M18&gt;0,'Assumptions - Infrastructure'!M18&gt;0,'Assumptions - Infrastructure'!M22&gt;0),((L1151*(1+((M189+M636+M1072+M1100)/(L189+L636+L1072+L1100)-1)*'Assumptions - Infrastructure'!$E$258))*('Assumptions - Infrastructure'!M261/'Assumptions - Infrastructure'!L261)),0),0)</f>
        <v>761.4379233493213</v>
      </c>
      <c r="N1151" s="12">
        <f>IF(AND(OR(N$19=1,N$20=1),'Assumptions - Infrastructure'!$E$256&gt;0),IF(OR('Assumptions - Freight'!N18&gt;0,'Assumptions - Passenger'!N18&gt;0,'Assumptions - Infrastructure'!N18&gt;0,'Assumptions - Infrastructure'!N22&gt;0),((M1151*(1+((N189+N636+N1072+N1100)/(M189+M636+M1072+M1100)-1)*'Assumptions - Infrastructure'!$E$258))*('Assumptions - Infrastructure'!N261/'Assumptions - Infrastructure'!M261)),0),0)</f>
        <v>795.09615889594659</v>
      </c>
      <c r="O1151" s="12">
        <f>IF(AND(OR(O$19=1,O$20=1),'Assumptions - Infrastructure'!$E$256&gt;0),IF(OR('Assumptions - Freight'!O18&gt;0,'Assumptions - Passenger'!O18&gt;0,'Assumptions - Infrastructure'!O18&gt;0,'Assumptions - Infrastructure'!O22&gt;0),((N1151*(1+((O189+O636+O1072+O1100)/(N189+N636+N1072+N1100)-1)*'Assumptions - Infrastructure'!$E$258))*('Assumptions - Infrastructure'!O261/'Assumptions - Infrastructure'!N261)),0),0)</f>
        <v>830.08859444435495</v>
      </c>
      <c r="P1151" s="12">
        <f>IF(AND(OR(P$19=1,P$20=1),'Assumptions - Infrastructure'!$E$256&gt;0),IF(OR('Assumptions - Freight'!P18&gt;0,'Assumptions - Passenger'!P18&gt;0,'Assumptions - Infrastructure'!P18&gt;0,'Assumptions - Infrastructure'!P22&gt;0),((O1151*(1+((P189+P636+P1072+P1100)/(O189+O636+O1072+O1100)-1)*'Assumptions - Infrastructure'!$E$258))*('Assumptions - Infrastructure'!P261/'Assumptions - Infrastructure'!O261)),0),0)</f>
        <v>866.46498958266147</v>
      </c>
      <c r="Q1151" s="12">
        <f>IF(AND(OR(Q$19=1,Q$20=1),'Assumptions - Infrastructure'!$E$256&gt;0),IF(OR('Assumptions - Freight'!Q18&gt;0,'Assumptions - Passenger'!Q18&gt;0,'Assumptions - Infrastructure'!Q18&gt;0,'Assumptions - Infrastructure'!Q22&gt;0),((P1151*(1+((Q189+Q636+Q1072+Q1100)/(P189+P636+P1072+P1100)-1)*'Assumptions - Infrastructure'!$E$258))*('Assumptions - Infrastructure'!Q261/'Assumptions - Infrastructure'!P261)),0),0)</f>
        <v>904.27688869426652</v>
      </c>
      <c r="R1151" s="12">
        <f>IF(AND(OR(R$19=1,R$20=1),'Assumptions - Infrastructure'!$E$256&gt;0),IF(OR('Assumptions - Freight'!R18&gt;0,'Assumptions - Passenger'!R18&gt;0,'Assumptions - Infrastructure'!R18&gt;0,'Assumptions - Infrastructure'!R22&gt;0),((Q1151*(1+((R189+R636+R1072+R1100)/(Q189+Q636+Q1072+Q1100)-1)*'Assumptions - Infrastructure'!$E$258))*('Assumptions - Infrastructure'!R261/'Assumptions - Infrastructure'!Q261)),0),0)</f>
        <v>943.57768326194355</v>
      </c>
      <c r="S1151" s="12">
        <f>IF(AND(OR(S$19=1,S$20=1),'Assumptions - Infrastructure'!$E$256&gt;0),IF(OR('Assumptions - Freight'!S18&gt;0,'Assumptions - Passenger'!S18&gt;0,'Assumptions - Infrastructure'!S18&gt;0,'Assumptions - Infrastructure'!S22&gt;0),((R1151*(1+((S189+S636+S1072+S1100)/(R189+R636+R1072+R1100)-1)*'Assumptions - Infrastructure'!$E$258))*('Assumptions - Infrastructure'!S261/'Assumptions - Infrastructure'!R261)),0),0)</f>
        <v>984.42267630385652</v>
      </c>
      <c r="T1151" s="12">
        <f>IF(AND(OR(T$19=1,T$20=1),'Assumptions - Infrastructure'!$E$256&gt;0),IF(OR('Assumptions - Freight'!T18&gt;0,'Assumptions - Passenger'!T18&gt;0,'Assumptions - Infrastructure'!T18&gt;0,'Assumptions - Infrastructure'!T22&gt;0),((S1151*(1+((T189+T636+T1072+T1100)/(S189+S636+S1072+S1100)-1)*'Assumptions - Infrastructure'!$E$258))*('Assumptions - Infrastructure'!T261/'Assumptions - Infrastructure'!S261)),0),0)</f>
        <v>1026.8691490133483</v>
      </c>
      <c r="U1151" s="12">
        <f>IF(AND(OR(U$19=1,U$20=1),'Assumptions - Infrastructure'!$E$256&gt;0),IF(OR('Assumptions - Freight'!U18&gt;0,'Assumptions - Passenger'!U18&gt;0,'Assumptions - Infrastructure'!U18&gt;0,'Assumptions - Infrastructure'!U22&gt;0),((T1151*(1+((U189+U636+U1072+U1100)/(T189+T636+T1072+T1100)-1)*'Assumptions - Infrastructure'!$E$258))*('Assumptions - Infrastructure'!U261/'Assumptions - Infrastructure'!T261)),0),0)</f>
        <v>1070.9764296767362</v>
      </c>
      <c r="V1151" s="12">
        <f>IF(AND(OR(V$19=1,V$20=1),'Assumptions - Infrastructure'!$E$256&gt;0),IF(OR('Assumptions - Freight'!V18&gt;0,'Assumptions - Passenger'!V18&gt;0,'Assumptions - Infrastructure'!V18&gt;0,'Assumptions - Infrastructure'!V22&gt;0),((U1151*(1+((V189+V636+V1072+V1100)/(U189+U636+U1072+U1100)-1)*'Assumptions - Infrastructure'!$E$258))*('Assumptions - Infrastructure'!V261/'Assumptions - Infrastructure'!U261)),0),0)</f>
        <v>1116.8059649458153</v>
      </c>
      <c r="W1151" s="12">
        <f>IF(AND(OR(W$19=1,W$20=1),'Assumptions - Infrastructure'!$E$256&gt;0),IF(OR('Assumptions - Freight'!W18&gt;0,'Assumptions - Passenger'!W18&gt;0,'Assumptions - Infrastructure'!W18&gt;0,'Assumptions - Infrastructure'!W22&gt;0),((V1151*(1+((W189+W636+W1072+W1100)/(V189+V636+V1072+V1100)-1)*'Assumptions - Infrastructure'!$E$258))*('Assumptions - Infrastructure'!W261/'Assumptions - Infrastructure'!V261)),0),0)</f>
        <v>1164.4213935443299</v>
      </c>
      <c r="X1151" s="12">
        <f>IF(AND(OR(X$19=1,X$20=1),'Assumptions - Infrastructure'!$E$256&gt;0),IF(OR('Assumptions - Freight'!X18&gt;0,'Assumptions - Passenger'!X18&gt;0,'Assumptions - Infrastructure'!X18&gt;0,'Assumptions - Infrastructure'!X22&gt;0),((W1151*(1+((X189+X636+X1072+X1100)/(W189+W636+W1072+W1100)-1)*'Assumptions - Infrastructure'!$E$258))*('Assumptions - Infrastructure'!X261/'Assumptions - Infrastructure'!W261)),0),0)</f>
        <v>1213.8886224903044</v>
      </c>
      <c r="Y1151" s="12">
        <f>IF(AND(OR(Y$19=1,Y$20=1),'Assumptions - Infrastructure'!$E$256&gt;0),IF(OR('Assumptions - Freight'!Y18&gt;0,'Assumptions - Passenger'!Y18&gt;0,'Assumptions - Infrastructure'!Y18&gt;0,'Assumptions - Infrastructure'!Y22&gt;0),((X1151*(1+((Y189+Y636+Y1072+Y1100)/(X189+X636+X1072+X1100)-1)*'Assumptions - Infrastructure'!$E$258))*('Assumptions - Infrastructure'!Y261/'Assumptions - Infrastructure'!X261)),0),0)</f>
        <v>1265.2759059188475</v>
      </c>
      <c r="Z1151" s="12">
        <f>IF(AND(OR(Z$19=1,Z$20=1),'Assumptions - Infrastructure'!$E$256&gt;0),IF(OR('Assumptions - Freight'!Z18&gt;0,'Assumptions - Passenger'!Z18&gt;0,'Assumptions - Infrastructure'!Z18&gt;0,'Assumptions - Infrastructure'!Z22&gt;0),((Y1151*(1+((Z189+Z636+Z1072+Z1100)/(Y189+Y636+Y1072+Y1100)-1)*'Assumptions - Infrastructure'!$E$258))*('Assumptions - Infrastructure'!Z261/'Assumptions - Infrastructure'!Y261)),0),0)</f>
        <v>1318.6539265928616</v>
      </c>
      <c r="AA1151" s="12">
        <f>IF(AND(OR(AA$19=1,AA$20=1),'Assumptions - Infrastructure'!$E$256&gt;0),IF(OR('Assumptions - Freight'!AA18&gt;0,'Assumptions - Passenger'!AA18&gt;0,'Assumptions - Infrastructure'!AA18&gt;0,'Assumptions - Infrastructure'!AA22&gt;0),((Z1151*(1+((AA189+AA636+AA1072+AA1100)/(Z189+Z636+Z1072+Z1100)-1)*'Assumptions - Infrastructure'!$E$258))*('Assumptions - Infrastructure'!AA261/'Assumptions - Infrastructure'!Z261)),0),0)</f>
        <v>1374.0958801919901</v>
      </c>
      <c r="AB1151" s="12">
        <f>IF(AND(OR(AB$19=1,AB$20=1),'Assumptions - Infrastructure'!$E$256&gt;0),IF(OR('Assumptions - Freight'!AB18&gt;0,'Assumptions - Passenger'!AB18&gt;0,'Assumptions - Infrastructure'!AB18&gt;0,'Assumptions - Infrastructure'!AB22&gt;0),((AA1151*(1+((AB189+AB636+AB1072+AB1100)/(AA189+AA636+AA1072+AA1100)-1)*'Assumptions - Infrastructure'!$E$258))*('Assumptions - Infrastructure'!AB261/'Assumptions - Infrastructure'!AA261)),0),0)</f>
        <v>1431.6775624731322</v>
      </c>
      <c r="AC1151" s="12">
        <f>IF(AND(OR(AC$19=1,AC$20=1),'Assumptions - Infrastructure'!$E$256&gt;0),IF(OR('Assumptions - Freight'!AC18&gt;0,'Assumptions - Passenger'!AC18&gt;0,'Assumptions - Infrastructure'!AC18&gt;0,'Assumptions - Infrastructure'!AC22&gt;0),((AB1151*(1+((AC189+AC636+AC1072+AC1100)/(AB189+AB636+AB1072+AB1100)-1)*'Assumptions - Infrastructure'!$E$258))*('Assumptions - Infrastructure'!AC261/'Assumptions - Infrastructure'!AB261)),0),0)</f>
        <v>1491.47745939897</v>
      </c>
      <c r="AD1151" s="12">
        <f>IF(AND(OR(AD$19=1,AD$20=1),'Assumptions - Infrastructure'!$E$256&gt;0),IF(OR('Assumptions - Freight'!AD18&gt;0,'Assumptions - Passenger'!AD18&gt;0,'Assumptions - Infrastructure'!AD18&gt;0,'Assumptions - Infrastructure'!AD22&gt;0),((AC1151*(1+((AD189+AD636+AD1072+AD1100)/(AC189+AC636+AC1072+AC1100)-1)*'Assumptions - Infrastructure'!$E$258))*('Assumptions - Infrastructure'!AD261/'Assumptions - Infrastructure'!AC261)),0),0)</f>
        <v>1553.5768403341324</v>
      </c>
      <c r="AE1151" s="12">
        <f>IF(AND(OR(AE$19=1,AE$20=1),'Assumptions - Infrastructure'!$E$256&gt;0),IF(OR('Assumptions - Freight'!AE18&gt;0,'Assumptions - Passenger'!AE18&gt;0,'Assumptions - Infrastructure'!AE18&gt;0,'Assumptions - Infrastructure'!AE22&gt;0),((AD1151*(1+((AE189+AE636+AE1072+AE1100)/(AD189+AD636+AD1072+AD1100)-1)*'Assumptions - Infrastructure'!$E$258))*('Assumptions - Infrastructure'!AE261/'Assumptions - Infrastructure'!AD261)),0),0)</f>
        <v>1618.0598544119455</v>
      </c>
      <c r="AF1151" s="12">
        <f>IF(AND(OR(AF$19=1,AF$20=1),'Assumptions - Infrastructure'!$E$256&gt;0),IF(OR('Assumptions - Freight'!AF18&gt;0,'Assumptions - Passenger'!AF18&gt;0,'Assumptions - Infrastructure'!AF18&gt;0,'Assumptions - Infrastructure'!AF22&gt;0),((AE1151*(1+((AF189+AF636+AF1072+AF1100)/(AE189+AE636+AE1072+AE1100)-1)*'Assumptions - Infrastructure'!$E$258))*('Assumptions - Infrastructure'!AF261/'Assumptions - Infrastructure'!AE261)),0),0)</f>
        <v>1685.0136301781265</v>
      </c>
      <c r="AG1151" s="12">
        <f>IF(AND(OR(AG$19=1,AG$20=1),'Assumptions - Infrastructure'!$E$256&gt;0),IF(OR('Assumptions - Freight'!AG18&gt;0,'Assumptions - Passenger'!AG18&gt;0,'Assumptions - Infrastructure'!AG18&gt;0,'Assumptions - Infrastructure'!AG22&gt;0),((AF1151*(1+((AG189+AG636+AG1072+AG1100)/(AF189+AF636+AF1072+AF1100)-1)*'Assumptions - Infrastructure'!$E$258))*('Assumptions - Infrastructure'!AG261/'Assumptions - Infrastructure'!AF261)),0),0)</f>
        <v>1754.5283786213076</v>
      </c>
      <c r="AH1151" s="12">
        <f>IF(AND(OR(AH$19=1,AH$20=1),'Assumptions - Infrastructure'!$E$256&gt;0),IF(OR('Assumptions - Freight'!AH18&gt;0,'Assumptions - Passenger'!AH18&gt;0,'Assumptions - Infrastructure'!AH18&gt;0,'Assumptions - Infrastructure'!AH22&gt;0),((AG1151*(1+((AH189+AH636+AH1072+AH1100)/(AG189+AG636+AG1072+AG1100)-1)*'Assumptions - Infrastructure'!$E$258))*('Assumptions - Infrastructure'!AH261/'Assumptions - Infrastructure'!AG261)),0),0)</f>
        <v>1826.6974997039199</v>
      </c>
    </row>
    <row r="1152" spans="1:34" s="20" customFormat="1" ht="14" x14ac:dyDescent="0.2">
      <c r="A1152" s="8"/>
      <c r="B1152" s="30" t="s">
        <v>297</v>
      </c>
      <c r="C1152" s="8"/>
      <c r="D1152" s="8" t="s">
        <v>15</v>
      </c>
      <c r="E1152" s="128" t="str">
        <f t="shared" ref="E1152:AH1152" si="440">IF(E19=1,IF(AND(($E$4+SUM($F$19:$AH$19))=E$4,$E$1151&gt;0),(E1151/$E1151)^(1/SUM($F$19:$AH$19))-1," ")," ")</f>
        <v xml:space="preserve"> </v>
      </c>
      <c r="F1152" s="128" t="str">
        <f t="shared" si="440"/>
        <v xml:space="preserve"> </v>
      </c>
      <c r="G1152" s="128" t="str">
        <f t="shared" si="440"/>
        <v xml:space="preserve"> </v>
      </c>
      <c r="H1152" s="128" t="str">
        <f t="shared" si="440"/>
        <v xml:space="preserve"> </v>
      </c>
      <c r="I1152" s="128" t="str">
        <f t="shared" si="440"/>
        <v xml:space="preserve"> </v>
      </c>
      <c r="J1152" s="128" t="str">
        <f t="shared" si="440"/>
        <v xml:space="preserve"> </v>
      </c>
      <c r="K1152" s="128" t="str">
        <f t="shared" si="440"/>
        <v xml:space="preserve"> </v>
      </c>
      <c r="L1152" s="128" t="str">
        <f t="shared" si="440"/>
        <v xml:space="preserve"> </v>
      </c>
      <c r="M1152" s="128" t="str">
        <f t="shared" si="440"/>
        <v xml:space="preserve"> </v>
      </c>
      <c r="N1152" s="128" t="str">
        <f t="shared" si="440"/>
        <v xml:space="preserve"> </v>
      </c>
      <c r="O1152" s="128" t="str">
        <f t="shared" si="440"/>
        <v xml:space="preserve"> </v>
      </c>
      <c r="P1152" s="128" t="str">
        <f t="shared" si="440"/>
        <v xml:space="preserve"> </v>
      </c>
      <c r="Q1152" s="128" t="str">
        <f t="shared" si="440"/>
        <v xml:space="preserve"> </v>
      </c>
      <c r="R1152" s="128" t="str">
        <f t="shared" si="440"/>
        <v xml:space="preserve"> </v>
      </c>
      <c r="S1152" s="128" t="str">
        <f t="shared" si="440"/>
        <v xml:space="preserve"> </v>
      </c>
      <c r="T1152" s="128" t="str">
        <f t="shared" si="440"/>
        <v xml:space="preserve"> </v>
      </c>
      <c r="U1152" s="128" t="str">
        <f t="shared" si="440"/>
        <v xml:space="preserve"> </v>
      </c>
      <c r="V1152" s="128" t="str">
        <f t="shared" si="440"/>
        <v xml:space="preserve"> </v>
      </c>
      <c r="W1152" s="128" t="str">
        <f t="shared" si="440"/>
        <v xml:space="preserve"> </v>
      </c>
      <c r="X1152" s="128" t="str">
        <f t="shared" si="440"/>
        <v xml:space="preserve"> </v>
      </c>
      <c r="Y1152" s="128" t="str">
        <f t="shared" si="440"/>
        <v xml:space="preserve"> </v>
      </c>
      <c r="Z1152" s="128" t="str">
        <f t="shared" si="440"/>
        <v xml:space="preserve"> </v>
      </c>
      <c r="AA1152" s="128" t="str">
        <f t="shared" si="440"/>
        <v xml:space="preserve"> </v>
      </c>
      <c r="AB1152" s="128" t="str">
        <f t="shared" si="440"/>
        <v xml:space="preserve"> </v>
      </c>
      <c r="AC1152" s="128" t="str">
        <f t="shared" si="440"/>
        <v xml:space="preserve"> </v>
      </c>
      <c r="AD1152" s="128" t="str">
        <f t="shared" si="440"/>
        <v xml:space="preserve"> </v>
      </c>
      <c r="AE1152" s="128" t="str">
        <f t="shared" si="440"/>
        <v xml:space="preserve"> </v>
      </c>
      <c r="AF1152" s="128" t="str">
        <f t="shared" si="440"/>
        <v xml:space="preserve"> </v>
      </c>
      <c r="AG1152" s="128" t="str">
        <f t="shared" si="440"/>
        <v xml:space="preserve"> </v>
      </c>
      <c r="AH1152" s="128">
        <f t="shared" si="440"/>
        <v>4.5690908257106866E-2</v>
      </c>
    </row>
    <row r="1153" spans="1:34" s="20" customFormat="1" ht="14" x14ac:dyDescent="0.2">
      <c r="A1153" s="8"/>
      <c r="B1153" s="8" t="s">
        <v>218</v>
      </c>
      <c r="C1153" s="8"/>
      <c r="D1153" s="8" t="str">
        <f>'Assumptions - General'!$E$27 &amp;" millions"</f>
        <v>R$ millions</v>
      </c>
      <c r="E1153" s="473">
        <f>IF(OR(E$19=1,E$20=1),IF($D$1031=1,$D$1032*'Assumptions - Infrastructure'!E265,'Assumptions - Infrastructure'!E265),0)</f>
        <v>500</v>
      </c>
      <c r="F1153" s="12">
        <f>IF(AND(OR(F$19=1,F$20=1),'Assumptions - Infrastructure'!$E$265&gt;0),IF(OR('Assumptions - Freight'!F16&gt;0,'Assumptions - Passenger'!F16&gt;0,'Assumptions - Infrastructure'!F16&gt;0,'Assumptions - Infrastructure'!F20&gt;0),((E1153*(1+((F201+F641+F1080+F1105)/(E201+E641+E1080+E1105)-1)*'Assumptions - Infrastructure'!$E$267))*('Assumptions - Infrastructure'!F270/'Assumptions - Infrastructure'!E270)),0),0)</f>
        <v>526.28525152439022</v>
      </c>
      <c r="G1153" s="12">
        <f>IF(AND(OR(G$19=1,G$20=1),'Assumptions - Infrastructure'!$E$265&gt;0),IF(OR('Assumptions - Freight'!G16&gt;0,'Assumptions - Passenger'!G16&gt;0,'Assumptions - Infrastructure'!G16&gt;0,'Assumptions - Infrastructure'!G20&gt;0),((F1153*(1+((G201+G641+G1080+G1105)/(F201+F641+F1080+F1105)-1)*'Assumptions - Infrastructure'!$E$267))*('Assumptions - Infrastructure'!G270/'Assumptions - Infrastructure'!F270)),0),0)</f>
        <v>545.30826028963418</v>
      </c>
      <c r="H1153" s="12">
        <f>IF(AND(OR(H$19=1,H$20=1),'Assumptions - Infrastructure'!$E$265&gt;0),IF(OR('Assumptions - Freight'!H16&gt;0,'Assumptions - Passenger'!H16&gt;0,'Assumptions - Infrastructure'!H16&gt;0,'Assumptions - Infrastructure'!H20&gt;0),((G1153*(1+((H201+H641+H1080+H1105)/(G201+G641+G1080+G1105)-1)*'Assumptions - Infrastructure'!$E$267))*('Assumptions - Infrastructure'!H270/'Assumptions - Infrastructure'!G270)),0),0)</f>
        <v>577.80438738567079</v>
      </c>
      <c r="I1153" s="12">
        <f>IF(AND(OR(I$19=1,I$20=1),'Assumptions - Infrastructure'!$E$265&gt;0),IF(OR('Assumptions - Freight'!I16&gt;0,'Assumptions - Passenger'!I16&gt;0,'Assumptions - Infrastructure'!I16&gt;0,'Assumptions - Infrastructure'!I20&gt;0),((H1153*(1+((I201+I641+I1080+I1105)/(H201+H641+H1080+H1105)-1)*'Assumptions - Infrastructure'!$E$267))*('Assumptions - Infrastructure'!I270/'Assumptions - Infrastructure'!H270)),0),0)</f>
        <v>624.94906104039649</v>
      </c>
      <c r="J1153" s="12">
        <f>IF(AND(OR(J$19=1,J$20=1),'Assumptions - Infrastructure'!$E$265&gt;0),IF(OR('Assumptions - Freight'!J16&gt;0,'Assumptions - Passenger'!J16&gt;0,'Assumptions - Infrastructure'!J16&gt;0,'Assumptions - Infrastructure'!J20&gt;0),((I1153*(1+((J201+J641+J1080+J1105)/(I201+I641+I1080+I1105)-1)*'Assumptions - Infrastructure'!$E$267))*('Assumptions - Infrastructure'!J270/'Assumptions - Infrastructure'!I270)),0),0)</f>
        <v>660.81714810755534</v>
      </c>
      <c r="K1153" s="12">
        <f>IF(AND(OR(K$19=1,K$20=1),'Assumptions - Infrastructure'!$E$265&gt;0),IF(OR('Assumptions - Freight'!K16&gt;0,'Assumptions - Passenger'!K16&gt;0,'Assumptions - Infrastructure'!K16&gt;0,'Assumptions - Infrastructure'!K20&gt;0),((J1153*(1+((K201+K641+K1080+K1105)/(J201+J641+J1080+J1105)-1)*'Assumptions - Infrastructure'!$E$267))*('Assumptions - Infrastructure'!K270/'Assumptions - Infrastructure'!J270)),0),0)</f>
        <v>747.07902356192301</v>
      </c>
      <c r="L1153" s="12">
        <f>IF(AND(OR(L$19=1,L$20=1),'Assumptions - Infrastructure'!$E$265&gt;0),IF(OR('Assumptions - Freight'!L16&gt;0,'Assumptions - Passenger'!L16&gt;0,'Assumptions - Infrastructure'!L16&gt;0,'Assumptions - Infrastructure'!L20&gt;0),((K1153*(1+((L201+L641+L1080+L1105)/(K201+K641+K1080+K1105)-1)*'Assumptions - Infrastructure'!$E$267))*('Assumptions - Infrastructure'!L270/'Assumptions - Infrastructure'!K270)),0),0)</f>
        <v>788.12229600301816</v>
      </c>
      <c r="M1153" s="12">
        <f>IF(AND(OR(M$19=1,M$20=1),'Assumptions - Infrastructure'!$E$265&gt;0),IF(OR('Assumptions - Freight'!M16&gt;0,'Assumptions - Passenger'!M16&gt;0,'Assumptions - Infrastructure'!M16&gt;0,'Assumptions - Infrastructure'!M20&gt;0),((L1153*(1+((M201+M641+M1080+M1105)/(L201+L641+L1080+L1105)-1)*'Assumptions - Infrastructure'!$E$267))*('Assumptions - Infrastructure'!M270/'Assumptions - Infrastructure'!L270)),0),0)</f>
        <v>830.95579366937295</v>
      </c>
      <c r="N1153" s="12">
        <f>IF(AND(OR(N$19=1,N$20=1),'Assumptions - Infrastructure'!$E$265&gt;0),IF(OR('Assumptions - Freight'!N16&gt;0,'Assumptions - Passenger'!N16&gt;0,'Assumptions - Infrastructure'!N16&gt;0,'Assumptions - Infrastructure'!N20&gt;0),((M1153*(1+((N201+N641+N1080+N1105)/(M201+M641+M1080+M1105)-1)*'Assumptions - Infrastructure'!$E$267))*('Assumptions - Infrastructure'!N270/'Assumptions - Infrastructure'!M270)),0),0)</f>
        <v>875.6499911293065</v>
      </c>
      <c r="O1153" s="12">
        <f>IF(AND(OR(O$19=1,O$20=1),'Assumptions - Infrastructure'!$E$265&gt;0),IF(OR('Assumptions - Freight'!O16&gt;0,'Assumptions - Passenger'!O16&gt;0,'Assumptions - Infrastructure'!O16&gt;0,'Assumptions - Infrastructure'!O20&gt;0),((N1153*(1+((O201+O641+O1080+O1105)/(N201+N641+N1080+N1105)-1)*'Assumptions - Infrastructure'!$E$267))*('Assumptions - Infrastructure'!O270/'Assumptions - Infrastructure'!N270)),0),0)</f>
        <v>922.27798022253353</v>
      </c>
      <c r="P1153" s="12">
        <f>IF(AND(OR(P$19=1,P$20=1),'Assumptions - Infrastructure'!$E$265&gt;0),IF(OR('Assumptions - Freight'!P16&gt;0,'Assumptions - Passenger'!P16&gt;0,'Assumptions - Infrastructure'!P16&gt;0,'Assumptions - Infrastructure'!P20&gt;0),((O1153*(1+((P201+P641+P1080+P1105)/(O201+O641+O1080+O1105)-1)*'Assumptions - Infrastructure'!$E$267))*('Assumptions - Infrastructure'!P270/'Assumptions - Infrastructure'!O270)),0),0)</f>
        <v>970.91556366933787</v>
      </c>
      <c r="Q1153" s="12">
        <f>IF(AND(OR(Q$19=1,Q$20=1),'Assumptions - Infrastructure'!$E$265&gt;0),IF(OR('Assumptions - Freight'!Q16&gt;0,'Assumptions - Passenger'!Q16&gt;0,'Assumptions - Infrastructure'!Q16&gt;0,'Assumptions - Infrastructure'!Q20&gt;0),((P1153*(1+((Q201+Q641+Q1080+Q1105)/(P201+P641+P1080+P1105)-1)*'Assumptions - Infrastructure'!$E$267))*('Assumptions - Infrastructure'!Q270/'Assumptions - Infrastructure'!P270)),0),0)</f>
        <v>1021.6413519407502</v>
      </c>
      <c r="R1153" s="12">
        <f>IF(AND(OR(R$19=1,R$20=1),'Assumptions - Infrastructure'!$E$265&gt;0),IF(OR('Assumptions - Freight'!R16&gt;0,'Assumptions - Passenger'!R16&gt;0,'Assumptions - Infrastructure'!R16&gt;0,'Assumptions - Infrastructure'!R20&gt;0),((Q1153*(1+((R201+R641+R1080+R1105)/(Q201+Q641+Q1080+Q1105)-1)*'Assumptions - Infrastructure'!$E$267))*('Assumptions - Infrastructure'!R270/'Assumptions - Infrastructure'!Q270)),0),0)</f>
        <v>1074.5368635011448</v>
      </c>
      <c r="S1153" s="12">
        <f>IF(AND(OR(S$19=1,S$20=1),'Assumptions - Infrastructure'!$E$265&gt;0),IF(OR('Assumptions - Freight'!S16&gt;0,'Assumptions - Passenger'!S16&gt;0,'Assumptions - Infrastructure'!S16&gt;0,'Assumptions - Infrastructure'!S20&gt;0),((R1153*(1+((S201+S641+S1080+S1105)/(R201+R641+R1080+R1105)-1)*'Assumptions - Infrastructure'!$E$267))*('Assumptions - Infrastructure'!S270/'Assumptions - Infrastructure'!R270)),0),0)</f>
        <v>1129.6866285384165</v>
      </c>
      <c r="T1153" s="12">
        <f>IF(AND(OR(T$19=1,T$20=1),'Assumptions - Infrastructure'!$E$265&gt;0),IF(OR('Assumptions - Freight'!T16&gt;0,'Assumptions - Passenger'!T16&gt;0,'Assumptions - Infrastructure'!T16&gt;0,'Assumptions - Infrastructure'!T20&gt;0),((S1153*(1+((T201+T641+T1080+T1105)/(S201+S641+S1080+S1105)-1)*'Assumptions - Infrastructure'!$E$267))*('Assumptions - Infrastructure'!T270/'Assumptions - Infrastructure'!S270)),0),0)</f>
        <v>1187.1782963007736</v>
      </c>
      <c r="U1153" s="12">
        <f>IF(AND(OR(U$19=1,U$20=1),'Assumptions - Infrastructure'!$E$265&gt;0),IF(OR('Assumptions - Freight'!U16&gt;0,'Assumptions - Passenger'!U16&gt;0,'Assumptions - Infrastructure'!U16&gt;0,'Assumptions - Infrastructure'!U20&gt;0),((T1153*(1+((U201+U641+U1080+U1105)/(T201+T641+T1080+T1105)-1)*'Assumptions - Infrastructure'!$E$267))*('Assumptions - Infrastructure'!U270/'Assumptions - Infrastructure'!T270)),0),0)</f>
        <v>1247.1027461631872</v>
      </c>
      <c r="V1153" s="12">
        <f>IF(AND(OR(V$19=1,V$20=1),'Assumptions - Infrastructure'!$E$265&gt;0),IF(OR('Assumptions - Freight'!V16&gt;0,'Assumptions - Passenger'!V16&gt;0,'Assumptions - Infrastructure'!V16&gt;0,'Assumptions - Infrastructure'!V20&gt;0),((U1153*(1+((V201+V641+V1080+V1105)/(U201+U641+U1080+U1105)-1)*'Assumptions - Infrastructure'!$E$267))*('Assumptions - Infrastructure'!V270/'Assumptions - Infrastructure'!U270)),0),0)</f>
        <v>1309.5542025506752</v>
      </c>
      <c r="W1153" s="12">
        <f>IF(AND(OR(W$19=1,W$20=1),'Assumptions - Infrastructure'!$E$265&gt;0),IF(OR('Assumptions - Freight'!W16&gt;0,'Assumptions - Passenger'!W16&gt;0,'Assumptions - Infrastructure'!W16&gt;0,'Assumptions - Infrastructure'!W20&gt;0),((V1153*(1+((W201+W641+W1080+W1105)/(V201+V641+V1080+V1105)-1)*'Assumptions - Infrastructure'!$E$267))*('Assumptions - Infrastructure'!W270/'Assumptions - Infrastructure'!V270)),0),0)</f>
        <v>1374.6303538498655</v>
      </c>
      <c r="X1153" s="12">
        <f>IF(AND(OR(X$19=1,X$20=1),'Assumptions - Infrastructure'!$E$265&gt;0),IF(OR('Assumptions - Freight'!X16&gt;0,'Assumptions - Passenger'!X16&gt;0,'Assumptions - Infrastructure'!X16&gt;0,'Assumptions - Infrastructure'!X20&gt;0),((W1153*(1+((X201+X641+X1080+X1105)/(W201+W641+W1080+W1105)-1)*'Assumptions - Infrastructure'!$E$267))*('Assumptions - Infrastructure'!X270/'Assumptions - Infrastructure'!W270)),0),0)</f>
        <v>1442.4324754447118</v>
      </c>
      <c r="Y1153" s="12">
        <f>IF(AND(OR(Y$19=1,Y$20=1),'Assumptions - Infrastructure'!$E$265&gt;0),IF(OR('Assumptions - Freight'!Y16&gt;0,'Assumptions - Passenger'!Y16&gt;0,'Assumptions - Infrastructure'!Y16&gt;0,'Assumptions - Infrastructure'!Y20&gt;0),((X1153*(1+((Y201+Y641+Y1080+Y1105)/(X201+X641+X1080+X1105)-1)*'Assumptions - Infrastructure'!$E$267))*('Assumptions - Infrastructure'!Y270/'Assumptions - Infrastructure'!X270)),0),0)</f>
        <v>1513.0655570167839</v>
      </c>
      <c r="Z1153" s="12">
        <f>IF(AND(OR(Z$19=1,Z$20=1),'Assumptions - Infrastructure'!$E$265&gt;0),IF(OR('Assumptions - Freight'!Z16&gt;0,'Assumptions - Passenger'!Z16&gt;0,'Assumptions - Infrastructure'!Z16&gt;0,'Assumptions - Infrastructure'!Z20&gt;0),((Y1153*(1+((Z201+Z641+Z1080+Z1105)/(Y201+Y641+Y1080+Y1105)-1)*'Assumptions - Infrastructure'!$E$267))*('Assumptions - Infrastructure'!Z270/'Assumptions - Infrastructure'!Y270)),0),0)</f>
        <v>1586.6384342552801</v>
      </c>
      <c r="AA1153" s="12">
        <f>IF(AND(OR(AA$19=1,AA$20=1),'Assumptions - Infrastructure'!$E$265&gt;0),IF(OR('Assumptions - Freight'!AA16&gt;0,'Assumptions - Passenger'!AA16&gt;0,'Assumptions - Infrastructure'!AA16&gt;0,'Assumptions - Infrastructure'!AA20&gt;0),((Z1153*(1+((AA201+AA641+AA1080+AA1105)/(Z201+Z641+Z1080+Z1105)-1)*'Assumptions - Infrastructure'!$E$267))*('Assumptions - Infrastructure'!AA270/'Assumptions - Infrastructure'!Z270)),0),0)</f>
        <v>1663.2639251267708</v>
      </c>
      <c r="AB1153" s="12">
        <f>IF(AND(OR(AB$19=1,AB$20=1),'Assumptions - Infrastructure'!$E$265&gt;0),IF(OR('Assumptions - Freight'!AB16&gt;0,'Assumptions - Passenger'!AB16&gt;0,'Assumptions - Infrastructure'!AB16&gt;0,'Assumptions - Infrastructure'!AB20&gt;0),((AA1153*(1+((AB201+AB641+AB1080+AB1105)/(AA201+AA641+AA1080+AA1105)-1)*'Assumptions - Infrastructure'!$E$267))*('Assumptions - Infrastructure'!AB270/'Assumptions - Infrastructure'!AA270)),0),0)</f>
        <v>1743.0589708597213</v>
      </c>
      <c r="AC1153" s="12">
        <f>IF(AND(OR(AC$19=1,AC$20=1),'Assumptions - Infrastructure'!$E$265&gt;0),IF(OR('Assumptions - Freight'!AC16&gt;0,'Assumptions - Passenger'!AC16&gt;0,'Assumptions - Infrastructure'!AC16&gt;0,'Assumptions - Infrastructure'!AC20&gt;0),((AB1153*(1+((AC201+AC641+AC1080+AC1105)/(AB201+AB641+AB1080+AB1105)-1)*'Assumptions - Infrastructure'!$E$267))*('Assumptions - Infrastructure'!AC270/'Assumptions - Infrastructure'!AB270)),0),0)</f>
        <v>1826.1447818040347</v>
      </c>
      <c r="AD1153" s="12">
        <f>IF(AND(OR(AD$19=1,AD$20=1),'Assumptions - Infrastructure'!$E$265&gt;0),IF(OR('Assumptions - Freight'!AD16&gt;0,'Assumptions - Passenger'!AD16&gt;0,'Assumptions - Infrastructure'!AD16&gt;0,'Assumptions - Infrastructure'!AD20&gt;0),((AC1153*(1+((AD201+AD641+AD1080+AD1105)/(AC201+AC641+AC1080+AC1105)-1)*'Assumptions - Infrastructure'!$E$267))*('Assumptions - Infrastructure'!AD270/'Assumptions - Infrastructure'!AC270)),0),0)</f>
        <v>1912.6469883312334</v>
      </c>
      <c r="AE1153" s="12">
        <f>IF(AND(OR(AE$19=1,AE$20=1),'Assumptions - Infrastructure'!$E$265&gt;0),IF(OR('Assumptions - Freight'!AE16&gt;0,'Assumptions - Passenger'!AE16&gt;0,'Assumptions - Infrastructure'!AE16&gt;0,'Assumptions - Infrastructure'!AE20&gt;0),((AD1153*(1+((AE201+AE641+AE1080+AE1105)/(AD201+AD641+AD1080+AD1105)-1)*'Assumptions - Infrastructure'!$E$267))*('Assumptions - Infrastructure'!AE270/'Assumptions - Infrastructure'!AD270)),0),0)</f>
        <v>2002.6957969464402</v>
      </c>
      <c r="AF1153" s="12">
        <f>IF(AND(OR(AF$19=1,AF$20=1),'Assumptions - Infrastructure'!$E$265&gt;0),IF(OR('Assumptions - Freight'!AF16&gt;0,'Assumptions - Passenger'!AF16&gt;0,'Assumptions - Infrastructure'!AF16&gt;0,'Assumptions - Infrastructure'!AF20&gt;0),((AE1153*(1+((AF201+AF641+AF1080+AF1105)/(AE201+AE641+AE1080+AE1105)-1)*'Assumptions - Infrastructure'!$E$267))*('Assumptions - Infrastructure'!AF270/'Assumptions - Infrastructure'!AE270)),0),0)</f>
        <v>2096.4261517890614</v>
      </c>
      <c r="AG1153" s="12">
        <f>IF(AND(OR(AG$19=1,AG$20=1),'Assumptions - Infrastructure'!$E$265&gt;0),IF(OR('Assumptions - Freight'!AG16&gt;0,'Assumptions - Passenger'!AG16&gt;0,'Assumptions - Infrastructure'!AG16&gt;0,'Assumptions - Infrastructure'!AG20&gt;0),((AF1153*(1+((AG201+AG641+AG1080+AG1105)/(AF201+AF641+AF1080+AF1105)-1)*'Assumptions - Infrastructure'!$E$267))*('Assumptions - Infrastructure'!AG270/'Assumptions - Infrastructure'!AF270)),0),0)</f>
        <v>2193.9779017049882</v>
      </c>
      <c r="AH1153" s="12">
        <f>IF(AND(OR(AH$19=1,AH$20=1),'Assumptions - Infrastructure'!$E$265&gt;0),IF(OR('Assumptions - Freight'!AH16&gt;0,'Assumptions - Passenger'!AH16&gt;0,'Assumptions - Infrastructure'!AH16&gt;0,'Assumptions - Infrastructure'!AH20&gt;0),((AG1153*(1+((AH201+AH641+AH1080+AH1105)/(AG201+AG641+AG1080+AG1105)-1)*'Assumptions - Infrastructure'!$E$267))*('Assumptions - Infrastructure'!AH270/'Assumptions - Infrastructure'!AG270)),0),0)</f>
        <v>2295.4959730792598</v>
      </c>
    </row>
    <row r="1154" spans="1:34" s="20" customFormat="1" ht="14" x14ac:dyDescent="0.2">
      <c r="A1154" s="8"/>
      <c r="B1154" s="30" t="s">
        <v>297</v>
      </c>
      <c r="C1154" s="8"/>
      <c r="D1154" s="8" t="s">
        <v>15</v>
      </c>
      <c r="E1154" s="128" t="str">
        <f t="shared" ref="E1154:AH1154" si="441">IF(E19=1,IF(AND(($E$4+SUM($F$19:$AH$19))=E$4,$E$1153&gt;0),(E1153/$E1153)^(1/SUM($F$19:$AH$19))-1," ")," ")</f>
        <v xml:space="preserve"> </v>
      </c>
      <c r="F1154" s="128" t="str">
        <f t="shared" si="441"/>
        <v xml:space="preserve"> </v>
      </c>
      <c r="G1154" s="128" t="str">
        <f t="shared" si="441"/>
        <v xml:space="preserve"> </v>
      </c>
      <c r="H1154" s="128" t="str">
        <f t="shared" si="441"/>
        <v xml:space="preserve"> </v>
      </c>
      <c r="I1154" s="128" t="str">
        <f t="shared" si="441"/>
        <v xml:space="preserve"> </v>
      </c>
      <c r="J1154" s="128" t="str">
        <f t="shared" si="441"/>
        <v xml:space="preserve"> </v>
      </c>
      <c r="K1154" s="128" t="str">
        <f t="shared" si="441"/>
        <v xml:space="preserve"> </v>
      </c>
      <c r="L1154" s="128" t="str">
        <f t="shared" si="441"/>
        <v xml:space="preserve"> </v>
      </c>
      <c r="M1154" s="128" t="str">
        <f t="shared" si="441"/>
        <v xml:space="preserve"> </v>
      </c>
      <c r="N1154" s="128" t="str">
        <f t="shared" si="441"/>
        <v xml:space="preserve"> </v>
      </c>
      <c r="O1154" s="128" t="str">
        <f t="shared" si="441"/>
        <v xml:space="preserve"> </v>
      </c>
      <c r="P1154" s="128" t="str">
        <f t="shared" si="441"/>
        <v xml:space="preserve"> </v>
      </c>
      <c r="Q1154" s="128" t="str">
        <f t="shared" si="441"/>
        <v xml:space="preserve"> </v>
      </c>
      <c r="R1154" s="128" t="str">
        <f t="shared" si="441"/>
        <v xml:space="preserve"> </v>
      </c>
      <c r="S1154" s="128" t="str">
        <f t="shared" si="441"/>
        <v xml:space="preserve"> </v>
      </c>
      <c r="T1154" s="128" t="str">
        <f t="shared" si="441"/>
        <v xml:space="preserve"> </v>
      </c>
      <c r="U1154" s="128" t="str">
        <f t="shared" si="441"/>
        <v xml:space="preserve"> </v>
      </c>
      <c r="V1154" s="128" t="str">
        <f t="shared" si="441"/>
        <v xml:space="preserve"> </v>
      </c>
      <c r="W1154" s="128" t="str">
        <f t="shared" si="441"/>
        <v xml:space="preserve"> </v>
      </c>
      <c r="X1154" s="128" t="str">
        <f t="shared" si="441"/>
        <v xml:space="preserve"> </v>
      </c>
      <c r="Y1154" s="128" t="str">
        <f t="shared" si="441"/>
        <v xml:space="preserve"> </v>
      </c>
      <c r="Z1154" s="128" t="str">
        <f t="shared" si="441"/>
        <v xml:space="preserve"> </v>
      </c>
      <c r="AA1154" s="128" t="str">
        <f t="shared" si="441"/>
        <v xml:space="preserve"> </v>
      </c>
      <c r="AB1154" s="128" t="str">
        <f t="shared" si="441"/>
        <v xml:space="preserve"> </v>
      </c>
      <c r="AC1154" s="128" t="str">
        <f t="shared" si="441"/>
        <v xml:space="preserve"> </v>
      </c>
      <c r="AD1154" s="128" t="str">
        <f t="shared" si="441"/>
        <v xml:space="preserve"> </v>
      </c>
      <c r="AE1154" s="128" t="str">
        <f t="shared" si="441"/>
        <v xml:space="preserve"> </v>
      </c>
      <c r="AF1154" s="128" t="str">
        <f t="shared" si="441"/>
        <v xml:space="preserve"> </v>
      </c>
      <c r="AG1154" s="128" t="str">
        <f t="shared" si="441"/>
        <v xml:space="preserve"> </v>
      </c>
      <c r="AH1154" s="128">
        <f t="shared" si="441"/>
        <v>5.3960568691034272E-2</v>
      </c>
    </row>
    <row r="1155" spans="1:34" s="20" customFormat="1" ht="14" x14ac:dyDescent="0.2">
      <c r="A1155" s="8"/>
      <c r="B1155" s="8" t="s">
        <v>42</v>
      </c>
      <c r="C1155" s="8"/>
      <c r="D1155" s="8" t="str">
        <f>'Assumptions - General'!$E$27 &amp;" millions"</f>
        <v>R$ millions</v>
      </c>
      <c r="E1155" s="473">
        <f>IF(OR(E$19=1,E$20=1),'Assumptions - Infrastructure'!E274,0)</f>
        <v>500</v>
      </c>
      <c r="F1155" s="12">
        <f>IF(OR(F$19=1,F$20=1),'Assumptions - Infrastructure'!F275*'Assumptions - Infrastructure'!F280/1000000,0)</f>
        <v>515</v>
      </c>
      <c r="G1155" s="12">
        <f>IF(OR(G$19=1,G$20=1),'Assumptions - Infrastructure'!G275*'Assumptions - Infrastructure'!G280/1000000,0)</f>
        <v>530.45000000000005</v>
      </c>
      <c r="H1155" s="12">
        <f>IF(OR(H$19=1,H$20=1),'Assumptions - Infrastructure'!H275*'Assumptions - Infrastructure'!H280/1000000,0)</f>
        <v>546.36350000000004</v>
      </c>
      <c r="I1155" s="12">
        <f>IF(OR(I$19=1,I$20=1),'Assumptions - Infrastructure'!I275*'Assumptions - Infrastructure'!I280/1000000,0)</f>
        <v>562.75440500000002</v>
      </c>
      <c r="J1155" s="12">
        <f>IF(OR(J$19=1,J$20=1),'Assumptions - Infrastructure'!J275*'Assumptions - Infrastructure'!J280/1000000,0)</f>
        <v>579.63703715000008</v>
      </c>
      <c r="K1155" s="12">
        <f>IF(OR(K$19=1,K$20=1),'Assumptions - Infrastructure'!K275*'Assumptions - Infrastructure'!K280/1000000,0)</f>
        <v>597.02614826449997</v>
      </c>
      <c r="L1155" s="12">
        <f>IF(OR(L$19=1,L$20=1),'Assumptions - Infrastructure'!L275*'Assumptions - Infrastructure'!L280/1000000,0)</f>
        <v>614.93693271243512</v>
      </c>
      <c r="M1155" s="12">
        <f>IF(OR(M$19=1,M$20=1),'Assumptions - Infrastructure'!M275*'Assumptions - Infrastructure'!M280/1000000,0)</f>
        <v>633.38504069380815</v>
      </c>
      <c r="N1155" s="12">
        <f>IF(OR(N$19=1,N$20=1),'Assumptions - Infrastructure'!N275*'Assumptions - Infrastructure'!N280/1000000,0)</f>
        <v>652.38659191462239</v>
      </c>
      <c r="O1155" s="12">
        <f>IF(OR(O$19=1,O$20=1),'Assumptions - Infrastructure'!O275*'Assumptions - Infrastructure'!O280/1000000,0)</f>
        <v>671.95818967206105</v>
      </c>
      <c r="P1155" s="12">
        <f>IF(OR(P$19=1,P$20=1),'Assumptions - Infrastructure'!P275*'Assumptions - Infrastructure'!P280/1000000,0)</f>
        <v>692.11693536222288</v>
      </c>
      <c r="Q1155" s="12">
        <f>IF(OR(Q$19=1,Q$20=1),'Assumptions - Infrastructure'!Q275*'Assumptions - Infrastructure'!Q280/1000000,0)</f>
        <v>712.88044342308967</v>
      </c>
      <c r="R1155" s="12">
        <f>IF(OR(R$19=1,R$20=1),'Assumptions - Infrastructure'!R275*'Assumptions - Infrastructure'!R280/1000000,0)</f>
        <v>734.2668567257823</v>
      </c>
      <c r="S1155" s="12">
        <f>IF(OR(S$19=1,S$20=1),'Assumptions - Infrastructure'!S275*'Assumptions - Infrastructure'!S280/1000000,0)</f>
        <v>756.29486242755581</v>
      </c>
      <c r="T1155" s="12">
        <f>IF(OR(T$19=1,T$20=1),'Assumptions - Infrastructure'!T275*'Assumptions - Infrastructure'!T280/1000000,0)</f>
        <v>778.98370830038255</v>
      </c>
      <c r="U1155" s="12">
        <f>IF(OR(U$19=1,U$20=1),'Assumptions - Infrastructure'!U275*'Assumptions - Infrastructure'!U280/1000000,0)</f>
        <v>802.35321954939388</v>
      </c>
      <c r="V1155" s="12">
        <f>IF(OR(V$19=1,V$20=1),'Assumptions - Infrastructure'!V275*'Assumptions - Infrastructure'!V280/1000000,0)</f>
        <v>826.42381613587577</v>
      </c>
      <c r="W1155" s="12">
        <f>IF(OR(W$19=1,W$20=1),'Assumptions - Infrastructure'!W275*'Assumptions - Infrastructure'!W280/1000000,0)</f>
        <v>851.2165306199521</v>
      </c>
      <c r="X1155" s="12">
        <f>IF(OR(X$19=1,X$20=1),'Assumptions - Infrastructure'!X275*'Assumptions - Infrastructure'!X280/1000000,0)</f>
        <v>876.75302653855067</v>
      </c>
      <c r="Y1155" s="12">
        <f>IF(OR(Y$19=1,Y$20=1),'Assumptions - Infrastructure'!Y275*'Assumptions - Infrastructure'!Y280/1000000,0)</f>
        <v>903.05561733470722</v>
      </c>
      <c r="Z1155" s="12">
        <f>IF(OR(Z$19=1,Z$20=1),'Assumptions - Infrastructure'!Z275*'Assumptions - Infrastructure'!Z280/1000000,0)</f>
        <v>930.14728585474847</v>
      </c>
      <c r="AA1155" s="12">
        <f>IF(OR(AA$19=1,AA$20=1),'Assumptions - Infrastructure'!AA275*'Assumptions - Infrastructure'!AA280/1000000,0)</f>
        <v>958.05170443039083</v>
      </c>
      <c r="AB1155" s="12">
        <f>IF(OR(AB$19=1,AB$20=1),'Assumptions - Infrastructure'!AB275*'Assumptions - Infrastructure'!AB280/1000000,0)</f>
        <v>986.79325556330275</v>
      </c>
      <c r="AC1155" s="12">
        <f>IF(OR(AC$19=1,AC$20=1),'Assumptions - Infrastructure'!AC275*'Assumptions - Infrastructure'!AC280/1000000,0)</f>
        <v>1016.3970532302019</v>
      </c>
      <c r="AD1155" s="12">
        <f>IF(OR(AD$19=1,AD$20=1),'Assumptions - Infrastructure'!AD275*'Assumptions - Infrastructure'!AD280/1000000,0)</f>
        <v>1046.8889648271079</v>
      </c>
      <c r="AE1155" s="12">
        <f>IF(OR(AE$19=1,AE$20=1),'Assumptions - Infrastructure'!AE275*'Assumptions - Infrastructure'!AE280/1000000,0)</f>
        <v>1078.2956337719211</v>
      </c>
      <c r="AF1155" s="12">
        <f>IF(OR(AF$19=1,AF$20=1),'Assumptions - Infrastructure'!AF275*'Assumptions - Infrastructure'!AF280/1000000,0)</f>
        <v>1110.6445027850787</v>
      </c>
      <c r="AG1155" s="12">
        <f>IF(OR(AG$19=1,AG$20=1),'Assumptions - Infrastructure'!AG275*'Assumptions - Infrastructure'!AG280/1000000,0)</f>
        <v>1143.9638378686313</v>
      </c>
      <c r="AH1155" s="12">
        <f>IF(OR(AH$19=1,AH$20=1),'Assumptions - Infrastructure'!AH275*'Assumptions - Infrastructure'!AH280/1000000,0)</f>
        <v>1178.2827530046902</v>
      </c>
    </row>
    <row r="1156" spans="1:34" s="20" customFormat="1" ht="14" x14ac:dyDescent="0.2">
      <c r="A1156" s="8"/>
      <c r="B1156" s="30" t="s">
        <v>297</v>
      </c>
      <c r="C1156" s="8"/>
      <c r="D1156" s="8" t="s">
        <v>15</v>
      </c>
      <c r="E1156" s="128" t="str">
        <f t="shared" ref="E1156:AH1156" si="442">IF(E19=1,IF(AND(($E$4+SUM($F$19:$AH$19))=E$4,$E$1155&gt;0),(E1155/$E1155)^(1/SUM($F$19:$AH$19))-1," ")," ")</f>
        <v xml:space="preserve"> </v>
      </c>
      <c r="F1156" s="128" t="str">
        <f t="shared" si="442"/>
        <v xml:space="preserve"> </v>
      </c>
      <c r="G1156" s="128" t="str">
        <f t="shared" si="442"/>
        <v xml:space="preserve"> </v>
      </c>
      <c r="H1156" s="128" t="str">
        <f t="shared" si="442"/>
        <v xml:space="preserve"> </v>
      </c>
      <c r="I1156" s="128" t="str">
        <f t="shared" si="442"/>
        <v xml:space="preserve"> </v>
      </c>
      <c r="J1156" s="128" t="str">
        <f t="shared" si="442"/>
        <v xml:space="preserve"> </v>
      </c>
      <c r="K1156" s="128" t="str">
        <f t="shared" si="442"/>
        <v xml:space="preserve"> </v>
      </c>
      <c r="L1156" s="128" t="str">
        <f t="shared" si="442"/>
        <v xml:space="preserve"> </v>
      </c>
      <c r="M1156" s="128" t="str">
        <f t="shared" si="442"/>
        <v xml:space="preserve"> </v>
      </c>
      <c r="N1156" s="128" t="str">
        <f t="shared" si="442"/>
        <v xml:space="preserve"> </v>
      </c>
      <c r="O1156" s="128" t="str">
        <f t="shared" si="442"/>
        <v xml:space="preserve"> </v>
      </c>
      <c r="P1156" s="128" t="str">
        <f t="shared" si="442"/>
        <v xml:space="preserve"> </v>
      </c>
      <c r="Q1156" s="128" t="str">
        <f t="shared" si="442"/>
        <v xml:space="preserve"> </v>
      </c>
      <c r="R1156" s="128" t="str">
        <f t="shared" si="442"/>
        <v xml:space="preserve"> </v>
      </c>
      <c r="S1156" s="128" t="str">
        <f t="shared" si="442"/>
        <v xml:space="preserve"> </v>
      </c>
      <c r="T1156" s="128" t="str">
        <f t="shared" si="442"/>
        <v xml:space="preserve"> </v>
      </c>
      <c r="U1156" s="128" t="str">
        <f t="shared" si="442"/>
        <v xml:space="preserve"> </v>
      </c>
      <c r="V1156" s="128" t="str">
        <f t="shared" si="442"/>
        <v xml:space="preserve"> </v>
      </c>
      <c r="W1156" s="128" t="str">
        <f t="shared" si="442"/>
        <v xml:space="preserve"> </v>
      </c>
      <c r="X1156" s="128" t="str">
        <f t="shared" si="442"/>
        <v xml:space="preserve"> </v>
      </c>
      <c r="Y1156" s="128" t="str">
        <f t="shared" si="442"/>
        <v xml:space="preserve"> </v>
      </c>
      <c r="Z1156" s="128" t="str">
        <f t="shared" si="442"/>
        <v xml:space="preserve"> </v>
      </c>
      <c r="AA1156" s="128" t="str">
        <f t="shared" si="442"/>
        <v xml:space="preserve"> </v>
      </c>
      <c r="AB1156" s="128" t="str">
        <f t="shared" si="442"/>
        <v xml:space="preserve"> </v>
      </c>
      <c r="AC1156" s="128" t="str">
        <f t="shared" si="442"/>
        <v xml:space="preserve"> </v>
      </c>
      <c r="AD1156" s="128" t="str">
        <f t="shared" si="442"/>
        <v xml:space="preserve"> </v>
      </c>
      <c r="AE1156" s="128" t="str">
        <f t="shared" si="442"/>
        <v xml:space="preserve"> </v>
      </c>
      <c r="AF1156" s="128" t="str">
        <f t="shared" si="442"/>
        <v xml:space="preserve"> </v>
      </c>
      <c r="AG1156" s="128" t="str">
        <f t="shared" si="442"/>
        <v xml:space="preserve"> </v>
      </c>
      <c r="AH1156" s="128">
        <f t="shared" si="442"/>
        <v>3.0000000000000027E-2</v>
      </c>
    </row>
    <row r="1157" spans="1:34" s="20" customFormat="1" ht="14" x14ac:dyDescent="0.2">
      <c r="A1157" s="8"/>
      <c r="B1157" s="8" t="s">
        <v>43</v>
      </c>
      <c r="C1157" s="8"/>
      <c r="D1157" s="8" t="str">
        <f>'Assumptions - General'!$E$27 &amp;" millions"</f>
        <v>R$ millions</v>
      </c>
      <c r="E1157" s="473">
        <f>IF(OR(E$19=1,E$20=1),'Assumptions - Infrastructure'!E284,0)</f>
        <v>500</v>
      </c>
      <c r="F1157" s="12">
        <f>IF(OR(F$19=1,F$20=1),'Assumptions - Infrastructure'!F285*'Assumptions - Infrastructure'!F290/1000000,0)</f>
        <v>515</v>
      </c>
      <c r="G1157" s="12">
        <f>IF(OR(G$19=1,G$20=1),'Assumptions - Infrastructure'!G285*'Assumptions - Infrastructure'!G290/1000000,0)</f>
        <v>530.45000000000005</v>
      </c>
      <c r="H1157" s="12">
        <f>IF(OR(H$19=1,H$20=1),'Assumptions - Infrastructure'!H285*'Assumptions - Infrastructure'!H290/1000000,0)</f>
        <v>546.36350000000004</v>
      </c>
      <c r="I1157" s="12">
        <f>IF(OR(I$19=1,I$20=1),'Assumptions - Infrastructure'!I285*'Assumptions - Infrastructure'!I290/1000000,0)</f>
        <v>562.75440500000002</v>
      </c>
      <c r="J1157" s="12">
        <f>IF(OR(J$19=1,J$20=1),'Assumptions - Infrastructure'!J285*'Assumptions - Infrastructure'!J290/1000000,0)</f>
        <v>579.63703715000008</v>
      </c>
      <c r="K1157" s="12">
        <f>IF(OR(K$19=1,K$20=1),'Assumptions - Infrastructure'!K285*'Assumptions - Infrastructure'!K290/1000000,0)</f>
        <v>597.02614826449997</v>
      </c>
      <c r="L1157" s="12">
        <f>IF(OR(L$19=1,L$20=1),'Assumptions - Infrastructure'!L285*'Assumptions - Infrastructure'!L290/1000000,0)</f>
        <v>614.93693271243512</v>
      </c>
      <c r="M1157" s="12">
        <f>IF(OR(M$19=1,M$20=1),'Assumptions - Infrastructure'!M285*'Assumptions - Infrastructure'!M290/1000000,0)</f>
        <v>633.38504069380815</v>
      </c>
      <c r="N1157" s="12">
        <f>IF(OR(N$19=1,N$20=1),'Assumptions - Infrastructure'!N285*'Assumptions - Infrastructure'!N290/1000000,0)</f>
        <v>652.38659191462239</v>
      </c>
      <c r="O1157" s="12">
        <f>IF(OR(O$19=1,O$20=1),'Assumptions - Infrastructure'!O285*'Assumptions - Infrastructure'!O290/1000000,0)</f>
        <v>671.95818967206105</v>
      </c>
      <c r="P1157" s="12">
        <f>IF(OR(P$19=1,P$20=1),'Assumptions - Infrastructure'!P285*'Assumptions - Infrastructure'!P290/1000000,0)</f>
        <v>692.11693536222288</v>
      </c>
      <c r="Q1157" s="12">
        <f>IF(OR(Q$19=1,Q$20=1),'Assumptions - Infrastructure'!Q285*'Assumptions - Infrastructure'!Q290/1000000,0)</f>
        <v>712.88044342308967</v>
      </c>
      <c r="R1157" s="12">
        <f>IF(OR(R$19=1,R$20=1),'Assumptions - Infrastructure'!R285*'Assumptions - Infrastructure'!R290/1000000,0)</f>
        <v>734.2668567257823</v>
      </c>
      <c r="S1157" s="12">
        <f>IF(OR(S$19=1,S$20=1),'Assumptions - Infrastructure'!S285*'Assumptions - Infrastructure'!S290/1000000,0)</f>
        <v>756.29486242755581</v>
      </c>
      <c r="T1157" s="12">
        <f>IF(OR(T$19=1,T$20=1),'Assumptions - Infrastructure'!T285*'Assumptions - Infrastructure'!T290/1000000,0)</f>
        <v>778.98370830038255</v>
      </c>
      <c r="U1157" s="12">
        <f>IF(OR(U$19=1,U$20=1),'Assumptions - Infrastructure'!U285*'Assumptions - Infrastructure'!U290/1000000,0)</f>
        <v>802.35321954939388</v>
      </c>
      <c r="V1157" s="12">
        <f>IF(OR(V$19=1,V$20=1),'Assumptions - Infrastructure'!V285*'Assumptions - Infrastructure'!V290/1000000,0)</f>
        <v>826.42381613587577</v>
      </c>
      <c r="W1157" s="12">
        <f>IF(OR(W$19=1,W$20=1),'Assumptions - Infrastructure'!W285*'Assumptions - Infrastructure'!W290/1000000,0)</f>
        <v>851.2165306199521</v>
      </c>
      <c r="X1157" s="12">
        <f>IF(OR(X$19=1,X$20=1),'Assumptions - Infrastructure'!X285*'Assumptions - Infrastructure'!X290/1000000,0)</f>
        <v>876.75302653855067</v>
      </c>
      <c r="Y1157" s="12">
        <f>IF(OR(Y$19=1,Y$20=1),'Assumptions - Infrastructure'!Y285*'Assumptions - Infrastructure'!Y290/1000000,0)</f>
        <v>903.05561733470722</v>
      </c>
      <c r="Z1157" s="12">
        <f>IF(OR(Z$19=1,Z$20=1),'Assumptions - Infrastructure'!Z285*'Assumptions - Infrastructure'!Z290/1000000,0)</f>
        <v>930.14728585474847</v>
      </c>
      <c r="AA1157" s="12">
        <f>IF(OR(AA$19=1,AA$20=1),'Assumptions - Infrastructure'!AA285*'Assumptions - Infrastructure'!AA290/1000000,0)</f>
        <v>958.05170443039083</v>
      </c>
      <c r="AB1157" s="12">
        <f>IF(OR(AB$19=1,AB$20=1),'Assumptions - Infrastructure'!AB285*'Assumptions - Infrastructure'!AB290/1000000,0)</f>
        <v>986.79325556330275</v>
      </c>
      <c r="AC1157" s="12">
        <f>IF(OR(AC$19=1,AC$20=1),'Assumptions - Infrastructure'!AC285*'Assumptions - Infrastructure'!AC290/1000000,0)</f>
        <v>1016.3970532302019</v>
      </c>
      <c r="AD1157" s="12">
        <f>IF(OR(AD$19=1,AD$20=1),'Assumptions - Infrastructure'!AD285*'Assumptions - Infrastructure'!AD290/1000000,0)</f>
        <v>1046.8889648271079</v>
      </c>
      <c r="AE1157" s="12">
        <f>IF(OR(AE$19=1,AE$20=1),'Assumptions - Infrastructure'!AE285*'Assumptions - Infrastructure'!AE290/1000000,0)</f>
        <v>1078.2956337719211</v>
      </c>
      <c r="AF1157" s="12">
        <f>IF(OR(AF$19=1,AF$20=1),'Assumptions - Infrastructure'!AF285*'Assumptions - Infrastructure'!AF290/1000000,0)</f>
        <v>1110.6445027850787</v>
      </c>
      <c r="AG1157" s="12">
        <f>IF(OR(AG$19=1,AG$20=1),'Assumptions - Infrastructure'!AG285*'Assumptions - Infrastructure'!AG290/1000000,0)</f>
        <v>1143.9638378686313</v>
      </c>
      <c r="AH1157" s="12">
        <f>IF(OR(AH$19=1,AH$20=1),'Assumptions - Infrastructure'!AH285*'Assumptions - Infrastructure'!AH290/1000000,0)</f>
        <v>1178.2827530046902</v>
      </c>
    </row>
    <row r="1158" spans="1:34" s="20" customFormat="1" ht="14" x14ac:dyDescent="0.2">
      <c r="A1158" s="8"/>
      <c r="B1158" s="30" t="s">
        <v>297</v>
      </c>
      <c r="C1158" s="8"/>
      <c r="D1158" s="8" t="s">
        <v>15</v>
      </c>
      <c r="E1158" s="128" t="str">
        <f t="shared" ref="E1158:AH1158" si="443">IF(E19=1,IF(AND(($E$4+SUM($F$19:$AH$19))=E$4,$E$1157&gt;0),(E1157/$E1157)^(1/SUM($F$19:$AH$19))-1," ")," ")</f>
        <v xml:space="preserve"> </v>
      </c>
      <c r="F1158" s="128" t="str">
        <f t="shared" si="443"/>
        <v xml:space="preserve"> </v>
      </c>
      <c r="G1158" s="128" t="str">
        <f t="shared" si="443"/>
        <v xml:space="preserve"> </v>
      </c>
      <c r="H1158" s="128" t="str">
        <f t="shared" si="443"/>
        <v xml:space="preserve"> </v>
      </c>
      <c r="I1158" s="128" t="str">
        <f t="shared" si="443"/>
        <v xml:space="preserve"> </v>
      </c>
      <c r="J1158" s="128" t="str">
        <f t="shared" si="443"/>
        <v xml:space="preserve"> </v>
      </c>
      <c r="K1158" s="128" t="str">
        <f t="shared" si="443"/>
        <v xml:space="preserve"> </v>
      </c>
      <c r="L1158" s="128" t="str">
        <f t="shared" si="443"/>
        <v xml:space="preserve"> </v>
      </c>
      <c r="M1158" s="128" t="str">
        <f t="shared" si="443"/>
        <v xml:space="preserve"> </v>
      </c>
      <c r="N1158" s="128" t="str">
        <f t="shared" si="443"/>
        <v xml:space="preserve"> </v>
      </c>
      <c r="O1158" s="128" t="str">
        <f t="shared" si="443"/>
        <v xml:space="preserve"> </v>
      </c>
      <c r="P1158" s="128" t="str">
        <f t="shared" si="443"/>
        <v xml:space="preserve"> </v>
      </c>
      <c r="Q1158" s="128" t="str">
        <f t="shared" si="443"/>
        <v xml:space="preserve"> </v>
      </c>
      <c r="R1158" s="128" t="str">
        <f t="shared" si="443"/>
        <v xml:space="preserve"> </v>
      </c>
      <c r="S1158" s="128" t="str">
        <f t="shared" si="443"/>
        <v xml:space="preserve"> </v>
      </c>
      <c r="T1158" s="128" t="str">
        <f t="shared" si="443"/>
        <v xml:space="preserve"> </v>
      </c>
      <c r="U1158" s="128" t="str">
        <f t="shared" si="443"/>
        <v xml:space="preserve"> </v>
      </c>
      <c r="V1158" s="128" t="str">
        <f t="shared" si="443"/>
        <v xml:space="preserve"> </v>
      </c>
      <c r="W1158" s="128" t="str">
        <f t="shared" si="443"/>
        <v xml:space="preserve"> </v>
      </c>
      <c r="X1158" s="128" t="str">
        <f t="shared" si="443"/>
        <v xml:space="preserve"> </v>
      </c>
      <c r="Y1158" s="128" t="str">
        <f t="shared" si="443"/>
        <v xml:space="preserve"> </v>
      </c>
      <c r="Z1158" s="128" t="str">
        <f t="shared" si="443"/>
        <v xml:space="preserve"> </v>
      </c>
      <c r="AA1158" s="128" t="str">
        <f t="shared" si="443"/>
        <v xml:space="preserve"> </v>
      </c>
      <c r="AB1158" s="128" t="str">
        <f t="shared" si="443"/>
        <v xml:space="preserve"> </v>
      </c>
      <c r="AC1158" s="128" t="str">
        <f t="shared" si="443"/>
        <v xml:space="preserve"> </v>
      </c>
      <c r="AD1158" s="128" t="str">
        <f t="shared" si="443"/>
        <v xml:space="preserve"> </v>
      </c>
      <c r="AE1158" s="128" t="str">
        <f t="shared" si="443"/>
        <v xml:space="preserve"> </v>
      </c>
      <c r="AF1158" s="128" t="str">
        <f t="shared" si="443"/>
        <v xml:space="preserve"> </v>
      </c>
      <c r="AG1158" s="128" t="str">
        <f t="shared" si="443"/>
        <v xml:space="preserve"> </v>
      </c>
      <c r="AH1158" s="128">
        <f t="shared" si="443"/>
        <v>3.0000000000000027E-2</v>
      </c>
    </row>
    <row r="1159" spans="1:34" s="20" customFormat="1" ht="14" x14ac:dyDescent="0.2">
      <c r="A1159" s="8"/>
      <c r="B1159" s="7"/>
      <c r="C1159" s="8"/>
      <c r="D1159" s="8"/>
      <c r="E1159" s="9"/>
      <c r="F1159" s="9"/>
      <c r="G1159" s="9"/>
      <c r="H1159" s="9"/>
      <c r="I1159" s="9"/>
      <c r="J1159" s="9"/>
      <c r="K1159" s="9"/>
      <c r="L1159" s="9"/>
      <c r="M1159" s="9"/>
      <c r="N1159" s="9"/>
      <c r="O1159" s="9"/>
      <c r="P1159" s="9"/>
      <c r="Q1159" s="9"/>
      <c r="R1159" s="9"/>
      <c r="S1159" s="9"/>
      <c r="T1159" s="9"/>
      <c r="U1159" s="9"/>
      <c r="V1159" s="9"/>
      <c r="W1159" s="9"/>
      <c r="X1159" s="9"/>
      <c r="Y1159" s="9"/>
      <c r="Z1159" s="9"/>
      <c r="AA1159" s="9"/>
      <c r="AB1159" s="9"/>
      <c r="AC1159" s="9"/>
      <c r="AD1159" s="9"/>
      <c r="AE1159" s="9"/>
      <c r="AF1159" s="9"/>
      <c r="AG1159" s="9"/>
      <c r="AH1159" s="9"/>
    </row>
    <row r="1160" spans="1:34" x14ac:dyDescent="0.2">
      <c r="A1160" s="316"/>
      <c r="B1160" s="315" t="str">
        <f>"Non-operating costs of "&amp;'Assumptions - General'!$E$26</f>
        <v>Non-operating costs of Ruritania Railway Infrastructure Company</v>
      </c>
      <c r="C1160" s="316"/>
      <c r="D1160" s="316"/>
      <c r="E1160" s="316"/>
      <c r="F1160" s="316"/>
      <c r="G1160" s="316"/>
      <c r="H1160" s="316"/>
      <c r="I1160" s="316"/>
      <c r="J1160" s="316"/>
      <c r="K1160" s="316"/>
      <c r="L1160" s="316"/>
      <c r="M1160" s="316"/>
      <c r="N1160" s="316"/>
      <c r="O1160" s="316"/>
      <c r="P1160" s="316"/>
      <c r="Q1160" s="316"/>
      <c r="R1160" s="316"/>
      <c r="S1160" s="316"/>
      <c r="T1160" s="316"/>
      <c r="U1160" s="316"/>
      <c r="V1160" s="316"/>
      <c r="W1160" s="316"/>
      <c r="X1160" s="316"/>
      <c r="Y1160" s="316"/>
      <c r="Z1160" s="316"/>
      <c r="AA1160" s="316"/>
      <c r="AB1160" s="316"/>
      <c r="AC1160" s="316"/>
      <c r="AD1160" s="316"/>
      <c r="AE1160" s="316"/>
      <c r="AF1160" s="316"/>
      <c r="AG1160" s="316"/>
      <c r="AH1160" s="316"/>
    </row>
    <row r="1161" spans="1:34" s="20" customFormat="1" ht="14" x14ac:dyDescent="0.2">
      <c r="B1161" s="55"/>
      <c r="E1161" s="56"/>
      <c r="F1161" s="56"/>
      <c r="G1161" s="56"/>
      <c r="H1161" s="56"/>
      <c r="I1161" s="56"/>
      <c r="J1161" s="56"/>
      <c r="K1161" s="56"/>
      <c r="L1161" s="56"/>
      <c r="M1161" s="56"/>
      <c r="N1161" s="56"/>
      <c r="O1161" s="56"/>
      <c r="P1161" s="56"/>
      <c r="Q1161" s="56"/>
      <c r="R1161" s="56"/>
      <c r="S1161" s="56"/>
      <c r="T1161" s="56"/>
      <c r="U1161" s="56"/>
      <c r="V1161" s="56"/>
      <c r="W1161" s="56"/>
      <c r="X1161" s="56"/>
      <c r="Y1161" s="56"/>
      <c r="Z1161" s="56"/>
      <c r="AA1161" s="56"/>
      <c r="AB1161" s="56"/>
      <c r="AC1161" s="56"/>
      <c r="AD1161" s="56"/>
      <c r="AE1161" s="56"/>
      <c r="AF1161" s="56"/>
      <c r="AG1161" s="56"/>
      <c r="AH1161" s="56"/>
    </row>
    <row r="1162" spans="1:34" s="20" customFormat="1" ht="14" x14ac:dyDescent="0.2">
      <c r="B1162" s="57" t="str">
        <f>'Assumptions - Infrastructure'!E305</f>
        <v>Provisions and legal claims</v>
      </c>
      <c r="D1162" s="20" t="str">
        <f>'Assumptions - General'!$E$27 &amp;" millions"</f>
        <v>R$ millions</v>
      </c>
      <c r="E1162" s="467">
        <f>IF(OR(E$19=1,E$20=1),'Assumptions - Infrastructure'!E306,0)</f>
        <v>200</v>
      </c>
      <c r="F1162" s="38">
        <f>IF(OR(F$19=1,F$20=1),'Assumptions - Infrastructure'!F307*'Assumptions - Infrastructure'!F311/1000000,0)</f>
        <v>206</v>
      </c>
      <c r="G1162" s="38">
        <f>IF(OR(G$19=1,G$20=1),'Assumptions - Infrastructure'!G307*'Assumptions - Infrastructure'!G311/1000000,0)</f>
        <v>212.18</v>
      </c>
      <c r="H1162" s="38">
        <f>IF(OR(H$19=1,H$20=1),'Assumptions - Infrastructure'!H307*'Assumptions - Infrastructure'!H311/1000000,0)</f>
        <v>218.5454</v>
      </c>
      <c r="I1162" s="38">
        <f>IF(OR(I$19=1,I$20=1),'Assumptions - Infrastructure'!I307*'Assumptions - Infrastructure'!I311/1000000,0)</f>
        <v>225.10176200000001</v>
      </c>
      <c r="J1162" s="38">
        <f>IF(OR(J$19=1,J$20=1),'Assumptions - Infrastructure'!J307*'Assumptions - Infrastructure'!J311/1000000,0)</f>
        <v>231.85481485999998</v>
      </c>
      <c r="K1162" s="38">
        <f>IF(OR(K$19=1,K$20=1),'Assumptions - Infrastructure'!K307*'Assumptions - Infrastructure'!K311/1000000,0)</f>
        <v>238.81045930579998</v>
      </c>
      <c r="L1162" s="38">
        <f>IF(OR(L$19=1,L$20=1),'Assumptions - Infrastructure'!L307*'Assumptions - Infrastructure'!L311/1000000,0)</f>
        <v>245.97477308497403</v>
      </c>
      <c r="M1162" s="38">
        <f>IF(OR(M$19=1,M$20=1),'Assumptions - Infrastructure'!M307*'Assumptions - Infrastructure'!M311/1000000,0)</f>
        <v>253.35401627752324</v>
      </c>
      <c r="N1162" s="38">
        <f>IF(OR(N$19=1,N$20=1),'Assumptions - Infrastructure'!N307*'Assumptions - Infrastructure'!N311/1000000,0)</f>
        <v>260.95463676584893</v>
      </c>
      <c r="O1162" s="38">
        <f>IF(OR(O$19=1,O$20=1),'Assumptions - Infrastructure'!O307*'Assumptions - Infrastructure'!O311/1000000,0)</f>
        <v>268.78327586882443</v>
      </c>
      <c r="P1162" s="38">
        <f>IF(OR(P$19=1,P$20=1),'Assumptions - Infrastructure'!P307*'Assumptions - Infrastructure'!P311/1000000,0)</f>
        <v>276.84677414488914</v>
      </c>
      <c r="Q1162" s="38">
        <f>IF(OR(Q$19=1,Q$20=1),'Assumptions - Infrastructure'!Q307*'Assumptions - Infrastructure'!Q311/1000000,0)</f>
        <v>285.1521773692358</v>
      </c>
      <c r="R1162" s="38">
        <f>IF(OR(R$19=1,R$20=1),'Assumptions - Infrastructure'!R307*'Assumptions - Infrastructure'!R311/1000000,0)</f>
        <v>293.70674269031292</v>
      </c>
      <c r="S1162" s="38">
        <f>IF(OR(S$19=1,S$20=1),'Assumptions - Infrastructure'!S307*'Assumptions - Infrastructure'!S311/1000000,0)</f>
        <v>302.5179449710223</v>
      </c>
      <c r="T1162" s="38">
        <f>IF(OR(T$19=1,T$20=1),'Assumptions - Infrastructure'!T307*'Assumptions - Infrastructure'!T311/1000000,0)</f>
        <v>311.59348332015293</v>
      </c>
      <c r="U1162" s="38">
        <f>IF(OR(U$19=1,U$20=1),'Assumptions - Infrastructure'!U307*'Assumptions - Infrastructure'!U311/1000000,0)</f>
        <v>320.94128781975752</v>
      </c>
      <c r="V1162" s="38">
        <f>IF(OR(V$19=1,V$20=1),'Assumptions - Infrastructure'!V307*'Assumptions - Infrastructure'!V311/1000000,0)</f>
        <v>330.56952645435024</v>
      </c>
      <c r="W1162" s="38">
        <f>IF(OR(W$19=1,W$20=1),'Assumptions - Infrastructure'!W307*'Assumptions - Infrastructure'!W311/1000000,0)</f>
        <v>340.48661224798076</v>
      </c>
      <c r="X1162" s="38">
        <f>IF(OR(X$19=1,X$20=1),'Assumptions - Infrastructure'!X307*'Assumptions - Infrastructure'!X311/1000000,0)</f>
        <v>350.70121061542022</v>
      </c>
      <c r="Y1162" s="38">
        <f>IF(OR(Y$19=1,Y$20=1),'Assumptions - Infrastructure'!Y307*'Assumptions - Infrastructure'!Y311/1000000,0)</f>
        <v>361.22224693388284</v>
      </c>
      <c r="Z1162" s="38">
        <f>IF(OR(Z$19=1,Z$20=1),'Assumptions - Infrastructure'!Z307*'Assumptions - Infrastructure'!Z311/1000000,0)</f>
        <v>372.05891434189931</v>
      </c>
      <c r="AA1162" s="38">
        <f>IF(OR(AA$19=1,AA$20=1),'Assumptions - Infrastructure'!AA307*'Assumptions - Infrastructure'!AA311/1000000,0)</f>
        <v>383.22068177215635</v>
      </c>
      <c r="AB1162" s="38">
        <f>IF(OR(AB$19=1,AB$20=1),'Assumptions - Infrastructure'!AB307*'Assumptions - Infrastructure'!AB311/1000000,0)</f>
        <v>394.71730222532102</v>
      </c>
      <c r="AC1162" s="38">
        <f>IF(OR(AC$19=1,AC$20=1),'Assumptions - Infrastructure'!AC307*'Assumptions - Infrastructure'!AC311/1000000,0)</f>
        <v>406.55882129208067</v>
      </c>
      <c r="AD1162" s="38">
        <f>IF(OR(AD$19=1,AD$20=1),'Assumptions - Infrastructure'!AD307*'Assumptions - Infrastructure'!AD311/1000000,0)</f>
        <v>418.75558593084304</v>
      </c>
      <c r="AE1162" s="38">
        <f>IF(OR(AE$19=1,AE$20=1),'Assumptions - Infrastructure'!AE307*'Assumptions - Infrastructure'!AE311/1000000,0)</f>
        <v>431.31825350876829</v>
      </c>
      <c r="AF1162" s="38">
        <f>IF(OR(AF$19=1,AF$20=1),'Assumptions - Infrastructure'!AF307*'Assumptions - Infrastructure'!AF311/1000000,0)</f>
        <v>444.25780111403139</v>
      </c>
      <c r="AG1162" s="38">
        <f>IF(OR(AG$19=1,AG$20=1),'Assumptions - Infrastructure'!AG307*'Assumptions - Infrastructure'!AG311/1000000,0)</f>
        <v>457.58553514745233</v>
      </c>
      <c r="AH1162" s="38">
        <f>IF(OR(AH$19=1,AH$20=1),'Assumptions - Infrastructure'!AH307*'Assumptions - Infrastructure'!AH311/1000000,0)</f>
        <v>471.31310120187601</v>
      </c>
    </row>
    <row r="1163" spans="1:34" s="20" customFormat="1" ht="14" x14ac:dyDescent="0.2">
      <c r="B1163" s="57" t="str">
        <f>'Assumptions - Infrastructure'!E314</f>
        <v>Investment losses</v>
      </c>
      <c r="D1163" s="20" t="str">
        <f>'Assumptions - General'!$E$27 &amp;" millions"</f>
        <v>R$ millions</v>
      </c>
      <c r="E1163" s="38">
        <f>IF(OR(E$19=1,E$20=1),'Assumptions - Infrastructure'!E315,0)</f>
        <v>500</v>
      </c>
      <c r="F1163" s="38">
        <f>IF(OR(F$19=1,F$20=1),'Assumptions - Infrastructure'!F316*'Assumptions - Infrastructure'!F320/1000000,0)</f>
        <v>515</v>
      </c>
      <c r="G1163" s="38">
        <f>IF(OR(G$19=1,G$20=1),'Assumptions - Infrastructure'!G316*'Assumptions - Infrastructure'!G320/1000000,0)</f>
        <v>530.45000000000005</v>
      </c>
      <c r="H1163" s="38">
        <f>IF(OR(H$19=1,H$20=1),'Assumptions - Infrastructure'!H316*'Assumptions - Infrastructure'!H320/1000000,0)</f>
        <v>546.36350000000004</v>
      </c>
      <c r="I1163" s="38">
        <f>IF(OR(I$19=1,I$20=1),'Assumptions - Infrastructure'!I316*'Assumptions - Infrastructure'!I320/1000000,0)</f>
        <v>562.75440500000002</v>
      </c>
      <c r="J1163" s="38">
        <f>IF(OR(J$19=1,J$20=1),'Assumptions - Infrastructure'!J316*'Assumptions - Infrastructure'!J320/1000000,0)</f>
        <v>579.63703715000008</v>
      </c>
      <c r="K1163" s="38">
        <f>IF(OR(K$19=1,K$20=1),'Assumptions - Infrastructure'!K316*'Assumptions - Infrastructure'!K320/1000000,0)</f>
        <v>597.02614826449997</v>
      </c>
      <c r="L1163" s="38">
        <f>IF(OR(L$19=1,L$20=1),'Assumptions - Infrastructure'!L316*'Assumptions - Infrastructure'!L320/1000000,0)</f>
        <v>614.93693271243512</v>
      </c>
      <c r="M1163" s="38">
        <f>IF(OR(M$19=1,M$20=1),'Assumptions - Infrastructure'!M316*'Assumptions - Infrastructure'!M320/1000000,0)</f>
        <v>633.38504069380815</v>
      </c>
      <c r="N1163" s="38">
        <f>IF(OR(N$19=1,N$20=1),'Assumptions - Infrastructure'!N316*'Assumptions - Infrastructure'!N320/1000000,0)</f>
        <v>652.38659191462239</v>
      </c>
      <c r="O1163" s="38">
        <f>IF(OR(O$19=1,O$20=1),'Assumptions - Infrastructure'!O316*'Assumptions - Infrastructure'!O320/1000000,0)</f>
        <v>671.95818967206105</v>
      </c>
      <c r="P1163" s="38">
        <f>IF(OR(P$19=1,P$20=1),'Assumptions - Infrastructure'!P316*'Assumptions - Infrastructure'!P320/1000000,0)</f>
        <v>692.11693536222288</v>
      </c>
      <c r="Q1163" s="38">
        <f>IF(OR(Q$19=1,Q$20=1),'Assumptions - Infrastructure'!Q316*'Assumptions - Infrastructure'!Q320/1000000,0)</f>
        <v>712.88044342308967</v>
      </c>
      <c r="R1163" s="38">
        <f>IF(OR(R$19=1,R$20=1),'Assumptions - Infrastructure'!R316*'Assumptions - Infrastructure'!R320/1000000,0)</f>
        <v>734.2668567257823</v>
      </c>
      <c r="S1163" s="38">
        <f>IF(OR(S$19=1,S$20=1),'Assumptions - Infrastructure'!S316*'Assumptions - Infrastructure'!S320/1000000,0)</f>
        <v>756.29486242755581</v>
      </c>
      <c r="T1163" s="38">
        <f>IF(OR(T$19=1,T$20=1),'Assumptions - Infrastructure'!T316*'Assumptions - Infrastructure'!T320/1000000,0)</f>
        <v>778.98370830038255</v>
      </c>
      <c r="U1163" s="38">
        <f>IF(OR(U$19=1,U$20=1),'Assumptions - Infrastructure'!U316*'Assumptions - Infrastructure'!U320/1000000,0)</f>
        <v>802.35321954939388</v>
      </c>
      <c r="V1163" s="38">
        <f>IF(OR(V$19=1,V$20=1),'Assumptions - Infrastructure'!V316*'Assumptions - Infrastructure'!V320/1000000,0)</f>
        <v>826.42381613587577</v>
      </c>
      <c r="W1163" s="38">
        <f>IF(OR(W$19=1,W$20=1),'Assumptions - Infrastructure'!W316*'Assumptions - Infrastructure'!W320/1000000,0)</f>
        <v>851.2165306199521</v>
      </c>
      <c r="X1163" s="38">
        <f>IF(OR(X$19=1,X$20=1),'Assumptions - Infrastructure'!X316*'Assumptions - Infrastructure'!X320/1000000,0)</f>
        <v>876.75302653855067</v>
      </c>
      <c r="Y1163" s="38">
        <f>IF(OR(Y$19=1,Y$20=1),'Assumptions - Infrastructure'!Y316*'Assumptions - Infrastructure'!Y320/1000000,0)</f>
        <v>903.05561733470722</v>
      </c>
      <c r="Z1163" s="38">
        <f>IF(OR(Z$19=1,Z$20=1),'Assumptions - Infrastructure'!Z316*'Assumptions - Infrastructure'!Z320/1000000,0)</f>
        <v>930.14728585474847</v>
      </c>
      <c r="AA1163" s="38">
        <f>IF(OR(AA$19=1,AA$20=1),'Assumptions - Infrastructure'!AA316*'Assumptions - Infrastructure'!AA320/1000000,0)</f>
        <v>958.05170443039083</v>
      </c>
      <c r="AB1163" s="38">
        <f>IF(OR(AB$19=1,AB$20=1),'Assumptions - Infrastructure'!AB316*'Assumptions - Infrastructure'!AB320/1000000,0)</f>
        <v>986.79325556330275</v>
      </c>
      <c r="AC1163" s="38">
        <f>IF(OR(AC$19=1,AC$20=1),'Assumptions - Infrastructure'!AC316*'Assumptions - Infrastructure'!AC320/1000000,0)</f>
        <v>1016.3970532302019</v>
      </c>
      <c r="AD1163" s="38">
        <f>IF(OR(AD$19=1,AD$20=1),'Assumptions - Infrastructure'!AD316*'Assumptions - Infrastructure'!AD320/1000000,0)</f>
        <v>1046.8889648271079</v>
      </c>
      <c r="AE1163" s="38">
        <f>IF(OR(AE$19=1,AE$20=1),'Assumptions - Infrastructure'!AE316*'Assumptions - Infrastructure'!AE320/1000000,0)</f>
        <v>1078.2956337719211</v>
      </c>
      <c r="AF1163" s="38">
        <f>IF(OR(AF$19=1,AF$20=1),'Assumptions - Infrastructure'!AF316*'Assumptions - Infrastructure'!AF320/1000000,0)</f>
        <v>1110.6445027850787</v>
      </c>
      <c r="AG1163" s="38">
        <f>IF(OR(AG$19=1,AG$20=1),'Assumptions - Infrastructure'!AG316*'Assumptions - Infrastructure'!AG320/1000000,0)</f>
        <v>1143.9638378686313</v>
      </c>
      <c r="AH1163" s="38">
        <f>IF(OR(AH$19=1,AH$20=1),'Assumptions - Infrastructure'!AH316*'Assumptions - Infrastructure'!AH320/1000000,0)</f>
        <v>1178.2827530046902</v>
      </c>
    </row>
    <row r="1164" spans="1:34" s="20" customFormat="1" ht="14" x14ac:dyDescent="0.2">
      <c r="B1164" s="271" t="s">
        <v>693</v>
      </c>
      <c r="D1164" s="20" t="str">
        <f>'Assumptions - General'!$E$27 &amp;" millions"</f>
        <v>R$ millions</v>
      </c>
      <c r="E1164" s="466">
        <v>0</v>
      </c>
      <c r="F1164" s="38">
        <f>IF(OR(F$19=1,F$20=1),IF(F1225/E1225&gt;1,F1227-F1227/(F1225/E1225),0)+IF(F1241/E1241&gt;1,F1243-F1243/(F1241/E1241),0)+IF(F1257/E1257&gt;1,F1259-F1259/(F1257/E1257),0)+IF(F1283/E1283&gt;1,F1285-F1285/(F1283/E1283),0)+IF(F1313/E1313&gt;1,F1315-F1315/(F1313/E1313),0)+IF(F1343/E1343&gt;1,F1345-F1345/(F1343/E1343),0)+IF(F1373/E1373&gt;1,F1375-F1375/(F1373/E1373),0)+IF(F1283/E1283&lt;1,F1286/(F1283/E1283)-F1286,0)+IF(F1313/E1313&lt;1,F1316/(F1313/E1313)-F1316,0)+IF(F1343/E1343&lt;1,F1346/(F1343/E1343)-F1346,0)+IF(F1373/E1373&lt;1,F1376/(F1373/E1373)-F1376,0),0)</f>
        <v>0</v>
      </c>
      <c r="G1164" s="38">
        <f t="shared" ref="G1164:AH1164" si="444">IF(OR(G$19=1,G$20=1),IF(G1225/F1225&gt;1,G1227-G1227/(G1225/F1225),0)+IF(G1241/F1241&gt;1,G1243-G1243/(G1241/F1241),0)+IF(G1257/F1257&gt;1,G1259-G1259/(G1257/F1257),0)+IF(G1283/F1283&gt;1,G1285-G1285/(G1283/F1283),0)+IF(G1313/F1313&gt;1,G1315-G1315/(G1313/F1313),0)+IF(G1343/F1343&gt;1,G1345-G1345/(G1343/F1343),0)+IF(G1373/F1373&gt;1,G1375-G1375/(G1373/F1373),0)+IF(G1283/F1283&lt;1,G1286/(G1283/F1283)-G1286,0)+IF(G1313/F1313&lt;1,G1316/(G1313/F1313)-G1316,0)+IF(G1343/F1343&lt;1,G1346/(G1343/F1343)-G1346,0)+IF(G1373/F1373&lt;1,G1376/(G1373/F1373)-G1376,0),0)</f>
        <v>0</v>
      </c>
      <c r="H1164" s="38">
        <f t="shared" si="444"/>
        <v>0</v>
      </c>
      <c r="I1164" s="38">
        <f t="shared" si="444"/>
        <v>0</v>
      </c>
      <c r="J1164" s="38">
        <f t="shared" si="444"/>
        <v>0</v>
      </c>
      <c r="K1164" s="38">
        <f t="shared" si="444"/>
        <v>0</v>
      </c>
      <c r="L1164" s="38">
        <f t="shared" si="444"/>
        <v>0</v>
      </c>
      <c r="M1164" s="38">
        <f t="shared" si="444"/>
        <v>0</v>
      </c>
      <c r="N1164" s="38">
        <f t="shared" si="444"/>
        <v>0</v>
      </c>
      <c r="O1164" s="38">
        <f t="shared" si="444"/>
        <v>0</v>
      </c>
      <c r="P1164" s="38">
        <f t="shared" si="444"/>
        <v>0</v>
      </c>
      <c r="Q1164" s="38">
        <f t="shared" si="444"/>
        <v>0</v>
      </c>
      <c r="R1164" s="38">
        <f t="shared" si="444"/>
        <v>0</v>
      </c>
      <c r="S1164" s="38">
        <f t="shared" si="444"/>
        <v>0</v>
      </c>
      <c r="T1164" s="38">
        <f t="shared" si="444"/>
        <v>0</v>
      </c>
      <c r="U1164" s="38">
        <f t="shared" si="444"/>
        <v>0</v>
      </c>
      <c r="V1164" s="38">
        <f t="shared" si="444"/>
        <v>0</v>
      </c>
      <c r="W1164" s="38">
        <f t="shared" si="444"/>
        <v>0</v>
      </c>
      <c r="X1164" s="38">
        <f t="shared" si="444"/>
        <v>0</v>
      </c>
      <c r="Y1164" s="38">
        <f t="shared" si="444"/>
        <v>0</v>
      </c>
      <c r="Z1164" s="38">
        <f t="shared" si="444"/>
        <v>0</v>
      </c>
      <c r="AA1164" s="38">
        <f t="shared" si="444"/>
        <v>0</v>
      </c>
      <c r="AB1164" s="38">
        <f t="shared" si="444"/>
        <v>0</v>
      </c>
      <c r="AC1164" s="38">
        <f t="shared" si="444"/>
        <v>0</v>
      </c>
      <c r="AD1164" s="38">
        <f t="shared" si="444"/>
        <v>0</v>
      </c>
      <c r="AE1164" s="38">
        <f t="shared" si="444"/>
        <v>0</v>
      </c>
      <c r="AF1164" s="38">
        <f t="shared" si="444"/>
        <v>0</v>
      </c>
      <c r="AG1164" s="38">
        <f t="shared" si="444"/>
        <v>0</v>
      </c>
      <c r="AH1164" s="38">
        <f t="shared" si="444"/>
        <v>0</v>
      </c>
    </row>
    <row r="1165" spans="1:34" s="20" customFormat="1" ht="14" x14ac:dyDescent="0.2">
      <c r="B1165" s="57" t="str">
        <f>'Assumptions - Infrastructure'!E323</f>
        <v>Other</v>
      </c>
      <c r="D1165" s="20" t="str">
        <f>'Assumptions - General'!$E$27 &amp;" millions"</f>
        <v>R$ millions</v>
      </c>
      <c r="E1165" s="467">
        <f>IF(OR(E$19=1,E$20=1),'Assumptions - Infrastructure'!E324,0)</f>
        <v>50</v>
      </c>
      <c r="F1165" s="38">
        <f>IF(OR(F$19=1,F$20=1),'Assumptions - Infrastructure'!F325*'Assumptions - Infrastructure'!F329/1000000,0)</f>
        <v>51.5</v>
      </c>
      <c r="G1165" s="38">
        <f>IF(OR(G$19=1,G$20=1),'Assumptions - Infrastructure'!G325*'Assumptions - Infrastructure'!G329/1000000,0)</f>
        <v>53.045000000000002</v>
      </c>
      <c r="H1165" s="38">
        <f>IF(OR(H$19=1,H$20=1),'Assumptions - Infrastructure'!H325*'Assumptions - Infrastructure'!H329/1000000,0)</f>
        <v>54.63635</v>
      </c>
      <c r="I1165" s="38">
        <f>IF(OR(I$19=1,I$20=1),'Assumptions - Infrastructure'!I325*'Assumptions - Infrastructure'!I329/1000000,0)</f>
        <v>56.275440500000002</v>
      </c>
      <c r="J1165" s="38">
        <f>IF(OR(J$19=1,J$20=1),'Assumptions - Infrastructure'!J325*'Assumptions - Infrastructure'!J329/1000000,0)</f>
        <v>57.963703714999994</v>
      </c>
      <c r="K1165" s="38">
        <f>IF(OR(K$19=1,K$20=1),'Assumptions - Infrastructure'!K325*'Assumptions - Infrastructure'!K329/1000000,0)</f>
        <v>59.702614826449995</v>
      </c>
      <c r="L1165" s="38">
        <f>IF(OR(L$19=1,L$20=1),'Assumptions - Infrastructure'!L325*'Assumptions - Infrastructure'!L329/1000000,0)</f>
        <v>61.493693271243508</v>
      </c>
      <c r="M1165" s="38">
        <f>IF(OR(M$19=1,M$20=1),'Assumptions - Infrastructure'!M325*'Assumptions - Infrastructure'!M329/1000000,0)</f>
        <v>63.338504069380811</v>
      </c>
      <c r="N1165" s="38">
        <f>IF(OR(N$19=1,N$20=1),'Assumptions - Infrastructure'!N325*'Assumptions - Infrastructure'!N329/1000000,0)</f>
        <v>65.238659191462233</v>
      </c>
      <c r="O1165" s="38">
        <f>IF(OR(O$19=1,O$20=1),'Assumptions - Infrastructure'!O325*'Assumptions - Infrastructure'!O329/1000000,0)</f>
        <v>67.195818967206108</v>
      </c>
      <c r="P1165" s="38">
        <f>IF(OR(P$19=1,P$20=1),'Assumptions - Infrastructure'!P325*'Assumptions - Infrastructure'!P329/1000000,0)</f>
        <v>69.211693536222285</v>
      </c>
      <c r="Q1165" s="38">
        <f>IF(OR(Q$19=1,Q$20=1),'Assumptions - Infrastructure'!Q325*'Assumptions - Infrastructure'!Q329/1000000,0)</f>
        <v>71.28804434230895</v>
      </c>
      <c r="R1165" s="38">
        <f>IF(OR(R$19=1,R$20=1),'Assumptions - Infrastructure'!R325*'Assumptions - Infrastructure'!R329/1000000,0)</f>
        <v>73.42668567257823</v>
      </c>
      <c r="S1165" s="38">
        <f>IF(OR(S$19=1,S$20=1),'Assumptions - Infrastructure'!S325*'Assumptions - Infrastructure'!S329/1000000,0)</f>
        <v>75.629486242755576</v>
      </c>
      <c r="T1165" s="38">
        <f>IF(OR(T$19=1,T$20=1),'Assumptions - Infrastructure'!T325*'Assumptions - Infrastructure'!T329/1000000,0)</f>
        <v>77.898370830038232</v>
      </c>
      <c r="U1165" s="38">
        <f>IF(OR(U$19=1,U$20=1),'Assumptions - Infrastructure'!U325*'Assumptions - Infrastructure'!U329/1000000,0)</f>
        <v>80.23532195493938</v>
      </c>
      <c r="V1165" s="38">
        <f>IF(OR(V$19=1,V$20=1),'Assumptions - Infrastructure'!V325*'Assumptions - Infrastructure'!V329/1000000,0)</f>
        <v>82.64238161358756</v>
      </c>
      <c r="W1165" s="38">
        <f>IF(OR(W$19=1,W$20=1),'Assumptions - Infrastructure'!W325*'Assumptions - Infrastructure'!W329/1000000,0)</f>
        <v>85.12165306199519</v>
      </c>
      <c r="X1165" s="38">
        <f>IF(OR(X$19=1,X$20=1),'Assumptions - Infrastructure'!X325*'Assumptions - Infrastructure'!X329/1000000,0)</f>
        <v>87.675302653855056</v>
      </c>
      <c r="Y1165" s="38">
        <f>IF(OR(Y$19=1,Y$20=1),'Assumptions - Infrastructure'!Y325*'Assumptions - Infrastructure'!Y329/1000000,0)</f>
        <v>90.305561733470711</v>
      </c>
      <c r="Z1165" s="38">
        <f>IF(OR(Z$19=1,Z$20=1),'Assumptions - Infrastructure'!Z325*'Assumptions - Infrastructure'!Z329/1000000,0)</f>
        <v>93.014728585474828</v>
      </c>
      <c r="AA1165" s="38">
        <f>IF(OR(AA$19=1,AA$20=1),'Assumptions - Infrastructure'!AA325*'Assumptions - Infrastructure'!AA329/1000000,0)</f>
        <v>95.805170443039088</v>
      </c>
      <c r="AB1165" s="38">
        <f>IF(OR(AB$19=1,AB$20=1),'Assumptions - Infrastructure'!AB325*'Assumptions - Infrastructure'!AB329/1000000,0)</f>
        <v>98.679325556330255</v>
      </c>
      <c r="AC1165" s="38">
        <f>IF(OR(AC$19=1,AC$20=1),'Assumptions - Infrastructure'!AC325*'Assumptions - Infrastructure'!AC329/1000000,0)</f>
        <v>101.63970532302017</v>
      </c>
      <c r="AD1165" s="38">
        <f>IF(OR(AD$19=1,AD$20=1),'Assumptions - Infrastructure'!AD325*'Assumptions - Infrastructure'!AD329/1000000,0)</f>
        <v>104.68889648271076</v>
      </c>
      <c r="AE1165" s="38">
        <f>IF(OR(AE$19=1,AE$20=1),'Assumptions - Infrastructure'!AE325*'Assumptions - Infrastructure'!AE329/1000000,0)</f>
        <v>107.82956337719207</v>
      </c>
      <c r="AF1165" s="38">
        <f>IF(OR(AF$19=1,AF$20=1),'Assumptions - Infrastructure'!AF325*'Assumptions - Infrastructure'!AF329/1000000,0)</f>
        <v>111.06445027850785</v>
      </c>
      <c r="AG1165" s="38">
        <f>IF(OR(AG$19=1,AG$20=1),'Assumptions - Infrastructure'!AG325*'Assumptions - Infrastructure'!AG329/1000000,0)</f>
        <v>114.39638378686308</v>
      </c>
      <c r="AH1165" s="38">
        <f>IF(OR(AH$19=1,AH$20=1),'Assumptions - Infrastructure'!AH325*'Assumptions - Infrastructure'!AH329/1000000,0)</f>
        <v>117.828275300469</v>
      </c>
    </row>
    <row r="1166" spans="1:34" s="20" customFormat="1" ht="14" x14ac:dyDescent="0.2">
      <c r="B1166" s="57" t="s">
        <v>322</v>
      </c>
      <c r="D1166" s="20" t="s">
        <v>15</v>
      </c>
      <c r="E1166" s="128" t="str">
        <f t="shared" ref="E1166:AH1166" si="445">IF(E19=1,IF(AND(SUM($E$1162:$AH$1165)&gt;0,($E$4+SUM($F$19:$AH$19))=E$4),(SUM(E1162:E1165)/SUM($E1162:$E1165))^(1/SUM($F$19:$AH$19))-1," ")," ")</f>
        <v xml:space="preserve"> </v>
      </c>
      <c r="F1166" s="128" t="str">
        <f t="shared" si="445"/>
        <v xml:space="preserve"> </v>
      </c>
      <c r="G1166" s="128" t="str">
        <f t="shared" si="445"/>
        <v xml:space="preserve"> </v>
      </c>
      <c r="H1166" s="128" t="str">
        <f t="shared" si="445"/>
        <v xml:space="preserve"> </v>
      </c>
      <c r="I1166" s="128" t="str">
        <f t="shared" si="445"/>
        <v xml:space="preserve"> </v>
      </c>
      <c r="J1166" s="128" t="str">
        <f t="shared" si="445"/>
        <v xml:space="preserve"> </v>
      </c>
      <c r="K1166" s="128" t="str">
        <f t="shared" si="445"/>
        <v xml:space="preserve"> </v>
      </c>
      <c r="L1166" s="128" t="str">
        <f t="shared" si="445"/>
        <v xml:space="preserve"> </v>
      </c>
      <c r="M1166" s="128" t="str">
        <f t="shared" si="445"/>
        <v xml:space="preserve"> </v>
      </c>
      <c r="N1166" s="128" t="str">
        <f t="shared" si="445"/>
        <v xml:space="preserve"> </v>
      </c>
      <c r="O1166" s="128" t="str">
        <f t="shared" si="445"/>
        <v xml:space="preserve"> </v>
      </c>
      <c r="P1166" s="128" t="str">
        <f t="shared" si="445"/>
        <v xml:space="preserve"> </v>
      </c>
      <c r="Q1166" s="128" t="str">
        <f t="shared" si="445"/>
        <v xml:space="preserve"> </v>
      </c>
      <c r="R1166" s="128" t="str">
        <f t="shared" si="445"/>
        <v xml:space="preserve"> </v>
      </c>
      <c r="S1166" s="128" t="str">
        <f t="shared" si="445"/>
        <v xml:space="preserve"> </v>
      </c>
      <c r="T1166" s="128" t="str">
        <f t="shared" si="445"/>
        <v xml:space="preserve"> </v>
      </c>
      <c r="U1166" s="128" t="str">
        <f t="shared" si="445"/>
        <v xml:space="preserve"> </v>
      </c>
      <c r="V1166" s="128" t="str">
        <f t="shared" si="445"/>
        <v xml:space="preserve"> </v>
      </c>
      <c r="W1166" s="128" t="str">
        <f t="shared" si="445"/>
        <v xml:space="preserve"> </v>
      </c>
      <c r="X1166" s="128" t="str">
        <f t="shared" si="445"/>
        <v xml:space="preserve"> </v>
      </c>
      <c r="Y1166" s="128" t="str">
        <f t="shared" si="445"/>
        <v xml:space="preserve"> </v>
      </c>
      <c r="Z1166" s="128" t="str">
        <f t="shared" si="445"/>
        <v xml:space="preserve"> </v>
      </c>
      <c r="AA1166" s="128" t="str">
        <f t="shared" si="445"/>
        <v xml:space="preserve"> </v>
      </c>
      <c r="AB1166" s="128" t="str">
        <f t="shared" si="445"/>
        <v xml:space="preserve"> </v>
      </c>
      <c r="AC1166" s="128" t="str">
        <f t="shared" si="445"/>
        <v xml:space="preserve"> </v>
      </c>
      <c r="AD1166" s="128" t="str">
        <f t="shared" si="445"/>
        <v xml:space="preserve"> </v>
      </c>
      <c r="AE1166" s="128" t="str">
        <f t="shared" si="445"/>
        <v xml:space="preserve"> </v>
      </c>
      <c r="AF1166" s="128" t="str">
        <f t="shared" si="445"/>
        <v xml:space="preserve"> </v>
      </c>
      <c r="AG1166" s="128" t="str">
        <f t="shared" si="445"/>
        <v xml:space="preserve"> </v>
      </c>
      <c r="AH1166" s="128">
        <f t="shared" si="445"/>
        <v>3.0000000000000027E-2</v>
      </c>
    </row>
    <row r="1167" spans="1:34" s="20" customFormat="1" collapsed="1" x14ac:dyDescent="0.2">
      <c r="A1167" s="18"/>
      <c r="B1167" s="55"/>
      <c r="E1167" s="56"/>
      <c r="F1167" s="56"/>
      <c r="G1167" s="56"/>
      <c r="H1167" s="56"/>
      <c r="I1167" s="56"/>
      <c r="J1167" s="56"/>
      <c r="K1167" s="56"/>
      <c r="L1167" s="56"/>
      <c r="M1167" s="56"/>
      <c r="N1167" s="56"/>
      <c r="O1167" s="56"/>
      <c r="P1167" s="56"/>
      <c r="Q1167" s="56"/>
      <c r="R1167" s="56"/>
      <c r="S1167" s="56"/>
      <c r="T1167" s="56"/>
      <c r="U1167" s="56"/>
      <c r="V1167" s="56"/>
      <c r="W1167" s="56"/>
      <c r="X1167" s="56"/>
      <c r="Y1167" s="56"/>
      <c r="Z1167" s="56"/>
      <c r="AA1167" s="56"/>
      <c r="AB1167" s="56"/>
      <c r="AC1167" s="56"/>
      <c r="AD1167" s="56"/>
      <c r="AE1167" s="56"/>
      <c r="AF1167" s="56"/>
      <c r="AG1167" s="56"/>
      <c r="AH1167" s="56"/>
    </row>
    <row r="1168" spans="1:34" x14ac:dyDescent="0.2">
      <c r="A1168" s="316"/>
      <c r="B1168" s="315" t="str">
        <f>"Dividends for " &amp; 'Assumptions - General'!E26</f>
        <v>Dividends for Ruritania Railway Infrastructure Company</v>
      </c>
      <c r="C1168" s="316"/>
      <c r="D1168" s="316"/>
      <c r="E1168" s="316"/>
      <c r="F1168" s="316"/>
      <c r="G1168" s="316"/>
      <c r="H1168" s="316"/>
      <c r="I1168" s="316"/>
      <c r="J1168" s="316"/>
      <c r="K1168" s="316"/>
      <c r="L1168" s="316"/>
      <c r="M1168" s="316"/>
      <c r="N1168" s="316"/>
      <c r="O1168" s="316"/>
      <c r="P1168" s="316"/>
      <c r="Q1168" s="316"/>
      <c r="R1168" s="316"/>
      <c r="S1168" s="316"/>
      <c r="T1168" s="316"/>
      <c r="U1168" s="316"/>
      <c r="V1168" s="316"/>
      <c r="W1168" s="316"/>
      <c r="X1168" s="316"/>
      <c r="Y1168" s="316"/>
      <c r="Z1168" s="316"/>
      <c r="AA1168" s="316"/>
      <c r="AB1168" s="316"/>
      <c r="AC1168" s="316"/>
      <c r="AD1168" s="316"/>
      <c r="AE1168" s="316"/>
      <c r="AF1168" s="316"/>
      <c r="AG1168" s="316"/>
      <c r="AH1168" s="316"/>
    </row>
    <row r="1169" spans="1:34" s="20" customFormat="1" ht="14" x14ac:dyDescent="0.2">
      <c r="A1169" s="8"/>
      <c r="B1169" s="8"/>
      <c r="C1169" s="8"/>
      <c r="D1169" s="8"/>
      <c r="E1169" s="15"/>
      <c r="F1169" s="8"/>
      <c r="G1169" s="8"/>
      <c r="H1169" s="8"/>
      <c r="I1169" s="8"/>
      <c r="J1169" s="8"/>
      <c r="K1169" s="8"/>
      <c r="L1169" s="8"/>
      <c r="M1169" s="8"/>
      <c r="N1169" s="8"/>
      <c r="O1169" s="8"/>
      <c r="P1169" s="8"/>
      <c r="Q1169" s="8"/>
      <c r="R1169" s="8"/>
      <c r="S1169" s="8"/>
      <c r="T1169" s="8"/>
      <c r="U1169" s="8"/>
      <c r="V1169" s="8"/>
      <c r="W1169" s="8"/>
      <c r="X1169" s="8"/>
      <c r="Y1169" s="8"/>
      <c r="Z1169" s="8"/>
      <c r="AA1169" s="8"/>
      <c r="AB1169" s="8"/>
      <c r="AC1169" s="8"/>
      <c r="AD1169" s="8"/>
      <c r="AE1169" s="8"/>
      <c r="AF1169" s="8"/>
      <c r="AG1169" s="8"/>
      <c r="AH1169" s="8"/>
    </row>
    <row r="1170" spans="1:34" s="20" customFormat="1" ht="14" x14ac:dyDescent="0.2">
      <c r="A1170" s="8"/>
      <c r="B1170" s="8" t="s">
        <v>151</v>
      </c>
      <c r="C1170" s="8"/>
      <c r="D1170" s="8" t="str">
        <f>'Assumptions - General'!$E$27 &amp;" millions"</f>
        <v>R$ millions</v>
      </c>
      <c r="E1170" s="41">
        <f>'Cash flow statement'!E160</f>
        <v>0</v>
      </c>
      <c r="F1170" s="41">
        <f>'Cash flow statement'!F160</f>
        <v>27169.260795835875</v>
      </c>
      <c r="G1170" s="41">
        <f>'Cash flow statement'!G160</f>
        <v>28232.321656527576</v>
      </c>
      <c r="H1170" s="41">
        <f>'Cash flow statement'!H160</f>
        <v>29928.184922482185</v>
      </c>
      <c r="I1170" s="41">
        <f>'Cash flow statement'!I160</f>
        <v>32430.915734590944</v>
      </c>
      <c r="J1170" s="41">
        <f>'Cash flow statement'!J160</f>
        <v>34690.235042531553</v>
      </c>
      <c r="K1170" s="41">
        <f>'Cash flow statement'!K160</f>
        <v>39022.091203316661</v>
      </c>
      <c r="L1170" s="41">
        <f>'Cash flow statement'!L160</f>
        <v>41934.00561537101</v>
      </c>
      <c r="M1170" s="41">
        <f>'Cash flow statement'!M160</f>
        <v>44572.643583934892</v>
      </c>
      <c r="N1170" s="41">
        <f>'Cash flow statement'!N160</f>
        <v>47332.783680796812</v>
      </c>
      <c r="O1170" s="41">
        <f>'Cash flow statement'!O160</f>
        <v>49573.283496049335</v>
      </c>
      <c r="P1170" s="41">
        <f>'Cash flow statement'!P160</f>
        <v>52378.777002494629</v>
      </c>
      <c r="Q1170" s="41">
        <f>'Cash flow statement'!Q160</f>
        <v>55351.923394553574</v>
      </c>
      <c r="R1170" s="41">
        <f>'Cash flow statement'!R160</f>
        <v>58457.176868947972</v>
      </c>
      <c r="S1170" s="41">
        <f>'Cash flow statement'!S160</f>
        <v>61704.155016376593</v>
      </c>
      <c r="T1170" s="41">
        <f>'Cash flow statement'!T160</f>
        <v>65092.077642276832</v>
      </c>
      <c r="U1170" s="41">
        <f>'Cash flow statement'!U160</f>
        <v>68632.830108557057</v>
      </c>
      <c r="V1170" s="41">
        <f>'Cash flow statement'!V160</f>
        <v>72327.671585913762</v>
      </c>
      <c r="W1170" s="41">
        <f>'Cash flow statement'!W160</f>
        <v>76189.648760261945</v>
      </c>
      <c r="X1170" s="41">
        <f>'Cash flow statement'!X160</f>
        <v>80220.892284133282</v>
      </c>
      <c r="Y1170" s="41">
        <f>'Cash flow statement'!Y160</f>
        <v>84428.115907585394</v>
      </c>
      <c r="Z1170" s="41">
        <f>'Cash flow statement'!Z160</f>
        <v>88818.284286625858</v>
      </c>
      <c r="AA1170" s="41">
        <f>'Cash flow statement'!AA160</f>
        <v>93398.622000950287</v>
      </c>
      <c r="AB1170" s="41">
        <f>'Cash flow statement'!AB160</f>
        <v>98176.622886883561</v>
      </c>
      <c r="AC1170" s="41">
        <f>'Cash flow statement'!AC160</f>
        <v>103160.05969635457</v>
      </c>
      <c r="AD1170" s="41">
        <f>'Cash flow statement'!AD160</f>
        <v>108356.99409309009</v>
      </c>
      <c r="AE1170" s="41">
        <f>'Cash flow statement'!AE160</f>
        <v>113775.78699758439</v>
      </c>
      <c r="AF1170" s="41">
        <f>'Cash flow statement'!AF160</f>
        <v>119425.10929278545</v>
      </c>
      <c r="AG1170" s="41">
        <f>'Cash flow statement'!AG160</f>
        <v>125312.69944878791</v>
      </c>
      <c r="AH1170" s="41">
        <f>'Cash flow statement'!AH160</f>
        <v>131434.27287413037</v>
      </c>
    </row>
    <row r="1171" spans="1:34" s="20" customFormat="1" ht="14" x14ac:dyDescent="0.2">
      <c r="A1171" s="8"/>
      <c r="B1171" s="8" t="s">
        <v>175</v>
      </c>
      <c r="C1171" s="8"/>
      <c r="D1171" s="8" t="str">
        <f>'Assumptions - General'!$E$27 &amp;" millions"</f>
        <v>R$ millions</v>
      </c>
      <c r="E1171" s="29">
        <f t="shared" ref="E1171:AH1171" si="446">IF(E19=1,E1230+E1246+E1262+E1292+E1322+E1352+E1382,0)</f>
        <v>42</v>
      </c>
      <c r="F1171" s="29">
        <f t="shared" si="446"/>
        <v>19.875</v>
      </c>
      <c r="G1171" s="29">
        <f t="shared" si="446"/>
        <v>45.247</v>
      </c>
      <c r="H1171" s="29">
        <f t="shared" si="446"/>
        <v>33.094499999999996</v>
      </c>
      <c r="I1171" s="29">
        <f t="shared" si="446"/>
        <v>34.502499999999998</v>
      </c>
      <c r="J1171" s="29">
        <f t="shared" si="446"/>
        <v>36.018500000000003</v>
      </c>
      <c r="K1171" s="29">
        <f t="shared" si="446"/>
        <v>37.579499999999996</v>
      </c>
      <c r="L1171" s="29">
        <f t="shared" si="446"/>
        <v>37.8825</v>
      </c>
      <c r="M1171" s="29">
        <f t="shared" si="446"/>
        <v>36.957500000000003</v>
      </c>
      <c r="N1171" s="29">
        <f t="shared" si="446"/>
        <v>35.972499999999997</v>
      </c>
      <c r="O1171" s="29">
        <f t="shared" si="446"/>
        <v>12.059999999999999</v>
      </c>
      <c r="P1171" s="29">
        <f t="shared" si="446"/>
        <v>12</v>
      </c>
      <c r="Q1171" s="29">
        <f t="shared" si="446"/>
        <v>12</v>
      </c>
      <c r="R1171" s="29">
        <f t="shared" si="446"/>
        <v>12</v>
      </c>
      <c r="S1171" s="29">
        <f t="shared" si="446"/>
        <v>12</v>
      </c>
      <c r="T1171" s="29">
        <f t="shared" si="446"/>
        <v>12</v>
      </c>
      <c r="U1171" s="29">
        <f t="shared" si="446"/>
        <v>206</v>
      </c>
      <c r="V1171" s="29">
        <f t="shared" si="446"/>
        <v>0</v>
      </c>
      <c r="W1171" s="29">
        <f t="shared" si="446"/>
        <v>0</v>
      </c>
      <c r="X1171" s="29">
        <f t="shared" si="446"/>
        <v>0</v>
      </c>
      <c r="Y1171" s="29">
        <f t="shared" si="446"/>
        <v>0</v>
      </c>
      <c r="Z1171" s="29">
        <f t="shared" si="446"/>
        <v>0</v>
      </c>
      <c r="AA1171" s="29">
        <f t="shared" si="446"/>
        <v>0</v>
      </c>
      <c r="AB1171" s="29">
        <f t="shared" si="446"/>
        <v>0</v>
      </c>
      <c r="AC1171" s="29">
        <f t="shared" si="446"/>
        <v>0</v>
      </c>
      <c r="AD1171" s="29">
        <f t="shared" si="446"/>
        <v>0</v>
      </c>
      <c r="AE1171" s="29">
        <f t="shared" si="446"/>
        <v>0</v>
      </c>
      <c r="AF1171" s="29">
        <f t="shared" si="446"/>
        <v>0</v>
      </c>
      <c r="AG1171" s="29">
        <f t="shared" si="446"/>
        <v>0</v>
      </c>
      <c r="AH1171" s="29">
        <f t="shared" si="446"/>
        <v>0</v>
      </c>
    </row>
    <row r="1172" spans="1:34" s="20" customFormat="1" ht="14" x14ac:dyDescent="0.2">
      <c r="A1172" s="8"/>
      <c r="B1172" s="8" t="s">
        <v>152</v>
      </c>
      <c r="C1172" s="8"/>
      <c r="D1172" s="8" t="s">
        <v>118</v>
      </c>
      <c r="E1172" s="50" t="str">
        <f t="shared" ref="E1172:AH1172" si="447">IF(E19=1,IF(OR(ROUND(E1171,0)=0,ROUND(E1170,0)=0),"N/A",E1170/E1171),0)</f>
        <v>N/A</v>
      </c>
      <c r="F1172" s="50">
        <f t="shared" si="447"/>
        <v>1367.0068324948868</v>
      </c>
      <c r="G1172" s="50">
        <f t="shared" si="447"/>
        <v>623.96007816048746</v>
      </c>
      <c r="H1172" s="50">
        <f t="shared" si="447"/>
        <v>904.32503656142831</v>
      </c>
      <c r="I1172" s="50">
        <f t="shared" si="447"/>
        <v>939.95843010190413</v>
      </c>
      <c r="J1172" s="50">
        <f t="shared" si="447"/>
        <v>963.12270201511865</v>
      </c>
      <c r="K1172" s="50">
        <f t="shared" si="447"/>
        <v>1038.3877167955045</v>
      </c>
      <c r="L1172" s="50">
        <f t="shared" si="447"/>
        <v>1106.9492672176073</v>
      </c>
      <c r="M1172" s="50">
        <f t="shared" si="447"/>
        <v>1206.0513720878005</v>
      </c>
      <c r="N1172" s="50">
        <f t="shared" si="447"/>
        <v>1315.8046752601797</v>
      </c>
      <c r="O1172" s="50">
        <f t="shared" si="447"/>
        <v>4110.5541870687675</v>
      </c>
      <c r="P1172" s="50">
        <f t="shared" si="447"/>
        <v>4364.8980835412194</v>
      </c>
      <c r="Q1172" s="50">
        <f t="shared" si="447"/>
        <v>4612.6602828794648</v>
      </c>
      <c r="R1172" s="50">
        <f t="shared" si="447"/>
        <v>4871.4314057456641</v>
      </c>
      <c r="S1172" s="50">
        <f t="shared" si="447"/>
        <v>5142.0129180313825</v>
      </c>
      <c r="T1172" s="50">
        <f t="shared" si="447"/>
        <v>5424.3398035230693</v>
      </c>
      <c r="U1172" s="50">
        <f t="shared" si="447"/>
        <v>333.1690781968789</v>
      </c>
      <c r="V1172" s="50" t="str">
        <f t="shared" si="447"/>
        <v>N/A</v>
      </c>
      <c r="W1172" s="50" t="str">
        <f t="shared" si="447"/>
        <v>N/A</v>
      </c>
      <c r="X1172" s="50" t="str">
        <f t="shared" si="447"/>
        <v>N/A</v>
      </c>
      <c r="Y1172" s="50" t="str">
        <f t="shared" si="447"/>
        <v>N/A</v>
      </c>
      <c r="Z1172" s="50" t="str">
        <f t="shared" si="447"/>
        <v>N/A</v>
      </c>
      <c r="AA1172" s="50" t="str">
        <f t="shared" si="447"/>
        <v>N/A</v>
      </c>
      <c r="AB1172" s="50" t="str">
        <f t="shared" si="447"/>
        <v>N/A</v>
      </c>
      <c r="AC1172" s="50" t="str">
        <f t="shared" si="447"/>
        <v>N/A</v>
      </c>
      <c r="AD1172" s="50" t="str">
        <f t="shared" si="447"/>
        <v>N/A</v>
      </c>
      <c r="AE1172" s="50" t="str">
        <f t="shared" si="447"/>
        <v>N/A</v>
      </c>
      <c r="AF1172" s="50" t="str">
        <f t="shared" si="447"/>
        <v>N/A</v>
      </c>
      <c r="AG1172" s="50" t="str">
        <f t="shared" si="447"/>
        <v>N/A</v>
      </c>
      <c r="AH1172" s="50" t="str">
        <f t="shared" si="447"/>
        <v>N/A</v>
      </c>
    </row>
    <row r="1173" spans="1:34" s="20" customFormat="1" ht="14" x14ac:dyDescent="0.2">
      <c r="A1173" s="8"/>
      <c r="B1173" s="8" t="s">
        <v>153</v>
      </c>
      <c r="C1173" s="8"/>
      <c r="D1173" s="8" t="s">
        <v>118</v>
      </c>
      <c r="E1173" s="42">
        <f>IF(E19=1,'Assumptions - Infrastructure'!$E$341,0)</f>
        <v>1.3</v>
      </c>
      <c r="F1173" s="42">
        <f>IF(F19=1,'Assumptions - Infrastructure'!$E$341,0)</f>
        <v>1.3</v>
      </c>
      <c r="G1173" s="42">
        <f>IF(G19=1,'Assumptions - Infrastructure'!$E$341,0)</f>
        <v>1.3</v>
      </c>
      <c r="H1173" s="42">
        <f>IF(H19=1,'Assumptions - Infrastructure'!$E$341,0)</f>
        <v>1.3</v>
      </c>
      <c r="I1173" s="42">
        <f>IF(I19=1,'Assumptions - Infrastructure'!$E$341,0)</f>
        <v>1.3</v>
      </c>
      <c r="J1173" s="42">
        <f>IF(J19=1,'Assumptions - Infrastructure'!$E$341,0)</f>
        <v>1.3</v>
      </c>
      <c r="K1173" s="42">
        <f>IF(K19=1,'Assumptions - Infrastructure'!$E$341,0)</f>
        <v>1.3</v>
      </c>
      <c r="L1173" s="42">
        <f>IF(L19=1,'Assumptions - Infrastructure'!$E$341,0)</f>
        <v>1.3</v>
      </c>
      <c r="M1173" s="42">
        <f>IF(M19=1,'Assumptions - Infrastructure'!$E$341,0)</f>
        <v>1.3</v>
      </c>
      <c r="N1173" s="42">
        <f>IF(N19=1,'Assumptions - Infrastructure'!$E$341,0)</f>
        <v>1.3</v>
      </c>
      <c r="O1173" s="42">
        <f>IF(O19=1,'Assumptions - Infrastructure'!$E$341,0)</f>
        <v>1.3</v>
      </c>
      <c r="P1173" s="42">
        <f>IF(P19=1,'Assumptions - Infrastructure'!$E$341,0)</f>
        <v>1.3</v>
      </c>
      <c r="Q1173" s="42">
        <f>IF(Q19=1,'Assumptions - Infrastructure'!$E$341,0)</f>
        <v>1.3</v>
      </c>
      <c r="R1173" s="42">
        <f>IF(R19=1,'Assumptions - Infrastructure'!$E$341,0)</f>
        <v>1.3</v>
      </c>
      <c r="S1173" s="42">
        <f>IF(S19=1,'Assumptions - Infrastructure'!$E$341,0)</f>
        <v>1.3</v>
      </c>
      <c r="T1173" s="42">
        <f>IF(T19=1,'Assumptions - Infrastructure'!$E$341,0)</f>
        <v>1.3</v>
      </c>
      <c r="U1173" s="42">
        <f>IF(U19=1,'Assumptions - Infrastructure'!$E$341,0)</f>
        <v>1.3</v>
      </c>
      <c r="V1173" s="42">
        <f>IF(V19=1,'Assumptions - Infrastructure'!$E$341,0)</f>
        <v>1.3</v>
      </c>
      <c r="W1173" s="42">
        <f>IF(W19=1,'Assumptions - Infrastructure'!$E$341,0)</f>
        <v>1.3</v>
      </c>
      <c r="X1173" s="42">
        <f>IF(X19=1,'Assumptions - Infrastructure'!$E$341,0)</f>
        <v>1.3</v>
      </c>
      <c r="Y1173" s="42">
        <f>IF(Y19=1,'Assumptions - Infrastructure'!$E$341,0)</f>
        <v>1.3</v>
      </c>
      <c r="Z1173" s="42">
        <f>IF(Z19=1,'Assumptions - Infrastructure'!$E$341,0)</f>
        <v>1.3</v>
      </c>
      <c r="AA1173" s="42">
        <f>IF(AA19=1,'Assumptions - Infrastructure'!$E$341,0)</f>
        <v>1.3</v>
      </c>
      <c r="AB1173" s="42">
        <f>IF(AB19=1,'Assumptions - Infrastructure'!$E$341,0)</f>
        <v>1.3</v>
      </c>
      <c r="AC1173" s="42">
        <f>IF(AC19=1,'Assumptions - Infrastructure'!$E$341,0)</f>
        <v>1.3</v>
      </c>
      <c r="AD1173" s="42">
        <f>IF(AD19=1,'Assumptions - Infrastructure'!$E$341,0)</f>
        <v>1.3</v>
      </c>
      <c r="AE1173" s="42">
        <f>IF(AE19=1,'Assumptions - Infrastructure'!$E$341,0)</f>
        <v>1.3</v>
      </c>
      <c r="AF1173" s="42">
        <f>IF(AF19=1,'Assumptions - Infrastructure'!$E$341,0)</f>
        <v>1.3</v>
      </c>
      <c r="AG1173" s="42">
        <f>IF(AG19=1,'Assumptions - Infrastructure'!$E$341,0)</f>
        <v>1.3</v>
      </c>
      <c r="AH1173" s="42">
        <f>IF(AH19=1,'Assumptions - Infrastructure'!$E$341,0)</f>
        <v>1.3</v>
      </c>
    </row>
    <row r="1174" spans="1:34" s="20" customFormat="1" ht="14" x14ac:dyDescent="0.2">
      <c r="A1174" s="8"/>
      <c r="B1174" s="8" t="s">
        <v>646</v>
      </c>
      <c r="C1174" s="8"/>
      <c r="D1174" s="8" t="str">
        <f>'Assumptions - General'!$E$27 &amp;" millions"</f>
        <v>R$ millions</v>
      </c>
      <c r="E1174" s="29">
        <f>IF(E19=1,'Cash flow statement'!E167+'Cash flow statement'!E172+'Cash flow statement'!E171,0)</f>
        <v>0</v>
      </c>
      <c r="F1174" s="29">
        <f>IF(F19=1,'Cash flow statement'!F167+'Cash flow statement'!F172+'Cash flow statement'!F171,0)</f>
        <v>-89.55</v>
      </c>
      <c r="G1174" s="29">
        <f>IF(G19=1,'Cash flow statement'!G167+'Cash flow statement'!G172+'Cash flow statement'!G171,0)</f>
        <v>-204.0865</v>
      </c>
      <c r="H1174" s="29">
        <f>IF(H19=1,'Cash flow statement'!H167+'Cash flow statement'!H172+'Cash flow statement'!H171,0)</f>
        <v>-203.609095</v>
      </c>
      <c r="I1174" s="29">
        <f>IF(I19=1,'Cash flow statement'!I167+'Cash flow statement'!I172+'Cash flow statement'!I171,0)</f>
        <v>-208.11736784999999</v>
      </c>
      <c r="J1174" s="29">
        <f>IF(J19=1,'Cash flow statement'!J167+'Cash flow statement'!J172+'Cash flow statement'!J171,0)</f>
        <v>-207.6108888855</v>
      </c>
      <c r="K1174" s="29">
        <f>IF(K19=1,'Cash flow statement'!K167+'Cash flow statement'!K172+'Cash flow statement'!K171,0)</f>
        <v>-207.08921555206501</v>
      </c>
      <c r="L1174" s="29">
        <f>IF(L19=1,'Cash flow statement'!L167+'Cash flow statement'!L172+'Cash flow statement'!L171,0)</f>
        <v>-246.55189201862694</v>
      </c>
      <c r="M1174" s="29">
        <f>IF(M19=1,'Cash flow statement'!M167+'Cash flow statement'!M172+'Cash flow statement'!M171,0)</f>
        <v>-245.99844877918576</v>
      </c>
      <c r="N1174" s="29">
        <f>IF(N19=1,'Cash flow statement'!N167+'Cash flow statement'!N172+'Cash flow statement'!N171,0)</f>
        <v>-245.42840224256133</v>
      </c>
      <c r="O1174" s="29">
        <f>IF(O19=1,'Cash flow statement'!O167+'Cash flow statement'!O172+'Cash flow statement'!O171,0)</f>
        <v>-244.84125430983818</v>
      </c>
      <c r="P1174" s="29">
        <f>IF(P19=1,'Cash flow statement'!P167+'Cash flow statement'!P172+'Cash flow statement'!P171,0)</f>
        <v>-249.23649193913332</v>
      </c>
      <c r="Q1174" s="29">
        <f>IF(Q19=1,'Cash flow statement'!Q167+'Cash flow statement'!Q172+'Cash flow statement'!Q171,0)</f>
        <v>-248.61358669730731</v>
      </c>
      <c r="R1174" s="29">
        <f>IF(R19=1,'Cash flow statement'!R167+'Cash flow statement'!R172+'Cash flow statement'!R171,0)</f>
        <v>-247.97199429822652</v>
      </c>
      <c r="S1174" s="29">
        <f>IF(S19=1,'Cash flow statement'!S167+'Cash flow statement'!S172+'Cash flow statement'!S171,0)</f>
        <v>-247.31115412717332</v>
      </c>
      <c r="T1174" s="29">
        <f>IF(T19=1,'Cash flow statement'!T167+'Cash flow statement'!T172+'Cash flow statement'!T171,0)</f>
        <v>-246.63048875098852</v>
      </c>
      <c r="U1174" s="29">
        <f>IF(U19=1,'Cash flow statement'!U167+'Cash flow statement'!U172+'Cash flow statement'!U171,0)</f>
        <v>-245.92940341351817</v>
      </c>
      <c r="V1174" s="29">
        <f>IF(V19=1,'Cash flow statement'!V167+'Cash flow statement'!V172+'Cash flow statement'!V171,0)</f>
        <v>-245.20728551592373</v>
      </c>
      <c r="W1174" s="29">
        <f>IF(W19=1,'Cash flow statement'!W167+'Cash flow statement'!W172+'Cash flow statement'!W171,0)</f>
        <v>-244.46350408140142</v>
      </c>
      <c r="X1174" s="29">
        <f>IF(X19=1,'Cash flow statement'!X167+'Cash flow statement'!X172+'Cash flow statement'!X171,0)</f>
        <v>-243.69740920384348</v>
      </c>
      <c r="Y1174" s="29">
        <f>IF(Y19=1,'Cash flow statement'!Y167+'Cash flow statement'!Y172+'Cash flow statement'!Y171,0)</f>
        <v>-242.90833147995878</v>
      </c>
      <c r="Z1174" s="29">
        <f>IF(Z19=1,'Cash flow statement'!Z167+'Cash flow statement'!Z172+'Cash flow statement'!Z171,0)</f>
        <v>-242.09558142435753</v>
      </c>
      <c r="AA1174" s="29">
        <f>IF(AA19=1,'Cash flow statement'!AA167+'Cash flow statement'!AA172+'Cash flow statement'!AA171,0)</f>
        <v>-241.25844886708828</v>
      </c>
      <c r="AB1174" s="29">
        <f>IF(AB19=1,'Cash flow statement'!AB167+'Cash flow statement'!AB172+'Cash flow statement'!AB171,0)</f>
        <v>-240.39620233310092</v>
      </c>
      <c r="AC1174" s="29">
        <f>IF(AC19=1,'Cash flow statement'!AC167+'Cash flow statement'!AC172+'Cash flow statement'!AC171,0)</f>
        <v>-239.50808840309395</v>
      </c>
      <c r="AD1174" s="29">
        <f>IF(AD19=1,'Cash flow statement'!AD167+'Cash flow statement'!AD172+'Cash flow statement'!AD171,0)</f>
        <v>-238.59333105518675</v>
      </c>
      <c r="AE1174" s="29">
        <f>IF(AE19=1,'Cash flow statement'!AE167+'Cash flow statement'!AE172+'Cash flow statement'!AE171,0)</f>
        <v>-237.65113098684236</v>
      </c>
      <c r="AF1174" s="29">
        <f>IF(AF19=1,'Cash flow statement'!AF167+'Cash flow statement'!AF172+'Cash flow statement'!AF171,0)</f>
        <v>-236.68066491644763</v>
      </c>
      <c r="AG1174" s="29">
        <f>IF(AG19=1,'Cash flow statement'!AG167+'Cash flow statement'!AG172+'Cash flow statement'!AG171,0)</f>
        <v>-235.68108486394107</v>
      </c>
      <c r="AH1174" s="29">
        <f>IF(AH19=1,'Cash flow statement'!AH167+'Cash flow statement'!AH172+'Cash flow statement'!AH171,0)</f>
        <v>-234.65151740985928</v>
      </c>
    </row>
    <row r="1175" spans="1:34" s="20" customFormat="1" ht="14" x14ac:dyDescent="0.2">
      <c r="A1175" s="8"/>
      <c r="B1175" s="8" t="s">
        <v>156</v>
      </c>
      <c r="C1175" s="8"/>
      <c r="D1175" s="8" t="str">
        <f>'Assumptions - General'!$E$27 &amp;" millions"</f>
        <v>R$ millions</v>
      </c>
      <c r="E1175" s="50">
        <f t="shared" ref="E1175:AH1175" si="448">IF(E19=1,E1170-E1171+E1174,0)</f>
        <v>-42</v>
      </c>
      <c r="F1175" s="50">
        <f t="shared" si="448"/>
        <v>27059.835795835876</v>
      </c>
      <c r="G1175" s="50">
        <f t="shared" si="448"/>
        <v>27982.988156527575</v>
      </c>
      <c r="H1175" s="50">
        <f t="shared" si="448"/>
        <v>29691.481327482186</v>
      </c>
      <c r="I1175" s="50">
        <f t="shared" si="448"/>
        <v>32188.295866740944</v>
      </c>
      <c r="J1175" s="50">
        <f t="shared" si="448"/>
        <v>34446.605653646053</v>
      </c>
      <c r="K1175" s="50">
        <f t="shared" si="448"/>
        <v>38777.422487764597</v>
      </c>
      <c r="L1175" s="50">
        <f t="shared" si="448"/>
        <v>41649.571223352381</v>
      </c>
      <c r="M1175" s="50">
        <f t="shared" si="448"/>
        <v>44289.687635155708</v>
      </c>
      <c r="N1175" s="50">
        <f t="shared" si="448"/>
        <v>47051.382778554245</v>
      </c>
      <c r="O1175" s="50">
        <f t="shared" si="448"/>
        <v>49316.382241739499</v>
      </c>
      <c r="P1175" s="50">
        <f t="shared" si="448"/>
        <v>52117.540510555496</v>
      </c>
      <c r="Q1175" s="50">
        <f t="shared" si="448"/>
        <v>55091.309807856269</v>
      </c>
      <c r="R1175" s="50">
        <f t="shared" si="448"/>
        <v>58197.204874649746</v>
      </c>
      <c r="S1175" s="50">
        <f t="shared" si="448"/>
        <v>61444.843862249421</v>
      </c>
      <c r="T1175" s="50">
        <f t="shared" si="448"/>
        <v>64833.447153525842</v>
      </c>
      <c r="U1175" s="50">
        <f t="shared" si="448"/>
        <v>68180.900705143533</v>
      </c>
      <c r="V1175" s="50">
        <f t="shared" si="448"/>
        <v>72082.464300397842</v>
      </c>
      <c r="W1175" s="50">
        <f t="shared" si="448"/>
        <v>75945.185256180543</v>
      </c>
      <c r="X1175" s="50">
        <f t="shared" si="448"/>
        <v>79977.194874929439</v>
      </c>
      <c r="Y1175" s="50">
        <f t="shared" si="448"/>
        <v>84185.207576105429</v>
      </c>
      <c r="Z1175" s="50">
        <f t="shared" si="448"/>
        <v>88576.188705201494</v>
      </c>
      <c r="AA1175" s="50">
        <f t="shared" si="448"/>
        <v>93157.363552083203</v>
      </c>
      <c r="AB1175" s="50">
        <f t="shared" si="448"/>
        <v>97936.226684550464</v>
      </c>
      <c r="AC1175" s="50">
        <f t="shared" si="448"/>
        <v>102920.55160795148</v>
      </c>
      <c r="AD1175" s="50">
        <f t="shared" si="448"/>
        <v>108118.4007620349</v>
      </c>
      <c r="AE1175" s="50">
        <f t="shared" si="448"/>
        <v>113538.13586659756</v>
      </c>
      <c r="AF1175" s="50">
        <f t="shared" si="448"/>
        <v>119188.428627869</v>
      </c>
      <c r="AG1175" s="50">
        <f t="shared" si="448"/>
        <v>125077.01836392397</v>
      </c>
      <c r="AH1175" s="50">
        <f t="shared" si="448"/>
        <v>131199.62135672051</v>
      </c>
    </row>
    <row r="1176" spans="1:34" s="20" customFormat="1" ht="14" x14ac:dyDescent="0.2">
      <c r="A1176" s="8"/>
      <c r="B1176" s="8" t="s">
        <v>154</v>
      </c>
      <c r="C1176" s="8"/>
      <c r="D1176" s="8" t="str">
        <f>'Assumptions - General'!$E$27 &amp;" millions"</f>
        <v>R$ millions</v>
      </c>
      <c r="E1176" s="41">
        <f>IF(E19=1,IF(AND(E1172&gt;=E1173,E1172&gt;0,E1175&gt;0),'Assumptions - Infrastructure'!$E$343*Calculations!E1175,0),0)</f>
        <v>0</v>
      </c>
      <c r="F1176" s="41">
        <f>IF(F19=1,IF(AND(F1172&gt;=F1173,F1172&gt;0,F1175&gt;0),'Assumptions - Infrastructure'!$E$343*Calculations!F1175,0),0)</f>
        <v>18941.88505708511</v>
      </c>
      <c r="G1176" s="41">
        <f>IF(G19=1,IF(AND(G1172&gt;=G1173,G1172&gt;0,G1175&gt;0),'Assumptions - Infrastructure'!$E$343*Calculations!G1175,0),0)</f>
        <v>19588.0917095693</v>
      </c>
      <c r="H1176" s="41">
        <f>IF(H19=1,IF(AND(H1172&gt;=H1173,H1172&gt;0,H1175&gt;0),'Assumptions - Infrastructure'!$E$343*Calculations!H1175,0),0)</f>
        <v>20784.036929237529</v>
      </c>
      <c r="I1176" s="41">
        <f>IF(I19=1,IF(AND(I1172&gt;=I1173,I1172&gt;0,I1175&gt;0),'Assumptions - Infrastructure'!$E$343*Calculations!I1175,0),0)</f>
        <v>22531.807106718661</v>
      </c>
      <c r="J1176" s="41">
        <f>IF(J19=1,IF(AND(J1172&gt;=J1173,J1172&gt;0,J1175&gt;0),'Assumptions - Infrastructure'!$E$343*Calculations!J1175,0),0)</f>
        <v>24112.623957552234</v>
      </c>
      <c r="K1176" s="41">
        <f>IF(K19=1,IF(AND(K1172&gt;=K1173,K1172&gt;0,K1175&gt;0),'Assumptions - Infrastructure'!$E$343*Calculations!K1175,0),0)</f>
        <v>27144.195741435218</v>
      </c>
      <c r="L1176" s="41">
        <f>IF(L19=1,IF(AND(L1172&gt;=L1173,L1172&gt;0,L1175&gt;0),'Assumptions - Infrastructure'!$E$343*Calculations!L1175,0),0)</f>
        <v>29154.699856346666</v>
      </c>
      <c r="M1176" s="41">
        <f>IF(M19=1,IF(AND(M1172&gt;=M1173,M1172&gt;0,M1175&gt;0),'Assumptions - Infrastructure'!$E$343*Calculations!M1175,0),0)</f>
        <v>31002.781344608993</v>
      </c>
      <c r="N1176" s="41">
        <f>IF(N19=1,IF(AND(N1172&gt;=N1173,N1172&gt;0,N1175&gt;0),'Assumptions - Infrastructure'!$E$343*Calculations!N1175,0),0)</f>
        <v>32935.96794498797</v>
      </c>
      <c r="O1176" s="41">
        <f>IF(O19=1,IF(AND(O1172&gt;=O1173,O1172&gt;0,O1175&gt;0),'Assumptions - Infrastructure'!$E$343*Calculations!O1175,0),0)</f>
        <v>34521.467569217646</v>
      </c>
      <c r="P1176" s="41">
        <f>IF(P19=1,IF(AND(P1172&gt;=P1173,P1172&gt;0,P1175&gt;0),'Assumptions - Infrastructure'!$E$343*Calculations!P1175,0),0)</f>
        <v>36482.278357388845</v>
      </c>
      <c r="Q1176" s="41">
        <f>IF(Q19=1,IF(AND(Q1172&gt;=Q1173,Q1172&gt;0,Q1175&gt;0),'Assumptions - Infrastructure'!$E$343*Calculations!Q1175,0),0)</f>
        <v>38563.916865499385</v>
      </c>
      <c r="R1176" s="41">
        <f>IF(R19=1,IF(AND(R1172&gt;=R1173,R1172&gt;0,R1175&gt;0),'Assumptions - Infrastructure'!$E$343*Calculations!R1175,0),0)</f>
        <v>40738.043412254818</v>
      </c>
      <c r="S1176" s="41">
        <f>IF(S19=1,IF(AND(S1172&gt;=S1173,S1172&gt;0,S1175&gt;0),'Assumptions - Infrastructure'!$E$343*Calculations!S1175,0),0)</f>
        <v>43011.390703574594</v>
      </c>
      <c r="T1176" s="41">
        <f>IF(T19=1,IF(AND(T1172&gt;=T1173,T1172&gt;0,T1175&gt;0),'Assumptions - Infrastructure'!$E$343*Calculations!T1175,0),0)</f>
        <v>45383.413007468087</v>
      </c>
      <c r="U1176" s="41">
        <f>IF(U19=1,IF(AND(U1172&gt;=U1173,U1172&gt;0,U1175&gt;0),'Assumptions - Infrastructure'!$E$343*Calculations!U1175,0),0)</f>
        <v>47726.630493600467</v>
      </c>
      <c r="V1176" s="41">
        <f>IF(V19=1,IF(AND(V1172&gt;=V1173,V1172&gt;0,V1175&gt;0),'Assumptions - Infrastructure'!$E$343*Calculations!V1175,0),0)</f>
        <v>50457.725010278489</v>
      </c>
      <c r="W1176" s="41">
        <f>IF(W19=1,IF(AND(W1172&gt;=W1173,W1172&gt;0,W1175&gt;0),'Assumptions - Infrastructure'!$E$343*Calculations!W1175,0),0)</f>
        <v>53161.629679326375</v>
      </c>
      <c r="X1176" s="41">
        <f>IF(X19=1,IF(AND(X1172&gt;=X1173,X1172&gt;0,X1175&gt;0),'Assumptions - Infrastructure'!$E$343*Calculations!X1175,0),0)</f>
        <v>55984.036412450601</v>
      </c>
      <c r="Y1176" s="41">
        <f>IF(Y19=1,IF(AND(Y1172&gt;=Y1173,Y1172&gt;0,Y1175&gt;0),'Assumptions - Infrastructure'!$E$343*Calculations!Y1175,0),0)</f>
        <v>58929.645303273799</v>
      </c>
      <c r="Z1176" s="41">
        <f>IF(Z19=1,IF(AND(Z1172&gt;=Z1173,Z1172&gt;0,Z1175&gt;0),'Assumptions - Infrastructure'!$E$343*Calculations!Z1175,0),0)</f>
        <v>62003.332093641038</v>
      </c>
      <c r="AA1176" s="41">
        <f>IF(AA19=1,IF(AND(AA1172&gt;=AA1173,AA1172&gt;0,AA1175&gt;0),'Assumptions - Infrastructure'!$E$343*Calculations!AA1175,0),0)</f>
        <v>65210.154486458239</v>
      </c>
      <c r="AB1176" s="41">
        <f>IF(AB19=1,IF(AND(AB1172&gt;=AB1173,AB1172&gt;0,AB1175&gt;0),'Assumptions - Infrastructure'!$E$343*Calculations!AB1175,0),0)</f>
        <v>68555.358679185316</v>
      </c>
      <c r="AC1176" s="41">
        <f>IF(AC19=1,IF(AND(AC1172&gt;=AC1173,AC1172&gt;0,AC1175&gt;0),'Assumptions - Infrastructure'!$E$343*Calculations!AC1175,0),0)</f>
        <v>72044.38612556603</v>
      </c>
      <c r="AD1176" s="41">
        <f>IF(AD19=1,IF(AND(AD1172&gt;=AD1173,AD1172&gt;0,AD1175&gt;0),'Assumptions - Infrastructure'!$E$343*Calculations!AD1175,0),0)</f>
        <v>75682.880533424424</v>
      </c>
      <c r="AE1176" s="41">
        <f>IF(AE19=1,IF(AND(AE1172&gt;=AE1173,AE1172&gt;0,AE1175&gt;0),'Assumptions - Infrastructure'!$E$343*Calculations!AE1175,0),0)</f>
        <v>79476.695106618281</v>
      </c>
      <c r="AF1176" s="41">
        <f>IF(AF19=1,IF(AND(AF1172&gt;=AF1173,AF1172&gt;0,AF1175&gt;0),'Assumptions - Infrastructure'!$E$343*Calculations!AF1175,0),0)</f>
        <v>83431.900039508299</v>
      </c>
      <c r="AG1176" s="41">
        <f>IF(AG19=1,IF(AND(AG1172&gt;=AG1173,AG1172&gt;0,AG1175&gt;0),'Assumptions - Infrastructure'!$E$343*Calculations!AG1175,0),0)</f>
        <v>87553.91285474677</v>
      </c>
      <c r="AH1176" s="41">
        <f>IF(AH19=1,IF(AND(AH1172&gt;=AH1173,AH1172&gt;0,AH1175&gt;0),'Assumptions - Infrastructure'!$E$343*Calculations!AH1175,0),0)</f>
        <v>91839.734949704347</v>
      </c>
    </row>
    <row r="1178" spans="1:34" x14ac:dyDescent="0.2">
      <c r="A1178" s="316"/>
      <c r="B1178" s="315" t="str">
        <f>"Financial results for " &amp;'Assumptions - General'!E26</f>
        <v>Financial results for Ruritania Railway Infrastructure Company</v>
      </c>
      <c r="C1178" s="316"/>
      <c r="D1178" s="316"/>
      <c r="E1178" s="316"/>
      <c r="F1178" s="316"/>
      <c r="G1178" s="316"/>
      <c r="H1178" s="316"/>
      <c r="I1178" s="316"/>
      <c r="J1178" s="316"/>
      <c r="K1178" s="316"/>
      <c r="L1178" s="316"/>
      <c r="M1178" s="316"/>
      <c r="N1178" s="316"/>
      <c r="O1178" s="316"/>
      <c r="P1178" s="316"/>
      <c r="Q1178" s="316"/>
      <c r="R1178" s="316"/>
      <c r="S1178" s="316"/>
      <c r="T1178" s="316"/>
      <c r="U1178" s="316"/>
      <c r="V1178" s="316"/>
      <c r="W1178" s="316"/>
      <c r="X1178" s="316"/>
      <c r="Y1178" s="316"/>
      <c r="Z1178" s="316"/>
      <c r="AA1178" s="316"/>
      <c r="AB1178" s="316"/>
      <c r="AC1178" s="316"/>
      <c r="AD1178" s="316"/>
      <c r="AE1178" s="316"/>
      <c r="AF1178" s="316"/>
      <c r="AG1178" s="316"/>
      <c r="AH1178" s="316"/>
    </row>
    <row r="1179" spans="1:34" s="20" customFormat="1" ht="14" x14ac:dyDescent="0.2">
      <c r="A1179" s="8"/>
      <c r="B1179" s="8"/>
      <c r="C1179" s="8"/>
      <c r="D1179" s="8"/>
      <c r="E1179" s="15"/>
      <c r="F1179" s="8"/>
      <c r="G1179" s="8"/>
      <c r="H1179" s="8"/>
      <c r="I1179" s="8"/>
      <c r="J1179" s="8"/>
      <c r="K1179" s="8"/>
      <c r="L1179" s="8"/>
      <c r="M1179" s="8"/>
      <c r="N1179" s="8"/>
      <c r="O1179" s="8"/>
      <c r="P1179" s="8"/>
      <c r="Q1179" s="8"/>
      <c r="R1179" s="8"/>
      <c r="S1179" s="8"/>
      <c r="T1179" s="8"/>
      <c r="U1179" s="8"/>
      <c r="V1179" s="8"/>
      <c r="W1179" s="8"/>
      <c r="X1179" s="8"/>
      <c r="Y1179" s="8"/>
      <c r="Z1179" s="8"/>
      <c r="AA1179" s="8"/>
      <c r="AB1179" s="8"/>
      <c r="AC1179" s="8"/>
      <c r="AD1179" s="8"/>
      <c r="AE1179" s="8"/>
      <c r="AF1179" s="8"/>
      <c r="AG1179" s="8"/>
      <c r="AH1179" s="8"/>
    </row>
    <row r="1180" spans="1:34" s="20" customFormat="1" ht="14" x14ac:dyDescent="0.2">
      <c r="A1180" s="8"/>
      <c r="B1180" s="8" t="s">
        <v>102</v>
      </c>
      <c r="C1180" s="8"/>
      <c r="D1180" s="8" t="str">
        <f>'Assumptions - General'!$E$27 &amp;" millions"</f>
        <v>R$ millions</v>
      </c>
      <c r="E1180" s="41">
        <f>'Income statement'!E170</f>
        <v>26141.5</v>
      </c>
      <c r="F1180" s="41">
        <f>'Income statement'!F170</f>
        <v>27314.173418180275</v>
      </c>
      <c r="G1180" s="41">
        <f>'Income statement'!G170</f>
        <v>28291.093848928758</v>
      </c>
      <c r="H1180" s="41">
        <f>'Income statement'!H170</f>
        <v>30101.399023071834</v>
      </c>
      <c r="I1180" s="41">
        <f>'Income statement'!I170</f>
        <v>32717.882902383019</v>
      </c>
      <c r="J1180" s="41">
        <f>'Income statement'!J170</f>
        <v>34875.662434782113</v>
      </c>
      <c r="K1180" s="41">
        <f>'Income statement'!K170</f>
        <v>39649.761168599085</v>
      </c>
      <c r="L1180" s="41">
        <f>'Income statement'!L170</f>
        <v>42134.863062061413</v>
      </c>
      <c r="M1180" s="41">
        <f>'Income statement'!M170</f>
        <v>44777.660541947087</v>
      </c>
      <c r="N1180" s="41">
        <f>'Income statement'!N170</f>
        <v>47542.788886239912</v>
      </c>
      <c r="O1180" s="41">
        <f>'Income statement'!O170</f>
        <v>49789.046053442857</v>
      </c>
      <c r="P1180" s="41">
        <f>'Income statement'!P170</f>
        <v>52599.457607595359</v>
      </c>
      <c r="Q1180" s="41">
        <f>'Income statement'!Q170</f>
        <v>55581.93878046397</v>
      </c>
      <c r="R1180" s="41">
        <f>'Income statement'!R170</f>
        <v>58702.727972747889</v>
      </c>
      <c r="S1180" s="41">
        <f>'Income statement'!S170</f>
        <v>61957.275198417134</v>
      </c>
      <c r="T1180" s="41">
        <f>'Income statement'!T170</f>
        <v>65366.146945725952</v>
      </c>
      <c r="U1180" s="41">
        <f>'Income statement'!U170</f>
        <v>68920.790960076469</v>
      </c>
      <c r="V1180" s="41">
        <f>'Income statement'!V170</f>
        <v>72630.284113837246</v>
      </c>
      <c r="W1180" s="41">
        <f>'Income statement'!W170</f>
        <v>76501.700533181545</v>
      </c>
      <c r="X1180" s="41">
        <f>'Income statement'!X170</f>
        <v>80543.199285037263</v>
      </c>
      <c r="Y1180" s="41">
        <f>'Income statement'!Y170</f>
        <v>84761.523538830384</v>
      </c>
      <c r="Z1180" s="41">
        <f>'Income statement'!Z170</f>
        <v>89163.668407549121</v>
      </c>
      <c r="AA1180" s="41">
        <f>'Income statement'!AA170</f>
        <v>93756.889999742605</v>
      </c>
      <c r="AB1180" s="41">
        <f>'Income statement'!AB170</f>
        <v>98548.714788238052</v>
      </c>
      <c r="AC1180" s="41">
        <f>'Income statement'!AC170</f>
        <v>103546.94930635183</v>
      </c>
      <c r="AD1180" s="41">
        <f>'Income statement'!AD170</f>
        <v>108759.69018275783</v>
      </c>
      <c r="AE1180" s="41">
        <f>'Income statement'!AE170</f>
        <v>114195.33452656849</v>
      </c>
      <c r="AF1180" s="41">
        <f>'Income statement'!AF170</f>
        <v>119862.5906745829</v>
      </c>
      <c r="AG1180" s="41">
        <f>'Income statement'!AG170</f>
        <v>125773.41403918967</v>
      </c>
      <c r="AH1180" s="41">
        <f>'Income statement'!AH170</f>
        <v>131968.87090333822</v>
      </c>
    </row>
    <row r="1181" spans="1:34" s="20" customFormat="1" ht="14" x14ac:dyDescent="0.2">
      <c r="A1181" s="8"/>
      <c r="B1181" s="8" t="s">
        <v>214</v>
      </c>
      <c r="C1181" s="8"/>
      <c r="D1181" s="8" t="str">
        <f>'Assumptions - General'!$E$27 &amp;" millions"</f>
        <v>R$ millions</v>
      </c>
      <c r="E1181" s="41">
        <f>IF(E$19=1,'Income statement'!E147," ")</f>
        <v>41464.5</v>
      </c>
      <c r="F1181" s="41">
        <f>IF(F$19=1,'Income statement'!F147," ")</f>
        <v>43342.413367254689</v>
      </c>
      <c r="G1181" s="41">
        <f>IF(G$19=1,'Income statement'!G147," ")</f>
        <v>44629.462475560264</v>
      </c>
      <c r="H1181" s="41">
        <f>IF(H$19=1,'Income statement'!H147," ")</f>
        <v>46978.379153601578</v>
      </c>
      <c r="I1181" s="41">
        <f>IF(I$19=1,'Income statement'!I147," ")</f>
        <v>50483.639846161881</v>
      </c>
      <c r="J1181" s="41">
        <f>IF(J$19=1,'Income statement'!J147," ")</f>
        <v>53070.542842196119</v>
      </c>
      <c r="K1181" s="41">
        <f>IF(K$19=1,'Income statement'!K147," ")</f>
        <v>59477.445059466445</v>
      </c>
      <c r="L1181" s="41">
        <f>IF(L$19=1,'Income statement'!L147," ")</f>
        <v>62400.347313710416</v>
      </c>
      <c r="M1181" s="41">
        <f>IF(M$19=1,'Income statement'!M147," ")</f>
        <v>65445.527251028543</v>
      </c>
      <c r="N1181" s="41">
        <f>IF(N$19=1,'Income statement'!N147," ")</f>
        <v>68617.681653750478</v>
      </c>
      <c r="O1181" s="41">
        <f>IF(O$19=1,'Income statement'!O147," ")</f>
        <v>71921.707245378129</v>
      </c>
      <c r="P1181" s="41">
        <f>IF(P$19=1,'Income statement'!P147," ")</f>
        <v>75362.660041040275</v>
      </c>
      <c r="Q1181" s="41">
        <f>IF(Q$19=1,'Income statement'!Q147," ")</f>
        <v>78945.614046321498</v>
      </c>
      <c r="R1181" s="41">
        <f>IF(R$19=1,'Income statement'!R147," ")</f>
        <v>82675.927741823587</v>
      </c>
      <c r="S1181" s="41">
        <f>IF(S$19=1,'Income statement'!S147," ")</f>
        <v>86559.815758387616</v>
      </c>
      <c r="T1181" s="41">
        <f>IF(T$19=1,'Income statement'!T147," ")</f>
        <v>90602.231248637938</v>
      </c>
      <c r="U1181" s="41">
        <f>IF(U$19=1,'Income statement'!U147," ")</f>
        <v>94810.329061139098</v>
      </c>
      <c r="V1181" s="41">
        <f>IF(V$19=1,'Income statement'!V147," ")</f>
        <v>99189.802583153782</v>
      </c>
      <c r="W1181" s="41">
        <f>IF(W$19=1,'Income statement'!W147," ")</f>
        <v>103747.14700685862</v>
      </c>
      <c r="X1181" s="41">
        <f>IF(X$19=1,'Income statement'!X147," ")</f>
        <v>108489.0930096604</v>
      </c>
      <c r="Y1181" s="41">
        <f>IF(Y$19=1,'Income statement'!Y147," ")</f>
        <v>113422.61503471887</v>
      </c>
      <c r="Z1181" s="41">
        <f>IF(Z$19=1,'Income statement'!Z147," ")</f>
        <v>118554.93985719691</v>
      </c>
      <c r="AA1181" s="41">
        <f>IF(AA$19=1,'Income statement'!AA147," ")</f>
        <v>123893.55544566346</v>
      </c>
      <c r="AB1181" s="41">
        <f>IF(AB$19=1,'Income statement'!AB147," ")</f>
        <v>129446.22012847484</v>
      </c>
      <c r="AC1181" s="41">
        <f>IF(AC$19=1,'Income statement'!AC147," ")</f>
        <v>135220.9720753438</v>
      </c>
      <c r="AD1181" s="41">
        <f>IF(AD$19=1,'Income statement'!AD147," ")</f>
        <v>141226.13910467943</v>
      </c>
      <c r="AE1181" s="41">
        <f>IF(AE$19=1,'Income statement'!AE147," ")</f>
        <v>147470.34882765758</v>
      </c>
      <c r="AF1181" s="41">
        <f>IF(AF$19=1,'Income statement'!AF147," ")</f>
        <v>153962.53914036011</v>
      </c>
      <c r="AG1181" s="41">
        <f>IF(AG$19=1,'Income statement'!AG147," ")</f>
        <v>160711.78798815043</v>
      </c>
      <c r="AH1181" s="41">
        <f>IF(AH$19=1,'Income statement'!AH147," ")</f>
        <v>167722.96358057851</v>
      </c>
    </row>
    <row r="1182" spans="1:34" s="20" customFormat="1" ht="14" x14ac:dyDescent="0.2">
      <c r="A1182" s="8"/>
      <c r="B1182" s="8" t="s">
        <v>213</v>
      </c>
      <c r="C1182" s="8"/>
      <c r="D1182" s="8" t="s">
        <v>15</v>
      </c>
      <c r="E1182" s="54">
        <f t="shared" ref="E1182:AH1182" si="449">IF(E19=1,E1180/E1181,"N/A")</f>
        <v>0.63045496750232122</v>
      </c>
      <c r="F1182" s="54">
        <f t="shared" si="449"/>
        <v>0.63019502829106899</v>
      </c>
      <c r="G1182" s="54">
        <f t="shared" si="449"/>
        <v>0.63391070112980563</v>
      </c>
      <c r="H1182" s="54">
        <f t="shared" si="449"/>
        <v>0.64075005492742976</v>
      </c>
      <c r="I1182" s="54">
        <f t="shared" si="449"/>
        <v>0.64808882644127452</v>
      </c>
      <c r="J1182" s="54">
        <f t="shared" si="449"/>
        <v>0.65715669309213565</v>
      </c>
      <c r="K1182" s="54">
        <f t="shared" si="449"/>
        <v>0.66663524515817141</v>
      </c>
      <c r="L1182" s="54">
        <f t="shared" si="449"/>
        <v>0.67523443179303699</v>
      </c>
      <c r="M1182" s="54">
        <f t="shared" si="449"/>
        <v>0.68419741459479744</v>
      </c>
      <c r="N1182" s="54">
        <f t="shared" si="449"/>
        <v>0.69286498378281103</v>
      </c>
      <c r="O1182" s="54">
        <f t="shared" si="449"/>
        <v>0.69226729954526245</v>
      </c>
      <c r="P1182" s="54">
        <f t="shared" si="449"/>
        <v>0.69795118138015899</v>
      </c>
      <c r="Q1182" s="54">
        <f t="shared" si="449"/>
        <v>0.70405353675317739</v>
      </c>
      <c r="R1182" s="54">
        <f t="shared" si="449"/>
        <v>0.71003410032557412</v>
      </c>
      <c r="S1182" s="54">
        <f t="shared" si="449"/>
        <v>0.71577411129613566</v>
      </c>
      <c r="T1182" s="54">
        <f t="shared" si="449"/>
        <v>0.72146288281072135</v>
      </c>
      <c r="U1182" s="54">
        <f t="shared" si="449"/>
        <v>0.72693335887097721</v>
      </c>
      <c r="V1182" s="54">
        <f t="shared" si="449"/>
        <v>0.73223539338077726</v>
      </c>
      <c r="W1182" s="54">
        <f t="shared" si="449"/>
        <v>0.73738606545126584</v>
      </c>
      <c r="X1182" s="54">
        <f t="shared" si="449"/>
        <v>0.74240826474478228</v>
      </c>
      <c r="Y1182" s="54">
        <f t="shared" si="449"/>
        <v>0.74730708256801104</v>
      </c>
      <c r="Z1182" s="54">
        <f t="shared" si="449"/>
        <v>0.75208733195723032</v>
      </c>
      <c r="AA1182" s="54">
        <f t="shared" si="449"/>
        <v>0.75675356690253337</v>
      </c>
      <c r="AB1182" s="54">
        <f t="shared" si="449"/>
        <v>0.76131009998151244</v>
      </c>
      <c r="AC1182" s="54">
        <f t="shared" si="449"/>
        <v>0.76576101855455148</v>
      </c>
      <c r="AD1182" s="54">
        <f t="shared" si="449"/>
        <v>0.77011019965746663</v>
      </c>
      <c r="AE1182" s="54">
        <f t="shared" si="449"/>
        <v>0.77436132371276745</v>
      </c>
      <c r="AF1182" s="54">
        <f t="shared" si="449"/>
        <v>0.77851788716806003</v>
      </c>
      <c r="AG1182" s="54">
        <f t="shared" si="449"/>
        <v>0.782602294540231</v>
      </c>
      <c r="AH1182" s="54">
        <f t="shared" si="449"/>
        <v>0.78682649105432079</v>
      </c>
    </row>
    <row r="1183" spans="1:34" s="20" customFormat="1" ht="14" x14ac:dyDescent="0.2">
      <c r="A1183" s="8"/>
      <c r="B1183" s="8" t="s">
        <v>168</v>
      </c>
      <c r="C1183" s="8"/>
      <c r="D1183" s="8" t="str">
        <f>'Assumptions - General'!$E$27 &amp;" millions"</f>
        <v>R$ millions</v>
      </c>
      <c r="E1183" s="474">
        <f>'Balance sheet'!E177</f>
        <v>5587.5</v>
      </c>
      <c r="F1183" s="41">
        <f>IF(F$19=1,('Balance sheet'!F177+'Balance sheet'!E177)/2," ")</f>
        <v>9780.3628017982901</v>
      </c>
      <c r="G1183" s="41">
        <f>IF(G$19=1,('Balance sheet'!G177+'Balance sheet'!F177)/2," ")</f>
        <v>18330.758499520569</v>
      </c>
      <c r="H1183" s="41">
        <f>IF(H$19=1,('Balance sheet'!H177+'Balance sheet'!G177)/2," ")</f>
        <v>27352.884602756047</v>
      </c>
      <c r="I1183" s="41">
        <f>IF(I$19=1,('Balance sheet'!I177+'Balance sheet'!H177)/2," ")</f>
        <v>37116.315083504756</v>
      </c>
      <c r="J1183" s="41">
        <f>IF(J$19=1,('Balance sheet'!J177+'Balance sheet'!I177)/2," ")</f>
        <v>47602.357774433542</v>
      </c>
      <c r="K1183" s="41">
        <f>IF(K$19=1,('Balance sheet'!K177+'Balance sheet'!J177)/2," ")</f>
        <v>59247.916433143335</v>
      </c>
      <c r="L1183" s="41">
        <f>IF(L$19=1,('Balance sheet'!L177+'Balance sheet'!K177)/2," ")</f>
        <v>72001.802843872239</v>
      </c>
      <c r="M1183" s="41">
        <f>IF(M$19=1,('Balance sheet'!M177+'Balance sheet'!L177)/2," ")</f>
        <v>85390.104442401935</v>
      </c>
      <c r="N1183" s="41">
        <f>IF(N$19=1,('Balance sheet'!N177+'Balance sheet'!M177)/2," ")</f>
        <v>99591.490174631763</v>
      </c>
      <c r="O1183" s="41">
        <f>IF(O$19=1,('Balance sheet'!O177+'Balance sheet'!N177)/2," ")</f>
        <v>114538.97298932759</v>
      </c>
      <c r="P1183" s="41">
        <f>IF(P$19=1,('Balance sheet'!P177+'Balance sheet'!O177)/2," ")</f>
        <v>130241.3655211211</v>
      </c>
      <c r="Q1183" s="41">
        <f>IF(Q$19=1,('Balance sheet'!Q177+'Balance sheet'!P177)/2," ")</f>
        <v>146818.77732965746</v>
      </c>
      <c r="R1183" s="41">
        <f>IF(R$19=1,('Balance sheet'!R177+'Balance sheet'!Q177)/2," ")</f>
        <v>164319.92698492395</v>
      </c>
      <c r="S1183" s="41">
        <f>IF(S$19=1,('Balance sheet'!S177+'Balance sheet'!R177)/2," ")</f>
        <v>182784.92570515093</v>
      </c>
      <c r="T1183" s="41">
        <f>IF(T$19=1,('Balance sheet'!T177+'Balance sheet'!S177)/2," ")</f>
        <v>202258.94859919051</v>
      </c>
      <c r="U1183" s="41">
        <f>IF(U$19=1,('Balance sheet'!U177+'Balance sheet'!T177)/2," ")</f>
        <v>222857.07831296028</v>
      </c>
      <c r="V1183" s="41">
        <f>IF(V$19=1,('Balance sheet'!V177+'Balance sheet'!U177)/2," ")</f>
        <v>244549.79229306633</v>
      </c>
      <c r="W1183" s="41">
        <f>IF(W$19=1,('Balance sheet'!W177+'Balance sheet'!V177)/2," ")</f>
        <v>267315.12291960284</v>
      </c>
      <c r="X1183" s="41">
        <f>IF(X$19=1,('Balance sheet'!X177+'Balance sheet'!W177)/2," ")</f>
        <v>291273.40639052121</v>
      </c>
      <c r="Y1183" s="41">
        <f>IF(Y$19=1,('Balance sheet'!Y177+'Balance sheet'!X177)/2," ")</f>
        <v>316477.23374046996</v>
      </c>
      <c r="Z1183" s="41">
        <f>IF(Z$19=1,('Balance sheet'!Z177+'Balance sheet'!Y177)/2," ")</f>
        <v>342981.27693359333</v>
      </c>
      <c r="AA1183" s="41">
        <f>IF(AA$19=1,('Balance sheet'!AA177+'Balance sheet'!Z177)/2," ")</f>
        <v>370842.3665144312</v>
      </c>
      <c r="AB1183" s="41">
        <f>IF(AB$19=1,('Balance sheet'!AB177+'Balance sheet'!AA177)/2," ")</f>
        <v>400119.57204675651</v>
      </c>
      <c r="AC1183" s="41">
        <f>IF(AC$19=1,('Balance sheet'!AC177+'Balance sheet'!AB177)/2," ")</f>
        <v>430874.28543773317</v>
      </c>
      <c r="AD1183" s="41">
        <f>IF(AD$19=1,('Balance sheet'!AD177+'Balance sheet'!AC177)/2," ")</f>
        <v>463170.30724811554</v>
      </c>
      <c r="AE1183" s="41">
        <f>IF(AE$19=1,('Balance sheet'!AE177+'Balance sheet'!AD177)/2," ")</f>
        <v>497073.93609266984</v>
      </c>
      <c r="AF1183" s="41">
        <f>IF(AF$19=1,('Balance sheet'!AF177+'Balance sheet'!AE177)/2," ")</f>
        <v>532654.06123855908</v>
      </c>
      <c r="AG1183" s="41">
        <f>IF(AG$19=1,('Balance sheet'!AG177+'Balance sheet'!AF177)/2," ")</f>
        <v>569984.25012888259</v>
      </c>
      <c r="AH1183" s="41">
        <f>IF(AH$19=1,('Balance sheet'!AH177+'Balance sheet'!AG177)/2," ")</f>
        <v>609165.82333366491</v>
      </c>
    </row>
    <row r="1184" spans="1:34" s="20" customFormat="1" ht="14" x14ac:dyDescent="0.2">
      <c r="A1184" s="8"/>
      <c r="B1184" s="8" t="s">
        <v>167</v>
      </c>
      <c r="C1184" s="8"/>
      <c r="D1184" s="8" t="s">
        <v>15</v>
      </c>
      <c r="E1184" s="54">
        <f t="shared" ref="E1184:AH1184" si="450">IF(E19=1,E1180/E1183,"N/A")</f>
        <v>4.678568232662192</v>
      </c>
      <c r="F1184" s="54">
        <f t="shared" si="450"/>
        <v>2.7927566667729429</v>
      </c>
      <c r="G1184" s="54">
        <f t="shared" si="450"/>
        <v>1.5433673325448425</v>
      </c>
      <c r="H1184" s="54">
        <f t="shared" si="450"/>
        <v>1.1004835307219791</v>
      </c>
      <c r="I1184" s="54">
        <f t="shared" si="450"/>
        <v>0.88149598980324184</v>
      </c>
      <c r="J1184" s="54">
        <f t="shared" si="450"/>
        <v>0.73264569372892008</v>
      </c>
      <c r="K1184" s="54">
        <f t="shared" si="450"/>
        <v>0.66921781482967013</v>
      </c>
      <c r="L1184" s="54">
        <f t="shared" si="450"/>
        <v>0.58519177850902004</v>
      </c>
      <c r="M1184" s="54">
        <f t="shared" si="450"/>
        <v>0.52438934036145723</v>
      </c>
      <c r="N1184" s="54">
        <f t="shared" si="450"/>
        <v>0.47737802499866749</v>
      </c>
      <c r="O1184" s="54">
        <f t="shared" si="450"/>
        <v>0.4346908720587363</v>
      </c>
      <c r="P1184" s="54">
        <f t="shared" si="450"/>
        <v>0.40386137996276888</v>
      </c>
      <c r="Q1184" s="54">
        <f t="shared" si="450"/>
        <v>0.37857513726370201</v>
      </c>
      <c r="R1184" s="54">
        <f t="shared" si="450"/>
        <v>0.35724655584915005</v>
      </c>
      <c r="S1184" s="54">
        <f t="shared" si="450"/>
        <v>0.33896271784665644</v>
      </c>
      <c r="T1184" s="54">
        <f t="shared" si="450"/>
        <v>0.3231804941063931</v>
      </c>
      <c r="U1184" s="54">
        <f t="shared" si="450"/>
        <v>0.3092600490045479</v>
      </c>
      <c r="V1184" s="54">
        <f t="shared" si="450"/>
        <v>0.29699589369022139</v>
      </c>
      <c r="W1184" s="54">
        <f t="shared" si="450"/>
        <v>0.28618545669109052</v>
      </c>
      <c r="X1184" s="54">
        <f t="shared" si="450"/>
        <v>0.27652095082463507</v>
      </c>
      <c r="Y1184" s="54">
        <f t="shared" si="450"/>
        <v>0.26782818636597361</v>
      </c>
      <c r="Z1184" s="54">
        <f t="shared" si="450"/>
        <v>0.25996657661523792</v>
      </c>
      <c r="AA1184" s="54">
        <f t="shared" si="450"/>
        <v>0.25282141002649999</v>
      </c>
      <c r="AB1184" s="54">
        <f t="shared" si="450"/>
        <v>0.24629816103252758</v>
      </c>
      <c r="AC1184" s="54">
        <f t="shared" si="450"/>
        <v>0.24031823853483519</v>
      </c>
      <c r="AD1184" s="54">
        <f t="shared" si="450"/>
        <v>0.23481576534761842</v>
      </c>
      <c r="AE1184" s="54">
        <f t="shared" si="450"/>
        <v>0.22973510827024932</v>
      </c>
      <c r="AF1184" s="54">
        <f t="shared" si="450"/>
        <v>0.22502896231725189</v>
      </c>
      <c r="AG1184" s="54">
        <f t="shared" si="450"/>
        <v>0.22066120951719329</v>
      </c>
      <c r="AH1184" s="54">
        <f t="shared" si="450"/>
        <v>0.21663866528351428</v>
      </c>
    </row>
    <row r="1185" spans="1:34" s="20" customFormat="1" ht="14" x14ac:dyDescent="0.2">
      <c r="A1185" s="8"/>
      <c r="B1185" s="8" t="s">
        <v>169</v>
      </c>
      <c r="C1185" s="8"/>
      <c r="D1185" s="8" t="str">
        <f>'Assumptions - General'!$E$27 &amp;" millions"</f>
        <v>R$ millions</v>
      </c>
      <c r="E1185" s="474">
        <f>'Balance sheet'!E157</f>
        <v>6410</v>
      </c>
      <c r="F1185" s="41">
        <f>IF(F$19=1,('Balance sheet'!E157+'Balance sheet'!F157)/2," ")</f>
        <v>10613.512922479182</v>
      </c>
      <c r="G1185" s="41">
        <f>IF(G$19=1,('Balance sheet'!F157+'Balance sheet'!G157)/2," ")</f>
        <v>19191.58014926469</v>
      </c>
      <c r="H1185" s="41">
        <f>IF(H$19=1,('Balance sheet'!G157+'Balance sheet'!H157)/2," ")</f>
        <v>28257.330281773</v>
      </c>
      <c r="I1185" s="41">
        <f>IF(I$19=1,('Balance sheet'!H157+'Balance sheet'!I157)/2," ")</f>
        <v>38082.925906449134</v>
      </c>
      <c r="J1185" s="41">
        <f>IF(J$19=1,('Balance sheet'!I157+'Balance sheet'!J157)/2," ")</f>
        <v>48627.437344117032</v>
      </c>
      <c r="K1185" s="41">
        <f>IF(K$19=1,('Balance sheet'!J157+'Balance sheet'!K157)/2," ")</f>
        <v>60329.193439535673</v>
      </c>
      <c r="L1185" s="41">
        <f>IF(L$19=1,('Balance sheet'!K157+'Balance sheet'!L157)/2," ")</f>
        <v>73120.615497496619</v>
      </c>
      <c r="M1185" s="41">
        <f>IF(M$19=1,('Balance sheet'!L157+'Balance sheet'!M157)/2," ")</f>
        <v>86517.963449831819</v>
      </c>
      <c r="N1185" s="41">
        <f>IF(N$19=1,('Balance sheet'!M157+'Balance sheet'!N157)/2," ")</f>
        <v>100729.53001070724</v>
      </c>
      <c r="O1185" s="41">
        <f>IF(O$19=1,('Balance sheet'!N157+'Balance sheet'!O157)/2," ")</f>
        <v>115699.61780566073</v>
      </c>
      <c r="P1185" s="41">
        <f>IF(P$19=1,('Balance sheet'!O157+'Balance sheet'!P157)/2," ")</f>
        <v>131437.08050567488</v>
      </c>
      <c r="Q1185" s="41">
        <f>IF(Q$19=1,('Balance sheet'!P157+'Balance sheet'!Q157)/2," ")</f>
        <v>148050.82011219038</v>
      </c>
      <c r="R1185" s="41">
        <f>IF(R$19=1,('Balance sheet'!Q157+'Balance sheet'!R157)/2," ")</f>
        <v>165589.59908982873</v>
      </c>
      <c r="S1185" s="41">
        <f>IF(S$19=1,('Balance sheet'!R157+'Balance sheet'!S157)/2," ")</f>
        <v>184093.57405326556</v>
      </c>
      <c r="T1185" s="41">
        <f>IF(T$19=1,('Balance sheet'!S157+'Balance sheet'!T157)/2," ")</f>
        <v>203607.96706021321</v>
      </c>
      <c r="U1185" s="41">
        <f>IF(U$19=1,('Balance sheet'!T157+'Balance sheet'!U157)/2," ")</f>
        <v>224147.90931015223</v>
      </c>
      <c r="V1185" s="41">
        <f>IF(V$19=1,('Balance sheet'!U157+'Balance sheet'!V157)/2," ")</f>
        <v>245783.92846198269</v>
      </c>
      <c r="W1185" s="41">
        <f>IF(W$19=1,('Balance sheet'!V157+'Balance sheet'!W157)/2," ")</f>
        <v>268594.10882264969</v>
      </c>
      <c r="X1185" s="41">
        <f>IF(X$19=1,('Balance sheet'!W157+'Balance sheet'!X157)/2," ")</f>
        <v>292598.84028919425</v>
      </c>
      <c r="Y1185" s="41">
        <f>IF(Y$19=1,('Balance sheet'!X157+'Balance sheet'!Y157)/2," ")</f>
        <v>317850.76942719409</v>
      </c>
      <c r="Z1185" s="41">
        <f>IF(Z$19=1,('Balance sheet'!Y157+'Balance sheet'!Z157)/2," ")</f>
        <v>344404.62562514283</v>
      </c>
      <c r="AA1185" s="41">
        <f>IF(AA$19=1,('Balance sheet'!Z157+'Balance sheet'!AA157)/2," ")</f>
        <v>372317.29880897736</v>
      </c>
      <c r="AB1185" s="41">
        <f>IF(AB$19=1,('Balance sheet'!AA157+'Balance sheet'!AB157)/2," ")</f>
        <v>401647.91994665691</v>
      </c>
      <c r="AC1185" s="41">
        <f>IF(AC$19=1,('Balance sheet'!AB157+'Balance sheet'!AC157)/2," ")</f>
        <v>432457.94444024388</v>
      </c>
      <c r="AD1185" s="41">
        <f>IF(AD$19=1,('Balance sheet'!AC157+'Balance sheet'!AD157)/2," ")</f>
        <v>464811.23850628338</v>
      </c>
      <c r="AE1185" s="41">
        <f>IF(AE$19=1,('Balance sheet'!AD157+'Balance sheet'!AE157)/2," ")</f>
        <v>498774.16864873201</v>
      </c>
      <c r="AF1185" s="41">
        <f>IF(AF$19=1,('Balance sheet'!AE157+'Balance sheet'!AF157)/2," ")</f>
        <v>534415.6943322568</v>
      </c>
      <c r="AG1185" s="41">
        <f>IF(AG$19=1,('Balance sheet'!AF157+'Balance sheet'!AG157)/2," ")</f>
        <v>571809.45558317355</v>
      </c>
      <c r="AH1185" s="41">
        <f>IF(AH$19=1,('Balance sheet'!AG157+'Balance sheet'!AH157)/2," ")</f>
        <v>611056.8480204005</v>
      </c>
    </row>
    <row r="1186" spans="1:34" s="20" customFormat="1" ht="14" x14ac:dyDescent="0.2">
      <c r="A1186" s="8"/>
      <c r="B1186" s="8" t="s">
        <v>170</v>
      </c>
      <c r="C1186" s="8"/>
      <c r="D1186" s="8" t="s">
        <v>15</v>
      </c>
      <c r="E1186" s="54">
        <f t="shared" ref="E1186:AH1186" si="451">IF(E19=1,E1180/E1185,"N/A")</f>
        <v>4.0782371294851796</v>
      </c>
      <c r="F1186" s="54">
        <f t="shared" si="451"/>
        <v>2.5735280691399987</v>
      </c>
      <c r="G1186" s="54">
        <f t="shared" si="451"/>
        <v>1.4741409320593495</v>
      </c>
      <c r="H1186" s="54">
        <f t="shared" si="451"/>
        <v>1.0652598360464478</v>
      </c>
      <c r="I1186" s="54">
        <f t="shared" si="451"/>
        <v>0.85912209011341811</v>
      </c>
      <c r="J1186" s="54">
        <f t="shared" si="451"/>
        <v>0.71720132377079471</v>
      </c>
      <c r="K1186" s="54">
        <f t="shared" si="451"/>
        <v>0.65722345862849396</v>
      </c>
      <c r="L1186" s="54">
        <f t="shared" si="451"/>
        <v>0.57623780619713127</v>
      </c>
      <c r="M1186" s="54">
        <f t="shared" si="451"/>
        <v>0.51755333524363178</v>
      </c>
      <c r="N1186" s="54">
        <f t="shared" si="451"/>
        <v>0.47198461941782377</v>
      </c>
      <c r="O1186" s="54">
        <f t="shared" si="451"/>
        <v>0.4303302551705307</v>
      </c>
      <c r="P1186" s="54">
        <f t="shared" si="451"/>
        <v>0.40018735508450631</v>
      </c>
      <c r="Q1186" s="54">
        <f t="shared" si="451"/>
        <v>0.37542472738985794</v>
      </c>
      <c r="R1186" s="54">
        <f t="shared" si="451"/>
        <v>0.35450733799351097</v>
      </c>
      <c r="S1186" s="54">
        <f t="shared" si="451"/>
        <v>0.33655316605722718</v>
      </c>
      <c r="T1186" s="54">
        <f t="shared" si="451"/>
        <v>0.32103923971892095</v>
      </c>
      <c r="U1186" s="54">
        <f t="shared" si="451"/>
        <v>0.30747907117309381</v>
      </c>
      <c r="V1186" s="54">
        <f t="shared" si="451"/>
        <v>0.29550461077064089</v>
      </c>
      <c r="W1186" s="54">
        <f t="shared" si="451"/>
        <v>0.2848227046695761</v>
      </c>
      <c r="X1186" s="54">
        <f t="shared" si="451"/>
        <v>0.27526834763060321</v>
      </c>
      <c r="Y1186" s="54">
        <f t="shared" si="451"/>
        <v>0.26667081439375151</v>
      </c>
      <c r="Z1186" s="54">
        <f t="shared" si="451"/>
        <v>0.25889219183890033</v>
      </c>
      <c r="AA1186" s="54">
        <f t="shared" si="451"/>
        <v>0.25181985983371108</v>
      </c>
      <c r="AB1186" s="54">
        <f t="shared" si="451"/>
        <v>0.24536094896576674</v>
      </c>
      <c r="AC1186" s="54">
        <f t="shared" si="451"/>
        <v>0.23943819425118626</v>
      </c>
      <c r="AD1186" s="54">
        <f t="shared" si="451"/>
        <v>0.23398679113755463</v>
      </c>
      <c r="AE1186" s="54">
        <f t="shared" si="451"/>
        <v>0.22895198208829454</v>
      </c>
      <c r="AF1186" s="54">
        <f t="shared" si="451"/>
        <v>0.22428718307823864</v>
      </c>
      <c r="AG1186" s="54">
        <f t="shared" si="451"/>
        <v>0.21995686292196173</v>
      </c>
      <c r="AH1186" s="54">
        <f t="shared" si="451"/>
        <v>0.21596823819398936</v>
      </c>
    </row>
    <row r="1187" spans="1:34" s="20" customFormat="1" ht="14" x14ac:dyDescent="0.2">
      <c r="A1187" s="8"/>
      <c r="B1187" s="8"/>
      <c r="C1187" s="8"/>
      <c r="D1187" s="8"/>
      <c r="E1187" s="42"/>
      <c r="F1187" s="42"/>
      <c r="G1187" s="42"/>
      <c r="H1187" s="42"/>
      <c r="I1187" s="42"/>
      <c r="J1187" s="42"/>
      <c r="K1187" s="42"/>
      <c r="L1187" s="42"/>
      <c r="M1187" s="42"/>
      <c r="N1187" s="42"/>
      <c r="O1187" s="42"/>
      <c r="P1187" s="42"/>
      <c r="Q1187" s="42"/>
      <c r="R1187" s="42"/>
      <c r="S1187" s="42"/>
      <c r="T1187" s="42"/>
      <c r="U1187" s="42"/>
      <c r="V1187" s="42"/>
      <c r="W1187" s="42"/>
      <c r="X1187" s="42"/>
      <c r="Y1187" s="42"/>
      <c r="Z1187" s="42"/>
      <c r="AA1187" s="42"/>
      <c r="AB1187" s="42"/>
      <c r="AC1187" s="42"/>
      <c r="AD1187" s="42"/>
      <c r="AE1187" s="42"/>
      <c r="AF1187" s="42"/>
      <c r="AG1187" s="42"/>
      <c r="AH1187" s="42"/>
    </row>
    <row r="1188" spans="1:34" x14ac:dyDescent="0.2">
      <c r="A1188" s="316"/>
      <c r="B1188" s="315" t="str">
        <f>"Working capital for " &amp;'Assumptions - General'!E26</f>
        <v>Working capital for Ruritania Railway Infrastructure Company</v>
      </c>
      <c r="C1188" s="316"/>
      <c r="D1188" s="316"/>
      <c r="E1188" s="316"/>
      <c r="F1188" s="316"/>
      <c r="G1188" s="316"/>
      <c r="H1188" s="316"/>
      <c r="I1188" s="316"/>
      <c r="J1188" s="316"/>
      <c r="K1188" s="316"/>
      <c r="L1188" s="316"/>
      <c r="M1188" s="316"/>
      <c r="N1188" s="316"/>
      <c r="O1188" s="316"/>
      <c r="P1188" s="316"/>
      <c r="Q1188" s="316"/>
      <c r="R1188" s="316"/>
      <c r="S1188" s="316"/>
      <c r="T1188" s="316"/>
      <c r="U1188" s="316"/>
      <c r="V1188" s="316"/>
      <c r="W1188" s="316"/>
      <c r="X1188" s="316"/>
      <c r="Y1188" s="316"/>
      <c r="Z1188" s="316"/>
      <c r="AA1188" s="316"/>
      <c r="AB1188" s="316"/>
      <c r="AC1188" s="316"/>
      <c r="AD1188" s="316"/>
      <c r="AE1188" s="316"/>
      <c r="AF1188" s="316"/>
      <c r="AG1188" s="316"/>
      <c r="AH1188" s="316"/>
    </row>
    <row r="1189" spans="1:34" s="20" customFormat="1" ht="14" x14ac:dyDescent="0.2">
      <c r="A1189" s="8"/>
      <c r="B1189" s="7"/>
      <c r="C1189" s="8"/>
      <c r="D1189" s="8"/>
      <c r="E1189" s="9"/>
      <c r="F1189" s="9"/>
      <c r="G1189" s="9"/>
      <c r="H1189" s="9"/>
      <c r="I1189" s="9"/>
      <c r="J1189" s="9"/>
      <c r="K1189" s="9"/>
      <c r="L1189" s="9"/>
      <c r="M1189" s="9"/>
      <c r="N1189" s="9"/>
      <c r="O1189" s="9"/>
      <c r="P1189" s="9"/>
      <c r="Q1189" s="9"/>
      <c r="R1189" s="9"/>
      <c r="S1189" s="9"/>
      <c r="T1189" s="9"/>
      <c r="U1189" s="9"/>
      <c r="V1189" s="9"/>
      <c r="W1189" s="9"/>
      <c r="X1189" s="9"/>
      <c r="Y1189" s="9"/>
      <c r="Z1189" s="9"/>
      <c r="AA1189" s="9"/>
      <c r="AB1189" s="9"/>
      <c r="AC1189" s="9"/>
      <c r="AD1189" s="9"/>
      <c r="AE1189" s="9"/>
      <c r="AF1189" s="9"/>
      <c r="AG1189" s="9"/>
      <c r="AH1189" s="9"/>
    </row>
    <row r="1190" spans="1:34" s="20" customFormat="1" ht="14" x14ac:dyDescent="0.2">
      <c r="A1190" s="8"/>
      <c r="B1190" s="8" t="s">
        <v>671</v>
      </c>
      <c r="C1190" s="8"/>
      <c r="D1190" s="8" t="str">
        <f>'Assumptions - General'!$E$27 &amp;" millions"</f>
        <v>R$ millions</v>
      </c>
      <c r="E1190" s="474">
        <f>IF(E$19=1,'Assumptions - Infrastructure'!E347,0)</f>
        <v>5000</v>
      </c>
      <c r="F1190" s="41">
        <f>IF(F19=1,IF(('Income statement'!F147-'Income statement'!F146)&gt;0,'Assumptions - Infrastructure'!F$348/365*('Income statement'!F147-'Income statement'!F146),0),0)</f>
        <v>5229.2219236809406</v>
      </c>
      <c r="G1190" s="41">
        <f>IF(G19=1,IF(('Income statement'!G147-'Income statement'!G146)&gt;0,'Assumptions - Infrastructure'!G$348/365*('Income statement'!G147-'Income statement'!G146),0),0)</f>
        <v>5386.0985813913676</v>
      </c>
      <c r="H1190" s="41">
        <f>IF(H19=1,IF(('Income statement'!H147-'Income statement'!H146)&gt;0,'Assumptions - Infrastructure'!H$348/365*('Income statement'!H147-'Income statement'!H146),0),0)</f>
        <v>5672.7265876582551</v>
      </c>
      <c r="I1190" s="41">
        <f>IF(I19=1,IF(('Income statement'!I147-'Income statement'!I146)&gt;0,'Assumptions - Infrastructure'!I$348/365*('Income statement'!I147-'Income statement'!I146),0),0)</f>
        <v>6100.5011858678017</v>
      </c>
      <c r="J1190" s="41">
        <f>IF(J19=1,IF(('Income statement'!J147-'Income statement'!J146)&gt;0,'Assumptions - Infrastructure'!J$348/365*('Income statement'!J147-'Income statement'!J146),0),0)</f>
        <v>6416.1765137424318</v>
      </c>
      <c r="K1190" s="41">
        <f>IF(K19=1,IF(('Income statement'!K147-'Income statement'!K146)&gt;0,'Assumptions - Infrastructure'!K$348/365*('Income statement'!K147-'Income statement'!K146),0),0)</f>
        <v>7198.1294269503933</v>
      </c>
      <c r="L1190" s="41">
        <f>IF(L19=1,IF(('Income statement'!L147-'Income statement'!L146)&gt;0,'Assumptions - Infrastructure'!L$348/365*('Income statement'!L147-'Income statement'!L146),0),0)</f>
        <v>7554.8126138584867</v>
      </c>
      <c r="M1190" s="41">
        <f>IF(M19=1,IF(('Income statement'!M147-'Income statement'!M146)&gt;0,'Assumptions - Infrastructure'!M$348/365*('Income statement'!M147-'Income statement'!M146),0),0)</f>
        <v>7926.4184754968119</v>
      </c>
      <c r="N1190" s="41">
        <f>IF(N19=1,IF(('Income statement'!N147-'Income statement'!N146)&gt;0,'Assumptions - Infrastructure'!N$348/365*('Income statement'!N147-'Income statement'!N146),0),0)</f>
        <v>8313.5213574809623</v>
      </c>
      <c r="O1190" s="41">
        <f>IF(O19=1,IF(('Income statement'!O147-'Income statement'!O146)&gt;0,'Assumptions - Infrastructure'!O$348/365*('Income statement'!O147-'Income statement'!O146),0),0)</f>
        <v>8716.716635756211</v>
      </c>
      <c r="P1190" s="41">
        <f>IF(P19=1,IF(('Income statement'!P147-'Income statement'!P146)&gt;0,'Assumptions - Infrastructure'!P$348/365*('Income statement'!P147-'Income statement'!P146),0),0)</f>
        <v>9136.6214615062472</v>
      </c>
      <c r="Q1190" s="41">
        <f>IF(Q19=1,IF(('Income statement'!Q147-'Income statement'!Q146)&gt;0,'Assumptions - Infrastructure'!Q$348/365*('Income statement'!Q147-'Income statement'!Q146),0),0)</f>
        <v>9573.8755318291005</v>
      </c>
      <c r="R1190" s="41">
        <f>IF(R19=1,IF(('Income statement'!R147-'Income statement'!R146)&gt;0,'Assumptions - Infrastructure'!R$348/365*('Income statement'!R147-'Income statement'!R146),0),0)</f>
        <v>10029.141887055972</v>
      </c>
      <c r="S1190" s="41">
        <f>IF(S19=1,IF(('Income statement'!S147-'Income statement'!S146)&gt;0,'Assumptions - Infrastructure'!S$348/365*('Income statement'!S147-'Income statement'!S146),0),0)</f>
        <v>10503.10773561781</v>
      </c>
      <c r="T1190" s="41">
        <f>IF(T19=1,IF(('Income statement'!T147-'Income statement'!T146)&gt;0,'Assumptions - Infrastructure'!T$348/365*('Income statement'!T147-'Income statement'!T146),0),0)</f>
        <v>10996.485307395005</v>
      </c>
      <c r="U1190" s="41">
        <f>IF(U19=1,IF(('Income statement'!U147-'Income statement'!U146)&gt;0,'Assumptions - Infrastructure'!U$348/365*('Income statement'!U147-'Income statement'!U146),0),0)</f>
        <v>11510.012736516779</v>
      </c>
      <c r="V1190" s="41">
        <f>IF(V19=1,IF(('Income statement'!V147-'Income statement'!V146)&gt;0,'Assumptions - Infrastructure'!V$348/365*('Income statement'!V147-'Income statement'!V146),0),0)</f>
        <v>12044.454974609205</v>
      </c>
      <c r="W1190" s="41">
        <f>IF(W19=1,IF(('Income statement'!W147-'Income statement'!W146)&gt;0,'Assumptions - Infrastructure'!W$348/365*('Income statement'!W147-'Income statement'!W146),0),0)</f>
        <v>12600.604735524308</v>
      </c>
      <c r="X1190" s="41">
        <f>IF(X19=1,IF(('Income statement'!X147-'Income statement'!X146)&gt;0,'Assumptions - Infrastructure'!X$348/365*('Income statement'!X147-'Income statement'!X146),0),0)</f>
        <v>13179.283472617168</v>
      </c>
      <c r="Y1190" s="41">
        <f>IF(Y19=1,IF(('Income statement'!Y147-'Income statement'!Y146)&gt;0,'Assumptions - Infrastructure'!Y$348/365*('Income statement'!Y147-'Income statement'!Y146),0),0)</f>
        <v>13781.342389673635</v>
      </c>
      <c r="Z1190" s="41">
        <f>IF(Z19=1,IF(('Income statement'!Z147-'Income statement'!Z146)&gt;0,'Assumptions - Infrastructure'!Z$348/365*('Income statement'!Z147-'Income statement'!Z146),0),0)</f>
        <v>14407.663486628127</v>
      </c>
      <c r="AA1190" s="41">
        <f>IF(AA19=1,IF(('Income statement'!AA147-'Income statement'!AA146)&gt;0,'Assumptions - Infrastructure'!AA$348/365*('Income statement'!AA147-'Income statement'!AA146),0),0)</f>
        <v>15059.160641249186</v>
      </c>
      <c r="AB1190" s="41">
        <f>IF(AB19=1,IF(('Income statement'!AB147-'Income statement'!AB146)&gt;0,'Assumptions - Infrastructure'!AB$348/365*('Income statement'!AB147-'Income statement'!AB146),0),0)</f>
        <v>15736.780728009542</v>
      </c>
      <c r="AC1190" s="41">
        <f>IF(AC19=1,IF(('Income statement'!AC147-'Income statement'!AC146)&gt;0,'Assumptions - Infrastructure'!AC$348/365*('Income statement'!AC147-'Income statement'!AC146),0),0)</f>
        <v>16441.504775398396</v>
      </c>
      <c r="AD1190" s="41">
        <f>IF(AD19=1,IF(('Income statement'!AD147-'Income statement'!AD146)&gt;0,'Assumptions - Infrastructure'!AD$348/365*('Income statement'!AD147-'Income statement'!AD146),0),0)</f>
        <v>17174.34916297537</v>
      </c>
      <c r="AE1190" s="41">
        <f>IF(AE19=1,IF(('Income statement'!AE147-'Income statement'!AE146)&gt;0,'Assumptions - Infrastructure'!AE$348/365*('Income statement'!AE147-'Income statement'!AE146),0),0)</f>
        <v>17936.366859509104</v>
      </c>
      <c r="AF1190" s="41">
        <f>IF(AF19=1,IF(('Income statement'!AF147-'Income statement'!AF146)&gt;0,'Assumptions - Infrastructure'!AF$348/365*('Income statement'!AF147-'Income statement'!AF146),0),0)</f>
        <v>18728.648703588184</v>
      </c>
      <c r="AG1190" s="41">
        <f>IF(AG19=1,IF(('Income statement'!AG147-'Income statement'!AG146)&gt;0,'Assumptions - Infrastructure'!AG$348/365*('Income statement'!AG147-'Income statement'!AG146),0),0)</f>
        <v>19552.324728138457</v>
      </c>
      <c r="AH1190" s="41">
        <f>IF(AH19=1,IF(('Income statement'!AH147-'Income statement'!AH146)&gt;0,'Assumptions - Infrastructure'!AH$348/365*('Income statement'!AH147-'Income statement'!AH146),0),0)</f>
        <v>20408.565530328513</v>
      </c>
    </row>
    <row r="1191" spans="1:34" s="20" customFormat="1" ht="14" x14ac:dyDescent="0.2">
      <c r="A1191" s="8"/>
      <c r="B1191" s="14" t="s">
        <v>672</v>
      </c>
      <c r="C1191" s="8"/>
      <c r="D1191" s="8" t="str">
        <f>'Assumptions - General'!$E$27 &amp;" millions"</f>
        <v>R$ millions</v>
      </c>
      <c r="E1191" s="50">
        <f>IF(E$19=1,(E1117+E1118+E1125+E1126)/('Income statement'!E$144+'Income statement'!E$145)*E1190,0)</f>
        <v>2499.5422642660969</v>
      </c>
      <c r="F1191" s="50">
        <f>IF(F$19=1,(F1117+F1118+F1125+F1126)/('Income statement'!F$144+'Income statement'!F$145)*F1190,0)</f>
        <v>2594.8169801350136</v>
      </c>
      <c r="G1191" s="50">
        <f>IF(G$19=1,(G1117+G1118+G1125+G1126)/('Income statement'!G$144+'Income statement'!G$145)*G1190,0)</f>
        <v>2672.6614895390644</v>
      </c>
      <c r="H1191" s="50">
        <f>IF(H$19=1,(H1117+H1118+H1125+H1126)/('Income statement'!H$144+'Income statement'!H$145)*H1190,0)</f>
        <v>2815.3638586378088</v>
      </c>
      <c r="I1191" s="50">
        <f>IF(I$19=1,(I1117+I1118+I1125+I1126)/('Income statement'!I$144+'Income statement'!I$145)*I1190,0)</f>
        <v>3028.6211746868426</v>
      </c>
      <c r="J1191" s="50">
        <f>IF(J$19=1,(J1117+J1118+J1125+J1126)/('Income statement'!J$144+'Income statement'!J$145)*J1190,0)</f>
        <v>3185.8099560767459</v>
      </c>
      <c r="K1191" s="50">
        <f>IF(K$19=1,(K1117+K1118+K1125+K1126)/('Income statement'!K$144+'Income statement'!K$145)*K1190,0)</f>
        <v>3573.7051994331637</v>
      </c>
      <c r="L1191" s="50">
        <f>IF(L$19=1,(L1117+L1118+L1125+L1126)/('Income statement'!L$144+'Income statement'!L$145)*L1190,0)</f>
        <v>3751.2860074659488</v>
      </c>
      <c r="M1191" s="50">
        <f>IF(M$19=1,(M1117+M1118+M1125+M1126)/('Income statement'!M$144+'Income statement'!M$145)*M1190,0)</f>
        <v>3936.3053293012126</v>
      </c>
      <c r="N1191" s="50">
        <f>IF(N$19=1,(N1117+N1118+N1125+N1126)/('Income statement'!N$144+'Income statement'!N$145)*N1190,0)</f>
        <v>4129.0496530398705</v>
      </c>
      <c r="O1191" s="50">
        <f>IF(O$19=1,(O1117+O1118+O1125+O1126)/('Income statement'!O$144+'Income statement'!O$145)*O1190,0)</f>
        <v>4329.815961406478</v>
      </c>
      <c r="P1191" s="50">
        <f>IF(P$19=1,(P1117+P1118+P1125+P1126)/('Income statement'!P$144+'Income statement'!P$145)*P1190,0)</f>
        <v>4538.9121035873468</v>
      </c>
      <c r="Q1191" s="50">
        <f>IF(Q$19=1,(Q1117+Q1118+Q1125+Q1126)/('Income statement'!Q$144+'Income statement'!Q$145)*Q1190,0)</f>
        <v>4756.6571799338008</v>
      </c>
      <c r="R1191" s="50">
        <f>IF(R$19=1,(R1117+R1118+R1125+R1126)/('Income statement'!R$144+'Income statement'!R$145)*R1190,0)</f>
        <v>4983.3819399678141</v>
      </c>
      <c r="S1191" s="50">
        <f>IF(S$19=1,(S1117+S1118+S1125+S1126)/('Income statement'!S$144+'Income statement'!S$145)*S1190,0)</f>
        <v>5219.4291941419269</v>
      </c>
      <c r="T1191" s="50">
        <f>IF(T$19=1,(T1117+T1118+T1125+T1126)/('Income statement'!T$144+'Income statement'!T$145)*T1190,0)</f>
        <v>5465.1542398205165</v>
      </c>
      <c r="U1191" s="50">
        <f>IF(U$19=1,(U1117+U1118+U1125+U1126)/('Income statement'!U$144+'Income statement'!U$145)*U1190,0)</f>
        <v>5720.9253019650941</v>
      </c>
      <c r="V1191" s="50">
        <f>IF(V$19=1,(V1117+V1118+V1125+V1126)/('Income statement'!V$144+'Income statement'!V$145)*V1190,0)</f>
        <v>5987.1239890225061</v>
      </c>
      <c r="W1191" s="50">
        <f>IF(W$19=1,(W1117+W1118+W1125+W1126)/('Income statement'!W$144+'Income statement'!W$145)*W1190,0)</f>
        <v>6264.1457645315968</v>
      </c>
      <c r="X1191" s="50">
        <f>IF(X$19=1,(X1117+X1118+X1125+X1126)/('Income statement'!X$144+'Income statement'!X$145)*X1190,0)</f>
        <v>6552.4004349811103</v>
      </c>
      <c r="Y1191" s="50">
        <f>IF(Y$19=1,(Y1117+Y1118+Y1125+Y1126)/('Income statement'!Y$144+'Income statement'!Y$145)*Y1190,0)</f>
        <v>6852.3126544695178</v>
      </c>
      <c r="Z1191" s="50">
        <f>IF(Z$19=1,(Z1117+Z1118+Z1125+Z1126)/('Income statement'!Z$144+'Income statement'!Z$145)*Z1190,0)</f>
        <v>7164.322446735745</v>
      </c>
      <c r="AA1191" s="50">
        <f>IF(AA$19=1,(AA1117+AA1118+AA1125+AA1126)/('Income statement'!AA$144+'Income statement'!AA$145)*AA1190,0)</f>
        <v>7488.8857451489248</v>
      </c>
      <c r="AB1191" s="50">
        <f>IF(AB$19=1,(AB1117+AB1118+AB1125+AB1126)/('Income statement'!AB$144+'Income statement'!AB$145)*AB1190,0)</f>
        <v>7826.4749512648341</v>
      </c>
      <c r="AC1191" s="50">
        <f>IF(AC$19=1,(AC1117+AC1118+AC1125+AC1126)/('Income statement'!AC$144+'Income statement'!AC$145)*AC1190,0)</f>
        <v>8177.579512577061</v>
      </c>
      <c r="AD1191" s="50">
        <f>IF(AD$19=1,(AD1117+AD1118+AD1125+AD1126)/('Income statement'!AD$144+'Income statement'!AD$145)*AD1190,0)</f>
        <v>8542.7065201118858</v>
      </c>
      <c r="AE1191" s="50">
        <f>IF(AE$19=1,(AE1117+AE1118+AE1125+AE1126)/('Income statement'!AE$144+'Income statement'!AE$145)*AE1190,0)</f>
        <v>8922.3813265374793</v>
      </c>
      <c r="AF1191" s="50">
        <f>IF(AF$19=1,(AF1117+AF1118+AF1125+AF1126)/('Income statement'!AF$144+'Income statement'!AF$145)*AF1190,0)</f>
        <v>9317.1481854805079</v>
      </c>
      <c r="AG1191" s="50">
        <f>IF(AG$19=1,(AG1117+AG1118+AG1125+AG1126)/('Income statement'!AG$144+'Income statement'!AG$145)*AG1190,0)</f>
        <v>9727.570912766234</v>
      </c>
      <c r="AH1191" s="50">
        <f>IF(AH$19=1,(AH1117+AH1118+AH1125+AH1126)/('Income statement'!AH$144+'Income statement'!AH$145)*AH1190,0)</f>
        <v>10154.233570322174</v>
      </c>
    </row>
    <row r="1192" spans="1:34" s="20" customFormat="1" ht="14" x14ac:dyDescent="0.2">
      <c r="A1192" s="8"/>
      <c r="B1192" s="14" t="s">
        <v>673</v>
      </c>
      <c r="C1192" s="8"/>
      <c r="D1192" s="8" t="str">
        <f>'Assumptions - General'!$E$27 &amp;" millions"</f>
        <v>R$ millions</v>
      </c>
      <c r="E1192" s="50">
        <f>IF(E$19=1,(E1119+E1120+E1127+E1128)/('Income statement'!E$144+'Income statement'!E$145)*E1190,0)</f>
        <v>2494.3545926151969</v>
      </c>
      <c r="F1192" s="50">
        <f>IF(F$19=1,(F1119+F1120+F1127+F1128)/('Income statement'!F$144+'Income statement'!F$145)*F1190,0)</f>
        <v>2628.1187061336586</v>
      </c>
      <c r="G1192" s="50">
        <f>IF(G$19=1,(G1119+G1120+G1127+G1128)/('Income statement'!G$144+'Income statement'!G$145)*G1190,0)</f>
        <v>2706.9622673176691</v>
      </c>
      <c r="H1192" s="50">
        <f>IF(H$19=1,(H1119+H1120+H1127+H1128)/('Income statement'!H$144+'Income statement'!H$145)*H1190,0)</f>
        <v>2850.693659749772</v>
      </c>
      <c r="I1192" s="50">
        <f>IF(I$19=1,(I1119+I1120+I1127+I1128)/('Income statement'!I$144+'Income statement'!I$145)*I1190,0)</f>
        <v>3065.0108698321642</v>
      </c>
      <c r="J1192" s="50">
        <f>IF(J$19=1,(J1119+J1120+J1127+J1128)/('Income statement'!J$144+'Income statement'!J$145)*J1190,0)</f>
        <v>3223.2913420764271</v>
      </c>
      <c r="K1192" s="50">
        <f>IF(K$19=1,(K1119+K1120+K1127+K1128)/('Income statement'!K$144+'Income statement'!K$145)*K1190,0)</f>
        <v>3617.1367554602948</v>
      </c>
      <c r="L1192" s="50">
        <f>IF(L$19=1,(L1119+L1120+L1127+L1128)/('Income statement'!L$144+'Income statement'!L$145)*L1190,0)</f>
        <v>3796.0205101738929</v>
      </c>
      <c r="M1192" s="50">
        <f>IF(M$19=1,(M1119+M1120+M1127+M1128)/('Income statement'!M$144+'Income statement'!M$145)*M1190,0)</f>
        <v>3982.3818670903952</v>
      </c>
      <c r="N1192" s="50">
        <f>IF(N$19=1,(N1119+N1120+N1127+N1128)/('Income statement'!N$144+'Income statement'!N$145)*N1190,0)</f>
        <v>4176.5084869627299</v>
      </c>
      <c r="O1192" s="50">
        <f>IF(O$19=1,(O1119+O1120+O1127+O1128)/('Income statement'!O$144+'Income statement'!O$145)*O1190,0)</f>
        <v>4378.698560347023</v>
      </c>
      <c r="P1192" s="50">
        <f>IF(P$19=1,(P1119+P1120+P1127+P1128)/('Income statement'!P$144+'Income statement'!P$145)*P1190,0)</f>
        <v>4589.261180496108</v>
      </c>
      <c r="Q1192" s="50">
        <f>IF(Q$19=1,(Q1119+Q1120+Q1127+Q1128)/('Income statement'!Q$144+'Income statement'!Q$145)*Q1190,0)</f>
        <v>4808.5167291498246</v>
      </c>
      <c r="R1192" s="50">
        <f>IF(R$19=1,(R1119+R1120+R1127+R1128)/('Income statement'!R$144+'Income statement'!R$145)*R1190,0)</f>
        <v>5036.7972756603185</v>
      </c>
      <c r="S1192" s="50">
        <f>IF(S$19=1,(S1119+S1120+S1127+S1128)/('Income statement'!S$144+'Income statement'!S$145)*S1190,0)</f>
        <v>5274.4469899052074</v>
      </c>
      <c r="T1192" s="50">
        <f>IF(T$19=1,(T1119+T1120+T1127+T1128)/('Income statement'!T$144+'Income statement'!T$145)*T1190,0)</f>
        <v>5521.8225694566945</v>
      </c>
      <c r="U1192" s="50">
        <f>IF(U$19=1,(U1119+U1120+U1127+U1128)/('Income statement'!U$144+'Income statement'!U$145)*U1190,0)</f>
        <v>5779.2936814903578</v>
      </c>
      <c r="V1192" s="50">
        <f>IF(V$19=1,(V1119+V1120+V1127+V1128)/('Income statement'!V$144+'Income statement'!V$145)*V1190,0)</f>
        <v>6047.2434199335275</v>
      </c>
      <c r="W1192" s="50">
        <f>IF(W$19=1,(W1119+W1120+W1127+W1128)/('Income statement'!W$144+'Income statement'!W$145)*W1190,0)</f>
        <v>6326.0687783699468</v>
      </c>
      <c r="X1192" s="50">
        <f>IF(X$19=1,(X1119+X1120+X1127+X1128)/('Income statement'!X$144+'Income statement'!X$145)*X1190,0)</f>
        <v>6616.1811392346108</v>
      </c>
      <c r="Y1192" s="50">
        <f>IF(Y$19=1,(Y1119+Y1120+Y1127+Y1128)/('Income statement'!Y$144+'Income statement'!Y$145)*Y1190,0)</f>
        <v>6918.0067798506252</v>
      </c>
      <c r="Z1192" s="50">
        <f>IF(Z$19=1,(Z1119+Z1120+Z1127+Z1128)/('Income statement'!Z$144+'Income statement'!Z$145)*Z1190,0)</f>
        <v>7231.9873958782846</v>
      </c>
      <c r="AA1192" s="50">
        <f>IF(AA$19=1,(AA1119+AA1120+AA1127+AA1128)/('Income statement'!AA$144+'Income statement'!AA$145)*AA1190,0)</f>
        <v>7558.5806427657426</v>
      </c>
      <c r="AB1192" s="50">
        <f>IF(AB$19=1,(AB1119+AB1120+AB1127+AB1128)/('Income statement'!AB$144+'Income statement'!AB$145)*AB1190,0)</f>
        <v>7898.2606958101542</v>
      </c>
      <c r="AC1192" s="50">
        <f>IF(AC$19=1,(AC1119+AC1120+AC1127+AC1128)/('Income statement'!AC$144+'Income statement'!AC$145)*AC1190,0)</f>
        <v>8251.5188294587424</v>
      </c>
      <c r="AD1192" s="50">
        <f>IF(AD$19=1,(AD1119+AD1120+AD1127+AD1128)/('Income statement'!AD$144+'Income statement'!AD$145)*AD1190,0)</f>
        <v>8618.8640165000179</v>
      </c>
      <c r="AE1192" s="50">
        <f>IF(AE$19=1,(AE1119+AE1120+AE1127+AE1128)/('Income statement'!AE$144+'Income statement'!AE$145)*AE1190,0)</f>
        <v>9000.8235478172555</v>
      </c>
      <c r="AF1192" s="50">
        <f>IF(AF$19=1,(AF1119+AF1120+AF1127+AF1128)/('Income statement'!AF$144+'Income statement'!AF$145)*AF1190,0)</f>
        <v>9397.9436733986749</v>
      </c>
      <c r="AG1192" s="50">
        <f>IF(AG$19=1,(AG1119+AG1120+AG1127+AG1128)/('Income statement'!AG$144+'Income statement'!AG$145)*AG1190,0)</f>
        <v>9810.790265321948</v>
      </c>
      <c r="AH1192" s="50">
        <f>IF(AH$19=1,(AH1119+AH1120+AH1127+AH1128)/('Income statement'!AH$144+'Income statement'!AH$145)*AH1190,0)</f>
        <v>10239.949503454556</v>
      </c>
    </row>
    <row r="1193" spans="1:34" s="20" customFormat="1" ht="14" x14ac:dyDescent="0.2">
      <c r="A1193" s="8"/>
      <c r="B1193" s="14" t="s">
        <v>674</v>
      </c>
      <c r="C1193" s="8"/>
      <c r="D1193" s="8" t="str">
        <f>'Assumptions - General'!$E$27 &amp;" millions"</f>
        <v>R$ millions</v>
      </c>
      <c r="E1193" s="50">
        <f>IF(E$19=1,('Income statement'!E145)/('Income statement'!E$144+'Income statement'!E$145)*E1190,0)</f>
        <v>6.103143118706134</v>
      </c>
      <c r="F1193" s="50">
        <f>IF(F$19=1,('Income statement'!F145)/('Income statement'!F$144+'Income statement'!F$145)*F1190,0)</f>
        <v>6.286237412267317</v>
      </c>
      <c r="G1193" s="50">
        <f>IF(G$19=1,('Income statement'!G145)/('Income statement'!G$144+'Income statement'!G$145)*G1190,0)</f>
        <v>6.4748245346353368</v>
      </c>
      <c r="H1193" s="50">
        <f>IF(H$19=1,('Income statement'!H145)/('Income statement'!H$144+'Income statement'!H$145)*H1190,0)</f>
        <v>6.669069270674397</v>
      </c>
      <c r="I1193" s="50">
        <f>IF(I$19=1,('Income statement'!I145)/('Income statement'!I$144+'Income statement'!I$145)*I1190,0)</f>
        <v>6.8691413487946305</v>
      </c>
      <c r="J1193" s="50">
        <f>IF(J$19=1,('Income statement'!J145)/('Income statement'!J$144+'Income statement'!J$145)*J1190,0)</f>
        <v>7.0752155892584678</v>
      </c>
      <c r="K1193" s="50">
        <f>IF(K$19=1,('Income statement'!K145)/('Income statement'!K$144+'Income statement'!K$145)*K1190,0)</f>
        <v>7.2874720569362221</v>
      </c>
      <c r="L1193" s="50">
        <f>IF(L$19=1,('Income statement'!L145)/('Income statement'!L$144+'Income statement'!L$145)*L1190,0)</f>
        <v>7.5060962186443083</v>
      </c>
      <c r="M1193" s="50">
        <f>IF(M$19=1,('Income statement'!M145)/('Income statement'!M$144+'Income statement'!M$145)*M1190,0)</f>
        <v>7.7312791052036385</v>
      </c>
      <c r="N1193" s="50">
        <f>IF(N$19=1,('Income statement'!N145)/('Income statement'!N$144+'Income statement'!N$145)*N1190,0)</f>
        <v>7.9632174783597476</v>
      </c>
      <c r="O1193" s="50">
        <f>IF(O$19=1,('Income statement'!O145)/('Income statement'!O$144+'Income statement'!O$145)*O1190,0)</f>
        <v>8.202114002710541</v>
      </c>
      <c r="P1193" s="50">
        <f>IF(P$19=1,('Income statement'!P145)/('Income statement'!P$144+'Income statement'!P$145)*P1190,0)</f>
        <v>8.4481774227918596</v>
      </c>
      <c r="Q1193" s="50">
        <f>IF(Q$19=1,('Income statement'!Q145)/('Income statement'!Q$144+'Income statement'!Q$145)*Q1190,0)</f>
        <v>8.7016227454756141</v>
      </c>
      <c r="R1193" s="50">
        <f>IF(R$19=1,('Income statement'!R145)/('Income statement'!R$144+'Income statement'!R$145)*R1190,0)</f>
        <v>8.9626714278398811</v>
      </c>
      <c r="S1193" s="50">
        <f>IF(S$19=1,('Income statement'!S145)/('Income statement'!S$144+'Income statement'!S$145)*S1190,0)</f>
        <v>9.2315515706750784</v>
      </c>
      <c r="T1193" s="50">
        <f>IF(T$19=1,('Income statement'!T145)/('Income statement'!T$144+'Income statement'!T$145)*T1190,0)</f>
        <v>9.5084981177953303</v>
      </c>
      <c r="U1193" s="50">
        <f>IF(U$19=1,('Income statement'!U145)/('Income statement'!U$144+'Income statement'!U$145)*U1190,0)</f>
        <v>9.7937530613291894</v>
      </c>
      <c r="V1193" s="50">
        <f>IF(V$19=1,('Income statement'!V145)/('Income statement'!V$144+'Income statement'!V$145)*V1190,0)</f>
        <v>10.087565653169065</v>
      </c>
      <c r="W1193" s="50">
        <f>IF(W$19=1,('Income statement'!W145)/('Income statement'!W$144+'Income statement'!W$145)*W1190,0)</f>
        <v>10.390192622764138</v>
      </c>
      <c r="X1193" s="50">
        <f>IF(X$19=1,('Income statement'!X145)/('Income statement'!X$144+'Income statement'!X$145)*X1190,0)</f>
        <v>10.70189840144706</v>
      </c>
      <c r="Y1193" s="50">
        <f>IF(Y$19=1,('Income statement'!Y145)/('Income statement'!Y$144+'Income statement'!Y$145)*Y1190,0)</f>
        <v>11.022955353490476</v>
      </c>
      <c r="Z1193" s="50">
        <f>IF(Z$19=1,('Income statement'!Z145)/('Income statement'!Z$144+'Income statement'!Z$145)*Z1190,0)</f>
        <v>11.353644014095188</v>
      </c>
      <c r="AA1193" s="50">
        <f>IF(AA$19=1,('Income statement'!AA145)/('Income statement'!AA$144+'Income statement'!AA$145)*AA1190,0)</f>
        <v>11.694253334518043</v>
      </c>
      <c r="AB1193" s="50">
        <f>IF(AB$19=1,('Income statement'!AB145)/('Income statement'!AB$144+'Income statement'!AB$145)*AB1190,0)</f>
        <v>12.045080934553587</v>
      </c>
      <c r="AC1193" s="50">
        <f>IF(AC$19=1,('Income statement'!AC145)/('Income statement'!AC$144+'Income statement'!AC$145)*AC1190,0)</f>
        <v>12.406433362590194</v>
      </c>
      <c r="AD1193" s="50">
        <f>IF(AD$19=1,('Income statement'!AD145)/('Income statement'!AD$144+'Income statement'!AD$145)*AD1190,0)</f>
        <v>12.7786263634679</v>
      </c>
      <c r="AE1193" s="50">
        <f>IF(AE$19=1,('Income statement'!AE145)/('Income statement'!AE$144+'Income statement'!AE$145)*AE1190,0)</f>
        <v>13.161985154371937</v>
      </c>
      <c r="AF1193" s="50">
        <f>IF(AF$19=1,('Income statement'!AF145)/('Income statement'!AF$144+'Income statement'!AF$145)*AF1190,0)</f>
        <v>13.556844709003094</v>
      </c>
      <c r="AG1193" s="50">
        <f>IF(AG$19=1,('Income statement'!AG145)/('Income statement'!AG$144+'Income statement'!AG$145)*AG1190,0)</f>
        <v>13.96355005027319</v>
      </c>
      <c r="AH1193" s="50">
        <f>IF(AH$19=1,('Income statement'!AH145)/('Income statement'!AH$144+'Income statement'!AH$145)*AH1190,0)</f>
        <v>14.382456551781383</v>
      </c>
    </row>
    <row r="1194" spans="1:34" s="20" customFormat="1" ht="14" x14ac:dyDescent="0.2">
      <c r="A1194" s="8"/>
      <c r="B1194" s="8" t="s">
        <v>72</v>
      </c>
      <c r="C1194" s="8"/>
      <c r="D1194" s="8" t="str">
        <f>'Assumptions - General'!$E$27 &amp;" millions"</f>
        <v>R$ millions</v>
      </c>
      <c r="E1194" s="474">
        <f>IF(E$19=1,'Assumptions - Infrastructure'!E351,0)</f>
        <v>100</v>
      </c>
      <c r="F1194" s="41">
        <f>IF(F19=1,IF((F1149+F1151)&gt;0,'Assumptions - Infrastructure'!F$352/365*(F1149+F1151),0),0)</f>
        <v>104.31497713414633</v>
      </c>
      <c r="G1194" s="41">
        <f>IF(G19=1,IF((G1149+G1151)&gt;0,'Assumptions - Infrastructure'!G$352/365*(G1149+G1151),0),0)</f>
        <v>107.12098132621952</v>
      </c>
      <c r="H1194" s="41">
        <f>IF(H19=1,IF((H1149+H1151)&gt;0,'Assumptions - Infrastructure'!H$352/365*(H1149+H1151),0),0)</f>
        <v>112.56254119664636</v>
      </c>
      <c r="I1194" s="41">
        <f>IF(I19=1,IF((I1149+I1151)&gt;0,'Assumptions - Infrastructure'!I$352/365*(I1149+I1151),0),0)</f>
        <v>120.87209704954272</v>
      </c>
      <c r="J1194" s="41">
        <f>IF(J19=1,IF((J1149+J1151)&gt;0,'Assumptions - Infrastructure'!J$352/365*(J1149+J1151),0),0)</f>
        <v>126.86187135489527</v>
      </c>
      <c r="K1194" s="41">
        <f>IF(K19=1,IF((K1149+K1151)&gt;0,'Assumptions - Infrastructure'!K$352/365*(K1149+K1151),0),0)</f>
        <v>142.04398794265532</v>
      </c>
      <c r="L1194" s="41">
        <f>IF(L19=1,IF((L1149+L1151)&gt;0,'Assumptions - Infrastructure'!L$352/365*(L1149+L1151),0),0)</f>
        <v>148.76599271564555</v>
      </c>
      <c r="M1194" s="41">
        <f>IF(M19=1,IF((M1149+M1151)&gt;0,'Assumptions - Infrastructure'!M$352/365*(M1149+M1151),0),0)</f>
        <v>155.76347818586683</v>
      </c>
      <c r="N1194" s="41">
        <f>IF(N19=1,IF((N1149+N1151)&gt;0,'Assumptions - Infrastructure'!N$352/365*(N1149+N1151),0),0)</f>
        <v>163.0469233908573</v>
      </c>
      <c r="O1194" s="41">
        <f>IF(O19=1,IF((O1149+O1151)&gt;0,'Assumptions - Infrastructure'!O$352/365*(O1149+O1151),0),0)</f>
        <v>170.62718817777991</v>
      </c>
      <c r="P1194" s="41">
        <f>IF(P19=1,IF((P1149+P1151)&gt;0,'Assumptions - Infrastructure'!P$352/365*(P1149+P1151),0),0)</f>
        <v>178.51552662086613</v>
      </c>
      <c r="Q1194" s="41">
        <f>IF(Q19=1,IF((Q1149+Q1151)&gt;0,'Assumptions - Infrastructure'!Q$352/365*(Q1149+Q1151),0),0)</f>
        <v>186.72360090117749</v>
      </c>
      <c r="R1194" s="41">
        <f>IF(R19=1,IF((R1149+R1151)&gt;0,'Assumptions - Infrastructure'!R$352/365*(R1149+R1151),0),0)</f>
        <v>195.26349566434874</v>
      </c>
      <c r="S1194" s="41">
        <f>IF(S19=1,IF((S1149+S1151)&gt;0,'Assumptions - Infrastructure'!S$352/365*(S1149+S1151),0),0)</f>
        <v>204.14773287249929</v>
      </c>
      <c r="T1194" s="41">
        <f>IF(T19=1,IF((T1149+T1151)&gt;0,'Assumptions - Infrastructure'!T$352/365*(T1149+T1151),0),0)</f>
        <v>213.38928716704086</v>
      </c>
      <c r="U1194" s="41">
        <f>IF(U19=1,IF((U1149+U1151)&gt;0,'Assumptions - Infrastructure'!U$352/365*(U1149+U1151),0),0)</f>
        <v>223.00160175966977</v>
      </c>
      <c r="V1194" s="41">
        <f>IF(V19=1,IF((V1149+V1151)&gt;0,'Assumptions - Infrastructure'!V$352/365*(V1149+V1151),0),0)</f>
        <v>232.99860486940599</v>
      </c>
      <c r="W1194" s="41">
        <f>IF(W19=1,IF((W1149+W1151)&gt;0,'Assumptions - Infrastructure'!W$352/365*(W1149+W1151),0),0)</f>
        <v>243.39472672414269</v>
      </c>
      <c r="X1194" s="41">
        <f>IF(X19=1,IF((X1149+X1151)&gt;0,'Assumptions - Infrastructure'!X$352/365*(X1149+X1151),0),0)</f>
        <v>254.20491714578122</v>
      </c>
      <c r="Y1194" s="41">
        <f>IF(Y19=1,IF((Y1149+Y1151)&gt;0,'Assumptions - Infrastructure'!Y$352/365*(Y1149+Y1151),0),0)</f>
        <v>265.44466373866624</v>
      </c>
      <c r="Z1194" s="41">
        <f>IF(Z19=1,IF((Z1149+Z1151)&gt;0,'Assumptions - Infrastructure'!Z$352/365*(Z1149+Z1151),0),0)</f>
        <v>277.13001070169315</v>
      </c>
      <c r="AA1194" s="41">
        <f>IF(AA19=1,IF((AA1149+AA1151)&gt;0,'Assumptions - Infrastructure'!AA$352/365*(AA1149+AA1151),0),0)</f>
        <v>289.27757828513694</v>
      </c>
      <c r="AB1194" s="41">
        <f>IF(AB19=1,IF((AB1149+AB1151)&gt;0,'Assumptions - Infrastructure'!AB$352/365*(AB1149+AB1151),0),0)</f>
        <v>301.90458291395584</v>
      </c>
      <c r="AC1194" s="41">
        <f>IF(AC19=1,IF((AC1149+AC1151)&gt;0,'Assumptions - Infrastructure'!AC$352/365*(AC1149+AC1151),0),0)</f>
        <v>315.02885800004719</v>
      </c>
      <c r="AD1194" s="41">
        <f>IF(AD19=1,IF((AD1149+AD1151)&gt;0,'Assumptions - Infrastructure'!AD$352/365*(AD1149+AD1151),0),0)</f>
        <v>328.66887546668141</v>
      </c>
      <c r="AE1194" s="41">
        <f>IF(AE19=1,IF((AE1149+AE1151)&gt;0,'Assumptions - Infrastructure'!AE$352/365*(AE1149+AE1151),0),0)</f>
        <v>342.84376800911377</v>
      </c>
      <c r="AF1194" s="41">
        <f>IF(AF19=1,IF((AF1149+AF1151)&gt;0,'Assumptions - Infrastructure'!AF$352/365*(AF1149+AF1151),0),0)</f>
        <v>357.57335211617192</v>
      </c>
      <c r="AG1194" s="41">
        <f>IF(AG19=1,IF((AG1149+AG1151)&gt;0,'Assumptions - Infrastructure'!AG$352/365*(AG1149+AG1151),0),0)</f>
        <v>372.87815187844546</v>
      </c>
      <c r="AH1194" s="41">
        <f>IF(AH19=1,IF((AH1149+AH1151)&gt;0,'Assumptions - Infrastructure'!AH$352/365*(AH1149+AH1151),0),0)</f>
        <v>388.77942360955086</v>
      </c>
    </row>
    <row r="1195" spans="1:34" s="20" customFormat="1" ht="14" x14ac:dyDescent="0.2">
      <c r="A1195" s="8"/>
      <c r="B1195" s="8" t="s">
        <v>288</v>
      </c>
      <c r="C1195" s="8"/>
      <c r="D1195" s="8" t="str">
        <f>'Assumptions - General'!$E$27 &amp;" millions"</f>
        <v>R$ millions</v>
      </c>
      <c r="E1195" s="474">
        <f>IF(E$19=1,'Assumptions - Infrastructure'!E355,0)</f>
        <v>100</v>
      </c>
      <c r="F1195" s="41">
        <f>IF(F$19=1,IF(('Income statement'!F146-F1143+SUM(F1133:F1136))&gt;0,'Assumptions - Infrastructure'!F$356/365*('Income statement'!F146-F1143+SUM(F1133:F1136)),0),0)</f>
        <v>100.85714285714288</v>
      </c>
      <c r="G1195" s="41">
        <f>IF(G$19=1,IF(('Income statement'!G146-G1143+SUM(G1133:G1136))&gt;0,'Assumptions - Infrastructure'!G$356/365*('Income statement'!G146-G1143+SUM(G1133:G1136)),0),0)</f>
        <v>101.74000000000002</v>
      </c>
      <c r="H1195" s="41">
        <f>IF(H$19=1,IF(('Income statement'!H146-H1143+SUM(H1133:H1136))&gt;0,'Assumptions - Infrastructure'!H$356/365*('Income statement'!H146-H1143+SUM(H1133:H1136)),0),0)</f>
        <v>102.64934285714287</v>
      </c>
      <c r="I1195" s="41">
        <f>IF(I$19=1,IF(('Income statement'!I146-I1143+SUM(I1133:I1136))&gt;0,'Assumptions - Infrastructure'!I$356/365*('Income statement'!I146-I1143+SUM(I1133:I1136)),0),0)</f>
        <v>103.58596600000001</v>
      </c>
      <c r="J1195" s="41">
        <f>IF(J$19=1,IF(('Income statement'!J146-J1143+SUM(J1133:J1136))&gt;0,'Assumptions - Infrastructure'!J$356/365*('Income statement'!J146-J1143+SUM(J1133:J1136)),0),0)</f>
        <v>104.55068783714287</v>
      </c>
      <c r="K1195" s="41">
        <f>IF(K$19=1,IF(('Income statement'!K146-K1143+SUM(K1133:K1136))&gt;0,'Assumptions - Infrastructure'!K$356/365*('Income statement'!K146-K1143+SUM(K1133:K1136)),0),0)</f>
        <v>105.54435132940002</v>
      </c>
      <c r="L1195" s="41">
        <f>IF(L$19=1,IF(('Income statement'!L146-L1143+SUM(L1133:L1136))&gt;0,'Assumptions - Infrastructure'!L$356/365*('Income statement'!L146-L1143+SUM(L1133:L1136)),0),0)</f>
        <v>106.56782472642487</v>
      </c>
      <c r="M1195" s="41">
        <f>IF(M$19=1,IF(('Income statement'!M146-M1143+SUM(M1133:M1136))&gt;0,'Assumptions - Infrastructure'!M$356/365*('Income statement'!M146-M1143+SUM(M1133:M1136)),0),0)</f>
        <v>107.62200232536047</v>
      </c>
      <c r="N1195" s="41">
        <f>IF(N$19=1,IF(('Income statement'!N146-N1143+SUM(N1133:N1136))&gt;0,'Assumptions - Infrastructure'!N$356/365*('Income statement'!N146-N1143+SUM(N1133:N1136)),0),0)</f>
        <v>108.70780525226415</v>
      </c>
      <c r="O1195" s="41">
        <f>IF(O$19=1,IF(('Income statement'!O146-O1143+SUM(O1133:O1136))&gt;0,'Assumptions - Infrastructure'!O$356/365*('Income statement'!O146-O1143+SUM(O1133:O1136)),0),0)</f>
        <v>109.82618226697493</v>
      </c>
      <c r="P1195" s="41">
        <f>IF(P$19=1,IF(('Income statement'!P146-P1143+SUM(P1133:P1136))&gt;0,'Assumptions - Infrastructure'!P$356/365*('Income statement'!P146-P1143+SUM(P1133:P1136)),0),0)</f>
        <v>110.97811059212704</v>
      </c>
      <c r="Q1195" s="41">
        <f>IF(Q$19=1,IF(('Income statement'!Q146-Q1143+SUM(Q1133:Q1136))&gt;0,'Assumptions - Infrastructure'!Q$356/365*('Income statement'!Q146-Q1143+SUM(Q1133:Q1136)),0),0)</f>
        <v>112.1645967670337</v>
      </c>
      <c r="R1195" s="41">
        <f>IF(R$19=1,IF(('Income statement'!R146-R1143+SUM(R1133:R1136))&gt;0,'Assumptions - Infrastructure'!R$356/365*('Income statement'!R146-R1143+SUM(R1133:R1136)),0),0)</f>
        <v>113.38667752718757</v>
      </c>
      <c r="S1195" s="41">
        <f>IF(S$19=1,IF(('Income statement'!S146-S1143+SUM(S1133:S1136))&gt;0,'Assumptions - Infrastructure'!S$356/365*('Income statement'!S146-S1143+SUM(S1133:S1136)),0),0)</f>
        <v>114.64542071014604</v>
      </c>
      <c r="T1195" s="41">
        <f>IF(T$19=1,IF(('Income statement'!T146-T1143+SUM(T1133:T1136))&gt;0,'Assumptions - Infrastructure'!T$356/365*('Income statement'!T146-T1143+SUM(T1133:T1136)),0),0)</f>
        <v>115.94192618859329</v>
      </c>
      <c r="U1195" s="41">
        <f>IF(U$19=1,IF(('Income statement'!U146-U1143+SUM(U1133:U1136))&gt;0,'Assumptions - Infrastructure'!U$356/365*('Income statement'!U146-U1143+SUM(U1133:U1136)),0),0)</f>
        <v>117.27732683139394</v>
      </c>
      <c r="V1195" s="41">
        <f>IF(V$19=1,IF(('Income statement'!V146-V1143+SUM(V1133:V1136))&gt;0,'Assumptions - Infrastructure'!V$356/365*('Income statement'!V146-V1143+SUM(V1133:V1136)),0),0)</f>
        <v>118.65278949347862</v>
      </c>
      <c r="W1195" s="41">
        <f>IF(W$19=1,IF(('Income statement'!W146-W1143+SUM(W1133:W1136))&gt;0,'Assumptions - Infrastructure'!W$356/365*('Income statement'!W146-W1143+SUM(W1133:W1136)),0),0)</f>
        <v>120.06951603542583</v>
      </c>
      <c r="X1195" s="41">
        <f>IF(X$19=1,IF(('Income statement'!X146-X1143+SUM(X1133:X1136))&gt;0,'Assumptions - Infrastructure'!X$356/365*('Income statement'!X146-X1143+SUM(X1133:X1136)),0),0)</f>
        <v>121.52874437363148</v>
      </c>
      <c r="Y1195" s="41">
        <f>IF(Y$19=1,IF(('Income statement'!Y146-Y1143+SUM(Y1133:Y1136))&gt;0,'Assumptions - Infrastructure'!Y$356/365*('Income statement'!Y146-Y1143+SUM(Y1133:Y1136)),0),0)</f>
        <v>123.03174956198328</v>
      </c>
      <c r="Z1195" s="41">
        <f>IF(Z$19=1,IF(('Income statement'!Z146-Z1143+SUM(Z1133:Z1136))&gt;0,'Assumptions - Infrastructure'!Z$356/365*('Income statement'!Z146-Z1143+SUM(Z1133:Z1136)),0),0)</f>
        <v>124.57984490598564</v>
      </c>
      <c r="AA1195" s="41">
        <f>IF(AA$19=1,IF(('Income statement'!AA146-AA1143+SUM(AA1133:AA1136))&gt;0,'Assumptions - Infrastructure'!AA$356/365*('Income statement'!AA146-AA1143+SUM(AA1133:AA1136)),0),0)</f>
        <v>126.17438311030807</v>
      </c>
      <c r="AB1195" s="41">
        <f>IF(AB$19=1,IF(('Income statement'!AB146-AB1143+SUM(AB1133:AB1136))&gt;0,'Assumptions - Infrastructure'!AB$356/365*('Income statement'!AB146-AB1143+SUM(AB1133:AB1136)),0),0)</f>
        <v>127.81675746076017</v>
      </c>
      <c r="AC1195" s="41">
        <f>IF(AC$19=1,IF(('Income statement'!AC146-AC1143+SUM(AC1133:AC1136))&gt;0,'Assumptions - Infrastructure'!AC$356/365*('Income statement'!AC146-AC1143+SUM(AC1133:AC1136)),0),0)</f>
        <v>129.50840304172581</v>
      </c>
      <c r="AD1195" s="41">
        <f>IF(AD$19=1,IF(('Income statement'!AD146-AD1143+SUM(AD1133:AD1136))&gt;0,'Assumptions - Infrastructure'!AD$356/365*('Income statement'!AD146-AD1143+SUM(AD1133:AD1136)),0),0)</f>
        <v>131.25079799012045</v>
      </c>
      <c r="AE1195" s="41">
        <f>IF(AE$19=1,IF(('Income statement'!AE146-AE1143+SUM(AE1133:AE1136))&gt;0,'Assumptions - Infrastructure'!AE$356/365*('Income statement'!AE146-AE1143+SUM(AE1133:AE1136)),0),0)</f>
        <v>133.04546478696693</v>
      </c>
      <c r="AF1195" s="41">
        <f>IF(AF$19=1,IF(('Income statement'!AF146-AF1143+SUM(AF1133:AF1136))&gt;0,'Assumptions - Infrastructure'!AF$356/365*('Income statement'!AF146-AF1143+SUM(AF1133:AF1136)),0),0)</f>
        <v>134.89397158771877</v>
      </c>
      <c r="AG1195" s="41">
        <f>IF(AG$19=1,IF(('Income statement'!AG146-AG1143+SUM(AG1133:AG1136))&gt;0,'Assumptions - Infrastructure'!AG$356/365*('Income statement'!AG146-AG1143+SUM(AG1133:AG1136)),0),0)</f>
        <v>136.79793359249322</v>
      </c>
      <c r="AH1195" s="41">
        <f>IF(AH$19=1,IF(('Income statement'!AH146-AH1143+SUM(AH1133:AH1136))&gt;0,'Assumptions - Infrastructure'!AH$356/365*('Income statement'!AH146-AH1143+SUM(AH1133:AH1136)),0),0)</f>
        <v>138.7590144574109</v>
      </c>
    </row>
    <row r="1196" spans="1:34" s="20" customFormat="1" ht="14" x14ac:dyDescent="0.2">
      <c r="A1196" s="8"/>
      <c r="B1196" s="8" t="s">
        <v>289</v>
      </c>
      <c r="C1196" s="8"/>
      <c r="D1196" s="8" t="str">
        <f>'Assumptions - General'!$E$27 &amp;" millions"</f>
        <v>R$ millions</v>
      </c>
      <c r="E1196" s="474">
        <f>IF(E$19=1,'Assumptions - Infrastructure'!E359,0)</f>
        <v>500</v>
      </c>
      <c r="F1196" s="41">
        <f>IF(F19=1,IF((F1147+F1149+F1151+F1153+F1155+F1157)&gt;0,'Assumptions - Infrastructure'!F360/365*(F1147+F1149+F1151+F1153+F1155+F1157),0),0)</f>
        <v>528.30024136178872</v>
      </c>
      <c r="G1196" s="41">
        <f>IF(G19=1,IF((G1147+G1149+G1151+G1153+G1155+G1157)&gt;0,'Assumptions - Infrastructure'!G360/365*(G1147+G1149+G1151+G1153+G1155+G1157),0),0)</f>
        <v>554.25305812645195</v>
      </c>
      <c r="H1196" s="41">
        <f>IF(H19=1,IF((H1147+H1149+H1151+H1153+H1155+H1157)&gt;0,'Assumptions - Infrastructure'!H360/365*(H1147+H1149+H1151+H1153+H1155+H1157),0),0)</f>
        <v>586.77559990744794</v>
      </c>
      <c r="I1196" s="41">
        <f>IF(I19=1,IF((I1147+I1149+I1151+I1153+I1155+I1157)&gt;0,'Assumptions - Infrastructure'!I360/365*(I1147+I1149+I1151+I1153+I1155+I1157),0),0)</f>
        <v>637.12246498130821</v>
      </c>
      <c r="J1196" s="41">
        <f>IF(J19=1,IF((J1147+J1149+J1151+J1153+J1155+J1157)&gt;0,'Assumptions - Infrastructure'!J360/365*(J1147+J1149+J1151+J1153+J1155+J1157),0),0)</f>
        <v>662.05838595569185</v>
      </c>
      <c r="K1196" s="41">
        <f>IF(K19=1,IF((K1147+K1149+K1151+K1153+K1155+K1157)&gt;0,'Assumptions - Infrastructure'!K360/365*(K1147+K1149+K1151+K1153+K1155+K1157),0),0)</f>
        <v>707.66298974611573</v>
      </c>
      <c r="L1196" s="41">
        <f>IF(L19=1,IF((L1147+L1149+L1151+L1153+L1155+L1157)&gt;0,'Assumptions - Infrastructure'!L360/365*(L1147+L1149+L1151+L1153+L1155+L1157),0),0)</f>
        <v>735.06970130726256</v>
      </c>
      <c r="M1196" s="41">
        <f>IF(M19=1,IF((M1147+M1149+M1151+M1153+M1155+M1157)&gt;0,'Assumptions - Infrastructure'!M360/365*(M1147+M1149+M1151+M1153+M1155+M1157),0),0)</f>
        <v>763.48391887130674</v>
      </c>
      <c r="N1196" s="41">
        <f>IF(N19=1,IF((N1147+N1149+N1151+N1153+N1155+N1157)&gt;0,'Assumptions - Infrastructure'!N360/365*(N1147+N1149+N1151+N1153+N1155+N1157),0),0)</f>
        <v>792.94142675801686</v>
      </c>
      <c r="O1196" s="41">
        <f>IF(O19=1,IF((O1147+O1149+O1151+O1153+O1155+O1157)&gt;0,'Assumptions - Infrastructure'!O360/365*(O1147+O1149+O1151+O1153+O1155+O1157),0),0)</f>
        <v>823.47924959094541</v>
      </c>
      <c r="P1196" s="41">
        <f>IF(P19=1,IF((P1147+P1149+P1151+P1153+P1155+P1157)&gt;0,'Assumptions - Infrastructure'!P360/365*(P1147+P1149+P1151+P1153+P1155+P1157),0),0)</f>
        <v>855.13569450976763</v>
      </c>
      <c r="Q1196" s="41">
        <f>IF(Q19=1,IF((Q1147+Q1149+Q1151+Q1153+Q1155+Q1157)&gt;0,'Assumptions - Infrastructure'!Q360/365*(Q1147+Q1149+Q1151+Q1153+Q1155+Q1157),0),0)</f>
        <v>887.95039479908735</v>
      </c>
      <c r="R1196" s="41">
        <f>IF(R19=1,IF((R1147+R1149+R1151+R1153+R1155+R1157)&gt;0,'Assumptions - Infrastructure'!R360/365*(R1147+R1149+R1151+R1153+R1155+R1157),0),0)</f>
        <v>921.9643549807073</v>
      </c>
      <c r="S1196" s="41">
        <f>IF(S19=1,IF((S1147+S1149+S1151+S1153+S1155+S1157)&gt;0,'Assumptions - Infrastructure'!S360/365*(S1147+S1149+S1151+S1153+S1155+S1157),0),0)</f>
        <v>957.21999741790535</v>
      </c>
      <c r="T1196" s="41">
        <f>IF(T19=1,IF((T1147+T1149+T1151+T1153+T1155+T1157)&gt;0,'Assumptions - Infrastructure'!T360/365*(T1147+T1149+T1151+T1153+T1155+T1157),0),0)</f>
        <v>993.76121048185257</v>
      </c>
      <c r="U1196" s="41">
        <f>IF(U19=1,IF((U1147+U1149+U1151+U1153+U1155+U1157)&gt;0,'Assumptions - Infrastructure'!U360/365*(U1147+U1149+U1151+U1153+U1155+U1157),0),0)</f>
        <v>1031.6333983319605</v>
      </c>
      <c r="V1196" s="41">
        <f>IF(V19=1,IF((V1147+V1149+V1151+V1153+V1155+V1157)&gt;0,'Assumptions - Infrastructure'!V360/365*(V1147+V1149+V1151+V1153+V1155+V1157),0),0)</f>
        <v>1070.8835323636415</v>
      </c>
      <c r="W1196" s="41">
        <f>IF(W19=1,IF((W1147+W1149+W1151+W1153+W1155+W1157)&gt;0,'Assumptions - Infrastructure'!W360/365*(W1147+W1149+W1151+W1153+W1155+W1157),0),0)</f>
        <v>1111.5602043787244</v>
      </c>
      <c r="X1196" s="41">
        <f>IF(X19=1,IF((X1147+X1149+X1151+X1153+X1155+X1157)&gt;0,'Assumptions - Infrastructure'!X360/365*(X1147+X1149+X1151+X1153+X1155+X1157),0),0)</f>
        <v>1153.7136815355848</v>
      </c>
      <c r="Y1196" s="41">
        <f>IF(Y19=1,IF((Y1147+Y1149+Y1151+Y1153+Y1155+Y1157)&gt;0,'Assumptions - Infrastructure'!Y360/365*(Y1147+Y1149+Y1151+Y1153+Y1155+Y1157),0),0)</f>
        <v>1197.3959631379162</v>
      </c>
      <c r="Z1196" s="41">
        <f>IF(Z19=1,IF((Z1147+Z1149+Z1151+Z1153+Z1155+Z1157)&gt;0,'Assumptions - Infrastructure'!Z360/365*(Z1147+Z1149+Z1151+Z1153+Z1155+Z1157),0),0)</f>
        <v>1242.6608393230056</v>
      </c>
      <c r="AA1196" s="41">
        <f>IF(AA19=1,IF((AA1147+AA1149+AA1151+AA1153+AA1155+AA1157)&gt;0,'Assumptions - Infrastructure'!AA360/365*(AA1147+AA1149+AA1151+AA1153+AA1155+AA1157),0),0)</f>
        <v>1289.5639517123761</v>
      </c>
      <c r="AB1196" s="41">
        <f>IF(AB19=1,IF((AB1147+AB1149+AB1151+AB1153+AB1155+AB1157)&gt;0,'Assumptions - Infrastructure'!AB360/365*(AB1147+AB1149+AB1151+AB1153+AB1155+AB1157),0),0)</f>
        <v>1338.1628560897186</v>
      </c>
      <c r="AC1196" s="41">
        <f>IF(AC19=1,IF((AC1147+AC1149+AC1151+AC1153+AC1155+AC1157)&gt;0,'Assumptions - Infrastructure'!AC360/365*(AC1147+AC1149+AC1151+AC1153+AC1155+AC1157),0),0)</f>
        <v>1388.5170871731593</v>
      </c>
      <c r="AD1196" s="41">
        <f>IF(AD19=1,IF((AD1147+AD1149+AD1151+AD1153+AD1155+AD1157)&gt;0,'Assumptions - Infrastructure'!AD360/365*(AD1147+AD1149+AD1151+AD1153+AD1155+AD1157),0),0)</f>
        <v>1440.6882255511266</v>
      </c>
      <c r="AE1196" s="41">
        <f>IF(AE19=1,IF((AE1147+AE1149+AE1151+AE1153+AE1155+AE1157)&gt;0,'Assumptions - Infrastructure'!AE360/365*(AE1147+AE1149+AE1151+AE1153+AE1155+AE1157),0),0)</f>
        <v>1494.7399668533155</v>
      </c>
      <c r="AF1196" s="41">
        <f>IF(AF19=1,IF((AF1147+AF1149+AF1151+AF1153+AF1155+AF1157)&gt;0,'Assumptions - Infrastructure'!AF360/365*(AF1147+AF1149+AF1151+AF1153+AF1155+AF1157),0),0)</f>
        <v>1550.7381932306405</v>
      </c>
      <c r="AG1196" s="41">
        <f>IF(AG19=1,IF((AG1147+AG1149+AG1151+AG1153+AG1155+AG1157)&gt;0,'Assumptions - Infrastructure'!AG360/365*(AG1147+AG1149+AG1151+AG1153+AG1155+AG1157),0),0)</f>
        <v>1608.7510472204367</v>
      </c>
      <c r="AH1196" s="41">
        <f>IF(AH19=1,IF((AH1147+AH1149+AH1151+AH1153+AH1155+AH1157)&gt;0,'Assumptions - Infrastructure'!AH360/365*(AH1147+AH1149+AH1151+AH1153+AH1155+AH1157),0),0)</f>
        <v>1668.8490080757131</v>
      </c>
    </row>
    <row r="1197" spans="1:34" s="20" customFormat="1" ht="14" x14ac:dyDescent="0.2">
      <c r="A1197" s="8"/>
      <c r="B1197" s="8" t="s">
        <v>290</v>
      </c>
      <c r="C1197" s="8"/>
      <c r="D1197" s="8" t="str">
        <f>'Assumptions - General'!$E$27 &amp;" millions"</f>
        <v>R$ millions</v>
      </c>
      <c r="E1197" s="474">
        <f>IF(E$19=1,'Assumptions - Infrastructure'!E363,0)</f>
        <v>100</v>
      </c>
      <c r="F1197" s="41">
        <f>IF(F19=1,IF(SUM(Calculations!F$1162:F$1165)&gt;0,'Assumptions - Infrastructure'!F364/365*SUM(Calculations!F$1162:F$1165),0),0)</f>
        <v>103</v>
      </c>
      <c r="G1197" s="41">
        <f>IF(G19=1,IF(SUM(Calculations!G$1162:G$1165)&gt;0,'Assumptions - Infrastructure'!G364/365*SUM(Calculations!G$1162:G$1165),0),0)</f>
        <v>106.09</v>
      </c>
      <c r="H1197" s="41">
        <f>IF(H19=1,IF(SUM(Calculations!H$1162:H$1165)&gt;0,'Assumptions - Infrastructure'!H364/365*SUM(Calculations!H$1162:H$1165),0),0)</f>
        <v>109.2727</v>
      </c>
      <c r="I1197" s="41">
        <f>IF(I19=1,IF(SUM(Calculations!I$1162:I$1165)&gt;0,'Assumptions - Infrastructure'!I364/365*SUM(Calculations!I$1162:I$1165),0),0)</f>
        <v>112.55088099999999</v>
      </c>
      <c r="J1197" s="41">
        <f>IF(J19=1,IF(SUM(Calculations!J$1162:J$1165)&gt;0,'Assumptions - Infrastructure'!J364/365*SUM(Calculations!J$1162:J$1165),0),0)</f>
        <v>115.92740742999999</v>
      </c>
      <c r="K1197" s="41">
        <f>IF(K19=1,IF(SUM(Calculations!K$1162:K$1165)&gt;0,'Assumptions - Infrastructure'!K364/365*SUM(Calculations!K$1162:K$1165),0),0)</f>
        <v>119.4052296529</v>
      </c>
      <c r="L1197" s="41">
        <f>IF(L19=1,IF(SUM(Calculations!L$1162:L$1165)&gt;0,'Assumptions - Infrastructure'!L364/365*SUM(Calculations!L$1162:L$1165),0),0)</f>
        <v>122.98738654248702</v>
      </c>
      <c r="M1197" s="41">
        <f>IF(M19=1,IF(SUM(Calculations!M$1162:M$1165)&gt;0,'Assumptions - Infrastructure'!M364/365*SUM(Calculations!M$1162:M$1165),0),0)</f>
        <v>126.67700813876162</v>
      </c>
      <c r="N1197" s="41">
        <f>IF(N19=1,IF(SUM(Calculations!N$1162:N$1165)&gt;0,'Assumptions - Infrastructure'!N364/365*SUM(Calculations!N$1162:N$1165),0),0)</f>
        <v>130.47731838292447</v>
      </c>
      <c r="O1197" s="41">
        <f>IF(O19=1,IF(SUM(Calculations!O$1162:O$1165)&gt;0,'Assumptions - Infrastructure'!O364/365*SUM(Calculations!O$1162:O$1165),0),0)</f>
        <v>134.39163793441222</v>
      </c>
      <c r="P1197" s="41">
        <f>IF(P19=1,IF(SUM(Calculations!P$1162:P$1165)&gt;0,'Assumptions - Infrastructure'!P364/365*SUM(Calculations!P$1162:P$1165),0),0)</f>
        <v>138.4233870724446</v>
      </c>
      <c r="Q1197" s="41">
        <f>IF(Q19=1,IF(SUM(Calculations!Q$1162:Q$1165)&gt;0,'Assumptions - Infrastructure'!Q364/365*SUM(Calculations!Q$1162:Q$1165),0),0)</f>
        <v>142.57608868461793</v>
      </c>
      <c r="R1197" s="41">
        <f>IF(R19=1,IF(SUM(Calculations!R$1162:R$1165)&gt;0,'Assumptions - Infrastructure'!R364/365*SUM(Calculations!R$1162:R$1165),0),0)</f>
        <v>146.85337134515646</v>
      </c>
      <c r="S1197" s="41">
        <f>IF(S19=1,IF(SUM(Calculations!S$1162:S$1165)&gt;0,'Assumptions - Infrastructure'!S364/365*SUM(Calculations!S$1162:S$1165),0),0)</f>
        <v>151.25897248551115</v>
      </c>
      <c r="T1197" s="41">
        <f>IF(T19=1,IF(SUM(Calculations!T$1162:T$1165)&gt;0,'Assumptions - Infrastructure'!T364/365*SUM(Calculations!T$1162:T$1165),0),0)</f>
        <v>155.79674166007646</v>
      </c>
      <c r="U1197" s="41">
        <f>IF(U19=1,IF(SUM(Calculations!U$1162:U$1165)&gt;0,'Assumptions - Infrastructure'!U364/365*SUM(Calculations!U$1162:U$1165),0),0)</f>
        <v>160.47064390987876</v>
      </c>
      <c r="V1197" s="41">
        <f>IF(V19=1,IF(SUM(Calculations!V$1162:V$1165)&gt;0,'Assumptions - Infrastructure'!V364/365*SUM(Calculations!V$1162:V$1165),0),0)</f>
        <v>165.28476322717512</v>
      </c>
      <c r="W1197" s="41">
        <f>IF(W19=1,IF(SUM(Calculations!W$1162:W$1165)&gt;0,'Assumptions - Infrastructure'!W364/365*SUM(Calculations!W$1162:W$1165),0),0)</f>
        <v>170.24330612399041</v>
      </c>
      <c r="X1197" s="41">
        <f>IF(X19=1,IF(SUM(Calculations!X$1162:X$1165)&gt;0,'Assumptions - Infrastructure'!X364/365*SUM(Calculations!X$1162:X$1165),0),0)</f>
        <v>175.35060530771011</v>
      </c>
      <c r="Y1197" s="41">
        <f>IF(Y19=1,IF(SUM(Calculations!Y$1162:Y$1165)&gt;0,'Assumptions - Infrastructure'!Y364/365*SUM(Calculations!Y$1162:Y$1165),0),0)</f>
        <v>180.61112346694145</v>
      </c>
      <c r="Z1197" s="41">
        <f>IF(Z19=1,IF(SUM(Calculations!Z$1162:Z$1165)&gt;0,'Assumptions - Infrastructure'!Z364/365*SUM(Calculations!Z$1162:Z$1165),0),0)</f>
        <v>186.02945717094968</v>
      </c>
      <c r="AA1197" s="41">
        <f>IF(AA19=1,IF(SUM(Calculations!AA$1162:AA$1165)&gt;0,'Assumptions - Infrastructure'!AA364/365*SUM(Calculations!AA$1162:AA$1165),0),0)</f>
        <v>191.61034088607818</v>
      </c>
      <c r="AB1197" s="41">
        <f>IF(AB19=1,IF(SUM(Calculations!AB$1162:AB$1165)&gt;0,'Assumptions - Infrastructure'!AB364/365*SUM(Calculations!AB$1162:AB$1165),0),0)</f>
        <v>197.35865111266054</v>
      </c>
      <c r="AC1197" s="41">
        <f>IF(AC19=1,IF(SUM(Calculations!AC$1162:AC$1165)&gt;0,'Assumptions - Infrastructure'!AC364/365*SUM(Calculations!AC$1162:AC$1165),0),0)</f>
        <v>203.27941064604039</v>
      </c>
      <c r="AD1197" s="41">
        <f>IF(AD19=1,IF(SUM(Calculations!AD$1162:AD$1165)&gt;0,'Assumptions - Infrastructure'!AD364/365*SUM(Calculations!AD$1162:AD$1165),0),0)</f>
        <v>209.37779296542158</v>
      </c>
      <c r="AE1197" s="41">
        <f>IF(AE19=1,IF(SUM(Calculations!AE$1162:AE$1165)&gt;0,'Assumptions - Infrastructure'!AE364/365*SUM(Calculations!AE$1162:AE$1165),0),0)</f>
        <v>215.65912675438418</v>
      </c>
      <c r="AF1197" s="41">
        <f>IF(AF19=1,IF(SUM(Calculations!AF$1162:AF$1165)&gt;0,'Assumptions - Infrastructure'!AF364/365*SUM(Calculations!AF$1162:AF$1165),0),0)</f>
        <v>222.1289005570157</v>
      </c>
      <c r="AG1197" s="41">
        <f>IF(AG19=1,IF(SUM(Calculations!AG$1162:AG$1165)&gt;0,'Assumptions - Infrastructure'!AG364/365*SUM(Calculations!AG$1162:AG$1165),0),0)</f>
        <v>228.79276757372622</v>
      </c>
      <c r="AH1197" s="41">
        <f>IF(AH19=1,IF(SUM(Calculations!AH$1162:AH$1165)&gt;0,'Assumptions - Infrastructure'!AH364/365*SUM(Calculations!AH$1162:AH$1165),0),0)</f>
        <v>235.656550600938</v>
      </c>
    </row>
    <row r="1198" spans="1:34" s="20" customFormat="1" ht="14" x14ac:dyDescent="0.2">
      <c r="A1198" s="8"/>
      <c r="B1198" s="8"/>
      <c r="C1198" s="8"/>
      <c r="D1198" s="8"/>
      <c r="E1198" s="41"/>
      <c r="F1198" s="41"/>
      <c r="G1198" s="41"/>
      <c r="H1198" s="41"/>
      <c r="I1198" s="41"/>
      <c r="J1198" s="41"/>
      <c r="K1198" s="41"/>
      <c r="L1198" s="41"/>
      <c r="M1198" s="41"/>
      <c r="N1198" s="41"/>
      <c r="O1198" s="41"/>
      <c r="P1198" s="41"/>
      <c r="Q1198" s="41"/>
      <c r="R1198" s="41"/>
      <c r="S1198" s="41"/>
      <c r="T1198" s="41"/>
      <c r="U1198" s="41"/>
      <c r="V1198" s="41"/>
      <c r="W1198" s="41"/>
      <c r="X1198" s="41"/>
      <c r="Y1198" s="41"/>
      <c r="Z1198" s="41"/>
      <c r="AA1198" s="41"/>
      <c r="AB1198" s="41"/>
      <c r="AC1198" s="41"/>
      <c r="AD1198" s="41"/>
      <c r="AE1198" s="41"/>
      <c r="AF1198" s="41"/>
      <c r="AG1198" s="41"/>
      <c r="AH1198" s="41"/>
    </row>
    <row r="1199" spans="1:34" s="20" customFormat="1" ht="14" x14ac:dyDescent="0.2">
      <c r="A1199" s="8"/>
      <c r="B1199" s="8" t="s">
        <v>70</v>
      </c>
      <c r="C1199" s="8"/>
      <c r="D1199" s="8" t="str">
        <f>'Assumptions - General'!$E$27 &amp;" millions"</f>
        <v>R$ millions</v>
      </c>
      <c r="E1199" s="41">
        <f>'Balance sheet'!E148</f>
        <v>100</v>
      </c>
      <c r="F1199" s="41">
        <f>'Balance sheet'!F148</f>
        <v>8217.9507387507656</v>
      </c>
      <c r="G1199" s="41">
        <f>'Balance sheet'!G148</f>
        <v>16612.847185709041</v>
      </c>
      <c r="H1199" s="41">
        <f>'Balance sheet'!H148</f>
        <v>25520.291583953698</v>
      </c>
      <c r="I1199" s="41">
        <f>'Balance sheet'!I148</f>
        <v>35176.780343975981</v>
      </c>
      <c r="J1199" s="41">
        <f>'Balance sheet'!J148</f>
        <v>45510.7620400698</v>
      </c>
      <c r="K1199" s="41">
        <f>'Balance sheet'!K148</f>
        <v>57143.988786399175</v>
      </c>
      <c r="L1199" s="41">
        <f>'Balance sheet'!L148</f>
        <v>69638.860153404894</v>
      </c>
      <c r="M1199" s="41">
        <f>'Balance sheet'!M148</f>
        <v>82925.766443951608</v>
      </c>
      <c r="N1199" s="41">
        <f>'Balance sheet'!N148</f>
        <v>97041.181277517899</v>
      </c>
      <c r="O1199" s="41">
        <f>'Balance sheet'!O148</f>
        <v>111836.09595003974</v>
      </c>
      <c r="P1199" s="41">
        <f>'Balance sheet'!P148</f>
        <v>127471.3581032064</v>
      </c>
      <c r="Q1199" s="41">
        <f>'Balance sheet'!Q148</f>
        <v>143998.75104556329</v>
      </c>
      <c r="R1199" s="41">
        <f>'Balance sheet'!R148</f>
        <v>161457.91250795822</v>
      </c>
      <c r="S1199" s="41">
        <f>'Balance sheet'!S148</f>
        <v>179891.36566663304</v>
      </c>
      <c r="T1199" s="41">
        <f>'Balance sheet'!T148</f>
        <v>199341.3998126908</v>
      </c>
      <c r="U1199" s="41">
        <f>'Balance sheet'!U148</f>
        <v>219795.67002423387</v>
      </c>
      <c r="V1199" s="41">
        <f>'Balance sheet'!V148</f>
        <v>241420.40931435322</v>
      </c>
      <c r="W1199" s="41">
        <f>'Balance sheet'!W148</f>
        <v>264203.9648912074</v>
      </c>
      <c r="X1199" s="41">
        <f>'Balance sheet'!X148</f>
        <v>288197.12335368624</v>
      </c>
      <c r="Y1199" s="41">
        <f>'Balance sheet'!Y148</f>
        <v>313452.68562651786</v>
      </c>
      <c r="Z1199" s="41">
        <f>'Balance sheet'!Z148</f>
        <v>340025.54223807831</v>
      </c>
      <c r="AA1199" s="41">
        <f>'Balance sheet'!AA148</f>
        <v>367972.75130370329</v>
      </c>
      <c r="AB1199" s="41">
        <f>'Balance sheet'!AB148</f>
        <v>397353.61930906842</v>
      </c>
      <c r="AC1199" s="41">
        <f>'Balance sheet'!AC148</f>
        <v>428229.78479145386</v>
      </c>
      <c r="AD1199" s="41">
        <f>'Balance sheet'!AD148</f>
        <v>460665.30502006435</v>
      </c>
      <c r="AE1199" s="41">
        <f>'Balance sheet'!AE148</f>
        <v>494726.74578004365</v>
      </c>
      <c r="AF1199" s="41">
        <f>'Balance sheet'!AF148</f>
        <v>530483.27436840441</v>
      </c>
      <c r="AG1199" s="41">
        <f>'Balance sheet'!AG148</f>
        <v>568006.37987758161</v>
      </c>
      <c r="AH1199" s="41">
        <f>'Balance sheet'!AH148</f>
        <v>607366.2662845978</v>
      </c>
    </row>
    <row r="1200" spans="1:34" s="20" customFormat="1" ht="14" x14ac:dyDescent="0.2">
      <c r="A1200" s="8"/>
      <c r="B1200" s="8" t="s">
        <v>69</v>
      </c>
      <c r="C1200" s="8"/>
      <c r="D1200" s="8" t="str">
        <f>'Assumptions - General'!$E$27 &amp;" millions"</f>
        <v>R$ millions</v>
      </c>
      <c r="E1200" s="41">
        <f>'Balance sheet'!E152</f>
        <v>5300</v>
      </c>
      <c r="F1200" s="41">
        <f>'Balance sheet'!F152</f>
        <v>13652.344782422995</v>
      </c>
      <c r="G1200" s="41">
        <f>'Balance sheet'!G152</f>
        <v>22207.806748426632</v>
      </c>
      <c r="H1200" s="41">
        <f>'Balance sheet'!H152</f>
        <v>31408.230055665743</v>
      </c>
      <c r="I1200" s="41">
        <f>'Balance sheet'!I152</f>
        <v>41501.739592893326</v>
      </c>
      <c r="J1200" s="41">
        <f>'Balance sheet'!J152</f>
        <v>52158.351113004268</v>
      </c>
      <c r="K1200" s="41">
        <f>'Balance sheet'!K152</f>
        <v>64589.706552621625</v>
      </c>
      <c r="L1200" s="41">
        <f>'Balance sheet'!L152</f>
        <v>77449.006584705465</v>
      </c>
      <c r="M1200" s="41">
        <f>'Balance sheet'!M152</f>
        <v>91115.570399959644</v>
      </c>
      <c r="N1200" s="41">
        <f>'Balance sheet'!N152</f>
        <v>105626.45736364198</v>
      </c>
      <c r="O1200" s="41">
        <f>'Balance sheet'!O152</f>
        <v>120833.26595624071</v>
      </c>
      <c r="P1200" s="41">
        <f>'Balance sheet'!P152</f>
        <v>136897.47320192563</v>
      </c>
      <c r="Q1200" s="41">
        <f>'Balance sheet'!Q152</f>
        <v>153871.51477506058</v>
      </c>
      <c r="R1200" s="41">
        <f>'Balance sheet'!R152</f>
        <v>171795.70456820572</v>
      </c>
      <c r="S1200" s="41">
        <f>'Balance sheet'!S152</f>
        <v>190713.26655583348</v>
      </c>
      <c r="T1200" s="41">
        <f>'Balance sheet'!T152</f>
        <v>210667.21633344144</v>
      </c>
      <c r="U1200" s="41">
        <f>'Balance sheet'!U152</f>
        <v>231645.9616893417</v>
      </c>
      <c r="V1200" s="41">
        <f>'Balance sheet'!V152</f>
        <v>253816.5156833253</v>
      </c>
      <c r="W1200" s="41">
        <f>'Balance sheet'!W152</f>
        <v>277168.03386949131</v>
      </c>
      <c r="X1200" s="41">
        <f>'Balance sheet'!X152</f>
        <v>301752.14048782282</v>
      </c>
      <c r="Y1200" s="41">
        <f>'Balance sheet'!Y152</f>
        <v>327622.50442949217</v>
      </c>
      <c r="Z1200" s="41">
        <f>'Balance sheet'!Z152</f>
        <v>354834.91558031418</v>
      </c>
      <c r="AA1200" s="41">
        <f>'Balance sheet'!AA152</f>
        <v>383447.36390634795</v>
      </c>
      <c r="AB1200" s="41">
        <f>'Balance sheet'!AB152</f>
        <v>413520.12137745268</v>
      </c>
      <c r="AC1200" s="41">
        <f>'Balance sheet'!AC152</f>
        <v>445115.82682789408</v>
      </c>
      <c r="AD1200" s="41">
        <f>'Balance sheet'!AD152</f>
        <v>478299.57385649654</v>
      </c>
      <c r="AE1200" s="41">
        <f>'Balance sheet'!AE152</f>
        <v>513139.00187234883</v>
      </c>
      <c r="AF1200" s="41">
        <f>'Balance sheet'!AF152</f>
        <v>549704.39039569651</v>
      </c>
      <c r="AG1200" s="41">
        <f>'Balance sheet'!AG152</f>
        <v>588068.38069119107</v>
      </c>
      <c r="AH1200" s="41">
        <f>'Balance sheet'!AH152</f>
        <v>628302.37025299342</v>
      </c>
    </row>
    <row r="1201" spans="1:34" s="20" customFormat="1" ht="14" x14ac:dyDescent="0.2">
      <c r="A1201" s="8"/>
      <c r="B1201" s="8" t="s">
        <v>77</v>
      </c>
      <c r="C1201" s="8"/>
      <c r="D1201" s="8" t="str">
        <f>'Assumptions - General'!$E$27 &amp;" millions"</f>
        <v>R$ millions</v>
      </c>
      <c r="E1201" s="41">
        <f>'Balance sheet'!E165</f>
        <v>610</v>
      </c>
      <c r="F1201" s="41">
        <f>'Balance sheet'!F165</f>
        <v>666.30024136178872</v>
      </c>
      <c r="G1201" s="41">
        <f>'Balance sheet'!G165</f>
        <v>682.84305812645198</v>
      </c>
      <c r="H1201" s="41">
        <f>'Balance sheet'!H165</f>
        <v>718.54829990744793</v>
      </c>
      <c r="I1201" s="41">
        <f>'Balance sheet'!I165</f>
        <v>772.17334598130822</v>
      </c>
      <c r="J1201" s="41">
        <f>'Balance sheet'!J165</f>
        <v>800.48579338569186</v>
      </c>
      <c r="K1201" s="41">
        <f>'Balance sheet'!K165</f>
        <v>849.56821939901579</v>
      </c>
      <c r="L1201" s="41">
        <f>'Balance sheet'!L165</f>
        <v>880.55708784974956</v>
      </c>
      <c r="M1201" s="41">
        <f>'Balance sheet'!M165</f>
        <v>912.66092701006835</v>
      </c>
      <c r="N1201" s="41">
        <f>'Balance sheet'!N165</f>
        <v>923.41874514094138</v>
      </c>
      <c r="O1201" s="41">
        <f>'Balance sheet'!O165</f>
        <v>957.8708875253576</v>
      </c>
      <c r="P1201" s="41">
        <f>'Balance sheet'!P165</f>
        <v>993.55908158221223</v>
      </c>
      <c r="Q1201" s="41">
        <f>'Balance sheet'!Q165</f>
        <v>1030.5264834837053</v>
      </c>
      <c r="R1201" s="41">
        <f>'Balance sheet'!R165</f>
        <v>1068.8177263258638</v>
      </c>
      <c r="S1201" s="41">
        <f>'Balance sheet'!S165</f>
        <v>1108.4789699034166</v>
      </c>
      <c r="T1201" s="41">
        <f>'Balance sheet'!T165</f>
        <v>1349.557952141929</v>
      </c>
      <c r="U1201" s="41">
        <f>'Balance sheet'!U165</f>
        <v>1192.1040422418394</v>
      </c>
      <c r="V1201" s="41">
        <f>'Balance sheet'!V165</f>
        <v>1236.1682955908166</v>
      </c>
      <c r="W1201" s="41">
        <f>'Balance sheet'!W165</f>
        <v>1281.8035105027147</v>
      </c>
      <c r="X1201" s="41">
        <f>'Balance sheet'!X165</f>
        <v>1329.0642868432949</v>
      </c>
      <c r="Y1201" s="41">
        <f>'Balance sheet'!Y165</f>
        <v>1378.0070866048577</v>
      </c>
      <c r="Z1201" s="41">
        <f>'Balance sheet'!Z165</f>
        <v>1428.6902964939552</v>
      </c>
      <c r="AA1201" s="41">
        <f>'Balance sheet'!AA165</f>
        <v>1481.1742925984543</v>
      </c>
      <c r="AB1201" s="41">
        <f>'Balance sheet'!AB165</f>
        <v>1535.5215072023791</v>
      </c>
      <c r="AC1201" s="41">
        <f>'Balance sheet'!AC165</f>
        <v>1591.7964978191997</v>
      </c>
      <c r="AD1201" s="41">
        <f>'Balance sheet'!AD165</f>
        <v>1650.0660185165482</v>
      </c>
      <c r="AE1201" s="41">
        <f>'Balance sheet'!AE165</f>
        <v>1710.3990936076998</v>
      </c>
      <c r="AF1201" s="41">
        <f>'Balance sheet'!AF165</f>
        <v>1772.8670937876561</v>
      </c>
      <c r="AG1201" s="41">
        <f>'Balance sheet'!AG165</f>
        <v>1837.5438147941629</v>
      </c>
      <c r="AH1201" s="41">
        <f>'Balance sheet'!AH165</f>
        <v>1904.5055586766512</v>
      </c>
    </row>
    <row r="1202" spans="1:34" s="20" customFormat="1" ht="14" x14ac:dyDescent="0.2">
      <c r="A1202" s="8"/>
      <c r="B1202" s="8" t="s">
        <v>178</v>
      </c>
      <c r="C1202" s="8"/>
      <c r="D1202" s="8" t="s">
        <v>118</v>
      </c>
      <c r="E1202" s="79">
        <f t="shared" ref="E1202:AH1202" si="452">IF(E19=1,E1200/E1201,"N/A")</f>
        <v>8.6885245901639347</v>
      </c>
      <c r="F1202" s="79">
        <f t="shared" si="452"/>
        <v>20.489779133983571</v>
      </c>
      <c r="G1202" s="79">
        <f t="shared" si="452"/>
        <v>32.522563543897213</v>
      </c>
      <c r="H1202" s="79">
        <f t="shared" si="452"/>
        <v>43.710673394831296</v>
      </c>
      <c r="I1202" s="79">
        <f t="shared" si="452"/>
        <v>53.746661690518835</v>
      </c>
      <c r="J1202" s="79">
        <f t="shared" si="452"/>
        <v>65.158372008575071</v>
      </c>
      <c r="K1202" s="79">
        <f t="shared" si="452"/>
        <v>76.026509793777777</v>
      </c>
      <c r="L1202" s="79">
        <f t="shared" si="452"/>
        <v>87.954554739693009</v>
      </c>
      <c r="M1202" s="79">
        <f t="shared" si="452"/>
        <v>99.835073139878673</v>
      </c>
      <c r="N1202" s="79">
        <f t="shared" si="452"/>
        <v>114.38630406784759</v>
      </c>
      <c r="O1202" s="79">
        <f t="shared" si="452"/>
        <v>126.14775908725163</v>
      </c>
      <c r="P1202" s="79">
        <f t="shared" si="452"/>
        <v>137.78493472569403</v>
      </c>
      <c r="Q1202" s="79">
        <f t="shared" si="452"/>
        <v>149.31349872241648</v>
      </c>
      <c r="R1202" s="79">
        <f t="shared" si="452"/>
        <v>160.73433321392</v>
      </c>
      <c r="S1202" s="79">
        <f t="shared" si="452"/>
        <v>172.04951265106149</v>
      </c>
      <c r="T1202" s="79">
        <f t="shared" si="452"/>
        <v>156.10090400273984</v>
      </c>
      <c r="U1202" s="79">
        <f t="shared" si="452"/>
        <v>194.3168997680055</v>
      </c>
      <c r="V1202" s="79">
        <f t="shared" si="452"/>
        <v>205.32521064376252</v>
      </c>
      <c r="W1202" s="79">
        <f t="shared" si="452"/>
        <v>216.23285597087175</v>
      </c>
      <c r="X1202" s="79">
        <f t="shared" si="452"/>
        <v>227.04104193825299</v>
      </c>
      <c r="Y1202" s="79">
        <f t="shared" si="452"/>
        <v>237.7509576069674</v>
      </c>
      <c r="Z1202" s="79">
        <f t="shared" si="452"/>
        <v>248.36377516603054</v>
      </c>
      <c r="AA1202" s="79">
        <f t="shared" si="452"/>
        <v>258.88065018577822</v>
      </c>
      <c r="AB1202" s="79">
        <f t="shared" si="452"/>
        <v>269.30272186865011</v>
      </c>
      <c r="AC1202" s="79">
        <f t="shared" si="452"/>
        <v>279.63111329727997</v>
      </c>
      <c r="AD1202" s="79">
        <f t="shared" si="452"/>
        <v>289.86693167980042</v>
      </c>
      <c r="AE1202" s="79">
        <f t="shared" si="452"/>
        <v>300.01126859228992</v>
      </c>
      <c r="AF1202" s="79">
        <f t="shared" si="452"/>
        <v>310.06520021829505</v>
      </c>
      <c r="AG1202" s="79">
        <f t="shared" si="452"/>
        <v>320.02958294470113</v>
      </c>
      <c r="AH1202" s="79">
        <f t="shared" si="452"/>
        <v>329.90314330695384</v>
      </c>
    </row>
    <row r="1203" spans="1:34" s="20" customFormat="1" ht="14" x14ac:dyDescent="0.2">
      <c r="A1203" s="8"/>
      <c r="B1203" s="8" t="s">
        <v>216</v>
      </c>
      <c r="C1203" s="8"/>
      <c r="D1203" s="8" t="s">
        <v>118</v>
      </c>
      <c r="E1203" s="79">
        <f t="shared" ref="E1203:AH1203" si="453">IF(E19=1,E1199/E1201,"N/A")</f>
        <v>0.16393442622950818</v>
      </c>
      <c r="F1203" s="79">
        <f t="shared" si="453"/>
        <v>12.333705180647788</v>
      </c>
      <c r="G1203" s="79">
        <f t="shared" si="453"/>
        <v>24.328939114194814</v>
      </c>
      <c r="H1203" s="79">
        <f t="shared" si="453"/>
        <v>35.516459488166376</v>
      </c>
      <c r="I1203" s="79">
        <f t="shared" si="453"/>
        <v>45.555548539780204</v>
      </c>
      <c r="J1203" s="79">
        <f t="shared" si="453"/>
        <v>56.853928472084327</v>
      </c>
      <c r="K1203" s="79">
        <f t="shared" si="453"/>
        <v>67.262389860608025</v>
      </c>
      <c r="L1203" s="79">
        <f t="shared" si="453"/>
        <v>79.085003248860858</v>
      </c>
      <c r="M1203" s="79">
        <f t="shared" si="453"/>
        <v>90.861528076611506</v>
      </c>
      <c r="N1203" s="79">
        <f t="shared" si="453"/>
        <v>105.0890311553146</v>
      </c>
      <c r="O1203" s="79">
        <f t="shared" si="453"/>
        <v>116.75487522015239</v>
      </c>
      <c r="P1203" s="79">
        <f t="shared" si="453"/>
        <v>128.29771320716247</v>
      </c>
      <c r="Q1203" s="79">
        <f t="shared" si="453"/>
        <v>139.7331881843289</v>
      </c>
      <c r="R1203" s="79">
        <f t="shared" si="453"/>
        <v>151.06215824374578</v>
      </c>
      <c r="S1203" s="79">
        <f t="shared" si="453"/>
        <v>162.28667439880005</v>
      </c>
      <c r="T1203" s="79">
        <f t="shared" si="453"/>
        <v>147.70866230405989</v>
      </c>
      <c r="U1203" s="79">
        <f t="shared" si="453"/>
        <v>184.37624757222696</v>
      </c>
      <c r="V1203" s="79">
        <f t="shared" si="453"/>
        <v>195.29736377761435</v>
      </c>
      <c r="W1203" s="79">
        <f t="shared" si="453"/>
        <v>206.11892753171534</v>
      </c>
      <c r="X1203" s="79">
        <f t="shared" si="453"/>
        <v>216.84212434764376</v>
      </c>
      <c r="Y1203" s="79">
        <f t="shared" si="453"/>
        <v>227.46812311307085</v>
      </c>
      <c r="Z1203" s="79">
        <f t="shared" si="453"/>
        <v>237.99807633082568</v>
      </c>
      <c r="AA1203" s="79">
        <f t="shared" si="453"/>
        <v>248.4331203576057</v>
      </c>
      <c r="AB1203" s="79">
        <f t="shared" si="453"/>
        <v>258.77437564063888</v>
      </c>
      <c r="AC1203" s="79">
        <f t="shared" si="453"/>
        <v>269.0229469521633</v>
      </c>
      <c r="AD1203" s="79">
        <f t="shared" si="453"/>
        <v>279.17992362161021</v>
      </c>
      <c r="AE1203" s="79">
        <f t="shared" si="453"/>
        <v>289.24637976539708</v>
      </c>
      <c r="AF1203" s="79">
        <f t="shared" si="453"/>
        <v>299.22337451424471</v>
      </c>
      <c r="AG1203" s="79">
        <f t="shared" si="453"/>
        <v>309.11174759727197</v>
      </c>
      <c r="AH1203" s="79">
        <f t="shared" si="453"/>
        <v>318.91020927585384</v>
      </c>
    </row>
    <row r="1205" spans="1:34" x14ac:dyDescent="0.2">
      <c r="A1205" s="316"/>
      <c r="B1205" s="315" t="str">
        <f>"Cash balance for " &amp;'Assumptions - General'!E26</f>
        <v>Cash balance for Ruritania Railway Infrastructure Company</v>
      </c>
      <c r="C1205" s="316"/>
      <c r="D1205" s="316"/>
      <c r="E1205" s="316"/>
      <c r="F1205" s="316"/>
      <c r="G1205" s="316"/>
      <c r="H1205" s="316"/>
      <c r="I1205" s="316"/>
      <c r="J1205" s="316"/>
      <c r="K1205" s="316"/>
      <c r="L1205" s="316"/>
      <c r="M1205" s="316"/>
      <c r="N1205" s="316"/>
      <c r="O1205" s="316"/>
      <c r="P1205" s="316"/>
      <c r="Q1205" s="316"/>
      <c r="R1205" s="316"/>
      <c r="S1205" s="316"/>
      <c r="T1205" s="316"/>
      <c r="U1205" s="316"/>
      <c r="V1205" s="316"/>
      <c r="W1205" s="316"/>
      <c r="X1205" s="316"/>
      <c r="Y1205" s="316"/>
      <c r="Z1205" s="316"/>
      <c r="AA1205" s="316"/>
      <c r="AB1205" s="316"/>
      <c r="AC1205" s="316"/>
      <c r="AD1205" s="316"/>
      <c r="AE1205" s="316"/>
      <c r="AF1205" s="316"/>
      <c r="AG1205" s="316"/>
      <c r="AH1205" s="316"/>
    </row>
    <row r="1206" spans="1:34" s="20" customFormat="1" ht="14" x14ac:dyDescent="0.2">
      <c r="A1206" s="8"/>
      <c r="B1206" s="7"/>
      <c r="C1206" s="8"/>
      <c r="D1206" s="8"/>
      <c r="E1206" s="9"/>
      <c r="F1206" s="9"/>
      <c r="G1206" s="9"/>
      <c r="H1206" s="9"/>
      <c r="I1206" s="9"/>
      <c r="J1206" s="9"/>
      <c r="K1206" s="9"/>
      <c r="L1206" s="9"/>
      <c r="M1206" s="9"/>
      <c r="N1206" s="9"/>
      <c r="O1206" s="9"/>
      <c r="P1206" s="9"/>
      <c r="Q1206" s="9"/>
      <c r="R1206" s="9"/>
      <c r="S1206" s="9"/>
      <c r="T1206" s="9"/>
      <c r="U1206" s="9"/>
      <c r="V1206" s="9"/>
      <c r="W1206" s="9"/>
      <c r="X1206" s="9"/>
      <c r="Y1206" s="9"/>
      <c r="Z1206" s="9"/>
      <c r="AA1206" s="9"/>
      <c r="AB1206" s="9"/>
      <c r="AC1206" s="9"/>
      <c r="AD1206" s="9"/>
      <c r="AE1206" s="9"/>
      <c r="AF1206" s="9"/>
      <c r="AG1206" s="9"/>
      <c r="AH1206" s="9"/>
    </row>
    <row r="1207" spans="1:34" s="20" customFormat="1" ht="14" x14ac:dyDescent="0.2">
      <c r="A1207" s="8"/>
      <c r="B1207" s="8" t="s">
        <v>146</v>
      </c>
      <c r="C1207" s="8"/>
      <c r="D1207" s="8" t="str">
        <f>'Assumptions - General'!$E$27 &amp;" millions"</f>
        <v>R$ millions</v>
      </c>
      <c r="E1207" s="474"/>
      <c r="F1207" s="41">
        <f t="shared" ref="F1207:AH1207" si="454">IF(F19=1,E1209," ")</f>
        <v>100</v>
      </c>
      <c r="G1207" s="41">
        <f t="shared" si="454"/>
        <v>8217.9507387507656</v>
      </c>
      <c r="H1207" s="41">
        <f t="shared" si="454"/>
        <v>16612.847185709041</v>
      </c>
      <c r="I1207" s="41">
        <f t="shared" si="454"/>
        <v>25520.291583953698</v>
      </c>
      <c r="J1207" s="41">
        <f t="shared" si="454"/>
        <v>35176.780343975981</v>
      </c>
      <c r="K1207" s="41">
        <f t="shared" si="454"/>
        <v>45510.7620400698</v>
      </c>
      <c r="L1207" s="41">
        <f t="shared" si="454"/>
        <v>57143.988786399175</v>
      </c>
      <c r="M1207" s="41">
        <f t="shared" si="454"/>
        <v>69638.860153404894</v>
      </c>
      <c r="N1207" s="41">
        <f t="shared" si="454"/>
        <v>82925.766443951608</v>
      </c>
      <c r="O1207" s="41">
        <f t="shared" si="454"/>
        <v>97041.181277517899</v>
      </c>
      <c r="P1207" s="41">
        <f t="shared" si="454"/>
        <v>111836.09595003974</v>
      </c>
      <c r="Q1207" s="41">
        <f t="shared" si="454"/>
        <v>127471.3581032064</v>
      </c>
      <c r="R1207" s="41">
        <f t="shared" si="454"/>
        <v>143998.75104556329</v>
      </c>
      <c r="S1207" s="41">
        <f t="shared" si="454"/>
        <v>161457.91250795822</v>
      </c>
      <c r="T1207" s="41">
        <f t="shared" si="454"/>
        <v>179891.36566663304</v>
      </c>
      <c r="U1207" s="41">
        <f t="shared" si="454"/>
        <v>199341.3998126908</v>
      </c>
      <c r="V1207" s="41">
        <f t="shared" si="454"/>
        <v>219795.67002423387</v>
      </c>
      <c r="W1207" s="41">
        <f t="shared" si="454"/>
        <v>241420.40931435322</v>
      </c>
      <c r="X1207" s="41">
        <f t="shared" si="454"/>
        <v>264203.9648912074</v>
      </c>
      <c r="Y1207" s="41">
        <f t="shared" si="454"/>
        <v>288197.12335368624</v>
      </c>
      <c r="Z1207" s="41">
        <f t="shared" si="454"/>
        <v>313452.68562651786</v>
      </c>
      <c r="AA1207" s="41">
        <f t="shared" si="454"/>
        <v>340025.54223807831</v>
      </c>
      <c r="AB1207" s="41">
        <f t="shared" si="454"/>
        <v>367972.75130370329</v>
      </c>
      <c r="AC1207" s="41">
        <f t="shared" si="454"/>
        <v>397353.61930906842</v>
      </c>
      <c r="AD1207" s="41">
        <f t="shared" si="454"/>
        <v>428229.78479145386</v>
      </c>
      <c r="AE1207" s="41">
        <f t="shared" si="454"/>
        <v>460665.30502006435</v>
      </c>
      <c r="AF1207" s="41">
        <f t="shared" si="454"/>
        <v>494726.74578004365</v>
      </c>
      <c r="AG1207" s="41">
        <f t="shared" si="454"/>
        <v>530483.27436840441</v>
      </c>
      <c r="AH1207" s="41">
        <f t="shared" si="454"/>
        <v>568006.37987758161</v>
      </c>
    </row>
    <row r="1208" spans="1:34" s="20" customFormat="1" ht="14" x14ac:dyDescent="0.2">
      <c r="A1208" s="8"/>
      <c r="B1208" s="8" t="s">
        <v>148</v>
      </c>
      <c r="C1208" s="8"/>
      <c r="D1208" s="8" t="str">
        <f>'Assumptions - General'!$E$27 &amp;" millions"</f>
        <v>R$ millions</v>
      </c>
      <c r="E1208" s="474"/>
      <c r="F1208" s="41">
        <f>IF(F19=1,'Cash flow statement'!F180," ")</f>
        <v>8117.9507387507656</v>
      </c>
      <c r="G1208" s="41">
        <f>IF(G19=1,'Cash flow statement'!G180," ")</f>
        <v>8394.8964469582752</v>
      </c>
      <c r="H1208" s="41">
        <f>IF(H19=1,'Cash flow statement'!H180," ")</f>
        <v>8907.4443982446574</v>
      </c>
      <c r="I1208" s="41">
        <f>IF(I19=1,'Cash flow statement'!I180," ")</f>
        <v>9656.4887600222828</v>
      </c>
      <c r="J1208" s="41">
        <f>IF(J19=1,'Cash flow statement'!J180," ")</f>
        <v>10333.981696093819</v>
      </c>
      <c r="K1208" s="41">
        <f>IF(K19=1,'Cash flow statement'!K180," ")</f>
        <v>11633.226746329379</v>
      </c>
      <c r="L1208" s="41">
        <f>IF(L19=1,'Cash flow statement'!L180," ")</f>
        <v>12494.871367005719</v>
      </c>
      <c r="M1208" s="41">
        <f>IF(M19=1,'Cash flow statement'!M180," ")</f>
        <v>13286.906290546714</v>
      </c>
      <c r="N1208" s="41">
        <f>IF(N19=1,'Cash flow statement'!N180," ")</f>
        <v>14115.414833566283</v>
      </c>
      <c r="O1208" s="41">
        <f>IF(O19=1,'Cash flow statement'!O180," ")</f>
        <v>14794.914672521852</v>
      </c>
      <c r="P1208" s="41">
        <f>IF(P19=1,'Cash flow statement'!P180," ")</f>
        <v>15635.262153166652</v>
      </c>
      <c r="Q1208" s="41">
        <f>IF(Q19=1,'Cash flow statement'!Q180," ")</f>
        <v>16527.392942356884</v>
      </c>
      <c r="R1208" s="41">
        <f>IF(R19=1,'Cash flow statement'!R180," ")</f>
        <v>17459.161462394928</v>
      </c>
      <c r="S1208" s="41">
        <f>IF(S19=1,'Cash flow statement'!S180," ")</f>
        <v>18433.453158674827</v>
      </c>
      <c r="T1208" s="41">
        <f>IF(T19=1,'Cash flow statement'!T180," ")</f>
        <v>19450.034146057755</v>
      </c>
      <c r="U1208" s="41">
        <f>IF(U19=1,'Cash flow statement'!U180," ")</f>
        <v>20454.270211543073</v>
      </c>
      <c r="V1208" s="41">
        <f>IF(V19=1,'Cash flow statement'!V180," ")</f>
        <v>21624.739290119353</v>
      </c>
      <c r="W1208" s="41">
        <f>IF(W19=1,'Cash flow statement'!W180," ")</f>
        <v>22783.555576854167</v>
      </c>
      <c r="X1208" s="41">
        <f>IF(X19=1,'Cash flow statement'!X180," ")</f>
        <v>23993.158462478837</v>
      </c>
      <c r="Y1208" s="41">
        <f>IF(Y19=1,'Cash flow statement'!Y180," ")</f>
        <v>25255.562272831638</v>
      </c>
      <c r="Z1208" s="41">
        <f>IF(Z19=1,'Cash flow statement'!Z180," ")</f>
        <v>26572.856611560463</v>
      </c>
      <c r="AA1208" s="41">
        <f>IF(AA19=1,'Cash flow statement'!AA180," ")</f>
        <v>27947.209065624957</v>
      </c>
      <c r="AB1208" s="41">
        <f>IF(AB19=1,'Cash flow statement'!AB180," ")</f>
        <v>29380.868005365148</v>
      </c>
      <c r="AC1208" s="41">
        <f>IF(AC19=1,'Cash flow statement'!AC180," ")</f>
        <v>30876.165482385448</v>
      </c>
      <c r="AD1208" s="41">
        <f>IF(AD19=1,'Cash flow statement'!AD180," ")</f>
        <v>32435.520228610476</v>
      </c>
      <c r="AE1208" s="41">
        <f>IF(AE19=1,'Cash flow statement'!AE180," ")</f>
        <v>34061.440759979276</v>
      </c>
      <c r="AF1208" s="41">
        <f>IF(AF19=1,'Cash flow statement'!AF180," ")</f>
        <v>35756.528588360699</v>
      </c>
      <c r="AG1208" s="41">
        <f>IF(AG19=1,'Cash flow statement'!AG180," ")</f>
        <v>37523.1055091772</v>
      </c>
      <c r="AH1208" s="41">
        <f>IF(AH19=1,'Cash flow statement'!AH180," ")</f>
        <v>39359.886407016165</v>
      </c>
    </row>
    <row r="1209" spans="1:34" s="20" customFormat="1" ht="14" x14ac:dyDescent="0.2">
      <c r="A1209" s="8"/>
      <c r="B1209" s="8" t="s">
        <v>147</v>
      </c>
      <c r="C1209" s="8"/>
      <c r="D1209" s="8" t="str">
        <f>'Assumptions - General'!$E$27 &amp;" millions"</f>
        <v>R$ millions</v>
      </c>
      <c r="E1209" s="474">
        <f>IF(E19=1,'Assumptions - Infrastructure'!E367,0)</f>
        <v>100</v>
      </c>
      <c r="F1209" s="41">
        <f t="shared" ref="F1209:AH1209" si="455">IF(F19=1,F1207+F1208," ")</f>
        <v>8217.9507387507656</v>
      </c>
      <c r="G1209" s="41">
        <f t="shared" si="455"/>
        <v>16612.847185709041</v>
      </c>
      <c r="H1209" s="41">
        <f t="shared" si="455"/>
        <v>25520.291583953698</v>
      </c>
      <c r="I1209" s="41">
        <f t="shared" si="455"/>
        <v>35176.780343975981</v>
      </c>
      <c r="J1209" s="41">
        <f t="shared" si="455"/>
        <v>45510.7620400698</v>
      </c>
      <c r="K1209" s="41">
        <f t="shared" si="455"/>
        <v>57143.988786399175</v>
      </c>
      <c r="L1209" s="41">
        <f t="shared" si="455"/>
        <v>69638.860153404894</v>
      </c>
      <c r="M1209" s="41">
        <f t="shared" si="455"/>
        <v>82925.766443951608</v>
      </c>
      <c r="N1209" s="41">
        <f t="shared" si="455"/>
        <v>97041.181277517899</v>
      </c>
      <c r="O1209" s="41">
        <f t="shared" si="455"/>
        <v>111836.09595003974</v>
      </c>
      <c r="P1209" s="41">
        <f t="shared" si="455"/>
        <v>127471.3581032064</v>
      </c>
      <c r="Q1209" s="41">
        <f t="shared" si="455"/>
        <v>143998.75104556329</v>
      </c>
      <c r="R1209" s="41">
        <f t="shared" si="455"/>
        <v>161457.91250795822</v>
      </c>
      <c r="S1209" s="41">
        <f t="shared" si="455"/>
        <v>179891.36566663304</v>
      </c>
      <c r="T1209" s="41">
        <f t="shared" si="455"/>
        <v>199341.3998126908</v>
      </c>
      <c r="U1209" s="41">
        <f t="shared" si="455"/>
        <v>219795.67002423387</v>
      </c>
      <c r="V1209" s="41">
        <f t="shared" si="455"/>
        <v>241420.40931435322</v>
      </c>
      <c r="W1209" s="41">
        <f t="shared" si="455"/>
        <v>264203.9648912074</v>
      </c>
      <c r="X1209" s="41">
        <f t="shared" si="455"/>
        <v>288197.12335368624</v>
      </c>
      <c r="Y1209" s="41">
        <f t="shared" si="455"/>
        <v>313452.68562651786</v>
      </c>
      <c r="Z1209" s="41">
        <f t="shared" si="455"/>
        <v>340025.54223807831</v>
      </c>
      <c r="AA1209" s="41">
        <f t="shared" si="455"/>
        <v>367972.75130370329</v>
      </c>
      <c r="AB1209" s="41">
        <f t="shared" si="455"/>
        <v>397353.61930906842</v>
      </c>
      <c r="AC1209" s="41">
        <f t="shared" si="455"/>
        <v>428229.78479145386</v>
      </c>
      <c r="AD1209" s="41">
        <f t="shared" si="455"/>
        <v>460665.30502006435</v>
      </c>
      <c r="AE1209" s="41">
        <f t="shared" si="455"/>
        <v>494726.74578004365</v>
      </c>
      <c r="AF1209" s="41">
        <f t="shared" si="455"/>
        <v>530483.27436840441</v>
      </c>
      <c r="AG1209" s="41">
        <f t="shared" si="455"/>
        <v>568006.37987758161</v>
      </c>
      <c r="AH1209" s="41">
        <f t="shared" si="455"/>
        <v>607366.2662845978</v>
      </c>
    </row>
    <row r="1210" spans="1:34" s="20" customFormat="1" ht="14" x14ac:dyDescent="0.2">
      <c r="A1210" s="8"/>
      <c r="B1210" s="8" t="s">
        <v>419</v>
      </c>
      <c r="C1210" s="8"/>
      <c r="D1210" s="8" t="s">
        <v>15</v>
      </c>
      <c r="E1210" s="243" t="str">
        <f>IF(AND(E19=1,E1207&lt;&gt;0),'Assumptions - Infrastructure'!$E$370+'Assumptions - General'!E38," ")</f>
        <v xml:space="preserve"> </v>
      </c>
      <c r="F1210" s="243">
        <f>IF(AND(F19=1,F1207&lt;&gt;0),'Assumptions - Infrastructure'!$E$370+'Assumptions - General'!F38," ")</f>
        <v>2.6299999999999997E-2</v>
      </c>
      <c r="G1210" s="243">
        <f>IF(AND(G19=1,G1207&lt;&gt;0),'Assumptions - Infrastructure'!$E$370+'Assumptions - General'!G38," ")</f>
        <v>3.9699999999999999E-2</v>
      </c>
      <c r="H1210" s="243">
        <f>IF(AND(H19=1,H1207&lt;&gt;0),'Assumptions - Infrastructure'!$E$370+'Assumptions - General'!H38," ")</f>
        <v>4.9399999999999999E-2</v>
      </c>
      <c r="I1210" s="243">
        <f>IF(AND(I19=1,I1207&lt;&gt;0),'Assumptions - Infrastructure'!$E$370+'Assumptions - General'!I38," ")</f>
        <v>5.6300000000000003E-2</v>
      </c>
      <c r="J1210" s="243">
        <f>IF(AND(J19=1,J1207&lt;&gt;0),'Assumptions - Infrastructure'!$E$370+'Assumptions - General'!J38," ")</f>
        <v>6.08E-2</v>
      </c>
      <c r="K1210" s="243">
        <f>IF(AND(K19=1,K1207&lt;&gt;0),'Assumptions - Infrastructure'!$E$370+'Assumptions - General'!K38," ")</f>
        <v>6.3799999999999996E-2</v>
      </c>
      <c r="L1210" s="243">
        <f>IF(AND(L19=1,L1207&lt;&gt;0),'Assumptions - Infrastructure'!$E$370+'Assumptions - General'!L38," ")</f>
        <v>6.5699999999999995E-2</v>
      </c>
      <c r="M1210" s="243">
        <f>IF(AND(M19=1,M1207&lt;&gt;0),'Assumptions - Infrastructure'!$E$370+'Assumptions - General'!M38," ")</f>
        <v>6.7699999999999996E-2</v>
      </c>
      <c r="N1210" s="243">
        <f>IF(AND(N19=1,N1207&lt;&gt;0),'Assumptions - Infrastructure'!$E$370+'Assumptions - General'!N38," ")</f>
        <v>6.9099999999999995E-2</v>
      </c>
      <c r="O1210" s="243">
        <f>IF(AND(O19=1,O1207&lt;&gt;0),'Assumptions - Infrastructure'!$E$370+'Assumptions - General'!O38," ")</f>
        <v>6.0600000000000001E-2</v>
      </c>
      <c r="P1210" s="243">
        <f>IF(AND(P19=1,P1207&lt;&gt;0),'Assumptions - Infrastructure'!$E$370+'Assumptions - General'!P38," ")</f>
        <v>6.0000000000000005E-2</v>
      </c>
      <c r="Q1210" s="243">
        <f>IF(AND(Q19=1,Q1207&lt;&gt;0),'Assumptions - Infrastructure'!$E$370+'Assumptions - General'!Q38," ")</f>
        <v>6.0000000000000005E-2</v>
      </c>
      <c r="R1210" s="243">
        <f>IF(AND(R19=1,R1207&lt;&gt;0),'Assumptions - Infrastructure'!$E$370+'Assumptions - General'!R38," ")</f>
        <v>6.0000000000000005E-2</v>
      </c>
      <c r="S1210" s="243">
        <f>IF(AND(S19=1,S1207&lt;&gt;0),'Assumptions - Infrastructure'!$E$370+'Assumptions - General'!S38," ")</f>
        <v>6.0000000000000005E-2</v>
      </c>
      <c r="T1210" s="243">
        <f>IF(AND(T19=1,T1207&lt;&gt;0),'Assumptions - Infrastructure'!$E$370+'Assumptions - General'!T38," ")</f>
        <v>6.0000000000000005E-2</v>
      </c>
      <c r="U1210" s="243">
        <f>IF(AND(U19=1,U1207&lt;&gt;0),'Assumptions - Infrastructure'!$E$370+'Assumptions - General'!U38," ")</f>
        <v>6.0000000000000005E-2</v>
      </c>
      <c r="V1210" s="243">
        <f>IF(AND(V19=1,V1207&lt;&gt;0),'Assumptions - Infrastructure'!$E$370+'Assumptions - General'!V38," ")</f>
        <v>6.0000000000000005E-2</v>
      </c>
      <c r="W1210" s="243">
        <f>IF(AND(W19=1,W1207&lt;&gt;0),'Assumptions - Infrastructure'!$E$370+'Assumptions - General'!W38," ")</f>
        <v>6.0000000000000005E-2</v>
      </c>
      <c r="X1210" s="243">
        <f>IF(AND(X19=1,X1207&lt;&gt;0),'Assumptions - Infrastructure'!$E$370+'Assumptions - General'!X38," ")</f>
        <v>6.0000000000000005E-2</v>
      </c>
      <c r="Y1210" s="243">
        <f>IF(AND(Y19=1,Y1207&lt;&gt;0),'Assumptions - Infrastructure'!$E$370+'Assumptions - General'!Y38," ")</f>
        <v>6.0000000000000005E-2</v>
      </c>
      <c r="Z1210" s="243">
        <f>IF(AND(Z19=1,Z1207&lt;&gt;0),'Assumptions - Infrastructure'!$E$370+'Assumptions - General'!Z38," ")</f>
        <v>6.0000000000000005E-2</v>
      </c>
      <c r="AA1210" s="243">
        <f>IF(AND(AA19=1,AA1207&lt;&gt;0),'Assumptions - Infrastructure'!$E$370+'Assumptions - General'!AA38," ")</f>
        <v>6.0000000000000005E-2</v>
      </c>
      <c r="AB1210" s="243">
        <f>IF(AND(AB19=1,AB1207&lt;&gt;0),'Assumptions - Infrastructure'!$E$370+'Assumptions - General'!AB38," ")</f>
        <v>6.0000000000000005E-2</v>
      </c>
      <c r="AC1210" s="243">
        <f>IF(AND(AC19=1,AC1207&lt;&gt;0),'Assumptions - Infrastructure'!$E$370+'Assumptions - General'!AC38," ")</f>
        <v>6.0000000000000005E-2</v>
      </c>
      <c r="AD1210" s="243">
        <f>IF(AND(AD19=1,AD1207&lt;&gt;0),'Assumptions - Infrastructure'!$E$370+'Assumptions - General'!AD38," ")</f>
        <v>6.0000000000000005E-2</v>
      </c>
      <c r="AE1210" s="243">
        <f>IF(AND(AE19=1,AE1207&lt;&gt;0),'Assumptions - Infrastructure'!$E$370+'Assumptions - General'!AE38," ")</f>
        <v>6.0000000000000005E-2</v>
      </c>
      <c r="AF1210" s="243">
        <f>IF(AND(AF19=1,AF1207&lt;&gt;0),'Assumptions - Infrastructure'!$E$370+'Assumptions - General'!AF38," ")</f>
        <v>6.0000000000000005E-2</v>
      </c>
      <c r="AG1210" s="243">
        <f>IF(AND(AG19=1,AG1207&lt;&gt;0),'Assumptions - Infrastructure'!$E$370+'Assumptions - General'!AG38," ")</f>
        <v>6.0000000000000005E-2</v>
      </c>
      <c r="AH1210" s="243">
        <f>IF(AND(AH19=1,AH1207&lt;&gt;0),'Assumptions - Infrastructure'!$E$370+'Assumptions - General'!AH38," ")</f>
        <v>6.0000000000000005E-2</v>
      </c>
    </row>
    <row r="1211" spans="1:34" s="20" customFormat="1" ht="14" x14ac:dyDescent="0.2">
      <c r="A1211" s="8"/>
      <c r="B1211" s="8" t="s">
        <v>675</v>
      </c>
      <c r="C1211" s="8"/>
      <c r="D1211" s="8" t="str">
        <f>'Assumptions - General'!$E$27 &amp;" millions"</f>
        <v>R$ millions</v>
      </c>
      <c r="E1211" s="244">
        <f>IF(AND(E19=1,'Assumptions - Infrastructure'!$E$368=1,E1210&gt;=0,E1210&lt;&gt;" "),E1210*E1207,0)</f>
        <v>0</v>
      </c>
      <c r="F1211" s="244">
        <f>IF(AND(F19=1,'Assumptions - Infrastructure'!$E$368=1,F1210&gt;=0,F1210&lt;&gt;" "),F1210*F1207,0)</f>
        <v>2.63</v>
      </c>
      <c r="G1211" s="244">
        <f>IF(AND(G19=1,'Assumptions - Infrastructure'!$E$368=1,G1210&gt;=0,G1210&lt;&gt;" "),G1210*G1207,0)</f>
        <v>326.25264432840538</v>
      </c>
      <c r="H1211" s="244">
        <f>IF(AND(H19=1,'Assumptions - Infrastructure'!$E$368=1,H1210&gt;=0,H1210&lt;&gt;" "),H1210*H1207,0)</f>
        <v>820.67465097402658</v>
      </c>
      <c r="I1211" s="244">
        <f>IF(AND(I19=1,'Assumptions - Infrastructure'!$E$368=1,I1210&gt;=0,I1210&lt;&gt;" "),I1210*I1207,0)</f>
        <v>1436.7924161765932</v>
      </c>
      <c r="J1211" s="244">
        <f>IF(AND(J19=1,'Assumptions - Infrastructure'!$E$368=1,J1210&gt;=0,J1210&lt;&gt;" "),J1210*J1207,0)</f>
        <v>2138.7482449137397</v>
      </c>
      <c r="K1211" s="244">
        <f>IF(AND(K19=1,'Assumptions - Infrastructure'!$E$368=1,K1210&gt;=0,K1210&lt;&gt;" "),K1210*K1207,0)</f>
        <v>2903.5866181564529</v>
      </c>
      <c r="L1211" s="244">
        <f>IF(AND(L19=1,'Assumptions - Infrastructure'!$E$368=1,L1210&gt;=0,L1210&lt;&gt;" "),L1210*L1207,0)</f>
        <v>3754.3600632664256</v>
      </c>
      <c r="M1211" s="244">
        <f>IF(AND(M19=1,'Assumptions - Infrastructure'!$E$368=1,M1210&gt;=0,M1210&lt;&gt;" "),M1210*M1207,0)</f>
        <v>4714.5508323855111</v>
      </c>
      <c r="N1211" s="244">
        <f>IF(AND(N19=1,'Assumptions - Infrastructure'!$E$368=1,N1210&gt;=0,N1210&lt;&gt;" "),N1210*N1207,0)</f>
        <v>5730.1704612770554</v>
      </c>
      <c r="O1211" s="244">
        <f>IF(AND(O19=1,'Assumptions - Infrastructure'!$E$368=1,O1210&gt;=0,O1210&lt;&gt;" "),O1210*O1207,0)</f>
        <v>5880.6955854175849</v>
      </c>
      <c r="P1211" s="244">
        <f>IF(AND(P19=1,'Assumptions - Infrastructure'!$E$368=1,P1210&gt;=0,P1210&lt;&gt;" "),P1210*P1207,0)</f>
        <v>6710.1657570023854</v>
      </c>
      <c r="Q1211" s="244">
        <f>IF(AND(Q19=1,'Assumptions - Infrastructure'!$E$368=1,Q1210&gt;=0,Q1210&lt;&gt;" "),Q1210*Q1207,0)</f>
        <v>7648.2814861923844</v>
      </c>
      <c r="R1211" s="244">
        <f>IF(AND(R19=1,'Assumptions - Infrastructure'!$E$368=1,R1210&gt;=0,R1210&lt;&gt;" "),R1210*R1207,0)</f>
        <v>8639.9250627337988</v>
      </c>
      <c r="S1211" s="244">
        <f>IF(AND(S19=1,'Assumptions - Infrastructure'!$E$368=1,S1210&gt;=0,S1210&lt;&gt;" "),S1210*S1207,0)</f>
        <v>9687.4747504774932</v>
      </c>
      <c r="T1211" s="244">
        <f>IF(AND(T19=1,'Assumptions - Infrastructure'!$E$368=1,T1210&gt;=0,T1210&lt;&gt;" "),T1210*T1207,0)</f>
        <v>10793.481939997982</v>
      </c>
      <c r="U1211" s="244">
        <f>IF(AND(U19=1,'Assumptions - Infrastructure'!$E$368=1,U1210&gt;=0,U1210&lt;&gt;" "),U1210*U1207,0)</f>
        <v>11960.483988761449</v>
      </c>
      <c r="V1211" s="244">
        <f>IF(AND(V19=1,'Assumptions - Infrastructure'!$E$368=1,V1210&gt;=0,V1210&lt;&gt;" "),V1210*V1207,0)</f>
        <v>13187.740201454033</v>
      </c>
      <c r="W1211" s="244">
        <f>IF(AND(W19=1,'Assumptions - Infrastructure'!$E$368=1,W1210&gt;=0,W1210&lt;&gt;" "),W1210*W1207,0)</f>
        <v>14485.224558861195</v>
      </c>
      <c r="X1211" s="244">
        <f>IF(AND(X19=1,'Assumptions - Infrastructure'!$E$368=1,X1210&gt;=0,X1210&lt;&gt;" "),X1210*X1207,0)</f>
        <v>15852.237893472446</v>
      </c>
      <c r="Y1211" s="244">
        <f>IF(AND(Y19=1,'Assumptions - Infrastructure'!$E$368=1,Y1210&gt;=0,Y1210&lt;&gt;" "),Y1210*Y1207,0)</f>
        <v>17291.827401221177</v>
      </c>
      <c r="Z1211" s="244">
        <f>IF(AND(Z19=1,'Assumptions - Infrastructure'!$E$368=1,Z1210&gt;=0,Z1210&lt;&gt;" "),Z1210*Z1207,0)</f>
        <v>18807.161137591072</v>
      </c>
      <c r="AA1211" s="244">
        <f>IF(AND(AA19=1,'Assumptions - Infrastructure'!$E$368=1,AA1210&gt;=0,AA1210&lt;&gt;" "),AA1210*AA1207,0)</f>
        <v>20401.532534284699</v>
      </c>
      <c r="AB1211" s="244">
        <f>IF(AND(AB19=1,'Assumptions - Infrastructure'!$E$368=1,AB1210&gt;=0,AB1210&lt;&gt;" "),AB1210*AB1207,0)</f>
        <v>22078.365078222199</v>
      </c>
      <c r="AC1211" s="244">
        <f>IF(AND(AC19=1,'Assumptions - Infrastructure'!$E$368=1,AC1210&gt;=0,AC1210&lt;&gt;" "),AC1210*AC1207,0)</f>
        <v>23841.217158544106</v>
      </c>
      <c r="AD1211" s="244">
        <f>IF(AND(AD19=1,'Assumptions - Infrastructure'!$E$368=1,AD1210&gt;=0,AD1210&lt;&gt;" "),AD1210*AD1207,0)</f>
        <v>25693.787087487235</v>
      </c>
      <c r="AE1211" s="244">
        <f>IF(AND(AE19=1,'Assumptions - Infrastructure'!$E$368=1,AE1210&gt;=0,AE1210&lt;&gt;" "),AE1210*AE1207,0)</f>
        <v>27639.918301203863</v>
      </c>
      <c r="AF1211" s="244">
        <f>IF(AND(AF19=1,'Assumptions - Infrastructure'!$E$368=1,AF1210&gt;=0,AF1210&lt;&gt;" "),AF1210*AF1207,0)</f>
        <v>29683.604746802623</v>
      </c>
      <c r="AG1211" s="244">
        <f>IF(AND(AG19=1,'Assumptions - Infrastructure'!$E$368=1,AG1210&gt;=0,AG1210&lt;&gt;" "),AG1210*AG1207,0)</f>
        <v>31828.996462104267</v>
      </c>
      <c r="AH1211" s="244">
        <f>IF(AND(AH19=1,'Assumptions - Infrastructure'!$E$368=1,AH1210&gt;=0,AH1210&lt;&gt;" "),AH1210*AH1207,0)</f>
        <v>34080.382792654898</v>
      </c>
    </row>
    <row r="1212" spans="1:34" s="20" customFormat="1" ht="14" x14ac:dyDescent="0.2">
      <c r="A1212" s="8"/>
      <c r="B1212" s="8" t="s">
        <v>413</v>
      </c>
      <c r="C1212" s="8"/>
      <c r="D1212" s="8" t="s">
        <v>657</v>
      </c>
      <c r="E1212" s="28">
        <f>IF(E1209&gt;=0,1,0)</f>
        <v>1</v>
      </c>
      <c r="F1212" s="28">
        <f t="shared" ref="F1212:AH1212" si="456">IF(F1209&gt;=0,1,0)</f>
        <v>1</v>
      </c>
      <c r="G1212" s="28">
        <f t="shared" si="456"/>
        <v>1</v>
      </c>
      <c r="H1212" s="28">
        <f t="shared" si="456"/>
        <v>1</v>
      </c>
      <c r="I1212" s="28">
        <f t="shared" si="456"/>
        <v>1</v>
      </c>
      <c r="J1212" s="28">
        <f t="shared" si="456"/>
        <v>1</v>
      </c>
      <c r="K1212" s="28">
        <f t="shared" si="456"/>
        <v>1</v>
      </c>
      <c r="L1212" s="28">
        <f t="shared" si="456"/>
        <v>1</v>
      </c>
      <c r="M1212" s="28">
        <f t="shared" si="456"/>
        <v>1</v>
      </c>
      <c r="N1212" s="28">
        <f t="shared" si="456"/>
        <v>1</v>
      </c>
      <c r="O1212" s="28">
        <f t="shared" si="456"/>
        <v>1</v>
      </c>
      <c r="P1212" s="28">
        <f t="shared" si="456"/>
        <v>1</v>
      </c>
      <c r="Q1212" s="28">
        <f t="shared" si="456"/>
        <v>1</v>
      </c>
      <c r="R1212" s="28">
        <f t="shared" si="456"/>
        <v>1</v>
      </c>
      <c r="S1212" s="28">
        <f t="shared" si="456"/>
        <v>1</v>
      </c>
      <c r="T1212" s="28">
        <f t="shared" si="456"/>
        <v>1</v>
      </c>
      <c r="U1212" s="28">
        <f t="shared" si="456"/>
        <v>1</v>
      </c>
      <c r="V1212" s="28">
        <f t="shared" si="456"/>
        <v>1</v>
      </c>
      <c r="W1212" s="28">
        <f t="shared" si="456"/>
        <v>1</v>
      </c>
      <c r="X1212" s="28">
        <f t="shared" si="456"/>
        <v>1</v>
      </c>
      <c r="Y1212" s="28">
        <f t="shared" si="456"/>
        <v>1</v>
      </c>
      <c r="Z1212" s="28">
        <f t="shared" si="456"/>
        <v>1</v>
      </c>
      <c r="AA1212" s="28">
        <f t="shared" si="456"/>
        <v>1</v>
      </c>
      <c r="AB1212" s="28">
        <f t="shared" si="456"/>
        <v>1</v>
      </c>
      <c r="AC1212" s="28">
        <f t="shared" si="456"/>
        <v>1</v>
      </c>
      <c r="AD1212" s="28">
        <f t="shared" si="456"/>
        <v>1</v>
      </c>
      <c r="AE1212" s="28">
        <f t="shared" si="456"/>
        <v>1</v>
      </c>
      <c r="AF1212" s="28">
        <f t="shared" si="456"/>
        <v>1</v>
      </c>
      <c r="AG1212" s="28">
        <f t="shared" si="456"/>
        <v>1</v>
      </c>
      <c r="AH1212" s="28">
        <f t="shared" si="456"/>
        <v>1</v>
      </c>
    </row>
    <row r="1214" spans="1:34" x14ac:dyDescent="0.2">
      <c r="A1214" s="316"/>
      <c r="B1214" s="315" t="str">
        <f>"Financing sources for " &amp;'Assumptions - General'!E26</f>
        <v>Financing sources for Ruritania Railway Infrastructure Company</v>
      </c>
      <c r="C1214" s="316"/>
      <c r="D1214" s="316"/>
      <c r="E1214" s="316"/>
      <c r="F1214" s="316"/>
      <c r="G1214" s="316"/>
      <c r="H1214" s="316"/>
      <c r="I1214" s="316"/>
      <c r="J1214" s="316"/>
      <c r="K1214" s="316"/>
      <c r="L1214" s="316"/>
      <c r="M1214" s="316"/>
      <c r="N1214" s="316"/>
      <c r="O1214" s="316"/>
      <c r="P1214" s="316"/>
      <c r="Q1214" s="316"/>
      <c r="R1214" s="316"/>
      <c r="S1214" s="316"/>
      <c r="T1214" s="316"/>
      <c r="U1214" s="316"/>
      <c r="V1214" s="316"/>
      <c r="W1214" s="316"/>
      <c r="X1214" s="316"/>
      <c r="Y1214" s="316"/>
      <c r="Z1214" s="316"/>
      <c r="AA1214" s="316"/>
      <c r="AB1214" s="316"/>
      <c r="AC1214" s="316"/>
      <c r="AD1214" s="316"/>
      <c r="AE1214" s="316"/>
      <c r="AF1214" s="316"/>
      <c r="AG1214" s="316"/>
      <c r="AH1214" s="316"/>
    </row>
    <row r="1215" spans="1:34" s="20" customFormat="1" ht="14" x14ac:dyDescent="0.2">
      <c r="A1215" s="8"/>
      <c r="B1215" s="7"/>
      <c r="C1215" s="8"/>
      <c r="D1215" s="8"/>
      <c r="E1215" s="9"/>
      <c r="F1215" s="9"/>
      <c r="G1215" s="9"/>
      <c r="H1215" s="9"/>
      <c r="I1215" s="9"/>
      <c r="J1215" s="9"/>
      <c r="K1215" s="9"/>
      <c r="L1215" s="9"/>
      <c r="M1215" s="9"/>
      <c r="N1215" s="9"/>
      <c r="O1215" s="9"/>
      <c r="P1215" s="9"/>
      <c r="Q1215" s="9"/>
      <c r="R1215" s="9"/>
      <c r="S1215" s="9"/>
      <c r="T1215" s="9"/>
      <c r="U1215" s="9"/>
      <c r="V1215" s="9"/>
      <c r="W1215" s="9"/>
      <c r="X1215" s="9"/>
      <c r="Y1215" s="9"/>
      <c r="Z1215" s="9"/>
      <c r="AA1215" s="9"/>
      <c r="AB1215" s="9"/>
      <c r="AC1215" s="9"/>
      <c r="AD1215" s="9"/>
      <c r="AE1215" s="9"/>
      <c r="AF1215" s="9"/>
      <c r="AG1215" s="9"/>
      <c r="AH1215" s="9"/>
    </row>
    <row r="1216" spans="1:34" s="20" customFormat="1" ht="14" x14ac:dyDescent="0.2">
      <c r="B1216" s="21" t="str">
        <f>"Existing loan from " &amp; 'Assumptions - Infrastructure'!E383</f>
        <v>Existing loan from Municipal bank</v>
      </c>
    </row>
    <row r="1217" spans="2:34" s="20" customFormat="1" ht="14" x14ac:dyDescent="0.2">
      <c r="B1217" s="8" t="s">
        <v>135</v>
      </c>
      <c r="D1217" s="20" t="s">
        <v>15</v>
      </c>
      <c r="E1217" s="47">
        <f>IF(E$19=1,IF('Assumptions - Infrastructure'!$E389=1,'Assumptions - Infrastructure'!$E391,'Assumptions - General'!E$38+'Assumptions - Infrastructure'!$E392),0)</f>
        <v>0.05</v>
      </c>
      <c r="F1217" s="47">
        <f>IF(F$19=1,IF('Assumptions - Infrastructure'!$E389=1,'Assumptions - Infrastructure'!$E391,'Assumptions - General'!F$38+'Assumptions - Infrastructure'!$E392),0)</f>
        <v>0.05</v>
      </c>
      <c r="G1217" s="47">
        <f>IF(G$19=1,IF('Assumptions - Infrastructure'!$E389=1,'Assumptions - Infrastructure'!$E391,'Assumptions - General'!G$38+'Assumptions - Infrastructure'!$E392),0)</f>
        <v>0.05</v>
      </c>
      <c r="H1217" s="47">
        <f>IF(H$19=1,IF('Assumptions - Infrastructure'!$E389=1,'Assumptions - Infrastructure'!$E391,'Assumptions - General'!H$38+'Assumptions - Infrastructure'!$E392),0)</f>
        <v>0.05</v>
      </c>
      <c r="I1217" s="47">
        <f>IF(I$19=1,IF('Assumptions - Infrastructure'!$E389=1,'Assumptions - Infrastructure'!$E391,'Assumptions - General'!I$38+'Assumptions - Infrastructure'!$E392),0)</f>
        <v>0.05</v>
      </c>
      <c r="J1217" s="47">
        <f>IF(J$19=1,IF('Assumptions - Infrastructure'!$E389=1,'Assumptions - Infrastructure'!$E391,'Assumptions - General'!J$38+'Assumptions - Infrastructure'!$E392),0)</f>
        <v>0.05</v>
      </c>
      <c r="K1217" s="47">
        <f>IF(K$19=1,IF('Assumptions - Infrastructure'!$E389=1,'Assumptions - Infrastructure'!$E391,'Assumptions - General'!K$38+'Assumptions - Infrastructure'!$E392),0)</f>
        <v>0.05</v>
      </c>
      <c r="L1217" s="47">
        <f>IF(L$19=1,IF('Assumptions - Infrastructure'!$E389=1,'Assumptions - Infrastructure'!$E391,'Assumptions - General'!L$38+'Assumptions - Infrastructure'!$E392),0)</f>
        <v>0.05</v>
      </c>
      <c r="M1217" s="47">
        <f>IF(M$19=1,IF('Assumptions - Infrastructure'!$E389=1,'Assumptions - Infrastructure'!$E391,'Assumptions - General'!M$38+'Assumptions - Infrastructure'!$E392),0)</f>
        <v>0.05</v>
      </c>
      <c r="N1217" s="47">
        <f>IF(N$19=1,IF('Assumptions - Infrastructure'!$E389=1,'Assumptions - Infrastructure'!$E391,'Assumptions - General'!N$38+'Assumptions - Infrastructure'!$E392),0)</f>
        <v>0.05</v>
      </c>
      <c r="O1217" s="47">
        <f>IF(O$19=1,IF('Assumptions - Infrastructure'!$E389=1,'Assumptions - Infrastructure'!$E391,'Assumptions - General'!O$38+'Assumptions - Infrastructure'!$E392),0)</f>
        <v>0.05</v>
      </c>
      <c r="P1217" s="47">
        <f>IF(P$19=1,IF('Assumptions - Infrastructure'!$E389=1,'Assumptions - Infrastructure'!$E391,'Assumptions - General'!P$38+'Assumptions - Infrastructure'!$E392),0)</f>
        <v>0.05</v>
      </c>
      <c r="Q1217" s="47">
        <f>IF(Q$19=1,IF('Assumptions - Infrastructure'!$E389=1,'Assumptions - Infrastructure'!$E391,'Assumptions - General'!Q$38+'Assumptions - Infrastructure'!$E392),0)</f>
        <v>0.05</v>
      </c>
      <c r="R1217" s="47">
        <f>IF(R$19=1,IF('Assumptions - Infrastructure'!$E389=1,'Assumptions - Infrastructure'!$E391,'Assumptions - General'!R$38+'Assumptions - Infrastructure'!$E392),0)</f>
        <v>0.05</v>
      </c>
      <c r="S1217" s="47">
        <f>IF(S$19=1,IF('Assumptions - Infrastructure'!$E389=1,'Assumptions - Infrastructure'!$E391,'Assumptions - General'!S$38+'Assumptions - Infrastructure'!$E392),0)</f>
        <v>0.05</v>
      </c>
      <c r="T1217" s="47">
        <f>IF(T$19=1,IF('Assumptions - Infrastructure'!$E389=1,'Assumptions - Infrastructure'!$E391,'Assumptions - General'!T$38+'Assumptions - Infrastructure'!$E392),0)</f>
        <v>0.05</v>
      </c>
      <c r="U1217" s="47">
        <f>IF(U$19=1,IF('Assumptions - Infrastructure'!$E389=1,'Assumptions - Infrastructure'!$E391,'Assumptions - General'!U$38+'Assumptions - Infrastructure'!$E392),0)</f>
        <v>0.05</v>
      </c>
      <c r="V1217" s="47">
        <f>IF(V$19=1,IF('Assumptions - Infrastructure'!$E389=1,'Assumptions - Infrastructure'!$E391,'Assumptions - General'!V$38+'Assumptions - Infrastructure'!$E392),0)</f>
        <v>0.05</v>
      </c>
      <c r="W1217" s="47">
        <f>IF(W$19=1,IF('Assumptions - Infrastructure'!$E389=1,'Assumptions - Infrastructure'!$E391,'Assumptions - General'!W$38+'Assumptions - Infrastructure'!$E392),0)</f>
        <v>0.05</v>
      </c>
      <c r="X1217" s="47">
        <f>IF(X$19=1,IF('Assumptions - Infrastructure'!$E389=1,'Assumptions - Infrastructure'!$E391,'Assumptions - General'!X$38+'Assumptions - Infrastructure'!$E392),0)</f>
        <v>0.05</v>
      </c>
      <c r="Y1217" s="47">
        <f>IF(Y$19=1,IF('Assumptions - Infrastructure'!$E389=1,'Assumptions - Infrastructure'!$E391,'Assumptions - General'!Y$38+'Assumptions - Infrastructure'!$E392),0)</f>
        <v>0.05</v>
      </c>
      <c r="Z1217" s="47">
        <f>IF(Z$19=1,IF('Assumptions - Infrastructure'!$E389=1,'Assumptions - Infrastructure'!$E391,'Assumptions - General'!Z$38+'Assumptions - Infrastructure'!$E392),0)</f>
        <v>0.05</v>
      </c>
      <c r="AA1217" s="47">
        <f>IF(AA$19=1,IF('Assumptions - Infrastructure'!$E389=1,'Assumptions - Infrastructure'!$E391,'Assumptions - General'!AA$38+'Assumptions - Infrastructure'!$E392),0)</f>
        <v>0.05</v>
      </c>
      <c r="AB1217" s="47">
        <f>IF(AB$19=1,IF('Assumptions - Infrastructure'!$E389=1,'Assumptions - Infrastructure'!$E391,'Assumptions - General'!AB$38+'Assumptions - Infrastructure'!$E392),0)</f>
        <v>0.05</v>
      </c>
      <c r="AC1217" s="47">
        <f>IF(AC$19=1,IF('Assumptions - Infrastructure'!$E389=1,'Assumptions - Infrastructure'!$E391,'Assumptions - General'!AC$38+'Assumptions - Infrastructure'!$E392),0)</f>
        <v>0.05</v>
      </c>
      <c r="AD1217" s="47">
        <f>IF(AD$19=1,IF('Assumptions - Infrastructure'!$E389=1,'Assumptions - Infrastructure'!$E391,'Assumptions - General'!AD$38+'Assumptions - Infrastructure'!$E392),0)</f>
        <v>0.05</v>
      </c>
      <c r="AE1217" s="47">
        <f>IF(AE$19=1,IF('Assumptions - Infrastructure'!$E389=1,'Assumptions - Infrastructure'!$E391,'Assumptions - General'!AE$38+'Assumptions - Infrastructure'!$E392),0)</f>
        <v>0.05</v>
      </c>
      <c r="AF1217" s="47">
        <f>IF(AF$19=1,IF('Assumptions - Infrastructure'!$E389=1,'Assumptions - Infrastructure'!$E391,'Assumptions - General'!AF$38+'Assumptions - Infrastructure'!$E392),0)</f>
        <v>0.05</v>
      </c>
      <c r="AG1217" s="47">
        <f>IF(AG$19=1,IF('Assumptions - Infrastructure'!$E389=1,'Assumptions - Infrastructure'!$E391,'Assumptions - General'!AG$38+'Assumptions - Infrastructure'!$E392),0)</f>
        <v>0.05</v>
      </c>
      <c r="AH1217" s="47">
        <f>IF(AH$19=1,IF('Assumptions - Infrastructure'!$E389=1,'Assumptions - Infrastructure'!$E391,'Assumptions - General'!AH$38+'Assumptions - Infrastructure'!$E392),0)</f>
        <v>0.05</v>
      </c>
    </row>
    <row r="1218" spans="2:34" s="20" customFormat="1" ht="14" x14ac:dyDescent="0.2">
      <c r="B1218" s="8" t="s">
        <v>136</v>
      </c>
      <c r="D1218" s="8" t="str">
        <f>'Assumptions - Infrastructure'!D386</f>
        <v>USD millions</v>
      </c>
      <c r="E1218" s="470">
        <f>IF(E$19=1,'Assumptions - Infrastructure'!E386,0)</f>
        <v>50</v>
      </c>
      <c r="F1218" s="33">
        <f t="shared" ref="F1218:AH1218" si="457">E1220</f>
        <v>45</v>
      </c>
      <c r="G1218" s="33">
        <f t="shared" si="457"/>
        <v>45</v>
      </c>
      <c r="H1218" s="33">
        <f t="shared" si="457"/>
        <v>35</v>
      </c>
      <c r="I1218" s="33">
        <f t="shared" si="457"/>
        <v>30</v>
      </c>
      <c r="J1218" s="33">
        <f t="shared" si="457"/>
        <v>25</v>
      </c>
      <c r="K1218" s="33">
        <f t="shared" si="457"/>
        <v>20</v>
      </c>
      <c r="L1218" s="33">
        <f t="shared" si="457"/>
        <v>15</v>
      </c>
      <c r="M1218" s="33">
        <f t="shared" si="457"/>
        <v>10</v>
      </c>
      <c r="N1218" s="33">
        <f t="shared" si="457"/>
        <v>5</v>
      </c>
      <c r="O1218" s="33">
        <f t="shared" si="457"/>
        <v>0</v>
      </c>
      <c r="P1218" s="33">
        <f t="shared" si="457"/>
        <v>0</v>
      </c>
      <c r="Q1218" s="33">
        <f t="shared" si="457"/>
        <v>0</v>
      </c>
      <c r="R1218" s="33">
        <f t="shared" si="457"/>
        <v>0</v>
      </c>
      <c r="S1218" s="33">
        <f t="shared" si="457"/>
        <v>0</v>
      </c>
      <c r="T1218" s="33">
        <f t="shared" si="457"/>
        <v>0</v>
      </c>
      <c r="U1218" s="33">
        <f t="shared" si="457"/>
        <v>0</v>
      </c>
      <c r="V1218" s="33">
        <f t="shared" si="457"/>
        <v>0</v>
      </c>
      <c r="W1218" s="33">
        <f t="shared" si="457"/>
        <v>0</v>
      </c>
      <c r="X1218" s="33">
        <f t="shared" si="457"/>
        <v>0</v>
      </c>
      <c r="Y1218" s="33">
        <f t="shared" si="457"/>
        <v>0</v>
      </c>
      <c r="Z1218" s="33">
        <f t="shared" si="457"/>
        <v>0</v>
      </c>
      <c r="AA1218" s="33">
        <f t="shared" si="457"/>
        <v>0</v>
      </c>
      <c r="AB1218" s="33">
        <f t="shared" si="457"/>
        <v>0</v>
      </c>
      <c r="AC1218" s="33">
        <f t="shared" si="457"/>
        <v>0</v>
      </c>
      <c r="AD1218" s="33">
        <f t="shared" si="457"/>
        <v>0</v>
      </c>
      <c r="AE1218" s="33">
        <f t="shared" si="457"/>
        <v>0</v>
      </c>
      <c r="AF1218" s="33">
        <f t="shared" si="457"/>
        <v>0</v>
      </c>
      <c r="AG1218" s="33">
        <f t="shared" si="457"/>
        <v>0</v>
      </c>
      <c r="AH1218" s="33">
        <f t="shared" si="457"/>
        <v>0</v>
      </c>
    </row>
    <row r="1219" spans="2:34" s="20" customFormat="1" ht="14" x14ac:dyDescent="0.2">
      <c r="B1219" s="8" t="s">
        <v>410</v>
      </c>
      <c r="D1219" s="8" t="str">
        <f>D1218</f>
        <v>USD millions</v>
      </c>
      <c r="E1219" s="33">
        <f>IF(E$19=1,'Assumptions - Infrastructure'!E388,0)</f>
        <v>5</v>
      </c>
      <c r="F1219" s="33">
        <f>IF(F$19=1,'Assumptions - Infrastructure'!F388,0)</f>
        <v>0</v>
      </c>
      <c r="G1219" s="33">
        <f>IF(G$19=1,'Assumptions - Infrastructure'!G388,0)</f>
        <v>10</v>
      </c>
      <c r="H1219" s="33">
        <f>IF(H$19=1,'Assumptions - Infrastructure'!H388,0)</f>
        <v>5</v>
      </c>
      <c r="I1219" s="33">
        <f>IF(I$19=1,'Assumptions - Infrastructure'!I388,0)</f>
        <v>5</v>
      </c>
      <c r="J1219" s="33">
        <f>IF(J$19=1,'Assumptions - Infrastructure'!J388,0)</f>
        <v>5</v>
      </c>
      <c r="K1219" s="33">
        <f>IF(K$19=1,'Assumptions - Infrastructure'!K388,0)</f>
        <v>5</v>
      </c>
      <c r="L1219" s="33">
        <f>IF(L$19=1,'Assumptions - Infrastructure'!L388,0)</f>
        <v>5</v>
      </c>
      <c r="M1219" s="33">
        <f>IF(M$19=1,'Assumptions - Infrastructure'!M388,0)</f>
        <v>5</v>
      </c>
      <c r="N1219" s="33">
        <f>IF(N$19=1,'Assumptions - Infrastructure'!N388,0)</f>
        <v>5</v>
      </c>
      <c r="O1219" s="33">
        <f>IF(O$19=1,'Assumptions - Infrastructure'!O388,0)</f>
        <v>0</v>
      </c>
      <c r="P1219" s="33">
        <f>IF(P$19=1,'Assumptions - Infrastructure'!P388,0)</f>
        <v>0</v>
      </c>
      <c r="Q1219" s="33">
        <f>IF(Q$19=1,'Assumptions - Infrastructure'!Q388,0)</f>
        <v>0</v>
      </c>
      <c r="R1219" s="33">
        <f>IF(R$19=1,'Assumptions - Infrastructure'!R388,0)</f>
        <v>0</v>
      </c>
      <c r="S1219" s="33">
        <f>IF(S$19=1,'Assumptions - Infrastructure'!S388,0)</f>
        <v>0</v>
      </c>
      <c r="T1219" s="33">
        <f>IF(T$19=1,'Assumptions - Infrastructure'!T388,0)</f>
        <v>0</v>
      </c>
      <c r="U1219" s="33">
        <f>IF(U$19=1,'Assumptions - Infrastructure'!U388,0)</f>
        <v>0</v>
      </c>
      <c r="V1219" s="33">
        <f>IF(V$19=1,'Assumptions - Infrastructure'!V388,0)</f>
        <v>0</v>
      </c>
      <c r="W1219" s="33">
        <f>IF(W$19=1,'Assumptions - Infrastructure'!W388,0)</f>
        <v>0</v>
      </c>
      <c r="X1219" s="33">
        <f>IF(X$19=1,'Assumptions - Infrastructure'!X388,0)</f>
        <v>0</v>
      </c>
      <c r="Y1219" s="33">
        <f>IF(Y$19=1,'Assumptions - Infrastructure'!Y388,0)</f>
        <v>0</v>
      </c>
      <c r="Z1219" s="33">
        <f>IF(Z$19=1,'Assumptions - Infrastructure'!Z388,0)</f>
        <v>0</v>
      </c>
      <c r="AA1219" s="33">
        <f>IF(AA$19=1,'Assumptions - Infrastructure'!AA388,0)</f>
        <v>0</v>
      </c>
      <c r="AB1219" s="33">
        <f>IF(AB$19=1,'Assumptions - Infrastructure'!AB388,0)</f>
        <v>0</v>
      </c>
      <c r="AC1219" s="33">
        <f>IF(AC$19=1,'Assumptions - Infrastructure'!AC388,0)</f>
        <v>0</v>
      </c>
      <c r="AD1219" s="33">
        <f>IF(AD$19=1,'Assumptions - Infrastructure'!AD388,0)</f>
        <v>0</v>
      </c>
      <c r="AE1219" s="33">
        <f>IF(AE$19=1,'Assumptions - Infrastructure'!AE388,0)</f>
        <v>0</v>
      </c>
      <c r="AF1219" s="33">
        <f>IF(AF$19=1,'Assumptions - Infrastructure'!AF388,0)</f>
        <v>0</v>
      </c>
      <c r="AG1219" s="33">
        <f>IF(AG$19=1,'Assumptions - Infrastructure'!AG388,0)</f>
        <v>0</v>
      </c>
      <c r="AH1219" s="33">
        <f>IF(AH$19=1,'Assumptions - Infrastructure'!AH388,0)</f>
        <v>0</v>
      </c>
    </row>
    <row r="1220" spans="2:34" s="20" customFormat="1" ht="14" x14ac:dyDescent="0.2">
      <c r="B1220" s="8" t="s">
        <v>138</v>
      </c>
      <c r="D1220" s="8" t="str">
        <f>D1219</f>
        <v>USD millions</v>
      </c>
      <c r="E1220" s="33">
        <f>E1218-E1219</f>
        <v>45</v>
      </c>
      <c r="F1220" s="33">
        <f t="shared" ref="F1220:AH1220" si="458">F1218-F1219</f>
        <v>45</v>
      </c>
      <c r="G1220" s="33">
        <f t="shared" si="458"/>
        <v>35</v>
      </c>
      <c r="H1220" s="33">
        <f t="shared" si="458"/>
        <v>30</v>
      </c>
      <c r="I1220" s="33">
        <f t="shared" si="458"/>
        <v>25</v>
      </c>
      <c r="J1220" s="33">
        <f t="shared" si="458"/>
        <v>20</v>
      </c>
      <c r="K1220" s="33">
        <f t="shared" si="458"/>
        <v>15</v>
      </c>
      <c r="L1220" s="33">
        <f t="shared" si="458"/>
        <v>10</v>
      </c>
      <c r="M1220" s="33">
        <f t="shared" si="458"/>
        <v>5</v>
      </c>
      <c r="N1220" s="33">
        <f t="shared" si="458"/>
        <v>0</v>
      </c>
      <c r="O1220" s="33">
        <f t="shared" si="458"/>
        <v>0</v>
      </c>
      <c r="P1220" s="33">
        <f t="shared" si="458"/>
        <v>0</v>
      </c>
      <c r="Q1220" s="33">
        <f t="shared" si="458"/>
        <v>0</v>
      </c>
      <c r="R1220" s="33">
        <f t="shared" si="458"/>
        <v>0</v>
      </c>
      <c r="S1220" s="33">
        <f t="shared" si="458"/>
        <v>0</v>
      </c>
      <c r="T1220" s="33">
        <f t="shared" si="458"/>
        <v>0</v>
      </c>
      <c r="U1220" s="33">
        <f t="shared" si="458"/>
        <v>0</v>
      </c>
      <c r="V1220" s="33">
        <f t="shared" si="458"/>
        <v>0</v>
      </c>
      <c r="W1220" s="33">
        <f t="shared" si="458"/>
        <v>0</v>
      </c>
      <c r="X1220" s="33">
        <f t="shared" si="458"/>
        <v>0</v>
      </c>
      <c r="Y1220" s="33">
        <f t="shared" si="458"/>
        <v>0</v>
      </c>
      <c r="Z1220" s="33">
        <f t="shared" si="458"/>
        <v>0</v>
      </c>
      <c r="AA1220" s="33">
        <f t="shared" si="458"/>
        <v>0</v>
      </c>
      <c r="AB1220" s="33">
        <f t="shared" si="458"/>
        <v>0</v>
      </c>
      <c r="AC1220" s="33">
        <f t="shared" si="458"/>
        <v>0</v>
      </c>
      <c r="AD1220" s="33">
        <f t="shared" si="458"/>
        <v>0</v>
      </c>
      <c r="AE1220" s="33">
        <f t="shared" si="458"/>
        <v>0</v>
      </c>
      <c r="AF1220" s="33">
        <f t="shared" si="458"/>
        <v>0</v>
      </c>
      <c r="AG1220" s="33">
        <f t="shared" si="458"/>
        <v>0</v>
      </c>
      <c r="AH1220" s="33">
        <f t="shared" si="458"/>
        <v>0</v>
      </c>
    </row>
    <row r="1221" spans="2:34" s="20" customFormat="1" ht="14" x14ac:dyDescent="0.2">
      <c r="B1221" s="8" t="s">
        <v>139</v>
      </c>
      <c r="D1221" s="8" t="str">
        <f>D1220</f>
        <v>USD millions</v>
      </c>
      <c r="E1221" s="470">
        <f>IF(E$19=1,'Assumptions - Infrastructure'!E387,0)</f>
        <v>5</v>
      </c>
      <c r="F1221" s="229">
        <f t="shared" ref="F1221:AH1221" si="459">F1217*((F1218+F1220)/2)</f>
        <v>2.25</v>
      </c>
      <c r="G1221" s="229">
        <f t="shared" si="459"/>
        <v>2</v>
      </c>
      <c r="H1221" s="229">
        <f t="shared" si="459"/>
        <v>1.625</v>
      </c>
      <c r="I1221" s="229">
        <f t="shared" si="459"/>
        <v>1.375</v>
      </c>
      <c r="J1221" s="229">
        <f t="shared" si="459"/>
        <v>1.125</v>
      </c>
      <c r="K1221" s="229">
        <f t="shared" si="459"/>
        <v>0.875</v>
      </c>
      <c r="L1221" s="229">
        <f t="shared" si="459"/>
        <v>0.625</v>
      </c>
      <c r="M1221" s="229">
        <f t="shared" si="459"/>
        <v>0.375</v>
      </c>
      <c r="N1221" s="229">
        <f t="shared" si="459"/>
        <v>0.125</v>
      </c>
      <c r="O1221" s="229">
        <f t="shared" si="459"/>
        <v>0</v>
      </c>
      <c r="P1221" s="229">
        <f t="shared" si="459"/>
        <v>0</v>
      </c>
      <c r="Q1221" s="229">
        <f t="shared" si="459"/>
        <v>0</v>
      </c>
      <c r="R1221" s="229">
        <f t="shared" si="459"/>
        <v>0</v>
      </c>
      <c r="S1221" s="229">
        <f t="shared" si="459"/>
        <v>0</v>
      </c>
      <c r="T1221" s="229">
        <f t="shared" si="459"/>
        <v>0</v>
      </c>
      <c r="U1221" s="229">
        <f t="shared" si="459"/>
        <v>0</v>
      </c>
      <c r="V1221" s="229">
        <f t="shared" si="459"/>
        <v>0</v>
      </c>
      <c r="W1221" s="229">
        <f t="shared" si="459"/>
        <v>0</v>
      </c>
      <c r="X1221" s="229">
        <f t="shared" si="459"/>
        <v>0</v>
      </c>
      <c r="Y1221" s="229">
        <f t="shared" si="459"/>
        <v>0</v>
      </c>
      <c r="Z1221" s="229">
        <f t="shared" si="459"/>
        <v>0</v>
      </c>
      <c r="AA1221" s="229">
        <f t="shared" si="459"/>
        <v>0</v>
      </c>
      <c r="AB1221" s="229">
        <f t="shared" si="459"/>
        <v>0</v>
      </c>
      <c r="AC1221" s="229">
        <f t="shared" si="459"/>
        <v>0</v>
      </c>
      <c r="AD1221" s="229">
        <f t="shared" si="459"/>
        <v>0</v>
      </c>
      <c r="AE1221" s="229">
        <f t="shared" si="459"/>
        <v>0</v>
      </c>
      <c r="AF1221" s="229">
        <f t="shared" si="459"/>
        <v>0</v>
      </c>
      <c r="AG1221" s="229">
        <f t="shared" si="459"/>
        <v>0</v>
      </c>
      <c r="AH1221" s="229">
        <f t="shared" si="459"/>
        <v>0</v>
      </c>
    </row>
    <row r="1222" spans="2:34" s="20" customFormat="1" ht="14" x14ac:dyDescent="0.2">
      <c r="B1222" s="8" t="s">
        <v>140</v>
      </c>
      <c r="D1222" s="8" t="str">
        <f>D1221</f>
        <v>USD millions</v>
      </c>
      <c r="E1222" s="44">
        <f t="shared" ref="E1222:AH1222" si="460">E1221+E1219</f>
        <v>10</v>
      </c>
      <c r="F1222" s="44">
        <f t="shared" si="460"/>
        <v>2.25</v>
      </c>
      <c r="G1222" s="44">
        <f t="shared" si="460"/>
        <v>12</v>
      </c>
      <c r="H1222" s="44">
        <f t="shared" si="460"/>
        <v>6.625</v>
      </c>
      <c r="I1222" s="44">
        <f t="shared" si="460"/>
        <v>6.375</v>
      </c>
      <c r="J1222" s="44">
        <f t="shared" si="460"/>
        <v>6.125</v>
      </c>
      <c r="K1222" s="44">
        <f t="shared" si="460"/>
        <v>5.875</v>
      </c>
      <c r="L1222" s="44">
        <f t="shared" si="460"/>
        <v>5.625</v>
      </c>
      <c r="M1222" s="44">
        <f t="shared" si="460"/>
        <v>5.375</v>
      </c>
      <c r="N1222" s="44">
        <f t="shared" si="460"/>
        <v>5.125</v>
      </c>
      <c r="O1222" s="33">
        <f t="shared" si="460"/>
        <v>0</v>
      </c>
      <c r="P1222" s="33">
        <f t="shared" si="460"/>
        <v>0</v>
      </c>
      <c r="Q1222" s="33">
        <f t="shared" si="460"/>
        <v>0</v>
      </c>
      <c r="R1222" s="33">
        <f t="shared" si="460"/>
        <v>0</v>
      </c>
      <c r="S1222" s="33">
        <f t="shared" si="460"/>
        <v>0</v>
      </c>
      <c r="T1222" s="33">
        <f t="shared" si="460"/>
        <v>0</v>
      </c>
      <c r="U1222" s="33">
        <f t="shared" si="460"/>
        <v>0</v>
      </c>
      <c r="V1222" s="33">
        <f t="shared" si="460"/>
        <v>0</v>
      </c>
      <c r="W1222" s="33">
        <f t="shared" si="460"/>
        <v>0</v>
      </c>
      <c r="X1222" s="33">
        <f t="shared" si="460"/>
        <v>0</v>
      </c>
      <c r="Y1222" s="33">
        <f t="shared" si="460"/>
        <v>0</v>
      </c>
      <c r="Z1222" s="33">
        <f t="shared" si="460"/>
        <v>0</v>
      </c>
      <c r="AA1222" s="33">
        <f t="shared" si="460"/>
        <v>0</v>
      </c>
      <c r="AB1222" s="33">
        <f t="shared" si="460"/>
        <v>0</v>
      </c>
      <c r="AC1222" s="33">
        <f t="shared" si="460"/>
        <v>0</v>
      </c>
      <c r="AD1222" s="33">
        <f t="shared" si="460"/>
        <v>0</v>
      </c>
      <c r="AE1222" s="33">
        <f t="shared" si="460"/>
        <v>0</v>
      </c>
      <c r="AF1222" s="33">
        <f t="shared" si="460"/>
        <v>0</v>
      </c>
      <c r="AG1222" s="33">
        <f t="shared" si="460"/>
        <v>0</v>
      </c>
      <c r="AH1222" s="33">
        <f t="shared" si="460"/>
        <v>0</v>
      </c>
    </row>
    <row r="1223" spans="2:34" s="20" customFormat="1" ht="14" x14ac:dyDescent="0.2">
      <c r="B1223" s="16"/>
      <c r="E1223" s="45"/>
      <c r="F1223" s="46"/>
      <c r="G1223" s="46"/>
      <c r="H1223" s="46"/>
      <c r="I1223" s="46"/>
      <c r="J1223" s="46"/>
      <c r="K1223" s="46"/>
      <c r="L1223" s="46"/>
      <c r="M1223" s="46"/>
      <c r="N1223" s="46"/>
    </row>
    <row r="1224" spans="2:34" s="20" customFormat="1" ht="14" x14ac:dyDescent="0.2">
      <c r="B1224" s="19" t="str">
        <f>B1216</f>
        <v>Existing loan from Municipal bank</v>
      </c>
    </row>
    <row r="1225" spans="2:34" s="20" customFormat="1" ht="14" x14ac:dyDescent="0.2">
      <c r="B1225" s="20" t="s">
        <v>334</v>
      </c>
      <c r="D1225" s="8" t="str">
        <f>IF('Assumptions - Infrastructure'!$E$384=1,"Same as above",IF('Assumptions - Infrastructure'!$E$384=2,"Local currency/"&amp;'Assumptions - General'!$E$39,"Local currency/"&amp;'Assumptions - General'!$E$40))</f>
        <v>Local currency/USD</v>
      </c>
      <c r="E1225" s="124">
        <f>IF('Assumptions - Infrastructure'!$E$384=1,1,IF('Assumptions - Infrastructure'!$E$384=2,'Assumptions - General'!E$41,'Assumptions - General'!E$42))</f>
        <v>2.5</v>
      </c>
      <c r="F1225" s="124">
        <f>IF('Assumptions - Infrastructure'!$E$384=1,1,IF('Assumptions - Infrastructure'!$E$384=2,'Assumptions - General'!F$41,'Assumptions - General'!F$42))</f>
        <v>2.5</v>
      </c>
      <c r="G1225" s="124">
        <f>IF('Assumptions - Infrastructure'!$E$384=1,1,IF('Assumptions - Infrastructure'!$E$384=2,'Assumptions - General'!G$41,'Assumptions - General'!G$42))</f>
        <v>2.5</v>
      </c>
      <c r="H1225" s="124">
        <f>IF('Assumptions - Infrastructure'!$E$384=1,1,IF('Assumptions - Infrastructure'!$E$384=2,'Assumptions - General'!H$41,'Assumptions - General'!H$42))</f>
        <v>2.5</v>
      </c>
      <c r="I1225" s="124">
        <f>IF('Assumptions - Infrastructure'!$E$384=1,1,IF('Assumptions - Infrastructure'!$E$384=2,'Assumptions - General'!I$41,'Assumptions - General'!I$42))</f>
        <v>2.5</v>
      </c>
      <c r="J1225" s="124">
        <f>IF('Assumptions - Infrastructure'!$E$384=1,1,IF('Assumptions - Infrastructure'!$E$384=2,'Assumptions - General'!J$41,'Assumptions - General'!J$42))</f>
        <v>2.5</v>
      </c>
      <c r="K1225" s="124">
        <f>IF('Assumptions - Infrastructure'!$E$384=1,1,IF('Assumptions - Infrastructure'!$E$384=2,'Assumptions - General'!K$41,'Assumptions - General'!K$42))</f>
        <v>2.5</v>
      </c>
      <c r="L1225" s="124">
        <f>IF('Assumptions - Infrastructure'!$E$384=1,1,IF('Assumptions - Infrastructure'!$E$384=2,'Assumptions - General'!L$41,'Assumptions - General'!L$42))</f>
        <v>2.5</v>
      </c>
      <c r="M1225" s="124">
        <f>IF('Assumptions - Infrastructure'!$E$384=1,1,IF('Assumptions - Infrastructure'!$E$384=2,'Assumptions - General'!M$41,'Assumptions - General'!M$42))</f>
        <v>2.5</v>
      </c>
      <c r="N1225" s="124">
        <f>IF('Assumptions - Infrastructure'!$E$384=1,1,IF('Assumptions - Infrastructure'!$E$384=2,'Assumptions - General'!N$41,'Assumptions - General'!N$42))</f>
        <v>2.5</v>
      </c>
      <c r="O1225" s="124">
        <f>IF('Assumptions - Infrastructure'!$E$384=1,1,IF('Assumptions - Infrastructure'!$E$384=2,'Assumptions - General'!O$41,'Assumptions - General'!O$42))</f>
        <v>2.5</v>
      </c>
      <c r="P1225" s="124">
        <f>IF('Assumptions - Infrastructure'!$E$384=1,1,IF('Assumptions - Infrastructure'!$E$384=2,'Assumptions - General'!P$41,'Assumptions - General'!P$42))</f>
        <v>2.5</v>
      </c>
      <c r="Q1225" s="124">
        <f>IF('Assumptions - Infrastructure'!$E$384=1,1,IF('Assumptions - Infrastructure'!$E$384=2,'Assumptions - General'!Q$41,'Assumptions - General'!Q$42))</f>
        <v>2.5</v>
      </c>
      <c r="R1225" s="124">
        <f>IF('Assumptions - Infrastructure'!$E$384=1,1,IF('Assumptions - Infrastructure'!$E$384=2,'Assumptions - General'!R$41,'Assumptions - General'!R$42))</f>
        <v>2.5</v>
      </c>
      <c r="S1225" s="124">
        <f>IF('Assumptions - Infrastructure'!$E$384=1,1,IF('Assumptions - Infrastructure'!$E$384=2,'Assumptions - General'!S$41,'Assumptions - General'!S$42))</f>
        <v>2.5</v>
      </c>
      <c r="T1225" s="124">
        <f>IF('Assumptions - Infrastructure'!$E$384=1,1,IF('Assumptions - Infrastructure'!$E$384=2,'Assumptions - General'!T$41,'Assumptions - General'!T$42))</f>
        <v>2.5</v>
      </c>
      <c r="U1225" s="124">
        <f>IF('Assumptions - Infrastructure'!$E$384=1,1,IF('Assumptions - Infrastructure'!$E$384=2,'Assumptions - General'!U$41,'Assumptions - General'!U$42))</f>
        <v>2.5</v>
      </c>
      <c r="V1225" s="124">
        <f>IF('Assumptions - Infrastructure'!$E$384=1,1,IF('Assumptions - Infrastructure'!$E$384=2,'Assumptions - General'!V$41,'Assumptions - General'!V$42))</f>
        <v>2.5</v>
      </c>
      <c r="W1225" s="124">
        <f>IF('Assumptions - Infrastructure'!$E$384=1,1,IF('Assumptions - Infrastructure'!$E$384=2,'Assumptions - General'!W$41,'Assumptions - General'!W$42))</f>
        <v>2.5</v>
      </c>
      <c r="X1225" s="124">
        <f>IF('Assumptions - Infrastructure'!$E$384=1,1,IF('Assumptions - Infrastructure'!$E$384=2,'Assumptions - General'!X$41,'Assumptions - General'!X$42))</f>
        <v>2.5</v>
      </c>
      <c r="Y1225" s="124">
        <f>IF('Assumptions - Infrastructure'!$E$384=1,1,IF('Assumptions - Infrastructure'!$E$384=2,'Assumptions - General'!Y$41,'Assumptions - General'!Y$42))</f>
        <v>2.5</v>
      </c>
      <c r="Z1225" s="124">
        <f>IF('Assumptions - Infrastructure'!$E$384=1,1,IF('Assumptions - Infrastructure'!$E$384=2,'Assumptions - General'!Z$41,'Assumptions - General'!Z$42))</f>
        <v>2.5</v>
      </c>
      <c r="AA1225" s="124">
        <f>IF('Assumptions - Infrastructure'!$E$384=1,1,IF('Assumptions - Infrastructure'!$E$384=2,'Assumptions - General'!AA$41,'Assumptions - General'!AA$42))</f>
        <v>2.5</v>
      </c>
      <c r="AB1225" s="124">
        <f>IF('Assumptions - Infrastructure'!$E$384=1,1,IF('Assumptions - Infrastructure'!$E$384=2,'Assumptions - General'!AB$41,'Assumptions - General'!AB$42))</f>
        <v>2.5</v>
      </c>
      <c r="AC1225" s="124">
        <f>IF('Assumptions - Infrastructure'!$E$384=1,1,IF('Assumptions - Infrastructure'!$E$384=2,'Assumptions - General'!AC$41,'Assumptions - General'!AC$42))</f>
        <v>2.5</v>
      </c>
      <c r="AD1225" s="124">
        <f>IF('Assumptions - Infrastructure'!$E$384=1,1,IF('Assumptions - Infrastructure'!$E$384=2,'Assumptions - General'!AD$41,'Assumptions - General'!AD$42))</f>
        <v>2.5</v>
      </c>
      <c r="AE1225" s="124">
        <f>IF('Assumptions - Infrastructure'!$E$384=1,1,IF('Assumptions - Infrastructure'!$E$384=2,'Assumptions - General'!AE$41,'Assumptions - General'!AE$42))</f>
        <v>2.5</v>
      </c>
      <c r="AF1225" s="124">
        <f>IF('Assumptions - Infrastructure'!$E$384=1,1,IF('Assumptions - Infrastructure'!$E$384=2,'Assumptions - General'!AF$41,'Assumptions - General'!AF$42))</f>
        <v>2.5</v>
      </c>
      <c r="AG1225" s="124">
        <f>IF('Assumptions - Infrastructure'!$E$384=1,1,IF('Assumptions - Infrastructure'!$E$384=2,'Assumptions - General'!AG$41,'Assumptions - General'!AG$42))</f>
        <v>2.5</v>
      </c>
      <c r="AH1225" s="124">
        <f>IF('Assumptions - Infrastructure'!$E$384=1,1,IF('Assumptions - Infrastructure'!$E$384=2,'Assumptions - General'!AH$41,'Assumptions - General'!AH$42))</f>
        <v>2.5</v>
      </c>
    </row>
    <row r="1226" spans="2:34" s="20" customFormat="1" ht="14" x14ac:dyDescent="0.2">
      <c r="B1226" s="8" t="s">
        <v>136</v>
      </c>
      <c r="D1226" s="8" t="str">
        <f>'Assumptions - General'!$E$27 &amp;" millions"</f>
        <v>R$ millions</v>
      </c>
      <c r="E1226" s="229">
        <f>E$1225*E1218</f>
        <v>125</v>
      </c>
      <c r="F1226" s="229">
        <f t="shared" ref="F1226:AH1226" si="461">F$1225*F1218</f>
        <v>112.5</v>
      </c>
      <c r="G1226" s="229">
        <f t="shared" si="461"/>
        <v>112.5</v>
      </c>
      <c r="H1226" s="229">
        <f t="shared" si="461"/>
        <v>87.5</v>
      </c>
      <c r="I1226" s="229">
        <f t="shared" si="461"/>
        <v>75</v>
      </c>
      <c r="J1226" s="229">
        <f t="shared" si="461"/>
        <v>62.5</v>
      </c>
      <c r="K1226" s="229">
        <f t="shared" si="461"/>
        <v>50</v>
      </c>
      <c r="L1226" s="229">
        <f t="shared" si="461"/>
        <v>37.5</v>
      </c>
      <c r="M1226" s="229">
        <f t="shared" si="461"/>
        <v>25</v>
      </c>
      <c r="N1226" s="229">
        <f t="shared" si="461"/>
        <v>12.5</v>
      </c>
      <c r="O1226" s="229">
        <f t="shared" si="461"/>
        <v>0</v>
      </c>
      <c r="P1226" s="229">
        <f t="shared" si="461"/>
        <v>0</v>
      </c>
      <c r="Q1226" s="229">
        <f t="shared" si="461"/>
        <v>0</v>
      </c>
      <c r="R1226" s="229">
        <f t="shared" si="461"/>
        <v>0</v>
      </c>
      <c r="S1226" s="229">
        <f t="shared" si="461"/>
        <v>0</v>
      </c>
      <c r="T1226" s="229">
        <f t="shared" si="461"/>
        <v>0</v>
      </c>
      <c r="U1226" s="229">
        <f t="shared" si="461"/>
        <v>0</v>
      </c>
      <c r="V1226" s="229">
        <f t="shared" si="461"/>
        <v>0</v>
      </c>
      <c r="W1226" s="229">
        <f t="shared" si="461"/>
        <v>0</v>
      </c>
      <c r="X1226" s="229">
        <f t="shared" si="461"/>
        <v>0</v>
      </c>
      <c r="Y1226" s="229">
        <f t="shared" si="461"/>
        <v>0</v>
      </c>
      <c r="Z1226" s="229">
        <f t="shared" si="461"/>
        <v>0</v>
      </c>
      <c r="AA1226" s="229">
        <f t="shared" si="461"/>
        <v>0</v>
      </c>
      <c r="AB1226" s="229">
        <f t="shared" si="461"/>
        <v>0</v>
      </c>
      <c r="AC1226" s="229">
        <f t="shared" si="461"/>
        <v>0</v>
      </c>
      <c r="AD1226" s="229">
        <f t="shared" si="461"/>
        <v>0</v>
      </c>
      <c r="AE1226" s="229">
        <f t="shared" si="461"/>
        <v>0</v>
      </c>
      <c r="AF1226" s="229">
        <f t="shared" si="461"/>
        <v>0</v>
      </c>
      <c r="AG1226" s="229">
        <f t="shared" si="461"/>
        <v>0</v>
      </c>
      <c r="AH1226" s="229">
        <f t="shared" si="461"/>
        <v>0</v>
      </c>
    </row>
    <row r="1227" spans="2:34" s="20" customFormat="1" ht="14" x14ac:dyDescent="0.2">
      <c r="B1227" s="8" t="s">
        <v>410</v>
      </c>
      <c r="D1227" s="8" t="str">
        <f>'Assumptions - General'!$E$27 &amp;" millions"</f>
        <v>R$ millions</v>
      </c>
      <c r="E1227" s="229">
        <f>E$1225*E1219</f>
        <v>12.5</v>
      </c>
      <c r="F1227" s="229">
        <f t="shared" ref="F1227:AH1227" si="462">F$1225*F1219</f>
        <v>0</v>
      </c>
      <c r="G1227" s="229">
        <f t="shared" si="462"/>
        <v>25</v>
      </c>
      <c r="H1227" s="229">
        <f t="shared" si="462"/>
        <v>12.5</v>
      </c>
      <c r="I1227" s="229">
        <f t="shared" si="462"/>
        <v>12.5</v>
      </c>
      <c r="J1227" s="229">
        <f t="shared" si="462"/>
        <v>12.5</v>
      </c>
      <c r="K1227" s="229">
        <f t="shared" si="462"/>
        <v>12.5</v>
      </c>
      <c r="L1227" s="229">
        <f t="shared" si="462"/>
        <v>12.5</v>
      </c>
      <c r="M1227" s="229">
        <f t="shared" si="462"/>
        <v>12.5</v>
      </c>
      <c r="N1227" s="229">
        <f t="shared" si="462"/>
        <v>12.5</v>
      </c>
      <c r="O1227" s="229">
        <f t="shared" si="462"/>
        <v>0</v>
      </c>
      <c r="P1227" s="229">
        <f t="shared" si="462"/>
        <v>0</v>
      </c>
      <c r="Q1227" s="229">
        <f t="shared" si="462"/>
        <v>0</v>
      </c>
      <c r="R1227" s="229">
        <f t="shared" si="462"/>
        <v>0</v>
      </c>
      <c r="S1227" s="229">
        <f t="shared" si="462"/>
        <v>0</v>
      </c>
      <c r="T1227" s="229">
        <f t="shared" si="462"/>
        <v>0</v>
      </c>
      <c r="U1227" s="229">
        <f t="shared" si="462"/>
        <v>0</v>
      </c>
      <c r="V1227" s="229">
        <f t="shared" si="462"/>
        <v>0</v>
      </c>
      <c r="W1227" s="229">
        <f t="shared" si="462"/>
        <v>0</v>
      </c>
      <c r="X1227" s="229">
        <f t="shared" si="462"/>
        <v>0</v>
      </c>
      <c r="Y1227" s="229">
        <f t="shared" si="462"/>
        <v>0</v>
      </c>
      <c r="Z1227" s="229">
        <f t="shared" si="462"/>
        <v>0</v>
      </c>
      <c r="AA1227" s="229">
        <f t="shared" si="462"/>
        <v>0</v>
      </c>
      <c r="AB1227" s="229">
        <f t="shared" si="462"/>
        <v>0</v>
      </c>
      <c r="AC1227" s="229">
        <f t="shared" si="462"/>
        <v>0</v>
      </c>
      <c r="AD1227" s="229">
        <f t="shared" si="462"/>
        <v>0</v>
      </c>
      <c r="AE1227" s="229">
        <f t="shared" si="462"/>
        <v>0</v>
      </c>
      <c r="AF1227" s="229">
        <f t="shared" si="462"/>
        <v>0</v>
      </c>
      <c r="AG1227" s="229">
        <f t="shared" si="462"/>
        <v>0</v>
      </c>
      <c r="AH1227" s="229">
        <f t="shared" si="462"/>
        <v>0</v>
      </c>
    </row>
    <row r="1228" spans="2:34" s="20" customFormat="1" ht="14" x14ac:dyDescent="0.2">
      <c r="B1228" s="8" t="s">
        <v>138</v>
      </c>
      <c r="D1228" s="8" t="str">
        <f>'Assumptions - General'!$E$27 &amp;" millions"</f>
        <v>R$ millions</v>
      </c>
      <c r="E1228" s="229">
        <f>E$1225*E1220</f>
        <v>112.5</v>
      </c>
      <c r="F1228" s="229">
        <f t="shared" ref="F1228:AH1228" si="463">F$1225*F1220</f>
        <v>112.5</v>
      </c>
      <c r="G1228" s="229">
        <f t="shared" si="463"/>
        <v>87.5</v>
      </c>
      <c r="H1228" s="229">
        <f t="shared" si="463"/>
        <v>75</v>
      </c>
      <c r="I1228" s="229">
        <f t="shared" si="463"/>
        <v>62.5</v>
      </c>
      <c r="J1228" s="229">
        <f t="shared" si="463"/>
        <v>50</v>
      </c>
      <c r="K1228" s="229">
        <f t="shared" si="463"/>
        <v>37.5</v>
      </c>
      <c r="L1228" s="229">
        <f t="shared" si="463"/>
        <v>25</v>
      </c>
      <c r="M1228" s="229">
        <f t="shared" si="463"/>
        <v>12.5</v>
      </c>
      <c r="N1228" s="229">
        <f t="shared" si="463"/>
        <v>0</v>
      </c>
      <c r="O1228" s="229">
        <f t="shared" si="463"/>
        <v>0</v>
      </c>
      <c r="P1228" s="229">
        <f t="shared" si="463"/>
        <v>0</v>
      </c>
      <c r="Q1228" s="229">
        <f t="shared" si="463"/>
        <v>0</v>
      </c>
      <c r="R1228" s="229">
        <f t="shared" si="463"/>
        <v>0</v>
      </c>
      <c r="S1228" s="229">
        <f t="shared" si="463"/>
        <v>0</v>
      </c>
      <c r="T1228" s="229">
        <f t="shared" si="463"/>
        <v>0</v>
      </c>
      <c r="U1228" s="229">
        <f t="shared" si="463"/>
        <v>0</v>
      </c>
      <c r="V1228" s="229">
        <f t="shared" si="463"/>
        <v>0</v>
      </c>
      <c r="W1228" s="229">
        <f t="shared" si="463"/>
        <v>0</v>
      </c>
      <c r="X1228" s="229">
        <f t="shared" si="463"/>
        <v>0</v>
      </c>
      <c r="Y1228" s="229">
        <f t="shared" si="463"/>
        <v>0</v>
      </c>
      <c r="Z1228" s="229">
        <f t="shared" si="463"/>
        <v>0</v>
      </c>
      <c r="AA1228" s="229">
        <f t="shared" si="463"/>
        <v>0</v>
      </c>
      <c r="AB1228" s="229">
        <f t="shared" si="463"/>
        <v>0</v>
      </c>
      <c r="AC1228" s="229">
        <f t="shared" si="463"/>
        <v>0</v>
      </c>
      <c r="AD1228" s="229">
        <f t="shared" si="463"/>
        <v>0</v>
      </c>
      <c r="AE1228" s="229">
        <f t="shared" si="463"/>
        <v>0</v>
      </c>
      <c r="AF1228" s="229">
        <f t="shared" si="463"/>
        <v>0</v>
      </c>
      <c r="AG1228" s="229">
        <f t="shared" si="463"/>
        <v>0</v>
      </c>
      <c r="AH1228" s="229">
        <f t="shared" si="463"/>
        <v>0</v>
      </c>
    </row>
    <row r="1229" spans="2:34" s="20" customFormat="1" ht="14" x14ac:dyDescent="0.2">
      <c r="B1229" s="8" t="s">
        <v>139</v>
      </c>
      <c r="D1229" s="8" t="str">
        <f>'Assumptions - General'!$E$27 &amp;" millions"</f>
        <v>R$ millions</v>
      </c>
      <c r="E1229" s="229">
        <f>E$1225*E1221</f>
        <v>12.5</v>
      </c>
      <c r="F1229" s="229">
        <f t="shared" ref="F1229:AH1229" si="464">F$1225*F1221</f>
        <v>5.625</v>
      </c>
      <c r="G1229" s="229">
        <f t="shared" si="464"/>
        <v>5</v>
      </c>
      <c r="H1229" s="229">
        <f t="shared" si="464"/>
        <v>4.0625</v>
      </c>
      <c r="I1229" s="229">
        <f t="shared" si="464"/>
        <v>3.4375</v>
      </c>
      <c r="J1229" s="229">
        <f t="shared" si="464"/>
        <v>2.8125</v>
      </c>
      <c r="K1229" s="229">
        <f t="shared" si="464"/>
        <v>2.1875</v>
      </c>
      <c r="L1229" s="229">
        <f t="shared" si="464"/>
        <v>1.5625</v>
      </c>
      <c r="M1229" s="229">
        <f t="shared" si="464"/>
        <v>0.9375</v>
      </c>
      <c r="N1229" s="229">
        <f t="shared" si="464"/>
        <v>0.3125</v>
      </c>
      <c r="O1229" s="229">
        <f t="shared" si="464"/>
        <v>0</v>
      </c>
      <c r="P1229" s="229">
        <f t="shared" si="464"/>
        <v>0</v>
      </c>
      <c r="Q1229" s="229">
        <f t="shared" si="464"/>
        <v>0</v>
      </c>
      <c r="R1229" s="229">
        <f t="shared" si="464"/>
        <v>0</v>
      </c>
      <c r="S1229" s="229">
        <f t="shared" si="464"/>
        <v>0</v>
      </c>
      <c r="T1229" s="229">
        <f t="shared" si="464"/>
        <v>0</v>
      </c>
      <c r="U1229" s="229">
        <f t="shared" si="464"/>
        <v>0</v>
      </c>
      <c r="V1229" s="229">
        <f t="shared" si="464"/>
        <v>0</v>
      </c>
      <c r="W1229" s="229">
        <f t="shared" si="464"/>
        <v>0</v>
      </c>
      <c r="X1229" s="229">
        <f t="shared" si="464"/>
        <v>0</v>
      </c>
      <c r="Y1229" s="229">
        <f t="shared" si="464"/>
        <v>0</v>
      </c>
      <c r="Z1229" s="229">
        <f t="shared" si="464"/>
        <v>0</v>
      </c>
      <c r="AA1229" s="229">
        <f t="shared" si="464"/>
        <v>0</v>
      </c>
      <c r="AB1229" s="229">
        <f t="shared" si="464"/>
        <v>0</v>
      </c>
      <c r="AC1229" s="229">
        <f t="shared" si="464"/>
        <v>0</v>
      </c>
      <c r="AD1229" s="229">
        <f t="shared" si="464"/>
        <v>0</v>
      </c>
      <c r="AE1229" s="229">
        <f t="shared" si="464"/>
        <v>0</v>
      </c>
      <c r="AF1229" s="229">
        <f t="shared" si="464"/>
        <v>0</v>
      </c>
      <c r="AG1229" s="229">
        <f t="shared" si="464"/>
        <v>0</v>
      </c>
      <c r="AH1229" s="229">
        <f t="shared" si="464"/>
        <v>0</v>
      </c>
    </row>
    <row r="1230" spans="2:34" s="20" customFormat="1" ht="14" x14ac:dyDescent="0.2">
      <c r="B1230" s="8" t="s">
        <v>140</v>
      </c>
      <c r="D1230" s="8" t="str">
        <f>'Assumptions - General'!$E$27 &amp;" millions"</f>
        <v>R$ millions</v>
      </c>
      <c r="E1230" s="229">
        <f>E$1225*E1222</f>
        <v>25</v>
      </c>
      <c r="F1230" s="229">
        <f t="shared" ref="F1230:AH1230" si="465">F$1225*F1222</f>
        <v>5.625</v>
      </c>
      <c r="G1230" s="229">
        <f t="shared" si="465"/>
        <v>30</v>
      </c>
      <c r="H1230" s="229">
        <f t="shared" si="465"/>
        <v>16.5625</v>
      </c>
      <c r="I1230" s="229">
        <f t="shared" si="465"/>
        <v>15.9375</v>
      </c>
      <c r="J1230" s="229">
        <f t="shared" si="465"/>
        <v>15.3125</v>
      </c>
      <c r="K1230" s="229">
        <f t="shared" si="465"/>
        <v>14.6875</v>
      </c>
      <c r="L1230" s="229">
        <f t="shared" si="465"/>
        <v>14.0625</v>
      </c>
      <c r="M1230" s="229">
        <f t="shared" si="465"/>
        <v>13.4375</v>
      </c>
      <c r="N1230" s="229">
        <f t="shared" si="465"/>
        <v>12.8125</v>
      </c>
      <c r="O1230" s="229">
        <f t="shared" si="465"/>
        <v>0</v>
      </c>
      <c r="P1230" s="229">
        <f t="shared" si="465"/>
        <v>0</v>
      </c>
      <c r="Q1230" s="229">
        <f t="shared" si="465"/>
        <v>0</v>
      </c>
      <c r="R1230" s="229">
        <f t="shared" si="465"/>
        <v>0</v>
      </c>
      <c r="S1230" s="229">
        <f t="shared" si="465"/>
        <v>0</v>
      </c>
      <c r="T1230" s="229">
        <f t="shared" si="465"/>
        <v>0</v>
      </c>
      <c r="U1230" s="229">
        <f t="shared" si="465"/>
        <v>0</v>
      </c>
      <c r="V1230" s="229">
        <f t="shared" si="465"/>
        <v>0</v>
      </c>
      <c r="W1230" s="229">
        <f t="shared" si="465"/>
        <v>0</v>
      </c>
      <c r="X1230" s="229">
        <f t="shared" si="465"/>
        <v>0</v>
      </c>
      <c r="Y1230" s="229">
        <f t="shared" si="465"/>
        <v>0</v>
      </c>
      <c r="Z1230" s="229">
        <f t="shared" si="465"/>
        <v>0</v>
      </c>
      <c r="AA1230" s="229">
        <f t="shared" si="465"/>
        <v>0</v>
      </c>
      <c r="AB1230" s="229">
        <f t="shared" si="465"/>
        <v>0</v>
      </c>
      <c r="AC1230" s="229">
        <f t="shared" si="465"/>
        <v>0</v>
      </c>
      <c r="AD1230" s="229">
        <f t="shared" si="465"/>
        <v>0</v>
      </c>
      <c r="AE1230" s="229">
        <f t="shared" si="465"/>
        <v>0</v>
      </c>
      <c r="AF1230" s="229">
        <f t="shared" si="465"/>
        <v>0</v>
      </c>
      <c r="AG1230" s="229">
        <f t="shared" si="465"/>
        <v>0</v>
      </c>
      <c r="AH1230" s="229">
        <f t="shared" si="465"/>
        <v>0</v>
      </c>
    </row>
    <row r="1231" spans="2:34" s="20" customFormat="1" ht="14" x14ac:dyDescent="0.2">
      <c r="B1231" s="16"/>
      <c r="E1231" s="45"/>
      <c r="F1231" s="46"/>
      <c r="G1231" s="46"/>
      <c r="H1231" s="46"/>
      <c r="I1231" s="46"/>
      <c r="J1231" s="46"/>
      <c r="K1231" s="46"/>
      <c r="L1231" s="46"/>
      <c r="M1231" s="46"/>
      <c r="N1231" s="46"/>
    </row>
    <row r="1232" spans="2:34" s="20" customFormat="1" ht="14" x14ac:dyDescent="0.2">
      <c r="B1232" s="21" t="str">
        <f>"Existing loan from " &amp; 'Assumptions - Infrastructure'!E395</f>
        <v>Existing loan from London bank</v>
      </c>
    </row>
    <row r="1233" spans="2:34" s="20" customFormat="1" ht="14" x14ac:dyDescent="0.2">
      <c r="B1233" s="8" t="s">
        <v>135</v>
      </c>
      <c r="D1233" s="20" t="s">
        <v>15</v>
      </c>
      <c r="E1233" s="47">
        <f>IF(E$19=1,IF('Assumptions - Infrastructure'!$E401=1,'Assumptions - Infrastructure'!$E403,'Assumptions - General'!E$38+'Assumptions - Infrastructure'!$E404),0)</f>
        <v>0.05</v>
      </c>
      <c r="F1233" s="47">
        <f>IF(F$19=1,IF('Assumptions - Infrastructure'!$E401=1,'Assumptions - Infrastructure'!$E403,'Assumptions - General'!F$38+'Assumptions - Infrastructure'!$E404),0)</f>
        <v>0.05</v>
      </c>
      <c r="G1233" s="47">
        <f>IF(G$19=1,IF('Assumptions - Infrastructure'!$E401=1,'Assumptions - Infrastructure'!$E403,'Assumptions - General'!G$38+'Assumptions - Infrastructure'!$E404),0)</f>
        <v>0.05</v>
      </c>
      <c r="H1233" s="47">
        <f>IF(H$19=1,IF('Assumptions - Infrastructure'!$E401=1,'Assumptions - Infrastructure'!$E403,'Assumptions - General'!H$38+'Assumptions - Infrastructure'!$E404),0)</f>
        <v>0.05</v>
      </c>
      <c r="I1233" s="47">
        <f>IF(I$19=1,IF('Assumptions - Infrastructure'!$E401=1,'Assumptions - Infrastructure'!$E403,'Assumptions - General'!I$38+'Assumptions - Infrastructure'!$E404),0)</f>
        <v>0.05</v>
      </c>
      <c r="J1233" s="47">
        <f>IF(J$19=1,IF('Assumptions - Infrastructure'!$E401=1,'Assumptions - Infrastructure'!$E403,'Assumptions - General'!J$38+'Assumptions - Infrastructure'!$E404),0)</f>
        <v>0.05</v>
      </c>
      <c r="K1233" s="47">
        <f>IF(K$19=1,IF('Assumptions - Infrastructure'!$E401=1,'Assumptions - Infrastructure'!$E403,'Assumptions - General'!K$38+'Assumptions - Infrastructure'!$E404),0)</f>
        <v>0.05</v>
      </c>
      <c r="L1233" s="47">
        <f>IF(L$19=1,IF('Assumptions - Infrastructure'!$E401=1,'Assumptions - Infrastructure'!$E403,'Assumptions - General'!L$38+'Assumptions - Infrastructure'!$E404),0)</f>
        <v>0.05</v>
      </c>
      <c r="M1233" s="47">
        <f>IF(M$19=1,IF('Assumptions - Infrastructure'!$E401=1,'Assumptions - Infrastructure'!$E403,'Assumptions - General'!M$38+'Assumptions - Infrastructure'!$E404),0)</f>
        <v>0.05</v>
      </c>
      <c r="N1233" s="47">
        <f>IF(N$19=1,IF('Assumptions - Infrastructure'!$E401=1,'Assumptions - Infrastructure'!$E403,'Assumptions - General'!N$38+'Assumptions - Infrastructure'!$E404),0)</f>
        <v>0.05</v>
      </c>
      <c r="O1233" s="47">
        <f>IF(O$19=1,IF('Assumptions - Infrastructure'!$E401=1,'Assumptions - Infrastructure'!$E403,'Assumptions - General'!O$38+'Assumptions - Infrastructure'!$E404),0)</f>
        <v>0.05</v>
      </c>
      <c r="P1233" s="47">
        <f>IF(P$19=1,IF('Assumptions - Infrastructure'!$E401=1,'Assumptions - Infrastructure'!$E403,'Assumptions - General'!P$38+'Assumptions - Infrastructure'!$E404),0)</f>
        <v>0.05</v>
      </c>
      <c r="Q1233" s="47">
        <f>IF(Q$19=1,IF('Assumptions - Infrastructure'!$E401=1,'Assumptions - Infrastructure'!$E403,'Assumptions - General'!Q$38+'Assumptions - Infrastructure'!$E404),0)</f>
        <v>0.05</v>
      </c>
      <c r="R1233" s="47">
        <f>IF(R$19=1,IF('Assumptions - Infrastructure'!$E401=1,'Assumptions - Infrastructure'!$E403,'Assumptions - General'!R$38+'Assumptions - Infrastructure'!$E404),0)</f>
        <v>0.05</v>
      </c>
      <c r="S1233" s="47">
        <f>IF(S$19=1,IF('Assumptions - Infrastructure'!$E401=1,'Assumptions - Infrastructure'!$E403,'Assumptions - General'!S$38+'Assumptions - Infrastructure'!$E404),0)</f>
        <v>0.05</v>
      </c>
      <c r="T1233" s="47">
        <f>IF(T$19=1,IF('Assumptions - Infrastructure'!$E401=1,'Assumptions - Infrastructure'!$E403,'Assumptions - General'!T$38+'Assumptions - Infrastructure'!$E404),0)</f>
        <v>0.05</v>
      </c>
      <c r="U1233" s="47">
        <f>IF(U$19=1,IF('Assumptions - Infrastructure'!$E401=1,'Assumptions - Infrastructure'!$E403,'Assumptions - General'!U$38+'Assumptions - Infrastructure'!$E404),0)</f>
        <v>0.05</v>
      </c>
      <c r="V1233" s="47">
        <f>IF(V$19=1,IF('Assumptions - Infrastructure'!$E401=1,'Assumptions - Infrastructure'!$E403,'Assumptions - General'!V$38+'Assumptions - Infrastructure'!$E404),0)</f>
        <v>0.05</v>
      </c>
      <c r="W1233" s="47">
        <f>IF(W$19=1,IF('Assumptions - Infrastructure'!$E401=1,'Assumptions - Infrastructure'!$E403,'Assumptions - General'!W$38+'Assumptions - Infrastructure'!$E404),0)</f>
        <v>0.05</v>
      </c>
      <c r="X1233" s="47">
        <f>IF(X$19=1,IF('Assumptions - Infrastructure'!$E401=1,'Assumptions - Infrastructure'!$E403,'Assumptions - General'!X$38+'Assumptions - Infrastructure'!$E404),0)</f>
        <v>0.05</v>
      </c>
      <c r="Y1233" s="47">
        <f>IF(Y$19=1,IF('Assumptions - Infrastructure'!$E401=1,'Assumptions - Infrastructure'!$E403,'Assumptions - General'!Y$38+'Assumptions - Infrastructure'!$E404),0)</f>
        <v>0.05</v>
      </c>
      <c r="Z1233" s="47">
        <f>IF(Z$19=1,IF('Assumptions - Infrastructure'!$E401=1,'Assumptions - Infrastructure'!$E403,'Assumptions - General'!Z$38+'Assumptions - Infrastructure'!$E404),0)</f>
        <v>0.05</v>
      </c>
      <c r="AA1233" s="47">
        <f>IF(AA$19=1,IF('Assumptions - Infrastructure'!$E401=1,'Assumptions - Infrastructure'!$E403,'Assumptions - General'!AA$38+'Assumptions - Infrastructure'!$E404),0)</f>
        <v>0.05</v>
      </c>
      <c r="AB1233" s="47">
        <f>IF(AB$19=1,IF('Assumptions - Infrastructure'!$E401=1,'Assumptions - Infrastructure'!$E403,'Assumptions - General'!AB$38+'Assumptions - Infrastructure'!$E404),0)</f>
        <v>0.05</v>
      </c>
      <c r="AC1233" s="47">
        <f>IF(AC$19=1,IF('Assumptions - Infrastructure'!$E401=1,'Assumptions - Infrastructure'!$E403,'Assumptions - General'!AC$38+'Assumptions - Infrastructure'!$E404),0)</f>
        <v>0.05</v>
      </c>
      <c r="AD1233" s="47">
        <f>IF(AD$19=1,IF('Assumptions - Infrastructure'!$E401=1,'Assumptions - Infrastructure'!$E403,'Assumptions - General'!AD$38+'Assumptions - Infrastructure'!$E404),0)</f>
        <v>0.05</v>
      </c>
      <c r="AE1233" s="47">
        <f>IF(AE$19=1,IF('Assumptions - Infrastructure'!$E401=1,'Assumptions - Infrastructure'!$E403,'Assumptions - General'!AE$38+'Assumptions - Infrastructure'!$E404),0)</f>
        <v>0.05</v>
      </c>
      <c r="AF1233" s="47">
        <f>IF(AF$19=1,IF('Assumptions - Infrastructure'!$E401=1,'Assumptions - Infrastructure'!$E403,'Assumptions - General'!AF$38+'Assumptions - Infrastructure'!$E404),0)</f>
        <v>0.05</v>
      </c>
      <c r="AG1233" s="47">
        <f>IF(AG$19=1,IF('Assumptions - Infrastructure'!$E401=1,'Assumptions - Infrastructure'!$E403,'Assumptions - General'!AG$38+'Assumptions - Infrastructure'!$E404),0)</f>
        <v>0.05</v>
      </c>
      <c r="AH1233" s="47">
        <f>IF(AH$19=1,IF('Assumptions - Infrastructure'!$E401=1,'Assumptions - Infrastructure'!$E403,'Assumptions - General'!AH$38+'Assumptions - Infrastructure'!$E404),0)</f>
        <v>0.05</v>
      </c>
    </row>
    <row r="1234" spans="2:34" s="20" customFormat="1" ht="14" x14ac:dyDescent="0.2">
      <c r="B1234" s="8" t="s">
        <v>136</v>
      </c>
      <c r="D1234" s="8" t="str">
        <f>'Assumptions - Infrastructure'!D398</f>
        <v>R$ millions</v>
      </c>
      <c r="E1234" s="470">
        <f>IF(E$19=1,'Assumptions - Infrastructure'!E398,0)</f>
        <v>50</v>
      </c>
      <c r="F1234" s="33">
        <f t="shared" ref="F1234:AH1234" si="466">E1236</f>
        <v>45</v>
      </c>
      <c r="G1234" s="33">
        <f t="shared" si="466"/>
        <v>40</v>
      </c>
      <c r="H1234" s="33">
        <f t="shared" si="466"/>
        <v>35</v>
      </c>
      <c r="I1234" s="33">
        <f t="shared" si="466"/>
        <v>30</v>
      </c>
      <c r="J1234" s="33">
        <f t="shared" si="466"/>
        <v>25</v>
      </c>
      <c r="K1234" s="33">
        <f t="shared" si="466"/>
        <v>20</v>
      </c>
      <c r="L1234" s="33">
        <f t="shared" si="466"/>
        <v>15</v>
      </c>
      <c r="M1234" s="33">
        <f t="shared" si="466"/>
        <v>10</v>
      </c>
      <c r="N1234" s="33">
        <f t="shared" si="466"/>
        <v>5</v>
      </c>
      <c r="O1234" s="33">
        <f t="shared" si="466"/>
        <v>0</v>
      </c>
      <c r="P1234" s="33">
        <f t="shared" si="466"/>
        <v>0</v>
      </c>
      <c r="Q1234" s="33">
        <f t="shared" si="466"/>
        <v>0</v>
      </c>
      <c r="R1234" s="33">
        <f t="shared" si="466"/>
        <v>0</v>
      </c>
      <c r="S1234" s="33">
        <f t="shared" si="466"/>
        <v>0</v>
      </c>
      <c r="T1234" s="33">
        <f t="shared" si="466"/>
        <v>0</v>
      </c>
      <c r="U1234" s="33">
        <f t="shared" si="466"/>
        <v>0</v>
      </c>
      <c r="V1234" s="33">
        <f t="shared" si="466"/>
        <v>0</v>
      </c>
      <c r="W1234" s="33">
        <f t="shared" si="466"/>
        <v>0</v>
      </c>
      <c r="X1234" s="33">
        <f t="shared" si="466"/>
        <v>0</v>
      </c>
      <c r="Y1234" s="33">
        <f t="shared" si="466"/>
        <v>0</v>
      </c>
      <c r="Z1234" s="33">
        <f t="shared" si="466"/>
        <v>0</v>
      </c>
      <c r="AA1234" s="33">
        <f t="shared" si="466"/>
        <v>0</v>
      </c>
      <c r="AB1234" s="33">
        <f t="shared" si="466"/>
        <v>0</v>
      </c>
      <c r="AC1234" s="33">
        <f t="shared" si="466"/>
        <v>0</v>
      </c>
      <c r="AD1234" s="33">
        <f t="shared" si="466"/>
        <v>0</v>
      </c>
      <c r="AE1234" s="33">
        <f t="shared" si="466"/>
        <v>0</v>
      </c>
      <c r="AF1234" s="33">
        <f t="shared" si="466"/>
        <v>0</v>
      </c>
      <c r="AG1234" s="33">
        <f t="shared" si="466"/>
        <v>0</v>
      </c>
      <c r="AH1234" s="33">
        <f t="shared" si="466"/>
        <v>0</v>
      </c>
    </row>
    <row r="1235" spans="2:34" s="20" customFormat="1" ht="14" x14ac:dyDescent="0.2">
      <c r="B1235" s="8" t="s">
        <v>410</v>
      </c>
      <c r="D1235" s="8" t="str">
        <f>D1234</f>
        <v>R$ millions</v>
      </c>
      <c r="E1235" s="33">
        <f>IF(E$19=1,'Assumptions - Infrastructure'!E400,0)</f>
        <v>5</v>
      </c>
      <c r="F1235" s="33">
        <f>IF(F$19=1,'Assumptions - Infrastructure'!F400,0)</f>
        <v>5</v>
      </c>
      <c r="G1235" s="33">
        <f>IF(G$19=1,'Assumptions - Infrastructure'!G400,0)</f>
        <v>5</v>
      </c>
      <c r="H1235" s="33">
        <f>IF(H$19=1,'Assumptions - Infrastructure'!H400,0)</f>
        <v>5</v>
      </c>
      <c r="I1235" s="33">
        <f>IF(I$19=1,'Assumptions - Infrastructure'!I400,0)</f>
        <v>5</v>
      </c>
      <c r="J1235" s="33">
        <f>IF(J$19=1,'Assumptions - Infrastructure'!J400,0)</f>
        <v>5</v>
      </c>
      <c r="K1235" s="33">
        <f>IF(K$19=1,'Assumptions - Infrastructure'!K400,0)</f>
        <v>5</v>
      </c>
      <c r="L1235" s="33">
        <f>IF(L$19=1,'Assumptions - Infrastructure'!L400,0)</f>
        <v>5</v>
      </c>
      <c r="M1235" s="33">
        <f>IF(M$19=1,'Assumptions - Infrastructure'!M400,0)</f>
        <v>5</v>
      </c>
      <c r="N1235" s="33">
        <f>IF(N$19=1,'Assumptions - Infrastructure'!N400,0)</f>
        <v>5</v>
      </c>
      <c r="O1235" s="33">
        <f>IF(O$19=1,'Assumptions - Infrastructure'!O400,0)</f>
        <v>0</v>
      </c>
      <c r="P1235" s="33">
        <f>IF(P$19=1,'Assumptions - Infrastructure'!P400,0)</f>
        <v>0</v>
      </c>
      <c r="Q1235" s="33">
        <f>IF(Q$19=1,'Assumptions - Infrastructure'!Q400,0)</f>
        <v>0</v>
      </c>
      <c r="R1235" s="33">
        <f>IF(R$19=1,'Assumptions - Infrastructure'!R400,0)</f>
        <v>0</v>
      </c>
      <c r="S1235" s="33">
        <f>IF(S$19=1,'Assumptions - Infrastructure'!S400,0)</f>
        <v>0</v>
      </c>
      <c r="T1235" s="33">
        <f>IF(T$19=1,'Assumptions - Infrastructure'!T400,0)</f>
        <v>0</v>
      </c>
      <c r="U1235" s="33">
        <f>IF(U$19=1,'Assumptions - Infrastructure'!U400,0)</f>
        <v>0</v>
      </c>
      <c r="V1235" s="33">
        <f>IF(V$19=1,'Assumptions - Infrastructure'!V400,0)</f>
        <v>0</v>
      </c>
      <c r="W1235" s="33">
        <f>IF(W$19=1,'Assumptions - Infrastructure'!W400,0)</f>
        <v>0</v>
      </c>
      <c r="X1235" s="33">
        <f>IF(X$19=1,'Assumptions - Infrastructure'!X400,0)</f>
        <v>0</v>
      </c>
      <c r="Y1235" s="33">
        <f>IF(Y$19=1,'Assumptions - Infrastructure'!Y400,0)</f>
        <v>0</v>
      </c>
      <c r="Z1235" s="33">
        <f>IF(Z$19=1,'Assumptions - Infrastructure'!Z400,0)</f>
        <v>0</v>
      </c>
      <c r="AA1235" s="33">
        <f>IF(AA$19=1,'Assumptions - Infrastructure'!AA400,0)</f>
        <v>0</v>
      </c>
      <c r="AB1235" s="33">
        <f>IF(AB$19=1,'Assumptions - Infrastructure'!AB400,0)</f>
        <v>0</v>
      </c>
      <c r="AC1235" s="33">
        <f>IF(AC$19=1,'Assumptions - Infrastructure'!AC400,0)</f>
        <v>0</v>
      </c>
      <c r="AD1235" s="33">
        <f>IF(AD$19=1,'Assumptions - Infrastructure'!AD400,0)</f>
        <v>0</v>
      </c>
      <c r="AE1235" s="33">
        <f>IF(AE$19=1,'Assumptions - Infrastructure'!AE400,0)</f>
        <v>0</v>
      </c>
      <c r="AF1235" s="33">
        <f>IF(AF$19=1,'Assumptions - Infrastructure'!AF400,0)</f>
        <v>0</v>
      </c>
      <c r="AG1235" s="33">
        <f>IF(AG$19=1,'Assumptions - Infrastructure'!AG400,0)</f>
        <v>0</v>
      </c>
      <c r="AH1235" s="33">
        <f>IF(AH$19=1,'Assumptions - Infrastructure'!AH400,0)</f>
        <v>0</v>
      </c>
    </row>
    <row r="1236" spans="2:34" s="20" customFormat="1" ht="14" x14ac:dyDescent="0.2">
      <c r="B1236" s="8" t="s">
        <v>138</v>
      </c>
      <c r="D1236" s="8" t="str">
        <f>D1235</f>
        <v>R$ millions</v>
      </c>
      <c r="E1236" s="33">
        <f>E1234-E1235</f>
        <v>45</v>
      </c>
      <c r="F1236" s="33">
        <f t="shared" ref="F1236:AH1236" si="467">F1234-F1235</f>
        <v>40</v>
      </c>
      <c r="G1236" s="33">
        <f t="shared" si="467"/>
        <v>35</v>
      </c>
      <c r="H1236" s="33">
        <f t="shared" si="467"/>
        <v>30</v>
      </c>
      <c r="I1236" s="33">
        <f t="shared" si="467"/>
        <v>25</v>
      </c>
      <c r="J1236" s="33">
        <f t="shared" si="467"/>
        <v>20</v>
      </c>
      <c r="K1236" s="33">
        <f t="shared" si="467"/>
        <v>15</v>
      </c>
      <c r="L1236" s="33">
        <f t="shared" si="467"/>
        <v>10</v>
      </c>
      <c r="M1236" s="33">
        <f t="shared" si="467"/>
        <v>5</v>
      </c>
      <c r="N1236" s="33">
        <f t="shared" si="467"/>
        <v>0</v>
      </c>
      <c r="O1236" s="33">
        <f t="shared" si="467"/>
        <v>0</v>
      </c>
      <c r="P1236" s="33">
        <f t="shared" si="467"/>
        <v>0</v>
      </c>
      <c r="Q1236" s="33">
        <f t="shared" si="467"/>
        <v>0</v>
      </c>
      <c r="R1236" s="33">
        <f t="shared" si="467"/>
        <v>0</v>
      </c>
      <c r="S1236" s="33">
        <f t="shared" si="467"/>
        <v>0</v>
      </c>
      <c r="T1236" s="33">
        <f t="shared" si="467"/>
        <v>0</v>
      </c>
      <c r="U1236" s="33">
        <f t="shared" si="467"/>
        <v>0</v>
      </c>
      <c r="V1236" s="33">
        <f t="shared" si="467"/>
        <v>0</v>
      </c>
      <c r="W1236" s="33">
        <f t="shared" si="467"/>
        <v>0</v>
      </c>
      <c r="X1236" s="33">
        <f t="shared" si="467"/>
        <v>0</v>
      </c>
      <c r="Y1236" s="33">
        <f t="shared" si="467"/>
        <v>0</v>
      </c>
      <c r="Z1236" s="33">
        <f t="shared" si="467"/>
        <v>0</v>
      </c>
      <c r="AA1236" s="33">
        <f t="shared" si="467"/>
        <v>0</v>
      </c>
      <c r="AB1236" s="33">
        <f t="shared" si="467"/>
        <v>0</v>
      </c>
      <c r="AC1236" s="33">
        <f t="shared" si="467"/>
        <v>0</v>
      </c>
      <c r="AD1236" s="33">
        <f t="shared" si="467"/>
        <v>0</v>
      </c>
      <c r="AE1236" s="33">
        <f t="shared" si="467"/>
        <v>0</v>
      </c>
      <c r="AF1236" s="33">
        <f t="shared" si="467"/>
        <v>0</v>
      </c>
      <c r="AG1236" s="33">
        <f t="shared" si="467"/>
        <v>0</v>
      </c>
      <c r="AH1236" s="33">
        <f t="shared" si="467"/>
        <v>0</v>
      </c>
    </row>
    <row r="1237" spans="2:34" s="20" customFormat="1" ht="14" x14ac:dyDescent="0.2">
      <c r="B1237" s="8" t="s">
        <v>139</v>
      </c>
      <c r="D1237" s="8" t="str">
        <f>D1236</f>
        <v>R$ millions</v>
      </c>
      <c r="E1237" s="470">
        <f>IF(E$19=1,'Assumptions - Infrastructure'!E399,0)</f>
        <v>2</v>
      </c>
      <c r="F1237" s="229">
        <f t="shared" ref="F1237:AH1237" si="468">F1233*((F1234+F1236)/2)</f>
        <v>2.125</v>
      </c>
      <c r="G1237" s="229">
        <f t="shared" si="468"/>
        <v>1.875</v>
      </c>
      <c r="H1237" s="229">
        <f t="shared" si="468"/>
        <v>1.625</v>
      </c>
      <c r="I1237" s="229">
        <f t="shared" si="468"/>
        <v>1.375</v>
      </c>
      <c r="J1237" s="229">
        <f t="shared" si="468"/>
        <v>1.125</v>
      </c>
      <c r="K1237" s="229">
        <f t="shared" si="468"/>
        <v>0.875</v>
      </c>
      <c r="L1237" s="229">
        <f t="shared" si="468"/>
        <v>0.625</v>
      </c>
      <c r="M1237" s="229">
        <f t="shared" si="468"/>
        <v>0.375</v>
      </c>
      <c r="N1237" s="229">
        <f t="shared" si="468"/>
        <v>0.125</v>
      </c>
      <c r="O1237" s="229">
        <f t="shared" si="468"/>
        <v>0</v>
      </c>
      <c r="P1237" s="229">
        <f t="shared" si="468"/>
        <v>0</v>
      </c>
      <c r="Q1237" s="229">
        <f t="shared" si="468"/>
        <v>0</v>
      </c>
      <c r="R1237" s="229">
        <f t="shared" si="468"/>
        <v>0</v>
      </c>
      <c r="S1237" s="229">
        <f t="shared" si="468"/>
        <v>0</v>
      </c>
      <c r="T1237" s="229">
        <f t="shared" si="468"/>
        <v>0</v>
      </c>
      <c r="U1237" s="229">
        <f t="shared" si="468"/>
        <v>0</v>
      </c>
      <c r="V1237" s="229">
        <f t="shared" si="468"/>
        <v>0</v>
      </c>
      <c r="W1237" s="229">
        <f t="shared" si="468"/>
        <v>0</v>
      </c>
      <c r="X1237" s="229">
        <f t="shared" si="468"/>
        <v>0</v>
      </c>
      <c r="Y1237" s="229">
        <f t="shared" si="468"/>
        <v>0</v>
      </c>
      <c r="Z1237" s="229">
        <f t="shared" si="468"/>
        <v>0</v>
      </c>
      <c r="AA1237" s="229">
        <f t="shared" si="468"/>
        <v>0</v>
      </c>
      <c r="AB1237" s="229">
        <f t="shared" si="468"/>
        <v>0</v>
      </c>
      <c r="AC1237" s="229">
        <f t="shared" si="468"/>
        <v>0</v>
      </c>
      <c r="AD1237" s="229">
        <f t="shared" si="468"/>
        <v>0</v>
      </c>
      <c r="AE1237" s="229">
        <f t="shared" si="468"/>
        <v>0</v>
      </c>
      <c r="AF1237" s="229">
        <f t="shared" si="468"/>
        <v>0</v>
      </c>
      <c r="AG1237" s="229">
        <f t="shared" si="468"/>
        <v>0</v>
      </c>
      <c r="AH1237" s="229">
        <f t="shared" si="468"/>
        <v>0</v>
      </c>
    </row>
    <row r="1238" spans="2:34" s="20" customFormat="1" ht="14" x14ac:dyDescent="0.2">
      <c r="B1238" s="8" t="s">
        <v>140</v>
      </c>
      <c r="D1238" s="8" t="str">
        <f>D1237</f>
        <v>R$ millions</v>
      </c>
      <c r="E1238" s="44">
        <f t="shared" ref="E1238:AH1238" si="469">E1237+E1235</f>
        <v>7</v>
      </c>
      <c r="F1238" s="44">
        <f t="shared" si="469"/>
        <v>7.125</v>
      </c>
      <c r="G1238" s="44">
        <f t="shared" si="469"/>
        <v>6.875</v>
      </c>
      <c r="H1238" s="44">
        <f t="shared" si="469"/>
        <v>6.625</v>
      </c>
      <c r="I1238" s="44">
        <f t="shared" si="469"/>
        <v>6.375</v>
      </c>
      <c r="J1238" s="44">
        <f t="shared" si="469"/>
        <v>6.125</v>
      </c>
      <c r="K1238" s="44">
        <f t="shared" si="469"/>
        <v>5.875</v>
      </c>
      <c r="L1238" s="44">
        <f t="shared" si="469"/>
        <v>5.625</v>
      </c>
      <c r="M1238" s="44">
        <f t="shared" si="469"/>
        <v>5.375</v>
      </c>
      <c r="N1238" s="44">
        <f t="shared" si="469"/>
        <v>5.125</v>
      </c>
      <c r="O1238" s="33">
        <f t="shared" si="469"/>
        <v>0</v>
      </c>
      <c r="P1238" s="33">
        <f t="shared" si="469"/>
        <v>0</v>
      </c>
      <c r="Q1238" s="33">
        <f t="shared" si="469"/>
        <v>0</v>
      </c>
      <c r="R1238" s="33">
        <f t="shared" si="469"/>
        <v>0</v>
      </c>
      <c r="S1238" s="33">
        <f t="shared" si="469"/>
        <v>0</v>
      </c>
      <c r="T1238" s="33">
        <f t="shared" si="469"/>
        <v>0</v>
      </c>
      <c r="U1238" s="33">
        <f t="shared" si="469"/>
        <v>0</v>
      </c>
      <c r="V1238" s="33">
        <f t="shared" si="469"/>
        <v>0</v>
      </c>
      <c r="W1238" s="33">
        <f t="shared" si="469"/>
        <v>0</v>
      </c>
      <c r="X1238" s="33">
        <f t="shared" si="469"/>
        <v>0</v>
      </c>
      <c r="Y1238" s="33">
        <f t="shared" si="469"/>
        <v>0</v>
      </c>
      <c r="Z1238" s="33">
        <f t="shared" si="469"/>
        <v>0</v>
      </c>
      <c r="AA1238" s="33">
        <f t="shared" si="469"/>
        <v>0</v>
      </c>
      <c r="AB1238" s="33">
        <f t="shared" si="469"/>
        <v>0</v>
      </c>
      <c r="AC1238" s="33">
        <f t="shared" si="469"/>
        <v>0</v>
      </c>
      <c r="AD1238" s="33">
        <f t="shared" si="469"/>
        <v>0</v>
      </c>
      <c r="AE1238" s="33">
        <f t="shared" si="469"/>
        <v>0</v>
      </c>
      <c r="AF1238" s="33">
        <f t="shared" si="469"/>
        <v>0</v>
      </c>
      <c r="AG1238" s="33">
        <f t="shared" si="469"/>
        <v>0</v>
      </c>
      <c r="AH1238" s="33">
        <f t="shared" si="469"/>
        <v>0</v>
      </c>
    </row>
    <row r="1239" spans="2:34" s="20" customFormat="1" ht="14" x14ac:dyDescent="0.2">
      <c r="B1239" s="16"/>
      <c r="E1239" s="45"/>
      <c r="F1239" s="46"/>
      <c r="G1239" s="46"/>
      <c r="H1239" s="46"/>
      <c r="I1239" s="46"/>
      <c r="J1239" s="46"/>
      <c r="K1239" s="46"/>
      <c r="L1239" s="46"/>
      <c r="M1239" s="46"/>
      <c r="N1239" s="46"/>
    </row>
    <row r="1240" spans="2:34" s="20" customFormat="1" ht="14" x14ac:dyDescent="0.2">
      <c r="B1240" s="19" t="str">
        <f>B1232</f>
        <v>Existing loan from London bank</v>
      </c>
    </row>
    <row r="1241" spans="2:34" s="20" customFormat="1" ht="14" x14ac:dyDescent="0.2">
      <c r="B1241" s="20" t="s">
        <v>334</v>
      </c>
      <c r="D1241" s="8" t="str">
        <f>IF('Assumptions - Freight'!$E$461=1,"Same as above",IF('Assumptions - Freight'!$E$461=2,"Local currency/"&amp;'Assumptions - General'!$E$39,"Local currency/"&amp;'Assumptions - General'!$E$40))</f>
        <v>Local currency/USD</v>
      </c>
      <c r="E1241" s="124">
        <f>IF('Assumptions - Infrastructure'!$E$396=1,1,IF('Assumptions - Infrastructure'!$E$396=2,'Assumptions - General'!E$41,'Assumptions - General'!E$42))</f>
        <v>1</v>
      </c>
      <c r="F1241" s="124">
        <f>IF('Assumptions - Infrastructure'!$E$396=1,1,IF('Assumptions - Infrastructure'!$E$396=2,'Assumptions - General'!F$41,'Assumptions - General'!F$42))</f>
        <v>1</v>
      </c>
      <c r="G1241" s="124">
        <f>IF('Assumptions - Infrastructure'!$E$396=1,1,IF('Assumptions - Infrastructure'!$E$396=2,'Assumptions - General'!G$41,'Assumptions - General'!G$42))</f>
        <v>1</v>
      </c>
      <c r="H1241" s="124">
        <f>IF('Assumptions - Infrastructure'!$E$396=1,1,IF('Assumptions - Infrastructure'!$E$396=2,'Assumptions - General'!H$41,'Assumptions - General'!H$42))</f>
        <v>1</v>
      </c>
      <c r="I1241" s="124">
        <f>IF('Assumptions - Infrastructure'!$E$396=1,1,IF('Assumptions - Infrastructure'!$E$396=2,'Assumptions - General'!I$41,'Assumptions - General'!I$42))</f>
        <v>1</v>
      </c>
      <c r="J1241" s="124">
        <f>IF('Assumptions - Infrastructure'!$E$396=1,1,IF('Assumptions - Infrastructure'!$E$396=2,'Assumptions - General'!J$41,'Assumptions - General'!J$42))</f>
        <v>1</v>
      </c>
      <c r="K1241" s="124">
        <f>IF('Assumptions - Infrastructure'!$E$396=1,1,IF('Assumptions - Infrastructure'!$E$396=2,'Assumptions - General'!K$41,'Assumptions - General'!K$42))</f>
        <v>1</v>
      </c>
      <c r="L1241" s="124">
        <f>IF('Assumptions - Infrastructure'!$E$396=1,1,IF('Assumptions - Infrastructure'!$E$396=2,'Assumptions - General'!L$41,'Assumptions - General'!L$42))</f>
        <v>1</v>
      </c>
      <c r="M1241" s="124">
        <f>IF('Assumptions - Infrastructure'!$E$396=1,1,IF('Assumptions - Infrastructure'!$E$396=2,'Assumptions - General'!M$41,'Assumptions - General'!M$42))</f>
        <v>1</v>
      </c>
      <c r="N1241" s="124">
        <f>IF('Assumptions - Infrastructure'!$E$396=1,1,IF('Assumptions - Infrastructure'!$E$396=2,'Assumptions - General'!N$41,'Assumptions - General'!N$42))</f>
        <v>1</v>
      </c>
      <c r="O1241" s="124">
        <f>IF('Assumptions - Infrastructure'!$E$396=1,1,IF('Assumptions - Infrastructure'!$E$396=2,'Assumptions - General'!O$41,'Assumptions - General'!O$42))</f>
        <v>1</v>
      </c>
      <c r="P1241" s="124">
        <f>IF('Assumptions - Infrastructure'!$E$396=1,1,IF('Assumptions - Infrastructure'!$E$396=2,'Assumptions - General'!P$41,'Assumptions - General'!P$42))</f>
        <v>1</v>
      </c>
      <c r="Q1241" s="124">
        <f>IF('Assumptions - Infrastructure'!$E$396=1,1,IF('Assumptions - Infrastructure'!$E$396=2,'Assumptions - General'!Q$41,'Assumptions - General'!Q$42))</f>
        <v>1</v>
      </c>
      <c r="R1241" s="124">
        <f>IF('Assumptions - Infrastructure'!$E$396=1,1,IF('Assumptions - Infrastructure'!$E$396=2,'Assumptions - General'!R$41,'Assumptions - General'!R$42))</f>
        <v>1</v>
      </c>
      <c r="S1241" s="124">
        <f>IF('Assumptions - Infrastructure'!$E$396=1,1,IF('Assumptions - Infrastructure'!$E$396=2,'Assumptions - General'!S$41,'Assumptions - General'!S$42))</f>
        <v>1</v>
      </c>
      <c r="T1241" s="124">
        <f>IF('Assumptions - Infrastructure'!$E$396=1,1,IF('Assumptions - Infrastructure'!$E$396=2,'Assumptions - General'!T$41,'Assumptions - General'!T$42))</f>
        <v>1</v>
      </c>
      <c r="U1241" s="124">
        <f>IF('Assumptions - Infrastructure'!$E$396=1,1,IF('Assumptions - Infrastructure'!$E$396=2,'Assumptions - General'!U$41,'Assumptions - General'!U$42))</f>
        <v>1</v>
      </c>
      <c r="V1241" s="124">
        <f>IF('Assumptions - Infrastructure'!$E$396=1,1,IF('Assumptions - Infrastructure'!$E$396=2,'Assumptions - General'!V$41,'Assumptions - General'!V$42))</f>
        <v>1</v>
      </c>
      <c r="W1241" s="124">
        <f>IF('Assumptions - Infrastructure'!$E$396=1,1,IF('Assumptions - Infrastructure'!$E$396=2,'Assumptions - General'!W$41,'Assumptions - General'!W$42))</f>
        <v>1</v>
      </c>
      <c r="X1241" s="124">
        <f>IF('Assumptions - Infrastructure'!$E$396=1,1,IF('Assumptions - Infrastructure'!$E$396=2,'Assumptions - General'!X$41,'Assumptions - General'!X$42))</f>
        <v>1</v>
      </c>
      <c r="Y1241" s="124">
        <f>IF('Assumptions - Infrastructure'!$E$396=1,1,IF('Assumptions - Infrastructure'!$E$396=2,'Assumptions - General'!Y$41,'Assumptions - General'!Y$42))</f>
        <v>1</v>
      </c>
      <c r="Z1241" s="124">
        <f>IF('Assumptions - Infrastructure'!$E$396=1,1,IF('Assumptions - Infrastructure'!$E$396=2,'Assumptions - General'!Z$41,'Assumptions - General'!Z$42))</f>
        <v>1</v>
      </c>
      <c r="AA1241" s="124">
        <f>IF('Assumptions - Infrastructure'!$E$396=1,1,IF('Assumptions - Infrastructure'!$E$396=2,'Assumptions - General'!AA$41,'Assumptions - General'!AA$42))</f>
        <v>1</v>
      </c>
      <c r="AB1241" s="124">
        <f>IF('Assumptions - Infrastructure'!$E$396=1,1,IF('Assumptions - Infrastructure'!$E$396=2,'Assumptions - General'!AB$41,'Assumptions - General'!AB$42))</f>
        <v>1</v>
      </c>
      <c r="AC1241" s="124">
        <f>IF('Assumptions - Infrastructure'!$E$396=1,1,IF('Assumptions - Infrastructure'!$E$396=2,'Assumptions - General'!AC$41,'Assumptions - General'!AC$42))</f>
        <v>1</v>
      </c>
      <c r="AD1241" s="124">
        <f>IF('Assumptions - Infrastructure'!$E$396=1,1,IF('Assumptions - Infrastructure'!$E$396=2,'Assumptions - General'!AD$41,'Assumptions - General'!AD$42))</f>
        <v>1</v>
      </c>
      <c r="AE1241" s="124">
        <f>IF('Assumptions - Infrastructure'!$E$396=1,1,IF('Assumptions - Infrastructure'!$E$396=2,'Assumptions - General'!AE$41,'Assumptions - General'!AE$42))</f>
        <v>1</v>
      </c>
      <c r="AF1241" s="124">
        <f>IF('Assumptions - Infrastructure'!$E$396=1,1,IF('Assumptions - Infrastructure'!$E$396=2,'Assumptions - General'!AF$41,'Assumptions - General'!AF$42))</f>
        <v>1</v>
      </c>
      <c r="AG1241" s="124">
        <f>IF('Assumptions - Infrastructure'!$E$396=1,1,IF('Assumptions - Infrastructure'!$E$396=2,'Assumptions - General'!AG$41,'Assumptions - General'!AG$42))</f>
        <v>1</v>
      </c>
      <c r="AH1241" s="124">
        <f>IF('Assumptions - Infrastructure'!$E$396=1,1,IF('Assumptions - Infrastructure'!$E$396=2,'Assumptions - General'!AH$41,'Assumptions - General'!AH$42))</f>
        <v>1</v>
      </c>
    </row>
    <row r="1242" spans="2:34" s="20" customFormat="1" ht="14" x14ac:dyDescent="0.2">
      <c r="B1242" s="8" t="s">
        <v>136</v>
      </c>
      <c r="D1242" s="8" t="str">
        <f>'Assumptions - General'!$E$27 &amp;" millions"</f>
        <v>R$ millions</v>
      </c>
      <c r="E1242" s="229">
        <f>E$1241*E1234</f>
        <v>50</v>
      </c>
      <c r="F1242" s="229">
        <f>F$1241*F1234</f>
        <v>45</v>
      </c>
      <c r="G1242" s="229">
        <f>G$1241*G1234</f>
        <v>40</v>
      </c>
      <c r="H1242" s="229">
        <f>H$1241*H1234</f>
        <v>35</v>
      </c>
      <c r="I1242" s="229">
        <f>I$1241*I1234</f>
        <v>30</v>
      </c>
      <c r="J1242" s="229">
        <f t="shared" ref="J1242:AH1242" si="470">J$1241*J1234</f>
        <v>25</v>
      </c>
      <c r="K1242" s="229">
        <f t="shared" si="470"/>
        <v>20</v>
      </c>
      <c r="L1242" s="229">
        <f t="shared" si="470"/>
        <v>15</v>
      </c>
      <c r="M1242" s="229">
        <f t="shared" si="470"/>
        <v>10</v>
      </c>
      <c r="N1242" s="229">
        <f t="shared" si="470"/>
        <v>5</v>
      </c>
      <c r="O1242" s="229">
        <f t="shared" si="470"/>
        <v>0</v>
      </c>
      <c r="P1242" s="229">
        <f t="shared" si="470"/>
        <v>0</v>
      </c>
      <c r="Q1242" s="229">
        <f t="shared" si="470"/>
        <v>0</v>
      </c>
      <c r="R1242" s="229">
        <f t="shared" si="470"/>
        <v>0</v>
      </c>
      <c r="S1242" s="229">
        <f t="shared" si="470"/>
        <v>0</v>
      </c>
      <c r="T1242" s="229">
        <f t="shared" si="470"/>
        <v>0</v>
      </c>
      <c r="U1242" s="229">
        <f t="shared" si="470"/>
        <v>0</v>
      </c>
      <c r="V1242" s="229">
        <f t="shared" si="470"/>
        <v>0</v>
      </c>
      <c r="W1242" s="229">
        <f t="shared" si="470"/>
        <v>0</v>
      </c>
      <c r="X1242" s="229">
        <f t="shared" si="470"/>
        <v>0</v>
      </c>
      <c r="Y1242" s="229">
        <f t="shared" si="470"/>
        <v>0</v>
      </c>
      <c r="Z1242" s="229">
        <f t="shared" si="470"/>
        <v>0</v>
      </c>
      <c r="AA1242" s="229">
        <f t="shared" si="470"/>
        <v>0</v>
      </c>
      <c r="AB1242" s="229">
        <f t="shared" si="470"/>
        <v>0</v>
      </c>
      <c r="AC1242" s="229">
        <f t="shared" si="470"/>
        <v>0</v>
      </c>
      <c r="AD1242" s="229">
        <f t="shared" si="470"/>
        <v>0</v>
      </c>
      <c r="AE1242" s="229">
        <f t="shared" si="470"/>
        <v>0</v>
      </c>
      <c r="AF1242" s="229">
        <f t="shared" si="470"/>
        <v>0</v>
      </c>
      <c r="AG1242" s="229">
        <f t="shared" si="470"/>
        <v>0</v>
      </c>
      <c r="AH1242" s="229">
        <f t="shared" si="470"/>
        <v>0</v>
      </c>
    </row>
    <row r="1243" spans="2:34" s="20" customFormat="1" ht="14" x14ac:dyDescent="0.2">
      <c r="B1243" s="8" t="s">
        <v>410</v>
      </c>
      <c r="D1243" s="8" t="str">
        <f>'Assumptions - General'!$E$27 &amp;" millions"</f>
        <v>R$ millions</v>
      </c>
      <c r="E1243" s="229">
        <f t="shared" ref="E1243:H1246" si="471">E$1241*E1235</f>
        <v>5</v>
      </c>
      <c r="F1243" s="229">
        <f t="shared" si="471"/>
        <v>5</v>
      </c>
      <c r="G1243" s="229">
        <f t="shared" si="471"/>
        <v>5</v>
      </c>
      <c r="H1243" s="229">
        <f t="shared" si="471"/>
        <v>5</v>
      </c>
      <c r="I1243" s="229">
        <f t="shared" ref="I1243:AH1243" si="472">I$1241*I1235</f>
        <v>5</v>
      </c>
      <c r="J1243" s="229">
        <f t="shared" si="472"/>
        <v>5</v>
      </c>
      <c r="K1243" s="229">
        <f t="shared" si="472"/>
        <v>5</v>
      </c>
      <c r="L1243" s="229">
        <f t="shared" si="472"/>
        <v>5</v>
      </c>
      <c r="M1243" s="229">
        <f t="shared" si="472"/>
        <v>5</v>
      </c>
      <c r="N1243" s="229">
        <f t="shared" si="472"/>
        <v>5</v>
      </c>
      <c r="O1243" s="229">
        <f t="shared" si="472"/>
        <v>0</v>
      </c>
      <c r="P1243" s="229">
        <f t="shared" si="472"/>
        <v>0</v>
      </c>
      <c r="Q1243" s="229">
        <f t="shared" si="472"/>
        <v>0</v>
      </c>
      <c r="R1243" s="229">
        <f t="shared" si="472"/>
        <v>0</v>
      </c>
      <c r="S1243" s="229">
        <f t="shared" si="472"/>
        <v>0</v>
      </c>
      <c r="T1243" s="229">
        <f t="shared" si="472"/>
        <v>0</v>
      </c>
      <c r="U1243" s="229">
        <f t="shared" si="472"/>
        <v>0</v>
      </c>
      <c r="V1243" s="229">
        <f t="shared" si="472"/>
        <v>0</v>
      </c>
      <c r="W1243" s="229">
        <f t="shared" si="472"/>
        <v>0</v>
      </c>
      <c r="X1243" s="229">
        <f t="shared" si="472"/>
        <v>0</v>
      </c>
      <c r="Y1243" s="229">
        <f t="shared" si="472"/>
        <v>0</v>
      </c>
      <c r="Z1243" s="229">
        <f t="shared" si="472"/>
        <v>0</v>
      </c>
      <c r="AA1243" s="229">
        <f t="shared" si="472"/>
        <v>0</v>
      </c>
      <c r="AB1243" s="229">
        <f t="shared" si="472"/>
        <v>0</v>
      </c>
      <c r="AC1243" s="229">
        <f t="shared" si="472"/>
        <v>0</v>
      </c>
      <c r="AD1243" s="229">
        <f t="shared" si="472"/>
        <v>0</v>
      </c>
      <c r="AE1243" s="229">
        <f t="shared" si="472"/>
        <v>0</v>
      </c>
      <c r="AF1243" s="229">
        <f t="shared" si="472"/>
        <v>0</v>
      </c>
      <c r="AG1243" s="229">
        <f t="shared" si="472"/>
        <v>0</v>
      </c>
      <c r="AH1243" s="229">
        <f t="shared" si="472"/>
        <v>0</v>
      </c>
    </row>
    <row r="1244" spans="2:34" s="20" customFormat="1" ht="14" x14ac:dyDescent="0.2">
      <c r="B1244" s="8" t="s">
        <v>138</v>
      </c>
      <c r="D1244" s="8" t="str">
        <f>'Assumptions - General'!$E$27 &amp;" millions"</f>
        <v>R$ millions</v>
      </c>
      <c r="E1244" s="229">
        <f t="shared" si="471"/>
        <v>45</v>
      </c>
      <c r="F1244" s="229">
        <f t="shared" si="471"/>
        <v>40</v>
      </c>
      <c r="G1244" s="229">
        <f t="shared" si="471"/>
        <v>35</v>
      </c>
      <c r="H1244" s="229">
        <f t="shared" si="471"/>
        <v>30</v>
      </c>
      <c r="I1244" s="229">
        <f t="shared" ref="I1244:AH1244" si="473">I$1241*I1236</f>
        <v>25</v>
      </c>
      <c r="J1244" s="229">
        <f t="shared" si="473"/>
        <v>20</v>
      </c>
      <c r="K1244" s="229">
        <f t="shared" si="473"/>
        <v>15</v>
      </c>
      <c r="L1244" s="229">
        <f t="shared" si="473"/>
        <v>10</v>
      </c>
      <c r="M1244" s="229">
        <f t="shared" si="473"/>
        <v>5</v>
      </c>
      <c r="N1244" s="229">
        <f t="shared" si="473"/>
        <v>0</v>
      </c>
      <c r="O1244" s="229">
        <f t="shared" si="473"/>
        <v>0</v>
      </c>
      <c r="P1244" s="229">
        <f t="shared" si="473"/>
        <v>0</v>
      </c>
      <c r="Q1244" s="229">
        <f t="shared" si="473"/>
        <v>0</v>
      </c>
      <c r="R1244" s="229">
        <f t="shared" si="473"/>
        <v>0</v>
      </c>
      <c r="S1244" s="229">
        <f t="shared" si="473"/>
        <v>0</v>
      </c>
      <c r="T1244" s="229">
        <f t="shared" si="473"/>
        <v>0</v>
      </c>
      <c r="U1244" s="229">
        <f t="shared" si="473"/>
        <v>0</v>
      </c>
      <c r="V1244" s="229">
        <f t="shared" si="473"/>
        <v>0</v>
      </c>
      <c r="W1244" s="229">
        <f t="shared" si="473"/>
        <v>0</v>
      </c>
      <c r="X1244" s="229">
        <f t="shared" si="473"/>
        <v>0</v>
      </c>
      <c r="Y1244" s="229">
        <f t="shared" si="473"/>
        <v>0</v>
      </c>
      <c r="Z1244" s="229">
        <f t="shared" si="473"/>
        <v>0</v>
      </c>
      <c r="AA1244" s="229">
        <f t="shared" si="473"/>
        <v>0</v>
      </c>
      <c r="AB1244" s="229">
        <f t="shared" si="473"/>
        <v>0</v>
      </c>
      <c r="AC1244" s="229">
        <f t="shared" si="473"/>
        <v>0</v>
      </c>
      <c r="AD1244" s="229">
        <f t="shared" si="473"/>
        <v>0</v>
      </c>
      <c r="AE1244" s="229">
        <f t="shared" si="473"/>
        <v>0</v>
      </c>
      <c r="AF1244" s="229">
        <f t="shared" si="473"/>
        <v>0</v>
      </c>
      <c r="AG1244" s="229">
        <f t="shared" si="473"/>
        <v>0</v>
      </c>
      <c r="AH1244" s="229">
        <f t="shared" si="473"/>
        <v>0</v>
      </c>
    </row>
    <row r="1245" spans="2:34" s="20" customFormat="1" ht="14" x14ac:dyDescent="0.2">
      <c r="B1245" s="8" t="s">
        <v>139</v>
      </c>
      <c r="D1245" s="8" t="str">
        <f>'Assumptions - General'!$E$27 &amp;" millions"</f>
        <v>R$ millions</v>
      </c>
      <c r="E1245" s="229">
        <f t="shared" si="471"/>
        <v>2</v>
      </c>
      <c r="F1245" s="229">
        <f t="shared" si="471"/>
        <v>2.125</v>
      </c>
      <c r="G1245" s="229">
        <f t="shared" si="471"/>
        <v>1.875</v>
      </c>
      <c r="H1245" s="229">
        <f t="shared" si="471"/>
        <v>1.625</v>
      </c>
      <c r="I1245" s="229">
        <f t="shared" ref="I1245:AH1245" si="474">I$1241*I1237</f>
        <v>1.375</v>
      </c>
      <c r="J1245" s="229">
        <f t="shared" si="474"/>
        <v>1.125</v>
      </c>
      <c r="K1245" s="229">
        <f t="shared" si="474"/>
        <v>0.875</v>
      </c>
      <c r="L1245" s="229">
        <f t="shared" si="474"/>
        <v>0.625</v>
      </c>
      <c r="M1245" s="229">
        <f t="shared" si="474"/>
        <v>0.375</v>
      </c>
      <c r="N1245" s="229">
        <f t="shared" si="474"/>
        <v>0.125</v>
      </c>
      <c r="O1245" s="229">
        <f t="shared" si="474"/>
        <v>0</v>
      </c>
      <c r="P1245" s="229">
        <f t="shared" si="474"/>
        <v>0</v>
      </c>
      <c r="Q1245" s="229">
        <f t="shared" si="474"/>
        <v>0</v>
      </c>
      <c r="R1245" s="229">
        <f t="shared" si="474"/>
        <v>0</v>
      </c>
      <c r="S1245" s="229">
        <f t="shared" si="474"/>
        <v>0</v>
      </c>
      <c r="T1245" s="229">
        <f t="shared" si="474"/>
        <v>0</v>
      </c>
      <c r="U1245" s="229">
        <f t="shared" si="474"/>
        <v>0</v>
      </c>
      <c r="V1245" s="229">
        <f t="shared" si="474"/>
        <v>0</v>
      </c>
      <c r="W1245" s="229">
        <f t="shared" si="474"/>
        <v>0</v>
      </c>
      <c r="X1245" s="229">
        <f t="shared" si="474"/>
        <v>0</v>
      </c>
      <c r="Y1245" s="229">
        <f t="shared" si="474"/>
        <v>0</v>
      </c>
      <c r="Z1245" s="229">
        <f t="shared" si="474"/>
        <v>0</v>
      </c>
      <c r="AA1245" s="229">
        <f t="shared" si="474"/>
        <v>0</v>
      </c>
      <c r="AB1245" s="229">
        <f t="shared" si="474"/>
        <v>0</v>
      </c>
      <c r="AC1245" s="229">
        <f t="shared" si="474"/>
        <v>0</v>
      </c>
      <c r="AD1245" s="229">
        <f t="shared" si="474"/>
        <v>0</v>
      </c>
      <c r="AE1245" s="229">
        <f t="shared" si="474"/>
        <v>0</v>
      </c>
      <c r="AF1245" s="229">
        <f t="shared" si="474"/>
        <v>0</v>
      </c>
      <c r="AG1245" s="229">
        <f t="shared" si="474"/>
        <v>0</v>
      </c>
      <c r="AH1245" s="229">
        <f t="shared" si="474"/>
        <v>0</v>
      </c>
    </row>
    <row r="1246" spans="2:34" s="20" customFormat="1" ht="14" x14ac:dyDescent="0.2">
      <c r="B1246" s="8" t="s">
        <v>140</v>
      </c>
      <c r="D1246" s="8" t="str">
        <f>'Assumptions - General'!$E$27 &amp;" millions"</f>
        <v>R$ millions</v>
      </c>
      <c r="E1246" s="229">
        <f t="shared" si="471"/>
        <v>7</v>
      </c>
      <c r="F1246" s="229">
        <f t="shared" si="471"/>
        <v>7.125</v>
      </c>
      <c r="G1246" s="229">
        <f t="shared" si="471"/>
        <v>6.875</v>
      </c>
      <c r="H1246" s="229">
        <f t="shared" si="471"/>
        <v>6.625</v>
      </c>
      <c r="I1246" s="229">
        <f t="shared" ref="I1246:AH1246" si="475">I$1241*I1238</f>
        <v>6.375</v>
      </c>
      <c r="J1246" s="229">
        <f t="shared" si="475"/>
        <v>6.125</v>
      </c>
      <c r="K1246" s="229">
        <f t="shared" si="475"/>
        <v>5.875</v>
      </c>
      <c r="L1246" s="229">
        <f t="shared" si="475"/>
        <v>5.625</v>
      </c>
      <c r="M1246" s="229">
        <f t="shared" si="475"/>
        <v>5.375</v>
      </c>
      <c r="N1246" s="229">
        <f t="shared" si="475"/>
        <v>5.125</v>
      </c>
      <c r="O1246" s="229">
        <f t="shared" si="475"/>
        <v>0</v>
      </c>
      <c r="P1246" s="229">
        <f t="shared" si="475"/>
        <v>0</v>
      </c>
      <c r="Q1246" s="229">
        <f t="shared" si="475"/>
        <v>0</v>
      </c>
      <c r="R1246" s="229">
        <f t="shared" si="475"/>
        <v>0</v>
      </c>
      <c r="S1246" s="229">
        <f t="shared" si="475"/>
        <v>0</v>
      </c>
      <c r="T1246" s="229">
        <f t="shared" si="475"/>
        <v>0</v>
      </c>
      <c r="U1246" s="229">
        <f t="shared" si="475"/>
        <v>0</v>
      </c>
      <c r="V1246" s="229">
        <f t="shared" si="475"/>
        <v>0</v>
      </c>
      <c r="W1246" s="229">
        <f t="shared" si="475"/>
        <v>0</v>
      </c>
      <c r="X1246" s="229">
        <f t="shared" si="475"/>
        <v>0</v>
      </c>
      <c r="Y1246" s="229">
        <f t="shared" si="475"/>
        <v>0</v>
      </c>
      <c r="Z1246" s="229">
        <f t="shared" si="475"/>
        <v>0</v>
      </c>
      <c r="AA1246" s="229">
        <f t="shared" si="475"/>
        <v>0</v>
      </c>
      <c r="AB1246" s="229">
        <f t="shared" si="475"/>
        <v>0</v>
      </c>
      <c r="AC1246" s="229">
        <f t="shared" si="475"/>
        <v>0</v>
      </c>
      <c r="AD1246" s="229">
        <f t="shared" si="475"/>
        <v>0</v>
      </c>
      <c r="AE1246" s="229">
        <f t="shared" si="475"/>
        <v>0</v>
      </c>
      <c r="AF1246" s="229">
        <f t="shared" si="475"/>
        <v>0</v>
      </c>
      <c r="AG1246" s="229">
        <f t="shared" si="475"/>
        <v>0</v>
      </c>
      <c r="AH1246" s="229">
        <f t="shared" si="475"/>
        <v>0</v>
      </c>
    </row>
    <row r="1247" spans="2:34" s="20" customFormat="1" ht="14" x14ac:dyDescent="0.2">
      <c r="B1247" s="16"/>
      <c r="E1247" s="45"/>
      <c r="F1247" s="46"/>
      <c r="G1247" s="46"/>
      <c r="H1247" s="46"/>
      <c r="I1247" s="46"/>
      <c r="J1247" s="46"/>
      <c r="K1247" s="46"/>
      <c r="L1247" s="46"/>
      <c r="M1247" s="46"/>
      <c r="N1247" s="46"/>
    </row>
    <row r="1248" spans="2:34" s="20" customFormat="1" ht="14" x14ac:dyDescent="0.2">
      <c r="B1248" s="21" t="str">
        <f>"Existing loan from " &amp; 'Assumptions - Infrastructure'!E407</f>
        <v>Existing loan from New York bank</v>
      </c>
    </row>
    <row r="1249" spans="1:34" s="20" customFormat="1" ht="14" x14ac:dyDescent="0.2">
      <c r="B1249" s="8" t="s">
        <v>135</v>
      </c>
      <c r="D1249" s="20" t="s">
        <v>15</v>
      </c>
      <c r="E1249" s="47">
        <f>IF(E$19=1,IF('Assumptions - Infrastructure'!$E413=1,'Assumptions - Infrastructure'!$E415,'Assumptions - General'!E$38+'Assumptions - Infrastructure'!$E416),0)</f>
        <v>0.05</v>
      </c>
      <c r="F1249" s="47">
        <f>IF(F$19=1,IF('Assumptions - Infrastructure'!$E413=1,'Assumptions - Infrastructure'!$E415,'Assumptions - General'!F$38+'Assumptions - Infrastructure'!$E416),0)</f>
        <v>0.05</v>
      </c>
      <c r="G1249" s="47">
        <f>IF(G$19=1,IF('Assumptions - Infrastructure'!$E413=1,'Assumptions - Infrastructure'!$E415,'Assumptions - General'!G$38+'Assumptions - Infrastructure'!$E416),0)</f>
        <v>0.05</v>
      </c>
      <c r="H1249" s="47">
        <f>IF(H$19=1,IF('Assumptions - Infrastructure'!$E413=1,'Assumptions - Infrastructure'!$E415,'Assumptions - General'!H$38+'Assumptions - Infrastructure'!$E416),0)</f>
        <v>0.05</v>
      </c>
      <c r="I1249" s="47">
        <f>IF(I$19=1,IF('Assumptions - Infrastructure'!$E413=1,'Assumptions - Infrastructure'!$E415,'Assumptions - General'!I$38+'Assumptions - Infrastructure'!$E416),0)</f>
        <v>0.05</v>
      </c>
      <c r="J1249" s="47">
        <f>IF(J$19=1,IF('Assumptions - Infrastructure'!$E413=1,'Assumptions - Infrastructure'!$E415,'Assumptions - General'!J$38+'Assumptions - Infrastructure'!$E416),0)</f>
        <v>0.05</v>
      </c>
      <c r="K1249" s="47">
        <f>IF(K$19=1,IF('Assumptions - Infrastructure'!$E413=1,'Assumptions - Infrastructure'!$E415,'Assumptions - General'!K$38+'Assumptions - Infrastructure'!$E416),0)</f>
        <v>0.05</v>
      </c>
      <c r="L1249" s="47">
        <f>IF(L$19=1,IF('Assumptions - Infrastructure'!$E413=1,'Assumptions - Infrastructure'!$E415,'Assumptions - General'!L$38+'Assumptions - Infrastructure'!$E416),0)</f>
        <v>0.05</v>
      </c>
      <c r="M1249" s="47">
        <f>IF(M$19=1,IF('Assumptions - Infrastructure'!$E413=1,'Assumptions - Infrastructure'!$E415,'Assumptions - General'!M$38+'Assumptions - Infrastructure'!$E416),0)</f>
        <v>0.05</v>
      </c>
      <c r="N1249" s="47">
        <f>IF(N$19=1,IF('Assumptions - Infrastructure'!$E413=1,'Assumptions - Infrastructure'!$E415,'Assumptions - General'!N$38+'Assumptions - Infrastructure'!$E416),0)</f>
        <v>0.05</v>
      </c>
      <c r="O1249" s="47">
        <f>IF(O$19=1,IF('Assumptions - Infrastructure'!$E413=1,'Assumptions - Infrastructure'!$E415,'Assumptions - General'!O$38+'Assumptions - Infrastructure'!$E416),0)</f>
        <v>0.05</v>
      </c>
      <c r="P1249" s="47">
        <f>IF(P$19=1,IF('Assumptions - Infrastructure'!$E413=1,'Assumptions - Infrastructure'!$E415,'Assumptions - General'!P$38+'Assumptions - Infrastructure'!$E416),0)</f>
        <v>0.05</v>
      </c>
      <c r="Q1249" s="47">
        <f>IF(Q$19=1,IF('Assumptions - Infrastructure'!$E413=1,'Assumptions - Infrastructure'!$E415,'Assumptions - General'!Q$38+'Assumptions - Infrastructure'!$E416),0)</f>
        <v>0.05</v>
      </c>
      <c r="R1249" s="47">
        <f>IF(R$19=1,IF('Assumptions - Infrastructure'!$E413=1,'Assumptions - Infrastructure'!$E415,'Assumptions - General'!R$38+'Assumptions - Infrastructure'!$E416),0)</f>
        <v>0.05</v>
      </c>
      <c r="S1249" s="47">
        <f>IF(S$19=1,IF('Assumptions - Infrastructure'!$E413=1,'Assumptions - Infrastructure'!$E415,'Assumptions - General'!S$38+'Assumptions - Infrastructure'!$E416),0)</f>
        <v>0.05</v>
      </c>
      <c r="T1249" s="47">
        <f>IF(T$19=1,IF('Assumptions - Infrastructure'!$E413=1,'Assumptions - Infrastructure'!$E415,'Assumptions - General'!T$38+'Assumptions - Infrastructure'!$E416),0)</f>
        <v>0.05</v>
      </c>
      <c r="U1249" s="47">
        <f>IF(U$19=1,IF('Assumptions - Infrastructure'!$E413=1,'Assumptions - Infrastructure'!$E415,'Assumptions - General'!U$38+'Assumptions - Infrastructure'!$E416),0)</f>
        <v>0.05</v>
      </c>
      <c r="V1249" s="47">
        <f>IF(V$19=1,IF('Assumptions - Infrastructure'!$E413=1,'Assumptions - Infrastructure'!$E415,'Assumptions - General'!V$38+'Assumptions - Infrastructure'!$E416),0)</f>
        <v>0.05</v>
      </c>
      <c r="W1249" s="47">
        <f>IF(W$19=1,IF('Assumptions - Infrastructure'!$E413=1,'Assumptions - Infrastructure'!$E415,'Assumptions - General'!W$38+'Assumptions - Infrastructure'!$E416),0)</f>
        <v>0.05</v>
      </c>
      <c r="X1249" s="47">
        <f>IF(X$19=1,IF('Assumptions - Infrastructure'!$E413=1,'Assumptions - Infrastructure'!$E415,'Assumptions - General'!X$38+'Assumptions - Infrastructure'!$E416),0)</f>
        <v>0.05</v>
      </c>
      <c r="Y1249" s="47">
        <f>IF(Y$19=1,IF('Assumptions - Infrastructure'!$E413=1,'Assumptions - Infrastructure'!$E415,'Assumptions - General'!Y$38+'Assumptions - Infrastructure'!$E416),0)</f>
        <v>0.05</v>
      </c>
      <c r="Z1249" s="47">
        <f>IF(Z$19=1,IF('Assumptions - Infrastructure'!$E413=1,'Assumptions - Infrastructure'!$E415,'Assumptions - General'!Z$38+'Assumptions - Infrastructure'!$E416),0)</f>
        <v>0.05</v>
      </c>
      <c r="AA1249" s="47">
        <f>IF(AA$19=1,IF('Assumptions - Infrastructure'!$E413=1,'Assumptions - Infrastructure'!$E415,'Assumptions - General'!AA$38+'Assumptions - Infrastructure'!$E416),0)</f>
        <v>0.05</v>
      </c>
      <c r="AB1249" s="47">
        <f>IF(AB$19=1,IF('Assumptions - Infrastructure'!$E413=1,'Assumptions - Infrastructure'!$E415,'Assumptions - General'!AB$38+'Assumptions - Infrastructure'!$E416),0)</f>
        <v>0.05</v>
      </c>
      <c r="AC1249" s="47">
        <f>IF(AC$19=1,IF('Assumptions - Infrastructure'!$E413=1,'Assumptions - Infrastructure'!$E415,'Assumptions - General'!AC$38+'Assumptions - Infrastructure'!$E416),0)</f>
        <v>0.05</v>
      </c>
      <c r="AD1249" s="47">
        <f>IF(AD$19=1,IF('Assumptions - Infrastructure'!$E413=1,'Assumptions - Infrastructure'!$E415,'Assumptions - General'!AD$38+'Assumptions - Infrastructure'!$E416),0)</f>
        <v>0.05</v>
      </c>
      <c r="AE1249" s="47">
        <f>IF(AE$19=1,IF('Assumptions - Infrastructure'!$E413=1,'Assumptions - Infrastructure'!$E415,'Assumptions - General'!AE$38+'Assumptions - Infrastructure'!$E416),0)</f>
        <v>0.05</v>
      </c>
      <c r="AF1249" s="47">
        <f>IF(AF$19=1,IF('Assumptions - Infrastructure'!$E413=1,'Assumptions - Infrastructure'!$E415,'Assumptions - General'!AF$38+'Assumptions - Infrastructure'!$E416),0)</f>
        <v>0.05</v>
      </c>
      <c r="AG1249" s="47">
        <f>IF(AG$19=1,IF('Assumptions - Infrastructure'!$E413=1,'Assumptions - Infrastructure'!$E415,'Assumptions - General'!AG$38+'Assumptions - Infrastructure'!$E416),0)</f>
        <v>0.05</v>
      </c>
      <c r="AH1249" s="47">
        <f>IF(AH$19=1,IF('Assumptions - Infrastructure'!$E413=1,'Assumptions - Infrastructure'!$E415,'Assumptions - General'!AH$38+'Assumptions - Infrastructure'!$E416),0)</f>
        <v>0.05</v>
      </c>
    </row>
    <row r="1250" spans="1:34" s="20" customFormat="1" ht="14" x14ac:dyDescent="0.2">
      <c r="B1250" s="8" t="s">
        <v>136</v>
      </c>
      <c r="D1250" s="8" t="str">
        <f>'Assumptions - Infrastructure'!D410</f>
        <v>R$ millions</v>
      </c>
      <c r="E1250" s="470">
        <f>IF(E$19=1,'Assumptions - Infrastructure'!E410,0)</f>
        <v>50</v>
      </c>
      <c r="F1250" s="33">
        <f t="shared" ref="F1250:AH1250" si="476">E1252</f>
        <v>45</v>
      </c>
      <c r="G1250" s="33">
        <f t="shared" si="476"/>
        <v>40</v>
      </c>
      <c r="H1250" s="33">
        <f t="shared" si="476"/>
        <v>35</v>
      </c>
      <c r="I1250" s="33">
        <f t="shared" si="476"/>
        <v>30</v>
      </c>
      <c r="J1250" s="33">
        <f t="shared" si="476"/>
        <v>25</v>
      </c>
      <c r="K1250" s="33">
        <f t="shared" si="476"/>
        <v>20</v>
      </c>
      <c r="L1250" s="33">
        <f t="shared" si="476"/>
        <v>15</v>
      </c>
      <c r="M1250" s="33">
        <f t="shared" si="476"/>
        <v>10</v>
      </c>
      <c r="N1250" s="33">
        <f t="shared" si="476"/>
        <v>5</v>
      </c>
      <c r="O1250" s="33">
        <f t="shared" si="476"/>
        <v>0</v>
      </c>
      <c r="P1250" s="33">
        <f t="shared" si="476"/>
        <v>0</v>
      </c>
      <c r="Q1250" s="33">
        <f t="shared" si="476"/>
        <v>0</v>
      </c>
      <c r="R1250" s="33">
        <f t="shared" si="476"/>
        <v>0</v>
      </c>
      <c r="S1250" s="33">
        <f t="shared" si="476"/>
        <v>0</v>
      </c>
      <c r="T1250" s="33">
        <f t="shared" si="476"/>
        <v>0</v>
      </c>
      <c r="U1250" s="33">
        <f t="shared" si="476"/>
        <v>0</v>
      </c>
      <c r="V1250" s="33">
        <f t="shared" si="476"/>
        <v>0</v>
      </c>
      <c r="W1250" s="33">
        <f t="shared" si="476"/>
        <v>0</v>
      </c>
      <c r="X1250" s="33">
        <f t="shared" si="476"/>
        <v>0</v>
      </c>
      <c r="Y1250" s="33">
        <f t="shared" si="476"/>
        <v>0</v>
      </c>
      <c r="Z1250" s="33">
        <f t="shared" si="476"/>
        <v>0</v>
      </c>
      <c r="AA1250" s="33">
        <f t="shared" si="476"/>
        <v>0</v>
      </c>
      <c r="AB1250" s="33">
        <f t="shared" si="476"/>
        <v>0</v>
      </c>
      <c r="AC1250" s="33">
        <f t="shared" si="476"/>
        <v>0</v>
      </c>
      <c r="AD1250" s="33">
        <f t="shared" si="476"/>
        <v>0</v>
      </c>
      <c r="AE1250" s="33">
        <f t="shared" si="476"/>
        <v>0</v>
      </c>
      <c r="AF1250" s="33">
        <f t="shared" si="476"/>
        <v>0</v>
      </c>
      <c r="AG1250" s="33">
        <f t="shared" si="476"/>
        <v>0</v>
      </c>
      <c r="AH1250" s="33">
        <f t="shared" si="476"/>
        <v>0</v>
      </c>
    </row>
    <row r="1251" spans="1:34" s="20" customFormat="1" ht="14" x14ac:dyDescent="0.2">
      <c r="B1251" s="8" t="s">
        <v>410</v>
      </c>
      <c r="D1251" s="8" t="str">
        <f>D1250</f>
        <v>R$ millions</v>
      </c>
      <c r="E1251" s="33">
        <f>IF(E$19=1,'Assumptions - Infrastructure'!E412,0)</f>
        <v>5</v>
      </c>
      <c r="F1251" s="33">
        <f>IF(F$19=1,'Assumptions - Infrastructure'!F412,0)</f>
        <v>5</v>
      </c>
      <c r="G1251" s="33">
        <f>IF(G$19=1,'Assumptions - Infrastructure'!G412,0)</f>
        <v>5</v>
      </c>
      <c r="H1251" s="33">
        <f>IF(H$19=1,'Assumptions - Infrastructure'!H412,0)</f>
        <v>5</v>
      </c>
      <c r="I1251" s="33">
        <f>IF(I$19=1,'Assumptions - Infrastructure'!I412,0)</f>
        <v>5</v>
      </c>
      <c r="J1251" s="33">
        <f>IF(J$19=1,'Assumptions - Infrastructure'!J412,0)</f>
        <v>5</v>
      </c>
      <c r="K1251" s="33">
        <f>IF(K$19=1,'Assumptions - Infrastructure'!K412,0)</f>
        <v>5</v>
      </c>
      <c r="L1251" s="33">
        <f>IF(L$19=1,'Assumptions - Infrastructure'!L412,0)</f>
        <v>5</v>
      </c>
      <c r="M1251" s="33">
        <f>IF(M$19=1,'Assumptions - Infrastructure'!M412,0)</f>
        <v>5</v>
      </c>
      <c r="N1251" s="33">
        <f>IF(N$19=1,'Assumptions - Infrastructure'!N412,0)</f>
        <v>5</v>
      </c>
      <c r="O1251" s="33">
        <f>IF(O$19=1,'Assumptions - Infrastructure'!O412,0)</f>
        <v>0</v>
      </c>
      <c r="P1251" s="33">
        <f>IF(P$19=1,'Assumptions - Infrastructure'!P412,0)</f>
        <v>0</v>
      </c>
      <c r="Q1251" s="33">
        <f>IF(Q$19=1,'Assumptions - Infrastructure'!Q412,0)</f>
        <v>0</v>
      </c>
      <c r="R1251" s="33">
        <f>IF(R$19=1,'Assumptions - Infrastructure'!R412,0)</f>
        <v>0</v>
      </c>
      <c r="S1251" s="33">
        <f>IF(S$19=1,'Assumptions - Infrastructure'!S412,0)</f>
        <v>0</v>
      </c>
      <c r="T1251" s="33">
        <f>IF(T$19=1,'Assumptions - Infrastructure'!T412,0)</f>
        <v>0</v>
      </c>
      <c r="U1251" s="33">
        <f>IF(U$19=1,'Assumptions - Infrastructure'!U412,0)</f>
        <v>0</v>
      </c>
      <c r="V1251" s="33">
        <f>IF(V$19=1,'Assumptions - Infrastructure'!V412,0)</f>
        <v>0</v>
      </c>
      <c r="W1251" s="33">
        <f>IF(W$19=1,'Assumptions - Infrastructure'!W412,0)</f>
        <v>0</v>
      </c>
      <c r="X1251" s="33">
        <f>IF(X$19=1,'Assumptions - Infrastructure'!X412,0)</f>
        <v>0</v>
      </c>
      <c r="Y1251" s="33">
        <f>IF(Y$19=1,'Assumptions - Infrastructure'!Y412,0)</f>
        <v>0</v>
      </c>
      <c r="Z1251" s="33">
        <f>IF(Z$19=1,'Assumptions - Infrastructure'!Z412,0)</f>
        <v>0</v>
      </c>
      <c r="AA1251" s="33">
        <f>IF(AA$19=1,'Assumptions - Infrastructure'!AA412,0)</f>
        <v>0</v>
      </c>
      <c r="AB1251" s="33">
        <f>IF(AB$19=1,'Assumptions - Infrastructure'!AB412,0)</f>
        <v>0</v>
      </c>
      <c r="AC1251" s="33">
        <f>IF(AC$19=1,'Assumptions - Infrastructure'!AC412,0)</f>
        <v>0</v>
      </c>
      <c r="AD1251" s="33">
        <f>IF(AD$19=1,'Assumptions - Infrastructure'!AD412,0)</f>
        <v>0</v>
      </c>
      <c r="AE1251" s="33">
        <f>IF(AE$19=1,'Assumptions - Infrastructure'!AE412,0)</f>
        <v>0</v>
      </c>
      <c r="AF1251" s="33">
        <f>IF(AF$19=1,'Assumptions - Infrastructure'!AF412,0)</f>
        <v>0</v>
      </c>
      <c r="AG1251" s="33">
        <f>IF(AG$19=1,'Assumptions - Infrastructure'!AG412,0)</f>
        <v>0</v>
      </c>
      <c r="AH1251" s="33">
        <f>IF(AH$19=1,'Assumptions - Infrastructure'!AH412,0)</f>
        <v>0</v>
      </c>
    </row>
    <row r="1252" spans="1:34" s="20" customFormat="1" ht="14" x14ac:dyDescent="0.2">
      <c r="B1252" s="8" t="s">
        <v>138</v>
      </c>
      <c r="D1252" s="8" t="str">
        <f>D1251</f>
        <v>R$ millions</v>
      </c>
      <c r="E1252" s="33">
        <f>E1250-E1251</f>
        <v>45</v>
      </c>
      <c r="F1252" s="33">
        <f t="shared" ref="F1252:AH1252" si="477">F1250-F1251</f>
        <v>40</v>
      </c>
      <c r="G1252" s="33">
        <f t="shared" si="477"/>
        <v>35</v>
      </c>
      <c r="H1252" s="33">
        <f t="shared" si="477"/>
        <v>30</v>
      </c>
      <c r="I1252" s="33">
        <f t="shared" si="477"/>
        <v>25</v>
      </c>
      <c r="J1252" s="33">
        <f t="shared" si="477"/>
        <v>20</v>
      </c>
      <c r="K1252" s="33">
        <f t="shared" si="477"/>
        <v>15</v>
      </c>
      <c r="L1252" s="33">
        <f t="shared" si="477"/>
        <v>10</v>
      </c>
      <c r="M1252" s="33">
        <f t="shared" si="477"/>
        <v>5</v>
      </c>
      <c r="N1252" s="33">
        <f t="shared" si="477"/>
        <v>0</v>
      </c>
      <c r="O1252" s="33">
        <f t="shared" si="477"/>
        <v>0</v>
      </c>
      <c r="P1252" s="33">
        <f t="shared" si="477"/>
        <v>0</v>
      </c>
      <c r="Q1252" s="33">
        <f t="shared" si="477"/>
        <v>0</v>
      </c>
      <c r="R1252" s="33">
        <f t="shared" si="477"/>
        <v>0</v>
      </c>
      <c r="S1252" s="33">
        <f t="shared" si="477"/>
        <v>0</v>
      </c>
      <c r="T1252" s="33">
        <f t="shared" si="477"/>
        <v>0</v>
      </c>
      <c r="U1252" s="33">
        <f t="shared" si="477"/>
        <v>0</v>
      </c>
      <c r="V1252" s="33">
        <f t="shared" si="477"/>
        <v>0</v>
      </c>
      <c r="W1252" s="33">
        <f t="shared" si="477"/>
        <v>0</v>
      </c>
      <c r="X1252" s="33">
        <f t="shared" si="477"/>
        <v>0</v>
      </c>
      <c r="Y1252" s="33">
        <f t="shared" si="477"/>
        <v>0</v>
      </c>
      <c r="Z1252" s="33">
        <f t="shared" si="477"/>
        <v>0</v>
      </c>
      <c r="AA1252" s="33">
        <f t="shared" si="477"/>
        <v>0</v>
      </c>
      <c r="AB1252" s="33">
        <f t="shared" si="477"/>
        <v>0</v>
      </c>
      <c r="AC1252" s="33">
        <f t="shared" si="477"/>
        <v>0</v>
      </c>
      <c r="AD1252" s="33">
        <f t="shared" si="477"/>
        <v>0</v>
      </c>
      <c r="AE1252" s="33">
        <f t="shared" si="477"/>
        <v>0</v>
      </c>
      <c r="AF1252" s="33">
        <f t="shared" si="477"/>
        <v>0</v>
      </c>
      <c r="AG1252" s="33">
        <f t="shared" si="477"/>
        <v>0</v>
      </c>
      <c r="AH1252" s="33">
        <f t="shared" si="477"/>
        <v>0</v>
      </c>
    </row>
    <row r="1253" spans="1:34" s="20" customFormat="1" ht="14" x14ac:dyDescent="0.2">
      <c r="B1253" s="8" t="s">
        <v>139</v>
      </c>
      <c r="D1253" s="8" t="str">
        <f>D1252</f>
        <v>R$ millions</v>
      </c>
      <c r="E1253" s="470">
        <f>IF(E$19=1,'Assumptions - Infrastructure'!E411,0)</f>
        <v>5</v>
      </c>
      <c r="F1253" s="229">
        <f t="shared" ref="F1253:AH1253" si="478">F1249*((F1250+F1252)/2)</f>
        <v>2.125</v>
      </c>
      <c r="G1253" s="229">
        <f t="shared" si="478"/>
        <v>1.875</v>
      </c>
      <c r="H1253" s="229">
        <f t="shared" si="478"/>
        <v>1.625</v>
      </c>
      <c r="I1253" s="229">
        <f t="shared" si="478"/>
        <v>1.375</v>
      </c>
      <c r="J1253" s="229">
        <f t="shared" si="478"/>
        <v>1.125</v>
      </c>
      <c r="K1253" s="229">
        <f t="shared" si="478"/>
        <v>0.875</v>
      </c>
      <c r="L1253" s="229">
        <f t="shared" si="478"/>
        <v>0.625</v>
      </c>
      <c r="M1253" s="229">
        <f t="shared" si="478"/>
        <v>0.375</v>
      </c>
      <c r="N1253" s="229">
        <f t="shared" si="478"/>
        <v>0.125</v>
      </c>
      <c r="O1253" s="229">
        <f t="shared" si="478"/>
        <v>0</v>
      </c>
      <c r="P1253" s="229">
        <f t="shared" si="478"/>
        <v>0</v>
      </c>
      <c r="Q1253" s="229">
        <f t="shared" si="478"/>
        <v>0</v>
      </c>
      <c r="R1253" s="229">
        <f t="shared" si="478"/>
        <v>0</v>
      </c>
      <c r="S1253" s="229">
        <f t="shared" si="478"/>
        <v>0</v>
      </c>
      <c r="T1253" s="229">
        <f t="shared" si="478"/>
        <v>0</v>
      </c>
      <c r="U1253" s="229">
        <f t="shared" si="478"/>
        <v>0</v>
      </c>
      <c r="V1253" s="229">
        <f t="shared" si="478"/>
        <v>0</v>
      </c>
      <c r="W1253" s="229">
        <f t="shared" si="478"/>
        <v>0</v>
      </c>
      <c r="X1253" s="229">
        <f t="shared" si="478"/>
        <v>0</v>
      </c>
      <c r="Y1253" s="229">
        <f t="shared" si="478"/>
        <v>0</v>
      </c>
      <c r="Z1253" s="229">
        <f t="shared" si="478"/>
        <v>0</v>
      </c>
      <c r="AA1253" s="229">
        <f t="shared" si="478"/>
        <v>0</v>
      </c>
      <c r="AB1253" s="229">
        <f t="shared" si="478"/>
        <v>0</v>
      </c>
      <c r="AC1253" s="229">
        <f t="shared" si="478"/>
        <v>0</v>
      </c>
      <c r="AD1253" s="229">
        <f t="shared" si="478"/>
        <v>0</v>
      </c>
      <c r="AE1253" s="229">
        <f t="shared" si="478"/>
        <v>0</v>
      </c>
      <c r="AF1253" s="229">
        <f t="shared" si="478"/>
        <v>0</v>
      </c>
      <c r="AG1253" s="229">
        <f t="shared" si="478"/>
        <v>0</v>
      </c>
      <c r="AH1253" s="229">
        <f t="shared" si="478"/>
        <v>0</v>
      </c>
    </row>
    <row r="1254" spans="1:34" s="20" customFormat="1" ht="14" x14ac:dyDescent="0.2">
      <c r="B1254" s="8" t="s">
        <v>140</v>
      </c>
      <c r="D1254" s="8" t="str">
        <f>D1253</f>
        <v>R$ millions</v>
      </c>
      <c r="E1254" s="44">
        <f t="shared" ref="E1254:AH1254" si="479">E1253+E1251</f>
        <v>10</v>
      </c>
      <c r="F1254" s="44">
        <f t="shared" si="479"/>
        <v>7.125</v>
      </c>
      <c r="G1254" s="44">
        <f t="shared" si="479"/>
        <v>6.875</v>
      </c>
      <c r="H1254" s="44">
        <f t="shared" si="479"/>
        <v>6.625</v>
      </c>
      <c r="I1254" s="44">
        <f t="shared" si="479"/>
        <v>6.375</v>
      </c>
      <c r="J1254" s="44">
        <f t="shared" si="479"/>
        <v>6.125</v>
      </c>
      <c r="K1254" s="44">
        <f t="shared" si="479"/>
        <v>5.875</v>
      </c>
      <c r="L1254" s="44">
        <f t="shared" si="479"/>
        <v>5.625</v>
      </c>
      <c r="M1254" s="44">
        <f t="shared" si="479"/>
        <v>5.375</v>
      </c>
      <c r="N1254" s="44">
        <f t="shared" si="479"/>
        <v>5.125</v>
      </c>
      <c r="O1254" s="33">
        <f t="shared" si="479"/>
        <v>0</v>
      </c>
      <c r="P1254" s="33">
        <f t="shared" si="479"/>
        <v>0</v>
      </c>
      <c r="Q1254" s="33">
        <f t="shared" si="479"/>
        <v>0</v>
      </c>
      <c r="R1254" s="33">
        <f t="shared" si="479"/>
        <v>0</v>
      </c>
      <c r="S1254" s="33">
        <f t="shared" si="479"/>
        <v>0</v>
      </c>
      <c r="T1254" s="33">
        <f t="shared" si="479"/>
        <v>0</v>
      </c>
      <c r="U1254" s="33">
        <f t="shared" si="479"/>
        <v>0</v>
      </c>
      <c r="V1254" s="33">
        <f t="shared" si="479"/>
        <v>0</v>
      </c>
      <c r="W1254" s="33">
        <f t="shared" si="479"/>
        <v>0</v>
      </c>
      <c r="X1254" s="33">
        <f t="shared" si="479"/>
        <v>0</v>
      </c>
      <c r="Y1254" s="33">
        <f t="shared" si="479"/>
        <v>0</v>
      </c>
      <c r="Z1254" s="33">
        <f t="shared" si="479"/>
        <v>0</v>
      </c>
      <c r="AA1254" s="33">
        <f t="shared" si="479"/>
        <v>0</v>
      </c>
      <c r="AB1254" s="33">
        <f t="shared" si="479"/>
        <v>0</v>
      </c>
      <c r="AC1254" s="33">
        <f t="shared" si="479"/>
        <v>0</v>
      </c>
      <c r="AD1254" s="33">
        <f t="shared" si="479"/>
        <v>0</v>
      </c>
      <c r="AE1254" s="33">
        <f t="shared" si="479"/>
        <v>0</v>
      </c>
      <c r="AF1254" s="33">
        <f t="shared" si="479"/>
        <v>0</v>
      </c>
      <c r="AG1254" s="33">
        <f t="shared" si="479"/>
        <v>0</v>
      </c>
      <c r="AH1254" s="33">
        <f t="shared" si="479"/>
        <v>0</v>
      </c>
    </row>
    <row r="1255" spans="1:34" s="20" customFormat="1" ht="14" x14ac:dyDescent="0.2">
      <c r="B1255" s="16"/>
      <c r="E1255" s="45"/>
      <c r="F1255" s="46"/>
      <c r="G1255" s="46"/>
      <c r="H1255" s="46"/>
      <c r="I1255" s="46"/>
      <c r="J1255" s="46"/>
      <c r="K1255" s="46"/>
      <c r="L1255" s="46"/>
      <c r="M1255" s="46"/>
      <c r="N1255" s="46"/>
    </row>
    <row r="1256" spans="1:34" s="20" customFormat="1" ht="14" x14ac:dyDescent="0.2">
      <c r="B1256" s="19" t="str">
        <f>B1248</f>
        <v>Existing loan from New York bank</v>
      </c>
    </row>
    <row r="1257" spans="1:34" s="20" customFormat="1" ht="14" x14ac:dyDescent="0.2">
      <c r="B1257" s="20" t="s">
        <v>334</v>
      </c>
      <c r="D1257" s="8" t="str">
        <f>IF('Assumptions - Infrastructure'!$E$408=1,"Same as above",IF('Assumptions - Infrastructure'!$E$408=2,"Local currency/"&amp;'Assumptions - General'!$E$39,"Local currency/"&amp;'Assumptions - General'!$E$40))</f>
        <v>Same as above</v>
      </c>
      <c r="E1257" s="124">
        <f>IF('Assumptions - Infrastructure'!$E$408=1,1,IF('Assumptions - Infrastructure'!$E$408=2,'Assumptions - General'!E$41,'Assumptions - General'!E$42))</f>
        <v>1</v>
      </c>
      <c r="F1257" s="124">
        <f>IF('Assumptions - Infrastructure'!$E$408=1,1,IF('Assumptions - Infrastructure'!$E$408=2,'Assumptions - General'!F$41,'Assumptions - General'!F$42))</f>
        <v>1</v>
      </c>
      <c r="G1257" s="124">
        <f>IF('Assumptions - Infrastructure'!$E$408=1,1,IF('Assumptions - Infrastructure'!$E$408=2,'Assumptions - General'!G$41,'Assumptions - General'!G$42))</f>
        <v>1</v>
      </c>
      <c r="H1257" s="124">
        <f>IF('Assumptions - Infrastructure'!$E$408=1,1,IF('Assumptions - Infrastructure'!$E$408=2,'Assumptions - General'!H$41,'Assumptions - General'!H$42))</f>
        <v>1</v>
      </c>
      <c r="I1257" s="124">
        <f>IF('Assumptions - Infrastructure'!$E$408=1,1,IF('Assumptions - Infrastructure'!$E$408=2,'Assumptions - General'!I$41,'Assumptions - General'!I$42))</f>
        <v>1</v>
      </c>
      <c r="J1257" s="124">
        <f>IF('Assumptions - Infrastructure'!$E$408=1,1,IF('Assumptions - Infrastructure'!$E$408=2,'Assumptions - General'!J$41,'Assumptions - General'!J$42))</f>
        <v>1</v>
      </c>
      <c r="K1257" s="124">
        <f>IF('Assumptions - Infrastructure'!$E$408=1,1,IF('Assumptions - Infrastructure'!$E$408=2,'Assumptions - General'!K$41,'Assumptions - General'!K$42))</f>
        <v>1</v>
      </c>
      <c r="L1257" s="124">
        <f>IF('Assumptions - Infrastructure'!$E$408=1,1,IF('Assumptions - Infrastructure'!$E$408=2,'Assumptions - General'!L$41,'Assumptions - General'!L$42))</f>
        <v>1</v>
      </c>
      <c r="M1257" s="124">
        <f>IF('Assumptions - Infrastructure'!$E$408=1,1,IF('Assumptions - Infrastructure'!$E$408=2,'Assumptions - General'!M$41,'Assumptions - General'!M$42))</f>
        <v>1</v>
      </c>
      <c r="N1257" s="124">
        <f>IF('Assumptions - Infrastructure'!$E$408=1,1,IF('Assumptions - Infrastructure'!$E$408=2,'Assumptions - General'!N$41,'Assumptions - General'!N$42))</f>
        <v>1</v>
      </c>
      <c r="O1257" s="124">
        <f>IF('Assumptions - Infrastructure'!$E$408=1,1,IF('Assumptions - Infrastructure'!$E$408=2,'Assumptions - General'!O$41,'Assumptions - General'!O$42))</f>
        <v>1</v>
      </c>
      <c r="P1257" s="124">
        <f>IF('Assumptions - Infrastructure'!$E$408=1,1,IF('Assumptions - Infrastructure'!$E$408=2,'Assumptions - General'!P$41,'Assumptions - General'!P$42))</f>
        <v>1</v>
      </c>
      <c r="Q1257" s="124">
        <f>IF('Assumptions - Infrastructure'!$E$408=1,1,IF('Assumptions - Infrastructure'!$E$408=2,'Assumptions - General'!Q$41,'Assumptions - General'!Q$42))</f>
        <v>1</v>
      </c>
      <c r="R1257" s="124">
        <f>IF('Assumptions - Infrastructure'!$E$408=1,1,IF('Assumptions - Infrastructure'!$E$408=2,'Assumptions - General'!R$41,'Assumptions - General'!R$42))</f>
        <v>1</v>
      </c>
      <c r="S1257" s="124">
        <f>IF('Assumptions - Infrastructure'!$E$408=1,1,IF('Assumptions - Infrastructure'!$E$408=2,'Assumptions - General'!S$41,'Assumptions - General'!S$42))</f>
        <v>1</v>
      </c>
      <c r="T1257" s="124">
        <f>IF('Assumptions - Infrastructure'!$E$408=1,1,IF('Assumptions - Infrastructure'!$E$408=2,'Assumptions - General'!T$41,'Assumptions - General'!T$42))</f>
        <v>1</v>
      </c>
      <c r="U1257" s="124">
        <f>IF('Assumptions - Infrastructure'!$E$408=1,1,IF('Assumptions - Infrastructure'!$E$408=2,'Assumptions - General'!U$41,'Assumptions - General'!U$42))</f>
        <v>1</v>
      </c>
      <c r="V1257" s="124">
        <f>IF('Assumptions - Infrastructure'!$E$408=1,1,IF('Assumptions - Infrastructure'!$E$408=2,'Assumptions - General'!V$41,'Assumptions - General'!V$42))</f>
        <v>1</v>
      </c>
      <c r="W1257" s="124">
        <f>IF('Assumptions - Infrastructure'!$E$408=1,1,IF('Assumptions - Infrastructure'!$E$408=2,'Assumptions - General'!W$41,'Assumptions - General'!W$42))</f>
        <v>1</v>
      </c>
      <c r="X1257" s="124">
        <f>IF('Assumptions - Infrastructure'!$E$408=1,1,IF('Assumptions - Infrastructure'!$E$408=2,'Assumptions - General'!X$41,'Assumptions - General'!X$42))</f>
        <v>1</v>
      </c>
      <c r="Y1257" s="124">
        <f>IF('Assumptions - Infrastructure'!$E$408=1,1,IF('Assumptions - Infrastructure'!$E$408=2,'Assumptions - General'!Y$41,'Assumptions - General'!Y$42))</f>
        <v>1</v>
      </c>
      <c r="Z1257" s="124">
        <f>IF('Assumptions - Infrastructure'!$E$408=1,1,IF('Assumptions - Infrastructure'!$E$408=2,'Assumptions - General'!Z$41,'Assumptions - General'!Z$42))</f>
        <v>1</v>
      </c>
      <c r="AA1257" s="124">
        <f>IF('Assumptions - Infrastructure'!$E$408=1,1,IF('Assumptions - Infrastructure'!$E$408=2,'Assumptions - General'!AA$41,'Assumptions - General'!AA$42))</f>
        <v>1</v>
      </c>
      <c r="AB1257" s="124">
        <f>IF('Assumptions - Infrastructure'!$E$408=1,1,IF('Assumptions - Infrastructure'!$E$408=2,'Assumptions - General'!AB$41,'Assumptions - General'!AB$42))</f>
        <v>1</v>
      </c>
      <c r="AC1257" s="124">
        <f>IF('Assumptions - Infrastructure'!$E$408=1,1,IF('Assumptions - Infrastructure'!$E$408=2,'Assumptions - General'!AC$41,'Assumptions - General'!AC$42))</f>
        <v>1</v>
      </c>
      <c r="AD1257" s="124">
        <f>IF('Assumptions - Infrastructure'!$E$408=1,1,IF('Assumptions - Infrastructure'!$E$408=2,'Assumptions - General'!AD$41,'Assumptions - General'!AD$42))</f>
        <v>1</v>
      </c>
      <c r="AE1257" s="124">
        <f>IF('Assumptions - Infrastructure'!$E$408=1,1,IF('Assumptions - Infrastructure'!$E$408=2,'Assumptions - General'!AE$41,'Assumptions - General'!AE$42))</f>
        <v>1</v>
      </c>
      <c r="AF1257" s="124">
        <f>IF('Assumptions - Infrastructure'!$E$408=1,1,IF('Assumptions - Infrastructure'!$E$408=2,'Assumptions - General'!AF$41,'Assumptions - General'!AF$42))</f>
        <v>1</v>
      </c>
      <c r="AG1257" s="124">
        <f>IF('Assumptions - Infrastructure'!$E$408=1,1,IF('Assumptions - Infrastructure'!$E$408=2,'Assumptions - General'!AG$41,'Assumptions - General'!AG$42))</f>
        <v>1</v>
      </c>
      <c r="AH1257" s="124">
        <f>IF('Assumptions - Infrastructure'!$E$408=1,1,IF('Assumptions - Infrastructure'!$E$408=2,'Assumptions - General'!AH$41,'Assumptions - General'!AH$42))</f>
        <v>1</v>
      </c>
    </row>
    <row r="1258" spans="1:34" s="20" customFormat="1" ht="14" x14ac:dyDescent="0.2">
      <c r="B1258" s="8" t="s">
        <v>136</v>
      </c>
      <c r="D1258" s="8" t="str">
        <f>'Assumptions - General'!$E$27 &amp;" millions"</f>
        <v>R$ millions</v>
      </c>
      <c r="E1258" s="229">
        <f>E$1257*E1250</f>
        <v>50</v>
      </c>
      <c r="F1258" s="229">
        <f>F$1257*F1250</f>
        <v>45</v>
      </c>
      <c r="G1258" s="229">
        <f>G$1257*G1250</f>
        <v>40</v>
      </c>
      <c r="H1258" s="229">
        <f>H$1257*H1250</f>
        <v>35</v>
      </c>
      <c r="I1258" s="229">
        <f>I$1257*I1250</f>
        <v>30</v>
      </c>
      <c r="J1258" s="229">
        <f t="shared" ref="J1258:AH1258" si="480">J$1257*J1250</f>
        <v>25</v>
      </c>
      <c r="K1258" s="229">
        <f t="shared" si="480"/>
        <v>20</v>
      </c>
      <c r="L1258" s="229">
        <f t="shared" si="480"/>
        <v>15</v>
      </c>
      <c r="M1258" s="229">
        <f t="shared" si="480"/>
        <v>10</v>
      </c>
      <c r="N1258" s="229">
        <f t="shared" si="480"/>
        <v>5</v>
      </c>
      <c r="O1258" s="229">
        <f t="shared" si="480"/>
        <v>0</v>
      </c>
      <c r="P1258" s="229">
        <f t="shared" si="480"/>
        <v>0</v>
      </c>
      <c r="Q1258" s="229">
        <f t="shared" si="480"/>
        <v>0</v>
      </c>
      <c r="R1258" s="229">
        <f t="shared" si="480"/>
        <v>0</v>
      </c>
      <c r="S1258" s="229">
        <f t="shared" si="480"/>
        <v>0</v>
      </c>
      <c r="T1258" s="229">
        <f t="shared" si="480"/>
        <v>0</v>
      </c>
      <c r="U1258" s="229">
        <f t="shared" si="480"/>
        <v>0</v>
      </c>
      <c r="V1258" s="229">
        <f t="shared" si="480"/>
        <v>0</v>
      </c>
      <c r="W1258" s="229">
        <f t="shared" si="480"/>
        <v>0</v>
      </c>
      <c r="X1258" s="229">
        <f t="shared" si="480"/>
        <v>0</v>
      </c>
      <c r="Y1258" s="229">
        <f t="shared" si="480"/>
        <v>0</v>
      </c>
      <c r="Z1258" s="229">
        <f t="shared" si="480"/>
        <v>0</v>
      </c>
      <c r="AA1258" s="229">
        <f t="shared" si="480"/>
        <v>0</v>
      </c>
      <c r="AB1258" s="229">
        <f t="shared" si="480"/>
        <v>0</v>
      </c>
      <c r="AC1258" s="229">
        <f t="shared" si="480"/>
        <v>0</v>
      </c>
      <c r="AD1258" s="229">
        <f t="shared" si="480"/>
        <v>0</v>
      </c>
      <c r="AE1258" s="229">
        <f t="shared" si="480"/>
        <v>0</v>
      </c>
      <c r="AF1258" s="229">
        <f t="shared" si="480"/>
        <v>0</v>
      </c>
      <c r="AG1258" s="229">
        <f t="shared" si="480"/>
        <v>0</v>
      </c>
      <c r="AH1258" s="229">
        <f t="shared" si="480"/>
        <v>0</v>
      </c>
    </row>
    <row r="1259" spans="1:34" s="20" customFormat="1" ht="14" x14ac:dyDescent="0.2">
      <c r="B1259" s="8" t="s">
        <v>410</v>
      </c>
      <c r="D1259" s="8" t="str">
        <f>'Assumptions - General'!$E$27 &amp;" millions"</f>
        <v>R$ millions</v>
      </c>
      <c r="E1259" s="229">
        <f t="shared" ref="E1259:H1262" si="481">E$1257*E1251</f>
        <v>5</v>
      </c>
      <c r="F1259" s="229">
        <f t="shared" si="481"/>
        <v>5</v>
      </c>
      <c r="G1259" s="229">
        <f t="shared" si="481"/>
        <v>5</v>
      </c>
      <c r="H1259" s="229">
        <f t="shared" si="481"/>
        <v>5</v>
      </c>
      <c r="I1259" s="229">
        <f t="shared" ref="I1259:AH1259" si="482">I$1257*I1251</f>
        <v>5</v>
      </c>
      <c r="J1259" s="229">
        <f t="shared" si="482"/>
        <v>5</v>
      </c>
      <c r="K1259" s="229">
        <f t="shared" si="482"/>
        <v>5</v>
      </c>
      <c r="L1259" s="229">
        <f t="shared" si="482"/>
        <v>5</v>
      </c>
      <c r="M1259" s="229">
        <f t="shared" si="482"/>
        <v>5</v>
      </c>
      <c r="N1259" s="229">
        <f t="shared" si="482"/>
        <v>5</v>
      </c>
      <c r="O1259" s="229">
        <f t="shared" si="482"/>
        <v>0</v>
      </c>
      <c r="P1259" s="229">
        <f t="shared" si="482"/>
        <v>0</v>
      </c>
      <c r="Q1259" s="229">
        <f t="shared" si="482"/>
        <v>0</v>
      </c>
      <c r="R1259" s="229">
        <f t="shared" si="482"/>
        <v>0</v>
      </c>
      <c r="S1259" s="229">
        <f t="shared" si="482"/>
        <v>0</v>
      </c>
      <c r="T1259" s="229">
        <f t="shared" si="482"/>
        <v>0</v>
      </c>
      <c r="U1259" s="229">
        <f t="shared" si="482"/>
        <v>0</v>
      </c>
      <c r="V1259" s="229">
        <f t="shared" si="482"/>
        <v>0</v>
      </c>
      <c r="W1259" s="229">
        <f t="shared" si="482"/>
        <v>0</v>
      </c>
      <c r="X1259" s="229">
        <f t="shared" si="482"/>
        <v>0</v>
      </c>
      <c r="Y1259" s="229">
        <f t="shared" si="482"/>
        <v>0</v>
      </c>
      <c r="Z1259" s="229">
        <f t="shared" si="482"/>
        <v>0</v>
      </c>
      <c r="AA1259" s="229">
        <f t="shared" si="482"/>
        <v>0</v>
      </c>
      <c r="AB1259" s="229">
        <f t="shared" si="482"/>
        <v>0</v>
      </c>
      <c r="AC1259" s="229">
        <f t="shared" si="482"/>
        <v>0</v>
      </c>
      <c r="AD1259" s="229">
        <f t="shared" si="482"/>
        <v>0</v>
      </c>
      <c r="AE1259" s="229">
        <f t="shared" si="482"/>
        <v>0</v>
      </c>
      <c r="AF1259" s="229">
        <f t="shared" si="482"/>
        <v>0</v>
      </c>
      <c r="AG1259" s="229">
        <f t="shared" si="482"/>
        <v>0</v>
      </c>
      <c r="AH1259" s="229">
        <f t="shared" si="482"/>
        <v>0</v>
      </c>
    </row>
    <row r="1260" spans="1:34" s="20" customFormat="1" ht="14" x14ac:dyDescent="0.2">
      <c r="B1260" s="8" t="s">
        <v>138</v>
      </c>
      <c r="D1260" s="8" t="str">
        <f>'Assumptions - General'!$E$27 &amp;" millions"</f>
        <v>R$ millions</v>
      </c>
      <c r="E1260" s="229">
        <f t="shared" si="481"/>
        <v>45</v>
      </c>
      <c r="F1260" s="229">
        <f t="shared" si="481"/>
        <v>40</v>
      </c>
      <c r="G1260" s="229">
        <f t="shared" si="481"/>
        <v>35</v>
      </c>
      <c r="H1260" s="229">
        <f t="shared" si="481"/>
        <v>30</v>
      </c>
      <c r="I1260" s="229">
        <f t="shared" ref="I1260:AH1260" si="483">I$1257*I1252</f>
        <v>25</v>
      </c>
      <c r="J1260" s="229">
        <f t="shared" si="483"/>
        <v>20</v>
      </c>
      <c r="K1260" s="229">
        <f t="shared" si="483"/>
        <v>15</v>
      </c>
      <c r="L1260" s="229">
        <f t="shared" si="483"/>
        <v>10</v>
      </c>
      <c r="M1260" s="229">
        <f t="shared" si="483"/>
        <v>5</v>
      </c>
      <c r="N1260" s="229">
        <f t="shared" si="483"/>
        <v>0</v>
      </c>
      <c r="O1260" s="229">
        <f t="shared" si="483"/>
        <v>0</v>
      </c>
      <c r="P1260" s="229">
        <f t="shared" si="483"/>
        <v>0</v>
      </c>
      <c r="Q1260" s="229">
        <f t="shared" si="483"/>
        <v>0</v>
      </c>
      <c r="R1260" s="229">
        <f t="shared" si="483"/>
        <v>0</v>
      </c>
      <c r="S1260" s="229">
        <f t="shared" si="483"/>
        <v>0</v>
      </c>
      <c r="T1260" s="229">
        <f t="shared" si="483"/>
        <v>0</v>
      </c>
      <c r="U1260" s="229">
        <f t="shared" si="483"/>
        <v>0</v>
      </c>
      <c r="V1260" s="229">
        <f t="shared" si="483"/>
        <v>0</v>
      </c>
      <c r="W1260" s="229">
        <f t="shared" si="483"/>
        <v>0</v>
      </c>
      <c r="X1260" s="229">
        <f t="shared" si="483"/>
        <v>0</v>
      </c>
      <c r="Y1260" s="229">
        <f t="shared" si="483"/>
        <v>0</v>
      </c>
      <c r="Z1260" s="229">
        <f t="shared" si="483"/>
        <v>0</v>
      </c>
      <c r="AA1260" s="229">
        <f t="shared" si="483"/>
        <v>0</v>
      </c>
      <c r="AB1260" s="229">
        <f t="shared" si="483"/>
        <v>0</v>
      </c>
      <c r="AC1260" s="229">
        <f t="shared" si="483"/>
        <v>0</v>
      </c>
      <c r="AD1260" s="229">
        <f t="shared" si="483"/>
        <v>0</v>
      </c>
      <c r="AE1260" s="229">
        <f t="shared" si="483"/>
        <v>0</v>
      </c>
      <c r="AF1260" s="229">
        <f t="shared" si="483"/>
        <v>0</v>
      </c>
      <c r="AG1260" s="229">
        <f t="shared" si="483"/>
        <v>0</v>
      </c>
      <c r="AH1260" s="229">
        <f t="shared" si="483"/>
        <v>0</v>
      </c>
    </row>
    <row r="1261" spans="1:34" s="20" customFormat="1" ht="14" x14ac:dyDescent="0.2">
      <c r="B1261" s="8" t="s">
        <v>139</v>
      </c>
      <c r="D1261" s="8" t="str">
        <f>'Assumptions - General'!$E$27 &amp;" millions"</f>
        <v>R$ millions</v>
      </c>
      <c r="E1261" s="229">
        <f t="shared" si="481"/>
        <v>5</v>
      </c>
      <c r="F1261" s="229">
        <f t="shared" si="481"/>
        <v>2.125</v>
      </c>
      <c r="G1261" s="229">
        <f t="shared" si="481"/>
        <v>1.875</v>
      </c>
      <c r="H1261" s="229">
        <f t="shared" si="481"/>
        <v>1.625</v>
      </c>
      <c r="I1261" s="229">
        <f t="shared" ref="I1261:AH1261" si="484">I$1257*I1253</f>
        <v>1.375</v>
      </c>
      <c r="J1261" s="229">
        <f t="shared" si="484"/>
        <v>1.125</v>
      </c>
      <c r="K1261" s="229">
        <f t="shared" si="484"/>
        <v>0.875</v>
      </c>
      <c r="L1261" s="229">
        <f t="shared" si="484"/>
        <v>0.625</v>
      </c>
      <c r="M1261" s="229">
        <f t="shared" si="484"/>
        <v>0.375</v>
      </c>
      <c r="N1261" s="229">
        <f t="shared" si="484"/>
        <v>0.125</v>
      </c>
      <c r="O1261" s="229">
        <f t="shared" si="484"/>
        <v>0</v>
      </c>
      <c r="P1261" s="229">
        <f t="shared" si="484"/>
        <v>0</v>
      </c>
      <c r="Q1261" s="229">
        <f t="shared" si="484"/>
        <v>0</v>
      </c>
      <c r="R1261" s="229">
        <f t="shared" si="484"/>
        <v>0</v>
      </c>
      <c r="S1261" s="229">
        <f t="shared" si="484"/>
        <v>0</v>
      </c>
      <c r="T1261" s="229">
        <f t="shared" si="484"/>
        <v>0</v>
      </c>
      <c r="U1261" s="229">
        <f t="shared" si="484"/>
        <v>0</v>
      </c>
      <c r="V1261" s="229">
        <f t="shared" si="484"/>
        <v>0</v>
      </c>
      <c r="W1261" s="229">
        <f t="shared" si="484"/>
        <v>0</v>
      </c>
      <c r="X1261" s="229">
        <f t="shared" si="484"/>
        <v>0</v>
      </c>
      <c r="Y1261" s="229">
        <f t="shared" si="484"/>
        <v>0</v>
      </c>
      <c r="Z1261" s="229">
        <f t="shared" si="484"/>
        <v>0</v>
      </c>
      <c r="AA1261" s="229">
        <f t="shared" si="484"/>
        <v>0</v>
      </c>
      <c r="AB1261" s="229">
        <f t="shared" si="484"/>
        <v>0</v>
      </c>
      <c r="AC1261" s="229">
        <f t="shared" si="484"/>
        <v>0</v>
      </c>
      <c r="AD1261" s="229">
        <f t="shared" si="484"/>
        <v>0</v>
      </c>
      <c r="AE1261" s="229">
        <f t="shared" si="484"/>
        <v>0</v>
      </c>
      <c r="AF1261" s="229">
        <f t="shared" si="484"/>
        <v>0</v>
      </c>
      <c r="AG1261" s="229">
        <f t="shared" si="484"/>
        <v>0</v>
      </c>
      <c r="AH1261" s="229">
        <f t="shared" si="484"/>
        <v>0</v>
      </c>
    </row>
    <row r="1262" spans="1:34" s="20" customFormat="1" ht="14" x14ac:dyDescent="0.2">
      <c r="B1262" s="8" t="s">
        <v>140</v>
      </c>
      <c r="D1262" s="8" t="str">
        <f>'Assumptions - General'!$E$27 &amp;" millions"</f>
        <v>R$ millions</v>
      </c>
      <c r="E1262" s="229">
        <f t="shared" si="481"/>
        <v>10</v>
      </c>
      <c r="F1262" s="229">
        <f t="shared" si="481"/>
        <v>7.125</v>
      </c>
      <c r="G1262" s="229">
        <f t="shared" si="481"/>
        <v>6.875</v>
      </c>
      <c r="H1262" s="229">
        <f t="shared" si="481"/>
        <v>6.625</v>
      </c>
      <c r="I1262" s="229">
        <f t="shared" ref="I1262:AH1262" si="485">I$1257*I1254</f>
        <v>6.375</v>
      </c>
      <c r="J1262" s="229">
        <f t="shared" si="485"/>
        <v>6.125</v>
      </c>
      <c r="K1262" s="229">
        <f t="shared" si="485"/>
        <v>5.875</v>
      </c>
      <c r="L1262" s="229">
        <f t="shared" si="485"/>
        <v>5.625</v>
      </c>
      <c r="M1262" s="229">
        <f t="shared" si="485"/>
        <v>5.375</v>
      </c>
      <c r="N1262" s="229">
        <f t="shared" si="485"/>
        <v>5.125</v>
      </c>
      <c r="O1262" s="229">
        <f t="shared" si="485"/>
        <v>0</v>
      </c>
      <c r="P1262" s="229">
        <f t="shared" si="485"/>
        <v>0</v>
      </c>
      <c r="Q1262" s="229">
        <f t="shared" si="485"/>
        <v>0</v>
      </c>
      <c r="R1262" s="229">
        <f t="shared" si="485"/>
        <v>0</v>
      </c>
      <c r="S1262" s="229">
        <f t="shared" si="485"/>
        <v>0</v>
      </c>
      <c r="T1262" s="229">
        <f t="shared" si="485"/>
        <v>0</v>
      </c>
      <c r="U1262" s="229">
        <f t="shared" si="485"/>
        <v>0</v>
      </c>
      <c r="V1262" s="229">
        <f t="shared" si="485"/>
        <v>0</v>
      </c>
      <c r="W1262" s="229">
        <f t="shared" si="485"/>
        <v>0</v>
      </c>
      <c r="X1262" s="229">
        <f t="shared" si="485"/>
        <v>0</v>
      </c>
      <c r="Y1262" s="229">
        <f t="shared" si="485"/>
        <v>0</v>
      </c>
      <c r="Z1262" s="229">
        <f t="shared" si="485"/>
        <v>0</v>
      </c>
      <c r="AA1262" s="229">
        <f t="shared" si="485"/>
        <v>0</v>
      </c>
      <c r="AB1262" s="229">
        <f t="shared" si="485"/>
        <v>0</v>
      </c>
      <c r="AC1262" s="229">
        <f t="shared" si="485"/>
        <v>0</v>
      </c>
      <c r="AD1262" s="229">
        <f t="shared" si="485"/>
        <v>0</v>
      </c>
      <c r="AE1262" s="229">
        <f t="shared" si="485"/>
        <v>0</v>
      </c>
      <c r="AF1262" s="229">
        <f t="shared" si="485"/>
        <v>0</v>
      </c>
      <c r="AG1262" s="229">
        <f t="shared" si="485"/>
        <v>0</v>
      </c>
      <c r="AH1262" s="229">
        <f t="shared" si="485"/>
        <v>0</v>
      </c>
    </row>
    <row r="1263" spans="1:34" s="20" customFormat="1" ht="14" x14ac:dyDescent="0.2">
      <c r="B1263" s="16"/>
      <c r="E1263" s="45"/>
      <c r="F1263" s="46"/>
      <c r="G1263" s="46"/>
      <c r="H1263" s="46"/>
      <c r="I1263" s="46"/>
      <c r="J1263" s="46"/>
      <c r="K1263" s="46"/>
      <c r="L1263" s="46"/>
      <c r="M1263" s="46"/>
      <c r="N1263" s="46"/>
    </row>
    <row r="1264" spans="1:34" s="20" customFormat="1" ht="14" x14ac:dyDescent="0.2">
      <c r="A1264" s="8"/>
      <c r="B1264" s="21" t="str">
        <f>"New loan from " &amp; 'Assumptions - Infrastructure'!E419</f>
        <v>New loan from Local bank</v>
      </c>
      <c r="C1264" s="8"/>
      <c r="D1264" s="8"/>
      <c r="E1264" s="8"/>
      <c r="F1264" s="8"/>
      <c r="G1264" s="8"/>
      <c r="H1264" s="8"/>
      <c r="I1264" s="8"/>
      <c r="J1264" s="8"/>
      <c r="K1264" s="8"/>
      <c r="L1264" s="8"/>
      <c r="M1264" s="8"/>
      <c r="N1264" s="8"/>
      <c r="O1264" s="8"/>
      <c r="P1264" s="8"/>
      <c r="Q1264" s="8"/>
      <c r="R1264" s="8"/>
      <c r="S1264" s="8"/>
      <c r="T1264" s="8"/>
      <c r="U1264" s="8"/>
      <c r="V1264" s="8"/>
      <c r="W1264" s="8"/>
      <c r="X1264" s="8"/>
      <c r="Y1264" s="8"/>
      <c r="Z1264" s="8"/>
      <c r="AA1264" s="8"/>
      <c r="AB1264" s="8"/>
      <c r="AC1264" s="8"/>
      <c r="AD1264" s="8"/>
      <c r="AE1264" s="8"/>
      <c r="AF1264" s="8"/>
      <c r="AG1264" s="8"/>
      <c r="AH1264" s="8"/>
    </row>
    <row r="1265" spans="1:34" s="20" customFormat="1" ht="14" x14ac:dyDescent="0.2">
      <c r="A1265" s="8"/>
      <c r="B1265" s="8" t="s">
        <v>293</v>
      </c>
      <c r="C1265" s="8"/>
      <c r="D1265" s="8" t="s">
        <v>99</v>
      </c>
      <c r="E1265" s="8"/>
      <c r="F1265" s="8">
        <f>IF('Assumptions - Infrastructure'!$E$423&lt;&gt;0,IF(F$4&lt;'Assumptions - Infrastructure'!$E$420+'Assumptions - Infrastructure'!$E$430,0,E1265+1),0)</f>
        <v>0</v>
      </c>
      <c r="G1265" s="8">
        <f>IF('Assumptions - Infrastructure'!$E$423&lt;&gt;0,IF(G$4&lt;'Assumptions - Infrastructure'!$E$420+'Assumptions - Infrastructure'!$E$430,0,F1265+1),0)</f>
        <v>0</v>
      </c>
      <c r="H1265" s="8">
        <f>IF('Assumptions - Infrastructure'!$E$423&lt;&gt;0,IF(H$4&lt;'Assumptions - Infrastructure'!$E$420+'Assumptions - Infrastructure'!$E$430,0,G1265+1),0)</f>
        <v>0</v>
      </c>
      <c r="I1265" s="8">
        <f>IF('Assumptions - Infrastructure'!$E$423&lt;&gt;0,IF(I$4&lt;'Assumptions - Infrastructure'!$E$420+'Assumptions - Infrastructure'!$E$430,0,H1265+1),0)</f>
        <v>0</v>
      </c>
      <c r="J1265" s="8">
        <f>IF('Assumptions - Infrastructure'!$E$423&lt;&gt;0,IF(J$4&lt;'Assumptions - Infrastructure'!$E$420+'Assumptions - Infrastructure'!$E$430,0,I1265+1),0)</f>
        <v>0</v>
      </c>
      <c r="K1265" s="8">
        <f>IF('Assumptions - Infrastructure'!$E$423&lt;&gt;0,IF(K$4&lt;'Assumptions - Infrastructure'!$E$420+'Assumptions - Infrastructure'!$E$430,0,J1265+1),0)</f>
        <v>0</v>
      </c>
      <c r="L1265" s="8">
        <f>IF('Assumptions - Infrastructure'!$E$423&lt;&gt;0,IF(L$4&lt;'Assumptions - Infrastructure'!$E$420+'Assumptions - Infrastructure'!$E$430,0,K1265+1),0)</f>
        <v>1</v>
      </c>
      <c r="M1265" s="8">
        <f>IF('Assumptions - Infrastructure'!$E$423&lt;&gt;0,IF(M$4&lt;'Assumptions - Infrastructure'!$E$420+'Assumptions - Infrastructure'!$E$430,0,L1265+1),0)</f>
        <v>2</v>
      </c>
      <c r="N1265" s="8">
        <f>IF('Assumptions - Infrastructure'!$E$423&lt;&gt;0,IF(N$4&lt;'Assumptions - Infrastructure'!$E$420+'Assumptions - Infrastructure'!$E$430,0,M1265+1),0)</f>
        <v>3</v>
      </c>
      <c r="O1265" s="8">
        <f>IF('Assumptions - Infrastructure'!$E$423&lt;&gt;0,IF(O$4&lt;'Assumptions - Infrastructure'!$E$420+'Assumptions - Infrastructure'!$E$430,0,N1265+1),0)</f>
        <v>4</v>
      </c>
      <c r="P1265" s="8">
        <f>IF('Assumptions - Infrastructure'!$E$423&lt;&gt;0,IF(P$4&lt;'Assumptions - Infrastructure'!$E$420+'Assumptions - Infrastructure'!$E$430,0,O1265+1),0)</f>
        <v>5</v>
      </c>
      <c r="Q1265" s="8">
        <f>IF('Assumptions - Infrastructure'!$E$423&lt;&gt;0,IF(Q$4&lt;'Assumptions - Infrastructure'!$E$420+'Assumptions - Infrastructure'!$E$430,0,P1265+1),0)</f>
        <v>6</v>
      </c>
      <c r="R1265" s="8">
        <f>IF('Assumptions - Infrastructure'!$E$423&lt;&gt;0,IF(R$4&lt;'Assumptions - Infrastructure'!$E$420+'Assumptions - Infrastructure'!$E$430,0,Q1265+1),0)</f>
        <v>7</v>
      </c>
      <c r="S1265" s="8">
        <f>IF('Assumptions - Infrastructure'!$E$423&lt;&gt;0,IF(S$4&lt;'Assumptions - Infrastructure'!$E$420+'Assumptions - Infrastructure'!$E$430,0,R1265+1),0)</f>
        <v>8</v>
      </c>
      <c r="T1265" s="8">
        <f>IF('Assumptions - Infrastructure'!$E$423&lt;&gt;0,IF(T$4&lt;'Assumptions - Infrastructure'!$E$420+'Assumptions - Infrastructure'!$E$430,0,S1265+1),0)</f>
        <v>9</v>
      </c>
      <c r="U1265" s="8">
        <f>IF('Assumptions - Infrastructure'!$E$423&lt;&gt;0,IF(U$4&lt;'Assumptions - Infrastructure'!$E$420+'Assumptions - Infrastructure'!$E$430,0,T1265+1),0)</f>
        <v>10</v>
      </c>
      <c r="V1265" s="8">
        <f>IF('Assumptions - Infrastructure'!$E$423&lt;&gt;0,IF(V$4&lt;'Assumptions - Infrastructure'!$E$420+'Assumptions - Infrastructure'!$E$430,0,U1265+1),0)</f>
        <v>11</v>
      </c>
      <c r="W1265" s="8">
        <f>IF('Assumptions - Infrastructure'!$E$423&lt;&gt;0,IF(W$4&lt;'Assumptions - Infrastructure'!$E$420+'Assumptions - Infrastructure'!$E$430,0,V1265+1),0)</f>
        <v>12</v>
      </c>
      <c r="X1265" s="8">
        <f>IF('Assumptions - Infrastructure'!$E$423&lt;&gt;0,IF(X$4&lt;'Assumptions - Infrastructure'!$E$420+'Assumptions - Infrastructure'!$E$430,0,W1265+1),0)</f>
        <v>13</v>
      </c>
      <c r="Y1265" s="8">
        <f>IF('Assumptions - Infrastructure'!$E$423&lt;&gt;0,IF(Y$4&lt;'Assumptions - Infrastructure'!$E$420+'Assumptions - Infrastructure'!$E$430,0,X1265+1),0)</f>
        <v>14</v>
      </c>
      <c r="Z1265" s="8">
        <f>IF('Assumptions - Infrastructure'!$E$423&lt;&gt;0,IF(Z$4&lt;'Assumptions - Infrastructure'!$E$420+'Assumptions - Infrastructure'!$E$430,0,Y1265+1),0)</f>
        <v>15</v>
      </c>
      <c r="AA1265" s="8">
        <f>IF('Assumptions - Infrastructure'!$E$423&lt;&gt;0,IF(AA$4&lt;'Assumptions - Infrastructure'!$E$420+'Assumptions - Infrastructure'!$E$430,0,Z1265+1),0)</f>
        <v>16</v>
      </c>
      <c r="AB1265" s="8">
        <f>IF('Assumptions - Infrastructure'!$E$423&lt;&gt;0,IF(AB$4&lt;'Assumptions - Infrastructure'!$E$420+'Assumptions - Infrastructure'!$E$430,0,AA1265+1),0)</f>
        <v>17</v>
      </c>
      <c r="AC1265" s="8">
        <f>IF('Assumptions - Infrastructure'!$E$423&lt;&gt;0,IF(AC$4&lt;'Assumptions - Infrastructure'!$E$420+'Assumptions - Infrastructure'!$E$430,0,AB1265+1),0)</f>
        <v>18</v>
      </c>
      <c r="AD1265" s="8">
        <f>IF('Assumptions - Infrastructure'!$E$423&lt;&gt;0,IF(AD$4&lt;'Assumptions - Infrastructure'!$E$420+'Assumptions - Infrastructure'!$E$430,0,AC1265+1),0)</f>
        <v>19</v>
      </c>
      <c r="AE1265" s="8">
        <f>IF('Assumptions - Infrastructure'!$E$423&lt;&gt;0,IF(AE$4&lt;'Assumptions - Infrastructure'!$E$420+'Assumptions - Infrastructure'!$E$430,0,AD1265+1),0)</f>
        <v>20</v>
      </c>
      <c r="AF1265" s="8">
        <f>IF('Assumptions - Infrastructure'!$E$423&lt;&gt;0,IF(AF$4&lt;'Assumptions - Infrastructure'!$E$420+'Assumptions - Infrastructure'!$E$430,0,AE1265+1),0)</f>
        <v>21</v>
      </c>
      <c r="AG1265" s="8">
        <f>IF('Assumptions - Infrastructure'!$E$423&lt;&gt;0,IF(AG$4&lt;'Assumptions - Infrastructure'!$E$420+'Assumptions - Infrastructure'!$E$430,0,AF1265+1),0)</f>
        <v>22</v>
      </c>
      <c r="AH1265" s="8">
        <f>IF('Assumptions - Infrastructure'!$E$423&lt;&gt;0,IF(AH$4&lt;'Assumptions - Infrastructure'!$E$420+'Assumptions - Infrastructure'!$E$430,0,AG1265+1),0)</f>
        <v>23</v>
      </c>
    </row>
    <row r="1266" spans="1:34" s="20" customFormat="1" ht="14" x14ac:dyDescent="0.2">
      <c r="A1266" s="8"/>
      <c r="B1266" s="8" t="s">
        <v>135</v>
      </c>
      <c r="C1266" s="8"/>
      <c r="D1266" s="8" t="s">
        <v>15</v>
      </c>
      <c r="E1266" s="47">
        <f>IF(E$19=1,IF('Assumptions - Infrastructure'!$E425=1,'Assumptions - Infrastructure'!$E427,'Assumptions - General'!E$38+'Assumptions - Infrastructure'!$E428),0)</f>
        <v>0.05</v>
      </c>
      <c r="F1266" s="47">
        <f>IF(F$19=1,IF('Assumptions - Infrastructure'!$E425=1,'Assumptions - Infrastructure'!$E427,'Assumptions - General'!F$38+'Assumptions - Infrastructure'!$E428),0)</f>
        <v>0.05</v>
      </c>
      <c r="G1266" s="47">
        <f>IF(G$19=1,IF('Assumptions - Infrastructure'!$E425=1,'Assumptions - Infrastructure'!$E427,'Assumptions - General'!G$38+'Assumptions - Infrastructure'!$E428),0)</f>
        <v>0.05</v>
      </c>
      <c r="H1266" s="47">
        <f>IF(H$19=1,IF('Assumptions - Infrastructure'!$E425=1,'Assumptions - Infrastructure'!$E427,'Assumptions - General'!H$38+'Assumptions - Infrastructure'!$E428),0)</f>
        <v>0.05</v>
      </c>
      <c r="I1266" s="47">
        <f>IF(I$19=1,IF('Assumptions - Infrastructure'!$E425=1,'Assumptions - Infrastructure'!$E427,'Assumptions - General'!I$38+'Assumptions - Infrastructure'!$E428),0)</f>
        <v>0.05</v>
      </c>
      <c r="J1266" s="47">
        <f>IF(J$19=1,IF('Assumptions - Infrastructure'!$E425=1,'Assumptions - Infrastructure'!$E427,'Assumptions - General'!J$38+'Assumptions - Infrastructure'!$E428),0)</f>
        <v>0.05</v>
      </c>
      <c r="K1266" s="47">
        <f>IF(K$19=1,IF('Assumptions - Infrastructure'!$E425=1,'Assumptions - Infrastructure'!$E427,'Assumptions - General'!K$38+'Assumptions - Infrastructure'!$E428),0)</f>
        <v>0.05</v>
      </c>
      <c r="L1266" s="47">
        <f>IF(L$19=1,IF('Assumptions - Infrastructure'!$E425=1,'Assumptions - Infrastructure'!$E427,'Assumptions - General'!L$38+'Assumptions - Infrastructure'!$E428),0)</f>
        <v>0.05</v>
      </c>
      <c r="M1266" s="47">
        <f>IF(M$19=1,IF('Assumptions - Infrastructure'!$E425=1,'Assumptions - Infrastructure'!$E427,'Assumptions - General'!M$38+'Assumptions - Infrastructure'!$E428),0)</f>
        <v>0.05</v>
      </c>
      <c r="N1266" s="47">
        <f>IF(N$19=1,IF('Assumptions - Infrastructure'!$E425=1,'Assumptions - Infrastructure'!$E427,'Assumptions - General'!N$38+'Assumptions - Infrastructure'!$E428),0)</f>
        <v>0.05</v>
      </c>
      <c r="O1266" s="47">
        <f>IF(O$19=1,IF('Assumptions - Infrastructure'!$E425=1,'Assumptions - Infrastructure'!$E427,'Assumptions - General'!O$38+'Assumptions - Infrastructure'!$E428),0)</f>
        <v>0.05</v>
      </c>
      <c r="P1266" s="47">
        <f>IF(P$19=1,IF('Assumptions - Infrastructure'!$E425=1,'Assumptions - Infrastructure'!$E427,'Assumptions - General'!P$38+'Assumptions - Infrastructure'!$E428),0)</f>
        <v>0.05</v>
      </c>
      <c r="Q1266" s="47">
        <f>IF(Q$19=1,IF('Assumptions - Infrastructure'!$E425=1,'Assumptions - Infrastructure'!$E427,'Assumptions - General'!Q$38+'Assumptions - Infrastructure'!$E428),0)</f>
        <v>0.05</v>
      </c>
      <c r="R1266" s="47">
        <f>IF(R$19=1,IF('Assumptions - Infrastructure'!$E425=1,'Assumptions - Infrastructure'!$E427,'Assumptions - General'!R$38+'Assumptions - Infrastructure'!$E428),0)</f>
        <v>0.05</v>
      </c>
      <c r="S1266" s="47">
        <f>IF(S$19=1,IF('Assumptions - Infrastructure'!$E425=1,'Assumptions - Infrastructure'!$E427,'Assumptions - General'!S$38+'Assumptions - Infrastructure'!$E428),0)</f>
        <v>0.05</v>
      </c>
      <c r="T1266" s="47">
        <f>IF(T$19=1,IF('Assumptions - Infrastructure'!$E425=1,'Assumptions - Infrastructure'!$E427,'Assumptions - General'!T$38+'Assumptions - Infrastructure'!$E428),0)</f>
        <v>0.05</v>
      </c>
      <c r="U1266" s="47">
        <f>IF(U$19=1,IF('Assumptions - Infrastructure'!$E425=1,'Assumptions - Infrastructure'!$E427,'Assumptions - General'!U$38+'Assumptions - Infrastructure'!$E428),0)</f>
        <v>0.05</v>
      </c>
      <c r="V1266" s="47">
        <f>IF(V$19=1,IF('Assumptions - Infrastructure'!$E425=1,'Assumptions - Infrastructure'!$E427,'Assumptions - General'!V$38+'Assumptions - Infrastructure'!$E428),0)</f>
        <v>0.05</v>
      </c>
      <c r="W1266" s="47">
        <f>IF(W$19=1,IF('Assumptions - Infrastructure'!$E425=1,'Assumptions - Infrastructure'!$E427,'Assumptions - General'!W$38+'Assumptions - Infrastructure'!$E428),0)</f>
        <v>0.05</v>
      </c>
      <c r="X1266" s="47">
        <f>IF(X$19=1,IF('Assumptions - Infrastructure'!$E425=1,'Assumptions - Infrastructure'!$E427,'Assumptions - General'!X$38+'Assumptions - Infrastructure'!$E428),0)</f>
        <v>0.05</v>
      </c>
      <c r="Y1266" s="47">
        <f>IF(Y$19=1,IF('Assumptions - Infrastructure'!$E425=1,'Assumptions - Infrastructure'!$E427,'Assumptions - General'!Y$38+'Assumptions - Infrastructure'!$E428),0)</f>
        <v>0.05</v>
      </c>
      <c r="Z1266" s="47">
        <f>IF(Z$19=1,IF('Assumptions - Infrastructure'!$E425=1,'Assumptions - Infrastructure'!$E427,'Assumptions - General'!Z$38+'Assumptions - Infrastructure'!$E428),0)</f>
        <v>0.05</v>
      </c>
      <c r="AA1266" s="47">
        <f>IF(AA$19=1,IF('Assumptions - Infrastructure'!$E425=1,'Assumptions - Infrastructure'!$E427,'Assumptions - General'!AA$38+'Assumptions - Infrastructure'!$E428),0)</f>
        <v>0.05</v>
      </c>
      <c r="AB1266" s="47">
        <f>IF(AB$19=1,IF('Assumptions - Infrastructure'!$E425=1,'Assumptions - Infrastructure'!$E427,'Assumptions - General'!AB$38+'Assumptions - Infrastructure'!$E428),0)</f>
        <v>0.05</v>
      </c>
      <c r="AC1266" s="47">
        <f>IF(AC$19=1,IF('Assumptions - Infrastructure'!$E425=1,'Assumptions - Infrastructure'!$E427,'Assumptions - General'!AC$38+'Assumptions - Infrastructure'!$E428),0)</f>
        <v>0.05</v>
      </c>
      <c r="AD1266" s="47">
        <f>IF(AD$19=1,IF('Assumptions - Infrastructure'!$E425=1,'Assumptions - Infrastructure'!$E427,'Assumptions - General'!AD$38+'Assumptions - Infrastructure'!$E428),0)</f>
        <v>0.05</v>
      </c>
      <c r="AE1266" s="47">
        <f>IF(AE$19=1,IF('Assumptions - Infrastructure'!$E425=1,'Assumptions - Infrastructure'!$E427,'Assumptions - General'!AE$38+'Assumptions - Infrastructure'!$E428),0)</f>
        <v>0.05</v>
      </c>
      <c r="AF1266" s="47">
        <f>IF(AF$19=1,IF('Assumptions - Infrastructure'!$E425=1,'Assumptions - Infrastructure'!$E427,'Assumptions - General'!AF$38+'Assumptions - Infrastructure'!$E428),0)</f>
        <v>0.05</v>
      </c>
      <c r="AG1266" s="47">
        <f>IF(AG$19=1,IF('Assumptions - Infrastructure'!$E425=1,'Assumptions - Infrastructure'!$E427,'Assumptions - General'!AG$38+'Assumptions - Infrastructure'!$E428),0)</f>
        <v>0.05</v>
      </c>
      <c r="AH1266" s="47">
        <f>IF(AH$19=1,IF('Assumptions - Infrastructure'!$E425=1,'Assumptions - Infrastructure'!$E427,'Assumptions - General'!AH$38+'Assumptions - Infrastructure'!$E428),0)</f>
        <v>0.05</v>
      </c>
    </row>
    <row r="1267" spans="1:34" s="20" customFormat="1" ht="14" x14ac:dyDescent="0.2">
      <c r="A1267" s="8"/>
      <c r="B1267" s="8" t="s">
        <v>136</v>
      </c>
      <c r="C1267" s="8"/>
      <c r="D1267" s="8" t="str">
        <f>'Assumptions - Infrastructure'!D423</f>
        <v>R$ millions</v>
      </c>
      <c r="E1267" s="468">
        <v>0</v>
      </c>
      <c r="F1267" s="126">
        <f t="shared" ref="F1267:AH1267" si="486">E1275</f>
        <v>0</v>
      </c>
      <c r="G1267" s="126">
        <f t="shared" si="486"/>
        <v>0</v>
      </c>
      <c r="H1267" s="126">
        <f t="shared" si="486"/>
        <v>10</v>
      </c>
      <c r="I1267" s="126">
        <f t="shared" si="486"/>
        <v>20</v>
      </c>
      <c r="J1267" s="126">
        <f t="shared" si="486"/>
        <v>30</v>
      </c>
      <c r="K1267" s="126">
        <f t="shared" si="486"/>
        <v>40</v>
      </c>
      <c r="L1267" s="126">
        <f t="shared" si="486"/>
        <v>50</v>
      </c>
      <c r="M1267" s="126">
        <f t="shared" si="486"/>
        <v>50</v>
      </c>
      <c r="N1267" s="126">
        <f t="shared" si="486"/>
        <v>50</v>
      </c>
      <c r="O1267" s="126">
        <f t="shared" si="486"/>
        <v>50</v>
      </c>
      <c r="P1267" s="126">
        <f t="shared" si="486"/>
        <v>50</v>
      </c>
      <c r="Q1267" s="126">
        <f t="shared" si="486"/>
        <v>50</v>
      </c>
      <c r="R1267" s="126">
        <f t="shared" si="486"/>
        <v>50</v>
      </c>
      <c r="S1267" s="126">
        <f t="shared" si="486"/>
        <v>50</v>
      </c>
      <c r="T1267" s="126">
        <f t="shared" si="486"/>
        <v>50</v>
      </c>
      <c r="U1267" s="126">
        <f t="shared" si="486"/>
        <v>50</v>
      </c>
      <c r="V1267" s="126">
        <f t="shared" si="486"/>
        <v>0</v>
      </c>
      <c r="W1267" s="126">
        <f t="shared" si="486"/>
        <v>0</v>
      </c>
      <c r="X1267" s="126">
        <f t="shared" si="486"/>
        <v>0</v>
      </c>
      <c r="Y1267" s="126">
        <f t="shared" si="486"/>
        <v>0</v>
      </c>
      <c r="Z1267" s="126">
        <f t="shared" si="486"/>
        <v>0</v>
      </c>
      <c r="AA1267" s="126">
        <f t="shared" si="486"/>
        <v>0</v>
      </c>
      <c r="AB1267" s="126">
        <f t="shared" si="486"/>
        <v>0</v>
      </c>
      <c r="AC1267" s="126">
        <f t="shared" si="486"/>
        <v>0</v>
      </c>
      <c r="AD1267" s="126">
        <f t="shared" si="486"/>
        <v>0</v>
      </c>
      <c r="AE1267" s="126">
        <f t="shared" si="486"/>
        <v>0</v>
      </c>
      <c r="AF1267" s="126">
        <f t="shared" si="486"/>
        <v>0</v>
      </c>
      <c r="AG1267" s="126">
        <f t="shared" si="486"/>
        <v>0</v>
      </c>
      <c r="AH1267" s="126">
        <f t="shared" si="486"/>
        <v>0</v>
      </c>
    </row>
    <row r="1268" spans="1:34" s="20" customFormat="1" ht="14" x14ac:dyDescent="0.2">
      <c r="A1268" s="8"/>
      <c r="B1268" s="8" t="s">
        <v>410</v>
      </c>
      <c r="C1268" s="8"/>
      <c r="D1268" s="8" t="str">
        <f>D1267</f>
        <v>R$ millions</v>
      </c>
      <c r="E1268" s="126">
        <f>IF(E$19=1,IF('Assumptions - Infrastructure'!$E$423&lt;&gt;0,IF('Assumptions - Infrastructure'!$E$431=1,Calculations!E1269,IF('Assumptions - Infrastructure'!$E$431=2,Calculations!E1270,IF('Assumptions - Infrastructure'!$E$431=3,IF(E1265=('Assumptions - Infrastructure'!$E$429-'Assumptions - Infrastructure'!$E$430),Calculations!D1275,Calculations!E1271),0))),0),0)</f>
        <v>0</v>
      </c>
      <c r="F1268" s="126">
        <f>IF(F$19=1,IF('Assumptions - Infrastructure'!$E$423&lt;&gt;0,IF('Assumptions - Infrastructure'!$E$431=1,Calculations!F1269,IF('Assumptions - Infrastructure'!$E$431=2,Calculations!F1270,IF('Assumptions - Infrastructure'!$E$431=3,IF(F1265=('Assumptions - Infrastructure'!$E$429-'Assumptions - Infrastructure'!$E$430),Calculations!E1275,Calculations!F1271),0))),0),0)</f>
        <v>0</v>
      </c>
      <c r="G1268" s="126">
        <f>IF(G$19=1,IF('Assumptions - Infrastructure'!$E$423&lt;&gt;0,IF('Assumptions - Infrastructure'!$E$431=1,Calculations!G1269,IF('Assumptions - Infrastructure'!$E$431=2,Calculations!G1270,IF('Assumptions - Infrastructure'!$E$431=3,IF(G1265=('Assumptions - Infrastructure'!$E$429-'Assumptions - Infrastructure'!$E$430),Calculations!F1275,Calculations!G1271),0))),0),0)</f>
        <v>0</v>
      </c>
      <c r="H1268" s="126">
        <f>IF(H$19=1,IF('Assumptions - Infrastructure'!$E$423&lt;&gt;0,IF('Assumptions - Infrastructure'!$E$431=1,Calculations!H1269,IF('Assumptions - Infrastructure'!$E$431=2,Calculations!H1270,IF('Assumptions - Infrastructure'!$E$431=3,IF(H1265=('Assumptions - Infrastructure'!$E$429-'Assumptions - Infrastructure'!$E$430),Calculations!G1275,Calculations!H1271),0))),0),0)</f>
        <v>0</v>
      </c>
      <c r="I1268" s="126">
        <f>IF(I$19=1,IF('Assumptions - Infrastructure'!$E$423&lt;&gt;0,IF('Assumptions - Infrastructure'!$E$431=1,Calculations!I1269,IF('Assumptions - Infrastructure'!$E$431=2,Calculations!I1270,IF('Assumptions - Infrastructure'!$E$431=3,IF(I1265=('Assumptions - Infrastructure'!$E$429-'Assumptions - Infrastructure'!$E$430),Calculations!H1275,Calculations!I1271),0))),0),0)</f>
        <v>0</v>
      </c>
      <c r="J1268" s="126">
        <f>IF(J$19=1,IF('Assumptions - Infrastructure'!$E$423&lt;&gt;0,IF('Assumptions - Infrastructure'!$E$431=1,Calculations!J1269,IF('Assumptions - Infrastructure'!$E$431=2,Calculations!J1270,IF('Assumptions - Infrastructure'!$E$431=3,IF(J1265=('Assumptions - Infrastructure'!$E$429-'Assumptions - Infrastructure'!$E$430),Calculations!I1275,Calculations!J1271),0))),0),0)</f>
        <v>0</v>
      </c>
      <c r="K1268" s="126">
        <f>IF(K$19=1,IF('Assumptions - Infrastructure'!$E$423&lt;&gt;0,IF('Assumptions - Infrastructure'!$E$431=1,Calculations!K1269,IF('Assumptions - Infrastructure'!$E$431=2,Calculations!K1270,IF('Assumptions - Infrastructure'!$E$431=3,IF(K1265=('Assumptions - Infrastructure'!$E$429-'Assumptions - Infrastructure'!$E$430),Calculations!J1275,Calculations!K1271),0))),0),0)</f>
        <v>0</v>
      </c>
      <c r="L1268" s="126">
        <f>IF(L$19=1,IF('Assumptions - Infrastructure'!$E$423&lt;&gt;0,IF('Assumptions - Infrastructure'!$E$431=1,Calculations!L1269,IF('Assumptions - Infrastructure'!$E$431=2,Calculations!L1270,IF('Assumptions - Infrastructure'!$E$431=3,IF(L1265=('Assumptions - Infrastructure'!$E$429-'Assumptions - Infrastructure'!$E$430),Calculations!K1275,Calculations!L1271),0))),0),0)</f>
        <v>0</v>
      </c>
      <c r="M1268" s="126">
        <f>IF(M$19=1,IF('Assumptions - Infrastructure'!$E$423&lt;&gt;0,IF('Assumptions - Infrastructure'!$E$431=1,Calculations!M1269,IF('Assumptions - Infrastructure'!$E$431=2,Calculations!M1270,IF('Assumptions - Infrastructure'!$E$431=3,IF(M1265=('Assumptions - Infrastructure'!$E$429-'Assumptions - Infrastructure'!$E$430),Calculations!L1275,Calculations!M1271),0))),0),0)</f>
        <v>0</v>
      </c>
      <c r="N1268" s="126">
        <f>IF(N$19=1,IF('Assumptions - Infrastructure'!$E$423&lt;&gt;0,IF('Assumptions - Infrastructure'!$E$431=1,Calculations!N1269,IF('Assumptions - Infrastructure'!$E$431=2,Calculations!N1270,IF('Assumptions - Infrastructure'!$E$431=3,IF(N1265=('Assumptions - Infrastructure'!$E$429-'Assumptions - Infrastructure'!$E$430),Calculations!M1275,Calculations!N1271),0))),0),0)</f>
        <v>0</v>
      </c>
      <c r="O1268" s="126">
        <f>IF(O$19=1,IF('Assumptions - Infrastructure'!$E$423&lt;&gt;0,IF('Assumptions - Infrastructure'!$E$431=1,Calculations!O1269,IF('Assumptions - Infrastructure'!$E$431=2,Calculations!O1270,IF('Assumptions - Infrastructure'!$E$431=3,IF(O1265=('Assumptions - Infrastructure'!$E$429-'Assumptions - Infrastructure'!$E$430),Calculations!N1275,Calculations!O1271),0))),0),0)</f>
        <v>0</v>
      </c>
      <c r="P1268" s="126">
        <f>IF(P$19=1,IF('Assumptions - Infrastructure'!$E$423&lt;&gt;0,IF('Assumptions - Infrastructure'!$E$431=1,Calculations!P1269,IF('Assumptions - Infrastructure'!$E$431=2,Calculations!P1270,IF('Assumptions - Infrastructure'!$E$431=3,IF(P1265=('Assumptions - Infrastructure'!$E$429-'Assumptions - Infrastructure'!$E$430),Calculations!O1275,Calculations!P1271),0))),0),0)</f>
        <v>0</v>
      </c>
      <c r="Q1268" s="126">
        <f>IF(Q$19=1,IF('Assumptions - Infrastructure'!$E$423&lt;&gt;0,IF('Assumptions - Infrastructure'!$E$431=1,Calculations!Q1269,IF('Assumptions - Infrastructure'!$E$431=2,Calculations!Q1270,IF('Assumptions - Infrastructure'!$E$431=3,IF(Q1265=('Assumptions - Infrastructure'!$E$429-'Assumptions - Infrastructure'!$E$430),Calculations!P1275,Calculations!Q1271),0))),0),0)</f>
        <v>0</v>
      </c>
      <c r="R1268" s="126">
        <f>IF(R$19=1,IF('Assumptions - Infrastructure'!$E$423&lt;&gt;0,IF('Assumptions - Infrastructure'!$E$431=1,Calculations!R1269,IF('Assumptions - Infrastructure'!$E$431=2,Calculations!R1270,IF('Assumptions - Infrastructure'!$E$431=3,IF(R1265=('Assumptions - Infrastructure'!$E$429-'Assumptions - Infrastructure'!$E$430),Calculations!Q1275,Calculations!R1271),0))),0),0)</f>
        <v>0</v>
      </c>
      <c r="S1268" s="126">
        <f>IF(S$19=1,IF('Assumptions - Infrastructure'!$E$423&lt;&gt;0,IF('Assumptions - Infrastructure'!$E$431=1,Calculations!S1269,IF('Assumptions - Infrastructure'!$E$431=2,Calculations!S1270,IF('Assumptions - Infrastructure'!$E$431=3,IF(S1265=('Assumptions - Infrastructure'!$E$429-'Assumptions - Infrastructure'!$E$430),Calculations!R1275,Calculations!S1271),0))),0),0)</f>
        <v>0</v>
      </c>
      <c r="T1268" s="126">
        <f>IF(T$19=1,IF('Assumptions - Infrastructure'!$E$423&lt;&gt;0,IF('Assumptions - Infrastructure'!$E$431=1,Calculations!T1269,IF('Assumptions - Infrastructure'!$E$431=2,Calculations!T1270,IF('Assumptions - Infrastructure'!$E$431=3,IF(T1265=('Assumptions - Infrastructure'!$E$429-'Assumptions - Infrastructure'!$E$430),Calculations!S1275,Calculations!T1271),0))),0),0)</f>
        <v>0</v>
      </c>
      <c r="U1268" s="126">
        <f>IF(U$19=1,IF('Assumptions - Infrastructure'!$E$423&lt;&gt;0,IF('Assumptions - Infrastructure'!$E$431=1,Calculations!U1269,IF('Assumptions - Infrastructure'!$E$431=2,Calculations!U1270,IF('Assumptions - Infrastructure'!$E$431=3,IF(U1265=('Assumptions - Infrastructure'!$E$429-'Assumptions - Infrastructure'!$E$430),Calculations!T1275,Calculations!U1271),0))),0),0)</f>
        <v>50</v>
      </c>
      <c r="V1268" s="126">
        <f>IF(V$19=1,IF('Assumptions - Infrastructure'!$E$423&lt;&gt;0,IF('Assumptions - Infrastructure'!$E$431=1,Calculations!V1269,IF('Assumptions - Infrastructure'!$E$431=2,Calculations!V1270,IF('Assumptions - Infrastructure'!$E$431=3,IF(V1265=('Assumptions - Infrastructure'!$E$429-'Assumptions - Infrastructure'!$E$430),Calculations!U1275,Calculations!V1271),0))),0),0)</f>
        <v>0</v>
      </c>
      <c r="W1268" s="126">
        <f>IF(W$19=1,IF('Assumptions - Infrastructure'!$E$423&lt;&gt;0,IF('Assumptions - Infrastructure'!$E$431=1,Calculations!W1269,IF('Assumptions - Infrastructure'!$E$431=2,Calculations!W1270,IF('Assumptions - Infrastructure'!$E$431=3,IF(W1265=('Assumptions - Infrastructure'!$E$429-'Assumptions - Infrastructure'!$E$430),Calculations!V1275,Calculations!W1271),0))),0),0)</f>
        <v>0</v>
      </c>
      <c r="X1268" s="126">
        <f>IF(X$19=1,IF('Assumptions - Infrastructure'!$E$423&lt;&gt;0,IF('Assumptions - Infrastructure'!$E$431=1,Calculations!X1269,IF('Assumptions - Infrastructure'!$E$431=2,Calculations!X1270,IF('Assumptions - Infrastructure'!$E$431=3,IF(X1265=('Assumptions - Infrastructure'!$E$429-'Assumptions - Infrastructure'!$E$430),Calculations!W1275,Calculations!X1271),0))),0),0)</f>
        <v>0</v>
      </c>
      <c r="Y1268" s="126">
        <f>IF(Y$19=1,IF('Assumptions - Infrastructure'!$E$423&lt;&gt;0,IF('Assumptions - Infrastructure'!$E$431=1,Calculations!Y1269,IF('Assumptions - Infrastructure'!$E$431=2,Calculations!Y1270,IF('Assumptions - Infrastructure'!$E$431=3,IF(Y1265=('Assumptions - Infrastructure'!$E$429-'Assumptions - Infrastructure'!$E$430),Calculations!X1275,Calculations!Y1271),0))),0),0)</f>
        <v>0</v>
      </c>
      <c r="Z1268" s="126">
        <f>IF(Z$19=1,IF('Assumptions - Infrastructure'!$E$423&lt;&gt;0,IF('Assumptions - Infrastructure'!$E$431=1,Calculations!Z1269,IF('Assumptions - Infrastructure'!$E$431=2,Calculations!Z1270,IF('Assumptions - Infrastructure'!$E$431=3,IF(Z1265=('Assumptions - Infrastructure'!$E$429-'Assumptions - Infrastructure'!$E$430),Calculations!Y1275,Calculations!Z1271),0))),0),0)</f>
        <v>0</v>
      </c>
      <c r="AA1268" s="126">
        <f>IF(AA$19=1,IF('Assumptions - Infrastructure'!$E$423&lt;&gt;0,IF('Assumptions - Infrastructure'!$E$431=1,Calculations!AA1269,IF('Assumptions - Infrastructure'!$E$431=2,Calculations!AA1270,IF('Assumptions - Infrastructure'!$E$431=3,IF(AA1265=('Assumptions - Infrastructure'!$E$429-'Assumptions - Infrastructure'!$E$430),Calculations!Z1275,Calculations!AA1271),0))),0),0)</f>
        <v>0</v>
      </c>
      <c r="AB1268" s="126">
        <f>IF(AB$19=1,IF('Assumptions - Infrastructure'!$E$423&lt;&gt;0,IF('Assumptions - Infrastructure'!$E$431=1,Calculations!AB1269,IF('Assumptions - Infrastructure'!$E$431=2,Calculations!AB1270,IF('Assumptions - Infrastructure'!$E$431=3,IF(AB1265=('Assumptions - Infrastructure'!$E$429-'Assumptions - Infrastructure'!$E$430),Calculations!AA1275,Calculations!AB1271),0))),0),0)</f>
        <v>0</v>
      </c>
      <c r="AC1268" s="126">
        <f>IF(AC$19=1,IF('Assumptions - Infrastructure'!$E$423&lt;&gt;0,IF('Assumptions - Infrastructure'!$E$431=1,Calculations!AC1269,IF('Assumptions - Infrastructure'!$E$431=2,Calculations!AC1270,IF('Assumptions - Infrastructure'!$E$431=3,IF(AC1265=('Assumptions - Infrastructure'!$E$429-'Assumptions - Infrastructure'!$E$430),Calculations!AB1275,Calculations!AC1271),0))),0),0)</f>
        <v>0</v>
      </c>
      <c r="AD1268" s="126">
        <f>IF(AD$19=1,IF('Assumptions - Infrastructure'!$E$423&lt;&gt;0,IF('Assumptions - Infrastructure'!$E$431=1,Calculations!AD1269,IF('Assumptions - Infrastructure'!$E$431=2,Calculations!AD1270,IF('Assumptions - Infrastructure'!$E$431=3,IF(AD1265=('Assumptions - Infrastructure'!$E$429-'Assumptions - Infrastructure'!$E$430),Calculations!AC1275,Calculations!AD1271),0))),0),0)</f>
        <v>0</v>
      </c>
      <c r="AE1268" s="126">
        <f>IF(AE$19=1,IF('Assumptions - Infrastructure'!$E$423&lt;&gt;0,IF('Assumptions - Infrastructure'!$E$431=1,Calculations!AE1269,IF('Assumptions - Infrastructure'!$E$431=2,Calculations!AE1270,IF('Assumptions - Infrastructure'!$E$431=3,IF(AE1265=('Assumptions - Infrastructure'!$E$429-'Assumptions - Infrastructure'!$E$430),Calculations!AD1275,Calculations!AE1271),0))),0),0)</f>
        <v>0</v>
      </c>
      <c r="AF1268" s="126">
        <f>IF(AF$19=1,IF('Assumptions - Infrastructure'!$E$423&lt;&gt;0,IF('Assumptions - Infrastructure'!$E$431=1,Calculations!AF1269,IF('Assumptions - Infrastructure'!$E$431=2,Calculations!AF1270,IF('Assumptions - Infrastructure'!$E$431=3,IF(AF1265=('Assumptions - Infrastructure'!$E$429-'Assumptions - Infrastructure'!$E$430),Calculations!AE1275,Calculations!AF1271),0))),0),0)</f>
        <v>0</v>
      </c>
      <c r="AG1268" s="126">
        <f>IF(AG$19=1,IF('Assumptions - Infrastructure'!$E$423&lt;&gt;0,IF('Assumptions - Infrastructure'!$E$431=1,Calculations!AG1269,IF('Assumptions - Infrastructure'!$E$431=2,Calculations!AG1270,IF('Assumptions - Infrastructure'!$E$431=3,IF(AG1265=('Assumptions - Infrastructure'!$E$429-'Assumptions - Infrastructure'!$E$430),Calculations!AF1275,Calculations!AG1271),0))),0),0)</f>
        <v>0</v>
      </c>
      <c r="AH1268" s="126">
        <f>IF(AH$19=1,IF('Assumptions - Infrastructure'!$E$423&lt;&gt;0,IF('Assumptions - Infrastructure'!$E$431=1,Calculations!AH1269,IF('Assumptions - Infrastructure'!$E$431=2,Calculations!AH1270,IF('Assumptions - Infrastructure'!$E$431=3,IF(AH1265=('Assumptions - Infrastructure'!$E$429-'Assumptions - Infrastructure'!$E$430),Calculations!AG1275,Calculations!AH1271),0))),0),0)</f>
        <v>0</v>
      </c>
    </row>
    <row r="1269" spans="1:34" s="20" customFormat="1" ht="14" x14ac:dyDescent="0.2">
      <c r="A1269" s="8"/>
      <c r="B1269" s="125" t="s">
        <v>295</v>
      </c>
      <c r="C1269" s="8"/>
      <c r="D1269" s="8" t="str">
        <f t="shared" ref="D1269:D1280" si="487">D1268</f>
        <v>R$ millions</v>
      </c>
      <c r="E1269" s="126">
        <f>IF('Assumptions - Infrastructure'!$E$423&lt;&gt;0,IF(AND('Assumptions - Infrastructure'!$E$431=1,E$1265=('Assumptions - Infrastructure'!$E$429-'Assumptions - Infrastructure'!$E$430)),'Assumptions - Infrastructure'!$E$423,0),0)</f>
        <v>0</v>
      </c>
      <c r="F1269" s="126">
        <f>IF('Assumptions - Infrastructure'!$E$423&lt;&gt;0,IF(AND('Assumptions - Infrastructure'!$E$431=1,F$1265=('Assumptions - Infrastructure'!$E$429-'Assumptions - Infrastructure'!$E$430)),'Assumptions - Infrastructure'!$E$423,0),0)</f>
        <v>0</v>
      </c>
      <c r="G1269" s="126">
        <f>IF('Assumptions - Infrastructure'!$E$423&lt;&gt;0,IF(AND('Assumptions - Infrastructure'!$E$431=1,G$1265=('Assumptions - Infrastructure'!$E$429-'Assumptions - Infrastructure'!$E$430)),'Assumptions - Infrastructure'!$E$423,0),0)</f>
        <v>0</v>
      </c>
      <c r="H1269" s="126">
        <f>IF('Assumptions - Infrastructure'!$E$423&lt;&gt;0,IF(AND('Assumptions - Infrastructure'!$E$431=1,H$1265=('Assumptions - Infrastructure'!$E$429-'Assumptions - Infrastructure'!$E$430)),'Assumptions - Infrastructure'!$E$423,0),0)</f>
        <v>0</v>
      </c>
      <c r="I1269" s="126">
        <f>IF('Assumptions - Infrastructure'!$E$423&lt;&gt;0,IF(AND('Assumptions - Infrastructure'!$E$431=1,I$1265=('Assumptions - Infrastructure'!$E$429-'Assumptions - Infrastructure'!$E$430)),'Assumptions - Infrastructure'!$E$423,0),0)</f>
        <v>0</v>
      </c>
      <c r="J1269" s="126">
        <f>IF('Assumptions - Infrastructure'!$E$423&lt;&gt;0,IF(AND('Assumptions - Infrastructure'!$E$431=1,J$1265=('Assumptions - Infrastructure'!$E$429-'Assumptions - Infrastructure'!$E$430)),'Assumptions - Infrastructure'!$E$423,0),0)</f>
        <v>0</v>
      </c>
      <c r="K1269" s="126">
        <f>IF('Assumptions - Infrastructure'!$E$423&lt;&gt;0,IF(AND('Assumptions - Infrastructure'!$E$431=1,K$1265=('Assumptions - Infrastructure'!$E$429-'Assumptions - Infrastructure'!$E$430)),'Assumptions - Infrastructure'!$E$423,0),0)</f>
        <v>0</v>
      </c>
      <c r="L1269" s="126">
        <f>IF('Assumptions - Infrastructure'!$E$423&lt;&gt;0,IF(AND('Assumptions - Infrastructure'!$E$431=1,L$1265=('Assumptions - Infrastructure'!$E$429-'Assumptions - Infrastructure'!$E$430)),'Assumptions - Infrastructure'!$E$423,0),0)</f>
        <v>0</v>
      </c>
      <c r="M1269" s="126">
        <f>IF('Assumptions - Infrastructure'!$E$423&lt;&gt;0,IF(AND('Assumptions - Infrastructure'!$E$431=1,M$1265=('Assumptions - Infrastructure'!$E$429-'Assumptions - Infrastructure'!$E$430)),'Assumptions - Infrastructure'!$E$423,0),0)</f>
        <v>0</v>
      </c>
      <c r="N1269" s="126">
        <f>IF('Assumptions - Infrastructure'!$E$423&lt;&gt;0,IF(AND('Assumptions - Infrastructure'!$E$431=1,N$1265=('Assumptions - Infrastructure'!$E$429-'Assumptions - Infrastructure'!$E$430)),'Assumptions - Infrastructure'!$E$423,0),0)</f>
        <v>0</v>
      </c>
      <c r="O1269" s="126">
        <f>IF('Assumptions - Infrastructure'!$E$423&lt;&gt;0,IF(AND('Assumptions - Infrastructure'!$E$431=1,O$1265=('Assumptions - Infrastructure'!$E$429-'Assumptions - Infrastructure'!$E$430)),'Assumptions - Infrastructure'!$E$423,0),0)</f>
        <v>0</v>
      </c>
      <c r="P1269" s="126">
        <f>IF('Assumptions - Infrastructure'!$E$423&lt;&gt;0,IF(AND('Assumptions - Infrastructure'!$E$431=1,P$1265=('Assumptions - Infrastructure'!$E$429-'Assumptions - Infrastructure'!$E$430)),'Assumptions - Infrastructure'!$E$423,0),0)</f>
        <v>0</v>
      </c>
      <c r="Q1269" s="126">
        <f>IF('Assumptions - Infrastructure'!$E$423&lt;&gt;0,IF(AND('Assumptions - Infrastructure'!$E$431=1,Q$1265=('Assumptions - Infrastructure'!$E$429-'Assumptions - Infrastructure'!$E$430)),'Assumptions - Infrastructure'!$E$423,0),0)</f>
        <v>0</v>
      </c>
      <c r="R1269" s="126">
        <f>IF('Assumptions - Infrastructure'!$E$423&lt;&gt;0,IF(AND('Assumptions - Infrastructure'!$E$431=1,R$1265=('Assumptions - Infrastructure'!$E$429-'Assumptions - Infrastructure'!$E$430)),'Assumptions - Infrastructure'!$E$423,0),0)</f>
        <v>0</v>
      </c>
      <c r="S1269" s="126">
        <f>IF('Assumptions - Infrastructure'!$E$423&lt;&gt;0,IF(AND('Assumptions - Infrastructure'!$E$431=1,S$1265=('Assumptions - Infrastructure'!$E$429-'Assumptions - Infrastructure'!$E$430)),'Assumptions - Infrastructure'!$E$423,0),0)</f>
        <v>0</v>
      </c>
      <c r="T1269" s="126">
        <f>IF('Assumptions - Infrastructure'!$E$423&lt;&gt;0,IF(AND('Assumptions - Infrastructure'!$E$431=1,T$1265=('Assumptions - Infrastructure'!$E$429-'Assumptions - Infrastructure'!$E$430)),'Assumptions - Infrastructure'!$E$423,0),0)</f>
        <v>0</v>
      </c>
      <c r="U1269" s="126">
        <f>IF('Assumptions - Infrastructure'!$E$423&lt;&gt;0,IF(AND('Assumptions - Infrastructure'!$E$431=1,U$1265=('Assumptions - Infrastructure'!$E$429-'Assumptions - Infrastructure'!$E$430)),'Assumptions - Infrastructure'!$E$423,0),0)</f>
        <v>50</v>
      </c>
      <c r="V1269" s="126">
        <f>IF('Assumptions - Infrastructure'!$E$423&lt;&gt;0,IF(AND('Assumptions - Infrastructure'!$E$431=1,V$1265=('Assumptions - Infrastructure'!$E$429-'Assumptions - Infrastructure'!$E$430)),'Assumptions - Infrastructure'!$E$423,0),0)</f>
        <v>0</v>
      </c>
      <c r="W1269" s="126">
        <f>IF('Assumptions - Infrastructure'!$E$423&lt;&gt;0,IF(AND('Assumptions - Infrastructure'!$E$431=1,W$1265=('Assumptions - Infrastructure'!$E$429-'Assumptions - Infrastructure'!$E$430)),'Assumptions - Infrastructure'!$E$423,0),0)</f>
        <v>0</v>
      </c>
      <c r="X1269" s="126">
        <f>IF('Assumptions - Infrastructure'!$E$423&lt;&gt;0,IF(AND('Assumptions - Infrastructure'!$E$431=1,X$1265=('Assumptions - Infrastructure'!$E$429-'Assumptions - Infrastructure'!$E$430)),'Assumptions - Infrastructure'!$E$423,0),0)</f>
        <v>0</v>
      </c>
      <c r="Y1269" s="126">
        <f>IF('Assumptions - Infrastructure'!$E$423&lt;&gt;0,IF(AND('Assumptions - Infrastructure'!$E$431=1,Y$1265=('Assumptions - Infrastructure'!$E$429-'Assumptions - Infrastructure'!$E$430)),'Assumptions - Infrastructure'!$E$423,0),0)</f>
        <v>0</v>
      </c>
      <c r="Z1269" s="126">
        <f>IF('Assumptions - Infrastructure'!$E$423&lt;&gt;0,IF(AND('Assumptions - Infrastructure'!$E$431=1,Z$1265=('Assumptions - Infrastructure'!$E$429-'Assumptions - Infrastructure'!$E$430)),'Assumptions - Infrastructure'!$E$423,0),0)</f>
        <v>0</v>
      </c>
      <c r="AA1269" s="126">
        <f>IF('Assumptions - Infrastructure'!$E$423&lt;&gt;0,IF(AND('Assumptions - Infrastructure'!$E$431=1,AA$1265=('Assumptions - Infrastructure'!$E$429-'Assumptions - Infrastructure'!$E$430)),'Assumptions - Infrastructure'!$E$423,0),0)</f>
        <v>0</v>
      </c>
      <c r="AB1269" s="126">
        <f>IF('Assumptions - Infrastructure'!$E$423&lt;&gt;0,IF(AND('Assumptions - Infrastructure'!$E$431=1,AB$1265=('Assumptions - Infrastructure'!$E$429-'Assumptions - Infrastructure'!$E$430)),'Assumptions - Infrastructure'!$E$423,0),0)</f>
        <v>0</v>
      </c>
      <c r="AC1269" s="126">
        <f>IF('Assumptions - Infrastructure'!$E$423&lt;&gt;0,IF(AND('Assumptions - Infrastructure'!$E$431=1,AC$1265=('Assumptions - Infrastructure'!$E$429-'Assumptions - Infrastructure'!$E$430)),'Assumptions - Infrastructure'!$E$423,0),0)</f>
        <v>0</v>
      </c>
      <c r="AD1269" s="126">
        <f>IF('Assumptions - Infrastructure'!$E$423&lt;&gt;0,IF(AND('Assumptions - Infrastructure'!$E$431=1,AD$1265=('Assumptions - Infrastructure'!$E$429-'Assumptions - Infrastructure'!$E$430)),'Assumptions - Infrastructure'!$E$423,0),0)</f>
        <v>0</v>
      </c>
      <c r="AE1269" s="126">
        <f>IF('Assumptions - Infrastructure'!$E$423&lt;&gt;0,IF(AND('Assumptions - Infrastructure'!$E$431=1,AE$1265=('Assumptions - Infrastructure'!$E$429-'Assumptions - Infrastructure'!$E$430)),'Assumptions - Infrastructure'!$E$423,0),0)</f>
        <v>0</v>
      </c>
      <c r="AF1269" s="126">
        <f>IF('Assumptions - Infrastructure'!$E$423&lt;&gt;0,IF(AND('Assumptions - Infrastructure'!$E$431=1,AF$1265=('Assumptions - Infrastructure'!$E$429-'Assumptions - Infrastructure'!$E$430)),'Assumptions - Infrastructure'!$E$423,0),0)</f>
        <v>0</v>
      </c>
      <c r="AG1269" s="126">
        <f>IF('Assumptions - Infrastructure'!$E$423&lt;&gt;0,IF(AND('Assumptions - Infrastructure'!$E$431=1,AG$1265=('Assumptions - Infrastructure'!$E$429-'Assumptions - Infrastructure'!$E$430)),'Assumptions - Infrastructure'!$E$423,0),0)</f>
        <v>0</v>
      </c>
      <c r="AH1269" s="126">
        <f>IF('Assumptions - Infrastructure'!$E$423&lt;&gt;0,IF(AND('Assumptions - Infrastructure'!$E$431=1,AH$1265=('Assumptions - Infrastructure'!$E$429-'Assumptions - Infrastructure'!$E$430)),'Assumptions - Infrastructure'!$E$423,0),0)</f>
        <v>0</v>
      </c>
    </row>
    <row r="1270" spans="1:34" s="20" customFormat="1" ht="14" x14ac:dyDescent="0.2">
      <c r="A1270" s="8"/>
      <c r="B1270" s="125" t="s">
        <v>294</v>
      </c>
      <c r="C1270" s="8"/>
      <c r="D1270" s="8" t="str">
        <f t="shared" si="487"/>
        <v>R$ millions</v>
      </c>
      <c r="E1270" s="126">
        <f>IF('Assumptions - Infrastructure'!$E$423&lt;&gt;0,IF(AND('Assumptions - Infrastructure'!$E$431=2,Calculations!E$1265&gt;0,Calculations!E$1265&lt;=('Assumptions - Infrastructure'!$E$429-'Assumptions - Infrastructure'!$E$430)),'Assumptions - Infrastructure'!$E$423/('Assumptions - Infrastructure'!$E$429-'Assumptions - Infrastructure'!$E$430),0),0)</f>
        <v>0</v>
      </c>
      <c r="F1270" s="126">
        <f>IF('Assumptions - Infrastructure'!$E$423&lt;&gt;0,IF(AND('Assumptions - Infrastructure'!$E$431=2,Calculations!F$1265&gt;0,Calculations!F$1265&lt;=('Assumptions - Infrastructure'!$E$429-'Assumptions - Infrastructure'!$E$430)),'Assumptions - Infrastructure'!$E$423/('Assumptions - Infrastructure'!$E$429-'Assumptions - Infrastructure'!$E$430),0),0)</f>
        <v>0</v>
      </c>
      <c r="G1270" s="126">
        <f>IF('Assumptions - Infrastructure'!$E$423&lt;&gt;0,IF(AND('Assumptions - Infrastructure'!$E$431=2,Calculations!G$1265&gt;0,Calculations!G$1265&lt;=('Assumptions - Infrastructure'!$E$429-'Assumptions - Infrastructure'!$E$430)),'Assumptions - Infrastructure'!$E$423/('Assumptions - Infrastructure'!$E$429-'Assumptions - Infrastructure'!$E$430),0),0)</f>
        <v>0</v>
      </c>
      <c r="H1270" s="126">
        <f>IF('Assumptions - Infrastructure'!$E$423&lt;&gt;0,IF(AND('Assumptions - Infrastructure'!$E$431=2,Calculations!H$1265&gt;0,Calculations!H$1265&lt;=('Assumptions - Infrastructure'!$E$429-'Assumptions - Infrastructure'!$E$430)),'Assumptions - Infrastructure'!$E$423/('Assumptions - Infrastructure'!$E$429-'Assumptions - Infrastructure'!$E$430),0),0)</f>
        <v>0</v>
      </c>
      <c r="I1270" s="126">
        <f>IF('Assumptions - Infrastructure'!$E$423&lt;&gt;0,IF(AND('Assumptions - Infrastructure'!$E$431=2,Calculations!I$1265&gt;0,Calculations!I$1265&lt;=('Assumptions - Infrastructure'!$E$429-'Assumptions - Infrastructure'!$E$430)),'Assumptions - Infrastructure'!$E$423/('Assumptions - Infrastructure'!$E$429-'Assumptions - Infrastructure'!$E$430),0),0)</f>
        <v>0</v>
      </c>
      <c r="J1270" s="126">
        <f>IF('Assumptions - Infrastructure'!$E$423&lt;&gt;0,IF(AND('Assumptions - Infrastructure'!$E$431=2,Calculations!J$1265&gt;0,Calculations!J$1265&lt;=('Assumptions - Infrastructure'!$E$429-'Assumptions - Infrastructure'!$E$430)),'Assumptions - Infrastructure'!$E$423/('Assumptions - Infrastructure'!$E$429-'Assumptions - Infrastructure'!$E$430),0),0)</f>
        <v>0</v>
      </c>
      <c r="K1270" s="126">
        <f>IF('Assumptions - Infrastructure'!$E$423&lt;&gt;0,IF(AND('Assumptions - Infrastructure'!$E$431=2,Calculations!K$1265&gt;0,Calculations!K$1265&lt;=('Assumptions - Infrastructure'!$E$429-'Assumptions - Infrastructure'!$E$430)),'Assumptions - Infrastructure'!$E$423/('Assumptions - Infrastructure'!$E$429-'Assumptions - Infrastructure'!$E$430),0),0)</f>
        <v>0</v>
      </c>
      <c r="L1270" s="126">
        <f>IF('Assumptions - Infrastructure'!$E$423&lt;&gt;0,IF(AND('Assumptions - Infrastructure'!$E$431=2,Calculations!L$1265&gt;0,Calculations!L$1265&lt;=('Assumptions - Infrastructure'!$E$429-'Assumptions - Infrastructure'!$E$430)),'Assumptions - Infrastructure'!$E$423/('Assumptions - Infrastructure'!$E$429-'Assumptions - Infrastructure'!$E$430),0),0)</f>
        <v>0</v>
      </c>
      <c r="M1270" s="126">
        <f>IF('Assumptions - Infrastructure'!$E$423&lt;&gt;0,IF(AND('Assumptions - Infrastructure'!$E$431=2,Calculations!M$1265&gt;0,Calculations!M$1265&lt;=('Assumptions - Infrastructure'!$E$429-'Assumptions - Infrastructure'!$E$430)),'Assumptions - Infrastructure'!$E$423/('Assumptions - Infrastructure'!$E$429-'Assumptions - Infrastructure'!$E$430),0),0)</f>
        <v>0</v>
      </c>
      <c r="N1270" s="126">
        <f>IF('Assumptions - Infrastructure'!$E$423&lt;&gt;0,IF(AND('Assumptions - Infrastructure'!$E$431=2,Calculations!N$1265&gt;0,Calculations!N$1265&lt;=('Assumptions - Infrastructure'!$E$429-'Assumptions - Infrastructure'!$E$430)),'Assumptions - Infrastructure'!$E$423/('Assumptions - Infrastructure'!$E$429-'Assumptions - Infrastructure'!$E$430),0),0)</f>
        <v>0</v>
      </c>
      <c r="O1270" s="126">
        <f>IF('Assumptions - Infrastructure'!$E$423&lt;&gt;0,IF(AND('Assumptions - Infrastructure'!$E$431=2,Calculations!O$1265&gt;0,Calculations!O$1265&lt;=('Assumptions - Infrastructure'!$E$429-'Assumptions - Infrastructure'!$E$430)),'Assumptions - Infrastructure'!$E$423/('Assumptions - Infrastructure'!$E$429-'Assumptions - Infrastructure'!$E$430),0),0)</f>
        <v>0</v>
      </c>
      <c r="P1270" s="126">
        <f>IF('Assumptions - Infrastructure'!$E$423&lt;&gt;0,IF(AND('Assumptions - Infrastructure'!$E$431=2,Calculations!P$1265&gt;0,Calculations!P$1265&lt;=('Assumptions - Infrastructure'!$E$429-'Assumptions - Infrastructure'!$E$430)),'Assumptions - Infrastructure'!$E$423/('Assumptions - Infrastructure'!$E$429-'Assumptions - Infrastructure'!$E$430),0),0)</f>
        <v>0</v>
      </c>
      <c r="Q1270" s="126">
        <f>IF('Assumptions - Infrastructure'!$E$423&lt;&gt;0,IF(AND('Assumptions - Infrastructure'!$E$431=2,Calculations!Q$1265&gt;0,Calculations!Q$1265&lt;=('Assumptions - Infrastructure'!$E$429-'Assumptions - Infrastructure'!$E$430)),'Assumptions - Infrastructure'!$E$423/('Assumptions - Infrastructure'!$E$429-'Assumptions - Infrastructure'!$E$430),0),0)</f>
        <v>0</v>
      </c>
      <c r="R1270" s="126">
        <f>IF('Assumptions - Infrastructure'!$E$423&lt;&gt;0,IF(AND('Assumptions - Infrastructure'!$E$431=2,Calculations!R$1265&gt;0,Calculations!R$1265&lt;=('Assumptions - Infrastructure'!$E$429-'Assumptions - Infrastructure'!$E$430)),'Assumptions - Infrastructure'!$E$423/('Assumptions - Infrastructure'!$E$429-'Assumptions - Infrastructure'!$E$430),0),0)</f>
        <v>0</v>
      </c>
      <c r="S1270" s="126">
        <f>IF('Assumptions - Infrastructure'!$E$423&lt;&gt;0,IF(AND('Assumptions - Infrastructure'!$E$431=2,Calculations!S$1265&gt;0,Calculations!S$1265&lt;=('Assumptions - Infrastructure'!$E$429-'Assumptions - Infrastructure'!$E$430)),'Assumptions - Infrastructure'!$E$423/('Assumptions - Infrastructure'!$E$429-'Assumptions - Infrastructure'!$E$430),0),0)</f>
        <v>0</v>
      </c>
      <c r="T1270" s="126">
        <f>IF('Assumptions - Infrastructure'!$E$423&lt;&gt;0,IF(AND('Assumptions - Infrastructure'!$E$431=2,Calculations!T$1265&gt;0,Calculations!T$1265&lt;=('Assumptions - Infrastructure'!$E$429-'Assumptions - Infrastructure'!$E$430)),'Assumptions - Infrastructure'!$E$423/('Assumptions - Infrastructure'!$E$429-'Assumptions - Infrastructure'!$E$430),0),0)</f>
        <v>0</v>
      </c>
      <c r="U1270" s="126">
        <f>IF('Assumptions - Infrastructure'!$E$423&lt;&gt;0,IF(AND('Assumptions - Infrastructure'!$E$431=2,Calculations!U$1265&gt;0,Calculations!U$1265&lt;=('Assumptions - Infrastructure'!$E$429-'Assumptions - Infrastructure'!$E$430)),'Assumptions - Infrastructure'!$E$423/('Assumptions - Infrastructure'!$E$429-'Assumptions - Infrastructure'!$E$430),0),0)</f>
        <v>0</v>
      </c>
      <c r="V1270" s="126">
        <f>IF('Assumptions - Infrastructure'!$E$423&lt;&gt;0,IF(AND('Assumptions - Infrastructure'!$E$431=2,Calculations!V$1265&gt;0,Calculations!V$1265&lt;=('Assumptions - Infrastructure'!$E$429-'Assumptions - Infrastructure'!$E$430)),'Assumptions - Infrastructure'!$E$423/('Assumptions - Infrastructure'!$E$429-'Assumptions - Infrastructure'!$E$430),0),0)</f>
        <v>0</v>
      </c>
      <c r="W1270" s="126">
        <f>IF('Assumptions - Infrastructure'!$E$423&lt;&gt;0,IF(AND('Assumptions - Infrastructure'!$E$431=2,Calculations!W$1265&gt;0,Calculations!W$1265&lt;=('Assumptions - Infrastructure'!$E$429-'Assumptions - Infrastructure'!$E$430)),'Assumptions - Infrastructure'!$E$423/('Assumptions - Infrastructure'!$E$429-'Assumptions - Infrastructure'!$E$430),0),0)</f>
        <v>0</v>
      </c>
      <c r="X1270" s="126">
        <f>IF('Assumptions - Infrastructure'!$E$423&lt;&gt;0,IF(AND('Assumptions - Infrastructure'!$E$431=2,Calculations!X$1265&gt;0,Calculations!X$1265&lt;=('Assumptions - Infrastructure'!$E$429-'Assumptions - Infrastructure'!$E$430)),'Assumptions - Infrastructure'!$E$423/('Assumptions - Infrastructure'!$E$429-'Assumptions - Infrastructure'!$E$430),0),0)</f>
        <v>0</v>
      </c>
      <c r="Y1270" s="126">
        <f>IF('Assumptions - Infrastructure'!$E$423&lt;&gt;0,IF(AND('Assumptions - Infrastructure'!$E$431=2,Calculations!Y$1265&gt;0,Calculations!Y$1265&lt;=('Assumptions - Infrastructure'!$E$429-'Assumptions - Infrastructure'!$E$430)),'Assumptions - Infrastructure'!$E$423/('Assumptions - Infrastructure'!$E$429-'Assumptions - Infrastructure'!$E$430),0),0)</f>
        <v>0</v>
      </c>
      <c r="Z1270" s="126">
        <f>IF('Assumptions - Infrastructure'!$E$423&lt;&gt;0,IF(AND('Assumptions - Infrastructure'!$E$431=2,Calculations!Z$1265&gt;0,Calculations!Z$1265&lt;=('Assumptions - Infrastructure'!$E$429-'Assumptions - Infrastructure'!$E$430)),'Assumptions - Infrastructure'!$E$423/('Assumptions - Infrastructure'!$E$429-'Assumptions - Infrastructure'!$E$430),0),0)</f>
        <v>0</v>
      </c>
      <c r="AA1270" s="126">
        <f>IF('Assumptions - Infrastructure'!$E$423&lt;&gt;0,IF(AND('Assumptions - Infrastructure'!$E$431=2,Calculations!AA$1265&gt;0,Calculations!AA$1265&lt;=('Assumptions - Infrastructure'!$E$429-'Assumptions - Infrastructure'!$E$430)),'Assumptions - Infrastructure'!$E$423/('Assumptions - Infrastructure'!$E$429-'Assumptions - Infrastructure'!$E$430),0),0)</f>
        <v>0</v>
      </c>
      <c r="AB1270" s="126">
        <f>IF('Assumptions - Infrastructure'!$E$423&lt;&gt;0,IF(AND('Assumptions - Infrastructure'!$E$431=2,Calculations!AB$1265&gt;0,Calculations!AB$1265&lt;=('Assumptions - Infrastructure'!$E$429-'Assumptions - Infrastructure'!$E$430)),'Assumptions - Infrastructure'!$E$423/('Assumptions - Infrastructure'!$E$429-'Assumptions - Infrastructure'!$E$430),0),0)</f>
        <v>0</v>
      </c>
      <c r="AC1270" s="126">
        <f>IF('Assumptions - Infrastructure'!$E$423&lt;&gt;0,IF(AND('Assumptions - Infrastructure'!$E$431=2,Calculations!AC$1265&gt;0,Calculations!AC$1265&lt;=('Assumptions - Infrastructure'!$E$429-'Assumptions - Infrastructure'!$E$430)),'Assumptions - Infrastructure'!$E$423/('Assumptions - Infrastructure'!$E$429-'Assumptions - Infrastructure'!$E$430),0),0)</f>
        <v>0</v>
      </c>
      <c r="AD1270" s="126">
        <f>IF('Assumptions - Infrastructure'!$E$423&lt;&gt;0,IF(AND('Assumptions - Infrastructure'!$E$431=2,Calculations!AD$1265&gt;0,Calculations!AD$1265&lt;=('Assumptions - Infrastructure'!$E$429-'Assumptions - Infrastructure'!$E$430)),'Assumptions - Infrastructure'!$E$423/('Assumptions - Infrastructure'!$E$429-'Assumptions - Infrastructure'!$E$430),0),0)</f>
        <v>0</v>
      </c>
      <c r="AE1270" s="126">
        <f>IF('Assumptions - Infrastructure'!$E$423&lt;&gt;0,IF(AND('Assumptions - Infrastructure'!$E$431=2,Calculations!AE$1265&gt;0,Calculations!AE$1265&lt;=('Assumptions - Infrastructure'!$E$429-'Assumptions - Infrastructure'!$E$430)),'Assumptions - Infrastructure'!$E$423/('Assumptions - Infrastructure'!$E$429-'Assumptions - Infrastructure'!$E$430),0),0)</f>
        <v>0</v>
      </c>
      <c r="AF1270" s="126">
        <f>IF('Assumptions - Infrastructure'!$E$423&lt;&gt;0,IF(AND('Assumptions - Infrastructure'!$E$431=2,Calculations!AF$1265&gt;0,Calculations!AF$1265&lt;=('Assumptions - Infrastructure'!$E$429-'Assumptions - Infrastructure'!$E$430)),'Assumptions - Infrastructure'!$E$423/('Assumptions - Infrastructure'!$E$429-'Assumptions - Infrastructure'!$E$430),0),0)</f>
        <v>0</v>
      </c>
      <c r="AG1270" s="126">
        <f>IF('Assumptions - Infrastructure'!$E$423&lt;&gt;0,IF(AND('Assumptions - Infrastructure'!$E$431=2,Calculations!AG$1265&gt;0,Calculations!AG$1265&lt;=('Assumptions - Infrastructure'!$E$429-'Assumptions - Infrastructure'!$E$430)),'Assumptions - Infrastructure'!$E$423/('Assumptions - Infrastructure'!$E$429-'Assumptions - Infrastructure'!$E$430),0),0)</f>
        <v>0</v>
      </c>
      <c r="AH1270" s="126">
        <f>IF('Assumptions - Infrastructure'!$E$423&lt;&gt;0,IF(AND('Assumptions - Infrastructure'!$E$431=2,Calculations!AH$1265&gt;0,Calculations!AH$1265&lt;=('Assumptions - Infrastructure'!$E$429-'Assumptions - Infrastructure'!$E$430)),'Assumptions - Infrastructure'!$E$423/('Assumptions - Infrastructure'!$E$429-'Assumptions - Infrastructure'!$E$430),0),0)</f>
        <v>0</v>
      </c>
    </row>
    <row r="1271" spans="1:34" s="20" customFormat="1" ht="14" x14ac:dyDescent="0.2">
      <c r="A1271" s="8"/>
      <c r="B1271" s="125" t="s">
        <v>678</v>
      </c>
      <c r="C1271" s="8"/>
      <c r="D1271" s="8" t="str">
        <f t="shared" si="487"/>
        <v>R$ millions</v>
      </c>
      <c r="E1271" s="126">
        <f>IF('Assumptions - Infrastructure'!$E$423&lt;&gt;0,IF(AND('Assumptions - Infrastructure'!$E431=3,E1265&gt;0,E1265&lt;=('Assumptions - Infrastructure'!$E$429-'Assumptions - Infrastructure'!$E$430)),E1267*D1272/SUM(E1272:$AH1272)-E1273,0),0)</f>
        <v>0</v>
      </c>
      <c r="F1271" s="126">
        <f>IF('Assumptions - Infrastructure'!$E$423&lt;&gt;0,IF(AND('Assumptions - Infrastructure'!$E431=3,F1265&gt;0,F1265&lt;=('Assumptions - Infrastructure'!$E$429-'Assumptions - Infrastructure'!$E$430)),F1267*E1272/SUM(F1272:$AH1272)-F1273,0),0)</f>
        <v>0</v>
      </c>
      <c r="G1271" s="126">
        <f>IF('Assumptions - Infrastructure'!$E$423&lt;&gt;0,IF(AND('Assumptions - Infrastructure'!$E431=3,G1265&gt;0,G1265&lt;=('Assumptions - Infrastructure'!$E$429-'Assumptions - Infrastructure'!$E$430)),G1267*F1272/SUM(G1272:$AH1272)-G1273,0),0)</f>
        <v>0</v>
      </c>
      <c r="H1271" s="126">
        <f>IF('Assumptions - Infrastructure'!$E$423&lt;&gt;0,IF(AND('Assumptions - Infrastructure'!$E431=3,H1265&gt;0,H1265&lt;=('Assumptions - Infrastructure'!$E$429-'Assumptions - Infrastructure'!$E$430)),H1267*G1272/SUM(H1272:$AH1272)-H1273,0),0)</f>
        <v>0</v>
      </c>
      <c r="I1271" s="126">
        <f>IF('Assumptions - Infrastructure'!$E$423&lt;&gt;0,IF(AND('Assumptions - Infrastructure'!$E431=3,I1265&gt;0,I1265&lt;=('Assumptions - Infrastructure'!$E$429-'Assumptions - Infrastructure'!$E$430)),I1267*H1272/SUM(I1272:$AH1272)-I1273,0),0)</f>
        <v>0</v>
      </c>
      <c r="J1271" s="126">
        <f>IF('Assumptions - Infrastructure'!$E$423&lt;&gt;0,IF(AND('Assumptions - Infrastructure'!$E431=3,J1265&gt;0,J1265&lt;=('Assumptions - Infrastructure'!$E$429-'Assumptions - Infrastructure'!$E$430)),J1267*I1272/SUM(J1272:$AH1272)-J1273,0),0)</f>
        <v>0</v>
      </c>
      <c r="K1271" s="126">
        <f>IF('Assumptions - Infrastructure'!$E$423&lt;&gt;0,IF(AND('Assumptions - Infrastructure'!$E431=3,K1265&gt;0,K1265&lt;=('Assumptions - Infrastructure'!$E$429-'Assumptions - Infrastructure'!$E$430)),K1267*J1272/SUM(K1272:$AH1272)-K1273,0),0)</f>
        <v>0</v>
      </c>
      <c r="L1271" s="126">
        <f>IF('Assumptions - Infrastructure'!$E$423&lt;&gt;0,IF(AND('Assumptions - Infrastructure'!$E431=3,L1265&gt;0,L1265&lt;=('Assumptions - Infrastructure'!$E$429-'Assumptions - Infrastructure'!$E$430)),L1267*K1272/SUM(L1272:$AH1272)-L1273,0),0)</f>
        <v>0</v>
      </c>
      <c r="M1271" s="126">
        <f>IF('Assumptions - Infrastructure'!$E$423&lt;&gt;0,IF(AND('Assumptions - Infrastructure'!$E431=3,M1265&gt;0,M1265&lt;=('Assumptions - Infrastructure'!$E$429-'Assumptions - Infrastructure'!$E$430)),M1267*L1272/SUM(M1272:$AH1272)-M1273,0),0)</f>
        <v>0</v>
      </c>
      <c r="N1271" s="126">
        <f>IF('Assumptions - Infrastructure'!$E$423&lt;&gt;0,IF(AND('Assumptions - Infrastructure'!$E431=3,N1265&gt;0,N1265&lt;=('Assumptions - Infrastructure'!$E$429-'Assumptions - Infrastructure'!$E$430)),N1267*M1272/SUM(N1272:$AH1272)-N1273,0),0)</f>
        <v>0</v>
      </c>
      <c r="O1271" s="126">
        <f>IF('Assumptions - Infrastructure'!$E$423&lt;&gt;0,IF(AND('Assumptions - Infrastructure'!$E431=3,O1265&gt;0,O1265&lt;=('Assumptions - Infrastructure'!$E$429-'Assumptions - Infrastructure'!$E$430)),O1267*N1272/SUM(O1272:$AH1272)-O1273,0),0)</f>
        <v>0</v>
      </c>
      <c r="P1271" s="126">
        <f>IF('Assumptions - Infrastructure'!$E$423&lt;&gt;0,IF(AND('Assumptions - Infrastructure'!$E431=3,P1265&gt;0,P1265&lt;=('Assumptions - Infrastructure'!$E$429-'Assumptions - Infrastructure'!$E$430)),P1267*O1272/SUM(P1272:$AH1272)-P1273,0),0)</f>
        <v>0</v>
      </c>
      <c r="Q1271" s="126">
        <f>IF('Assumptions - Infrastructure'!$E$423&lt;&gt;0,IF(AND('Assumptions - Infrastructure'!$E431=3,Q1265&gt;0,Q1265&lt;=('Assumptions - Infrastructure'!$E$429-'Assumptions - Infrastructure'!$E$430)),Q1267*P1272/SUM(Q1272:$AH1272)-Q1273,0),0)</f>
        <v>0</v>
      </c>
      <c r="R1271" s="126">
        <f>IF('Assumptions - Infrastructure'!$E$423&lt;&gt;0,IF(AND('Assumptions - Infrastructure'!$E431=3,R1265&gt;0,R1265&lt;=('Assumptions - Infrastructure'!$E$429-'Assumptions - Infrastructure'!$E$430)),R1267*Q1272/SUM(R1272:$AH1272)-R1273,0),0)</f>
        <v>0</v>
      </c>
      <c r="S1271" s="126">
        <f>IF('Assumptions - Infrastructure'!$E$423&lt;&gt;0,IF(AND('Assumptions - Infrastructure'!$E431=3,S1265&gt;0,S1265&lt;=('Assumptions - Infrastructure'!$E$429-'Assumptions - Infrastructure'!$E$430)),S1267*R1272/SUM(S1272:$AH1272)-S1273,0),0)</f>
        <v>0</v>
      </c>
      <c r="T1271" s="126">
        <f>IF('Assumptions - Infrastructure'!$E$423&lt;&gt;0,IF(AND('Assumptions - Infrastructure'!$E431=3,T1265&gt;0,T1265&lt;=('Assumptions - Infrastructure'!$E$429-'Assumptions - Infrastructure'!$E$430)),T1267*S1272/SUM(T1272:$AH1272)-T1273,0),0)</f>
        <v>0</v>
      </c>
      <c r="U1271" s="126">
        <f>IF('Assumptions - Infrastructure'!$E$423&lt;&gt;0,IF(AND('Assumptions - Infrastructure'!$E431=3,U1265&gt;0,U1265&lt;=('Assumptions - Infrastructure'!$E$429-'Assumptions - Infrastructure'!$E$430)),U1267*T1272/SUM(U1272:$AH1272)-U1273,0),0)</f>
        <v>0</v>
      </c>
      <c r="V1271" s="126">
        <f>IF('Assumptions - Infrastructure'!$E$423&lt;&gt;0,IF(AND('Assumptions - Infrastructure'!$E431=3,V1265&gt;0,V1265&lt;=('Assumptions - Infrastructure'!$E$429-'Assumptions - Infrastructure'!$E$430)),V1267*U1272/SUM(V1272:$AH1272)-V1273,0),0)</f>
        <v>0</v>
      </c>
      <c r="W1271" s="126">
        <f>IF('Assumptions - Infrastructure'!$E$423&lt;&gt;0,IF(AND('Assumptions - Infrastructure'!$E431=3,W1265&gt;0,W1265&lt;=('Assumptions - Infrastructure'!$E$429-'Assumptions - Infrastructure'!$E$430)),W1267*V1272/SUM(W1272:$AH1272)-W1273,0),0)</f>
        <v>0</v>
      </c>
      <c r="X1271" s="126">
        <f>IF('Assumptions - Infrastructure'!$E$423&lt;&gt;0,IF(AND('Assumptions - Infrastructure'!$E431=3,X1265&gt;0,X1265&lt;=('Assumptions - Infrastructure'!$E$429-'Assumptions - Infrastructure'!$E$430)),X1267*W1272/SUM(X1272:$AH1272)-X1273,0),0)</f>
        <v>0</v>
      </c>
      <c r="Y1271" s="126">
        <f>IF('Assumptions - Infrastructure'!$E$423&lt;&gt;0,IF(AND('Assumptions - Infrastructure'!$E431=3,Y1265&gt;0,Y1265&lt;=('Assumptions - Infrastructure'!$E$429-'Assumptions - Infrastructure'!$E$430)),Y1267*X1272/SUM(Y1272:$AH1272)-Y1273,0),0)</f>
        <v>0</v>
      </c>
      <c r="Z1271" s="126">
        <f>IF('Assumptions - Infrastructure'!$E$423&lt;&gt;0,IF(AND('Assumptions - Infrastructure'!$E431=3,Z1265&gt;0,Z1265&lt;=('Assumptions - Infrastructure'!$E$429-'Assumptions - Infrastructure'!$E$430)),Z1267*Y1272/SUM(Z1272:$AH1272)-Z1273,0),0)</f>
        <v>0</v>
      </c>
      <c r="AA1271" s="126">
        <f>IF('Assumptions - Infrastructure'!$E$423&lt;&gt;0,IF(AND('Assumptions - Infrastructure'!$E431=3,AA1265&gt;0,AA1265&lt;=('Assumptions - Infrastructure'!$E$429-'Assumptions - Infrastructure'!$E$430)),AA1267*Z1272/SUM(AA1272:$AH1272)-AA1273,0),0)</f>
        <v>0</v>
      </c>
      <c r="AB1271" s="126">
        <f>IF('Assumptions - Infrastructure'!$E$423&lt;&gt;0,IF(AND('Assumptions - Infrastructure'!$E431=3,AB1265&gt;0,AB1265&lt;=('Assumptions - Infrastructure'!$E$429-'Assumptions - Infrastructure'!$E$430)),AB1267*AA1272/SUM(AB1272:$AH1272)-AB1273,0),0)</f>
        <v>0</v>
      </c>
      <c r="AC1271" s="126">
        <f>IF('Assumptions - Infrastructure'!$E$423&lt;&gt;0,IF(AND('Assumptions - Infrastructure'!$E431=3,AC1265&gt;0,AC1265&lt;=('Assumptions - Infrastructure'!$E$429-'Assumptions - Infrastructure'!$E$430)),AC1267*AB1272/SUM(AC1272:$AH1272)-AC1273,0),0)</f>
        <v>0</v>
      </c>
      <c r="AD1271" s="126">
        <f>IF('Assumptions - Infrastructure'!$E$423&lt;&gt;0,IF(AND('Assumptions - Infrastructure'!$E431=3,AD1265&gt;0,AD1265&lt;=('Assumptions - Infrastructure'!$E$429-'Assumptions - Infrastructure'!$E$430)),AD1267*AC1272/SUM(AD1272:$AH1272)-AD1273,0),0)</f>
        <v>0</v>
      </c>
      <c r="AE1271" s="126">
        <f>IF('Assumptions - Infrastructure'!$E$423&lt;&gt;0,IF(AND('Assumptions - Infrastructure'!$E431=3,AE1265&gt;0,AE1265&lt;=('Assumptions - Infrastructure'!$E$429-'Assumptions - Infrastructure'!$E$430)),AE1267*AD1272/SUM(AE1272:$AH1272)-AE1273,0),0)</f>
        <v>0</v>
      </c>
      <c r="AF1271" s="126">
        <f>IF('Assumptions - Infrastructure'!$E$423&lt;&gt;0,IF(AND('Assumptions - Infrastructure'!$E431=3,AF1265&gt;0,AF1265&lt;=('Assumptions - Infrastructure'!$E$429-'Assumptions - Infrastructure'!$E$430)),AF1267*AE1272/SUM(AF1272:$AH1272)-AF1273,0),0)</f>
        <v>0</v>
      </c>
      <c r="AG1271" s="126">
        <f>IF('Assumptions - Infrastructure'!$E$423&lt;&gt;0,IF(AND('Assumptions - Infrastructure'!$E431=3,AG1265&gt;0,AG1265&lt;=('Assumptions - Infrastructure'!$E$429-'Assumptions - Infrastructure'!$E$430)),AG1267*AF1272/SUM(AG1272:$AH1272)-AG1273,0),0)</f>
        <v>0</v>
      </c>
      <c r="AH1271" s="126">
        <f>IF('Assumptions - Infrastructure'!$E$423&lt;&gt;0,IF(AND('Assumptions - Infrastructure'!$E431=3,AH1265&gt;0,AH1265&lt;=('Assumptions - Infrastructure'!$E$429-'Assumptions - Infrastructure'!$E$430)),AH1267*AG1272/SUM(AH1272:$AH1272)-AH1273,0),0)</f>
        <v>0</v>
      </c>
    </row>
    <row r="1272" spans="1:34" s="20" customFormat="1" ht="14" x14ac:dyDescent="0.2">
      <c r="B1272" s="127" t="s">
        <v>677</v>
      </c>
      <c r="D1272" s="87">
        <v>1</v>
      </c>
      <c r="E1272" s="126">
        <f>IF('Assumptions - Infrastructure'!$E$423&lt;&gt;0,IF(AND('Assumptions - Infrastructure'!$E431=3,E1265&lt;=('Assumptions - Infrastructure'!$E$429-'Assumptions - Infrastructure'!$E$430)),D1272/(1+E1266),0),0)</f>
        <v>0</v>
      </c>
      <c r="F1272" s="126">
        <f>IF('Assumptions - Infrastructure'!$E$423&lt;&gt;0,IF(AND('Assumptions - Infrastructure'!$E431=3,F1265&lt;=('Assumptions - Infrastructure'!$E$429-'Assumptions - Infrastructure'!$E$430)),E1272/(1+F1266),0),0)</f>
        <v>0</v>
      </c>
      <c r="G1272" s="126">
        <f>IF('Assumptions - Infrastructure'!$E$423&lt;&gt;0,IF(AND('Assumptions - Infrastructure'!$E431=3,G1265&lt;=('Assumptions - Infrastructure'!$E$429-'Assumptions - Infrastructure'!$E$430)),F1272/(1+G1266),0),0)</f>
        <v>0</v>
      </c>
      <c r="H1272" s="126">
        <f>IF('Assumptions - Infrastructure'!$E$423&lt;&gt;0,IF(AND('Assumptions - Infrastructure'!$E431=3,H1265&lt;=('Assumptions - Infrastructure'!$E$429-'Assumptions - Infrastructure'!$E$430)),G1272/(1+H1266),0),0)</f>
        <v>0</v>
      </c>
      <c r="I1272" s="126">
        <f>IF('Assumptions - Infrastructure'!$E$423&lt;&gt;0,IF(AND('Assumptions - Infrastructure'!$E431=3,I1265&lt;=('Assumptions - Infrastructure'!$E$429-'Assumptions - Infrastructure'!$E$430)),H1272/(1+I1266),0),0)</f>
        <v>0</v>
      </c>
      <c r="J1272" s="126">
        <f>IF('Assumptions - Infrastructure'!$E$423&lt;&gt;0,IF(AND('Assumptions - Infrastructure'!$E431=3,J1265&lt;=('Assumptions - Infrastructure'!$E$429-'Assumptions - Infrastructure'!$E$430)),I1272/(1+J1266),0),0)</f>
        <v>0</v>
      </c>
      <c r="K1272" s="126">
        <f>IF('Assumptions - Infrastructure'!$E$423&lt;&gt;0,IF(AND('Assumptions - Infrastructure'!$E431=3,K1265&lt;=('Assumptions - Infrastructure'!$E$429-'Assumptions - Infrastructure'!$E$430)),J1272/(1+K1266),0),0)</f>
        <v>0</v>
      </c>
      <c r="L1272" s="126">
        <f>IF('Assumptions - Infrastructure'!$E$423&lt;&gt;0,IF(AND('Assumptions - Infrastructure'!$E431=3,L1265&lt;=('Assumptions - Infrastructure'!$E$429-'Assumptions - Infrastructure'!$E$430)),K1272/(1+L1266),0),0)</f>
        <v>0</v>
      </c>
      <c r="M1272" s="126">
        <f>IF('Assumptions - Infrastructure'!$E$423&lt;&gt;0,IF(AND('Assumptions - Infrastructure'!$E431=3,M1265&lt;=('Assumptions - Infrastructure'!$E$429-'Assumptions - Infrastructure'!$E$430)),L1272/(1+M1266),0),0)</f>
        <v>0</v>
      </c>
      <c r="N1272" s="126">
        <f>IF('Assumptions - Infrastructure'!$E$423&lt;&gt;0,IF(AND('Assumptions - Infrastructure'!$E431=3,N1265&lt;=('Assumptions - Infrastructure'!$E$429-'Assumptions - Infrastructure'!$E$430)),M1272/(1+N1266),0),0)</f>
        <v>0</v>
      </c>
      <c r="O1272" s="126">
        <f>IF('Assumptions - Infrastructure'!$E$423&lt;&gt;0,IF(AND('Assumptions - Infrastructure'!$E431=3,O1265&lt;=('Assumptions - Infrastructure'!$E$429-'Assumptions - Infrastructure'!$E$430)),N1272/(1+O1266),0),0)</f>
        <v>0</v>
      </c>
      <c r="P1272" s="126">
        <f>IF('Assumptions - Infrastructure'!$E$423&lt;&gt;0,IF(AND('Assumptions - Infrastructure'!$E431=3,P1265&lt;=('Assumptions - Infrastructure'!$E$429-'Assumptions - Infrastructure'!$E$430)),O1272/(1+P1266),0),0)</f>
        <v>0</v>
      </c>
      <c r="Q1272" s="126">
        <f>IF('Assumptions - Infrastructure'!$E$423&lt;&gt;0,IF(AND('Assumptions - Infrastructure'!$E431=3,Q1265&lt;=('Assumptions - Infrastructure'!$E$429-'Assumptions - Infrastructure'!$E$430)),P1272/(1+Q1266),0),0)</f>
        <v>0</v>
      </c>
      <c r="R1272" s="126">
        <f>IF('Assumptions - Infrastructure'!$E$423&lt;&gt;0,IF(AND('Assumptions - Infrastructure'!$E431=3,R1265&lt;=('Assumptions - Infrastructure'!$E$429-'Assumptions - Infrastructure'!$E$430)),Q1272/(1+R1266),0),0)</f>
        <v>0</v>
      </c>
      <c r="S1272" s="126">
        <f>IF('Assumptions - Infrastructure'!$E$423&lt;&gt;0,IF(AND('Assumptions - Infrastructure'!$E431=3,S1265&lt;=('Assumptions - Infrastructure'!$E$429-'Assumptions - Infrastructure'!$E$430)),R1272/(1+S1266),0),0)</f>
        <v>0</v>
      </c>
      <c r="T1272" s="126">
        <f>IF('Assumptions - Infrastructure'!$E$423&lt;&gt;0,IF(AND('Assumptions - Infrastructure'!$E431=3,T1265&lt;=('Assumptions - Infrastructure'!$E$429-'Assumptions - Infrastructure'!$E$430)),S1272/(1+T1266),0),0)</f>
        <v>0</v>
      </c>
      <c r="U1272" s="126">
        <f>IF('Assumptions - Infrastructure'!$E$423&lt;&gt;0,IF(AND('Assumptions - Infrastructure'!$E431=3,U1265&lt;=('Assumptions - Infrastructure'!$E$429-'Assumptions - Infrastructure'!$E$430)),T1272/(1+U1266),0),0)</f>
        <v>0</v>
      </c>
      <c r="V1272" s="126">
        <f>IF('Assumptions - Infrastructure'!$E$423&lt;&gt;0,IF(AND('Assumptions - Infrastructure'!$E431=3,V1265&lt;=('Assumptions - Infrastructure'!$E$429-'Assumptions - Infrastructure'!$E$430)),U1272/(1+V1266),0),0)</f>
        <v>0</v>
      </c>
      <c r="W1272" s="126">
        <f>IF('Assumptions - Infrastructure'!$E$423&lt;&gt;0,IF(AND('Assumptions - Infrastructure'!$E431=3,W1265&lt;=('Assumptions - Infrastructure'!$E$429-'Assumptions - Infrastructure'!$E$430)),V1272/(1+W1266),0),0)</f>
        <v>0</v>
      </c>
      <c r="X1272" s="126">
        <f>IF('Assumptions - Infrastructure'!$E$423&lt;&gt;0,IF(AND('Assumptions - Infrastructure'!$E431=3,X1265&lt;=('Assumptions - Infrastructure'!$E$429-'Assumptions - Infrastructure'!$E$430)),W1272/(1+X1266),0),0)</f>
        <v>0</v>
      </c>
      <c r="Y1272" s="126">
        <f>IF('Assumptions - Infrastructure'!$E$423&lt;&gt;0,IF(AND('Assumptions - Infrastructure'!$E431=3,Y1265&lt;=('Assumptions - Infrastructure'!$E$429-'Assumptions - Infrastructure'!$E$430)),X1272/(1+Y1266),0),0)</f>
        <v>0</v>
      </c>
      <c r="Z1272" s="126">
        <f>IF('Assumptions - Infrastructure'!$E$423&lt;&gt;0,IF(AND('Assumptions - Infrastructure'!$E431=3,Z1265&lt;=('Assumptions - Infrastructure'!$E$429-'Assumptions - Infrastructure'!$E$430)),Y1272/(1+Z1266),0),0)</f>
        <v>0</v>
      </c>
      <c r="AA1272" s="126">
        <f>IF('Assumptions - Infrastructure'!$E$423&lt;&gt;0,IF(AND('Assumptions - Infrastructure'!$E431=3,AA1265&lt;=('Assumptions - Infrastructure'!$E$429-'Assumptions - Infrastructure'!$E$430)),Z1272/(1+AA1266),0),0)</f>
        <v>0</v>
      </c>
      <c r="AB1272" s="126">
        <f>IF('Assumptions - Infrastructure'!$E$423&lt;&gt;0,IF(AND('Assumptions - Infrastructure'!$E431=3,AB1265&lt;=('Assumptions - Infrastructure'!$E$429-'Assumptions - Infrastructure'!$E$430)),AA1272/(1+AB1266),0),0)</f>
        <v>0</v>
      </c>
      <c r="AC1272" s="126">
        <f>IF('Assumptions - Infrastructure'!$E$423&lt;&gt;0,IF(AND('Assumptions - Infrastructure'!$E431=3,AC1265&lt;=('Assumptions - Infrastructure'!$E$429-'Assumptions - Infrastructure'!$E$430)),AB1272/(1+AC1266),0),0)</f>
        <v>0</v>
      </c>
      <c r="AD1272" s="126">
        <f>IF('Assumptions - Infrastructure'!$E$423&lt;&gt;0,IF(AND('Assumptions - Infrastructure'!$E431=3,AD1265&lt;=('Assumptions - Infrastructure'!$E$429-'Assumptions - Infrastructure'!$E$430)),AC1272/(1+AD1266),0),0)</f>
        <v>0</v>
      </c>
      <c r="AE1272" s="126">
        <f>IF('Assumptions - Infrastructure'!$E$423&lt;&gt;0,IF(AND('Assumptions - Infrastructure'!$E431=3,AE1265&lt;=('Assumptions - Infrastructure'!$E$429-'Assumptions - Infrastructure'!$E$430)),AD1272/(1+AE1266),0),0)</f>
        <v>0</v>
      </c>
      <c r="AF1272" s="126">
        <f>IF('Assumptions - Infrastructure'!$E$423&lt;&gt;0,IF(AND('Assumptions - Infrastructure'!$E431=3,AF1265&lt;=('Assumptions - Infrastructure'!$E$429-'Assumptions - Infrastructure'!$E$430)),AE1272/(1+AF1266),0),0)</f>
        <v>0</v>
      </c>
      <c r="AG1272" s="126">
        <f>IF('Assumptions - Infrastructure'!$E$423&lt;&gt;0,IF(AND('Assumptions - Infrastructure'!$E431=3,AG1265&lt;=('Assumptions - Infrastructure'!$E$429-'Assumptions - Infrastructure'!$E$430)),AF1272/(1+AG1266),0),0)</f>
        <v>0</v>
      </c>
      <c r="AH1272" s="126">
        <f>IF('Assumptions - Infrastructure'!$E$423&lt;&gt;0,IF(AND('Assumptions - Infrastructure'!$E431=3,AH1265&lt;=('Assumptions - Infrastructure'!$E$429-'Assumptions - Infrastructure'!$E$430)),AG1272/(1+AH1266),0),0)</f>
        <v>0</v>
      </c>
    </row>
    <row r="1273" spans="1:34" s="20" customFormat="1" ht="14" x14ac:dyDescent="0.2">
      <c r="A1273" s="8"/>
      <c r="B1273" s="125" t="s">
        <v>679</v>
      </c>
      <c r="C1273" s="8"/>
      <c r="D1273" s="8" t="str">
        <f>D1271</f>
        <v>R$ millions</v>
      </c>
      <c r="E1273" s="126">
        <f>IF('Assumptions - Infrastructure'!$E$423&lt;&gt;0,IF('Assumptions - Infrastructure'!$E431=3,E1266*E1267,0),0)</f>
        <v>0</v>
      </c>
      <c r="F1273" s="126">
        <f>IF('Assumptions - Infrastructure'!$E$423&lt;&gt;0,IF('Assumptions - Infrastructure'!$E431=3,F1266*F1267,0),0)</f>
        <v>0</v>
      </c>
      <c r="G1273" s="126">
        <f>IF('Assumptions - Infrastructure'!$E$423&lt;&gt;0,IF('Assumptions - Infrastructure'!$E431=3,G1266*G1267,0),0)</f>
        <v>0</v>
      </c>
      <c r="H1273" s="126">
        <f>IF('Assumptions - Infrastructure'!$E$423&lt;&gt;0,IF('Assumptions - Infrastructure'!$E431=3,H1266*H1267,0),0)</f>
        <v>0</v>
      </c>
      <c r="I1273" s="126">
        <f>IF('Assumptions - Infrastructure'!$E$423&lt;&gt;0,IF('Assumptions - Infrastructure'!$E431=3,I1266*I1267,0),0)</f>
        <v>0</v>
      </c>
      <c r="J1273" s="126">
        <f>IF('Assumptions - Infrastructure'!$E$423&lt;&gt;0,IF('Assumptions - Infrastructure'!$E431=3,J1266*J1267,0),0)</f>
        <v>0</v>
      </c>
      <c r="K1273" s="126">
        <f>IF('Assumptions - Infrastructure'!$E$423&lt;&gt;0,IF('Assumptions - Infrastructure'!$E431=3,K1266*K1267,0),0)</f>
        <v>0</v>
      </c>
      <c r="L1273" s="126">
        <f>IF('Assumptions - Infrastructure'!$E$423&lt;&gt;0,IF('Assumptions - Infrastructure'!$E431=3,L1266*L1267,0),0)</f>
        <v>0</v>
      </c>
      <c r="M1273" s="126">
        <f>IF('Assumptions - Infrastructure'!$E$423&lt;&gt;0,IF('Assumptions - Infrastructure'!$E431=3,M1266*M1267,0),0)</f>
        <v>0</v>
      </c>
      <c r="N1273" s="126">
        <f>IF('Assumptions - Infrastructure'!$E$423&lt;&gt;0,IF('Assumptions - Infrastructure'!$E431=3,N1266*N1267,0),0)</f>
        <v>0</v>
      </c>
      <c r="O1273" s="126">
        <f>IF('Assumptions - Infrastructure'!$E$423&lt;&gt;0,IF('Assumptions - Infrastructure'!$E431=3,O1266*O1267,0),0)</f>
        <v>0</v>
      </c>
      <c r="P1273" s="126">
        <f>IF('Assumptions - Infrastructure'!$E$423&lt;&gt;0,IF('Assumptions - Infrastructure'!$E431=3,P1266*P1267,0),0)</f>
        <v>0</v>
      </c>
      <c r="Q1273" s="126">
        <f>IF('Assumptions - Infrastructure'!$E$423&lt;&gt;0,IF('Assumptions - Infrastructure'!$E431=3,Q1266*Q1267,0),0)</f>
        <v>0</v>
      </c>
      <c r="R1273" s="126">
        <f>IF('Assumptions - Infrastructure'!$E$423&lt;&gt;0,IF('Assumptions - Infrastructure'!$E431=3,R1266*R1267,0),0)</f>
        <v>0</v>
      </c>
      <c r="S1273" s="126">
        <f>IF('Assumptions - Infrastructure'!$E$423&lt;&gt;0,IF('Assumptions - Infrastructure'!$E431=3,S1266*S1267,0),0)</f>
        <v>0</v>
      </c>
      <c r="T1273" s="126">
        <f>IF('Assumptions - Infrastructure'!$E$423&lt;&gt;0,IF('Assumptions - Infrastructure'!$E431=3,T1266*T1267,0),0)</f>
        <v>0</v>
      </c>
      <c r="U1273" s="126">
        <f>IF('Assumptions - Infrastructure'!$E$423&lt;&gt;0,IF('Assumptions - Infrastructure'!$E431=3,U1266*U1267,0),0)</f>
        <v>0</v>
      </c>
      <c r="V1273" s="126">
        <f>IF('Assumptions - Infrastructure'!$E$423&lt;&gt;0,IF('Assumptions - Infrastructure'!$E431=3,V1266*V1267,0),0)</f>
        <v>0</v>
      </c>
      <c r="W1273" s="126">
        <f>IF('Assumptions - Infrastructure'!$E$423&lt;&gt;0,IF('Assumptions - Infrastructure'!$E431=3,W1266*W1267,0),0)</f>
        <v>0</v>
      </c>
      <c r="X1273" s="126">
        <f>IF('Assumptions - Infrastructure'!$E$423&lt;&gt;0,IF('Assumptions - Infrastructure'!$E431=3,X1266*X1267,0),0)</f>
        <v>0</v>
      </c>
      <c r="Y1273" s="126">
        <f>IF('Assumptions - Infrastructure'!$E$423&lt;&gt;0,IF('Assumptions - Infrastructure'!$E431=3,Y1266*Y1267,0),0)</f>
        <v>0</v>
      </c>
      <c r="Z1273" s="126">
        <f>IF('Assumptions - Infrastructure'!$E$423&lt;&gt;0,IF('Assumptions - Infrastructure'!$E431=3,Z1266*Z1267,0),0)</f>
        <v>0</v>
      </c>
      <c r="AA1273" s="126">
        <f>IF('Assumptions - Infrastructure'!$E$423&lt;&gt;0,IF('Assumptions - Infrastructure'!$E431=3,AA1266*AA1267,0),0)</f>
        <v>0</v>
      </c>
      <c r="AB1273" s="126">
        <f>IF('Assumptions - Infrastructure'!$E$423&lt;&gt;0,IF('Assumptions - Infrastructure'!$E431=3,AB1266*AB1267,0),0)</f>
        <v>0</v>
      </c>
      <c r="AC1273" s="126">
        <f>IF('Assumptions - Infrastructure'!$E$423&lt;&gt;0,IF('Assumptions - Infrastructure'!$E431=3,AC1266*AC1267,0),0)</f>
        <v>0</v>
      </c>
      <c r="AD1273" s="126">
        <f>IF('Assumptions - Infrastructure'!$E$423&lt;&gt;0,IF('Assumptions - Infrastructure'!$E431=3,AD1266*AD1267,0),0)</f>
        <v>0</v>
      </c>
      <c r="AE1273" s="126">
        <f>IF('Assumptions - Infrastructure'!$E$423&lt;&gt;0,IF('Assumptions - Infrastructure'!$E431=3,AE1266*AE1267,0),0)</f>
        <v>0</v>
      </c>
      <c r="AF1273" s="126">
        <f>IF('Assumptions - Infrastructure'!$E$423&lt;&gt;0,IF('Assumptions - Infrastructure'!$E431=3,AF1266*AF1267,0),0)</f>
        <v>0</v>
      </c>
      <c r="AG1273" s="126">
        <f>IF('Assumptions - Infrastructure'!$E$423&lt;&gt;0,IF('Assumptions - Infrastructure'!$E431=3,AG1266*AG1267,0),0)</f>
        <v>0</v>
      </c>
      <c r="AH1273" s="126">
        <f>IF('Assumptions - Infrastructure'!$E$423&lt;&gt;0,IF('Assumptions - Infrastructure'!$E431=3,AH1266*AH1267,0),0)</f>
        <v>0</v>
      </c>
    </row>
    <row r="1274" spans="1:34" s="20" customFormat="1" ht="14" x14ac:dyDescent="0.2">
      <c r="A1274" s="8"/>
      <c r="B1274" s="8" t="s">
        <v>137</v>
      </c>
      <c r="C1274" s="8"/>
      <c r="D1274" s="8" t="str">
        <f t="shared" si="487"/>
        <v>R$ millions</v>
      </c>
      <c r="E1274" s="126">
        <f>IF(E$19=1,IF('Assumptions - Infrastructure'!$E$423&gt;0,'Assumptions - Infrastructure'!E424,0),0)</f>
        <v>0</v>
      </c>
      <c r="F1274" s="126">
        <f>IF(F$19=1,IF('Assumptions - Infrastructure'!$E$423&gt;0,'Assumptions - Infrastructure'!F424,0),0)</f>
        <v>0</v>
      </c>
      <c r="G1274" s="126">
        <f>IF(G$19=1,IF('Assumptions - Infrastructure'!$E$423&gt;0,'Assumptions - Infrastructure'!G424,0),0)</f>
        <v>10</v>
      </c>
      <c r="H1274" s="126">
        <f>IF(H$19=1,IF('Assumptions - Infrastructure'!$E$423&gt;0,'Assumptions - Infrastructure'!H424,0),0)</f>
        <v>10</v>
      </c>
      <c r="I1274" s="126">
        <f>IF(I$19=1,IF('Assumptions - Infrastructure'!$E$423&gt;0,'Assumptions - Infrastructure'!I424,0),0)</f>
        <v>10</v>
      </c>
      <c r="J1274" s="126">
        <f>IF(J$19=1,IF('Assumptions - Infrastructure'!$E$423&gt;0,'Assumptions - Infrastructure'!J424,0),0)</f>
        <v>10</v>
      </c>
      <c r="K1274" s="126">
        <f>IF(K$19=1,IF('Assumptions - Infrastructure'!$E$423&gt;0,'Assumptions - Infrastructure'!K424,0),0)</f>
        <v>10</v>
      </c>
      <c r="L1274" s="126">
        <f>IF(L$19=1,IF('Assumptions - Infrastructure'!$E$423&gt;0,'Assumptions - Infrastructure'!L424,0),0)</f>
        <v>0</v>
      </c>
      <c r="M1274" s="126">
        <f>IF(M$19=1,IF('Assumptions - Infrastructure'!$E$423&gt;0,'Assumptions - Infrastructure'!M424,0),0)</f>
        <v>0</v>
      </c>
      <c r="N1274" s="126">
        <f>IF(N$19=1,IF('Assumptions - Infrastructure'!$E$423&gt;0,'Assumptions - Infrastructure'!N424,0),0)</f>
        <v>0</v>
      </c>
      <c r="O1274" s="126">
        <f>IF(O$19=1,IF('Assumptions - Infrastructure'!$E$423&gt;0,'Assumptions - Infrastructure'!O424,0),0)</f>
        <v>0</v>
      </c>
      <c r="P1274" s="126">
        <f>IF(P$19=1,IF('Assumptions - Infrastructure'!$E$423&gt;0,'Assumptions - Infrastructure'!P424,0),0)</f>
        <v>0</v>
      </c>
      <c r="Q1274" s="126">
        <f>IF(Q$19=1,IF('Assumptions - Infrastructure'!$E$423&gt;0,'Assumptions - Infrastructure'!Q424,0),0)</f>
        <v>0</v>
      </c>
      <c r="R1274" s="126">
        <f>IF(R$19=1,IF('Assumptions - Infrastructure'!$E$423&gt;0,'Assumptions - Infrastructure'!R424,0),0)</f>
        <v>0</v>
      </c>
      <c r="S1274" s="126">
        <f>IF(S$19=1,IF('Assumptions - Infrastructure'!$E$423&gt;0,'Assumptions - Infrastructure'!S424,0),0)</f>
        <v>0</v>
      </c>
      <c r="T1274" s="126">
        <f>IF(T$19=1,IF('Assumptions - Infrastructure'!$E$423&gt;0,'Assumptions - Infrastructure'!T424,0),0)</f>
        <v>0</v>
      </c>
      <c r="U1274" s="126">
        <f>IF(U$19=1,IF('Assumptions - Infrastructure'!$E$423&gt;0,'Assumptions - Infrastructure'!U424,0),0)</f>
        <v>0</v>
      </c>
      <c r="V1274" s="126">
        <f>IF(V$19=1,IF('Assumptions - Infrastructure'!$E$423&gt;0,'Assumptions - Infrastructure'!V424,0),0)</f>
        <v>0</v>
      </c>
      <c r="W1274" s="126">
        <f>IF(W$19=1,IF('Assumptions - Infrastructure'!$E$423&gt;0,'Assumptions - Infrastructure'!W424,0),0)</f>
        <v>0</v>
      </c>
      <c r="X1274" s="126">
        <f>IF(X$19=1,IF('Assumptions - Infrastructure'!$E$423&gt;0,'Assumptions - Infrastructure'!X424,0),0)</f>
        <v>0</v>
      </c>
      <c r="Y1274" s="126">
        <f>IF(Y$19=1,IF('Assumptions - Infrastructure'!$E$423&gt;0,'Assumptions - Infrastructure'!Y424,0),0)</f>
        <v>0</v>
      </c>
      <c r="Z1274" s="126">
        <f>IF(Z$19=1,IF('Assumptions - Infrastructure'!$E$423&gt;0,'Assumptions - Infrastructure'!Z424,0),0)</f>
        <v>0</v>
      </c>
      <c r="AA1274" s="126">
        <f>IF(AA$19=1,IF('Assumptions - Infrastructure'!$E$423&gt;0,'Assumptions - Infrastructure'!AA424,0),0)</f>
        <v>0</v>
      </c>
      <c r="AB1274" s="126">
        <f>IF(AB$19=1,IF('Assumptions - Infrastructure'!$E$423&gt;0,'Assumptions - Infrastructure'!AB424,0),0)</f>
        <v>0</v>
      </c>
      <c r="AC1274" s="126">
        <f>IF(AC$19=1,IF('Assumptions - Infrastructure'!$E$423&gt;0,'Assumptions - Infrastructure'!AC424,0),0)</f>
        <v>0</v>
      </c>
      <c r="AD1274" s="126">
        <f>IF(AD$19=1,IF('Assumptions - Infrastructure'!$E$423&gt;0,'Assumptions - Infrastructure'!AD424,0),0)</f>
        <v>0</v>
      </c>
      <c r="AE1274" s="126">
        <f>IF(AE$19=1,IF('Assumptions - Infrastructure'!$E$423&gt;0,'Assumptions - Infrastructure'!AE424,0),0)</f>
        <v>0</v>
      </c>
      <c r="AF1274" s="126">
        <f>IF(AF$19=1,IF('Assumptions - Infrastructure'!$E$423&gt;0,'Assumptions - Infrastructure'!AF424,0),0)</f>
        <v>0</v>
      </c>
      <c r="AG1274" s="126">
        <f>IF(AG$19=1,IF('Assumptions - Infrastructure'!$E$423&gt;0,'Assumptions - Infrastructure'!AG424,0),0)</f>
        <v>0</v>
      </c>
      <c r="AH1274" s="126">
        <f>IF(AH$19=1,IF('Assumptions - Infrastructure'!$E$423&gt;0,'Assumptions - Infrastructure'!AH424,0),0)</f>
        <v>0</v>
      </c>
    </row>
    <row r="1275" spans="1:34" s="20" customFormat="1" ht="14" x14ac:dyDescent="0.2">
      <c r="A1275" s="8"/>
      <c r="B1275" s="8" t="s">
        <v>138</v>
      </c>
      <c r="C1275" s="8"/>
      <c r="D1275" s="8" t="str">
        <f t="shared" si="487"/>
        <v>R$ millions</v>
      </c>
      <c r="E1275" s="126">
        <f>IF('Assumptions - Infrastructure'!$E$423&lt;&gt;0,E1267-E1268+E1274,0)</f>
        <v>0</v>
      </c>
      <c r="F1275" s="126">
        <f>IF('Assumptions - Infrastructure'!$E$423&lt;&gt;0,F1267-F1268+F1274,0)</f>
        <v>0</v>
      </c>
      <c r="G1275" s="126">
        <f>IF('Assumptions - Infrastructure'!$E$423&lt;&gt;0,G1267-G1268+G1274,0)</f>
        <v>10</v>
      </c>
      <c r="H1275" s="126">
        <f>IF('Assumptions - Infrastructure'!$E$423&lt;&gt;0,H1267-H1268+H1274,0)</f>
        <v>20</v>
      </c>
      <c r="I1275" s="126">
        <f>IF('Assumptions - Infrastructure'!$E$423&lt;&gt;0,I1267-I1268+I1274,0)</f>
        <v>30</v>
      </c>
      <c r="J1275" s="126">
        <f>IF('Assumptions - Infrastructure'!$E$423&lt;&gt;0,J1267-J1268+J1274,0)</f>
        <v>40</v>
      </c>
      <c r="K1275" s="126">
        <f>IF('Assumptions - Infrastructure'!$E$423&lt;&gt;0,K1267-K1268+K1274,0)</f>
        <v>50</v>
      </c>
      <c r="L1275" s="126">
        <f>IF('Assumptions - Infrastructure'!$E$423&lt;&gt;0,L1267-L1268+L1274,0)</f>
        <v>50</v>
      </c>
      <c r="M1275" s="126">
        <f>IF('Assumptions - Infrastructure'!$E$423&lt;&gt;0,M1267-M1268+M1274,0)</f>
        <v>50</v>
      </c>
      <c r="N1275" s="126">
        <f>IF('Assumptions - Infrastructure'!$E$423&lt;&gt;0,N1267-N1268+N1274,0)</f>
        <v>50</v>
      </c>
      <c r="O1275" s="126">
        <f>IF('Assumptions - Infrastructure'!$E$423&lt;&gt;0,O1267-O1268+O1274,0)</f>
        <v>50</v>
      </c>
      <c r="P1275" s="126">
        <f>IF('Assumptions - Infrastructure'!$E$423&lt;&gt;0,P1267-P1268+P1274,0)</f>
        <v>50</v>
      </c>
      <c r="Q1275" s="126">
        <f>IF('Assumptions - Infrastructure'!$E$423&lt;&gt;0,Q1267-Q1268+Q1274,0)</f>
        <v>50</v>
      </c>
      <c r="R1275" s="126">
        <f>IF('Assumptions - Infrastructure'!$E$423&lt;&gt;0,R1267-R1268+R1274,0)</f>
        <v>50</v>
      </c>
      <c r="S1275" s="126">
        <f>IF('Assumptions - Infrastructure'!$E$423&lt;&gt;0,S1267-S1268+S1274,0)</f>
        <v>50</v>
      </c>
      <c r="T1275" s="126">
        <f>IF('Assumptions - Infrastructure'!$E$423&lt;&gt;0,T1267-T1268+T1274,0)</f>
        <v>50</v>
      </c>
      <c r="U1275" s="126">
        <f>IF('Assumptions - Infrastructure'!$E$423&lt;&gt;0,U1267-U1268+U1274,0)</f>
        <v>0</v>
      </c>
      <c r="V1275" s="126">
        <f>IF('Assumptions - Infrastructure'!$E$423&lt;&gt;0,V1267-V1268+V1274,0)</f>
        <v>0</v>
      </c>
      <c r="W1275" s="126">
        <f>IF('Assumptions - Infrastructure'!$E$423&lt;&gt;0,W1267-W1268+W1274,0)</f>
        <v>0</v>
      </c>
      <c r="X1275" s="126">
        <f>IF('Assumptions - Infrastructure'!$E$423&lt;&gt;0,X1267-X1268+X1274,0)</f>
        <v>0</v>
      </c>
      <c r="Y1275" s="126">
        <f>IF('Assumptions - Infrastructure'!$E$423&lt;&gt;0,Y1267-Y1268+Y1274,0)</f>
        <v>0</v>
      </c>
      <c r="Z1275" s="126">
        <f>IF('Assumptions - Infrastructure'!$E$423&lt;&gt;0,Z1267-Z1268+Z1274,0)</f>
        <v>0</v>
      </c>
      <c r="AA1275" s="126">
        <f>IF('Assumptions - Infrastructure'!$E$423&lt;&gt;0,AA1267-AA1268+AA1274,0)</f>
        <v>0</v>
      </c>
      <c r="AB1275" s="126">
        <f>IF('Assumptions - Infrastructure'!$E$423&lt;&gt;0,AB1267-AB1268+AB1274,0)</f>
        <v>0</v>
      </c>
      <c r="AC1275" s="126">
        <f>IF('Assumptions - Infrastructure'!$E$423&lt;&gt;0,AC1267-AC1268+AC1274,0)</f>
        <v>0</v>
      </c>
      <c r="AD1275" s="126">
        <f>IF('Assumptions - Infrastructure'!$E$423&lt;&gt;0,AD1267-AD1268+AD1274,0)</f>
        <v>0</v>
      </c>
      <c r="AE1275" s="126">
        <f>IF('Assumptions - Infrastructure'!$E$423&lt;&gt;0,AE1267-AE1268+AE1274,0)</f>
        <v>0</v>
      </c>
      <c r="AF1275" s="126">
        <f>IF('Assumptions - Infrastructure'!$E$423&lt;&gt;0,AF1267-AF1268+AF1274,0)</f>
        <v>0</v>
      </c>
      <c r="AG1275" s="126">
        <f>IF('Assumptions - Infrastructure'!$E$423&lt;&gt;0,AG1267-AG1268+AG1274,0)</f>
        <v>0</v>
      </c>
      <c r="AH1275" s="126">
        <f>IF('Assumptions - Infrastructure'!$E$423&lt;&gt;0,AH1267-AH1268+AH1274,0)</f>
        <v>0</v>
      </c>
    </row>
    <row r="1276" spans="1:34" s="20" customFormat="1" ht="14" x14ac:dyDescent="0.2">
      <c r="A1276" s="8"/>
      <c r="B1276" s="8" t="s">
        <v>139</v>
      </c>
      <c r="C1276" s="8"/>
      <c r="D1276" s="8" t="str">
        <f t="shared" si="487"/>
        <v>R$ millions</v>
      </c>
      <c r="E1276" s="126">
        <f>IF(E$19=1,IF('Assumptions - Infrastructure'!$E$423&lt;&gt;0,IF(AND('Assumptions - Infrastructure'!$E$431=3,E1265&gt;0),Calculations!E1273,((E1267+E1275)/2)*E1266),0),0)</f>
        <v>0</v>
      </c>
      <c r="F1276" s="126">
        <f>IF(F$19=1,IF('Assumptions - Infrastructure'!$E$423&lt;&gt;0,IF(AND('Assumptions - Infrastructure'!$E$431=3,F1265&gt;0),Calculations!F1273,((F1267+F1275)/2)*F1266),0),0)</f>
        <v>0</v>
      </c>
      <c r="G1276" s="126">
        <f>IF(G$19=1,IF('Assumptions - Infrastructure'!$E$423&lt;&gt;0,IF(AND('Assumptions - Infrastructure'!$E$431=3,G1265&gt;0),Calculations!G1273,((G1267+G1275)/2)*G1266),0),0)</f>
        <v>0.25</v>
      </c>
      <c r="H1276" s="126">
        <f>IF(H$19=1,IF('Assumptions - Infrastructure'!$E$423&lt;&gt;0,IF(AND('Assumptions - Infrastructure'!$E$431=3,H1265&gt;0),Calculations!H1273,((H1267+H1275)/2)*H1266),0),0)</f>
        <v>0.75</v>
      </c>
      <c r="I1276" s="126">
        <f>IF(I$19=1,IF('Assumptions - Infrastructure'!$E$423&lt;&gt;0,IF(AND('Assumptions - Infrastructure'!$E$431=3,I1265&gt;0),Calculations!I1273,((I1267+I1275)/2)*I1266),0),0)</f>
        <v>1.25</v>
      </c>
      <c r="J1276" s="126">
        <f>IF(J$19=1,IF('Assumptions - Infrastructure'!$E$423&lt;&gt;0,IF(AND('Assumptions - Infrastructure'!$E$431=3,J1265&gt;0),Calculations!J1273,((J1267+J1275)/2)*J1266),0),0)</f>
        <v>1.75</v>
      </c>
      <c r="K1276" s="126">
        <f>IF(K$19=1,IF('Assumptions - Infrastructure'!$E$423&lt;&gt;0,IF(AND('Assumptions - Infrastructure'!$E$431=3,K1265&gt;0),Calculations!K1273,((K1267+K1275)/2)*K1266),0),0)</f>
        <v>2.25</v>
      </c>
      <c r="L1276" s="126">
        <f>IF(L$19=1,IF('Assumptions - Infrastructure'!$E$423&lt;&gt;0,IF(AND('Assumptions - Infrastructure'!$E$431=3,L1265&gt;0),Calculations!L1273,((L1267+L1275)/2)*L1266),0),0)</f>
        <v>2.5</v>
      </c>
      <c r="M1276" s="126">
        <f>IF(M$19=1,IF('Assumptions - Infrastructure'!$E$423&lt;&gt;0,IF(AND('Assumptions - Infrastructure'!$E$431=3,M1265&gt;0),Calculations!M1273,((M1267+M1275)/2)*M1266),0),0)</f>
        <v>2.5</v>
      </c>
      <c r="N1276" s="126">
        <f>IF(N$19=1,IF('Assumptions - Infrastructure'!$E$423&lt;&gt;0,IF(AND('Assumptions - Infrastructure'!$E$431=3,N1265&gt;0),Calculations!N1273,((N1267+N1275)/2)*N1266),0),0)</f>
        <v>2.5</v>
      </c>
      <c r="O1276" s="126">
        <f>IF(O$19=1,IF('Assumptions - Infrastructure'!$E$423&lt;&gt;0,IF(AND('Assumptions - Infrastructure'!$E$431=3,O1265&gt;0),Calculations!O1273,((O1267+O1275)/2)*O1266),0),0)</f>
        <v>2.5</v>
      </c>
      <c r="P1276" s="126">
        <f>IF(P$19=1,IF('Assumptions - Infrastructure'!$E$423&lt;&gt;0,IF(AND('Assumptions - Infrastructure'!$E$431=3,P1265&gt;0),Calculations!P1273,((P1267+P1275)/2)*P1266),0),0)</f>
        <v>2.5</v>
      </c>
      <c r="Q1276" s="126">
        <f>IF(Q$19=1,IF('Assumptions - Infrastructure'!$E$423&lt;&gt;0,IF(AND('Assumptions - Infrastructure'!$E$431=3,Q1265&gt;0),Calculations!Q1273,((Q1267+Q1275)/2)*Q1266),0),0)</f>
        <v>2.5</v>
      </c>
      <c r="R1276" s="126">
        <f>IF(R$19=1,IF('Assumptions - Infrastructure'!$E$423&lt;&gt;0,IF(AND('Assumptions - Infrastructure'!$E$431=3,R1265&gt;0),Calculations!R1273,((R1267+R1275)/2)*R1266),0),0)</f>
        <v>2.5</v>
      </c>
      <c r="S1276" s="126">
        <f>IF(S$19=1,IF('Assumptions - Infrastructure'!$E$423&lt;&gt;0,IF(AND('Assumptions - Infrastructure'!$E$431=3,S1265&gt;0),Calculations!S1273,((S1267+S1275)/2)*S1266),0),0)</f>
        <v>2.5</v>
      </c>
      <c r="T1276" s="126">
        <f>IF(T$19=1,IF('Assumptions - Infrastructure'!$E$423&lt;&gt;0,IF(AND('Assumptions - Infrastructure'!$E$431=3,T1265&gt;0),Calculations!T1273,((T1267+T1275)/2)*T1266),0),0)</f>
        <v>2.5</v>
      </c>
      <c r="U1276" s="126">
        <f>IF(U$19=1,IF('Assumptions - Infrastructure'!$E$423&lt;&gt;0,IF(AND('Assumptions - Infrastructure'!$E$431=3,U1265&gt;0),Calculations!U1273,((U1267+U1275)/2)*U1266),0),0)</f>
        <v>1.25</v>
      </c>
      <c r="V1276" s="126">
        <f>IF(V$19=1,IF('Assumptions - Infrastructure'!$E$423&lt;&gt;0,IF(AND('Assumptions - Infrastructure'!$E$431=3,V1265&gt;0),Calculations!V1273,((V1267+V1275)/2)*V1266),0),0)</f>
        <v>0</v>
      </c>
      <c r="W1276" s="126">
        <f>IF(W$19=1,IF('Assumptions - Infrastructure'!$E$423&lt;&gt;0,IF(AND('Assumptions - Infrastructure'!$E$431=3,W1265&gt;0),Calculations!W1273,((W1267+W1275)/2)*W1266),0),0)</f>
        <v>0</v>
      </c>
      <c r="X1276" s="126">
        <f>IF(X$19=1,IF('Assumptions - Infrastructure'!$E$423&lt;&gt;0,IF(AND('Assumptions - Infrastructure'!$E$431=3,X1265&gt;0),Calculations!X1273,((X1267+X1275)/2)*X1266),0),0)</f>
        <v>0</v>
      </c>
      <c r="Y1276" s="126">
        <f>IF(Y$19=1,IF('Assumptions - Infrastructure'!$E$423&lt;&gt;0,IF(AND('Assumptions - Infrastructure'!$E$431=3,Y1265&gt;0),Calculations!Y1273,((Y1267+Y1275)/2)*Y1266),0),0)</f>
        <v>0</v>
      </c>
      <c r="Z1276" s="126">
        <f>IF(Z$19=1,IF('Assumptions - Infrastructure'!$E$423&lt;&gt;0,IF(AND('Assumptions - Infrastructure'!$E$431=3,Z1265&gt;0),Calculations!Z1273,((Z1267+Z1275)/2)*Z1266),0),0)</f>
        <v>0</v>
      </c>
      <c r="AA1276" s="126">
        <f>IF(AA$19=1,IF('Assumptions - Infrastructure'!$E$423&lt;&gt;0,IF(AND('Assumptions - Infrastructure'!$E$431=3,AA1265&gt;0),Calculations!AA1273,((AA1267+AA1275)/2)*AA1266),0),0)</f>
        <v>0</v>
      </c>
      <c r="AB1276" s="126">
        <f>IF(AB$19=1,IF('Assumptions - Infrastructure'!$E$423&lt;&gt;0,IF(AND('Assumptions - Infrastructure'!$E$431=3,AB1265&gt;0),Calculations!AB1273,((AB1267+AB1275)/2)*AB1266),0),0)</f>
        <v>0</v>
      </c>
      <c r="AC1276" s="126">
        <f>IF(AC$19=1,IF('Assumptions - Infrastructure'!$E$423&lt;&gt;0,IF(AND('Assumptions - Infrastructure'!$E$431=3,AC1265&gt;0),Calculations!AC1273,((AC1267+AC1275)/2)*AC1266),0),0)</f>
        <v>0</v>
      </c>
      <c r="AD1276" s="126">
        <f>IF(AD$19=1,IF('Assumptions - Infrastructure'!$E$423&lt;&gt;0,IF(AND('Assumptions - Infrastructure'!$E$431=3,AD1265&gt;0),Calculations!AD1273,((AD1267+AD1275)/2)*AD1266),0),0)</f>
        <v>0</v>
      </c>
      <c r="AE1276" s="126">
        <f>IF(AE$19=1,IF('Assumptions - Infrastructure'!$E$423&lt;&gt;0,IF(AND('Assumptions - Infrastructure'!$E$431=3,AE1265&gt;0),Calculations!AE1273,((AE1267+AE1275)/2)*AE1266),0),0)</f>
        <v>0</v>
      </c>
      <c r="AF1276" s="126">
        <f>IF(AF$19=1,IF('Assumptions - Infrastructure'!$E$423&lt;&gt;0,IF(AND('Assumptions - Infrastructure'!$E$431=3,AF1265&gt;0),Calculations!AF1273,((AF1267+AF1275)/2)*AF1266),0),0)</f>
        <v>0</v>
      </c>
      <c r="AG1276" s="126">
        <f>IF(AG$19=1,IF('Assumptions - Infrastructure'!$E$423&lt;&gt;0,IF(AND('Assumptions - Infrastructure'!$E$431=3,AG1265&gt;0),Calculations!AG1273,((AG1267+AG1275)/2)*AG1266),0),0)</f>
        <v>0</v>
      </c>
      <c r="AH1276" s="126">
        <f>IF(AH$19=1,IF('Assumptions - Infrastructure'!$E$423&lt;&gt;0,IF(AND('Assumptions - Infrastructure'!$E$431=3,AH1265&gt;0),Calculations!AH1273,((AH1267+AH1275)/2)*AH1266),0),0)</f>
        <v>0</v>
      </c>
    </row>
    <row r="1277" spans="1:34" s="20" customFormat="1" ht="14" x14ac:dyDescent="0.2">
      <c r="A1277" s="8"/>
      <c r="B1277" s="8" t="s">
        <v>53</v>
      </c>
      <c r="C1277" s="8"/>
      <c r="D1277" s="8" t="str">
        <f t="shared" si="487"/>
        <v>R$ millions</v>
      </c>
      <c r="E1277" s="126">
        <f>IF(E$19=1,IF('Assumptions - Infrastructure'!$E$420=Calculations!E$4,'Assumptions - Infrastructure'!$E$433*'Assumptions - Infrastructure'!$E$423,0),0)</f>
        <v>0</v>
      </c>
      <c r="F1277" s="126">
        <f>IF(F$19=1,IF('Assumptions - Infrastructure'!$E$420=Calculations!F$4,'Assumptions - Infrastructure'!$E$433*'Assumptions - Infrastructure'!$E$423,0),0)</f>
        <v>0</v>
      </c>
      <c r="G1277" s="126">
        <f>IF(G$19=1,IF('Assumptions - Infrastructure'!$E$420=Calculations!G$4,'Assumptions - Infrastructure'!$E$433*'Assumptions - Infrastructure'!$E$423,0),0)</f>
        <v>0.125</v>
      </c>
      <c r="H1277" s="126">
        <f>IF(H$19=1,IF('Assumptions - Infrastructure'!$E$420=Calculations!H$4,'Assumptions - Infrastructure'!$E$433*'Assumptions - Infrastructure'!$E$423,0),0)</f>
        <v>0</v>
      </c>
      <c r="I1277" s="126">
        <f>IF(I$19=1,IF('Assumptions - Infrastructure'!$E$420=Calculations!I$4,'Assumptions - Infrastructure'!$E$433*'Assumptions - Infrastructure'!$E$423,0),0)</f>
        <v>0</v>
      </c>
      <c r="J1277" s="126">
        <f>IF(J$19=1,IF('Assumptions - Infrastructure'!$E$420=Calculations!J$4,'Assumptions - Infrastructure'!$E$433*'Assumptions - Infrastructure'!$E$423,0),0)</f>
        <v>0</v>
      </c>
      <c r="K1277" s="126">
        <f>IF(K$19=1,IF('Assumptions - Infrastructure'!$E$420=Calculations!K$4,'Assumptions - Infrastructure'!$E$433*'Assumptions - Infrastructure'!$E$423,0),0)</f>
        <v>0</v>
      </c>
      <c r="L1277" s="126">
        <f>IF(L$19=1,IF('Assumptions - Infrastructure'!$E$420=Calculations!L$4,'Assumptions - Infrastructure'!$E$433*'Assumptions - Infrastructure'!$E$423,0),0)</f>
        <v>0</v>
      </c>
      <c r="M1277" s="126">
        <f>IF(M$19=1,IF('Assumptions - Infrastructure'!$E$420=Calculations!M$4,'Assumptions - Infrastructure'!$E$433*'Assumptions - Infrastructure'!$E$423,0),0)</f>
        <v>0</v>
      </c>
      <c r="N1277" s="126">
        <f>IF(N$19=1,IF('Assumptions - Infrastructure'!$E$420=Calculations!N$4,'Assumptions - Infrastructure'!$E$433*'Assumptions - Infrastructure'!$E$423,0),0)</f>
        <v>0</v>
      </c>
      <c r="O1277" s="126">
        <f>IF(O$19=1,IF('Assumptions - Infrastructure'!$E$420=Calculations!O$4,'Assumptions - Infrastructure'!$E$433*'Assumptions - Infrastructure'!$E$423,0),0)</f>
        <v>0</v>
      </c>
      <c r="P1277" s="126">
        <f>IF(P$19=1,IF('Assumptions - Infrastructure'!$E$420=Calculations!P$4,'Assumptions - Infrastructure'!$E$433*'Assumptions - Infrastructure'!$E$423,0),0)</f>
        <v>0</v>
      </c>
      <c r="Q1277" s="126">
        <f>IF(Q$19=1,IF('Assumptions - Infrastructure'!$E$420=Calculations!Q$4,'Assumptions - Infrastructure'!$E$433*'Assumptions - Infrastructure'!$E$423,0),0)</f>
        <v>0</v>
      </c>
      <c r="R1277" s="126">
        <f>IF(R$19=1,IF('Assumptions - Infrastructure'!$E$420=Calculations!R$4,'Assumptions - Infrastructure'!$E$433*'Assumptions - Infrastructure'!$E$423,0),0)</f>
        <v>0</v>
      </c>
      <c r="S1277" s="126">
        <f>IF(S$19=1,IF('Assumptions - Infrastructure'!$E$420=Calculations!S$4,'Assumptions - Infrastructure'!$E$433*'Assumptions - Infrastructure'!$E$423,0),0)</f>
        <v>0</v>
      </c>
      <c r="T1277" s="126">
        <f>IF(T$19=1,IF('Assumptions - Infrastructure'!$E$420=Calculations!T$4,'Assumptions - Infrastructure'!$E$433*'Assumptions - Infrastructure'!$E$423,0),0)</f>
        <v>0</v>
      </c>
      <c r="U1277" s="126">
        <f>IF(U$19=1,IF('Assumptions - Infrastructure'!$E$420=Calculations!U$4,'Assumptions - Infrastructure'!$E$433*'Assumptions - Infrastructure'!$E$423,0),0)</f>
        <v>0</v>
      </c>
      <c r="V1277" s="126">
        <f>IF(V$19=1,IF('Assumptions - Infrastructure'!$E$420=Calculations!V$4,'Assumptions - Infrastructure'!$E$433*'Assumptions - Infrastructure'!$E$423,0),0)</f>
        <v>0</v>
      </c>
      <c r="W1277" s="126">
        <f>IF(W$19=1,IF('Assumptions - Infrastructure'!$E$420=Calculations!W$4,'Assumptions - Infrastructure'!$E$433*'Assumptions - Infrastructure'!$E$423,0),0)</f>
        <v>0</v>
      </c>
      <c r="X1277" s="126">
        <f>IF(X$19=1,IF('Assumptions - Infrastructure'!$E$420=Calculations!X$4,'Assumptions - Infrastructure'!$E$433*'Assumptions - Infrastructure'!$E$423,0),0)</f>
        <v>0</v>
      </c>
      <c r="Y1277" s="126">
        <f>IF(Y$19=1,IF('Assumptions - Infrastructure'!$E$420=Calculations!Y$4,'Assumptions - Infrastructure'!$E$433*'Assumptions - Infrastructure'!$E$423,0),0)</f>
        <v>0</v>
      </c>
      <c r="Z1277" s="126">
        <f>IF(Z$19=1,IF('Assumptions - Infrastructure'!$E$420=Calculations!Z$4,'Assumptions - Infrastructure'!$E$433*'Assumptions - Infrastructure'!$E$423,0),0)</f>
        <v>0</v>
      </c>
      <c r="AA1277" s="126">
        <f>IF(AA$19=1,IF('Assumptions - Infrastructure'!$E$420=Calculations!AA$4,'Assumptions - Infrastructure'!$E$433*'Assumptions - Infrastructure'!$E$423,0),0)</f>
        <v>0</v>
      </c>
      <c r="AB1277" s="126">
        <f>IF(AB$19=1,IF('Assumptions - Infrastructure'!$E$420=Calculations!AB$4,'Assumptions - Infrastructure'!$E$433*'Assumptions - Infrastructure'!$E$423,0),0)</f>
        <v>0</v>
      </c>
      <c r="AC1277" s="126">
        <f>IF(AC$19=1,IF('Assumptions - Infrastructure'!$E$420=Calculations!AC$4,'Assumptions - Infrastructure'!$E$433*'Assumptions - Infrastructure'!$E$423,0),0)</f>
        <v>0</v>
      </c>
      <c r="AD1277" s="126">
        <f>IF(AD$19=1,IF('Assumptions - Infrastructure'!$E$420=Calculations!AD$4,'Assumptions - Infrastructure'!$E$433*'Assumptions - Infrastructure'!$E$423,0),0)</f>
        <v>0</v>
      </c>
      <c r="AE1277" s="126">
        <f>IF(AE$19=1,IF('Assumptions - Infrastructure'!$E$420=Calculations!AE$4,'Assumptions - Infrastructure'!$E$433*'Assumptions - Infrastructure'!$E$423,0),0)</f>
        <v>0</v>
      </c>
      <c r="AF1277" s="126">
        <f>IF(AF$19=1,IF('Assumptions - Infrastructure'!$E$420=Calculations!AF$4,'Assumptions - Infrastructure'!$E$433*'Assumptions - Infrastructure'!$E$423,0),0)</f>
        <v>0</v>
      </c>
      <c r="AG1277" s="126">
        <f>IF(AG$19=1,IF('Assumptions - Infrastructure'!$E$420=Calculations!AG$4,'Assumptions - Infrastructure'!$E$433*'Assumptions - Infrastructure'!$E$423,0),0)</f>
        <v>0</v>
      </c>
      <c r="AH1277" s="126">
        <f>IF(AH$19=1,IF('Assumptions - Infrastructure'!$E$420=Calculations!AH$4,'Assumptions - Infrastructure'!$E$433*'Assumptions - Infrastructure'!$E$423,0),0)</f>
        <v>0</v>
      </c>
    </row>
    <row r="1278" spans="1:34" s="20" customFormat="1" ht="14" x14ac:dyDescent="0.2">
      <c r="A1278" s="8"/>
      <c r="B1278" s="8" t="s">
        <v>142</v>
      </c>
      <c r="C1278" s="8"/>
      <c r="D1278" s="8" t="str">
        <f t="shared" si="487"/>
        <v>R$ millions</v>
      </c>
      <c r="E1278" s="126">
        <f>IF(E$19=1,IF(AND(E4&lt;=('Assumptions - Infrastructure'!$E$420+'Assumptions - Infrastructure'!$E$430),E4&gt;='Assumptions - Infrastructure'!$E$420),'Assumptions - Infrastructure'!$E$423-Calculations!E1267-E1274,0),0)</f>
        <v>0</v>
      </c>
      <c r="F1278" s="126">
        <f>IF(F$19=1,IF(AND(F4&lt;=('Assumptions - Infrastructure'!$E$420+'Assumptions - Infrastructure'!$E$430),F4&gt;='Assumptions - Infrastructure'!$E$420),'Assumptions - Infrastructure'!$E$423-Calculations!F1267-F1274,0),0)</f>
        <v>0</v>
      </c>
      <c r="G1278" s="126">
        <f>IF(G$19=1,IF(AND(G4&lt;=('Assumptions - Infrastructure'!$E$420+'Assumptions - Infrastructure'!$E$430),G4&gt;='Assumptions - Infrastructure'!$E$420),'Assumptions - Infrastructure'!$E$423-Calculations!G1267-G1274,0),0)</f>
        <v>40</v>
      </c>
      <c r="H1278" s="126">
        <f>IF(H$19=1,IF(AND(H4&lt;=('Assumptions - Infrastructure'!$E$420+'Assumptions - Infrastructure'!$E$430),H4&gt;='Assumptions - Infrastructure'!$E$420),'Assumptions - Infrastructure'!$E$423-Calculations!H1267-H1274,0),0)</f>
        <v>30</v>
      </c>
      <c r="I1278" s="126">
        <f>IF(I$19=1,IF(AND(I4&lt;=('Assumptions - Infrastructure'!$E$420+'Assumptions - Infrastructure'!$E$430),I4&gt;='Assumptions - Infrastructure'!$E$420),'Assumptions - Infrastructure'!$E$423-Calculations!I1267-I1274,0),0)</f>
        <v>20</v>
      </c>
      <c r="J1278" s="126">
        <f>IF(J$19=1,IF(AND(J4&lt;=('Assumptions - Infrastructure'!$E$420+'Assumptions - Infrastructure'!$E$430),J4&gt;='Assumptions - Infrastructure'!$E$420),'Assumptions - Infrastructure'!$E$423-Calculations!J1267-J1274,0),0)</f>
        <v>10</v>
      </c>
      <c r="K1278" s="126">
        <f>IF(K$19=1,IF(AND(K4&lt;=('Assumptions - Infrastructure'!$E$420+'Assumptions - Infrastructure'!$E$430),K4&gt;='Assumptions - Infrastructure'!$E$420),'Assumptions - Infrastructure'!$E$423-Calculations!K1267-K1274,0),0)</f>
        <v>0</v>
      </c>
      <c r="L1278" s="126">
        <f>IF(L$19=1,IF(AND(L4&lt;=('Assumptions - Infrastructure'!$E$420+'Assumptions - Infrastructure'!$E$430),L4&gt;='Assumptions - Infrastructure'!$E$420),'Assumptions - Infrastructure'!$E$423-Calculations!L1267-L1274,0),0)</f>
        <v>0</v>
      </c>
      <c r="M1278" s="126">
        <f>IF(M$19=1,IF(AND(M4&lt;=('Assumptions - Infrastructure'!$E$420+'Assumptions - Infrastructure'!$E$430),M4&gt;='Assumptions - Infrastructure'!$E$420),'Assumptions - Infrastructure'!$E$423-Calculations!M1267-M1274,0),0)</f>
        <v>0</v>
      </c>
      <c r="N1278" s="126">
        <f>IF(N$19=1,IF(AND(N4&lt;=('Assumptions - Infrastructure'!$E$420+'Assumptions - Infrastructure'!$E$430),N4&gt;='Assumptions - Infrastructure'!$E$420),'Assumptions - Infrastructure'!$E$423-Calculations!N1267-N1274,0),0)</f>
        <v>0</v>
      </c>
      <c r="O1278" s="126">
        <f>IF(O$19=1,IF(AND(O4&lt;=('Assumptions - Infrastructure'!$E$420+'Assumptions - Infrastructure'!$E$430),O4&gt;='Assumptions - Infrastructure'!$E$420),'Assumptions - Infrastructure'!$E$423-Calculations!O1267-O1274,0),0)</f>
        <v>0</v>
      </c>
      <c r="P1278" s="126">
        <f>IF(P$19=1,IF(AND(P4&lt;=('Assumptions - Infrastructure'!$E$420+'Assumptions - Infrastructure'!$E$430),P4&gt;='Assumptions - Infrastructure'!$E$420),'Assumptions - Infrastructure'!$E$423-Calculations!P1267-P1274,0),0)</f>
        <v>0</v>
      </c>
      <c r="Q1278" s="126">
        <f>IF(Q$19=1,IF(AND(Q4&lt;=('Assumptions - Infrastructure'!$E$420+'Assumptions - Infrastructure'!$E$430),Q4&gt;='Assumptions - Infrastructure'!$E$420),'Assumptions - Infrastructure'!$E$423-Calculations!Q1267-Q1274,0),0)</f>
        <v>0</v>
      </c>
      <c r="R1278" s="126">
        <f>IF(R$19=1,IF(AND(R4&lt;=('Assumptions - Infrastructure'!$E$420+'Assumptions - Infrastructure'!$E$430),R4&gt;='Assumptions - Infrastructure'!$E$420),'Assumptions - Infrastructure'!$E$423-Calculations!R1267-R1274,0),0)</f>
        <v>0</v>
      </c>
      <c r="S1278" s="126">
        <f>IF(S$19=1,IF(AND(S4&lt;=('Assumptions - Infrastructure'!$E$420+'Assumptions - Infrastructure'!$E$430),S4&gt;='Assumptions - Infrastructure'!$E$420),'Assumptions - Infrastructure'!$E$423-Calculations!S1267-S1274,0),0)</f>
        <v>0</v>
      </c>
      <c r="T1278" s="126">
        <f>IF(T$19=1,IF(AND(T4&lt;=('Assumptions - Infrastructure'!$E$420+'Assumptions - Infrastructure'!$E$430),T4&gt;='Assumptions - Infrastructure'!$E$420),'Assumptions - Infrastructure'!$E$423-Calculations!T1267-T1274,0),0)</f>
        <v>0</v>
      </c>
      <c r="U1278" s="126">
        <f>IF(U$19=1,IF(AND(U4&lt;=('Assumptions - Infrastructure'!$E$420+'Assumptions - Infrastructure'!$E$430),U4&gt;='Assumptions - Infrastructure'!$E$420),'Assumptions - Infrastructure'!$E$423-Calculations!U1267-U1274,0),0)</f>
        <v>0</v>
      </c>
      <c r="V1278" s="126">
        <f>IF(V$19=1,IF(AND(V4&lt;=('Assumptions - Infrastructure'!$E$420+'Assumptions - Infrastructure'!$E$430),V4&gt;='Assumptions - Infrastructure'!$E$420),'Assumptions - Infrastructure'!$E$423-Calculations!V1267-V1274,0),0)</f>
        <v>0</v>
      </c>
      <c r="W1278" s="126">
        <f>IF(W$19=1,IF(AND(W4&lt;=('Assumptions - Infrastructure'!$E$420+'Assumptions - Infrastructure'!$E$430),W4&gt;='Assumptions - Infrastructure'!$E$420),'Assumptions - Infrastructure'!$E$423-Calculations!W1267-W1274,0),0)</f>
        <v>0</v>
      </c>
      <c r="X1278" s="126">
        <f>IF(X$19=1,IF(AND(X4&lt;=('Assumptions - Infrastructure'!$E$420+'Assumptions - Infrastructure'!$E$430),X4&gt;='Assumptions - Infrastructure'!$E$420),'Assumptions - Infrastructure'!$E$423-Calculations!X1267-X1274,0),0)</f>
        <v>0</v>
      </c>
      <c r="Y1278" s="126">
        <f>IF(Y$19=1,IF(AND(Y4&lt;=('Assumptions - Infrastructure'!$E$420+'Assumptions - Infrastructure'!$E$430),Y4&gt;='Assumptions - Infrastructure'!$E$420),'Assumptions - Infrastructure'!$E$423-Calculations!Y1267-Y1274,0),0)</f>
        <v>0</v>
      </c>
      <c r="Z1278" s="126">
        <f>IF(Z$19=1,IF(AND(Z4&lt;=('Assumptions - Infrastructure'!$E$420+'Assumptions - Infrastructure'!$E$430),Z4&gt;='Assumptions - Infrastructure'!$E$420),'Assumptions - Infrastructure'!$E$423-Calculations!Z1267-Z1274,0),0)</f>
        <v>0</v>
      </c>
      <c r="AA1278" s="126">
        <f>IF(AA$19=1,IF(AND(AA4&lt;=('Assumptions - Infrastructure'!$E$420+'Assumptions - Infrastructure'!$E$430),AA4&gt;='Assumptions - Infrastructure'!$E$420),'Assumptions - Infrastructure'!$E$423-Calculations!AA1267-AA1274,0),0)</f>
        <v>0</v>
      </c>
      <c r="AB1278" s="126">
        <f>IF(AB$19=1,IF(AND(AB4&lt;=('Assumptions - Infrastructure'!$E$420+'Assumptions - Infrastructure'!$E$430),AB4&gt;='Assumptions - Infrastructure'!$E$420),'Assumptions - Infrastructure'!$E$423-Calculations!AB1267-AB1274,0),0)</f>
        <v>0</v>
      </c>
      <c r="AC1278" s="126">
        <f>IF(AC$19=1,IF(AND(AC4&lt;=('Assumptions - Infrastructure'!$E$420+'Assumptions - Infrastructure'!$E$430),AC4&gt;='Assumptions - Infrastructure'!$E$420),'Assumptions - Infrastructure'!$E$423-Calculations!AC1267-AC1274,0),0)</f>
        <v>0</v>
      </c>
      <c r="AD1278" s="126">
        <f>IF(AD$19=1,IF(AND(AD4&lt;=('Assumptions - Infrastructure'!$E$420+'Assumptions - Infrastructure'!$E$430),AD4&gt;='Assumptions - Infrastructure'!$E$420),'Assumptions - Infrastructure'!$E$423-Calculations!AD1267-AD1274,0),0)</f>
        <v>0</v>
      </c>
      <c r="AE1278" s="126">
        <f>IF(AE$19=1,IF(AND(AE4&lt;=('Assumptions - Infrastructure'!$E$420+'Assumptions - Infrastructure'!$E$430),AE4&gt;='Assumptions - Infrastructure'!$E$420),'Assumptions - Infrastructure'!$E$423-Calculations!AE1267-AE1274,0),0)</f>
        <v>0</v>
      </c>
      <c r="AF1278" s="126">
        <f>IF(AF$19=1,IF(AND(AF4&lt;=('Assumptions - Infrastructure'!$E$420+'Assumptions - Infrastructure'!$E$430),AF4&gt;='Assumptions - Infrastructure'!$E$420),'Assumptions - Infrastructure'!$E$423-Calculations!AF1267-AF1274,0),0)</f>
        <v>0</v>
      </c>
      <c r="AG1278" s="126">
        <f>IF(AG$19=1,IF(AND(AG4&lt;=('Assumptions - Infrastructure'!$E$420+'Assumptions - Infrastructure'!$E$430),AG4&gt;='Assumptions - Infrastructure'!$E$420),'Assumptions - Infrastructure'!$E$423-Calculations!AG1267-AG1274,0),0)</f>
        <v>0</v>
      </c>
      <c r="AH1278" s="126">
        <f>IF(AH$19=1,IF(AND(AH4&lt;=('Assumptions - Infrastructure'!$E$420+'Assumptions - Infrastructure'!$E$430),AH4&gt;='Assumptions - Infrastructure'!$E$420),'Assumptions - Infrastructure'!$E$423-Calculations!AH1267-AH1274,0),0)</f>
        <v>0</v>
      </c>
    </row>
    <row r="1279" spans="1:34" s="20" customFormat="1" ht="14" x14ac:dyDescent="0.2">
      <c r="A1279" s="8"/>
      <c r="B1279" s="8" t="s">
        <v>55</v>
      </c>
      <c r="C1279" s="8"/>
      <c r="D1279" s="8" t="str">
        <f t="shared" si="487"/>
        <v>R$ millions</v>
      </c>
      <c r="E1279" s="126">
        <f>IF(E$19=1,'Assumptions - Freight'!$E$499*Calculations!E1278,0)</f>
        <v>0</v>
      </c>
      <c r="F1279" s="126">
        <f>IF(F$19=1,'Assumptions - Freight'!$E$499*Calculations!F1278,0)</f>
        <v>0</v>
      </c>
      <c r="G1279" s="126">
        <f>IF(G$19=1,'Assumptions - Freight'!$E$499*Calculations!G1278,0)</f>
        <v>0</v>
      </c>
      <c r="H1279" s="126">
        <f>IF(H$19=1,'Assumptions - Freight'!$E$499*Calculations!H1278,0)</f>
        <v>0</v>
      </c>
      <c r="I1279" s="126">
        <f>IF(I$19=1,'Assumptions - Freight'!$E$499*Calculations!I1278,0)</f>
        <v>0</v>
      </c>
      <c r="J1279" s="126">
        <f>IF(J$19=1,'Assumptions - Freight'!$E$499*Calculations!J1278,0)</f>
        <v>0</v>
      </c>
      <c r="K1279" s="126">
        <f>IF(K$19=1,'Assumptions - Freight'!$E$499*Calculations!K1278,0)</f>
        <v>0</v>
      </c>
      <c r="L1279" s="126">
        <f>IF(L$19=1,'Assumptions - Freight'!$E$499*Calculations!L1278,0)</f>
        <v>0</v>
      </c>
      <c r="M1279" s="126">
        <f>IF(M$19=1,'Assumptions - Freight'!$E$499*Calculations!M1278,0)</f>
        <v>0</v>
      </c>
      <c r="N1279" s="126">
        <f>IF(N$19=1,'Assumptions - Freight'!$E$499*Calculations!N1278,0)</f>
        <v>0</v>
      </c>
      <c r="O1279" s="126">
        <f>IF(O$19=1,'Assumptions - Freight'!$E$499*Calculations!O1278,0)</f>
        <v>0</v>
      </c>
      <c r="P1279" s="126">
        <f>IF(P$19=1,'Assumptions - Freight'!$E$499*Calculations!P1278,0)</f>
        <v>0</v>
      </c>
      <c r="Q1279" s="126">
        <f>IF(Q$19=1,'Assumptions - Freight'!$E$499*Calculations!Q1278,0)</f>
        <v>0</v>
      </c>
      <c r="R1279" s="126">
        <f>IF(R$19=1,'Assumptions - Freight'!$E$499*Calculations!R1278,0)</f>
        <v>0</v>
      </c>
      <c r="S1279" s="126">
        <f>IF(S$19=1,'Assumptions - Freight'!$E$499*Calculations!S1278,0)</f>
        <v>0</v>
      </c>
      <c r="T1279" s="126">
        <f>IF(T$19=1,'Assumptions - Freight'!$E$499*Calculations!T1278,0)</f>
        <v>0</v>
      </c>
      <c r="U1279" s="126">
        <f>IF(U$19=1,'Assumptions - Freight'!$E$499*Calculations!U1278,0)</f>
        <v>0</v>
      </c>
      <c r="V1279" s="126">
        <f>IF(V$19=1,'Assumptions - Freight'!$E$499*Calculations!V1278,0)</f>
        <v>0</v>
      </c>
      <c r="W1279" s="126">
        <f>IF(W$19=1,'Assumptions - Freight'!$E$499*Calculations!W1278,0)</f>
        <v>0</v>
      </c>
      <c r="X1279" s="126">
        <f>IF(X$19=1,'Assumptions - Freight'!$E$499*Calculations!X1278,0)</f>
        <v>0</v>
      </c>
      <c r="Y1279" s="126">
        <f>IF(Y$19=1,'Assumptions - Freight'!$E$499*Calculations!Y1278,0)</f>
        <v>0</v>
      </c>
      <c r="Z1279" s="126">
        <f>IF(Z$19=1,'Assumptions - Freight'!$E$499*Calculations!Z1278,0)</f>
        <v>0</v>
      </c>
      <c r="AA1279" s="126">
        <f>IF(AA$19=1,'Assumptions - Freight'!$E$499*Calculations!AA1278,0)</f>
        <v>0</v>
      </c>
      <c r="AB1279" s="126">
        <f>IF(AB$19=1,'Assumptions - Freight'!$E$499*Calculations!AB1278,0)</f>
        <v>0</v>
      </c>
      <c r="AC1279" s="126">
        <f>IF(AC$19=1,'Assumptions - Freight'!$E$499*Calculations!AC1278,0)</f>
        <v>0</v>
      </c>
      <c r="AD1279" s="126">
        <f>IF(AD$19=1,'Assumptions - Freight'!$E$499*Calculations!AD1278,0)</f>
        <v>0</v>
      </c>
      <c r="AE1279" s="126">
        <f>IF(AE$19=1,'Assumptions - Freight'!$E$499*Calculations!AE1278,0)</f>
        <v>0</v>
      </c>
      <c r="AF1279" s="126">
        <f>IF(AF$19=1,'Assumptions - Freight'!$E$499*Calculations!AF1278,0)</f>
        <v>0</v>
      </c>
      <c r="AG1279" s="126">
        <f>IF(AG$19=1,'Assumptions - Freight'!$E$499*Calculations!AG1278,0)</f>
        <v>0</v>
      </c>
      <c r="AH1279" s="126">
        <f>IF(AH$19=1,'Assumptions - Freight'!$E$499*Calculations!AH1278,0)</f>
        <v>0</v>
      </c>
    </row>
    <row r="1280" spans="1:34" s="20" customFormat="1" ht="14" x14ac:dyDescent="0.2">
      <c r="A1280" s="8"/>
      <c r="B1280" s="8" t="s">
        <v>140</v>
      </c>
      <c r="C1280" s="8"/>
      <c r="D1280" s="8" t="str">
        <f t="shared" si="487"/>
        <v>R$ millions</v>
      </c>
      <c r="E1280" s="126">
        <f t="shared" ref="E1280" si="488">E1268+E1276+E1277+E1279</f>
        <v>0</v>
      </c>
      <c r="F1280" s="126">
        <f t="shared" ref="F1280:AH1280" si="489">F1268+F1276+F1277+F1279</f>
        <v>0</v>
      </c>
      <c r="G1280" s="126">
        <f t="shared" si="489"/>
        <v>0.375</v>
      </c>
      <c r="H1280" s="126">
        <f t="shared" si="489"/>
        <v>0.75</v>
      </c>
      <c r="I1280" s="126">
        <f t="shared" si="489"/>
        <v>1.25</v>
      </c>
      <c r="J1280" s="126">
        <f t="shared" si="489"/>
        <v>1.75</v>
      </c>
      <c r="K1280" s="126">
        <f t="shared" si="489"/>
        <v>2.25</v>
      </c>
      <c r="L1280" s="126">
        <f t="shared" si="489"/>
        <v>2.5</v>
      </c>
      <c r="M1280" s="126">
        <f t="shared" si="489"/>
        <v>2.5</v>
      </c>
      <c r="N1280" s="126">
        <f t="shared" si="489"/>
        <v>2.5</v>
      </c>
      <c r="O1280" s="126">
        <f t="shared" si="489"/>
        <v>2.5</v>
      </c>
      <c r="P1280" s="126">
        <f t="shared" si="489"/>
        <v>2.5</v>
      </c>
      <c r="Q1280" s="126">
        <f t="shared" si="489"/>
        <v>2.5</v>
      </c>
      <c r="R1280" s="126">
        <f t="shared" si="489"/>
        <v>2.5</v>
      </c>
      <c r="S1280" s="126">
        <f t="shared" si="489"/>
        <v>2.5</v>
      </c>
      <c r="T1280" s="126">
        <f t="shared" si="489"/>
        <v>2.5</v>
      </c>
      <c r="U1280" s="126">
        <f t="shared" si="489"/>
        <v>51.25</v>
      </c>
      <c r="V1280" s="126">
        <f t="shared" si="489"/>
        <v>0</v>
      </c>
      <c r="W1280" s="126">
        <f t="shared" si="489"/>
        <v>0</v>
      </c>
      <c r="X1280" s="126">
        <f t="shared" si="489"/>
        <v>0</v>
      </c>
      <c r="Y1280" s="126">
        <f t="shared" si="489"/>
        <v>0</v>
      </c>
      <c r="Z1280" s="126">
        <f t="shared" si="489"/>
        <v>0</v>
      </c>
      <c r="AA1280" s="126">
        <f t="shared" si="489"/>
        <v>0</v>
      </c>
      <c r="AB1280" s="126">
        <f t="shared" si="489"/>
        <v>0</v>
      </c>
      <c r="AC1280" s="126">
        <f t="shared" si="489"/>
        <v>0</v>
      </c>
      <c r="AD1280" s="126">
        <f t="shared" si="489"/>
        <v>0</v>
      </c>
      <c r="AE1280" s="126">
        <f t="shared" si="489"/>
        <v>0</v>
      </c>
      <c r="AF1280" s="126">
        <f t="shared" si="489"/>
        <v>0</v>
      </c>
      <c r="AG1280" s="126">
        <f t="shared" si="489"/>
        <v>0</v>
      </c>
      <c r="AH1280" s="126">
        <f t="shared" si="489"/>
        <v>0</v>
      </c>
    </row>
    <row r="1281" spans="1:34" s="20" customFormat="1" ht="14" x14ac:dyDescent="0.2">
      <c r="A1281" s="8"/>
      <c r="B1281" s="8"/>
      <c r="C1281" s="8"/>
      <c r="D1281" s="8"/>
      <c r="E1281" s="16"/>
      <c r="F1281" s="8"/>
      <c r="G1281" s="8"/>
      <c r="H1281" s="8"/>
      <c r="I1281" s="8"/>
      <c r="J1281" s="8"/>
      <c r="K1281" s="8"/>
      <c r="L1281" s="8"/>
      <c r="M1281" s="8"/>
      <c r="N1281" s="8"/>
      <c r="O1281" s="8"/>
      <c r="P1281" s="8"/>
      <c r="Q1281" s="8"/>
      <c r="R1281" s="8"/>
      <c r="S1281" s="8"/>
      <c r="T1281" s="8"/>
      <c r="U1281" s="8"/>
      <c r="V1281" s="8"/>
      <c r="W1281" s="8"/>
      <c r="X1281" s="8"/>
      <c r="Y1281" s="8"/>
      <c r="Z1281" s="8"/>
      <c r="AA1281" s="8"/>
      <c r="AB1281" s="8"/>
      <c r="AC1281" s="8"/>
      <c r="AD1281" s="8"/>
      <c r="AE1281" s="8"/>
      <c r="AF1281" s="8"/>
      <c r="AG1281" s="8"/>
      <c r="AH1281" s="8"/>
    </row>
    <row r="1282" spans="1:34" s="20" customFormat="1" ht="14" x14ac:dyDescent="0.2">
      <c r="A1282" s="8"/>
      <c r="B1282" s="21" t="str">
        <f>B1264</f>
        <v>New loan from Local bank</v>
      </c>
      <c r="C1282" s="8"/>
      <c r="D1282" s="8"/>
      <c r="E1282" s="8"/>
      <c r="F1282" s="8"/>
      <c r="G1282" s="8"/>
      <c r="H1282" s="8"/>
      <c r="I1282" s="8"/>
      <c r="J1282" s="8"/>
      <c r="K1282" s="8"/>
      <c r="L1282" s="8"/>
      <c r="M1282" s="8"/>
      <c r="N1282" s="8"/>
      <c r="O1282" s="8"/>
      <c r="P1282" s="8"/>
      <c r="Q1282" s="8"/>
      <c r="R1282" s="8"/>
      <c r="S1282" s="8"/>
      <c r="T1282" s="8"/>
      <c r="U1282" s="8"/>
      <c r="V1282" s="8"/>
      <c r="W1282" s="8"/>
      <c r="X1282" s="8"/>
      <c r="Y1282" s="8"/>
      <c r="Z1282" s="8"/>
      <c r="AA1282" s="8"/>
      <c r="AB1282" s="8"/>
      <c r="AC1282" s="8"/>
      <c r="AD1282" s="8"/>
      <c r="AE1282" s="8"/>
      <c r="AF1282" s="8"/>
      <c r="AG1282" s="8"/>
      <c r="AH1282" s="8"/>
    </row>
    <row r="1283" spans="1:34" s="20" customFormat="1" ht="14" x14ac:dyDescent="0.2">
      <c r="A1283" s="8"/>
      <c r="B1283" s="8" t="s">
        <v>334</v>
      </c>
      <c r="C1283" s="8"/>
      <c r="D1283" s="8" t="str">
        <f>IF('Assumptions - Infrastructure'!$E$421=1,"Same as above",IF('Assumptions - Infrastructure'!$E$421=2,"Local currency/"&amp;'Assumptions - General'!$E$39,"Local currency/"&amp;'Assumptions - General'!$E$40))</f>
        <v>Same as above</v>
      </c>
      <c r="E1283" s="124">
        <f>IF('Assumptions - Infrastructure'!$E$421=1,1,IF('Assumptions - Infrastructure'!$E$421=2,'Assumptions - General'!E$41,'Assumptions - General'!E$42))</f>
        <v>1</v>
      </c>
      <c r="F1283" s="124">
        <f>IF('Assumptions - Infrastructure'!$E$421=1,1,IF('Assumptions - Infrastructure'!$E$421=2,'Assumptions - General'!F$41,'Assumptions - General'!F$42))</f>
        <v>1</v>
      </c>
      <c r="G1283" s="124">
        <f>IF('Assumptions - Infrastructure'!$E$421=1,1,IF('Assumptions - Infrastructure'!$E$421=2,'Assumptions - General'!G$41,'Assumptions - General'!G$42))</f>
        <v>1</v>
      </c>
      <c r="H1283" s="124">
        <f>IF('Assumptions - Infrastructure'!$E$421=1,1,IF('Assumptions - Infrastructure'!$E$421=2,'Assumptions - General'!H$41,'Assumptions - General'!H$42))</f>
        <v>1</v>
      </c>
      <c r="I1283" s="124">
        <f>IF('Assumptions - Infrastructure'!$E$421=1,1,IF('Assumptions - Infrastructure'!$E$421=2,'Assumptions - General'!I$41,'Assumptions - General'!I$42))</f>
        <v>1</v>
      </c>
      <c r="J1283" s="124">
        <f>IF('Assumptions - Infrastructure'!$E$421=1,1,IF('Assumptions - Infrastructure'!$E$421=2,'Assumptions - General'!J$41,'Assumptions - General'!J$42))</f>
        <v>1</v>
      </c>
      <c r="K1283" s="124">
        <f>IF('Assumptions - Infrastructure'!$E$421=1,1,IF('Assumptions - Infrastructure'!$E$421=2,'Assumptions - General'!K$41,'Assumptions - General'!K$42))</f>
        <v>1</v>
      </c>
      <c r="L1283" s="124">
        <f>IF('Assumptions - Infrastructure'!$E$421=1,1,IF('Assumptions - Infrastructure'!$E$421=2,'Assumptions - General'!L$41,'Assumptions - General'!L$42))</f>
        <v>1</v>
      </c>
      <c r="M1283" s="124">
        <f>IF('Assumptions - Infrastructure'!$E$421=1,1,IF('Assumptions - Infrastructure'!$E$421=2,'Assumptions - General'!M$41,'Assumptions - General'!M$42))</f>
        <v>1</v>
      </c>
      <c r="N1283" s="124">
        <f>IF('Assumptions - Infrastructure'!$E$421=1,1,IF('Assumptions - Infrastructure'!$E$421=2,'Assumptions - General'!N$41,'Assumptions - General'!N$42))</f>
        <v>1</v>
      </c>
      <c r="O1283" s="124">
        <f>IF('Assumptions - Infrastructure'!$E$421=1,1,IF('Assumptions - Infrastructure'!$E$421=2,'Assumptions - General'!O$41,'Assumptions - General'!O$42))</f>
        <v>1</v>
      </c>
      <c r="P1283" s="124">
        <f>IF('Assumptions - Infrastructure'!$E$421=1,1,IF('Assumptions - Infrastructure'!$E$421=2,'Assumptions - General'!P$41,'Assumptions - General'!P$42))</f>
        <v>1</v>
      </c>
      <c r="Q1283" s="124">
        <f>IF('Assumptions - Infrastructure'!$E$421=1,1,IF('Assumptions - Infrastructure'!$E$421=2,'Assumptions - General'!Q$41,'Assumptions - General'!Q$42))</f>
        <v>1</v>
      </c>
      <c r="R1283" s="124">
        <f>IF('Assumptions - Infrastructure'!$E$421=1,1,IF('Assumptions - Infrastructure'!$E$421=2,'Assumptions - General'!R$41,'Assumptions - General'!R$42))</f>
        <v>1</v>
      </c>
      <c r="S1283" s="124">
        <f>IF('Assumptions - Infrastructure'!$E$421=1,1,IF('Assumptions - Infrastructure'!$E$421=2,'Assumptions - General'!S$41,'Assumptions - General'!S$42))</f>
        <v>1</v>
      </c>
      <c r="T1283" s="124">
        <f>IF('Assumptions - Infrastructure'!$E$421=1,1,IF('Assumptions - Infrastructure'!$E$421=2,'Assumptions - General'!T$41,'Assumptions - General'!T$42))</f>
        <v>1</v>
      </c>
      <c r="U1283" s="124">
        <f>IF('Assumptions - Infrastructure'!$E$421=1,1,IF('Assumptions - Infrastructure'!$E$421=2,'Assumptions - General'!U$41,'Assumptions - General'!U$42))</f>
        <v>1</v>
      </c>
      <c r="V1283" s="124">
        <f>IF('Assumptions - Infrastructure'!$E$421=1,1,IF('Assumptions - Infrastructure'!$E$421=2,'Assumptions - General'!V$41,'Assumptions - General'!V$42))</f>
        <v>1</v>
      </c>
      <c r="W1283" s="124">
        <f>IF('Assumptions - Infrastructure'!$E$421=1,1,IF('Assumptions - Infrastructure'!$E$421=2,'Assumptions - General'!W$41,'Assumptions - General'!W$42))</f>
        <v>1</v>
      </c>
      <c r="X1283" s="124">
        <f>IF('Assumptions - Infrastructure'!$E$421=1,1,IF('Assumptions - Infrastructure'!$E$421=2,'Assumptions - General'!X$41,'Assumptions - General'!X$42))</f>
        <v>1</v>
      </c>
      <c r="Y1283" s="124">
        <f>IF('Assumptions - Infrastructure'!$E$421=1,1,IF('Assumptions - Infrastructure'!$E$421=2,'Assumptions - General'!Y$41,'Assumptions - General'!Y$42))</f>
        <v>1</v>
      </c>
      <c r="Z1283" s="124">
        <f>IF('Assumptions - Infrastructure'!$E$421=1,1,IF('Assumptions - Infrastructure'!$E$421=2,'Assumptions - General'!Z$41,'Assumptions - General'!Z$42))</f>
        <v>1</v>
      </c>
      <c r="AA1283" s="124">
        <f>IF('Assumptions - Infrastructure'!$E$421=1,1,IF('Assumptions - Infrastructure'!$E$421=2,'Assumptions - General'!AA$41,'Assumptions - General'!AA$42))</f>
        <v>1</v>
      </c>
      <c r="AB1283" s="124">
        <f>IF('Assumptions - Infrastructure'!$E$421=1,1,IF('Assumptions - Infrastructure'!$E$421=2,'Assumptions - General'!AB$41,'Assumptions - General'!AB$42))</f>
        <v>1</v>
      </c>
      <c r="AC1283" s="124">
        <f>IF('Assumptions - Infrastructure'!$E$421=1,1,IF('Assumptions - Infrastructure'!$E$421=2,'Assumptions - General'!AC$41,'Assumptions - General'!AC$42))</f>
        <v>1</v>
      </c>
      <c r="AD1283" s="124">
        <f>IF('Assumptions - Infrastructure'!$E$421=1,1,IF('Assumptions - Infrastructure'!$E$421=2,'Assumptions - General'!AD$41,'Assumptions - General'!AD$42))</f>
        <v>1</v>
      </c>
      <c r="AE1283" s="124">
        <f>IF('Assumptions - Infrastructure'!$E$421=1,1,IF('Assumptions - Infrastructure'!$E$421=2,'Assumptions - General'!AE$41,'Assumptions - General'!AE$42))</f>
        <v>1</v>
      </c>
      <c r="AF1283" s="124">
        <f>IF('Assumptions - Infrastructure'!$E$421=1,1,IF('Assumptions - Infrastructure'!$E$421=2,'Assumptions - General'!AF$41,'Assumptions - General'!AF$42))</f>
        <v>1</v>
      </c>
      <c r="AG1283" s="124">
        <f>IF('Assumptions - Infrastructure'!$E$421=1,1,IF('Assumptions - Infrastructure'!$E$421=2,'Assumptions - General'!AG$41,'Assumptions - General'!AG$42))</f>
        <v>1</v>
      </c>
      <c r="AH1283" s="124">
        <f>IF('Assumptions - Infrastructure'!$E$421=1,1,IF('Assumptions - Infrastructure'!$E$421=2,'Assumptions - General'!AH$41,'Assumptions - General'!AH$42))</f>
        <v>1</v>
      </c>
    </row>
    <row r="1284" spans="1:34" s="20" customFormat="1" ht="14" x14ac:dyDescent="0.2">
      <c r="A1284" s="8"/>
      <c r="B1284" s="8" t="s">
        <v>136</v>
      </c>
      <c r="C1284" s="8"/>
      <c r="D1284" s="8" t="str">
        <f>'Assumptions - General'!$E$27 &amp;" millions"</f>
        <v>R$ millions</v>
      </c>
      <c r="E1284" s="126">
        <f>E1267*E$1283</f>
        <v>0</v>
      </c>
      <c r="F1284" s="126">
        <f t="shared" ref="F1284:AH1284" si="490">F1267*F$1283</f>
        <v>0</v>
      </c>
      <c r="G1284" s="126">
        <f t="shared" si="490"/>
        <v>0</v>
      </c>
      <c r="H1284" s="126">
        <f t="shared" si="490"/>
        <v>10</v>
      </c>
      <c r="I1284" s="126">
        <f t="shared" si="490"/>
        <v>20</v>
      </c>
      <c r="J1284" s="126">
        <f t="shared" si="490"/>
        <v>30</v>
      </c>
      <c r="K1284" s="126">
        <f t="shared" si="490"/>
        <v>40</v>
      </c>
      <c r="L1284" s="126">
        <f t="shared" si="490"/>
        <v>50</v>
      </c>
      <c r="M1284" s="126">
        <f t="shared" si="490"/>
        <v>50</v>
      </c>
      <c r="N1284" s="126">
        <f t="shared" si="490"/>
        <v>50</v>
      </c>
      <c r="O1284" s="126">
        <f t="shared" si="490"/>
        <v>50</v>
      </c>
      <c r="P1284" s="126">
        <f t="shared" si="490"/>
        <v>50</v>
      </c>
      <c r="Q1284" s="126">
        <f t="shared" si="490"/>
        <v>50</v>
      </c>
      <c r="R1284" s="126">
        <f t="shared" si="490"/>
        <v>50</v>
      </c>
      <c r="S1284" s="126">
        <f t="shared" si="490"/>
        <v>50</v>
      </c>
      <c r="T1284" s="126">
        <f t="shared" si="490"/>
        <v>50</v>
      </c>
      <c r="U1284" s="126">
        <f t="shared" si="490"/>
        <v>50</v>
      </c>
      <c r="V1284" s="126">
        <f t="shared" si="490"/>
        <v>0</v>
      </c>
      <c r="W1284" s="126">
        <f t="shared" si="490"/>
        <v>0</v>
      </c>
      <c r="X1284" s="126">
        <f t="shared" si="490"/>
        <v>0</v>
      </c>
      <c r="Y1284" s="126">
        <f t="shared" si="490"/>
        <v>0</v>
      </c>
      <c r="Z1284" s="126">
        <f t="shared" si="490"/>
        <v>0</v>
      </c>
      <c r="AA1284" s="126">
        <f t="shared" si="490"/>
        <v>0</v>
      </c>
      <c r="AB1284" s="126">
        <f t="shared" si="490"/>
        <v>0</v>
      </c>
      <c r="AC1284" s="126">
        <f t="shared" si="490"/>
        <v>0</v>
      </c>
      <c r="AD1284" s="126">
        <f t="shared" si="490"/>
        <v>0</v>
      </c>
      <c r="AE1284" s="126">
        <f t="shared" si="490"/>
        <v>0</v>
      </c>
      <c r="AF1284" s="126">
        <f t="shared" si="490"/>
        <v>0</v>
      </c>
      <c r="AG1284" s="126">
        <f t="shared" si="490"/>
        <v>0</v>
      </c>
      <c r="AH1284" s="126">
        <f t="shared" si="490"/>
        <v>0</v>
      </c>
    </row>
    <row r="1285" spans="1:34" s="20" customFormat="1" ht="14" x14ac:dyDescent="0.2">
      <c r="A1285" s="8"/>
      <c r="B1285" s="8" t="s">
        <v>410</v>
      </c>
      <c r="C1285" s="8"/>
      <c r="D1285" s="8" t="str">
        <f>'Assumptions - General'!$E$27 &amp;" millions"</f>
        <v>R$ millions</v>
      </c>
      <c r="E1285" s="126">
        <f>E1268*E$1283</f>
        <v>0</v>
      </c>
      <c r="F1285" s="126">
        <f t="shared" ref="F1285:AH1285" si="491">F1268*F$1283</f>
        <v>0</v>
      </c>
      <c r="G1285" s="126">
        <f t="shared" si="491"/>
        <v>0</v>
      </c>
      <c r="H1285" s="126">
        <f t="shared" si="491"/>
        <v>0</v>
      </c>
      <c r="I1285" s="126">
        <f t="shared" si="491"/>
        <v>0</v>
      </c>
      <c r="J1285" s="126">
        <f t="shared" si="491"/>
        <v>0</v>
      </c>
      <c r="K1285" s="126">
        <f t="shared" si="491"/>
        <v>0</v>
      </c>
      <c r="L1285" s="126">
        <f t="shared" si="491"/>
        <v>0</v>
      </c>
      <c r="M1285" s="126">
        <f t="shared" si="491"/>
        <v>0</v>
      </c>
      <c r="N1285" s="126">
        <f t="shared" si="491"/>
        <v>0</v>
      </c>
      <c r="O1285" s="126">
        <f t="shared" si="491"/>
        <v>0</v>
      </c>
      <c r="P1285" s="126">
        <f t="shared" si="491"/>
        <v>0</v>
      </c>
      <c r="Q1285" s="126">
        <f t="shared" si="491"/>
        <v>0</v>
      </c>
      <c r="R1285" s="126">
        <f t="shared" si="491"/>
        <v>0</v>
      </c>
      <c r="S1285" s="126">
        <f t="shared" si="491"/>
        <v>0</v>
      </c>
      <c r="T1285" s="126">
        <f t="shared" si="491"/>
        <v>0</v>
      </c>
      <c r="U1285" s="126">
        <f t="shared" si="491"/>
        <v>50</v>
      </c>
      <c r="V1285" s="126">
        <f t="shared" si="491"/>
        <v>0</v>
      </c>
      <c r="W1285" s="126">
        <f t="shared" si="491"/>
        <v>0</v>
      </c>
      <c r="X1285" s="126">
        <f t="shared" si="491"/>
        <v>0</v>
      </c>
      <c r="Y1285" s="126">
        <f t="shared" si="491"/>
        <v>0</v>
      </c>
      <c r="Z1285" s="126">
        <f t="shared" si="491"/>
        <v>0</v>
      </c>
      <c r="AA1285" s="126">
        <f t="shared" si="491"/>
        <v>0</v>
      </c>
      <c r="AB1285" s="126">
        <f t="shared" si="491"/>
        <v>0</v>
      </c>
      <c r="AC1285" s="126">
        <f t="shared" si="491"/>
        <v>0</v>
      </c>
      <c r="AD1285" s="126">
        <f t="shared" si="491"/>
        <v>0</v>
      </c>
      <c r="AE1285" s="126">
        <f t="shared" si="491"/>
        <v>0</v>
      </c>
      <c r="AF1285" s="126">
        <f t="shared" si="491"/>
        <v>0</v>
      </c>
      <c r="AG1285" s="126">
        <f t="shared" si="491"/>
        <v>0</v>
      </c>
      <c r="AH1285" s="126">
        <f t="shared" si="491"/>
        <v>0</v>
      </c>
    </row>
    <row r="1286" spans="1:34" s="20" customFormat="1" ht="14" x14ac:dyDescent="0.2">
      <c r="A1286" s="8"/>
      <c r="B1286" s="8" t="s">
        <v>137</v>
      </c>
      <c r="C1286" s="8"/>
      <c r="D1286" s="8" t="str">
        <f>'Assumptions - General'!$E$27 &amp;" millions"</f>
        <v>R$ millions</v>
      </c>
      <c r="E1286" s="126">
        <f>E1274*E$1283</f>
        <v>0</v>
      </c>
      <c r="F1286" s="126">
        <f t="shared" ref="F1286:AH1286" si="492">F1274*F$1283</f>
        <v>0</v>
      </c>
      <c r="G1286" s="126">
        <f t="shared" si="492"/>
        <v>10</v>
      </c>
      <c r="H1286" s="126">
        <f t="shared" si="492"/>
        <v>10</v>
      </c>
      <c r="I1286" s="126">
        <f t="shared" si="492"/>
        <v>10</v>
      </c>
      <c r="J1286" s="126">
        <f t="shared" si="492"/>
        <v>10</v>
      </c>
      <c r="K1286" s="126">
        <f t="shared" si="492"/>
        <v>10</v>
      </c>
      <c r="L1286" s="126">
        <f t="shared" si="492"/>
        <v>0</v>
      </c>
      <c r="M1286" s="126">
        <f t="shared" si="492"/>
        <v>0</v>
      </c>
      <c r="N1286" s="126">
        <f t="shared" si="492"/>
        <v>0</v>
      </c>
      <c r="O1286" s="126">
        <f t="shared" si="492"/>
        <v>0</v>
      </c>
      <c r="P1286" s="126">
        <f t="shared" si="492"/>
        <v>0</v>
      </c>
      <c r="Q1286" s="126">
        <f t="shared" si="492"/>
        <v>0</v>
      </c>
      <c r="R1286" s="126">
        <f t="shared" si="492"/>
        <v>0</v>
      </c>
      <c r="S1286" s="126">
        <f t="shared" si="492"/>
        <v>0</v>
      </c>
      <c r="T1286" s="126">
        <f t="shared" si="492"/>
        <v>0</v>
      </c>
      <c r="U1286" s="126">
        <f t="shared" si="492"/>
        <v>0</v>
      </c>
      <c r="V1286" s="126">
        <f t="shared" si="492"/>
        <v>0</v>
      </c>
      <c r="W1286" s="126">
        <f t="shared" si="492"/>
        <v>0</v>
      </c>
      <c r="X1286" s="126">
        <f t="shared" si="492"/>
        <v>0</v>
      </c>
      <c r="Y1286" s="126">
        <f t="shared" si="492"/>
        <v>0</v>
      </c>
      <c r="Z1286" s="126">
        <f t="shared" si="492"/>
        <v>0</v>
      </c>
      <c r="AA1286" s="126">
        <f t="shared" si="492"/>
        <v>0</v>
      </c>
      <c r="AB1286" s="126">
        <f t="shared" si="492"/>
        <v>0</v>
      </c>
      <c r="AC1286" s="126">
        <f t="shared" si="492"/>
        <v>0</v>
      </c>
      <c r="AD1286" s="126">
        <f t="shared" si="492"/>
        <v>0</v>
      </c>
      <c r="AE1286" s="126">
        <f t="shared" si="492"/>
        <v>0</v>
      </c>
      <c r="AF1286" s="126">
        <f t="shared" si="492"/>
        <v>0</v>
      </c>
      <c r="AG1286" s="126">
        <f t="shared" si="492"/>
        <v>0</v>
      </c>
      <c r="AH1286" s="126">
        <f t="shared" si="492"/>
        <v>0</v>
      </c>
    </row>
    <row r="1287" spans="1:34" s="20" customFormat="1" ht="14" x14ac:dyDescent="0.2">
      <c r="A1287" s="8"/>
      <c r="B1287" s="8" t="s">
        <v>138</v>
      </c>
      <c r="C1287" s="8"/>
      <c r="D1287" s="8" t="str">
        <f>'Assumptions - General'!$E$27 &amp;" millions"</f>
        <v>R$ millions</v>
      </c>
      <c r="E1287" s="126">
        <f t="shared" ref="E1287:E1292" si="493">E1275*E$1283</f>
        <v>0</v>
      </c>
      <c r="F1287" s="126">
        <f t="shared" ref="F1287:AH1287" si="494">F1275*F$1283</f>
        <v>0</v>
      </c>
      <c r="G1287" s="126">
        <f t="shared" si="494"/>
        <v>10</v>
      </c>
      <c r="H1287" s="126">
        <f t="shared" si="494"/>
        <v>20</v>
      </c>
      <c r="I1287" s="126">
        <f t="shared" si="494"/>
        <v>30</v>
      </c>
      <c r="J1287" s="126">
        <f t="shared" si="494"/>
        <v>40</v>
      </c>
      <c r="K1287" s="126">
        <f t="shared" si="494"/>
        <v>50</v>
      </c>
      <c r="L1287" s="126">
        <f t="shared" si="494"/>
        <v>50</v>
      </c>
      <c r="M1287" s="126">
        <f t="shared" si="494"/>
        <v>50</v>
      </c>
      <c r="N1287" s="126">
        <f t="shared" si="494"/>
        <v>50</v>
      </c>
      <c r="O1287" s="126">
        <f t="shared" si="494"/>
        <v>50</v>
      </c>
      <c r="P1287" s="126">
        <f t="shared" si="494"/>
        <v>50</v>
      </c>
      <c r="Q1287" s="126">
        <f t="shared" si="494"/>
        <v>50</v>
      </c>
      <c r="R1287" s="126">
        <f t="shared" si="494"/>
        <v>50</v>
      </c>
      <c r="S1287" s="126">
        <f t="shared" si="494"/>
        <v>50</v>
      </c>
      <c r="T1287" s="126">
        <f t="shared" si="494"/>
        <v>50</v>
      </c>
      <c r="U1287" s="126">
        <f t="shared" si="494"/>
        <v>0</v>
      </c>
      <c r="V1287" s="126">
        <f t="shared" si="494"/>
        <v>0</v>
      </c>
      <c r="W1287" s="126">
        <f t="shared" si="494"/>
        <v>0</v>
      </c>
      <c r="X1287" s="126">
        <f t="shared" si="494"/>
        <v>0</v>
      </c>
      <c r="Y1287" s="126">
        <f t="shared" si="494"/>
        <v>0</v>
      </c>
      <c r="Z1287" s="126">
        <f t="shared" si="494"/>
        <v>0</v>
      </c>
      <c r="AA1287" s="126">
        <f t="shared" si="494"/>
        <v>0</v>
      </c>
      <c r="AB1287" s="126">
        <f t="shared" si="494"/>
        <v>0</v>
      </c>
      <c r="AC1287" s="126">
        <f t="shared" si="494"/>
        <v>0</v>
      </c>
      <c r="AD1287" s="126">
        <f t="shared" si="494"/>
        <v>0</v>
      </c>
      <c r="AE1287" s="126">
        <f t="shared" si="494"/>
        <v>0</v>
      </c>
      <c r="AF1287" s="126">
        <f t="shared" si="494"/>
        <v>0</v>
      </c>
      <c r="AG1287" s="126">
        <f t="shared" si="494"/>
        <v>0</v>
      </c>
      <c r="AH1287" s="126">
        <f t="shared" si="494"/>
        <v>0</v>
      </c>
    </row>
    <row r="1288" spans="1:34" s="20" customFormat="1" ht="14" x14ac:dyDescent="0.2">
      <c r="A1288" s="8"/>
      <c r="B1288" s="8" t="s">
        <v>139</v>
      </c>
      <c r="C1288" s="8"/>
      <c r="D1288" s="8" t="str">
        <f>'Assumptions - General'!$E$27 &amp;" millions"</f>
        <v>R$ millions</v>
      </c>
      <c r="E1288" s="126">
        <f t="shared" si="493"/>
        <v>0</v>
      </c>
      <c r="F1288" s="126">
        <f t="shared" ref="F1288:AH1288" si="495">F1276*F$1283</f>
        <v>0</v>
      </c>
      <c r="G1288" s="126">
        <f t="shared" si="495"/>
        <v>0.25</v>
      </c>
      <c r="H1288" s="126">
        <f t="shared" si="495"/>
        <v>0.75</v>
      </c>
      <c r="I1288" s="126">
        <f t="shared" si="495"/>
        <v>1.25</v>
      </c>
      <c r="J1288" s="126">
        <f t="shared" si="495"/>
        <v>1.75</v>
      </c>
      <c r="K1288" s="126">
        <f t="shared" si="495"/>
        <v>2.25</v>
      </c>
      <c r="L1288" s="126">
        <f t="shared" si="495"/>
        <v>2.5</v>
      </c>
      <c r="M1288" s="126">
        <f t="shared" si="495"/>
        <v>2.5</v>
      </c>
      <c r="N1288" s="126">
        <f t="shared" si="495"/>
        <v>2.5</v>
      </c>
      <c r="O1288" s="126">
        <f t="shared" si="495"/>
        <v>2.5</v>
      </c>
      <c r="P1288" s="126">
        <f t="shared" si="495"/>
        <v>2.5</v>
      </c>
      <c r="Q1288" s="126">
        <f t="shared" si="495"/>
        <v>2.5</v>
      </c>
      <c r="R1288" s="126">
        <f t="shared" si="495"/>
        <v>2.5</v>
      </c>
      <c r="S1288" s="126">
        <f t="shared" si="495"/>
        <v>2.5</v>
      </c>
      <c r="T1288" s="126">
        <f t="shared" si="495"/>
        <v>2.5</v>
      </c>
      <c r="U1288" s="126">
        <f t="shared" si="495"/>
        <v>1.25</v>
      </c>
      <c r="V1288" s="126">
        <f t="shared" si="495"/>
        <v>0</v>
      </c>
      <c r="W1288" s="126">
        <f t="shared" si="495"/>
        <v>0</v>
      </c>
      <c r="X1288" s="126">
        <f t="shared" si="495"/>
        <v>0</v>
      </c>
      <c r="Y1288" s="126">
        <f t="shared" si="495"/>
        <v>0</v>
      </c>
      <c r="Z1288" s="126">
        <f t="shared" si="495"/>
        <v>0</v>
      </c>
      <c r="AA1288" s="126">
        <f t="shared" si="495"/>
        <v>0</v>
      </c>
      <c r="AB1288" s="126">
        <f t="shared" si="495"/>
        <v>0</v>
      </c>
      <c r="AC1288" s="126">
        <f t="shared" si="495"/>
        <v>0</v>
      </c>
      <c r="AD1288" s="126">
        <f t="shared" si="495"/>
        <v>0</v>
      </c>
      <c r="AE1288" s="126">
        <f t="shared" si="495"/>
        <v>0</v>
      </c>
      <c r="AF1288" s="126">
        <f t="shared" si="495"/>
        <v>0</v>
      </c>
      <c r="AG1288" s="126">
        <f t="shared" si="495"/>
        <v>0</v>
      </c>
      <c r="AH1288" s="126">
        <f t="shared" si="495"/>
        <v>0</v>
      </c>
    </row>
    <row r="1289" spans="1:34" s="20" customFormat="1" ht="14" x14ac:dyDescent="0.2">
      <c r="A1289" s="8"/>
      <c r="B1289" s="8" t="s">
        <v>53</v>
      </c>
      <c r="C1289" s="8"/>
      <c r="D1289" s="8" t="str">
        <f>'Assumptions - General'!$E$27 &amp;" millions"</f>
        <v>R$ millions</v>
      </c>
      <c r="E1289" s="126">
        <f t="shared" si="493"/>
        <v>0</v>
      </c>
      <c r="F1289" s="126">
        <f t="shared" ref="F1289:AH1289" si="496">F1277*F$1283</f>
        <v>0</v>
      </c>
      <c r="G1289" s="126">
        <f t="shared" si="496"/>
        <v>0.125</v>
      </c>
      <c r="H1289" s="126">
        <f t="shared" si="496"/>
        <v>0</v>
      </c>
      <c r="I1289" s="126">
        <f t="shared" si="496"/>
        <v>0</v>
      </c>
      <c r="J1289" s="126">
        <f t="shared" si="496"/>
        <v>0</v>
      </c>
      <c r="K1289" s="126">
        <f t="shared" si="496"/>
        <v>0</v>
      </c>
      <c r="L1289" s="126">
        <f t="shared" si="496"/>
        <v>0</v>
      </c>
      <c r="M1289" s="126">
        <f t="shared" si="496"/>
        <v>0</v>
      </c>
      <c r="N1289" s="126">
        <f t="shared" si="496"/>
        <v>0</v>
      </c>
      <c r="O1289" s="126">
        <f t="shared" si="496"/>
        <v>0</v>
      </c>
      <c r="P1289" s="126">
        <f t="shared" si="496"/>
        <v>0</v>
      </c>
      <c r="Q1289" s="126">
        <f t="shared" si="496"/>
        <v>0</v>
      </c>
      <c r="R1289" s="126">
        <f t="shared" si="496"/>
        <v>0</v>
      </c>
      <c r="S1289" s="126">
        <f t="shared" si="496"/>
        <v>0</v>
      </c>
      <c r="T1289" s="126">
        <f t="shared" si="496"/>
        <v>0</v>
      </c>
      <c r="U1289" s="126">
        <f t="shared" si="496"/>
        <v>0</v>
      </c>
      <c r="V1289" s="126">
        <f t="shared" si="496"/>
        <v>0</v>
      </c>
      <c r="W1289" s="126">
        <f t="shared" si="496"/>
        <v>0</v>
      </c>
      <c r="X1289" s="126">
        <f t="shared" si="496"/>
        <v>0</v>
      </c>
      <c r="Y1289" s="126">
        <f t="shared" si="496"/>
        <v>0</v>
      </c>
      <c r="Z1289" s="126">
        <f t="shared" si="496"/>
        <v>0</v>
      </c>
      <c r="AA1289" s="126">
        <f t="shared" si="496"/>
        <v>0</v>
      </c>
      <c r="AB1289" s="126">
        <f t="shared" si="496"/>
        <v>0</v>
      </c>
      <c r="AC1289" s="126">
        <f t="shared" si="496"/>
        <v>0</v>
      </c>
      <c r="AD1289" s="126">
        <f t="shared" si="496"/>
        <v>0</v>
      </c>
      <c r="AE1289" s="126">
        <f t="shared" si="496"/>
        <v>0</v>
      </c>
      <c r="AF1289" s="126">
        <f t="shared" si="496"/>
        <v>0</v>
      </c>
      <c r="AG1289" s="126">
        <f t="shared" si="496"/>
        <v>0</v>
      </c>
      <c r="AH1289" s="126">
        <f t="shared" si="496"/>
        <v>0</v>
      </c>
    </row>
    <row r="1290" spans="1:34" s="20" customFormat="1" ht="14" x14ac:dyDescent="0.2">
      <c r="A1290" s="8"/>
      <c r="B1290" s="8" t="s">
        <v>142</v>
      </c>
      <c r="C1290" s="8"/>
      <c r="D1290" s="8" t="str">
        <f>'Assumptions - General'!$E$27 &amp;" millions"</f>
        <v>R$ millions</v>
      </c>
      <c r="E1290" s="126">
        <f t="shared" si="493"/>
        <v>0</v>
      </c>
      <c r="F1290" s="126">
        <f t="shared" ref="F1290:AH1290" si="497">F1278*F$1283</f>
        <v>0</v>
      </c>
      <c r="G1290" s="126">
        <f t="shared" si="497"/>
        <v>40</v>
      </c>
      <c r="H1290" s="126">
        <f t="shared" si="497"/>
        <v>30</v>
      </c>
      <c r="I1290" s="126">
        <f t="shared" si="497"/>
        <v>20</v>
      </c>
      <c r="J1290" s="126">
        <f t="shared" si="497"/>
        <v>10</v>
      </c>
      <c r="K1290" s="126">
        <f t="shared" si="497"/>
        <v>0</v>
      </c>
      <c r="L1290" s="126">
        <f t="shared" si="497"/>
        <v>0</v>
      </c>
      <c r="M1290" s="126">
        <f t="shared" si="497"/>
        <v>0</v>
      </c>
      <c r="N1290" s="126">
        <f t="shared" si="497"/>
        <v>0</v>
      </c>
      <c r="O1290" s="126">
        <f t="shared" si="497"/>
        <v>0</v>
      </c>
      <c r="P1290" s="126">
        <f t="shared" si="497"/>
        <v>0</v>
      </c>
      <c r="Q1290" s="126">
        <f t="shared" si="497"/>
        <v>0</v>
      </c>
      <c r="R1290" s="126">
        <f t="shared" si="497"/>
        <v>0</v>
      </c>
      <c r="S1290" s="126">
        <f t="shared" si="497"/>
        <v>0</v>
      </c>
      <c r="T1290" s="126">
        <f t="shared" si="497"/>
        <v>0</v>
      </c>
      <c r="U1290" s="126">
        <f t="shared" si="497"/>
        <v>0</v>
      </c>
      <c r="V1290" s="126">
        <f t="shared" si="497"/>
        <v>0</v>
      </c>
      <c r="W1290" s="126">
        <f t="shared" si="497"/>
        <v>0</v>
      </c>
      <c r="X1290" s="126">
        <f t="shared" si="497"/>
        <v>0</v>
      </c>
      <c r="Y1290" s="126">
        <f t="shared" si="497"/>
        <v>0</v>
      </c>
      <c r="Z1290" s="126">
        <f t="shared" si="497"/>
        <v>0</v>
      </c>
      <c r="AA1290" s="126">
        <f t="shared" si="497"/>
        <v>0</v>
      </c>
      <c r="AB1290" s="126">
        <f t="shared" si="497"/>
        <v>0</v>
      </c>
      <c r="AC1290" s="126">
        <f t="shared" si="497"/>
        <v>0</v>
      </c>
      <c r="AD1290" s="126">
        <f t="shared" si="497"/>
        <v>0</v>
      </c>
      <c r="AE1290" s="126">
        <f t="shared" si="497"/>
        <v>0</v>
      </c>
      <c r="AF1290" s="126">
        <f t="shared" si="497"/>
        <v>0</v>
      </c>
      <c r="AG1290" s="126">
        <f t="shared" si="497"/>
        <v>0</v>
      </c>
      <c r="AH1290" s="126">
        <f t="shared" si="497"/>
        <v>0</v>
      </c>
    </row>
    <row r="1291" spans="1:34" s="20" customFormat="1" ht="14" x14ac:dyDescent="0.2">
      <c r="A1291" s="8"/>
      <c r="B1291" s="8" t="s">
        <v>55</v>
      </c>
      <c r="C1291" s="8"/>
      <c r="D1291" s="8" t="str">
        <f>'Assumptions - General'!$E$27 &amp;" millions"</f>
        <v>R$ millions</v>
      </c>
      <c r="E1291" s="126">
        <f t="shared" si="493"/>
        <v>0</v>
      </c>
      <c r="F1291" s="126">
        <f t="shared" ref="F1291:AH1291" si="498">F1279*F$1283</f>
        <v>0</v>
      </c>
      <c r="G1291" s="126">
        <f t="shared" si="498"/>
        <v>0</v>
      </c>
      <c r="H1291" s="126">
        <f t="shared" si="498"/>
        <v>0</v>
      </c>
      <c r="I1291" s="126">
        <f t="shared" si="498"/>
        <v>0</v>
      </c>
      <c r="J1291" s="126">
        <f t="shared" si="498"/>
        <v>0</v>
      </c>
      <c r="K1291" s="126">
        <f t="shared" si="498"/>
        <v>0</v>
      </c>
      <c r="L1291" s="126">
        <f t="shared" si="498"/>
        <v>0</v>
      </c>
      <c r="M1291" s="126">
        <f t="shared" si="498"/>
        <v>0</v>
      </c>
      <c r="N1291" s="126">
        <f t="shared" si="498"/>
        <v>0</v>
      </c>
      <c r="O1291" s="126">
        <f t="shared" si="498"/>
        <v>0</v>
      </c>
      <c r="P1291" s="126">
        <f t="shared" si="498"/>
        <v>0</v>
      </c>
      <c r="Q1291" s="126">
        <f t="shared" si="498"/>
        <v>0</v>
      </c>
      <c r="R1291" s="126">
        <f t="shared" si="498"/>
        <v>0</v>
      </c>
      <c r="S1291" s="126">
        <f t="shared" si="498"/>
        <v>0</v>
      </c>
      <c r="T1291" s="126">
        <f t="shared" si="498"/>
        <v>0</v>
      </c>
      <c r="U1291" s="126">
        <f t="shared" si="498"/>
        <v>0</v>
      </c>
      <c r="V1291" s="126">
        <f t="shared" si="498"/>
        <v>0</v>
      </c>
      <c r="W1291" s="126">
        <f t="shared" si="498"/>
        <v>0</v>
      </c>
      <c r="X1291" s="126">
        <f t="shared" si="498"/>
        <v>0</v>
      </c>
      <c r="Y1291" s="126">
        <f t="shared" si="498"/>
        <v>0</v>
      </c>
      <c r="Z1291" s="126">
        <f t="shared" si="498"/>
        <v>0</v>
      </c>
      <c r="AA1291" s="126">
        <f t="shared" si="498"/>
        <v>0</v>
      </c>
      <c r="AB1291" s="126">
        <f t="shared" si="498"/>
        <v>0</v>
      </c>
      <c r="AC1291" s="126">
        <f t="shared" si="498"/>
        <v>0</v>
      </c>
      <c r="AD1291" s="126">
        <f t="shared" si="498"/>
        <v>0</v>
      </c>
      <c r="AE1291" s="126">
        <f t="shared" si="498"/>
        <v>0</v>
      </c>
      <c r="AF1291" s="126">
        <f t="shared" si="498"/>
        <v>0</v>
      </c>
      <c r="AG1291" s="126">
        <f t="shared" si="498"/>
        <v>0</v>
      </c>
      <c r="AH1291" s="126">
        <f t="shared" si="498"/>
        <v>0</v>
      </c>
    </row>
    <row r="1292" spans="1:34" s="20" customFormat="1" ht="14" x14ac:dyDescent="0.2">
      <c r="A1292" s="8"/>
      <c r="B1292" s="8" t="s">
        <v>140</v>
      </c>
      <c r="C1292" s="8"/>
      <c r="D1292" s="8" t="str">
        <f>'Assumptions - General'!$E$27 &amp;" millions"</f>
        <v>R$ millions</v>
      </c>
      <c r="E1292" s="126">
        <f t="shared" si="493"/>
        <v>0</v>
      </c>
      <c r="F1292" s="126">
        <f t="shared" ref="F1292:AH1292" si="499">F1280*F$1283</f>
        <v>0</v>
      </c>
      <c r="G1292" s="126">
        <f t="shared" si="499"/>
        <v>0.375</v>
      </c>
      <c r="H1292" s="126">
        <f t="shared" si="499"/>
        <v>0.75</v>
      </c>
      <c r="I1292" s="126">
        <f t="shared" si="499"/>
        <v>1.25</v>
      </c>
      <c r="J1292" s="126">
        <f t="shared" si="499"/>
        <v>1.75</v>
      </c>
      <c r="K1292" s="126">
        <f t="shared" si="499"/>
        <v>2.25</v>
      </c>
      <c r="L1292" s="126">
        <f t="shared" si="499"/>
        <v>2.5</v>
      </c>
      <c r="M1292" s="126">
        <f t="shared" si="499"/>
        <v>2.5</v>
      </c>
      <c r="N1292" s="126">
        <f t="shared" si="499"/>
        <v>2.5</v>
      </c>
      <c r="O1292" s="126">
        <f t="shared" si="499"/>
        <v>2.5</v>
      </c>
      <c r="P1292" s="126">
        <f t="shared" si="499"/>
        <v>2.5</v>
      </c>
      <c r="Q1292" s="126">
        <f t="shared" si="499"/>
        <v>2.5</v>
      </c>
      <c r="R1292" s="126">
        <f t="shared" si="499"/>
        <v>2.5</v>
      </c>
      <c r="S1292" s="126">
        <f t="shared" si="499"/>
        <v>2.5</v>
      </c>
      <c r="T1292" s="126">
        <f t="shared" si="499"/>
        <v>2.5</v>
      </c>
      <c r="U1292" s="126">
        <f t="shared" si="499"/>
        <v>51.25</v>
      </c>
      <c r="V1292" s="126">
        <f t="shared" si="499"/>
        <v>0</v>
      </c>
      <c r="W1292" s="126">
        <f t="shared" si="499"/>
        <v>0</v>
      </c>
      <c r="X1292" s="126">
        <f t="shared" si="499"/>
        <v>0</v>
      </c>
      <c r="Y1292" s="126">
        <f t="shared" si="499"/>
        <v>0</v>
      </c>
      <c r="Z1292" s="126">
        <f t="shared" si="499"/>
        <v>0</v>
      </c>
      <c r="AA1292" s="126">
        <f t="shared" si="499"/>
        <v>0</v>
      </c>
      <c r="AB1292" s="126">
        <f t="shared" si="499"/>
        <v>0</v>
      </c>
      <c r="AC1292" s="126">
        <f t="shared" si="499"/>
        <v>0</v>
      </c>
      <c r="AD1292" s="126">
        <f t="shared" si="499"/>
        <v>0</v>
      </c>
      <c r="AE1292" s="126">
        <f t="shared" si="499"/>
        <v>0</v>
      </c>
      <c r="AF1292" s="126">
        <f t="shared" si="499"/>
        <v>0</v>
      </c>
      <c r="AG1292" s="126">
        <f t="shared" si="499"/>
        <v>0</v>
      </c>
      <c r="AH1292" s="126">
        <f t="shared" si="499"/>
        <v>0</v>
      </c>
    </row>
    <row r="1293" spans="1:34" s="20" customFormat="1" ht="14" x14ac:dyDescent="0.2">
      <c r="A1293" s="8"/>
      <c r="B1293" s="8"/>
      <c r="C1293" s="8"/>
      <c r="D1293" s="8"/>
      <c r="E1293" s="126"/>
      <c r="F1293" s="126"/>
      <c r="G1293" s="126"/>
      <c r="H1293" s="126"/>
      <c r="I1293" s="126"/>
      <c r="J1293" s="126"/>
      <c r="K1293" s="126"/>
      <c r="L1293" s="126"/>
      <c r="M1293" s="126"/>
      <c r="N1293" s="126"/>
      <c r="O1293" s="126"/>
      <c r="P1293" s="126"/>
      <c r="Q1293" s="126"/>
      <c r="R1293" s="126"/>
      <c r="S1293" s="126"/>
      <c r="T1293" s="126"/>
      <c r="U1293" s="126"/>
      <c r="V1293" s="126"/>
      <c r="W1293" s="126"/>
      <c r="X1293" s="126"/>
      <c r="Y1293" s="126"/>
      <c r="Z1293" s="126"/>
      <c r="AA1293" s="126"/>
      <c r="AB1293" s="126"/>
      <c r="AC1293" s="126"/>
      <c r="AD1293" s="126"/>
      <c r="AE1293" s="126"/>
      <c r="AF1293" s="126"/>
      <c r="AG1293" s="126"/>
      <c r="AH1293" s="126"/>
    </row>
    <row r="1294" spans="1:34" s="20" customFormat="1" ht="14" x14ac:dyDescent="0.2">
      <c r="A1294" s="8"/>
      <c r="B1294" s="21" t="str">
        <f>"New loan from " &amp; 'Assumptions - Infrastructure'!E437</f>
        <v>New loan from International bank</v>
      </c>
      <c r="C1294" s="8"/>
      <c r="D1294" s="8"/>
      <c r="E1294" s="8"/>
      <c r="F1294" s="8"/>
      <c r="G1294" s="8"/>
      <c r="H1294" s="8"/>
      <c r="I1294" s="8"/>
      <c r="J1294" s="8"/>
      <c r="K1294" s="8"/>
      <c r="L1294" s="8"/>
      <c r="M1294" s="8"/>
      <c r="N1294" s="8"/>
      <c r="O1294" s="8"/>
      <c r="P1294" s="8"/>
      <c r="Q1294" s="8"/>
      <c r="R1294" s="8"/>
      <c r="S1294" s="8"/>
      <c r="T1294" s="8"/>
      <c r="U1294" s="8"/>
      <c r="V1294" s="8"/>
      <c r="W1294" s="8"/>
      <c r="X1294" s="8"/>
      <c r="Y1294" s="8"/>
      <c r="Z1294" s="8"/>
      <c r="AA1294" s="8"/>
      <c r="AB1294" s="8"/>
      <c r="AC1294" s="8"/>
      <c r="AD1294" s="8"/>
      <c r="AE1294" s="8"/>
      <c r="AF1294" s="8"/>
      <c r="AG1294" s="8"/>
      <c r="AH1294" s="8"/>
    </row>
    <row r="1295" spans="1:34" s="20" customFormat="1" ht="14" x14ac:dyDescent="0.2">
      <c r="A1295" s="8"/>
      <c r="B1295" s="8" t="s">
        <v>293</v>
      </c>
      <c r="C1295" s="8"/>
      <c r="D1295" s="8" t="s">
        <v>99</v>
      </c>
      <c r="E1295" s="8"/>
      <c r="F1295" s="8">
        <f>IF('Assumptions - Infrastructure'!$E$441&lt;&gt;0,IF(F$4&lt;'Assumptions - Infrastructure'!$E$438+'Assumptions - Infrastructure'!$E$448,0,E1295+1),0)</f>
        <v>0</v>
      </c>
      <c r="G1295" s="8">
        <f>IF('Assumptions - Infrastructure'!$E$441&lt;&gt;0,IF(G$4&lt;'Assumptions - Infrastructure'!$E$438+'Assumptions - Infrastructure'!$E$448,0,F1295+1),0)</f>
        <v>0</v>
      </c>
      <c r="H1295" s="8">
        <f>IF('Assumptions - Infrastructure'!$E$441&lt;&gt;0,IF(H$4&lt;'Assumptions - Infrastructure'!$E$438+'Assumptions - Infrastructure'!$E$448,0,G1295+1),0)</f>
        <v>0</v>
      </c>
      <c r="I1295" s="8">
        <f>IF('Assumptions - Infrastructure'!$E$441&lt;&gt;0,IF(I$4&lt;'Assumptions - Infrastructure'!$E$438+'Assumptions - Infrastructure'!$E$448,0,H1295+1),0)</f>
        <v>0</v>
      </c>
      <c r="J1295" s="8">
        <f>IF('Assumptions - Infrastructure'!$E$441&lt;&gt;0,IF(J$4&lt;'Assumptions - Infrastructure'!$E$438+'Assumptions - Infrastructure'!$E$448,0,I1295+1),0)</f>
        <v>0</v>
      </c>
      <c r="K1295" s="8">
        <f>IF('Assumptions - Infrastructure'!$E$441&lt;&gt;0,IF(K$4&lt;'Assumptions - Infrastructure'!$E$438+'Assumptions - Infrastructure'!$E$448,0,J1295+1),0)</f>
        <v>0</v>
      </c>
      <c r="L1295" s="8">
        <f>IF('Assumptions - Infrastructure'!$E$441&lt;&gt;0,IF(L$4&lt;'Assumptions - Infrastructure'!$E$438+'Assumptions - Infrastructure'!$E$448,0,K1295+1),0)</f>
        <v>1</v>
      </c>
      <c r="M1295" s="8">
        <f>IF('Assumptions - Infrastructure'!$E$441&lt;&gt;0,IF(M$4&lt;'Assumptions - Infrastructure'!$E$438+'Assumptions - Infrastructure'!$E$448,0,L1295+1),0)</f>
        <v>2</v>
      </c>
      <c r="N1295" s="8">
        <f>IF('Assumptions - Infrastructure'!$E$441&lt;&gt;0,IF(N$4&lt;'Assumptions - Infrastructure'!$E$438+'Assumptions - Infrastructure'!$E$448,0,M1295+1),0)</f>
        <v>3</v>
      </c>
      <c r="O1295" s="8">
        <f>IF('Assumptions - Infrastructure'!$E$441&lt;&gt;0,IF(O$4&lt;'Assumptions - Infrastructure'!$E$438+'Assumptions - Infrastructure'!$E$448,0,N1295+1),0)</f>
        <v>4</v>
      </c>
      <c r="P1295" s="8">
        <f>IF('Assumptions - Infrastructure'!$E$441&lt;&gt;0,IF(P$4&lt;'Assumptions - Infrastructure'!$E$438+'Assumptions - Infrastructure'!$E$448,0,O1295+1),0)</f>
        <v>5</v>
      </c>
      <c r="Q1295" s="8">
        <f>IF('Assumptions - Infrastructure'!$E$441&lt;&gt;0,IF(Q$4&lt;'Assumptions - Infrastructure'!$E$438+'Assumptions - Infrastructure'!$E$448,0,P1295+1),0)</f>
        <v>6</v>
      </c>
      <c r="R1295" s="8">
        <f>IF('Assumptions - Infrastructure'!$E$441&lt;&gt;0,IF(R$4&lt;'Assumptions - Infrastructure'!$E$438+'Assumptions - Infrastructure'!$E$448,0,Q1295+1),0)</f>
        <v>7</v>
      </c>
      <c r="S1295" s="8">
        <f>IF('Assumptions - Infrastructure'!$E$441&lt;&gt;0,IF(S$4&lt;'Assumptions - Infrastructure'!$E$438+'Assumptions - Infrastructure'!$E$448,0,R1295+1),0)</f>
        <v>8</v>
      </c>
      <c r="T1295" s="8">
        <f>IF('Assumptions - Infrastructure'!$E$441&lt;&gt;0,IF(T$4&lt;'Assumptions - Infrastructure'!$E$438+'Assumptions - Infrastructure'!$E$448,0,S1295+1),0)</f>
        <v>9</v>
      </c>
      <c r="U1295" s="8">
        <f>IF('Assumptions - Infrastructure'!$E$441&lt;&gt;0,IF(U$4&lt;'Assumptions - Infrastructure'!$E$438+'Assumptions - Infrastructure'!$E$448,0,T1295+1),0)</f>
        <v>10</v>
      </c>
      <c r="V1295" s="8">
        <f>IF('Assumptions - Infrastructure'!$E$441&lt;&gt;0,IF(V$4&lt;'Assumptions - Infrastructure'!$E$438+'Assumptions - Infrastructure'!$E$448,0,U1295+1),0)</f>
        <v>11</v>
      </c>
      <c r="W1295" s="8">
        <f>IF('Assumptions - Infrastructure'!$E$441&lt;&gt;0,IF(W$4&lt;'Assumptions - Infrastructure'!$E$438+'Assumptions - Infrastructure'!$E$448,0,V1295+1),0)</f>
        <v>12</v>
      </c>
      <c r="X1295" s="8">
        <f>IF('Assumptions - Infrastructure'!$E$441&lt;&gt;0,IF(X$4&lt;'Assumptions - Infrastructure'!$E$438+'Assumptions - Infrastructure'!$E$448,0,W1295+1),0)</f>
        <v>13</v>
      </c>
      <c r="Y1295" s="8">
        <f>IF('Assumptions - Infrastructure'!$E$441&lt;&gt;0,IF(Y$4&lt;'Assumptions - Infrastructure'!$E$438+'Assumptions - Infrastructure'!$E$448,0,X1295+1),0)</f>
        <v>14</v>
      </c>
      <c r="Z1295" s="8">
        <f>IF('Assumptions - Infrastructure'!$E$441&lt;&gt;0,IF(Z$4&lt;'Assumptions - Infrastructure'!$E$438+'Assumptions - Infrastructure'!$E$448,0,Y1295+1),0)</f>
        <v>15</v>
      </c>
      <c r="AA1295" s="8">
        <f>IF('Assumptions - Infrastructure'!$E$441&lt;&gt;0,IF(AA$4&lt;'Assumptions - Infrastructure'!$E$438+'Assumptions - Infrastructure'!$E$448,0,Z1295+1),0)</f>
        <v>16</v>
      </c>
      <c r="AB1295" s="8">
        <f>IF('Assumptions - Infrastructure'!$E$441&lt;&gt;0,IF(AB$4&lt;'Assumptions - Infrastructure'!$E$438+'Assumptions - Infrastructure'!$E$448,0,AA1295+1),0)</f>
        <v>17</v>
      </c>
      <c r="AC1295" s="8">
        <f>IF('Assumptions - Infrastructure'!$E$441&lt;&gt;0,IF(AC$4&lt;'Assumptions - Infrastructure'!$E$438+'Assumptions - Infrastructure'!$E$448,0,AB1295+1),0)</f>
        <v>18</v>
      </c>
      <c r="AD1295" s="8">
        <f>IF('Assumptions - Infrastructure'!$E$441&lt;&gt;0,IF(AD$4&lt;'Assumptions - Infrastructure'!$E$438+'Assumptions - Infrastructure'!$E$448,0,AC1295+1),0)</f>
        <v>19</v>
      </c>
      <c r="AE1295" s="8">
        <f>IF('Assumptions - Infrastructure'!$E$441&lt;&gt;0,IF(AE$4&lt;'Assumptions - Infrastructure'!$E$438+'Assumptions - Infrastructure'!$E$448,0,AD1295+1),0)</f>
        <v>20</v>
      </c>
      <c r="AF1295" s="8">
        <f>IF('Assumptions - Infrastructure'!$E$441&lt;&gt;0,IF(AF$4&lt;'Assumptions - Infrastructure'!$E$438+'Assumptions - Infrastructure'!$E$448,0,AE1295+1),0)</f>
        <v>21</v>
      </c>
      <c r="AG1295" s="8">
        <f>IF('Assumptions - Infrastructure'!$E$441&lt;&gt;0,IF(AG$4&lt;'Assumptions - Infrastructure'!$E$438+'Assumptions - Infrastructure'!$E$448,0,AF1295+1),0)</f>
        <v>22</v>
      </c>
      <c r="AH1295" s="8">
        <f>IF('Assumptions - Infrastructure'!$E$441&lt;&gt;0,IF(AH$4&lt;'Assumptions - Infrastructure'!$E$438+'Assumptions - Infrastructure'!$E$448,0,AG1295+1),0)</f>
        <v>23</v>
      </c>
    </row>
    <row r="1296" spans="1:34" s="20" customFormat="1" ht="14" x14ac:dyDescent="0.2">
      <c r="A1296" s="8"/>
      <c r="B1296" s="8" t="s">
        <v>135</v>
      </c>
      <c r="C1296" s="8"/>
      <c r="D1296" s="8" t="s">
        <v>15</v>
      </c>
      <c r="E1296" s="47">
        <f>IF(E$19=1,IF('Assumptions - Infrastructure'!$E443=1,'Assumptions - Infrastructure'!$E445,'Assumptions - General'!E$38+'Assumptions - Infrastructure'!$E446),0)</f>
        <v>2.4E-2</v>
      </c>
      <c r="F1296" s="47">
        <f>IF(F$19=1,IF('Assumptions - Infrastructure'!$E443=1,'Assumptions - Infrastructure'!$E445,'Assumptions - General'!F$38+'Assumptions - Infrastructure'!$E446),0)</f>
        <v>3.6299999999999999E-2</v>
      </c>
      <c r="G1296" s="47">
        <f>IF(G$19=1,IF('Assumptions - Infrastructure'!$E443=1,'Assumptions - Infrastructure'!$E445,'Assumptions - General'!G$38+'Assumptions - Infrastructure'!$E446),0)</f>
        <v>4.9700000000000001E-2</v>
      </c>
      <c r="H1296" s="47">
        <f>IF(H$19=1,IF('Assumptions - Infrastructure'!$E443=1,'Assumptions - Infrastructure'!$E445,'Assumptions - General'!H$38+'Assumptions - Infrastructure'!$E446),0)</f>
        <v>5.9399999999999994E-2</v>
      </c>
      <c r="I1296" s="47">
        <f>IF(I$19=1,IF('Assumptions - Infrastructure'!$E443=1,'Assumptions - Infrastructure'!$E445,'Assumptions - General'!I$38+'Assumptions - Infrastructure'!$E446),0)</f>
        <v>6.6299999999999998E-2</v>
      </c>
      <c r="J1296" s="47">
        <f>IF(J$19=1,IF('Assumptions - Infrastructure'!$E443=1,'Assumptions - Infrastructure'!$E445,'Assumptions - General'!J$38+'Assumptions - Infrastructure'!$E446),0)</f>
        <v>7.0800000000000002E-2</v>
      </c>
      <c r="K1296" s="47">
        <f>IF(K$19=1,IF('Assumptions - Infrastructure'!$E443=1,'Assumptions - Infrastructure'!$E445,'Assumptions - General'!K$38+'Assumptions - Infrastructure'!$E446),0)</f>
        <v>7.3800000000000004E-2</v>
      </c>
      <c r="L1296" s="47">
        <f>IF(L$19=1,IF('Assumptions - Infrastructure'!$E443=1,'Assumptions - Infrastructure'!$E445,'Assumptions - General'!L$38+'Assumptions - Infrastructure'!$E446),0)</f>
        <v>7.5700000000000003E-2</v>
      </c>
      <c r="M1296" s="47">
        <f>IF(M$19=1,IF('Assumptions - Infrastructure'!$E443=1,'Assumptions - Infrastructure'!$E445,'Assumptions - General'!M$38+'Assumptions - Infrastructure'!$E446),0)</f>
        <v>7.7700000000000005E-2</v>
      </c>
      <c r="N1296" s="47">
        <f>IF(N$19=1,IF('Assumptions - Infrastructure'!$E443=1,'Assumptions - Infrastructure'!$E445,'Assumptions - General'!N$38+'Assumptions - Infrastructure'!$E446),0)</f>
        <v>7.9100000000000004E-2</v>
      </c>
      <c r="O1296" s="47">
        <f>IF(O$19=1,IF('Assumptions - Infrastructure'!$E443=1,'Assumptions - Infrastructure'!$E445,'Assumptions - General'!O$38+'Assumptions - Infrastructure'!$E446),0)</f>
        <v>7.0599999999999996E-2</v>
      </c>
      <c r="P1296" s="47">
        <f>IF(P$19=1,IF('Assumptions - Infrastructure'!$E443=1,'Assumptions - Infrastructure'!$E445,'Assumptions - General'!P$38+'Assumptions - Infrastructure'!$E446),0)</f>
        <v>7.0000000000000007E-2</v>
      </c>
      <c r="Q1296" s="47">
        <f>IF(Q$19=1,IF('Assumptions - Infrastructure'!$E443=1,'Assumptions - Infrastructure'!$E445,'Assumptions - General'!Q$38+'Assumptions - Infrastructure'!$E446),0)</f>
        <v>7.0000000000000007E-2</v>
      </c>
      <c r="R1296" s="47">
        <f>IF(R$19=1,IF('Assumptions - Infrastructure'!$E443=1,'Assumptions - Infrastructure'!$E445,'Assumptions - General'!R$38+'Assumptions - Infrastructure'!$E446),0)</f>
        <v>7.0000000000000007E-2</v>
      </c>
      <c r="S1296" s="47">
        <f>IF(S$19=1,IF('Assumptions - Infrastructure'!$E443=1,'Assumptions - Infrastructure'!$E445,'Assumptions - General'!S$38+'Assumptions - Infrastructure'!$E446),0)</f>
        <v>7.0000000000000007E-2</v>
      </c>
      <c r="T1296" s="47">
        <f>IF(T$19=1,IF('Assumptions - Infrastructure'!$E443=1,'Assumptions - Infrastructure'!$E445,'Assumptions - General'!T$38+'Assumptions - Infrastructure'!$E446),0)</f>
        <v>7.0000000000000007E-2</v>
      </c>
      <c r="U1296" s="47">
        <f>IF(U$19=1,IF('Assumptions - Infrastructure'!$E443=1,'Assumptions - Infrastructure'!$E445,'Assumptions - General'!U$38+'Assumptions - Infrastructure'!$E446),0)</f>
        <v>7.0000000000000007E-2</v>
      </c>
      <c r="V1296" s="47">
        <f>IF(V$19=1,IF('Assumptions - Infrastructure'!$E443=1,'Assumptions - Infrastructure'!$E445,'Assumptions - General'!V$38+'Assumptions - Infrastructure'!$E446),0)</f>
        <v>7.0000000000000007E-2</v>
      </c>
      <c r="W1296" s="47">
        <f>IF(W$19=1,IF('Assumptions - Infrastructure'!$E443=1,'Assumptions - Infrastructure'!$E445,'Assumptions - General'!W$38+'Assumptions - Infrastructure'!$E446),0)</f>
        <v>7.0000000000000007E-2</v>
      </c>
      <c r="X1296" s="47">
        <f>IF(X$19=1,IF('Assumptions - Infrastructure'!$E443=1,'Assumptions - Infrastructure'!$E445,'Assumptions - General'!X$38+'Assumptions - Infrastructure'!$E446),0)</f>
        <v>7.0000000000000007E-2</v>
      </c>
      <c r="Y1296" s="47">
        <f>IF(Y$19=1,IF('Assumptions - Infrastructure'!$E443=1,'Assumptions - Infrastructure'!$E445,'Assumptions - General'!Y$38+'Assumptions - Infrastructure'!$E446),0)</f>
        <v>7.0000000000000007E-2</v>
      </c>
      <c r="Z1296" s="47">
        <f>IF(Z$19=1,IF('Assumptions - Infrastructure'!$E443=1,'Assumptions - Infrastructure'!$E445,'Assumptions - General'!Z$38+'Assumptions - Infrastructure'!$E446),0)</f>
        <v>7.0000000000000007E-2</v>
      </c>
      <c r="AA1296" s="47">
        <f>IF(AA$19=1,IF('Assumptions - Infrastructure'!$E443=1,'Assumptions - Infrastructure'!$E445,'Assumptions - General'!AA$38+'Assumptions - Infrastructure'!$E446),0)</f>
        <v>7.0000000000000007E-2</v>
      </c>
      <c r="AB1296" s="47">
        <f>IF(AB$19=1,IF('Assumptions - Infrastructure'!$E443=1,'Assumptions - Infrastructure'!$E445,'Assumptions - General'!AB$38+'Assumptions - Infrastructure'!$E446),0)</f>
        <v>7.0000000000000007E-2</v>
      </c>
      <c r="AC1296" s="47">
        <f>IF(AC$19=1,IF('Assumptions - Infrastructure'!$E443=1,'Assumptions - Infrastructure'!$E445,'Assumptions - General'!AC$38+'Assumptions - Infrastructure'!$E446),0)</f>
        <v>7.0000000000000007E-2</v>
      </c>
      <c r="AD1296" s="47">
        <f>IF(AD$19=1,IF('Assumptions - Infrastructure'!$E443=1,'Assumptions - Infrastructure'!$E445,'Assumptions - General'!AD$38+'Assumptions - Infrastructure'!$E446),0)</f>
        <v>7.0000000000000007E-2</v>
      </c>
      <c r="AE1296" s="47">
        <f>IF(AE$19=1,IF('Assumptions - Infrastructure'!$E443=1,'Assumptions - Infrastructure'!$E445,'Assumptions - General'!AE$38+'Assumptions - Infrastructure'!$E446),0)</f>
        <v>7.0000000000000007E-2</v>
      </c>
      <c r="AF1296" s="47">
        <f>IF(AF$19=1,IF('Assumptions - Infrastructure'!$E443=1,'Assumptions - Infrastructure'!$E445,'Assumptions - General'!AF$38+'Assumptions - Infrastructure'!$E446),0)</f>
        <v>7.0000000000000007E-2</v>
      </c>
      <c r="AG1296" s="47">
        <f>IF(AG$19=1,IF('Assumptions - Infrastructure'!$E443=1,'Assumptions - Infrastructure'!$E445,'Assumptions - General'!AG$38+'Assumptions - Infrastructure'!$E446),0)</f>
        <v>7.0000000000000007E-2</v>
      </c>
      <c r="AH1296" s="47">
        <f>IF(AH$19=1,IF('Assumptions - Infrastructure'!$E443=1,'Assumptions - Infrastructure'!$E445,'Assumptions - General'!AH$38+'Assumptions - Infrastructure'!$E446),0)</f>
        <v>7.0000000000000007E-2</v>
      </c>
    </row>
    <row r="1297" spans="1:34" s="20" customFormat="1" ht="14" x14ac:dyDescent="0.2">
      <c r="A1297" s="8"/>
      <c r="B1297" s="8" t="s">
        <v>136</v>
      </c>
      <c r="C1297" s="8"/>
      <c r="D1297" s="8" t="str">
        <f>'Assumptions - Infrastructure'!D441</f>
        <v>R$ millions</v>
      </c>
      <c r="E1297" s="468">
        <v>0</v>
      </c>
      <c r="F1297" s="126">
        <f t="shared" ref="F1297:AH1297" si="500">E1305</f>
        <v>0</v>
      </c>
      <c r="G1297" s="126">
        <f t="shared" si="500"/>
        <v>0</v>
      </c>
      <c r="H1297" s="126">
        <f t="shared" si="500"/>
        <v>10</v>
      </c>
      <c r="I1297" s="126">
        <f t="shared" si="500"/>
        <v>20</v>
      </c>
      <c r="J1297" s="126">
        <f t="shared" si="500"/>
        <v>30</v>
      </c>
      <c r="K1297" s="126">
        <f t="shared" si="500"/>
        <v>40</v>
      </c>
      <c r="L1297" s="126">
        <f t="shared" si="500"/>
        <v>50</v>
      </c>
      <c r="M1297" s="126">
        <f t="shared" si="500"/>
        <v>50</v>
      </c>
      <c r="N1297" s="126">
        <f t="shared" si="500"/>
        <v>50</v>
      </c>
      <c r="O1297" s="126">
        <f t="shared" si="500"/>
        <v>50</v>
      </c>
      <c r="P1297" s="126">
        <f t="shared" si="500"/>
        <v>50</v>
      </c>
      <c r="Q1297" s="126">
        <f t="shared" si="500"/>
        <v>50</v>
      </c>
      <c r="R1297" s="126">
        <f t="shared" si="500"/>
        <v>50</v>
      </c>
      <c r="S1297" s="126">
        <f t="shared" si="500"/>
        <v>50</v>
      </c>
      <c r="T1297" s="126">
        <f t="shared" si="500"/>
        <v>50</v>
      </c>
      <c r="U1297" s="126">
        <f t="shared" si="500"/>
        <v>50</v>
      </c>
      <c r="V1297" s="126">
        <f t="shared" si="500"/>
        <v>0</v>
      </c>
      <c r="W1297" s="126">
        <f t="shared" si="500"/>
        <v>0</v>
      </c>
      <c r="X1297" s="126">
        <f t="shared" si="500"/>
        <v>0</v>
      </c>
      <c r="Y1297" s="126">
        <f t="shared" si="500"/>
        <v>0</v>
      </c>
      <c r="Z1297" s="126">
        <f t="shared" si="500"/>
        <v>0</v>
      </c>
      <c r="AA1297" s="126">
        <f t="shared" si="500"/>
        <v>0</v>
      </c>
      <c r="AB1297" s="126">
        <f t="shared" si="500"/>
        <v>0</v>
      </c>
      <c r="AC1297" s="126">
        <f t="shared" si="500"/>
        <v>0</v>
      </c>
      <c r="AD1297" s="126">
        <f t="shared" si="500"/>
        <v>0</v>
      </c>
      <c r="AE1297" s="126">
        <f t="shared" si="500"/>
        <v>0</v>
      </c>
      <c r="AF1297" s="126">
        <f t="shared" si="500"/>
        <v>0</v>
      </c>
      <c r="AG1297" s="126">
        <f t="shared" si="500"/>
        <v>0</v>
      </c>
      <c r="AH1297" s="126">
        <f t="shared" si="500"/>
        <v>0</v>
      </c>
    </row>
    <row r="1298" spans="1:34" s="20" customFormat="1" ht="14" x14ac:dyDescent="0.2">
      <c r="A1298" s="8"/>
      <c r="B1298" s="8" t="s">
        <v>410</v>
      </c>
      <c r="C1298" s="8"/>
      <c r="D1298" s="8" t="str">
        <f>D1297</f>
        <v>R$ millions</v>
      </c>
      <c r="E1298" s="126">
        <f>IF(E$19=1,IF('Assumptions - Infrastructure'!$E$441&lt;&gt;0,IF('Assumptions - Infrastructure'!$E$449=1,Calculations!E1299,IF('Assumptions - Infrastructure'!$E$449=2,Calculations!E1300,IF('Assumptions - Infrastructure'!$E$449=3,IF(E1295=('Assumptions - Infrastructure'!$E$447-'Assumptions - Infrastructure'!$E$448),Calculations!D1305,Calculations!E1301),0))),0),0)</f>
        <v>0</v>
      </c>
      <c r="F1298" s="126">
        <f>IF(F$19=1,IF('Assumptions - Infrastructure'!$E$441&lt;&gt;0,IF('Assumptions - Infrastructure'!$E$449=1,Calculations!F1299,IF('Assumptions - Infrastructure'!$E$449=2,Calculations!F1300,IF('Assumptions - Infrastructure'!$E$449=3,IF(F1295=('Assumptions - Infrastructure'!$E$447-'Assumptions - Infrastructure'!$E$448),Calculations!E1305,Calculations!F1301),0))),0),0)</f>
        <v>0</v>
      </c>
      <c r="G1298" s="126">
        <f>IF(G$19=1,IF('Assumptions - Infrastructure'!$E$441&lt;&gt;0,IF('Assumptions - Infrastructure'!$E$449=1,Calculations!G1299,IF('Assumptions - Infrastructure'!$E$449=2,Calculations!G1300,IF('Assumptions - Infrastructure'!$E$449=3,IF(G1295=('Assumptions - Infrastructure'!$E$447-'Assumptions - Infrastructure'!$E$448),Calculations!F1305,Calculations!G1301),0))),0),0)</f>
        <v>0</v>
      </c>
      <c r="H1298" s="126">
        <f>IF(H$19=1,IF('Assumptions - Infrastructure'!$E$441&lt;&gt;0,IF('Assumptions - Infrastructure'!$E$449=1,Calculations!H1299,IF('Assumptions - Infrastructure'!$E$449=2,Calculations!H1300,IF('Assumptions - Infrastructure'!$E$449=3,IF(H1295=('Assumptions - Infrastructure'!$E$447-'Assumptions - Infrastructure'!$E$448),Calculations!G1305,Calculations!H1301),0))),0),0)</f>
        <v>0</v>
      </c>
      <c r="I1298" s="126">
        <f>IF(I$19=1,IF('Assumptions - Infrastructure'!$E$441&lt;&gt;0,IF('Assumptions - Infrastructure'!$E$449=1,Calculations!I1299,IF('Assumptions - Infrastructure'!$E$449=2,Calculations!I1300,IF('Assumptions - Infrastructure'!$E$449=3,IF(I1295=('Assumptions - Infrastructure'!$E$447-'Assumptions - Infrastructure'!$E$448),Calculations!H1305,Calculations!I1301),0))),0),0)</f>
        <v>0</v>
      </c>
      <c r="J1298" s="126">
        <f>IF(J$19=1,IF('Assumptions - Infrastructure'!$E$441&lt;&gt;0,IF('Assumptions - Infrastructure'!$E$449=1,Calculations!J1299,IF('Assumptions - Infrastructure'!$E$449=2,Calculations!J1300,IF('Assumptions - Infrastructure'!$E$449=3,IF(J1295=('Assumptions - Infrastructure'!$E$447-'Assumptions - Infrastructure'!$E$448),Calculations!I1305,Calculations!J1301),0))),0),0)</f>
        <v>0</v>
      </c>
      <c r="K1298" s="126">
        <f>IF(K$19=1,IF('Assumptions - Infrastructure'!$E$441&lt;&gt;0,IF('Assumptions - Infrastructure'!$E$449=1,Calculations!K1299,IF('Assumptions - Infrastructure'!$E$449=2,Calculations!K1300,IF('Assumptions - Infrastructure'!$E$449=3,IF(K1295=('Assumptions - Infrastructure'!$E$447-'Assumptions - Infrastructure'!$E$448),Calculations!J1305,Calculations!K1301),0))),0),0)</f>
        <v>0</v>
      </c>
      <c r="L1298" s="126">
        <f>IF(L$19=1,IF('Assumptions - Infrastructure'!$E$441&lt;&gt;0,IF('Assumptions - Infrastructure'!$E$449=1,Calculations!L1299,IF('Assumptions - Infrastructure'!$E$449=2,Calculations!L1300,IF('Assumptions - Infrastructure'!$E$449=3,IF(L1295=('Assumptions - Infrastructure'!$E$447-'Assumptions - Infrastructure'!$E$448),Calculations!K1305,Calculations!L1301),0))),0),0)</f>
        <v>0</v>
      </c>
      <c r="M1298" s="126">
        <f>IF(M$19=1,IF('Assumptions - Infrastructure'!$E$441&lt;&gt;0,IF('Assumptions - Infrastructure'!$E$449=1,Calculations!M1299,IF('Assumptions - Infrastructure'!$E$449=2,Calculations!M1300,IF('Assumptions - Infrastructure'!$E$449=3,IF(M1295=('Assumptions - Infrastructure'!$E$447-'Assumptions - Infrastructure'!$E$448),Calculations!L1305,Calculations!M1301),0))),0),0)</f>
        <v>0</v>
      </c>
      <c r="N1298" s="126">
        <f>IF(N$19=1,IF('Assumptions - Infrastructure'!$E$441&lt;&gt;0,IF('Assumptions - Infrastructure'!$E$449=1,Calculations!N1299,IF('Assumptions - Infrastructure'!$E$449=2,Calculations!N1300,IF('Assumptions - Infrastructure'!$E$449=3,IF(N1295=('Assumptions - Infrastructure'!$E$447-'Assumptions - Infrastructure'!$E$448),Calculations!M1305,Calculations!N1301),0))),0),0)</f>
        <v>0</v>
      </c>
      <c r="O1298" s="126">
        <f>IF(O$19=1,IF('Assumptions - Infrastructure'!$E$441&lt;&gt;0,IF('Assumptions - Infrastructure'!$E$449=1,Calculations!O1299,IF('Assumptions - Infrastructure'!$E$449=2,Calculations!O1300,IF('Assumptions - Infrastructure'!$E$449=3,IF(O1295=('Assumptions - Infrastructure'!$E$447-'Assumptions - Infrastructure'!$E$448),Calculations!N1305,Calculations!O1301),0))),0),0)</f>
        <v>0</v>
      </c>
      <c r="P1298" s="126">
        <f>IF(P$19=1,IF('Assumptions - Infrastructure'!$E$441&lt;&gt;0,IF('Assumptions - Infrastructure'!$E$449=1,Calculations!P1299,IF('Assumptions - Infrastructure'!$E$449=2,Calculations!P1300,IF('Assumptions - Infrastructure'!$E$449=3,IF(P1295=('Assumptions - Infrastructure'!$E$447-'Assumptions - Infrastructure'!$E$448),Calculations!O1305,Calculations!P1301),0))),0),0)</f>
        <v>0</v>
      </c>
      <c r="Q1298" s="126">
        <f>IF(Q$19=1,IF('Assumptions - Infrastructure'!$E$441&lt;&gt;0,IF('Assumptions - Infrastructure'!$E$449=1,Calculations!Q1299,IF('Assumptions - Infrastructure'!$E$449=2,Calculations!Q1300,IF('Assumptions - Infrastructure'!$E$449=3,IF(Q1295=('Assumptions - Infrastructure'!$E$447-'Assumptions - Infrastructure'!$E$448),Calculations!P1305,Calculations!Q1301),0))),0),0)</f>
        <v>0</v>
      </c>
      <c r="R1298" s="126">
        <f>IF(R$19=1,IF('Assumptions - Infrastructure'!$E$441&lt;&gt;0,IF('Assumptions - Infrastructure'!$E$449=1,Calculations!R1299,IF('Assumptions - Infrastructure'!$E$449=2,Calculations!R1300,IF('Assumptions - Infrastructure'!$E$449=3,IF(R1295=('Assumptions - Infrastructure'!$E$447-'Assumptions - Infrastructure'!$E$448),Calculations!Q1305,Calculations!R1301),0))),0),0)</f>
        <v>0</v>
      </c>
      <c r="S1298" s="126">
        <f>IF(S$19=1,IF('Assumptions - Infrastructure'!$E$441&lt;&gt;0,IF('Assumptions - Infrastructure'!$E$449=1,Calculations!S1299,IF('Assumptions - Infrastructure'!$E$449=2,Calculations!S1300,IF('Assumptions - Infrastructure'!$E$449=3,IF(S1295=('Assumptions - Infrastructure'!$E$447-'Assumptions - Infrastructure'!$E$448),Calculations!R1305,Calculations!S1301),0))),0),0)</f>
        <v>0</v>
      </c>
      <c r="T1298" s="126">
        <f>IF(T$19=1,IF('Assumptions - Infrastructure'!$E$441&lt;&gt;0,IF('Assumptions - Infrastructure'!$E$449=1,Calculations!T1299,IF('Assumptions - Infrastructure'!$E$449=2,Calculations!T1300,IF('Assumptions - Infrastructure'!$E$449=3,IF(T1295=('Assumptions - Infrastructure'!$E$447-'Assumptions - Infrastructure'!$E$448),Calculations!S1305,Calculations!T1301),0))),0),0)</f>
        <v>0</v>
      </c>
      <c r="U1298" s="126">
        <f>IF(U$19=1,IF('Assumptions - Infrastructure'!$E$441&lt;&gt;0,IF('Assumptions - Infrastructure'!$E$449=1,Calculations!U1299,IF('Assumptions - Infrastructure'!$E$449=2,Calculations!U1300,IF('Assumptions - Infrastructure'!$E$449=3,IF(U1295=('Assumptions - Infrastructure'!$E$447-'Assumptions - Infrastructure'!$E$448),Calculations!T1305,Calculations!U1301),0))),0),0)</f>
        <v>50</v>
      </c>
      <c r="V1298" s="126">
        <f>IF(V$19=1,IF('Assumptions - Infrastructure'!$E$441&lt;&gt;0,IF('Assumptions - Infrastructure'!$E$449=1,Calculations!V1299,IF('Assumptions - Infrastructure'!$E$449=2,Calculations!V1300,IF('Assumptions - Infrastructure'!$E$449=3,IF(V1295=('Assumptions - Infrastructure'!$E$447-'Assumptions - Infrastructure'!$E$448),Calculations!U1305,Calculations!V1301),0))),0),0)</f>
        <v>0</v>
      </c>
      <c r="W1298" s="126">
        <f>IF(W$19=1,IF('Assumptions - Infrastructure'!$E$441&lt;&gt;0,IF('Assumptions - Infrastructure'!$E$449=1,Calculations!W1299,IF('Assumptions - Infrastructure'!$E$449=2,Calculations!W1300,IF('Assumptions - Infrastructure'!$E$449=3,IF(W1295=('Assumptions - Infrastructure'!$E$447-'Assumptions - Infrastructure'!$E$448),Calculations!V1305,Calculations!W1301),0))),0),0)</f>
        <v>0</v>
      </c>
      <c r="X1298" s="126">
        <f>IF(X$19=1,IF('Assumptions - Infrastructure'!$E$441&lt;&gt;0,IF('Assumptions - Infrastructure'!$E$449=1,Calculations!X1299,IF('Assumptions - Infrastructure'!$E$449=2,Calculations!X1300,IF('Assumptions - Infrastructure'!$E$449=3,IF(X1295=('Assumptions - Infrastructure'!$E$447-'Assumptions - Infrastructure'!$E$448),Calculations!W1305,Calculations!X1301),0))),0),0)</f>
        <v>0</v>
      </c>
      <c r="Y1298" s="126">
        <f>IF(Y$19=1,IF('Assumptions - Infrastructure'!$E$441&lt;&gt;0,IF('Assumptions - Infrastructure'!$E$449=1,Calculations!Y1299,IF('Assumptions - Infrastructure'!$E$449=2,Calculations!Y1300,IF('Assumptions - Infrastructure'!$E$449=3,IF(Y1295=('Assumptions - Infrastructure'!$E$447-'Assumptions - Infrastructure'!$E$448),Calculations!X1305,Calculations!Y1301),0))),0),0)</f>
        <v>0</v>
      </c>
      <c r="Z1298" s="126">
        <f>IF(Z$19=1,IF('Assumptions - Infrastructure'!$E$441&lt;&gt;0,IF('Assumptions - Infrastructure'!$E$449=1,Calculations!Z1299,IF('Assumptions - Infrastructure'!$E$449=2,Calculations!Z1300,IF('Assumptions - Infrastructure'!$E$449=3,IF(Z1295=('Assumptions - Infrastructure'!$E$447-'Assumptions - Infrastructure'!$E$448),Calculations!Y1305,Calculations!Z1301),0))),0),0)</f>
        <v>0</v>
      </c>
      <c r="AA1298" s="126">
        <f>IF(AA$19=1,IF('Assumptions - Infrastructure'!$E$441&lt;&gt;0,IF('Assumptions - Infrastructure'!$E$449=1,Calculations!AA1299,IF('Assumptions - Infrastructure'!$E$449=2,Calculations!AA1300,IF('Assumptions - Infrastructure'!$E$449=3,IF(AA1295=('Assumptions - Infrastructure'!$E$447-'Assumptions - Infrastructure'!$E$448),Calculations!Z1305,Calculations!AA1301),0))),0),0)</f>
        <v>0</v>
      </c>
      <c r="AB1298" s="126">
        <f>IF(AB$19=1,IF('Assumptions - Infrastructure'!$E$441&lt;&gt;0,IF('Assumptions - Infrastructure'!$E$449=1,Calculations!AB1299,IF('Assumptions - Infrastructure'!$E$449=2,Calculations!AB1300,IF('Assumptions - Infrastructure'!$E$449=3,IF(AB1295=('Assumptions - Infrastructure'!$E$447-'Assumptions - Infrastructure'!$E$448),Calculations!AA1305,Calculations!AB1301),0))),0),0)</f>
        <v>0</v>
      </c>
      <c r="AC1298" s="126">
        <f>IF(AC$19=1,IF('Assumptions - Infrastructure'!$E$441&lt;&gt;0,IF('Assumptions - Infrastructure'!$E$449=1,Calculations!AC1299,IF('Assumptions - Infrastructure'!$E$449=2,Calculations!AC1300,IF('Assumptions - Infrastructure'!$E$449=3,IF(AC1295=('Assumptions - Infrastructure'!$E$447-'Assumptions - Infrastructure'!$E$448),Calculations!AB1305,Calculations!AC1301),0))),0),0)</f>
        <v>0</v>
      </c>
      <c r="AD1298" s="126">
        <f>IF(AD$19=1,IF('Assumptions - Infrastructure'!$E$441&lt;&gt;0,IF('Assumptions - Infrastructure'!$E$449=1,Calculations!AD1299,IF('Assumptions - Infrastructure'!$E$449=2,Calculations!AD1300,IF('Assumptions - Infrastructure'!$E$449=3,IF(AD1295=('Assumptions - Infrastructure'!$E$447-'Assumptions - Infrastructure'!$E$448),Calculations!AC1305,Calculations!AD1301),0))),0),0)</f>
        <v>0</v>
      </c>
      <c r="AE1298" s="126">
        <f>IF(AE$19=1,IF('Assumptions - Infrastructure'!$E$441&lt;&gt;0,IF('Assumptions - Infrastructure'!$E$449=1,Calculations!AE1299,IF('Assumptions - Infrastructure'!$E$449=2,Calculations!AE1300,IF('Assumptions - Infrastructure'!$E$449=3,IF(AE1295=('Assumptions - Infrastructure'!$E$447-'Assumptions - Infrastructure'!$E$448),Calculations!AD1305,Calculations!AE1301),0))),0),0)</f>
        <v>0</v>
      </c>
      <c r="AF1298" s="126">
        <f>IF(AF$19=1,IF('Assumptions - Infrastructure'!$E$441&lt;&gt;0,IF('Assumptions - Infrastructure'!$E$449=1,Calculations!AF1299,IF('Assumptions - Infrastructure'!$E$449=2,Calculations!AF1300,IF('Assumptions - Infrastructure'!$E$449=3,IF(AF1295=('Assumptions - Infrastructure'!$E$447-'Assumptions - Infrastructure'!$E$448),Calculations!AE1305,Calculations!AF1301),0))),0),0)</f>
        <v>0</v>
      </c>
      <c r="AG1298" s="126">
        <f>IF(AG$19=1,IF('Assumptions - Infrastructure'!$E$441&lt;&gt;0,IF('Assumptions - Infrastructure'!$E$449=1,Calculations!AG1299,IF('Assumptions - Infrastructure'!$E$449=2,Calculations!AG1300,IF('Assumptions - Infrastructure'!$E$449=3,IF(AG1295=('Assumptions - Infrastructure'!$E$447-'Assumptions - Infrastructure'!$E$448),Calculations!AF1305,Calculations!AG1301),0))),0),0)</f>
        <v>0</v>
      </c>
      <c r="AH1298" s="126">
        <f>IF(AH$19=1,IF('Assumptions - Infrastructure'!$E$441&lt;&gt;0,IF('Assumptions - Infrastructure'!$E$449=1,Calculations!AH1299,IF('Assumptions - Infrastructure'!$E$449=2,Calculations!AH1300,IF('Assumptions - Infrastructure'!$E$449=3,IF(AH1295=('Assumptions - Infrastructure'!$E$447-'Assumptions - Infrastructure'!$E$448),Calculations!AG1305,Calculations!AH1301),0))),0),0)</f>
        <v>0</v>
      </c>
    </row>
    <row r="1299" spans="1:34" s="20" customFormat="1" ht="14" x14ac:dyDescent="0.2">
      <c r="A1299" s="8"/>
      <c r="B1299" s="125" t="s">
        <v>295</v>
      </c>
      <c r="C1299" s="8"/>
      <c r="D1299" s="8" t="str">
        <f t="shared" ref="D1299:D1310" si="501">D1298</f>
        <v>R$ millions</v>
      </c>
      <c r="E1299" s="126">
        <f>IF('Assumptions - Infrastructure'!$E$441&lt;&gt;0,IF(AND('Assumptions - Infrastructure'!$E$449=1,E$1295=('Assumptions - Infrastructure'!$E$447-'Assumptions - Infrastructure'!$E$448)),'Assumptions - Infrastructure'!$E$441,0),0)</f>
        <v>0</v>
      </c>
      <c r="F1299" s="126">
        <f>IF('Assumptions - Infrastructure'!$E$441&lt;&gt;0,IF(AND('Assumptions - Infrastructure'!$E$449=1,F$1295=('Assumptions - Infrastructure'!$E$447-'Assumptions - Infrastructure'!$E$448)),'Assumptions - Infrastructure'!$E$441,0),0)</f>
        <v>0</v>
      </c>
      <c r="G1299" s="126">
        <f>IF('Assumptions - Infrastructure'!$E$441&lt;&gt;0,IF(AND('Assumptions - Infrastructure'!$E$449=1,G$1295=('Assumptions - Infrastructure'!$E$447-'Assumptions - Infrastructure'!$E$448)),'Assumptions - Infrastructure'!$E$441,0),0)</f>
        <v>0</v>
      </c>
      <c r="H1299" s="126">
        <f>IF('Assumptions - Infrastructure'!$E$441&lt;&gt;0,IF(AND('Assumptions - Infrastructure'!$E$449=1,H$1295=('Assumptions - Infrastructure'!$E$447-'Assumptions - Infrastructure'!$E$448)),'Assumptions - Infrastructure'!$E$441,0),0)</f>
        <v>0</v>
      </c>
      <c r="I1299" s="126">
        <f>IF('Assumptions - Infrastructure'!$E$441&lt;&gt;0,IF(AND('Assumptions - Infrastructure'!$E$449=1,I$1295=('Assumptions - Infrastructure'!$E$447-'Assumptions - Infrastructure'!$E$448)),'Assumptions - Infrastructure'!$E$441,0),0)</f>
        <v>0</v>
      </c>
      <c r="J1299" s="126">
        <f>IF('Assumptions - Infrastructure'!$E$441&lt;&gt;0,IF(AND('Assumptions - Infrastructure'!$E$449=1,J$1295=('Assumptions - Infrastructure'!$E$447-'Assumptions - Infrastructure'!$E$448)),'Assumptions - Infrastructure'!$E$441,0),0)</f>
        <v>0</v>
      </c>
      <c r="K1299" s="126">
        <f>IF('Assumptions - Infrastructure'!$E$441&lt;&gt;0,IF(AND('Assumptions - Infrastructure'!$E$449=1,K$1295=('Assumptions - Infrastructure'!$E$447-'Assumptions - Infrastructure'!$E$448)),'Assumptions - Infrastructure'!$E$441,0),0)</f>
        <v>0</v>
      </c>
      <c r="L1299" s="126">
        <f>IF('Assumptions - Infrastructure'!$E$441&lt;&gt;0,IF(AND('Assumptions - Infrastructure'!$E$449=1,L$1295=('Assumptions - Infrastructure'!$E$447-'Assumptions - Infrastructure'!$E$448)),'Assumptions - Infrastructure'!$E$441,0),0)</f>
        <v>0</v>
      </c>
      <c r="M1299" s="126">
        <f>IF('Assumptions - Infrastructure'!$E$441&lt;&gt;0,IF(AND('Assumptions - Infrastructure'!$E$449=1,M$1295=('Assumptions - Infrastructure'!$E$447-'Assumptions - Infrastructure'!$E$448)),'Assumptions - Infrastructure'!$E$441,0),0)</f>
        <v>0</v>
      </c>
      <c r="N1299" s="126">
        <f>IF('Assumptions - Infrastructure'!$E$441&lt;&gt;0,IF(AND('Assumptions - Infrastructure'!$E$449=1,N$1295=('Assumptions - Infrastructure'!$E$447-'Assumptions - Infrastructure'!$E$448)),'Assumptions - Infrastructure'!$E$441,0),0)</f>
        <v>0</v>
      </c>
      <c r="O1299" s="126">
        <f>IF('Assumptions - Infrastructure'!$E$441&lt;&gt;0,IF(AND('Assumptions - Infrastructure'!$E$449=1,O$1295=('Assumptions - Infrastructure'!$E$447-'Assumptions - Infrastructure'!$E$448)),'Assumptions - Infrastructure'!$E$441,0),0)</f>
        <v>0</v>
      </c>
      <c r="P1299" s="126">
        <f>IF('Assumptions - Infrastructure'!$E$441&lt;&gt;0,IF(AND('Assumptions - Infrastructure'!$E$449=1,P$1295=('Assumptions - Infrastructure'!$E$447-'Assumptions - Infrastructure'!$E$448)),'Assumptions - Infrastructure'!$E$441,0),0)</f>
        <v>0</v>
      </c>
      <c r="Q1299" s="126">
        <f>IF('Assumptions - Infrastructure'!$E$441&lt;&gt;0,IF(AND('Assumptions - Infrastructure'!$E$449=1,Q$1295=('Assumptions - Infrastructure'!$E$447-'Assumptions - Infrastructure'!$E$448)),'Assumptions - Infrastructure'!$E$441,0),0)</f>
        <v>0</v>
      </c>
      <c r="R1299" s="126">
        <f>IF('Assumptions - Infrastructure'!$E$441&lt;&gt;0,IF(AND('Assumptions - Infrastructure'!$E$449=1,R$1295=('Assumptions - Infrastructure'!$E$447-'Assumptions - Infrastructure'!$E$448)),'Assumptions - Infrastructure'!$E$441,0),0)</f>
        <v>0</v>
      </c>
      <c r="S1299" s="126">
        <f>IF('Assumptions - Infrastructure'!$E$441&lt;&gt;0,IF(AND('Assumptions - Infrastructure'!$E$449=1,S$1295=('Assumptions - Infrastructure'!$E$447-'Assumptions - Infrastructure'!$E$448)),'Assumptions - Infrastructure'!$E$441,0),0)</f>
        <v>0</v>
      </c>
      <c r="T1299" s="126">
        <f>IF('Assumptions - Infrastructure'!$E$441&lt;&gt;0,IF(AND('Assumptions - Infrastructure'!$E$449=1,T$1295=('Assumptions - Infrastructure'!$E$447-'Assumptions - Infrastructure'!$E$448)),'Assumptions - Infrastructure'!$E$441,0),0)</f>
        <v>0</v>
      </c>
      <c r="U1299" s="126">
        <f>IF('Assumptions - Infrastructure'!$E$441&lt;&gt;0,IF(AND('Assumptions - Infrastructure'!$E$449=1,U$1295=('Assumptions - Infrastructure'!$E$447-'Assumptions - Infrastructure'!$E$448)),'Assumptions - Infrastructure'!$E$441,0),0)</f>
        <v>50</v>
      </c>
      <c r="V1299" s="126">
        <f>IF('Assumptions - Infrastructure'!$E$441&lt;&gt;0,IF(AND('Assumptions - Infrastructure'!$E$449=1,V$1295=('Assumptions - Infrastructure'!$E$447-'Assumptions - Infrastructure'!$E$448)),'Assumptions - Infrastructure'!$E$441,0),0)</f>
        <v>0</v>
      </c>
      <c r="W1299" s="126">
        <f>IF('Assumptions - Infrastructure'!$E$441&lt;&gt;0,IF(AND('Assumptions - Infrastructure'!$E$449=1,W$1295=('Assumptions - Infrastructure'!$E$447-'Assumptions - Infrastructure'!$E$448)),'Assumptions - Infrastructure'!$E$441,0),0)</f>
        <v>0</v>
      </c>
      <c r="X1299" s="126">
        <f>IF('Assumptions - Infrastructure'!$E$441&lt;&gt;0,IF(AND('Assumptions - Infrastructure'!$E$449=1,X$1295=('Assumptions - Infrastructure'!$E$447-'Assumptions - Infrastructure'!$E$448)),'Assumptions - Infrastructure'!$E$441,0),0)</f>
        <v>0</v>
      </c>
      <c r="Y1299" s="126">
        <f>IF('Assumptions - Infrastructure'!$E$441&lt;&gt;0,IF(AND('Assumptions - Infrastructure'!$E$449=1,Y$1295=('Assumptions - Infrastructure'!$E$447-'Assumptions - Infrastructure'!$E$448)),'Assumptions - Infrastructure'!$E$441,0),0)</f>
        <v>0</v>
      </c>
      <c r="Z1299" s="126">
        <f>IF('Assumptions - Infrastructure'!$E$441&lt;&gt;0,IF(AND('Assumptions - Infrastructure'!$E$449=1,Z$1295=('Assumptions - Infrastructure'!$E$447-'Assumptions - Infrastructure'!$E$448)),'Assumptions - Infrastructure'!$E$441,0),0)</f>
        <v>0</v>
      </c>
      <c r="AA1299" s="126">
        <f>IF('Assumptions - Infrastructure'!$E$441&lt;&gt;0,IF(AND('Assumptions - Infrastructure'!$E$449=1,AA$1295=('Assumptions - Infrastructure'!$E$447-'Assumptions - Infrastructure'!$E$448)),'Assumptions - Infrastructure'!$E$441,0),0)</f>
        <v>0</v>
      </c>
      <c r="AB1299" s="126">
        <f>IF('Assumptions - Infrastructure'!$E$441&lt;&gt;0,IF(AND('Assumptions - Infrastructure'!$E$449=1,AB$1295=('Assumptions - Infrastructure'!$E$447-'Assumptions - Infrastructure'!$E$448)),'Assumptions - Infrastructure'!$E$441,0),0)</f>
        <v>0</v>
      </c>
      <c r="AC1299" s="126">
        <f>IF('Assumptions - Infrastructure'!$E$441&lt;&gt;0,IF(AND('Assumptions - Infrastructure'!$E$449=1,AC$1295=('Assumptions - Infrastructure'!$E$447-'Assumptions - Infrastructure'!$E$448)),'Assumptions - Infrastructure'!$E$441,0),0)</f>
        <v>0</v>
      </c>
      <c r="AD1299" s="126">
        <f>IF('Assumptions - Infrastructure'!$E$441&lt;&gt;0,IF(AND('Assumptions - Infrastructure'!$E$449=1,AD$1295=('Assumptions - Infrastructure'!$E$447-'Assumptions - Infrastructure'!$E$448)),'Assumptions - Infrastructure'!$E$441,0),0)</f>
        <v>0</v>
      </c>
      <c r="AE1299" s="126">
        <f>IF('Assumptions - Infrastructure'!$E$441&lt;&gt;0,IF(AND('Assumptions - Infrastructure'!$E$449=1,AE$1295=('Assumptions - Infrastructure'!$E$447-'Assumptions - Infrastructure'!$E$448)),'Assumptions - Infrastructure'!$E$441,0),0)</f>
        <v>0</v>
      </c>
      <c r="AF1299" s="126">
        <f>IF('Assumptions - Infrastructure'!$E$441&lt;&gt;0,IF(AND('Assumptions - Infrastructure'!$E$449=1,AF$1295=('Assumptions - Infrastructure'!$E$447-'Assumptions - Infrastructure'!$E$448)),'Assumptions - Infrastructure'!$E$441,0),0)</f>
        <v>0</v>
      </c>
      <c r="AG1299" s="126">
        <f>IF('Assumptions - Infrastructure'!$E$441&lt;&gt;0,IF(AND('Assumptions - Infrastructure'!$E$449=1,AG$1295=('Assumptions - Infrastructure'!$E$447-'Assumptions - Infrastructure'!$E$448)),'Assumptions - Infrastructure'!$E$441,0),0)</f>
        <v>0</v>
      </c>
      <c r="AH1299" s="126">
        <f>IF('Assumptions - Infrastructure'!$E$441&lt;&gt;0,IF(AND('Assumptions - Infrastructure'!$E$449=1,AH$1295=('Assumptions - Infrastructure'!$E$447-'Assumptions - Infrastructure'!$E$448)),'Assumptions - Infrastructure'!$E$441,0),0)</f>
        <v>0</v>
      </c>
    </row>
    <row r="1300" spans="1:34" s="20" customFormat="1" ht="14" x14ac:dyDescent="0.2">
      <c r="A1300" s="8"/>
      <c r="B1300" s="125" t="s">
        <v>294</v>
      </c>
      <c r="C1300" s="8"/>
      <c r="D1300" s="8" t="str">
        <f t="shared" si="501"/>
        <v>R$ millions</v>
      </c>
      <c r="E1300" s="126">
        <f>IF('Assumptions - Infrastructure'!$E$441&lt;&gt;0,IF(AND('Assumptions - Infrastructure'!$E$449=2,Calculations!E$1295&gt;0,Calculations!E$1295&lt;=('Assumptions - Infrastructure'!$E$447-'Assumptions - Infrastructure'!$E$448)),'Assumptions - Infrastructure'!$E$441/('Assumptions - Infrastructure'!$E$447-'Assumptions - Infrastructure'!$E$448),0),0)</f>
        <v>0</v>
      </c>
      <c r="F1300" s="126">
        <f>IF('Assumptions - Infrastructure'!$E$441&lt;&gt;0,IF(AND('Assumptions - Infrastructure'!$E$449=2,Calculations!F$1295&gt;0,Calculations!F$1295&lt;=('Assumptions - Infrastructure'!$E$447-'Assumptions - Infrastructure'!$E$448)),'Assumptions - Infrastructure'!$E$441/('Assumptions - Infrastructure'!$E$447-'Assumptions - Infrastructure'!$E$448),0),0)</f>
        <v>0</v>
      </c>
      <c r="G1300" s="126">
        <f>IF('Assumptions - Infrastructure'!$E$441&lt;&gt;0,IF(AND('Assumptions - Infrastructure'!$E$449=2,Calculations!G$1295&gt;0,Calculations!G$1295&lt;=('Assumptions - Infrastructure'!$E$447-'Assumptions - Infrastructure'!$E$448)),'Assumptions - Infrastructure'!$E$441/('Assumptions - Infrastructure'!$E$447-'Assumptions - Infrastructure'!$E$448),0),0)</f>
        <v>0</v>
      </c>
      <c r="H1300" s="126">
        <f>IF('Assumptions - Infrastructure'!$E$441&lt;&gt;0,IF(AND('Assumptions - Infrastructure'!$E$449=2,Calculations!H$1295&gt;0,Calculations!H$1295&lt;=('Assumptions - Infrastructure'!$E$447-'Assumptions - Infrastructure'!$E$448)),'Assumptions - Infrastructure'!$E$441/('Assumptions - Infrastructure'!$E$447-'Assumptions - Infrastructure'!$E$448),0),0)</f>
        <v>0</v>
      </c>
      <c r="I1300" s="126">
        <f>IF('Assumptions - Infrastructure'!$E$441&lt;&gt;0,IF(AND('Assumptions - Infrastructure'!$E$449=2,Calculations!I$1295&gt;0,Calculations!I$1295&lt;=('Assumptions - Infrastructure'!$E$447-'Assumptions - Infrastructure'!$E$448)),'Assumptions - Infrastructure'!$E$441/('Assumptions - Infrastructure'!$E$447-'Assumptions - Infrastructure'!$E$448),0),0)</f>
        <v>0</v>
      </c>
      <c r="J1300" s="126">
        <f>IF('Assumptions - Infrastructure'!$E$441&lt;&gt;0,IF(AND('Assumptions - Infrastructure'!$E$449=2,Calculations!J$1295&gt;0,Calculations!J$1295&lt;=('Assumptions - Infrastructure'!$E$447-'Assumptions - Infrastructure'!$E$448)),'Assumptions - Infrastructure'!$E$441/('Assumptions - Infrastructure'!$E$447-'Assumptions - Infrastructure'!$E$448),0),0)</f>
        <v>0</v>
      </c>
      <c r="K1300" s="126">
        <f>IF('Assumptions - Infrastructure'!$E$441&lt;&gt;0,IF(AND('Assumptions - Infrastructure'!$E$449=2,Calculations!K$1295&gt;0,Calculations!K$1295&lt;=('Assumptions - Infrastructure'!$E$447-'Assumptions - Infrastructure'!$E$448)),'Assumptions - Infrastructure'!$E$441/('Assumptions - Infrastructure'!$E$447-'Assumptions - Infrastructure'!$E$448),0),0)</f>
        <v>0</v>
      </c>
      <c r="L1300" s="126">
        <f>IF('Assumptions - Infrastructure'!$E$441&lt;&gt;0,IF(AND('Assumptions - Infrastructure'!$E$449=2,Calculations!L$1295&gt;0,Calculations!L$1295&lt;=('Assumptions - Infrastructure'!$E$447-'Assumptions - Infrastructure'!$E$448)),'Assumptions - Infrastructure'!$E$441/('Assumptions - Infrastructure'!$E$447-'Assumptions - Infrastructure'!$E$448),0),0)</f>
        <v>0</v>
      </c>
      <c r="M1300" s="126">
        <f>IF('Assumptions - Infrastructure'!$E$441&lt;&gt;0,IF(AND('Assumptions - Infrastructure'!$E$449=2,Calculations!M$1295&gt;0,Calculations!M$1295&lt;=('Assumptions - Infrastructure'!$E$447-'Assumptions - Infrastructure'!$E$448)),'Assumptions - Infrastructure'!$E$441/('Assumptions - Infrastructure'!$E$447-'Assumptions - Infrastructure'!$E$448),0),0)</f>
        <v>0</v>
      </c>
      <c r="N1300" s="126">
        <f>IF('Assumptions - Infrastructure'!$E$441&lt;&gt;0,IF(AND('Assumptions - Infrastructure'!$E$449=2,Calculations!N$1295&gt;0,Calculations!N$1295&lt;=('Assumptions - Infrastructure'!$E$447-'Assumptions - Infrastructure'!$E$448)),'Assumptions - Infrastructure'!$E$441/('Assumptions - Infrastructure'!$E$447-'Assumptions - Infrastructure'!$E$448),0),0)</f>
        <v>0</v>
      </c>
      <c r="O1300" s="126">
        <f>IF('Assumptions - Infrastructure'!$E$441&lt;&gt;0,IF(AND('Assumptions - Infrastructure'!$E$449=2,Calculations!O$1295&gt;0,Calculations!O$1295&lt;=('Assumptions - Infrastructure'!$E$447-'Assumptions - Infrastructure'!$E$448)),'Assumptions - Infrastructure'!$E$441/('Assumptions - Infrastructure'!$E$447-'Assumptions - Infrastructure'!$E$448),0),0)</f>
        <v>0</v>
      </c>
      <c r="P1300" s="126">
        <f>IF('Assumptions - Infrastructure'!$E$441&lt;&gt;0,IF(AND('Assumptions - Infrastructure'!$E$449=2,Calculations!P$1295&gt;0,Calculations!P$1295&lt;=('Assumptions - Infrastructure'!$E$447-'Assumptions - Infrastructure'!$E$448)),'Assumptions - Infrastructure'!$E$441/('Assumptions - Infrastructure'!$E$447-'Assumptions - Infrastructure'!$E$448),0),0)</f>
        <v>0</v>
      </c>
      <c r="Q1300" s="126">
        <f>IF('Assumptions - Infrastructure'!$E$441&lt;&gt;0,IF(AND('Assumptions - Infrastructure'!$E$449=2,Calculations!Q$1295&gt;0,Calculations!Q$1295&lt;=('Assumptions - Infrastructure'!$E$447-'Assumptions - Infrastructure'!$E$448)),'Assumptions - Infrastructure'!$E$441/('Assumptions - Infrastructure'!$E$447-'Assumptions - Infrastructure'!$E$448),0),0)</f>
        <v>0</v>
      </c>
      <c r="R1300" s="126">
        <f>IF('Assumptions - Infrastructure'!$E$441&lt;&gt;0,IF(AND('Assumptions - Infrastructure'!$E$449=2,Calculations!R$1295&gt;0,Calculations!R$1295&lt;=('Assumptions - Infrastructure'!$E$447-'Assumptions - Infrastructure'!$E$448)),'Assumptions - Infrastructure'!$E$441/('Assumptions - Infrastructure'!$E$447-'Assumptions - Infrastructure'!$E$448),0),0)</f>
        <v>0</v>
      </c>
      <c r="S1300" s="126">
        <f>IF('Assumptions - Infrastructure'!$E$441&lt;&gt;0,IF(AND('Assumptions - Infrastructure'!$E$449=2,Calculations!S$1295&gt;0,Calculations!S$1295&lt;=('Assumptions - Infrastructure'!$E$447-'Assumptions - Infrastructure'!$E$448)),'Assumptions - Infrastructure'!$E$441/('Assumptions - Infrastructure'!$E$447-'Assumptions - Infrastructure'!$E$448),0),0)</f>
        <v>0</v>
      </c>
      <c r="T1300" s="126">
        <f>IF('Assumptions - Infrastructure'!$E$441&lt;&gt;0,IF(AND('Assumptions - Infrastructure'!$E$449=2,Calculations!T$1295&gt;0,Calculations!T$1295&lt;=('Assumptions - Infrastructure'!$E$447-'Assumptions - Infrastructure'!$E$448)),'Assumptions - Infrastructure'!$E$441/('Assumptions - Infrastructure'!$E$447-'Assumptions - Infrastructure'!$E$448),0),0)</f>
        <v>0</v>
      </c>
      <c r="U1300" s="126">
        <f>IF('Assumptions - Infrastructure'!$E$441&lt;&gt;0,IF(AND('Assumptions - Infrastructure'!$E$449=2,Calculations!U$1295&gt;0,Calculations!U$1295&lt;=('Assumptions - Infrastructure'!$E$447-'Assumptions - Infrastructure'!$E$448)),'Assumptions - Infrastructure'!$E$441/('Assumptions - Infrastructure'!$E$447-'Assumptions - Infrastructure'!$E$448),0),0)</f>
        <v>0</v>
      </c>
      <c r="V1300" s="126">
        <f>IF('Assumptions - Infrastructure'!$E$441&lt;&gt;0,IF(AND('Assumptions - Infrastructure'!$E$449=2,Calculations!V$1295&gt;0,Calculations!V$1295&lt;=('Assumptions - Infrastructure'!$E$447-'Assumptions - Infrastructure'!$E$448)),'Assumptions - Infrastructure'!$E$441/('Assumptions - Infrastructure'!$E$447-'Assumptions - Infrastructure'!$E$448),0),0)</f>
        <v>0</v>
      </c>
      <c r="W1300" s="126">
        <f>IF('Assumptions - Infrastructure'!$E$441&lt;&gt;0,IF(AND('Assumptions - Infrastructure'!$E$449=2,Calculations!W$1295&gt;0,Calculations!W$1295&lt;=('Assumptions - Infrastructure'!$E$447-'Assumptions - Infrastructure'!$E$448)),'Assumptions - Infrastructure'!$E$441/('Assumptions - Infrastructure'!$E$447-'Assumptions - Infrastructure'!$E$448),0),0)</f>
        <v>0</v>
      </c>
      <c r="X1300" s="126">
        <f>IF('Assumptions - Infrastructure'!$E$441&lt;&gt;0,IF(AND('Assumptions - Infrastructure'!$E$449=2,Calculations!X$1295&gt;0,Calculations!X$1295&lt;=('Assumptions - Infrastructure'!$E$447-'Assumptions - Infrastructure'!$E$448)),'Assumptions - Infrastructure'!$E$441/('Assumptions - Infrastructure'!$E$447-'Assumptions - Infrastructure'!$E$448),0),0)</f>
        <v>0</v>
      </c>
      <c r="Y1300" s="126">
        <f>IF('Assumptions - Infrastructure'!$E$441&lt;&gt;0,IF(AND('Assumptions - Infrastructure'!$E$449=2,Calculations!Y$1295&gt;0,Calculations!Y$1295&lt;=('Assumptions - Infrastructure'!$E$447-'Assumptions - Infrastructure'!$E$448)),'Assumptions - Infrastructure'!$E$441/('Assumptions - Infrastructure'!$E$447-'Assumptions - Infrastructure'!$E$448),0),0)</f>
        <v>0</v>
      </c>
      <c r="Z1300" s="126">
        <f>IF('Assumptions - Infrastructure'!$E$441&lt;&gt;0,IF(AND('Assumptions - Infrastructure'!$E$449=2,Calculations!Z$1295&gt;0,Calculations!Z$1295&lt;=('Assumptions - Infrastructure'!$E$447-'Assumptions - Infrastructure'!$E$448)),'Assumptions - Infrastructure'!$E$441/('Assumptions - Infrastructure'!$E$447-'Assumptions - Infrastructure'!$E$448),0),0)</f>
        <v>0</v>
      </c>
      <c r="AA1300" s="126">
        <f>IF('Assumptions - Infrastructure'!$E$441&lt;&gt;0,IF(AND('Assumptions - Infrastructure'!$E$449=2,Calculations!AA$1295&gt;0,Calculations!AA$1295&lt;=('Assumptions - Infrastructure'!$E$447-'Assumptions - Infrastructure'!$E$448)),'Assumptions - Infrastructure'!$E$441/('Assumptions - Infrastructure'!$E$447-'Assumptions - Infrastructure'!$E$448),0),0)</f>
        <v>0</v>
      </c>
      <c r="AB1300" s="126">
        <f>IF('Assumptions - Infrastructure'!$E$441&lt;&gt;0,IF(AND('Assumptions - Infrastructure'!$E$449=2,Calculations!AB$1295&gt;0,Calculations!AB$1295&lt;=('Assumptions - Infrastructure'!$E$447-'Assumptions - Infrastructure'!$E$448)),'Assumptions - Infrastructure'!$E$441/('Assumptions - Infrastructure'!$E$447-'Assumptions - Infrastructure'!$E$448),0),0)</f>
        <v>0</v>
      </c>
      <c r="AC1300" s="126">
        <f>IF('Assumptions - Infrastructure'!$E$441&lt;&gt;0,IF(AND('Assumptions - Infrastructure'!$E$449=2,Calculations!AC$1295&gt;0,Calculations!AC$1295&lt;=('Assumptions - Infrastructure'!$E$447-'Assumptions - Infrastructure'!$E$448)),'Assumptions - Infrastructure'!$E$441/('Assumptions - Infrastructure'!$E$447-'Assumptions - Infrastructure'!$E$448),0),0)</f>
        <v>0</v>
      </c>
      <c r="AD1300" s="126">
        <f>IF('Assumptions - Infrastructure'!$E$441&lt;&gt;0,IF(AND('Assumptions - Infrastructure'!$E$449=2,Calculations!AD$1295&gt;0,Calculations!AD$1295&lt;=('Assumptions - Infrastructure'!$E$447-'Assumptions - Infrastructure'!$E$448)),'Assumptions - Infrastructure'!$E$441/('Assumptions - Infrastructure'!$E$447-'Assumptions - Infrastructure'!$E$448),0),0)</f>
        <v>0</v>
      </c>
      <c r="AE1300" s="126">
        <f>IF('Assumptions - Infrastructure'!$E$441&lt;&gt;0,IF(AND('Assumptions - Infrastructure'!$E$449=2,Calculations!AE$1295&gt;0,Calculations!AE$1295&lt;=('Assumptions - Infrastructure'!$E$447-'Assumptions - Infrastructure'!$E$448)),'Assumptions - Infrastructure'!$E$441/('Assumptions - Infrastructure'!$E$447-'Assumptions - Infrastructure'!$E$448),0),0)</f>
        <v>0</v>
      </c>
      <c r="AF1300" s="126">
        <f>IF('Assumptions - Infrastructure'!$E$441&lt;&gt;0,IF(AND('Assumptions - Infrastructure'!$E$449=2,Calculations!AF$1295&gt;0,Calculations!AF$1295&lt;=('Assumptions - Infrastructure'!$E$447-'Assumptions - Infrastructure'!$E$448)),'Assumptions - Infrastructure'!$E$441/('Assumptions - Infrastructure'!$E$447-'Assumptions - Infrastructure'!$E$448),0),0)</f>
        <v>0</v>
      </c>
      <c r="AG1300" s="126">
        <f>IF('Assumptions - Infrastructure'!$E$441&lt;&gt;0,IF(AND('Assumptions - Infrastructure'!$E$449=2,Calculations!AG$1295&gt;0,Calculations!AG$1295&lt;=('Assumptions - Infrastructure'!$E$447-'Assumptions - Infrastructure'!$E$448)),'Assumptions - Infrastructure'!$E$441/('Assumptions - Infrastructure'!$E$447-'Assumptions - Infrastructure'!$E$448),0),0)</f>
        <v>0</v>
      </c>
      <c r="AH1300" s="126">
        <f>IF('Assumptions - Infrastructure'!$E$441&lt;&gt;0,IF(AND('Assumptions - Infrastructure'!$E$449=2,Calculations!AH$1295&gt;0,Calculations!AH$1295&lt;=('Assumptions - Infrastructure'!$E$447-'Assumptions - Infrastructure'!$E$448)),'Assumptions - Infrastructure'!$E$441/('Assumptions - Infrastructure'!$E$447-'Assumptions - Infrastructure'!$E$448),0),0)</f>
        <v>0</v>
      </c>
    </row>
    <row r="1301" spans="1:34" s="20" customFormat="1" ht="14" x14ac:dyDescent="0.2">
      <c r="A1301" s="8"/>
      <c r="B1301" s="125" t="s">
        <v>678</v>
      </c>
      <c r="C1301" s="8"/>
      <c r="D1301" s="8" t="str">
        <f t="shared" si="501"/>
        <v>R$ millions</v>
      </c>
      <c r="E1301" s="126">
        <f>IF('Assumptions - Infrastructure'!$E$441&lt;&gt;0,IF(AND('Assumptions - Infrastructure'!$E449=3,E1295&gt;0,E1295&lt;=('Assumptions - Infrastructure'!$E$447-'Assumptions - Infrastructure'!$E$448)),E1297*D1302/SUM(E1302:$AH1302)-E1303,0),0)</f>
        <v>0</v>
      </c>
      <c r="F1301" s="126">
        <f>IF('Assumptions - Infrastructure'!$E$441&lt;&gt;0,IF(AND('Assumptions - Infrastructure'!$E449=3,F1295&gt;0,F1295&lt;=('Assumptions - Infrastructure'!$E$447-'Assumptions - Infrastructure'!$E$448)),F1297*E1302/SUM(F1302:$AH1302)-F1303,0),0)</f>
        <v>0</v>
      </c>
      <c r="G1301" s="126">
        <f>IF('Assumptions - Infrastructure'!$E$441&lt;&gt;0,IF(AND('Assumptions - Infrastructure'!$E449=3,G1295&gt;0,G1295&lt;=('Assumptions - Infrastructure'!$E$447-'Assumptions - Infrastructure'!$E$448)),G1297*F1302/SUM(G1302:$AH1302)-G1303,0),0)</f>
        <v>0</v>
      </c>
      <c r="H1301" s="126">
        <f>IF('Assumptions - Infrastructure'!$E$441&lt;&gt;0,IF(AND('Assumptions - Infrastructure'!$E449=3,H1295&gt;0,H1295&lt;=('Assumptions - Infrastructure'!$E$447-'Assumptions - Infrastructure'!$E$448)),H1297*G1302/SUM(H1302:$AH1302)-H1303,0),0)</f>
        <v>0</v>
      </c>
      <c r="I1301" s="126">
        <f>IF('Assumptions - Infrastructure'!$E$441&lt;&gt;0,IF(AND('Assumptions - Infrastructure'!$E449=3,I1295&gt;0,I1295&lt;=('Assumptions - Infrastructure'!$E$447-'Assumptions - Infrastructure'!$E$448)),I1297*H1302/SUM(I1302:$AH1302)-I1303,0),0)</f>
        <v>0</v>
      </c>
      <c r="J1301" s="126">
        <f>IF('Assumptions - Infrastructure'!$E$441&lt;&gt;0,IF(AND('Assumptions - Infrastructure'!$E449=3,J1295&gt;0,J1295&lt;=('Assumptions - Infrastructure'!$E$447-'Assumptions - Infrastructure'!$E$448)),J1297*I1302/SUM(J1302:$AH1302)-J1303,0),0)</f>
        <v>0</v>
      </c>
      <c r="K1301" s="126">
        <f>IF('Assumptions - Infrastructure'!$E$441&lt;&gt;0,IF(AND('Assumptions - Infrastructure'!$E449=3,K1295&gt;0,K1295&lt;=('Assumptions - Infrastructure'!$E$447-'Assumptions - Infrastructure'!$E$448)),K1297*J1302/SUM(K1302:$AH1302)-K1303,0),0)</f>
        <v>0</v>
      </c>
      <c r="L1301" s="126">
        <f>IF('Assumptions - Infrastructure'!$E$441&lt;&gt;0,IF(AND('Assumptions - Infrastructure'!$E449=3,L1295&gt;0,L1295&lt;=('Assumptions - Infrastructure'!$E$447-'Assumptions - Infrastructure'!$E$448)),L1297*K1302/SUM(L1302:$AH1302)-L1303,0),0)</f>
        <v>0</v>
      </c>
      <c r="M1301" s="126">
        <f>IF('Assumptions - Infrastructure'!$E$441&lt;&gt;0,IF(AND('Assumptions - Infrastructure'!$E449=3,M1295&gt;0,M1295&lt;=('Assumptions - Infrastructure'!$E$447-'Assumptions - Infrastructure'!$E$448)),M1297*L1302/SUM(M1302:$AH1302)-M1303,0),0)</f>
        <v>0</v>
      </c>
      <c r="N1301" s="126">
        <f>IF('Assumptions - Infrastructure'!$E$441&lt;&gt;0,IF(AND('Assumptions - Infrastructure'!$E449=3,N1295&gt;0,N1295&lt;=('Assumptions - Infrastructure'!$E$447-'Assumptions - Infrastructure'!$E$448)),N1297*M1302/SUM(N1302:$AH1302)-N1303,0),0)</f>
        <v>0</v>
      </c>
      <c r="O1301" s="126">
        <f>IF('Assumptions - Infrastructure'!$E$441&lt;&gt;0,IF(AND('Assumptions - Infrastructure'!$E449=3,O1295&gt;0,O1295&lt;=('Assumptions - Infrastructure'!$E$447-'Assumptions - Infrastructure'!$E$448)),O1297*N1302/SUM(O1302:$AH1302)-O1303,0),0)</f>
        <v>0</v>
      </c>
      <c r="P1301" s="126">
        <f>IF('Assumptions - Infrastructure'!$E$441&lt;&gt;0,IF(AND('Assumptions - Infrastructure'!$E449=3,P1295&gt;0,P1295&lt;=('Assumptions - Infrastructure'!$E$447-'Assumptions - Infrastructure'!$E$448)),P1297*O1302/SUM(P1302:$AH1302)-P1303,0),0)</f>
        <v>0</v>
      </c>
      <c r="Q1301" s="126">
        <f>IF('Assumptions - Infrastructure'!$E$441&lt;&gt;0,IF(AND('Assumptions - Infrastructure'!$E449=3,Q1295&gt;0,Q1295&lt;=('Assumptions - Infrastructure'!$E$447-'Assumptions - Infrastructure'!$E$448)),Q1297*P1302/SUM(Q1302:$AH1302)-Q1303,0),0)</f>
        <v>0</v>
      </c>
      <c r="R1301" s="126">
        <f>IF('Assumptions - Infrastructure'!$E$441&lt;&gt;0,IF(AND('Assumptions - Infrastructure'!$E449=3,R1295&gt;0,R1295&lt;=('Assumptions - Infrastructure'!$E$447-'Assumptions - Infrastructure'!$E$448)),R1297*Q1302/SUM(R1302:$AH1302)-R1303,0),0)</f>
        <v>0</v>
      </c>
      <c r="S1301" s="126">
        <f>IF('Assumptions - Infrastructure'!$E$441&lt;&gt;0,IF(AND('Assumptions - Infrastructure'!$E449=3,S1295&gt;0,S1295&lt;=('Assumptions - Infrastructure'!$E$447-'Assumptions - Infrastructure'!$E$448)),S1297*R1302/SUM(S1302:$AH1302)-S1303,0),0)</f>
        <v>0</v>
      </c>
      <c r="T1301" s="126">
        <f>IF('Assumptions - Infrastructure'!$E$441&lt;&gt;0,IF(AND('Assumptions - Infrastructure'!$E449=3,T1295&gt;0,T1295&lt;=('Assumptions - Infrastructure'!$E$447-'Assumptions - Infrastructure'!$E$448)),T1297*S1302/SUM(T1302:$AH1302)-T1303,0),0)</f>
        <v>0</v>
      </c>
      <c r="U1301" s="126">
        <f>IF('Assumptions - Infrastructure'!$E$441&lt;&gt;0,IF(AND('Assumptions - Infrastructure'!$E449=3,U1295&gt;0,U1295&lt;=('Assumptions - Infrastructure'!$E$447-'Assumptions - Infrastructure'!$E$448)),U1297*T1302/SUM(U1302:$AH1302)-U1303,0),0)</f>
        <v>0</v>
      </c>
      <c r="V1301" s="126">
        <f>IF('Assumptions - Infrastructure'!$E$441&lt;&gt;0,IF(AND('Assumptions - Infrastructure'!$E449=3,V1295&gt;0,V1295&lt;=('Assumptions - Infrastructure'!$E$447-'Assumptions - Infrastructure'!$E$448)),V1297*U1302/SUM(V1302:$AH1302)-V1303,0),0)</f>
        <v>0</v>
      </c>
      <c r="W1301" s="126">
        <f>IF('Assumptions - Infrastructure'!$E$441&lt;&gt;0,IF(AND('Assumptions - Infrastructure'!$E449=3,W1295&gt;0,W1295&lt;=('Assumptions - Infrastructure'!$E$447-'Assumptions - Infrastructure'!$E$448)),W1297*V1302/SUM(W1302:$AH1302)-W1303,0),0)</f>
        <v>0</v>
      </c>
      <c r="X1301" s="126">
        <f>IF('Assumptions - Infrastructure'!$E$441&lt;&gt;0,IF(AND('Assumptions - Infrastructure'!$E449=3,X1295&gt;0,X1295&lt;=('Assumptions - Infrastructure'!$E$447-'Assumptions - Infrastructure'!$E$448)),X1297*W1302/SUM(X1302:$AH1302)-X1303,0),0)</f>
        <v>0</v>
      </c>
      <c r="Y1301" s="126">
        <f>IF('Assumptions - Infrastructure'!$E$441&lt;&gt;0,IF(AND('Assumptions - Infrastructure'!$E449=3,Y1295&gt;0,Y1295&lt;=('Assumptions - Infrastructure'!$E$447-'Assumptions - Infrastructure'!$E$448)),Y1297*X1302/SUM(Y1302:$AH1302)-Y1303,0),0)</f>
        <v>0</v>
      </c>
      <c r="Z1301" s="126">
        <f>IF('Assumptions - Infrastructure'!$E$441&lt;&gt;0,IF(AND('Assumptions - Infrastructure'!$E449=3,Z1295&gt;0,Z1295&lt;=('Assumptions - Infrastructure'!$E$447-'Assumptions - Infrastructure'!$E$448)),Z1297*Y1302/SUM(Z1302:$AH1302)-Z1303,0),0)</f>
        <v>0</v>
      </c>
      <c r="AA1301" s="126">
        <f>IF('Assumptions - Infrastructure'!$E$441&lt;&gt;0,IF(AND('Assumptions - Infrastructure'!$E449=3,AA1295&gt;0,AA1295&lt;=('Assumptions - Infrastructure'!$E$447-'Assumptions - Infrastructure'!$E$448)),AA1297*Z1302/SUM(AA1302:$AH1302)-AA1303,0),0)</f>
        <v>0</v>
      </c>
      <c r="AB1301" s="126">
        <f>IF('Assumptions - Infrastructure'!$E$441&lt;&gt;0,IF(AND('Assumptions - Infrastructure'!$E449=3,AB1295&gt;0,AB1295&lt;=('Assumptions - Infrastructure'!$E$447-'Assumptions - Infrastructure'!$E$448)),AB1297*AA1302/SUM(AB1302:$AH1302)-AB1303,0),0)</f>
        <v>0</v>
      </c>
      <c r="AC1301" s="126">
        <f>IF('Assumptions - Infrastructure'!$E$441&lt;&gt;0,IF(AND('Assumptions - Infrastructure'!$E449=3,AC1295&gt;0,AC1295&lt;=('Assumptions - Infrastructure'!$E$447-'Assumptions - Infrastructure'!$E$448)),AC1297*AB1302/SUM(AC1302:$AH1302)-AC1303,0),0)</f>
        <v>0</v>
      </c>
      <c r="AD1301" s="126">
        <f>IF('Assumptions - Infrastructure'!$E$441&lt;&gt;0,IF(AND('Assumptions - Infrastructure'!$E449=3,AD1295&gt;0,AD1295&lt;=('Assumptions - Infrastructure'!$E$447-'Assumptions - Infrastructure'!$E$448)),AD1297*AC1302/SUM(AD1302:$AH1302)-AD1303,0),0)</f>
        <v>0</v>
      </c>
      <c r="AE1301" s="126">
        <f>IF('Assumptions - Infrastructure'!$E$441&lt;&gt;0,IF(AND('Assumptions - Infrastructure'!$E449=3,AE1295&gt;0,AE1295&lt;=('Assumptions - Infrastructure'!$E$447-'Assumptions - Infrastructure'!$E$448)),AE1297*AD1302/SUM(AE1302:$AH1302)-AE1303,0),0)</f>
        <v>0</v>
      </c>
      <c r="AF1301" s="126">
        <f>IF('Assumptions - Infrastructure'!$E$441&lt;&gt;0,IF(AND('Assumptions - Infrastructure'!$E449=3,AF1295&gt;0,AF1295&lt;=('Assumptions - Infrastructure'!$E$447-'Assumptions - Infrastructure'!$E$448)),AF1297*AE1302/SUM(AF1302:$AH1302)-AF1303,0),0)</f>
        <v>0</v>
      </c>
      <c r="AG1301" s="126">
        <f>IF('Assumptions - Infrastructure'!$E$441&lt;&gt;0,IF(AND('Assumptions - Infrastructure'!$E449=3,AG1295&gt;0,AG1295&lt;=('Assumptions - Infrastructure'!$E$447-'Assumptions - Infrastructure'!$E$448)),AG1297*AF1302/SUM(AG1302:$AH1302)-AG1303,0),0)</f>
        <v>0</v>
      </c>
      <c r="AH1301" s="126">
        <f>IF('Assumptions - Infrastructure'!$E$441&lt;&gt;0,IF(AND('Assumptions - Infrastructure'!$E449=3,AH1295&gt;0,AH1295&lt;=('Assumptions - Infrastructure'!$E$447-'Assumptions - Infrastructure'!$E$448)),AH1297*AG1302/SUM(AH1302:$AH1302)-AH1303,0),0)</f>
        <v>0</v>
      </c>
    </row>
    <row r="1302" spans="1:34" s="20" customFormat="1" ht="14" x14ac:dyDescent="0.2">
      <c r="B1302" s="127" t="s">
        <v>677</v>
      </c>
      <c r="D1302" s="87">
        <v>1</v>
      </c>
      <c r="E1302" s="126">
        <f>IF('Assumptions - Infrastructure'!$E$441&lt;&gt;0,IF(AND('Assumptions - Infrastructure'!$E449=3,E1295&lt;=('Assumptions - Infrastructure'!$E$447-'Assumptions - Infrastructure'!$E$448)),D1302/(1+E1296),0),0)</f>
        <v>0</v>
      </c>
      <c r="F1302" s="126">
        <f>IF('Assumptions - Infrastructure'!$E$441&lt;&gt;0,IF(AND('Assumptions - Infrastructure'!$E449=3,F1295&lt;=('Assumptions - Infrastructure'!$E$447-'Assumptions - Infrastructure'!$E$448)),E1302/(1+F1296),0),0)</f>
        <v>0</v>
      </c>
      <c r="G1302" s="126">
        <f>IF('Assumptions - Infrastructure'!$E$441&lt;&gt;0,IF(AND('Assumptions - Infrastructure'!$E449=3,G1295&lt;=('Assumptions - Infrastructure'!$E$447-'Assumptions - Infrastructure'!$E$448)),F1302/(1+G1296),0),0)</f>
        <v>0</v>
      </c>
      <c r="H1302" s="126">
        <f>IF('Assumptions - Infrastructure'!$E$441&lt;&gt;0,IF(AND('Assumptions - Infrastructure'!$E449=3,H1295&lt;=('Assumptions - Infrastructure'!$E$447-'Assumptions - Infrastructure'!$E$448)),G1302/(1+H1296),0),0)</f>
        <v>0</v>
      </c>
      <c r="I1302" s="126">
        <f>IF('Assumptions - Infrastructure'!$E$441&lt;&gt;0,IF(AND('Assumptions - Infrastructure'!$E449=3,I1295&lt;=('Assumptions - Infrastructure'!$E$447-'Assumptions - Infrastructure'!$E$448)),H1302/(1+I1296),0),0)</f>
        <v>0</v>
      </c>
      <c r="J1302" s="126">
        <f>IF('Assumptions - Infrastructure'!$E$441&lt;&gt;0,IF(AND('Assumptions - Infrastructure'!$E449=3,J1295&lt;=('Assumptions - Infrastructure'!$E$447-'Assumptions - Infrastructure'!$E$448)),I1302/(1+J1296),0),0)</f>
        <v>0</v>
      </c>
      <c r="K1302" s="126">
        <f>IF('Assumptions - Infrastructure'!$E$441&lt;&gt;0,IF(AND('Assumptions - Infrastructure'!$E449=3,K1295&lt;=('Assumptions - Infrastructure'!$E$447-'Assumptions - Infrastructure'!$E$448)),J1302/(1+K1296),0),0)</f>
        <v>0</v>
      </c>
      <c r="L1302" s="126">
        <f>IF('Assumptions - Infrastructure'!$E$441&lt;&gt;0,IF(AND('Assumptions - Infrastructure'!$E449=3,L1295&lt;=('Assumptions - Infrastructure'!$E$447-'Assumptions - Infrastructure'!$E$448)),K1302/(1+L1296),0),0)</f>
        <v>0</v>
      </c>
      <c r="M1302" s="126">
        <f>IF('Assumptions - Infrastructure'!$E$441&lt;&gt;0,IF(AND('Assumptions - Infrastructure'!$E449=3,M1295&lt;=('Assumptions - Infrastructure'!$E$447-'Assumptions - Infrastructure'!$E$448)),L1302/(1+M1296),0),0)</f>
        <v>0</v>
      </c>
      <c r="N1302" s="126">
        <f>IF('Assumptions - Infrastructure'!$E$441&lt;&gt;0,IF(AND('Assumptions - Infrastructure'!$E449=3,N1295&lt;=('Assumptions - Infrastructure'!$E$447-'Assumptions - Infrastructure'!$E$448)),M1302/(1+N1296),0),0)</f>
        <v>0</v>
      </c>
      <c r="O1302" s="126">
        <f>IF('Assumptions - Infrastructure'!$E$441&lt;&gt;0,IF(AND('Assumptions - Infrastructure'!$E449=3,O1295&lt;=('Assumptions - Infrastructure'!$E$447-'Assumptions - Infrastructure'!$E$448)),N1302/(1+O1296),0),0)</f>
        <v>0</v>
      </c>
      <c r="P1302" s="126">
        <f>IF('Assumptions - Infrastructure'!$E$441&lt;&gt;0,IF(AND('Assumptions - Infrastructure'!$E449=3,P1295&lt;=('Assumptions - Infrastructure'!$E$447-'Assumptions - Infrastructure'!$E$448)),O1302/(1+P1296),0),0)</f>
        <v>0</v>
      </c>
      <c r="Q1302" s="126">
        <f>IF('Assumptions - Infrastructure'!$E$441&lt;&gt;0,IF(AND('Assumptions - Infrastructure'!$E449=3,Q1295&lt;=('Assumptions - Infrastructure'!$E$447-'Assumptions - Infrastructure'!$E$448)),P1302/(1+Q1296),0),0)</f>
        <v>0</v>
      </c>
      <c r="R1302" s="126">
        <f>IF('Assumptions - Infrastructure'!$E$441&lt;&gt;0,IF(AND('Assumptions - Infrastructure'!$E449=3,R1295&lt;=('Assumptions - Infrastructure'!$E$447-'Assumptions - Infrastructure'!$E$448)),Q1302/(1+R1296),0),0)</f>
        <v>0</v>
      </c>
      <c r="S1302" s="126">
        <f>IF('Assumptions - Infrastructure'!$E$441&lt;&gt;0,IF(AND('Assumptions - Infrastructure'!$E449=3,S1295&lt;=('Assumptions - Infrastructure'!$E$447-'Assumptions - Infrastructure'!$E$448)),R1302/(1+S1296),0),0)</f>
        <v>0</v>
      </c>
      <c r="T1302" s="126">
        <f>IF('Assumptions - Infrastructure'!$E$441&lt;&gt;0,IF(AND('Assumptions - Infrastructure'!$E449=3,T1295&lt;=('Assumptions - Infrastructure'!$E$447-'Assumptions - Infrastructure'!$E$448)),S1302/(1+T1296),0),0)</f>
        <v>0</v>
      </c>
      <c r="U1302" s="126">
        <f>IF('Assumptions - Infrastructure'!$E$441&lt;&gt;0,IF(AND('Assumptions - Infrastructure'!$E449=3,U1295&lt;=('Assumptions - Infrastructure'!$E$447-'Assumptions - Infrastructure'!$E$448)),T1302/(1+U1296),0),0)</f>
        <v>0</v>
      </c>
      <c r="V1302" s="126">
        <f>IF('Assumptions - Infrastructure'!$E$441&lt;&gt;0,IF(AND('Assumptions - Infrastructure'!$E449=3,V1295&lt;=('Assumptions - Infrastructure'!$E$447-'Assumptions - Infrastructure'!$E$448)),U1302/(1+V1296),0),0)</f>
        <v>0</v>
      </c>
      <c r="W1302" s="126">
        <f>IF('Assumptions - Infrastructure'!$E$441&lt;&gt;0,IF(AND('Assumptions - Infrastructure'!$E449=3,W1295&lt;=('Assumptions - Infrastructure'!$E$447-'Assumptions - Infrastructure'!$E$448)),V1302/(1+W1296),0),0)</f>
        <v>0</v>
      </c>
      <c r="X1302" s="126">
        <f>IF('Assumptions - Infrastructure'!$E$441&lt;&gt;0,IF(AND('Assumptions - Infrastructure'!$E449=3,X1295&lt;=('Assumptions - Infrastructure'!$E$447-'Assumptions - Infrastructure'!$E$448)),W1302/(1+X1296),0),0)</f>
        <v>0</v>
      </c>
      <c r="Y1302" s="126">
        <f>IF('Assumptions - Infrastructure'!$E$441&lt;&gt;0,IF(AND('Assumptions - Infrastructure'!$E449=3,Y1295&lt;=('Assumptions - Infrastructure'!$E$447-'Assumptions - Infrastructure'!$E$448)),X1302/(1+Y1296),0),0)</f>
        <v>0</v>
      </c>
      <c r="Z1302" s="126">
        <f>IF('Assumptions - Infrastructure'!$E$441&lt;&gt;0,IF(AND('Assumptions - Infrastructure'!$E449=3,Z1295&lt;=('Assumptions - Infrastructure'!$E$447-'Assumptions - Infrastructure'!$E$448)),Y1302/(1+Z1296),0),0)</f>
        <v>0</v>
      </c>
      <c r="AA1302" s="126">
        <f>IF('Assumptions - Infrastructure'!$E$441&lt;&gt;0,IF(AND('Assumptions - Infrastructure'!$E449=3,AA1295&lt;=('Assumptions - Infrastructure'!$E$447-'Assumptions - Infrastructure'!$E$448)),Z1302/(1+AA1296),0),0)</f>
        <v>0</v>
      </c>
      <c r="AB1302" s="126">
        <f>IF('Assumptions - Infrastructure'!$E$441&lt;&gt;0,IF(AND('Assumptions - Infrastructure'!$E449=3,AB1295&lt;=('Assumptions - Infrastructure'!$E$447-'Assumptions - Infrastructure'!$E$448)),AA1302/(1+AB1296),0),0)</f>
        <v>0</v>
      </c>
      <c r="AC1302" s="126">
        <f>IF('Assumptions - Infrastructure'!$E$441&lt;&gt;0,IF(AND('Assumptions - Infrastructure'!$E449=3,AC1295&lt;=('Assumptions - Infrastructure'!$E$447-'Assumptions - Infrastructure'!$E$448)),AB1302/(1+AC1296),0),0)</f>
        <v>0</v>
      </c>
      <c r="AD1302" s="126">
        <f>IF('Assumptions - Infrastructure'!$E$441&lt;&gt;0,IF(AND('Assumptions - Infrastructure'!$E449=3,AD1295&lt;=('Assumptions - Infrastructure'!$E$447-'Assumptions - Infrastructure'!$E$448)),AC1302/(1+AD1296),0),0)</f>
        <v>0</v>
      </c>
      <c r="AE1302" s="126">
        <f>IF('Assumptions - Infrastructure'!$E$441&lt;&gt;0,IF(AND('Assumptions - Infrastructure'!$E449=3,AE1295&lt;=('Assumptions - Infrastructure'!$E$447-'Assumptions - Infrastructure'!$E$448)),AD1302/(1+AE1296),0),0)</f>
        <v>0</v>
      </c>
      <c r="AF1302" s="126">
        <f>IF('Assumptions - Infrastructure'!$E$441&lt;&gt;0,IF(AND('Assumptions - Infrastructure'!$E449=3,AF1295&lt;=('Assumptions - Infrastructure'!$E$447-'Assumptions - Infrastructure'!$E$448)),AE1302/(1+AF1296),0),0)</f>
        <v>0</v>
      </c>
      <c r="AG1302" s="126">
        <f>IF('Assumptions - Infrastructure'!$E$441&lt;&gt;0,IF(AND('Assumptions - Infrastructure'!$E449=3,AG1295&lt;=('Assumptions - Infrastructure'!$E$447-'Assumptions - Infrastructure'!$E$448)),AF1302/(1+AG1296),0),0)</f>
        <v>0</v>
      </c>
      <c r="AH1302" s="126">
        <f>IF('Assumptions - Infrastructure'!$E$441&lt;&gt;0,IF(AND('Assumptions - Infrastructure'!$E449=3,AH1295&lt;=('Assumptions - Infrastructure'!$E$447-'Assumptions - Infrastructure'!$E$448)),AG1302/(1+AH1296),0),0)</f>
        <v>0</v>
      </c>
    </row>
    <row r="1303" spans="1:34" s="20" customFormat="1" ht="14" x14ac:dyDescent="0.2">
      <c r="A1303" s="8"/>
      <c r="B1303" s="125" t="s">
        <v>679</v>
      </c>
      <c r="C1303" s="8"/>
      <c r="D1303" s="8" t="str">
        <f>D1301</f>
        <v>R$ millions</v>
      </c>
      <c r="E1303" s="126">
        <f>IF('Assumptions - Infrastructure'!$E$441&lt;&gt;0,IF('Assumptions - Infrastructure'!$E449=3,E1296*E1297,0),0)</f>
        <v>0</v>
      </c>
      <c r="F1303" s="126">
        <f>IF('Assumptions - Infrastructure'!$E$441&lt;&gt;0,IF('Assumptions - Infrastructure'!$E449=3,F1296*F1297,0),0)</f>
        <v>0</v>
      </c>
      <c r="G1303" s="126">
        <f>IF('Assumptions - Infrastructure'!$E$441&lt;&gt;0,IF('Assumptions - Infrastructure'!$E449=3,G1296*G1297,0),0)</f>
        <v>0</v>
      </c>
      <c r="H1303" s="126">
        <f>IF('Assumptions - Infrastructure'!$E$441&lt;&gt;0,IF('Assumptions - Infrastructure'!$E449=3,H1296*H1297,0),0)</f>
        <v>0</v>
      </c>
      <c r="I1303" s="126">
        <f>IF('Assumptions - Infrastructure'!$E$441&lt;&gt;0,IF('Assumptions - Infrastructure'!$E449=3,I1296*I1297,0),0)</f>
        <v>0</v>
      </c>
      <c r="J1303" s="126">
        <f>IF('Assumptions - Infrastructure'!$E$441&lt;&gt;0,IF('Assumptions - Infrastructure'!$E449=3,J1296*J1297,0),0)</f>
        <v>0</v>
      </c>
      <c r="K1303" s="126">
        <f>IF('Assumptions - Infrastructure'!$E$441&lt;&gt;0,IF('Assumptions - Infrastructure'!$E449=3,K1296*K1297,0),0)</f>
        <v>0</v>
      </c>
      <c r="L1303" s="126">
        <f>IF('Assumptions - Infrastructure'!$E$441&lt;&gt;0,IF('Assumptions - Infrastructure'!$E449=3,L1296*L1297,0),0)</f>
        <v>0</v>
      </c>
      <c r="M1303" s="126">
        <f>IF('Assumptions - Infrastructure'!$E$441&lt;&gt;0,IF('Assumptions - Infrastructure'!$E449=3,M1296*M1297,0),0)</f>
        <v>0</v>
      </c>
      <c r="N1303" s="126">
        <f>IF('Assumptions - Infrastructure'!$E$441&lt;&gt;0,IF('Assumptions - Infrastructure'!$E449=3,N1296*N1297,0),0)</f>
        <v>0</v>
      </c>
      <c r="O1303" s="126">
        <f>IF('Assumptions - Infrastructure'!$E$441&lt;&gt;0,IF('Assumptions - Infrastructure'!$E449=3,O1296*O1297,0),0)</f>
        <v>0</v>
      </c>
      <c r="P1303" s="126">
        <f>IF('Assumptions - Infrastructure'!$E$441&lt;&gt;0,IF('Assumptions - Infrastructure'!$E449=3,P1296*P1297,0),0)</f>
        <v>0</v>
      </c>
      <c r="Q1303" s="126">
        <f>IF('Assumptions - Infrastructure'!$E$441&lt;&gt;0,IF('Assumptions - Infrastructure'!$E449=3,Q1296*Q1297,0),0)</f>
        <v>0</v>
      </c>
      <c r="R1303" s="126">
        <f>IF('Assumptions - Infrastructure'!$E$441&lt;&gt;0,IF('Assumptions - Infrastructure'!$E449=3,R1296*R1297,0),0)</f>
        <v>0</v>
      </c>
      <c r="S1303" s="126">
        <f>IF('Assumptions - Infrastructure'!$E$441&lt;&gt;0,IF('Assumptions - Infrastructure'!$E449=3,S1296*S1297,0),0)</f>
        <v>0</v>
      </c>
      <c r="T1303" s="126">
        <f>IF('Assumptions - Infrastructure'!$E$441&lt;&gt;0,IF('Assumptions - Infrastructure'!$E449=3,T1296*T1297,0),0)</f>
        <v>0</v>
      </c>
      <c r="U1303" s="126">
        <f>IF('Assumptions - Infrastructure'!$E$441&lt;&gt;0,IF('Assumptions - Infrastructure'!$E449=3,U1296*U1297,0),0)</f>
        <v>0</v>
      </c>
      <c r="V1303" s="126">
        <f>IF('Assumptions - Infrastructure'!$E$441&lt;&gt;0,IF('Assumptions - Infrastructure'!$E449=3,V1296*V1297,0),0)</f>
        <v>0</v>
      </c>
      <c r="W1303" s="126">
        <f>IF('Assumptions - Infrastructure'!$E$441&lt;&gt;0,IF('Assumptions - Infrastructure'!$E449=3,W1296*W1297,0),0)</f>
        <v>0</v>
      </c>
      <c r="X1303" s="126">
        <f>IF('Assumptions - Infrastructure'!$E$441&lt;&gt;0,IF('Assumptions - Infrastructure'!$E449=3,X1296*X1297,0),0)</f>
        <v>0</v>
      </c>
      <c r="Y1303" s="126">
        <f>IF('Assumptions - Infrastructure'!$E$441&lt;&gt;0,IF('Assumptions - Infrastructure'!$E449=3,Y1296*Y1297,0),0)</f>
        <v>0</v>
      </c>
      <c r="Z1303" s="126">
        <f>IF('Assumptions - Infrastructure'!$E$441&lt;&gt;0,IF('Assumptions - Infrastructure'!$E449=3,Z1296*Z1297,0),0)</f>
        <v>0</v>
      </c>
      <c r="AA1303" s="126">
        <f>IF('Assumptions - Infrastructure'!$E$441&lt;&gt;0,IF('Assumptions - Infrastructure'!$E449=3,AA1296*AA1297,0),0)</f>
        <v>0</v>
      </c>
      <c r="AB1303" s="126">
        <f>IF('Assumptions - Infrastructure'!$E$441&lt;&gt;0,IF('Assumptions - Infrastructure'!$E449=3,AB1296*AB1297,0),0)</f>
        <v>0</v>
      </c>
      <c r="AC1303" s="126">
        <f>IF('Assumptions - Infrastructure'!$E$441&lt;&gt;0,IF('Assumptions - Infrastructure'!$E449=3,AC1296*AC1297,0),0)</f>
        <v>0</v>
      </c>
      <c r="AD1303" s="126">
        <f>IF('Assumptions - Infrastructure'!$E$441&lt;&gt;0,IF('Assumptions - Infrastructure'!$E449=3,AD1296*AD1297,0),0)</f>
        <v>0</v>
      </c>
      <c r="AE1303" s="126">
        <f>IF('Assumptions - Infrastructure'!$E$441&lt;&gt;0,IF('Assumptions - Infrastructure'!$E449=3,AE1296*AE1297,0),0)</f>
        <v>0</v>
      </c>
      <c r="AF1303" s="126">
        <f>IF('Assumptions - Infrastructure'!$E$441&lt;&gt;0,IF('Assumptions - Infrastructure'!$E449=3,AF1296*AF1297,0),0)</f>
        <v>0</v>
      </c>
      <c r="AG1303" s="126">
        <f>IF('Assumptions - Infrastructure'!$E$441&lt;&gt;0,IF('Assumptions - Infrastructure'!$E449=3,AG1296*AG1297,0),0)</f>
        <v>0</v>
      </c>
      <c r="AH1303" s="126">
        <f>IF('Assumptions - Infrastructure'!$E$441&lt;&gt;0,IF('Assumptions - Infrastructure'!$E449=3,AH1296*AH1297,0),0)</f>
        <v>0</v>
      </c>
    </row>
    <row r="1304" spans="1:34" s="20" customFormat="1" ht="14" x14ac:dyDescent="0.2">
      <c r="A1304" s="8"/>
      <c r="B1304" s="8" t="s">
        <v>137</v>
      </c>
      <c r="C1304" s="8"/>
      <c r="D1304" s="8" t="str">
        <f t="shared" si="501"/>
        <v>R$ millions</v>
      </c>
      <c r="E1304" s="126">
        <f>IF(E$19=1,IF('Assumptions - Infrastructure'!$E$441&gt;0,'Assumptions - Infrastructure'!E442,0),0)</f>
        <v>0</v>
      </c>
      <c r="F1304" s="126">
        <f>IF(F$19=1,IF('Assumptions - Infrastructure'!$E$441&gt;0,'Assumptions - Infrastructure'!F442,0),0)</f>
        <v>0</v>
      </c>
      <c r="G1304" s="126">
        <f>IF(G$19=1,IF('Assumptions - Infrastructure'!$E$441&gt;0,'Assumptions - Infrastructure'!G442,0),0)</f>
        <v>10</v>
      </c>
      <c r="H1304" s="126">
        <f>IF(H$19=1,IF('Assumptions - Infrastructure'!$E$441&gt;0,'Assumptions - Infrastructure'!H442,0),0)</f>
        <v>10</v>
      </c>
      <c r="I1304" s="126">
        <f>IF(I$19=1,IF('Assumptions - Infrastructure'!$E$441&gt;0,'Assumptions - Infrastructure'!I442,0),0)</f>
        <v>10</v>
      </c>
      <c r="J1304" s="126">
        <f>IF(J$19=1,IF('Assumptions - Infrastructure'!$E$441&gt;0,'Assumptions - Infrastructure'!J442,0),0)</f>
        <v>10</v>
      </c>
      <c r="K1304" s="126">
        <f>IF(K$19=1,IF('Assumptions - Infrastructure'!$E$441&gt;0,'Assumptions - Infrastructure'!K442,0),0)</f>
        <v>10</v>
      </c>
      <c r="L1304" s="126">
        <f>IF(L$19=1,IF('Assumptions - Infrastructure'!$E$441&gt;0,'Assumptions - Infrastructure'!L442,0),0)</f>
        <v>0</v>
      </c>
      <c r="M1304" s="126">
        <f>IF(M$19=1,IF('Assumptions - Infrastructure'!$E$441&gt;0,'Assumptions - Infrastructure'!M442,0),0)</f>
        <v>0</v>
      </c>
      <c r="N1304" s="126">
        <f>IF(N$19=1,IF('Assumptions - Infrastructure'!$E$441&gt;0,'Assumptions - Infrastructure'!N442,0),0)</f>
        <v>0</v>
      </c>
      <c r="O1304" s="126">
        <f>IF(O$19=1,IF('Assumptions - Infrastructure'!$E$441&gt;0,'Assumptions - Infrastructure'!O442,0),0)</f>
        <v>0</v>
      </c>
      <c r="P1304" s="126">
        <f>IF(P$19=1,IF('Assumptions - Infrastructure'!$E$441&gt;0,'Assumptions - Infrastructure'!P442,0),0)</f>
        <v>0</v>
      </c>
      <c r="Q1304" s="126">
        <f>IF(Q$19=1,IF('Assumptions - Infrastructure'!$E$441&gt;0,'Assumptions - Infrastructure'!Q442,0),0)</f>
        <v>0</v>
      </c>
      <c r="R1304" s="126">
        <f>IF(R$19=1,IF('Assumptions - Infrastructure'!$E$441&gt;0,'Assumptions - Infrastructure'!R442,0),0)</f>
        <v>0</v>
      </c>
      <c r="S1304" s="126">
        <f>IF(S$19=1,IF('Assumptions - Infrastructure'!$E$441&gt;0,'Assumptions - Infrastructure'!S442,0),0)</f>
        <v>0</v>
      </c>
      <c r="T1304" s="126">
        <f>IF(T$19=1,IF('Assumptions - Infrastructure'!$E$441&gt;0,'Assumptions - Infrastructure'!T442,0),0)</f>
        <v>0</v>
      </c>
      <c r="U1304" s="126">
        <f>IF(U$19=1,IF('Assumptions - Infrastructure'!$E$441&gt;0,'Assumptions - Infrastructure'!U442,0),0)</f>
        <v>0</v>
      </c>
      <c r="V1304" s="126">
        <f>IF(V$19=1,IF('Assumptions - Infrastructure'!$E$441&gt;0,'Assumptions - Infrastructure'!V442,0),0)</f>
        <v>0</v>
      </c>
      <c r="W1304" s="126">
        <f>IF(W$19=1,IF('Assumptions - Infrastructure'!$E$441&gt;0,'Assumptions - Infrastructure'!W442,0),0)</f>
        <v>0</v>
      </c>
      <c r="X1304" s="126">
        <f>IF(X$19=1,IF('Assumptions - Infrastructure'!$E$441&gt;0,'Assumptions - Infrastructure'!X442,0),0)</f>
        <v>0</v>
      </c>
      <c r="Y1304" s="126">
        <f>IF(Y$19=1,IF('Assumptions - Infrastructure'!$E$441&gt;0,'Assumptions - Infrastructure'!Y442,0),0)</f>
        <v>0</v>
      </c>
      <c r="Z1304" s="126">
        <f>IF(Z$19=1,IF('Assumptions - Infrastructure'!$E$441&gt;0,'Assumptions - Infrastructure'!Z442,0),0)</f>
        <v>0</v>
      </c>
      <c r="AA1304" s="126">
        <f>IF(AA$19=1,IF('Assumptions - Infrastructure'!$E$441&gt;0,'Assumptions - Infrastructure'!AA442,0),0)</f>
        <v>0</v>
      </c>
      <c r="AB1304" s="126">
        <f>IF(AB$19=1,IF('Assumptions - Infrastructure'!$E$441&gt;0,'Assumptions - Infrastructure'!AB442,0),0)</f>
        <v>0</v>
      </c>
      <c r="AC1304" s="126">
        <f>IF(AC$19=1,IF('Assumptions - Infrastructure'!$E$441&gt;0,'Assumptions - Infrastructure'!AC442,0),0)</f>
        <v>0</v>
      </c>
      <c r="AD1304" s="126">
        <f>IF(AD$19=1,IF('Assumptions - Infrastructure'!$E$441&gt;0,'Assumptions - Infrastructure'!AD442,0),0)</f>
        <v>0</v>
      </c>
      <c r="AE1304" s="126">
        <f>IF(AE$19=1,IF('Assumptions - Infrastructure'!$E$441&gt;0,'Assumptions - Infrastructure'!AE442,0),0)</f>
        <v>0</v>
      </c>
      <c r="AF1304" s="126">
        <f>IF(AF$19=1,IF('Assumptions - Infrastructure'!$E$441&gt;0,'Assumptions - Infrastructure'!AF442,0),0)</f>
        <v>0</v>
      </c>
      <c r="AG1304" s="126">
        <f>IF(AG$19=1,IF('Assumptions - Infrastructure'!$E$441&gt;0,'Assumptions - Infrastructure'!AG442,0),0)</f>
        <v>0</v>
      </c>
      <c r="AH1304" s="126">
        <f>IF(AH$19=1,IF('Assumptions - Infrastructure'!$E$441&gt;0,'Assumptions - Infrastructure'!AH442,0),0)</f>
        <v>0</v>
      </c>
    </row>
    <row r="1305" spans="1:34" s="20" customFormat="1" ht="14" x14ac:dyDescent="0.2">
      <c r="A1305" s="8"/>
      <c r="B1305" s="8" t="s">
        <v>138</v>
      </c>
      <c r="C1305" s="8"/>
      <c r="D1305" s="8" t="str">
        <f t="shared" si="501"/>
        <v>R$ millions</v>
      </c>
      <c r="E1305" s="126">
        <f>IF('Assumptions - Infrastructure'!$E$441&lt;&gt;0,E1297-E1298+E1304,0)</f>
        <v>0</v>
      </c>
      <c r="F1305" s="126">
        <f>IF('Assumptions - Infrastructure'!$E$441&lt;&gt;0,F1297-F1298+F1304,0)</f>
        <v>0</v>
      </c>
      <c r="G1305" s="126">
        <f>IF('Assumptions - Infrastructure'!$E$441&lt;&gt;0,G1297-G1298+G1304,0)</f>
        <v>10</v>
      </c>
      <c r="H1305" s="126">
        <f>IF('Assumptions - Infrastructure'!$E$441&lt;&gt;0,H1297-H1298+H1304,0)</f>
        <v>20</v>
      </c>
      <c r="I1305" s="126">
        <f>IF('Assumptions - Infrastructure'!$E$441&lt;&gt;0,I1297-I1298+I1304,0)</f>
        <v>30</v>
      </c>
      <c r="J1305" s="126">
        <f>IF('Assumptions - Infrastructure'!$E$441&lt;&gt;0,J1297-J1298+J1304,0)</f>
        <v>40</v>
      </c>
      <c r="K1305" s="126">
        <f>IF('Assumptions - Infrastructure'!$E$441&lt;&gt;0,K1297-K1298+K1304,0)</f>
        <v>50</v>
      </c>
      <c r="L1305" s="126">
        <f>IF('Assumptions - Infrastructure'!$E$441&lt;&gt;0,L1297-L1298+L1304,0)</f>
        <v>50</v>
      </c>
      <c r="M1305" s="126">
        <f>IF('Assumptions - Infrastructure'!$E$441&lt;&gt;0,M1297-M1298+M1304,0)</f>
        <v>50</v>
      </c>
      <c r="N1305" s="126">
        <f>IF('Assumptions - Infrastructure'!$E$441&lt;&gt;0,N1297-N1298+N1304,0)</f>
        <v>50</v>
      </c>
      <c r="O1305" s="126">
        <f>IF('Assumptions - Infrastructure'!$E$441&lt;&gt;0,O1297-O1298+O1304,0)</f>
        <v>50</v>
      </c>
      <c r="P1305" s="126">
        <f>IF('Assumptions - Infrastructure'!$E$441&lt;&gt;0,P1297-P1298+P1304,0)</f>
        <v>50</v>
      </c>
      <c r="Q1305" s="126">
        <f>IF('Assumptions - Infrastructure'!$E$441&lt;&gt;0,Q1297-Q1298+Q1304,0)</f>
        <v>50</v>
      </c>
      <c r="R1305" s="126">
        <f>IF('Assumptions - Infrastructure'!$E$441&lt;&gt;0,R1297-R1298+R1304,0)</f>
        <v>50</v>
      </c>
      <c r="S1305" s="126">
        <f>IF('Assumptions - Infrastructure'!$E$441&lt;&gt;0,S1297-S1298+S1304,0)</f>
        <v>50</v>
      </c>
      <c r="T1305" s="126">
        <f>IF('Assumptions - Infrastructure'!$E$441&lt;&gt;0,T1297-T1298+T1304,0)</f>
        <v>50</v>
      </c>
      <c r="U1305" s="126">
        <f>IF('Assumptions - Infrastructure'!$E$441&lt;&gt;0,U1297-U1298+U1304,0)</f>
        <v>0</v>
      </c>
      <c r="V1305" s="126">
        <f>IF('Assumptions - Infrastructure'!$E$441&lt;&gt;0,V1297-V1298+V1304,0)</f>
        <v>0</v>
      </c>
      <c r="W1305" s="126">
        <f>IF('Assumptions - Infrastructure'!$E$441&lt;&gt;0,W1297-W1298+W1304,0)</f>
        <v>0</v>
      </c>
      <c r="X1305" s="126">
        <f>IF('Assumptions - Infrastructure'!$E$441&lt;&gt;0,X1297-X1298+X1304,0)</f>
        <v>0</v>
      </c>
      <c r="Y1305" s="126">
        <f>IF('Assumptions - Infrastructure'!$E$441&lt;&gt;0,Y1297-Y1298+Y1304,0)</f>
        <v>0</v>
      </c>
      <c r="Z1305" s="126">
        <f>IF('Assumptions - Infrastructure'!$E$441&lt;&gt;0,Z1297-Z1298+Z1304,0)</f>
        <v>0</v>
      </c>
      <c r="AA1305" s="126">
        <f>IF('Assumptions - Infrastructure'!$E$441&lt;&gt;0,AA1297-AA1298+AA1304,0)</f>
        <v>0</v>
      </c>
      <c r="AB1305" s="126">
        <f>IF('Assumptions - Infrastructure'!$E$441&lt;&gt;0,AB1297-AB1298+AB1304,0)</f>
        <v>0</v>
      </c>
      <c r="AC1305" s="126">
        <f>IF('Assumptions - Infrastructure'!$E$441&lt;&gt;0,AC1297-AC1298+AC1304,0)</f>
        <v>0</v>
      </c>
      <c r="AD1305" s="126">
        <f>IF('Assumptions - Infrastructure'!$E$441&lt;&gt;0,AD1297-AD1298+AD1304,0)</f>
        <v>0</v>
      </c>
      <c r="AE1305" s="126">
        <f>IF('Assumptions - Infrastructure'!$E$441&lt;&gt;0,AE1297-AE1298+AE1304,0)</f>
        <v>0</v>
      </c>
      <c r="AF1305" s="126">
        <f>IF('Assumptions - Infrastructure'!$E$441&lt;&gt;0,AF1297-AF1298+AF1304,0)</f>
        <v>0</v>
      </c>
      <c r="AG1305" s="126">
        <f>IF('Assumptions - Infrastructure'!$E$441&lt;&gt;0,AG1297-AG1298+AG1304,0)</f>
        <v>0</v>
      </c>
      <c r="AH1305" s="126">
        <f>IF('Assumptions - Infrastructure'!$E$441&lt;&gt;0,AH1297-AH1298+AH1304,0)</f>
        <v>0</v>
      </c>
    </row>
    <row r="1306" spans="1:34" s="20" customFormat="1" ht="14" x14ac:dyDescent="0.2">
      <c r="A1306" s="8"/>
      <c r="B1306" s="8" t="s">
        <v>139</v>
      </c>
      <c r="C1306" s="8"/>
      <c r="D1306" s="8" t="str">
        <f t="shared" si="501"/>
        <v>R$ millions</v>
      </c>
      <c r="E1306" s="126">
        <f>IF(E$19=1,IF('Assumptions - Infrastructure'!$E$441&lt;&gt;0,IF(AND('Assumptions - Infrastructure'!$E$449=3,E1295&gt;0),Calculations!E1303,((E1297+E1305)/2)*E1296),0),0)</f>
        <v>0</v>
      </c>
      <c r="F1306" s="126">
        <f>IF(F$19=1,IF('Assumptions - Infrastructure'!$E$441&lt;&gt;0,IF(AND('Assumptions - Infrastructure'!$E$449=3,F1295&gt;0),Calculations!F1303,((F1297+F1305)/2)*F1296),0),0)</f>
        <v>0</v>
      </c>
      <c r="G1306" s="126">
        <f>IF(G$19=1,IF('Assumptions - Infrastructure'!$E$441&lt;&gt;0,IF(AND('Assumptions - Infrastructure'!$E$449=3,G1295&gt;0),Calculations!G1303,((G1297+G1305)/2)*G1296),0),0)</f>
        <v>0.2485</v>
      </c>
      <c r="H1306" s="126">
        <f>IF(H$19=1,IF('Assumptions - Infrastructure'!$E$441&lt;&gt;0,IF(AND('Assumptions - Infrastructure'!$E$449=3,H1295&gt;0),Calculations!H1303,((H1297+H1305)/2)*H1296),0),0)</f>
        <v>0.8909999999999999</v>
      </c>
      <c r="I1306" s="126">
        <f>IF(I$19=1,IF('Assumptions - Infrastructure'!$E$441&lt;&gt;0,IF(AND('Assumptions - Infrastructure'!$E$449=3,I1295&gt;0),Calculations!I1303,((I1297+I1305)/2)*I1296),0),0)</f>
        <v>1.6575</v>
      </c>
      <c r="J1306" s="126">
        <f>IF(J$19=1,IF('Assumptions - Infrastructure'!$E$441&lt;&gt;0,IF(AND('Assumptions - Infrastructure'!$E$449=3,J1295&gt;0),Calculations!J1303,((J1297+J1305)/2)*J1296),0),0)</f>
        <v>2.4780000000000002</v>
      </c>
      <c r="K1306" s="126">
        <f>IF(K$19=1,IF('Assumptions - Infrastructure'!$E$441&lt;&gt;0,IF(AND('Assumptions - Infrastructure'!$E$449=3,K1295&gt;0),Calculations!K1303,((K1297+K1305)/2)*K1296),0),0)</f>
        <v>3.3210000000000002</v>
      </c>
      <c r="L1306" s="126">
        <f>IF(L$19=1,IF('Assumptions - Infrastructure'!$E$441&lt;&gt;0,IF(AND('Assumptions - Infrastructure'!$E$449=3,L1295&gt;0),Calculations!L1303,((L1297+L1305)/2)*L1296),0),0)</f>
        <v>3.7850000000000001</v>
      </c>
      <c r="M1306" s="126">
        <f>IF(M$19=1,IF('Assumptions - Infrastructure'!$E$441&lt;&gt;0,IF(AND('Assumptions - Infrastructure'!$E$449=3,M1295&gt;0),Calculations!M1303,((M1297+M1305)/2)*M1296),0),0)</f>
        <v>3.8850000000000002</v>
      </c>
      <c r="N1306" s="126">
        <f>IF(N$19=1,IF('Assumptions - Infrastructure'!$E$441&lt;&gt;0,IF(AND('Assumptions - Infrastructure'!$E$449=3,N1295&gt;0),Calculations!N1303,((N1297+N1305)/2)*N1296),0),0)</f>
        <v>3.9550000000000001</v>
      </c>
      <c r="O1306" s="126">
        <f>IF(O$19=1,IF('Assumptions - Infrastructure'!$E$441&lt;&gt;0,IF(AND('Assumptions - Infrastructure'!$E$449=3,O1295&gt;0),Calculations!O1303,((O1297+O1305)/2)*O1296),0),0)</f>
        <v>3.53</v>
      </c>
      <c r="P1306" s="126">
        <f>IF(P$19=1,IF('Assumptions - Infrastructure'!$E$441&lt;&gt;0,IF(AND('Assumptions - Infrastructure'!$E$449=3,P1295&gt;0),Calculations!P1303,((P1297+P1305)/2)*P1296),0),0)</f>
        <v>3.5000000000000004</v>
      </c>
      <c r="Q1306" s="126">
        <f>IF(Q$19=1,IF('Assumptions - Infrastructure'!$E$441&lt;&gt;0,IF(AND('Assumptions - Infrastructure'!$E$449=3,Q1295&gt;0),Calculations!Q1303,((Q1297+Q1305)/2)*Q1296),0),0)</f>
        <v>3.5000000000000004</v>
      </c>
      <c r="R1306" s="126">
        <f>IF(R$19=1,IF('Assumptions - Infrastructure'!$E$441&lt;&gt;0,IF(AND('Assumptions - Infrastructure'!$E$449=3,R1295&gt;0),Calculations!R1303,((R1297+R1305)/2)*R1296),0),0)</f>
        <v>3.5000000000000004</v>
      </c>
      <c r="S1306" s="126">
        <f>IF(S$19=1,IF('Assumptions - Infrastructure'!$E$441&lt;&gt;0,IF(AND('Assumptions - Infrastructure'!$E$449=3,S1295&gt;0),Calculations!S1303,((S1297+S1305)/2)*S1296),0),0)</f>
        <v>3.5000000000000004</v>
      </c>
      <c r="T1306" s="126">
        <f>IF(T$19=1,IF('Assumptions - Infrastructure'!$E$441&lt;&gt;0,IF(AND('Assumptions - Infrastructure'!$E$449=3,T1295&gt;0),Calculations!T1303,((T1297+T1305)/2)*T1296),0),0)</f>
        <v>3.5000000000000004</v>
      </c>
      <c r="U1306" s="126">
        <f>IF(U$19=1,IF('Assumptions - Infrastructure'!$E$441&lt;&gt;0,IF(AND('Assumptions - Infrastructure'!$E$449=3,U1295&gt;0),Calculations!U1303,((U1297+U1305)/2)*U1296),0),0)</f>
        <v>1.7500000000000002</v>
      </c>
      <c r="V1306" s="126">
        <f>IF(V$19=1,IF('Assumptions - Infrastructure'!$E$441&lt;&gt;0,IF(AND('Assumptions - Infrastructure'!$E$449=3,V1295&gt;0),Calculations!V1303,((V1297+V1305)/2)*V1296),0),0)</f>
        <v>0</v>
      </c>
      <c r="W1306" s="126">
        <f>IF(W$19=1,IF('Assumptions - Infrastructure'!$E$441&lt;&gt;0,IF(AND('Assumptions - Infrastructure'!$E$449=3,W1295&gt;0),Calculations!W1303,((W1297+W1305)/2)*W1296),0),0)</f>
        <v>0</v>
      </c>
      <c r="X1306" s="126">
        <f>IF(X$19=1,IF('Assumptions - Infrastructure'!$E$441&lt;&gt;0,IF(AND('Assumptions - Infrastructure'!$E$449=3,X1295&gt;0),Calculations!X1303,((X1297+X1305)/2)*X1296),0),0)</f>
        <v>0</v>
      </c>
      <c r="Y1306" s="126">
        <f>IF(Y$19=1,IF('Assumptions - Infrastructure'!$E$441&lt;&gt;0,IF(AND('Assumptions - Infrastructure'!$E$449=3,Y1295&gt;0),Calculations!Y1303,((Y1297+Y1305)/2)*Y1296),0),0)</f>
        <v>0</v>
      </c>
      <c r="Z1306" s="126">
        <f>IF(Z$19=1,IF('Assumptions - Infrastructure'!$E$441&lt;&gt;0,IF(AND('Assumptions - Infrastructure'!$E$449=3,Z1295&gt;0),Calculations!Z1303,((Z1297+Z1305)/2)*Z1296),0),0)</f>
        <v>0</v>
      </c>
      <c r="AA1306" s="126">
        <f>IF(AA$19=1,IF('Assumptions - Infrastructure'!$E$441&lt;&gt;0,IF(AND('Assumptions - Infrastructure'!$E$449=3,AA1295&gt;0),Calculations!AA1303,((AA1297+AA1305)/2)*AA1296),0),0)</f>
        <v>0</v>
      </c>
      <c r="AB1306" s="126">
        <f>IF(AB$19=1,IF('Assumptions - Infrastructure'!$E$441&lt;&gt;0,IF(AND('Assumptions - Infrastructure'!$E$449=3,AB1295&gt;0),Calculations!AB1303,((AB1297+AB1305)/2)*AB1296),0),0)</f>
        <v>0</v>
      </c>
      <c r="AC1306" s="126">
        <f>IF(AC$19=1,IF('Assumptions - Infrastructure'!$E$441&lt;&gt;0,IF(AND('Assumptions - Infrastructure'!$E$449=3,AC1295&gt;0),Calculations!AC1303,((AC1297+AC1305)/2)*AC1296),0),0)</f>
        <v>0</v>
      </c>
      <c r="AD1306" s="126">
        <f>IF(AD$19=1,IF('Assumptions - Infrastructure'!$E$441&lt;&gt;0,IF(AND('Assumptions - Infrastructure'!$E$449=3,AD1295&gt;0),Calculations!AD1303,((AD1297+AD1305)/2)*AD1296),0),0)</f>
        <v>0</v>
      </c>
      <c r="AE1306" s="126">
        <f>IF(AE$19=1,IF('Assumptions - Infrastructure'!$E$441&lt;&gt;0,IF(AND('Assumptions - Infrastructure'!$E$449=3,AE1295&gt;0),Calculations!AE1303,((AE1297+AE1305)/2)*AE1296),0),0)</f>
        <v>0</v>
      </c>
      <c r="AF1306" s="126">
        <f>IF(AF$19=1,IF('Assumptions - Infrastructure'!$E$441&lt;&gt;0,IF(AND('Assumptions - Infrastructure'!$E$449=3,AF1295&gt;0),Calculations!AF1303,((AF1297+AF1305)/2)*AF1296),0),0)</f>
        <v>0</v>
      </c>
      <c r="AG1306" s="126">
        <f>IF(AG$19=1,IF('Assumptions - Infrastructure'!$E$441&lt;&gt;0,IF(AND('Assumptions - Infrastructure'!$E$449=3,AG1295&gt;0),Calculations!AG1303,((AG1297+AG1305)/2)*AG1296),0),0)</f>
        <v>0</v>
      </c>
      <c r="AH1306" s="126">
        <f>IF(AH$19=1,IF('Assumptions - Infrastructure'!$E$441&lt;&gt;0,IF(AND('Assumptions - Infrastructure'!$E$449=3,AH1295&gt;0),Calculations!AH1303,((AH1297+AH1305)/2)*AH1296),0),0)</f>
        <v>0</v>
      </c>
    </row>
    <row r="1307" spans="1:34" s="20" customFormat="1" ht="14" x14ac:dyDescent="0.2">
      <c r="A1307" s="8"/>
      <c r="B1307" s="8" t="s">
        <v>53</v>
      </c>
      <c r="C1307" s="8"/>
      <c r="D1307" s="8" t="str">
        <f t="shared" si="501"/>
        <v>R$ millions</v>
      </c>
      <c r="E1307" s="126">
        <f>IF(E$19=1,IF('Assumptions - Infrastructure'!$E$438=Calculations!E$4,'Assumptions - Infrastructure'!$E$441*'Assumptions - Infrastructure'!$E$451,0),0)</f>
        <v>0</v>
      </c>
      <c r="F1307" s="126">
        <f>IF(F$19=1,IF('Assumptions - Infrastructure'!$E$438=Calculations!F$4,'Assumptions - Infrastructure'!$E$441*'Assumptions - Infrastructure'!$E$451,0),0)</f>
        <v>0</v>
      </c>
      <c r="G1307" s="126">
        <f>IF(G$19=1,IF('Assumptions - Infrastructure'!$E$438=Calculations!G$4,'Assumptions - Infrastructure'!$E$441*'Assumptions - Infrastructure'!$E$451,0),0)</f>
        <v>0.125</v>
      </c>
      <c r="H1307" s="126">
        <f>IF(H$19=1,IF('Assumptions - Infrastructure'!$E$438=Calculations!H$4,'Assumptions - Infrastructure'!$E$441*'Assumptions - Infrastructure'!$E$451,0),0)</f>
        <v>0</v>
      </c>
      <c r="I1307" s="126">
        <f>IF(I$19=1,IF('Assumptions - Infrastructure'!$E$438=Calculations!I$4,'Assumptions - Infrastructure'!$E$441*'Assumptions - Infrastructure'!$E$451,0),0)</f>
        <v>0</v>
      </c>
      <c r="J1307" s="126">
        <f>IF(J$19=1,IF('Assumptions - Infrastructure'!$E$438=Calculations!J$4,'Assumptions - Infrastructure'!$E$441*'Assumptions - Infrastructure'!$E$451,0),0)</f>
        <v>0</v>
      </c>
      <c r="K1307" s="126">
        <f>IF(K$19=1,IF('Assumptions - Infrastructure'!$E$438=Calculations!K$4,'Assumptions - Infrastructure'!$E$441*'Assumptions - Infrastructure'!$E$451,0),0)</f>
        <v>0</v>
      </c>
      <c r="L1307" s="126">
        <f>IF(L$19=1,IF('Assumptions - Infrastructure'!$E$438=Calculations!L$4,'Assumptions - Infrastructure'!$E$441*'Assumptions - Infrastructure'!$E$451,0),0)</f>
        <v>0</v>
      </c>
      <c r="M1307" s="126">
        <f>IF(M$19=1,IF('Assumptions - Infrastructure'!$E$438=Calculations!M$4,'Assumptions - Infrastructure'!$E$441*'Assumptions - Infrastructure'!$E$451,0),0)</f>
        <v>0</v>
      </c>
      <c r="N1307" s="126">
        <f>IF(N$19=1,IF('Assumptions - Infrastructure'!$E$438=Calculations!N$4,'Assumptions - Infrastructure'!$E$441*'Assumptions - Infrastructure'!$E$451,0),0)</f>
        <v>0</v>
      </c>
      <c r="O1307" s="126">
        <f>IF(O$19=1,IF('Assumptions - Infrastructure'!$E$438=Calculations!O$4,'Assumptions - Infrastructure'!$E$441*'Assumptions - Infrastructure'!$E$451,0),0)</f>
        <v>0</v>
      </c>
      <c r="P1307" s="126">
        <f>IF(P$19=1,IF('Assumptions - Infrastructure'!$E$438=Calculations!P$4,'Assumptions - Infrastructure'!$E$441*'Assumptions - Infrastructure'!$E$451,0),0)</f>
        <v>0</v>
      </c>
      <c r="Q1307" s="126">
        <f>IF(Q$19=1,IF('Assumptions - Infrastructure'!$E$438=Calculations!Q$4,'Assumptions - Infrastructure'!$E$441*'Assumptions - Infrastructure'!$E$451,0),0)</f>
        <v>0</v>
      </c>
      <c r="R1307" s="126">
        <f>IF(R$19=1,IF('Assumptions - Infrastructure'!$E$438=Calculations!R$4,'Assumptions - Infrastructure'!$E$441*'Assumptions - Infrastructure'!$E$451,0),0)</f>
        <v>0</v>
      </c>
      <c r="S1307" s="126">
        <f>IF(S$19=1,IF('Assumptions - Infrastructure'!$E$438=Calculations!S$4,'Assumptions - Infrastructure'!$E$441*'Assumptions - Infrastructure'!$E$451,0),0)</f>
        <v>0</v>
      </c>
      <c r="T1307" s="126">
        <f>IF(T$19=1,IF('Assumptions - Infrastructure'!$E$438=Calculations!T$4,'Assumptions - Infrastructure'!$E$441*'Assumptions - Infrastructure'!$E$451,0),0)</f>
        <v>0</v>
      </c>
      <c r="U1307" s="126">
        <f>IF(U$19=1,IF('Assumptions - Infrastructure'!$E$438=Calculations!U$4,'Assumptions - Infrastructure'!$E$441*'Assumptions - Infrastructure'!$E$451,0),0)</f>
        <v>0</v>
      </c>
      <c r="V1307" s="126">
        <f>IF(V$19=1,IF('Assumptions - Infrastructure'!$E$438=Calculations!V$4,'Assumptions - Infrastructure'!$E$441*'Assumptions - Infrastructure'!$E$451,0),0)</f>
        <v>0</v>
      </c>
      <c r="W1307" s="126">
        <f>IF(W$19=1,IF('Assumptions - Infrastructure'!$E$438=Calculations!W$4,'Assumptions - Infrastructure'!$E$441*'Assumptions - Infrastructure'!$E$451,0),0)</f>
        <v>0</v>
      </c>
      <c r="X1307" s="126">
        <f>IF(X$19=1,IF('Assumptions - Infrastructure'!$E$438=Calculations!X$4,'Assumptions - Infrastructure'!$E$441*'Assumptions - Infrastructure'!$E$451,0),0)</f>
        <v>0</v>
      </c>
      <c r="Y1307" s="126">
        <f>IF(Y$19=1,IF('Assumptions - Infrastructure'!$E$438=Calculations!Y$4,'Assumptions - Infrastructure'!$E$441*'Assumptions - Infrastructure'!$E$451,0),0)</f>
        <v>0</v>
      </c>
      <c r="Z1307" s="126">
        <f>IF(Z$19=1,IF('Assumptions - Infrastructure'!$E$438=Calculations!Z$4,'Assumptions - Infrastructure'!$E$441*'Assumptions - Infrastructure'!$E$451,0),0)</f>
        <v>0</v>
      </c>
      <c r="AA1307" s="126">
        <f>IF(AA$19=1,IF('Assumptions - Infrastructure'!$E$438=Calculations!AA$4,'Assumptions - Infrastructure'!$E$441*'Assumptions - Infrastructure'!$E$451,0),0)</f>
        <v>0</v>
      </c>
      <c r="AB1307" s="126">
        <f>IF(AB$19=1,IF('Assumptions - Infrastructure'!$E$438=Calculations!AB$4,'Assumptions - Infrastructure'!$E$441*'Assumptions - Infrastructure'!$E$451,0),0)</f>
        <v>0</v>
      </c>
      <c r="AC1307" s="126">
        <f>IF(AC$19=1,IF('Assumptions - Infrastructure'!$E$438=Calculations!AC$4,'Assumptions - Infrastructure'!$E$441*'Assumptions - Infrastructure'!$E$451,0),0)</f>
        <v>0</v>
      </c>
      <c r="AD1307" s="126">
        <f>IF(AD$19=1,IF('Assumptions - Infrastructure'!$E$438=Calculations!AD$4,'Assumptions - Infrastructure'!$E$441*'Assumptions - Infrastructure'!$E$451,0),0)</f>
        <v>0</v>
      </c>
      <c r="AE1307" s="126">
        <f>IF(AE$19=1,IF('Assumptions - Infrastructure'!$E$438=Calculations!AE$4,'Assumptions - Infrastructure'!$E$441*'Assumptions - Infrastructure'!$E$451,0),0)</f>
        <v>0</v>
      </c>
      <c r="AF1307" s="126">
        <f>IF(AF$19=1,IF('Assumptions - Infrastructure'!$E$438=Calculations!AF$4,'Assumptions - Infrastructure'!$E$441*'Assumptions - Infrastructure'!$E$451,0),0)</f>
        <v>0</v>
      </c>
      <c r="AG1307" s="126">
        <f>IF(AG$19=1,IF('Assumptions - Infrastructure'!$E$438=Calculations!AG$4,'Assumptions - Infrastructure'!$E$441*'Assumptions - Infrastructure'!$E$451,0),0)</f>
        <v>0</v>
      </c>
      <c r="AH1307" s="126">
        <f>IF(AH$19=1,IF('Assumptions - Infrastructure'!$E$438=Calculations!AH$4,'Assumptions - Infrastructure'!$E$441*'Assumptions - Infrastructure'!$E$451,0),0)</f>
        <v>0</v>
      </c>
    </row>
    <row r="1308" spans="1:34" s="20" customFormat="1" ht="14" x14ac:dyDescent="0.2">
      <c r="A1308" s="8"/>
      <c r="B1308" s="8" t="s">
        <v>142</v>
      </c>
      <c r="C1308" s="8"/>
      <c r="D1308" s="8" t="str">
        <f t="shared" si="501"/>
        <v>R$ millions</v>
      </c>
      <c r="E1308" s="126">
        <f>IF(E$19=1,IF(AND(E$4&lt;=('Assumptions - Infrastructure'!$E$438+'Assumptions - Infrastructure'!$E$448),E$4&gt;='Assumptions - Infrastructure'!$E$438),'Assumptions - Infrastructure'!$E$441-Calculations!E1297-E1304,0),0)</f>
        <v>0</v>
      </c>
      <c r="F1308" s="126">
        <f>IF(F$19=1,IF(AND(F$4&lt;=('Assumptions - Infrastructure'!$E$438+'Assumptions - Infrastructure'!$E$448),F$4&gt;='Assumptions - Infrastructure'!$E$438),'Assumptions - Infrastructure'!$E$441-Calculations!F1297-F1304,0),0)</f>
        <v>0</v>
      </c>
      <c r="G1308" s="126">
        <f>IF(G$19=1,IF(AND(G$4&lt;=('Assumptions - Infrastructure'!$E$438+'Assumptions - Infrastructure'!$E$448),G$4&gt;='Assumptions - Infrastructure'!$E$438),'Assumptions - Infrastructure'!$E$441-Calculations!G1297-G1304,0),0)</f>
        <v>40</v>
      </c>
      <c r="H1308" s="126">
        <f>IF(H$19=1,IF(AND(H$4&lt;=('Assumptions - Infrastructure'!$E$438+'Assumptions - Infrastructure'!$E$448),H$4&gt;='Assumptions - Infrastructure'!$E$438),'Assumptions - Infrastructure'!$E$441-Calculations!H1297-H1304,0),0)</f>
        <v>30</v>
      </c>
      <c r="I1308" s="126">
        <f>IF(I$19=1,IF(AND(I$4&lt;=('Assumptions - Infrastructure'!$E$438+'Assumptions - Infrastructure'!$E$448),I$4&gt;='Assumptions - Infrastructure'!$E$438),'Assumptions - Infrastructure'!$E$441-Calculations!I1297-I1304,0),0)</f>
        <v>20</v>
      </c>
      <c r="J1308" s="126">
        <f>IF(J$19=1,IF(AND(J$4&lt;=('Assumptions - Infrastructure'!$E$438+'Assumptions - Infrastructure'!$E$448),J$4&gt;='Assumptions - Infrastructure'!$E$438),'Assumptions - Infrastructure'!$E$441-Calculations!J1297-J1304,0),0)</f>
        <v>10</v>
      </c>
      <c r="K1308" s="126">
        <f>IF(K$19=1,IF(AND(K$4&lt;=('Assumptions - Infrastructure'!$E$438+'Assumptions - Infrastructure'!$E$448),K$4&gt;='Assumptions - Infrastructure'!$E$438),'Assumptions - Infrastructure'!$E$441-Calculations!K1297-K1304,0),0)</f>
        <v>0</v>
      </c>
      <c r="L1308" s="126">
        <f>IF(L$19=1,IF(AND(L$4&lt;=('Assumptions - Infrastructure'!$E$438+'Assumptions - Infrastructure'!$E$448),L$4&gt;='Assumptions - Infrastructure'!$E$438),'Assumptions - Infrastructure'!$E$441-Calculations!L1297-L1304,0),0)</f>
        <v>0</v>
      </c>
      <c r="M1308" s="126">
        <f>IF(M$19=1,IF(AND(M$4&lt;=('Assumptions - Infrastructure'!$E$438+'Assumptions - Infrastructure'!$E$448),M$4&gt;='Assumptions - Infrastructure'!$E$438),'Assumptions - Infrastructure'!$E$441-Calculations!M1297-M1304,0),0)</f>
        <v>0</v>
      </c>
      <c r="N1308" s="126">
        <f>IF(N$19=1,IF(AND(N$4&lt;=('Assumptions - Infrastructure'!$E$438+'Assumptions - Infrastructure'!$E$448),N$4&gt;='Assumptions - Infrastructure'!$E$438),'Assumptions - Infrastructure'!$E$441-Calculations!N1297-N1304,0),0)</f>
        <v>0</v>
      </c>
      <c r="O1308" s="126">
        <f>IF(O$19=1,IF(AND(O$4&lt;=('Assumptions - Infrastructure'!$E$438+'Assumptions - Infrastructure'!$E$448),O$4&gt;='Assumptions - Infrastructure'!$E$438),'Assumptions - Infrastructure'!$E$441-Calculations!O1297-O1304,0),0)</f>
        <v>0</v>
      </c>
      <c r="P1308" s="126">
        <f>IF(P$19=1,IF(AND(P$4&lt;=('Assumptions - Infrastructure'!$E$438+'Assumptions - Infrastructure'!$E$448),P$4&gt;='Assumptions - Infrastructure'!$E$438),'Assumptions - Infrastructure'!$E$441-Calculations!P1297-P1304,0),0)</f>
        <v>0</v>
      </c>
      <c r="Q1308" s="126">
        <f>IF(Q$19=1,IF(AND(Q$4&lt;=('Assumptions - Infrastructure'!$E$438+'Assumptions - Infrastructure'!$E$448),Q$4&gt;='Assumptions - Infrastructure'!$E$438),'Assumptions - Infrastructure'!$E$441-Calculations!Q1297-Q1304,0),0)</f>
        <v>0</v>
      </c>
      <c r="R1308" s="126">
        <f>IF(R$19=1,IF(AND(R$4&lt;=('Assumptions - Infrastructure'!$E$438+'Assumptions - Infrastructure'!$E$448),R$4&gt;='Assumptions - Infrastructure'!$E$438),'Assumptions - Infrastructure'!$E$441-Calculations!R1297-R1304,0),0)</f>
        <v>0</v>
      </c>
      <c r="S1308" s="126">
        <f>IF(S$19=1,IF(AND(S$4&lt;=('Assumptions - Infrastructure'!$E$438+'Assumptions - Infrastructure'!$E$448),S$4&gt;='Assumptions - Infrastructure'!$E$438),'Assumptions - Infrastructure'!$E$441-Calculations!S1297-S1304,0),0)</f>
        <v>0</v>
      </c>
      <c r="T1308" s="126">
        <f>IF(T$19=1,IF(AND(T$4&lt;=('Assumptions - Infrastructure'!$E$438+'Assumptions - Infrastructure'!$E$448),T$4&gt;='Assumptions - Infrastructure'!$E$438),'Assumptions - Infrastructure'!$E$441-Calculations!T1297-T1304,0),0)</f>
        <v>0</v>
      </c>
      <c r="U1308" s="126">
        <f>IF(U$19=1,IF(AND(U$4&lt;=('Assumptions - Infrastructure'!$E$438+'Assumptions - Infrastructure'!$E$448),U$4&gt;='Assumptions - Infrastructure'!$E$438),'Assumptions - Infrastructure'!$E$441-Calculations!U1297-U1304,0),0)</f>
        <v>0</v>
      </c>
      <c r="V1308" s="126">
        <f>IF(V$19=1,IF(AND(V$4&lt;=('Assumptions - Infrastructure'!$E$438+'Assumptions - Infrastructure'!$E$448),V$4&gt;='Assumptions - Infrastructure'!$E$438),'Assumptions - Infrastructure'!$E$441-Calculations!V1297-V1304,0),0)</f>
        <v>0</v>
      </c>
      <c r="W1308" s="126">
        <f>IF(W$19=1,IF(AND(W$4&lt;=('Assumptions - Infrastructure'!$E$438+'Assumptions - Infrastructure'!$E$448),W$4&gt;='Assumptions - Infrastructure'!$E$438),'Assumptions - Infrastructure'!$E$441-Calculations!W1297-W1304,0),0)</f>
        <v>0</v>
      </c>
      <c r="X1308" s="126">
        <f>IF(X$19=1,IF(AND(X$4&lt;=('Assumptions - Infrastructure'!$E$438+'Assumptions - Infrastructure'!$E$448),X$4&gt;='Assumptions - Infrastructure'!$E$438),'Assumptions - Infrastructure'!$E$441-Calculations!X1297-X1304,0),0)</f>
        <v>0</v>
      </c>
      <c r="Y1308" s="126">
        <f>IF(Y$19=1,IF(AND(Y$4&lt;=('Assumptions - Infrastructure'!$E$438+'Assumptions - Infrastructure'!$E$448),Y$4&gt;='Assumptions - Infrastructure'!$E$438),'Assumptions - Infrastructure'!$E$441-Calculations!Y1297-Y1304,0),0)</f>
        <v>0</v>
      </c>
      <c r="Z1308" s="126">
        <f>IF(Z$19=1,IF(AND(Z$4&lt;=('Assumptions - Infrastructure'!$E$438+'Assumptions - Infrastructure'!$E$448),Z$4&gt;='Assumptions - Infrastructure'!$E$438),'Assumptions - Infrastructure'!$E$441-Calculations!Z1297-Z1304,0),0)</f>
        <v>0</v>
      </c>
      <c r="AA1308" s="126">
        <f>IF(AA$19=1,IF(AND(AA$4&lt;=('Assumptions - Infrastructure'!$E$438+'Assumptions - Infrastructure'!$E$448),AA$4&gt;='Assumptions - Infrastructure'!$E$438),'Assumptions - Infrastructure'!$E$441-Calculations!AA1297-AA1304,0),0)</f>
        <v>0</v>
      </c>
      <c r="AB1308" s="126">
        <f>IF(AB$19=1,IF(AND(AB$4&lt;=('Assumptions - Infrastructure'!$E$438+'Assumptions - Infrastructure'!$E$448),AB$4&gt;='Assumptions - Infrastructure'!$E$438),'Assumptions - Infrastructure'!$E$441-Calculations!AB1297-AB1304,0),0)</f>
        <v>0</v>
      </c>
      <c r="AC1308" s="126">
        <f>IF(AC$19=1,IF(AND(AC$4&lt;=('Assumptions - Infrastructure'!$E$438+'Assumptions - Infrastructure'!$E$448),AC$4&gt;='Assumptions - Infrastructure'!$E$438),'Assumptions - Infrastructure'!$E$441-Calculations!AC1297-AC1304,0),0)</f>
        <v>0</v>
      </c>
      <c r="AD1308" s="126">
        <f>IF(AD$19=1,IF(AND(AD$4&lt;=('Assumptions - Infrastructure'!$E$438+'Assumptions - Infrastructure'!$E$448),AD$4&gt;='Assumptions - Infrastructure'!$E$438),'Assumptions - Infrastructure'!$E$441-Calculations!AD1297-AD1304,0),0)</f>
        <v>0</v>
      </c>
      <c r="AE1308" s="126">
        <f>IF(AE$19=1,IF(AND(AE$4&lt;=('Assumptions - Infrastructure'!$E$438+'Assumptions - Infrastructure'!$E$448),AE$4&gt;='Assumptions - Infrastructure'!$E$438),'Assumptions - Infrastructure'!$E$441-Calculations!AE1297-AE1304,0),0)</f>
        <v>0</v>
      </c>
      <c r="AF1308" s="126">
        <f>IF(AF$19=1,IF(AND(AF$4&lt;=('Assumptions - Infrastructure'!$E$438+'Assumptions - Infrastructure'!$E$448),AF$4&gt;='Assumptions - Infrastructure'!$E$438),'Assumptions - Infrastructure'!$E$441-Calculations!AF1297-AF1304,0),0)</f>
        <v>0</v>
      </c>
      <c r="AG1308" s="126">
        <f>IF(AG$19=1,IF(AND(AG$4&lt;=('Assumptions - Infrastructure'!$E$438+'Assumptions - Infrastructure'!$E$448),AG$4&gt;='Assumptions - Infrastructure'!$E$438),'Assumptions - Infrastructure'!$E$441-Calculations!AG1297-AG1304,0),0)</f>
        <v>0</v>
      </c>
      <c r="AH1308" s="126">
        <f>IF(AH$19=1,IF(AND(AH$4&lt;=('Assumptions - Infrastructure'!$E$438+'Assumptions - Infrastructure'!$E$448),AH$4&gt;='Assumptions - Infrastructure'!$E$438),'Assumptions - Infrastructure'!$E$441-Calculations!AH1297-AH1304,0),0)</f>
        <v>0</v>
      </c>
    </row>
    <row r="1309" spans="1:34" s="20" customFormat="1" ht="14" x14ac:dyDescent="0.2">
      <c r="A1309" s="8"/>
      <c r="B1309" s="8" t="s">
        <v>55</v>
      </c>
      <c r="C1309" s="8"/>
      <c r="D1309" s="8" t="str">
        <f t="shared" si="501"/>
        <v>R$ millions</v>
      </c>
      <c r="E1309" s="126">
        <f>IF(E$19=1,'Assumptions - Infrastructure'!$E$452*Calculations!E1308,0)</f>
        <v>0</v>
      </c>
      <c r="F1309" s="126">
        <f>IF(F$19=1,'Assumptions - Infrastructure'!$E$452*Calculations!F1308,0)</f>
        <v>0</v>
      </c>
      <c r="G1309" s="126">
        <f>IF(G$19=1,'Assumptions - Infrastructure'!$E$452*Calculations!G1308,0)</f>
        <v>0</v>
      </c>
      <c r="H1309" s="126">
        <f>IF(H$19=1,'Assumptions - Infrastructure'!$E$452*Calculations!H1308,0)</f>
        <v>0</v>
      </c>
      <c r="I1309" s="126">
        <f>IF(I$19=1,'Assumptions - Infrastructure'!$E$452*Calculations!I1308,0)</f>
        <v>0</v>
      </c>
      <c r="J1309" s="126">
        <f>IF(J$19=1,'Assumptions - Infrastructure'!$E$452*Calculations!J1308,0)</f>
        <v>0</v>
      </c>
      <c r="K1309" s="126">
        <f>IF(K$19=1,'Assumptions - Infrastructure'!$E$452*Calculations!K1308,0)</f>
        <v>0</v>
      </c>
      <c r="L1309" s="126">
        <f>IF(L$19=1,'Assumptions - Infrastructure'!$E$452*Calculations!L1308,0)</f>
        <v>0</v>
      </c>
      <c r="M1309" s="126">
        <f>IF(M$19=1,'Assumptions - Infrastructure'!$E$452*Calculations!M1308,0)</f>
        <v>0</v>
      </c>
      <c r="N1309" s="126">
        <f>IF(N$19=1,'Assumptions - Infrastructure'!$E$452*Calculations!N1308,0)</f>
        <v>0</v>
      </c>
      <c r="O1309" s="126">
        <f>IF(O$19=1,'Assumptions - Infrastructure'!$E$452*Calculations!O1308,0)</f>
        <v>0</v>
      </c>
      <c r="P1309" s="126">
        <f>IF(P$19=1,'Assumptions - Infrastructure'!$E$452*Calculations!P1308,0)</f>
        <v>0</v>
      </c>
      <c r="Q1309" s="126">
        <f>IF(Q$19=1,'Assumptions - Infrastructure'!$E$452*Calculations!Q1308,0)</f>
        <v>0</v>
      </c>
      <c r="R1309" s="126">
        <f>IF(R$19=1,'Assumptions - Infrastructure'!$E$452*Calculations!R1308,0)</f>
        <v>0</v>
      </c>
      <c r="S1309" s="126">
        <f>IF(S$19=1,'Assumptions - Infrastructure'!$E$452*Calculations!S1308,0)</f>
        <v>0</v>
      </c>
      <c r="T1309" s="126">
        <f>IF(T$19=1,'Assumptions - Infrastructure'!$E$452*Calculations!T1308,0)</f>
        <v>0</v>
      </c>
      <c r="U1309" s="126">
        <f>IF(U$19=1,'Assumptions - Infrastructure'!$E$452*Calculations!U1308,0)</f>
        <v>0</v>
      </c>
      <c r="V1309" s="126">
        <f>IF(V$19=1,'Assumptions - Infrastructure'!$E$452*Calculations!V1308,0)</f>
        <v>0</v>
      </c>
      <c r="W1309" s="126">
        <f>IF(W$19=1,'Assumptions - Infrastructure'!$E$452*Calculations!W1308,0)</f>
        <v>0</v>
      </c>
      <c r="X1309" s="126">
        <f>IF(X$19=1,'Assumptions - Infrastructure'!$E$452*Calculations!X1308,0)</f>
        <v>0</v>
      </c>
      <c r="Y1309" s="126">
        <f>IF(Y$19=1,'Assumptions - Infrastructure'!$E$452*Calculations!Y1308,0)</f>
        <v>0</v>
      </c>
      <c r="Z1309" s="126">
        <f>IF(Z$19=1,'Assumptions - Infrastructure'!$E$452*Calculations!Z1308,0)</f>
        <v>0</v>
      </c>
      <c r="AA1309" s="126">
        <f>IF(AA$19=1,'Assumptions - Infrastructure'!$E$452*Calculations!AA1308,0)</f>
        <v>0</v>
      </c>
      <c r="AB1309" s="126">
        <f>IF(AB$19=1,'Assumptions - Infrastructure'!$E$452*Calculations!AB1308,0)</f>
        <v>0</v>
      </c>
      <c r="AC1309" s="126">
        <f>IF(AC$19=1,'Assumptions - Infrastructure'!$E$452*Calculations!AC1308,0)</f>
        <v>0</v>
      </c>
      <c r="AD1309" s="126">
        <f>IF(AD$19=1,'Assumptions - Infrastructure'!$E$452*Calculations!AD1308,0)</f>
        <v>0</v>
      </c>
      <c r="AE1309" s="126">
        <f>IF(AE$19=1,'Assumptions - Infrastructure'!$E$452*Calculations!AE1308,0)</f>
        <v>0</v>
      </c>
      <c r="AF1309" s="126">
        <f>IF(AF$19=1,'Assumptions - Infrastructure'!$E$452*Calculations!AF1308,0)</f>
        <v>0</v>
      </c>
      <c r="AG1309" s="126">
        <f>IF(AG$19=1,'Assumptions - Infrastructure'!$E$452*Calculations!AG1308,0)</f>
        <v>0</v>
      </c>
      <c r="AH1309" s="126">
        <f>IF(AH$19=1,'Assumptions - Infrastructure'!$E$452*Calculations!AH1308,0)</f>
        <v>0</v>
      </c>
    </row>
    <row r="1310" spans="1:34" s="20" customFormat="1" ht="14" x14ac:dyDescent="0.2">
      <c r="A1310" s="8"/>
      <c r="B1310" s="8" t="s">
        <v>140</v>
      </c>
      <c r="C1310" s="8"/>
      <c r="D1310" s="8" t="str">
        <f t="shared" si="501"/>
        <v>R$ millions</v>
      </c>
      <c r="E1310" s="126">
        <f>E1298+E1306+E1307+E1309</f>
        <v>0</v>
      </c>
      <c r="F1310" s="126">
        <f t="shared" ref="F1310:AH1310" si="502">F1298+F1306+F1307+F1309</f>
        <v>0</v>
      </c>
      <c r="G1310" s="126">
        <f t="shared" si="502"/>
        <v>0.3735</v>
      </c>
      <c r="H1310" s="126">
        <f t="shared" si="502"/>
        <v>0.8909999999999999</v>
      </c>
      <c r="I1310" s="126">
        <f t="shared" si="502"/>
        <v>1.6575</v>
      </c>
      <c r="J1310" s="126">
        <f t="shared" si="502"/>
        <v>2.4780000000000002</v>
      </c>
      <c r="K1310" s="126">
        <f t="shared" si="502"/>
        <v>3.3210000000000002</v>
      </c>
      <c r="L1310" s="126">
        <f t="shared" si="502"/>
        <v>3.7850000000000001</v>
      </c>
      <c r="M1310" s="126">
        <f t="shared" si="502"/>
        <v>3.8850000000000002</v>
      </c>
      <c r="N1310" s="126">
        <f t="shared" si="502"/>
        <v>3.9550000000000001</v>
      </c>
      <c r="O1310" s="126">
        <f t="shared" si="502"/>
        <v>3.53</v>
      </c>
      <c r="P1310" s="126">
        <f t="shared" si="502"/>
        <v>3.5000000000000004</v>
      </c>
      <c r="Q1310" s="126">
        <f t="shared" si="502"/>
        <v>3.5000000000000004</v>
      </c>
      <c r="R1310" s="126">
        <f t="shared" si="502"/>
        <v>3.5000000000000004</v>
      </c>
      <c r="S1310" s="126">
        <f t="shared" si="502"/>
        <v>3.5000000000000004</v>
      </c>
      <c r="T1310" s="126">
        <f t="shared" si="502"/>
        <v>3.5000000000000004</v>
      </c>
      <c r="U1310" s="126">
        <f t="shared" si="502"/>
        <v>51.75</v>
      </c>
      <c r="V1310" s="126">
        <f t="shared" si="502"/>
        <v>0</v>
      </c>
      <c r="W1310" s="126">
        <f t="shared" si="502"/>
        <v>0</v>
      </c>
      <c r="X1310" s="126">
        <f t="shared" si="502"/>
        <v>0</v>
      </c>
      <c r="Y1310" s="126">
        <f t="shared" si="502"/>
        <v>0</v>
      </c>
      <c r="Z1310" s="126">
        <f t="shared" si="502"/>
        <v>0</v>
      </c>
      <c r="AA1310" s="126">
        <f t="shared" si="502"/>
        <v>0</v>
      </c>
      <c r="AB1310" s="126">
        <f t="shared" si="502"/>
        <v>0</v>
      </c>
      <c r="AC1310" s="126">
        <f t="shared" si="502"/>
        <v>0</v>
      </c>
      <c r="AD1310" s="126">
        <f t="shared" si="502"/>
        <v>0</v>
      </c>
      <c r="AE1310" s="126">
        <f t="shared" si="502"/>
        <v>0</v>
      </c>
      <c r="AF1310" s="126">
        <f t="shared" si="502"/>
        <v>0</v>
      </c>
      <c r="AG1310" s="126">
        <f t="shared" si="502"/>
        <v>0</v>
      </c>
      <c r="AH1310" s="126">
        <f t="shared" si="502"/>
        <v>0</v>
      </c>
    </row>
    <row r="1311" spans="1:34" s="20" customFormat="1" ht="14" x14ac:dyDescent="0.2">
      <c r="A1311" s="8"/>
      <c r="B1311" s="8"/>
      <c r="C1311" s="8"/>
      <c r="D1311" s="8"/>
      <c r="E1311" s="16"/>
      <c r="F1311" s="8"/>
      <c r="G1311" s="8"/>
      <c r="H1311" s="8"/>
      <c r="I1311" s="8"/>
      <c r="J1311" s="8"/>
      <c r="K1311" s="8"/>
      <c r="L1311" s="8"/>
      <c r="M1311" s="8"/>
      <c r="N1311" s="8"/>
      <c r="O1311" s="8"/>
      <c r="P1311" s="8"/>
      <c r="Q1311" s="8"/>
      <c r="R1311" s="8"/>
      <c r="S1311" s="8"/>
      <c r="T1311" s="8"/>
      <c r="U1311" s="8"/>
      <c r="V1311" s="8"/>
      <c r="W1311" s="8"/>
      <c r="X1311" s="8"/>
      <c r="Y1311" s="8"/>
      <c r="Z1311" s="8"/>
      <c r="AA1311" s="8"/>
      <c r="AB1311" s="8"/>
      <c r="AC1311" s="8"/>
      <c r="AD1311" s="8"/>
      <c r="AE1311" s="8"/>
      <c r="AF1311" s="8"/>
      <c r="AG1311" s="8"/>
      <c r="AH1311" s="8"/>
    </row>
    <row r="1312" spans="1:34" s="20" customFormat="1" ht="14" x14ac:dyDescent="0.2">
      <c r="A1312" s="8"/>
      <c r="B1312" s="21" t="str">
        <f>B1294</f>
        <v>New loan from International bank</v>
      </c>
      <c r="C1312" s="8"/>
      <c r="D1312" s="8"/>
      <c r="E1312" s="8"/>
      <c r="F1312" s="8"/>
      <c r="G1312" s="8"/>
      <c r="H1312" s="8"/>
      <c r="I1312" s="8"/>
      <c r="J1312" s="8"/>
      <c r="K1312" s="8"/>
      <c r="L1312" s="8"/>
      <c r="M1312" s="8"/>
      <c r="N1312" s="8"/>
      <c r="O1312" s="8"/>
      <c r="P1312" s="8"/>
      <c r="Q1312" s="8"/>
      <c r="R1312" s="8"/>
      <c r="S1312" s="8"/>
      <c r="T1312" s="8"/>
      <c r="U1312" s="8"/>
      <c r="V1312" s="8"/>
      <c r="W1312" s="8"/>
      <c r="X1312" s="8"/>
      <c r="Y1312" s="8"/>
      <c r="Z1312" s="8"/>
      <c r="AA1312" s="8"/>
      <c r="AB1312" s="8"/>
      <c r="AC1312" s="8"/>
      <c r="AD1312" s="8"/>
      <c r="AE1312" s="8"/>
      <c r="AF1312" s="8"/>
      <c r="AG1312" s="8"/>
      <c r="AH1312" s="8"/>
    </row>
    <row r="1313" spans="1:34" s="20" customFormat="1" ht="14" x14ac:dyDescent="0.2">
      <c r="A1313" s="8"/>
      <c r="B1313" s="8" t="s">
        <v>334</v>
      </c>
      <c r="C1313" s="8"/>
      <c r="D1313" s="8" t="str">
        <f>IF('Assumptions - Infrastructure'!$E$439=1,"Same as above",IF('Assumptions - Infrastructure'!$E$439=2,"Local currency/"&amp;'Assumptions - General'!$E$39,"Local currency/"&amp;'Assumptions - General'!$E$40))</f>
        <v>Same as above</v>
      </c>
      <c r="E1313" s="124">
        <f>IF('Assumptions - Infrastructure'!$E$439=1,1,IF('Assumptions - Infrastructure'!$E$439=2,'Assumptions - General'!E$41,'Assumptions - General'!E$42))</f>
        <v>1</v>
      </c>
      <c r="F1313" s="124">
        <f>IF('Assumptions - Infrastructure'!$E$439=1,1,IF('Assumptions - Infrastructure'!$E$439=2,'Assumptions - General'!F$41,'Assumptions - General'!F$42))</f>
        <v>1</v>
      </c>
      <c r="G1313" s="124">
        <f>IF('Assumptions - Infrastructure'!$E$439=1,1,IF('Assumptions - Infrastructure'!$E$439=2,'Assumptions - General'!G$41,'Assumptions - General'!G$42))</f>
        <v>1</v>
      </c>
      <c r="H1313" s="124">
        <f>IF('Assumptions - Infrastructure'!$E$439=1,1,IF('Assumptions - Infrastructure'!$E$439=2,'Assumptions - General'!H$41,'Assumptions - General'!H$42))</f>
        <v>1</v>
      </c>
      <c r="I1313" s="124">
        <f>IF('Assumptions - Infrastructure'!$E$439=1,1,IF('Assumptions - Infrastructure'!$E$439=2,'Assumptions - General'!I$41,'Assumptions - General'!I$42))</f>
        <v>1</v>
      </c>
      <c r="J1313" s="124">
        <f>IF('Assumptions - Infrastructure'!$E$439=1,1,IF('Assumptions - Infrastructure'!$E$439=2,'Assumptions - General'!J$41,'Assumptions - General'!J$42))</f>
        <v>1</v>
      </c>
      <c r="K1313" s="124">
        <f>IF('Assumptions - Infrastructure'!$E$439=1,1,IF('Assumptions - Infrastructure'!$E$439=2,'Assumptions - General'!K$41,'Assumptions - General'!K$42))</f>
        <v>1</v>
      </c>
      <c r="L1313" s="124">
        <f>IF('Assumptions - Infrastructure'!$E$439=1,1,IF('Assumptions - Infrastructure'!$E$439=2,'Assumptions - General'!L$41,'Assumptions - General'!L$42))</f>
        <v>1</v>
      </c>
      <c r="M1313" s="124">
        <f>IF('Assumptions - Infrastructure'!$E$439=1,1,IF('Assumptions - Infrastructure'!$E$439=2,'Assumptions - General'!M$41,'Assumptions - General'!M$42))</f>
        <v>1</v>
      </c>
      <c r="N1313" s="124">
        <f>IF('Assumptions - Infrastructure'!$E$439=1,1,IF('Assumptions - Infrastructure'!$E$439=2,'Assumptions - General'!N$41,'Assumptions - General'!N$42))</f>
        <v>1</v>
      </c>
      <c r="O1313" s="124">
        <f>IF('Assumptions - Infrastructure'!$E$439=1,1,IF('Assumptions - Infrastructure'!$E$439=2,'Assumptions - General'!O$41,'Assumptions - General'!O$42))</f>
        <v>1</v>
      </c>
      <c r="P1313" s="124">
        <f>IF('Assumptions - Infrastructure'!$E$439=1,1,IF('Assumptions - Infrastructure'!$E$439=2,'Assumptions - General'!P$41,'Assumptions - General'!P$42))</f>
        <v>1</v>
      </c>
      <c r="Q1313" s="124">
        <f>IF('Assumptions - Infrastructure'!$E$439=1,1,IF('Assumptions - Infrastructure'!$E$439=2,'Assumptions - General'!Q$41,'Assumptions - General'!Q$42))</f>
        <v>1</v>
      </c>
      <c r="R1313" s="124">
        <f>IF('Assumptions - Infrastructure'!$E$439=1,1,IF('Assumptions - Infrastructure'!$E$439=2,'Assumptions - General'!R$41,'Assumptions - General'!R$42))</f>
        <v>1</v>
      </c>
      <c r="S1313" s="124">
        <f>IF('Assumptions - Infrastructure'!$E$439=1,1,IF('Assumptions - Infrastructure'!$E$439=2,'Assumptions - General'!S$41,'Assumptions - General'!S$42))</f>
        <v>1</v>
      </c>
      <c r="T1313" s="124">
        <f>IF('Assumptions - Infrastructure'!$E$439=1,1,IF('Assumptions - Infrastructure'!$E$439=2,'Assumptions - General'!T$41,'Assumptions - General'!T$42))</f>
        <v>1</v>
      </c>
      <c r="U1313" s="124">
        <f>IF('Assumptions - Infrastructure'!$E$439=1,1,IF('Assumptions - Infrastructure'!$E$439=2,'Assumptions - General'!U$41,'Assumptions - General'!U$42))</f>
        <v>1</v>
      </c>
      <c r="V1313" s="124">
        <f>IF('Assumptions - Infrastructure'!$E$439=1,1,IF('Assumptions - Infrastructure'!$E$439=2,'Assumptions - General'!V$41,'Assumptions - General'!V$42))</f>
        <v>1</v>
      </c>
      <c r="W1313" s="124">
        <f>IF('Assumptions - Infrastructure'!$E$439=1,1,IF('Assumptions - Infrastructure'!$E$439=2,'Assumptions - General'!W$41,'Assumptions - General'!W$42))</f>
        <v>1</v>
      </c>
      <c r="X1313" s="124">
        <f>IF('Assumptions - Infrastructure'!$E$439=1,1,IF('Assumptions - Infrastructure'!$E$439=2,'Assumptions - General'!X$41,'Assumptions - General'!X$42))</f>
        <v>1</v>
      </c>
      <c r="Y1313" s="124">
        <f>IF('Assumptions - Infrastructure'!$E$439=1,1,IF('Assumptions - Infrastructure'!$E$439=2,'Assumptions - General'!Y$41,'Assumptions - General'!Y$42))</f>
        <v>1</v>
      </c>
      <c r="Z1313" s="124">
        <f>IF('Assumptions - Infrastructure'!$E$439=1,1,IF('Assumptions - Infrastructure'!$E$439=2,'Assumptions - General'!Z$41,'Assumptions - General'!Z$42))</f>
        <v>1</v>
      </c>
      <c r="AA1313" s="124">
        <f>IF('Assumptions - Infrastructure'!$E$439=1,1,IF('Assumptions - Infrastructure'!$E$439=2,'Assumptions - General'!AA$41,'Assumptions - General'!AA$42))</f>
        <v>1</v>
      </c>
      <c r="AB1313" s="124">
        <f>IF('Assumptions - Infrastructure'!$E$439=1,1,IF('Assumptions - Infrastructure'!$E$439=2,'Assumptions - General'!AB$41,'Assumptions - General'!AB$42))</f>
        <v>1</v>
      </c>
      <c r="AC1313" s="124">
        <f>IF('Assumptions - Infrastructure'!$E$439=1,1,IF('Assumptions - Infrastructure'!$E$439=2,'Assumptions - General'!AC$41,'Assumptions - General'!AC$42))</f>
        <v>1</v>
      </c>
      <c r="AD1313" s="124">
        <f>IF('Assumptions - Infrastructure'!$E$439=1,1,IF('Assumptions - Infrastructure'!$E$439=2,'Assumptions - General'!AD$41,'Assumptions - General'!AD$42))</f>
        <v>1</v>
      </c>
      <c r="AE1313" s="124">
        <f>IF('Assumptions - Infrastructure'!$E$439=1,1,IF('Assumptions - Infrastructure'!$E$439=2,'Assumptions - General'!AE$41,'Assumptions - General'!AE$42))</f>
        <v>1</v>
      </c>
      <c r="AF1313" s="124">
        <f>IF('Assumptions - Infrastructure'!$E$439=1,1,IF('Assumptions - Infrastructure'!$E$439=2,'Assumptions - General'!AF$41,'Assumptions - General'!AF$42))</f>
        <v>1</v>
      </c>
      <c r="AG1313" s="124">
        <f>IF('Assumptions - Infrastructure'!$E$439=1,1,IF('Assumptions - Infrastructure'!$E$439=2,'Assumptions - General'!AG$41,'Assumptions - General'!AG$42))</f>
        <v>1</v>
      </c>
      <c r="AH1313" s="124">
        <f>IF('Assumptions - Infrastructure'!$E$439=1,1,IF('Assumptions - Infrastructure'!$E$439=2,'Assumptions - General'!AH$41,'Assumptions - General'!AH$42))</f>
        <v>1</v>
      </c>
    </row>
    <row r="1314" spans="1:34" s="20" customFormat="1" ht="14" x14ac:dyDescent="0.2">
      <c r="A1314" s="8"/>
      <c r="B1314" s="8" t="s">
        <v>136</v>
      </c>
      <c r="C1314" s="8"/>
      <c r="D1314" s="8" t="str">
        <f>'Assumptions - General'!$E$27 &amp;" millions"</f>
        <v>R$ millions</v>
      </c>
      <c r="E1314" s="126">
        <f>E1297*E$1313</f>
        <v>0</v>
      </c>
      <c r="F1314" s="126">
        <f t="shared" ref="F1314:AH1314" si="503">F1297*F$1313</f>
        <v>0</v>
      </c>
      <c r="G1314" s="126">
        <f t="shared" si="503"/>
        <v>0</v>
      </c>
      <c r="H1314" s="126">
        <f t="shared" si="503"/>
        <v>10</v>
      </c>
      <c r="I1314" s="126">
        <f t="shared" si="503"/>
        <v>20</v>
      </c>
      <c r="J1314" s="126">
        <f t="shared" si="503"/>
        <v>30</v>
      </c>
      <c r="K1314" s="126">
        <f t="shared" si="503"/>
        <v>40</v>
      </c>
      <c r="L1314" s="126">
        <f t="shared" si="503"/>
        <v>50</v>
      </c>
      <c r="M1314" s="126">
        <f t="shared" si="503"/>
        <v>50</v>
      </c>
      <c r="N1314" s="126">
        <f t="shared" si="503"/>
        <v>50</v>
      </c>
      <c r="O1314" s="126">
        <f t="shared" si="503"/>
        <v>50</v>
      </c>
      <c r="P1314" s="126">
        <f t="shared" si="503"/>
        <v>50</v>
      </c>
      <c r="Q1314" s="126">
        <f t="shared" si="503"/>
        <v>50</v>
      </c>
      <c r="R1314" s="126">
        <f t="shared" si="503"/>
        <v>50</v>
      </c>
      <c r="S1314" s="126">
        <f t="shared" si="503"/>
        <v>50</v>
      </c>
      <c r="T1314" s="126">
        <f t="shared" si="503"/>
        <v>50</v>
      </c>
      <c r="U1314" s="126">
        <f t="shared" si="503"/>
        <v>50</v>
      </c>
      <c r="V1314" s="126">
        <f t="shared" si="503"/>
        <v>0</v>
      </c>
      <c r="W1314" s="126">
        <f t="shared" si="503"/>
        <v>0</v>
      </c>
      <c r="X1314" s="126">
        <f t="shared" si="503"/>
        <v>0</v>
      </c>
      <c r="Y1314" s="126">
        <f t="shared" si="503"/>
        <v>0</v>
      </c>
      <c r="Z1314" s="126">
        <f t="shared" si="503"/>
        <v>0</v>
      </c>
      <c r="AA1314" s="126">
        <f t="shared" si="503"/>
        <v>0</v>
      </c>
      <c r="AB1314" s="126">
        <f t="shared" si="503"/>
        <v>0</v>
      </c>
      <c r="AC1314" s="126">
        <f t="shared" si="503"/>
        <v>0</v>
      </c>
      <c r="AD1314" s="126">
        <f t="shared" si="503"/>
        <v>0</v>
      </c>
      <c r="AE1314" s="126">
        <f t="shared" si="503"/>
        <v>0</v>
      </c>
      <c r="AF1314" s="126">
        <f t="shared" si="503"/>
        <v>0</v>
      </c>
      <c r="AG1314" s="126">
        <f t="shared" si="503"/>
        <v>0</v>
      </c>
      <c r="AH1314" s="126">
        <f t="shared" si="503"/>
        <v>0</v>
      </c>
    </row>
    <row r="1315" spans="1:34" s="20" customFormat="1" ht="14" x14ac:dyDescent="0.2">
      <c r="A1315" s="8"/>
      <c r="B1315" s="8" t="s">
        <v>410</v>
      </c>
      <c r="C1315" s="8"/>
      <c r="D1315" s="8" t="str">
        <f>'Assumptions - General'!$E$27 &amp;" millions"</f>
        <v>R$ millions</v>
      </c>
      <c r="E1315" s="126">
        <f>E1298*E$1313</f>
        <v>0</v>
      </c>
      <c r="F1315" s="126">
        <f t="shared" ref="F1315:AH1315" si="504">F1298*F$1313</f>
        <v>0</v>
      </c>
      <c r="G1315" s="126">
        <f t="shared" si="504"/>
        <v>0</v>
      </c>
      <c r="H1315" s="126">
        <f t="shared" si="504"/>
        <v>0</v>
      </c>
      <c r="I1315" s="126">
        <f t="shared" si="504"/>
        <v>0</v>
      </c>
      <c r="J1315" s="126">
        <f t="shared" si="504"/>
        <v>0</v>
      </c>
      <c r="K1315" s="126">
        <f t="shared" si="504"/>
        <v>0</v>
      </c>
      <c r="L1315" s="126">
        <f t="shared" si="504"/>
        <v>0</v>
      </c>
      <c r="M1315" s="126">
        <f t="shared" si="504"/>
        <v>0</v>
      </c>
      <c r="N1315" s="126">
        <f t="shared" si="504"/>
        <v>0</v>
      </c>
      <c r="O1315" s="126">
        <f t="shared" si="504"/>
        <v>0</v>
      </c>
      <c r="P1315" s="126">
        <f t="shared" si="504"/>
        <v>0</v>
      </c>
      <c r="Q1315" s="126">
        <f t="shared" si="504"/>
        <v>0</v>
      </c>
      <c r="R1315" s="126">
        <f t="shared" si="504"/>
        <v>0</v>
      </c>
      <c r="S1315" s="126">
        <f t="shared" si="504"/>
        <v>0</v>
      </c>
      <c r="T1315" s="126">
        <f t="shared" si="504"/>
        <v>0</v>
      </c>
      <c r="U1315" s="126">
        <f t="shared" si="504"/>
        <v>50</v>
      </c>
      <c r="V1315" s="126">
        <f t="shared" si="504"/>
        <v>0</v>
      </c>
      <c r="W1315" s="126">
        <f t="shared" si="504"/>
        <v>0</v>
      </c>
      <c r="X1315" s="126">
        <f t="shared" si="504"/>
        <v>0</v>
      </c>
      <c r="Y1315" s="126">
        <f t="shared" si="504"/>
        <v>0</v>
      </c>
      <c r="Z1315" s="126">
        <f t="shared" si="504"/>
        <v>0</v>
      </c>
      <c r="AA1315" s="126">
        <f t="shared" si="504"/>
        <v>0</v>
      </c>
      <c r="AB1315" s="126">
        <f t="shared" si="504"/>
        <v>0</v>
      </c>
      <c r="AC1315" s="126">
        <f t="shared" si="504"/>
        <v>0</v>
      </c>
      <c r="AD1315" s="126">
        <f t="shared" si="504"/>
        <v>0</v>
      </c>
      <c r="AE1315" s="126">
        <f t="shared" si="504"/>
        <v>0</v>
      </c>
      <c r="AF1315" s="126">
        <f t="shared" si="504"/>
        <v>0</v>
      </c>
      <c r="AG1315" s="126">
        <f t="shared" si="504"/>
        <v>0</v>
      </c>
      <c r="AH1315" s="126">
        <f t="shared" si="504"/>
        <v>0</v>
      </c>
    </row>
    <row r="1316" spans="1:34" s="20" customFormat="1" ht="14" x14ac:dyDescent="0.2">
      <c r="A1316" s="8"/>
      <c r="B1316" s="8" t="s">
        <v>137</v>
      </c>
      <c r="C1316" s="8"/>
      <c r="D1316" s="8" t="str">
        <f>'Assumptions - General'!$E$27 &amp;" millions"</f>
        <v>R$ millions</v>
      </c>
      <c r="E1316" s="126">
        <f>E1304*E$1313</f>
        <v>0</v>
      </c>
      <c r="F1316" s="126">
        <f t="shared" ref="F1316:AH1316" si="505">F1304*F$1313</f>
        <v>0</v>
      </c>
      <c r="G1316" s="126">
        <f t="shared" si="505"/>
        <v>10</v>
      </c>
      <c r="H1316" s="126">
        <f t="shared" si="505"/>
        <v>10</v>
      </c>
      <c r="I1316" s="126">
        <f t="shared" si="505"/>
        <v>10</v>
      </c>
      <c r="J1316" s="126">
        <f t="shared" si="505"/>
        <v>10</v>
      </c>
      <c r="K1316" s="126">
        <f t="shared" si="505"/>
        <v>10</v>
      </c>
      <c r="L1316" s="126">
        <f t="shared" si="505"/>
        <v>0</v>
      </c>
      <c r="M1316" s="126">
        <f t="shared" si="505"/>
        <v>0</v>
      </c>
      <c r="N1316" s="126">
        <f t="shared" si="505"/>
        <v>0</v>
      </c>
      <c r="O1316" s="126">
        <f t="shared" si="505"/>
        <v>0</v>
      </c>
      <c r="P1316" s="126">
        <f t="shared" si="505"/>
        <v>0</v>
      </c>
      <c r="Q1316" s="126">
        <f t="shared" si="505"/>
        <v>0</v>
      </c>
      <c r="R1316" s="126">
        <f t="shared" si="505"/>
        <v>0</v>
      </c>
      <c r="S1316" s="126">
        <f t="shared" si="505"/>
        <v>0</v>
      </c>
      <c r="T1316" s="126">
        <f t="shared" si="505"/>
        <v>0</v>
      </c>
      <c r="U1316" s="126">
        <f t="shared" si="505"/>
        <v>0</v>
      </c>
      <c r="V1316" s="126">
        <f t="shared" si="505"/>
        <v>0</v>
      </c>
      <c r="W1316" s="126">
        <f t="shared" si="505"/>
        <v>0</v>
      </c>
      <c r="X1316" s="126">
        <f t="shared" si="505"/>
        <v>0</v>
      </c>
      <c r="Y1316" s="126">
        <f t="shared" si="505"/>
        <v>0</v>
      </c>
      <c r="Z1316" s="126">
        <f t="shared" si="505"/>
        <v>0</v>
      </c>
      <c r="AA1316" s="126">
        <f t="shared" si="505"/>
        <v>0</v>
      </c>
      <c r="AB1316" s="126">
        <f t="shared" si="505"/>
        <v>0</v>
      </c>
      <c r="AC1316" s="126">
        <f t="shared" si="505"/>
        <v>0</v>
      </c>
      <c r="AD1316" s="126">
        <f t="shared" si="505"/>
        <v>0</v>
      </c>
      <c r="AE1316" s="126">
        <f t="shared" si="505"/>
        <v>0</v>
      </c>
      <c r="AF1316" s="126">
        <f t="shared" si="505"/>
        <v>0</v>
      </c>
      <c r="AG1316" s="126">
        <f t="shared" si="505"/>
        <v>0</v>
      </c>
      <c r="AH1316" s="126">
        <f t="shared" si="505"/>
        <v>0</v>
      </c>
    </row>
    <row r="1317" spans="1:34" s="20" customFormat="1" ht="14" x14ac:dyDescent="0.2">
      <c r="A1317" s="8"/>
      <c r="B1317" s="8" t="s">
        <v>138</v>
      </c>
      <c r="C1317" s="8"/>
      <c r="D1317" s="8" t="str">
        <f>'Assumptions - General'!$E$27 &amp;" millions"</f>
        <v>R$ millions</v>
      </c>
      <c r="E1317" s="126">
        <f t="shared" ref="E1317:E1322" si="506">E1305*E$1313</f>
        <v>0</v>
      </c>
      <c r="F1317" s="126">
        <f t="shared" ref="F1317:AH1317" si="507">F1305*F$1313</f>
        <v>0</v>
      </c>
      <c r="G1317" s="126">
        <f t="shared" si="507"/>
        <v>10</v>
      </c>
      <c r="H1317" s="126">
        <f t="shared" si="507"/>
        <v>20</v>
      </c>
      <c r="I1317" s="126">
        <f t="shared" si="507"/>
        <v>30</v>
      </c>
      <c r="J1317" s="126">
        <f t="shared" si="507"/>
        <v>40</v>
      </c>
      <c r="K1317" s="126">
        <f t="shared" si="507"/>
        <v>50</v>
      </c>
      <c r="L1317" s="126">
        <f t="shared" si="507"/>
        <v>50</v>
      </c>
      <c r="M1317" s="126">
        <f t="shared" si="507"/>
        <v>50</v>
      </c>
      <c r="N1317" s="126">
        <f t="shared" si="507"/>
        <v>50</v>
      </c>
      <c r="O1317" s="126">
        <f t="shared" si="507"/>
        <v>50</v>
      </c>
      <c r="P1317" s="126">
        <f t="shared" si="507"/>
        <v>50</v>
      </c>
      <c r="Q1317" s="126">
        <f t="shared" si="507"/>
        <v>50</v>
      </c>
      <c r="R1317" s="126">
        <f t="shared" si="507"/>
        <v>50</v>
      </c>
      <c r="S1317" s="126">
        <f t="shared" si="507"/>
        <v>50</v>
      </c>
      <c r="T1317" s="126">
        <f t="shared" si="507"/>
        <v>50</v>
      </c>
      <c r="U1317" s="126">
        <f t="shared" si="507"/>
        <v>0</v>
      </c>
      <c r="V1317" s="126">
        <f t="shared" si="507"/>
        <v>0</v>
      </c>
      <c r="W1317" s="126">
        <f t="shared" si="507"/>
        <v>0</v>
      </c>
      <c r="X1317" s="126">
        <f t="shared" si="507"/>
        <v>0</v>
      </c>
      <c r="Y1317" s="126">
        <f t="shared" si="507"/>
        <v>0</v>
      </c>
      <c r="Z1317" s="126">
        <f t="shared" si="507"/>
        <v>0</v>
      </c>
      <c r="AA1317" s="126">
        <f t="shared" si="507"/>
        <v>0</v>
      </c>
      <c r="AB1317" s="126">
        <f t="shared" si="507"/>
        <v>0</v>
      </c>
      <c r="AC1317" s="126">
        <f t="shared" si="507"/>
        <v>0</v>
      </c>
      <c r="AD1317" s="126">
        <f t="shared" si="507"/>
        <v>0</v>
      </c>
      <c r="AE1317" s="126">
        <f t="shared" si="507"/>
        <v>0</v>
      </c>
      <c r="AF1317" s="126">
        <f t="shared" si="507"/>
        <v>0</v>
      </c>
      <c r="AG1317" s="126">
        <f t="shared" si="507"/>
        <v>0</v>
      </c>
      <c r="AH1317" s="126">
        <f t="shared" si="507"/>
        <v>0</v>
      </c>
    </row>
    <row r="1318" spans="1:34" s="20" customFormat="1" ht="14" x14ac:dyDescent="0.2">
      <c r="A1318" s="8"/>
      <c r="B1318" s="8" t="s">
        <v>139</v>
      </c>
      <c r="C1318" s="8"/>
      <c r="D1318" s="8" t="str">
        <f>'Assumptions - General'!$E$27 &amp;" millions"</f>
        <v>R$ millions</v>
      </c>
      <c r="E1318" s="126">
        <f t="shared" si="506"/>
        <v>0</v>
      </c>
      <c r="F1318" s="126">
        <f t="shared" ref="F1318:AH1318" si="508">F1306*F$1313</f>
        <v>0</v>
      </c>
      <c r="G1318" s="126">
        <f t="shared" si="508"/>
        <v>0.2485</v>
      </c>
      <c r="H1318" s="126">
        <f t="shared" si="508"/>
        <v>0.8909999999999999</v>
      </c>
      <c r="I1318" s="126">
        <f t="shared" si="508"/>
        <v>1.6575</v>
      </c>
      <c r="J1318" s="126">
        <f t="shared" si="508"/>
        <v>2.4780000000000002</v>
      </c>
      <c r="K1318" s="126">
        <f t="shared" si="508"/>
        <v>3.3210000000000002</v>
      </c>
      <c r="L1318" s="126">
        <f t="shared" si="508"/>
        <v>3.7850000000000001</v>
      </c>
      <c r="M1318" s="126">
        <f t="shared" si="508"/>
        <v>3.8850000000000002</v>
      </c>
      <c r="N1318" s="126">
        <f t="shared" si="508"/>
        <v>3.9550000000000001</v>
      </c>
      <c r="O1318" s="126">
        <f t="shared" si="508"/>
        <v>3.53</v>
      </c>
      <c r="P1318" s="126">
        <f t="shared" si="508"/>
        <v>3.5000000000000004</v>
      </c>
      <c r="Q1318" s="126">
        <f t="shared" si="508"/>
        <v>3.5000000000000004</v>
      </c>
      <c r="R1318" s="126">
        <f t="shared" si="508"/>
        <v>3.5000000000000004</v>
      </c>
      <c r="S1318" s="126">
        <f t="shared" si="508"/>
        <v>3.5000000000000004</v>
      </c>
      <c r="T1318" s="126">
        <f t="shared" si="508"/>
        <v>3.5000000000000004</v>
      </c>
      <c r="U1318" s="126">
        <f t="shared" si="508"/>
        <v>1.7500000000000002</v>
      </c>
      <c r="V1318" s="126">
        <f t="shared" si="508"/>
        <v>0</v>
      </c>
      <c r="W1318" s="126">
        <f t="shared" si="508"/>
        <v>0</v>
      </c>
      <c r="X1318" s="126">
        <f t="shared" si="508"/>
        <v>0</v>
      </c>
      <c r="Y1318" s="126">
        <f t="shared" si="508"/>
        <v>0</v>
      </c>
      <c r="Z1318" s="126">
        <f t="shared" si="508"/>
        <v>0</v>
      </c>
      <c r="AA1318" s="126">
        <f t="shared" si="508"/>
        <v>0</v>
      </c>
      <c r="AB1318" s="126">
        <f t="shared" si="508"/>
        <v>0</v>
      </c>
      <c r="AC1318" s="126">
        <f t="shared" si="508"/>
        <v>0</v>
      </c>
      <c r="AD1318" s="126">
        <f t="shared" si="508"/>
        <v>0</v>
      </c>
      <c r="AE1318" s="126">
        <f t="shared" si="508"/>
        <v>0</v>
      </c>
      <c r="AF1318" s="126">
        <f t="shared" si="508"/>
        <v>0</v>
      </c>
      <c r="AG1318" s="126">
        <f t="shared" si="508"/>
        <v>0</v>
      </c>
      <c r="AH1318" s="126">
        <f t="shared" si="508"/>
        <v>0</v>
      </c>
    </row>
    <row r="1319" spans="1:34" s="20" customFormat="1" ht="14" x14ac:dyDescent="0.2">
      <c r="A1319" s="8"/>
      <c r="B1319" s="8" t="s">
        <v>53</v>
      </c>
      <c r="C1319" s="8"/>
      <c r="D1319" s="8" t="str">
        <f>'Assumptions - General'!$E$27 &amp;" millions"</f>
        <v>R$ millions</v>
      </c>
      <c r="E1319" s="126">
        <f t="shared" si="506"/>
        <v>0</v>
      </c>
      <c r="F1319" s="126">
        <f t="shared" ref="F1319:AH1319" si="509">F1307*F$1313</f>
        <v>0</v>
      </c>
      <c r="G1319" s="126">
        <f t="shared" si="509"/>
        <v>0.125</v>
      </c>
      <c r="H1319" s="126">
        <f t="shared" si="509"/>
        <v>0</v>
      </c>
      <c r="I1319" s="126">
        <f t="shared" si="509"/>
        <v>0</v>
      </c>
      <c r="J1319" s="126">
        <f t="shared" si="509"/>
        <v>0</v>
      </c>
      <c r="K1319" s="126">
        <f t="shared" si="509"/>
        <v>0</v>
      </c>
      <c r="L1319" s="126">
        <f t="shared" si="509"/>
        <v>0</v>
      </c>
      <c r="M1319" s="126">
        <f t="shared" si="509"/>
        <v>0</v>
      </c>
      <c r="N1319" s="126">
        <f t="shared" si="509"/>
        <v>0</v>
      </c>
      <c r="O1319" s="126">
        <f t="shared" si="509"/>
        <v>0</v>
      </c>
      <c r="P1319" s="126">
        <f t="shared" si="509"/>
        <v>0</v>
      </c>
      <c r="Q1319" s="126">
        <f t="shared" si="509"/>
        <v>0</v>
      </c>
      <c r="R1319" s="126">
        <f t="shared" si="509"/>
        <v>0</v>
      </c>
      <c r="S1319" s="126">
        <f t="shared" si="509"/>
        <v>0</v>
      </c>
      <c r="T1319" s="126">
        <f t="shared" si="509"/>
        <v>0</v>
      </c>
      <c r="U1319" s="126">
        <f t="shared" si="509"/>
        <v>0</v>
      </c>
      <c r="V1319" s="126">
        <f t="shared" si="509"/>
        <v>0</v>
      </c>
      <c r="W1319" s="126">
        <f t="shared" si="509"/>
        <v>0</v>
      </c>
      <c r="X1319" s="126">
        <f t="shared" si="509"/>
        <v>0</v>
      </c>
      <c r="Y1319" s="126">
        <f t="shared" si="509"/>
        <v>0</v>
      </c>
      <c r="Z1319" s="126">
        <f t="shared" si="509"/>
        <v>0</v>
      </c>
      <c r="AA1319" s="126">
        <f t="shared" si="509"/>
        <v>0</v>
      </c>
      <c r="AB1319" s="126">
        <f t="shared" si="509"/>
        <v>0</v>
      </c>
      <c r="AC1319" s="126">
        <f t="shared" si="509"/>
        <v>0</v>
      </c>
      <c r="AD1319" s="126">
        <f t="shared" si="509"/>
        <v>0</v>
      </c>
      <c r="AE1319" s="126">
        <f t="shared" si="509"/>
        <v>0</v>
      </c>
      <c r="AF1319" s="126">
        <f t="shared" si="509"/>
        <v>0</v>
      </c>
      <c r="AG1319" s="126">
        <f t="shared" si="509"/>
        <v>0</v>
      </c>
      <c r="AH1319" s="126">
        <f t="shared" si="509"/>
        <v>0</v>
      </c>
    </row>
    <row r="1320" spans="1:34" s="20" customFormat="1" ht="14" x14ac:dyDescent="0.2">
      <c r="A1320" s="8"/>
      <c r="B1320" s="8" t="s">
        <v>142</v>
      </c>
      <c r="C1320" s="8"/>
      <c r="D1320" s="8" t="str">
        <f>'Assumptions - General'!$E$27 &amp;" millions"</f>
        <v>R$ millions</v>
      </c>
      <c r="E1320" s="126">
        <f t="shared" si="506"/>
        <v>0</v>
      </c>
      <c r="F1320" s="126">
        <f t="shared" ref="F1320:AH1320" si="510">F1308*F$1313</f>
        <v>0</v>
      </c>
      <c r="G1320" s="126">
        <f t="shared" si="510"/>
        <v>40</v>
      </c>
      <c r="H1320" s="126">
        <f t="shared" si="510"/>
        <v>30</v>
      </c>
      <c r="I1320" s="126">
        <f t="shared" si="510"/>
        <v>20</v>
      </c>
      <c r="J1320" s="126">
        <f t="shared" si="510"/>
        <v>10</v>
      </c>
      <c r="K1320" s="126">
        <f t="shared" si="510"/>
        <v>0</v>
      </c>
      <c r="L1320" s="126">
        <f t="shared" si="510"/>
        <v>0</v>
      </c>
      <c r="M1320" s="126">
        <f t="shared" si="510"/>
        <v>0</v>
      </c>
      <c r="N1320" s="126">
        <f t="shared" si="510"/>
        <v>0</v>
      </c>
      <c r="O1320" s="126">
        <f t="shared" si="510"/>
        <v>0</v>
      </c>
      <c r="P1320" s="126">
        <f t="shared" si="510"/>
        <v>0</v>
      </c>
      <c r="Q1320" s="126">
        <f t="shared" si="510"/>
        <v>0</v>
      </c>
      <c r="R1320" s="126">
        <f t="shared" si="510"/>
        <v>0</v>
      </c>
      <c r="S1320" s="126">
        <f t="shared" si="510"/>
        <v>0</v>
      </c>
      <c r="T1320" s="126">
        <f t="shared" si="510"/>
        <v>0</v>
      </c>
      <c r="U1320" s="126">
        <f t="shared" si="510"/>
        <v>0</v>
      </c>
      <c r="V1320" s="126">
        <f t="shared" si="510"/>
        <v>0</v>
      </c>
      <c r="W1320" s="126">
        <f t="shared" si="510"/>
        <v>0</v>
      </c>
      <c r="X1320" s="126">
        <f t="shared" si="510"/>
        <v>0</v>
      </c>
      <c r="Y1320" s="126">
        <f t="shared" si="510"/>
        <v>0</v>
      </c>
      <c r="Z1320" s="126">
        <f t="shared" si="510"/>
        <v>0</v>
      </c>
      <c r="AA1320" s="126">
        <f t="shared" si="510"/>
        <v>0</v>
      </c>
      <c r="AB1320" s="126">
        <f t="shared" si="510"/>
        <v>0</v>
      </c>
      <c r="AC1320" s="126">
        <f t="shared" si="510"/>
        <v>0</v>
      </c>
      <c r="AD1320" s="126">
        <f t="shared" si="510"/>
        <v>0</v>
      </c>
      <c r="AE1320" s="126">
        <f t="shared" si="510"/>
        <v>0</v>
      </c>
      <c r="AF1320" s="126">
        <f t="shared" si="510"/>
        <v>0</v>
      </c>
      <c r="AG1320" s="126">
        <f t="shared" si="510"/>
        <v>0</v>
      </c>
      <c r="AH1320" s="126">
        <f t="shared" si="510"/>
        <v>0</v>
      </c>
    </row>
    <row r="1321" spans="1:34" s="20" customFormat="1" ht="14" x14ac:dyDescent="0.2">
      <c r="A1321" s="8"/>
      <c r="B1321" s="8" t="s">
        <v>55</v>
      </c>
      <c r="C1321" s="8"/>
      <c r="D1321" s="8" t="str">
        <f>'Assumptions - General'!$E$27 &amp;" millions"</f>
        <v>R$ millions</v>
      </c>
      <c r="E1321" s="126">
        <f t="shared" si="506"/>
        <v>0</v>
      </c>
      <c r="F1321" s="126">
        <f t="shared" ref="F1321:AH1321" si="511">F1309*F$1313</f>
        <v>0</v>
      </c>
      <c r="G1321" s="126">
        <f t="shared" si="511"/>
        <v>0</v>
      </c>
      <c r="H1321" s="126">
        <f t="shared" si="511"/>
        <v>0</v>
      </c>
      <c r="I1321" s="126">
        <f t="shared" si="511"/>
        <v>0</v>
      </c>
      <c r="J1321" s="126">
        <f t="shared" si="511"/>
        <v>0</v>
      </c>
      <c r="K1321" s="126">
        <f t="shared" si="511"/>
        <v>0</v>
      </c>
      <c r="L1321" s="126">
        <f t="shared" si="511"/>
        <v>0</v>
      </c>
      <c r="M1321" s="126">
        <f t="shared" si="511"/>
        <v>0</v>
      </c>
      <c r="N1321" s="126">
        <f t="shared" si="511"/>
        <v>0</v>
      </c>
      <c r="O1321" s="126">
        <f t="shared" si="511"/>
        <v>0</v>
      </c>
      <c r="P1321" s="126">
        <f t="shared" si="511"/>
        <v>0</v>
      </c>
      <c r="Q1321" s="126">
        <f t="shared" si="511"/>
        <v>0</v>
      </c>
      <c r="R1321" s="126">
        <f t="shared" si="511"/>
        <v>0</v>
      </c>
      <c r="S1321" s="126">
        <f t="shared" si="511"/>
        <v>0</v>
      </c>
      <c r="T1321" s="126">
        <f t="shared" si="511"/>
        <v>0</v>
      </c>
      <c r="U1321" s="126">
        <f t="shared" si="511"/>
        <v>0</v>
      </c>
      <c r="V1321" s="126">
        <f t="shared" si="511"/>
        <v>0</v>
      </c>
      <c r="W1321" s="126">
        <f t="shared" si="511"/>
        <v>0</v>
      </c>
      <c r="X1321" s="126">
        <f t="shared" si="511"/>
        <v>0</v>
      </c>
      <c r="Y1321" s="126">
        <f t="shared" si="511"/>
        <v>0</v>
      </c>
      <c r="Z1321" s="126">
        <f t="shared" si="511"/>
        <v>0</v>
      </c>
      <c r="AA1321" s="126">
        <f t="shared" si="511"/>
        <v>0</v>
      </c>
      <c r="AB1321" s="126">
        <f t="shared" si="511"/>
        <v>0</v>
      </c>
      <c r="AC1321" s="126">
        <f t="shared" si="511"/>
        <v>0</v>
      </c>
      <c r="AD1321" s="126">
        <f t="shared" si="511"/>
        <v>0</v>
      </c>
      <c r="AE1321" s="126">
        <f t="shared" si="511"/>
        <v>0</v>
      </c>
      <c r="AF1321" s="126">
        <f t="shared" si="511"/>
        <v>0</v>
      </c>
      <c r="AG1321" s="126">
        <f t="shared" si="511"/>
        <v>0</v>
      </c>
      <c r="AH1321" s="126">
        <f t="shared" si="511"/>
        <v>0</v>
      </c>
    </row>
    <row r="1322" spans="1:34" s="20" customFormat="1" ht="14" x14ac:dyDescent="0.2">
      <c r="A1322" s="8"/>
      <c r="B1322" s="8" t="s">
        <v>140</v>
      </c>
      <c r="C1322" s="8"/>
      <c r="D1322" s="8" t="str">
        <f>'Assumptions - General'!$E$27 &amp;" millions"</f>
        <v>R$ millions</v>
      </c>
      <c r="E1322" s="126">
        <f t="shared" si="506"/>
        <v>0</v>
      </c>
      <c r="F1322" s="126">
        <f t="shared" ref="F1322:AH1322" si="512">F1310*F$1313</f>
        <v>0</v>
      </c>
      <c r="G1322" s="126">
        <f t="shared" si="512"/>
        <v>0.3735</v>
      </c>
      <c r="H1322" s="126">
        <f t="shared" si="512"/>
        <v>0.8909999999999999</v>
      </c>
      <c r="I1322" s="126">
        <f t="shared" si="512"/>
        <v>1.6575</v>
      </c>
      <c r="J1322" s="126">
        <f t="shared" si="512"/>
        <v>2.4780000000000002</v>
      </c>
      <c r="K1322" s="126">
        <f t="shared" si="512"/>
        <v>3.3210000000000002</v>
      </c>
      <c r="L1322" s="126">
        <f t="shared" si="512"/>
        <v>3.7850000000000001</v>
      </c>
      <c r="M1322" s="126">
        <f t="shared" si="512"/>
        <v>3.8850000000000002</v>
      </c>
      <c r="N1322" s="126">
        <f t="shared" si="512"/>
        <v>3.9550000000000001</v>
      </c>
      <c r="O1322" s="126">
        <f t="shared" si="512"/>
        <v>3.53</v>
      </c>
      <c r="P1322" s="126">
        <f t="shared" si="512"/>
        <v>3.5000000000000004</v>
      </c>
      <c r="Q1322" s="126">
        <f t="shared" si="512"/>
        <v>3.5000000000000004</v>
      </c>
      <c r="R1322" s="126">
        <f t="shared" si="512"/>
        <v>3.5000000000000004</v>
      </c>
      <c r="S1322" s="126">
        <f t="shared" si="512"/>
        <v>3.5000000000000004</v>
      </c>
      <c r="T1322" s="126">
        <f t="shared" si="512"/>
        <v>3.5000000000000004</v>
      </c>
      <c r="U1322" s="126">
        <f t="shared" si="512"/>
        <v>51.75</v>
      </c>
      <c r="V1322" s="126">
        <f t="shared" si="512"/>
        <v>0</v>
      </c>
      <c r="W1322" s="126">
        <f t="shared" si="512"/>
        <v>0</v>
      </c>
      <c r="X1322" s="126">
        <f t="shared" si="512"/>
        <v>0</v>
      </c>
      <c r="Y1322" s="126">
        <f t="shared" si="512"/>
        <v>0</v>
      </c>
      <c r="Z1322" s="126">
        <f t="shared" si="512"/>
        <v>0</v>
      </c>
      <c r="AA1322" s="126">
        <f t="shared" si="512"/>
        <v>0</v>
      </c>
      <c r="AB1322" s="126">
        <f t="shared" si="512"/>
        <v>0</v>
      </c>
      <c r="AC1322" s="126">
        <f t="shared" si="512"/>
        <v>0</v>
      </c>
      <c r="AD1322" s="126">
        <f t="shared" si="512"/>
        <v>0</v>
      </c>
      <c r="AE1322" s="126">
        <f t="shared" si="512"/>
        <v>0</v>
      </c>
      <c r="AF1322" s="126">
        <f t="shared" si="512"/>
        <v>0</v>
      </c>
      <c r="AG1322" s="126">
        <f t="shared" si="512"/>
        <v>0</v>
      </c>
      <c r="AH1322" s="126">
        <f t="shared" si="512"/>
        <v>0</v>
      </c>
    </row>
    <row r="1323" spans="1:34" s="20" customFormat="1" ht="14" x14ac:dyDescent="0.2">
      <c r="A1323" s="8"/>
      <c r="B1323" s="8"/>
      <c r="C1323" s="8"/>
      <c r="D1323" s="8"/>
      <c r="E1323" s="126"/>
      <c r="F1323" s="126"/>
      <c r="G1323" s="126"/>
      <c r="H1323" s="126"/>
      <c r="I1323" s="126"/>
      <c r="J1323" s="126"/>
      <c r="K1323" s="126"/>
      <c r="L1323" s="126"/>
      <c r="M1323" s="126"/>
      <c r="N1323" s="126"/>
      <c r="O1323" s="126"/>
      <c r="P1323" s="126"/>
      <c r="Q1323" s="126"/>
      <c r="R1323" s="126"/>
      <c r="S1323" s="126"/>
      <c r="T1323" s="126"/>
      <c r="U1323" s="126"/>
      <c r="V1323" s="126"/>
      <c r="W1323" s="126"/>
      <c r="X1323" s="126"/>
      <c r="Y1323" s="126"/>
      <c r="Z1323" s="126"/>
      <c r="AA1323" s="126"/>
      <c r="AB1323" s="126"/>
      <c r="AC1323" s="126"/>
      <c r="AD1323" s="126"/>
      <c r="AE1323" s="126"/>
      <c r="AF1323" s="126"/>
      <c r="AG1323" s="126"/>
      <c r="AH1323" s="126"/>
    </row>
    <row r="1324" spans="1:34" s="20" customFormat="1" ht="14" x14ac:dyDescent="0.2">
      <c r="A1324" s="8"/>
      <c r="B1324" s="21" t="str">
        <f>"New loan from " &amp; 'Assumptions - Infrastructure'!E455</f>
        <v>New loan from Multilateral bank</v>
      </c>
      <c r="C1324" s="8"/>
      <c r="D1324" s="8"/>
      <c r="E1324" s="8"/>
      <c r="F1324" s="8"/>
      <c r="G1324" s="8"/>
      <c r="H1324" s="8"/>
      <c r="I1324" s="8"/>
      <c r="J1324" s="8"/>
      <c r="K1324" s="8"/>
      <c r="L1324" s="8"/>
      <c r="M1324" s="8"/>
      <c r="N1324" s="8"/>
      <c r="O1324" s="8"/>
      <c r="P1324" s="8"/>
      <c r="Q1324" s="8"/>
      <c r="R1324" s="8"/>
      <c r="S1324" s="8"/>
      <c r="T1324" s="8"/>
      <c r="U1324" s="8"/>
      <c r="V1324" s="8"/>
      <c r="W1324" s="8"/>
      <c r="X1324" s="8"/>
      <c r="Y1324" s="8"/>
      <c r="Z1324" s="8"/>
      <c r="AA1324" s="8"/>
      <c r="AB1324" s="8"/>
      <c r="AC1324" s="8"/>
      <c r="AD1324" s="8"/>
      <c r="AE1324" s="8"/>
      <c r="AF1324" s="8"/>
      <c r="AG1324" s="8"/>
      <c r="AH1324" s="8"/>
    </row>
    <row r="1325" spans="1:34" s="20" customFormat="1" ht="14" x14ac:dyDescent="0.2">
      <c r="A1325" s="8"/>
      <c r="B1325" s="8" t="s">
        <v>293</v>
      </c>
      <c r="C1325" s="8"/>
      <c r="D1325" s="8" t="s">
        <v>99</v>
      </c>
      <c r="E1325" s="8"/>
      <c r="F1325" s="8">
        <f>IF('Assumptions - Infrastructure'!$E$459&lt;&gt;0,IF(F$4&lt;'Assumptions - Infrastructure'!$E$438+'Assumptions - Infrastructure'!$E$448,0,E1325+1),0)</f>
        <v>0</v>
      </c>
      <c r="G1325" s="8">
        <f>IF('Assumptions - Infrastructure'!$E$459&lt;&gt;0,IF(G$4&lt;'Assumptions - Infrastructure'!$E$438+'Assumptions - Infrastructure'!$E$448,0,F1325+1),0)</f>
        <v>0</v>
      </c>
      <c r="H1325" s="8">
        <f>IF('Assumptions - Infrastructure'!$E$459&lt;&gt;0,IF(H$4&lt;'Assumptions - Infrastructure'!$E$438+'Assumptions - Infrastructure'!$E$448,0,G1325+1),0)</f>
        <v>0</v>
      </c>
      <c r="I1325" s="8">
        <f>IF('Assumptions - Infrastructure'!$E$459&lt;&gt;0,IF(I$4&lt;'Assumptions - Infrastructure'!$E$438+'Assumptions - Infrastructure'!$E$448,0,H1325+1),0)</f>
        <v>0</v>
      </c>
      <c r="J1325" s="8">
        <f>IF('Assumptions - Infrastructure'!$E$459&lt;&gt;0,IF(J$4&lt;'Assumptions - Infrastructure'!$E$438+'Assumptions - Infrastructure'!$E$448,0,I1325+1),0)</f>
        <v>0</v>
      </c>
      <c r="K1325" s="8">
        <f>IF('Assumptions - Infrastructure'!$E$459&lt;&gt;0,IF(K$4&lt;'Assumptions - Infrastructure'!$E$438+'Assumptions - Infrastructure'!$E$448,0,J1325+1),0)</f>
        <v>0</v>
      </c>
      <c r="L1325" s="8">
        <f>IF('Assumptions - Infrastructure'!$E$459&lt;&gt;0,IF(L$4&lt;'Assumptions - Infrastructure'!$E$438+'Assumptions - Infrastructure'!$E$448,0,K1325+1),0)</f>
        <v>1</v>
      </c>
      <c r="M1325" s="8">
        <f>IF('Assumptions - Infrastructure'!$E$459&lt;&gt;0,IF(M$4&lt;'Assumptions - Infrastructure'!$E$438+'Assumptions - Infrastructure'!$E$448,0,L1325+1),0)</f>
        <v>2</v>
      </c>
      <c r="N1325" s="8">
        <f>IF('Assumptions - Infrastructure'!$E$459&lt;&gt;0,IF(N$4&lt;'Assumptions - Infrastructure'!$E$438+'Assumptions - Infrastructure'!$E$448,0,M1325+1),0)</f>
        <v>3</v>
      </c>
      <c r="O1325" s="8">
        <f>IF('Assumptions - Infrastructure'!$E$459&lt;&gt;0,IF(O$4&lt;'Assumptions - Infrastructure'!$E$438+'Assumptions - Infrastructure'!$E$448,0,N1325+1),0)</f>
        <v>4</v>
      </c>
      <c r="P1325" s="8">
        <f>IF('Assumptions - Infrastructure'!$E$459&lt;&gt;0,IF(P$4&lt;'Assumptions - Infrastructure'!$E$438+'Assumptions - Infrastructure'!$E$448,0,O1325+1),0)</f>
        <v>5</v>
      </c>
      <c r="Q1325" s="8">
        <f>IF('Assumptions - Infrastructure'!$E$459&lt;&gt;0,IF(Q$4&lt;'Assumptions - Infrastructure'!$E$438+'Assumptions - Infrastructure'!$E$448,0,P1325+1),0)</f>
        <v>6</v>
      </c>
      <c r="R1325" s="8">
        <f>IF('Assumptions - Infrastructure'!$E$459&lt;&gt;0,IF(R$4&lt;'Assumptions - Infrastructure'!$E$438+'Assumptions - Infrastructure'!$E$448,0,Q1325+1),0)</f>
        <v>7</v>
      </c>
      <c r="S1325" s="8">
        <f>IF('Assumptions - Infrastructure'!$E$459&lt;&gt;0,IF(S$4&lt;'Assumptions - Infrastructure'!$E$438+'Assumptions - Infrastructure'!$E$448,0,R1325+1),0)</f>
        <v>8</v>
      </c>
      <c r="T1325" s="8">
        <f>IF('Assumptions - Infrastructure'!$E$459&lt;&gt;0,IF(T$4&lt;'Assumptions - Infrastructure'!$E$438+'Assumptions - Infrastructure'!$E$448,0,S1325+1),0)</f>
        <v>9</v>
      </c>
      <c r="U1325" s="8">
        <f>IF('Assumptions - Infrastructure'!$E$459&lt;&gt;0,IF(U$4&lt;'Assumptions - Infrastructure'!$E$438+'Assumptions - Infrastructure'!$E$448,0,T1325+1),0)</f>
        <v>10</v>
      </c>
      <c r="V1325" s="8">
        <f>IF('Assumptions - Infrastructure'!$E$459&lt;&gt;0,IF(V$4&lt;'Assumptions - Infrastructure'!$E$438+'Assumptions - Infrastructure'!$E$448,0,U1325+1),0)</f>
        <v>11</v>
      </c>
      <c r="W1325" s="8">
        <f>IF('Assumptions - Infrastructure'!$E$459&lt;&gt;0,IF(W$4&lt;'Assumptions - Infrastructure'!$E$438+'Assumptions - Infrastructure'!$E$448,0,V1325+1),0)</f>
        <v>12</v>
      </c>
      <c r="X1325" s="8">
        <f>IF('Assumptions - Infrastructure'!$E$459&lt;&gt;0,IF(X$4&lt;'Assumptions - Infrastructure'!$E$438+'Assumptions - Infrastructure'!$E$448,0,W1325+1),0)</f>
        <v>13</v>
      </c>
      <c r="Y1325" s="8">
        <f>IF('Assumptions - Infrastructure'!$E$459&lt;&gt;0,IF(Y$4&lt;'Assumptions - Infrastructure'!$E$438+'Assumptions - Infrastructure'!$E$448,0,X1325+1),0)</f>
        <v>14</v>
      </c>
      <c r="Z1325" s="8">
        <f>IF('Assumptions - Infrastructure'!$E$459&lt;&gt;0,IF(Z$4&lt;'Assumptions - Infrastructure'!$E$438+'Assumptions - Infrastructure'!$E$448,0,Y1325+1),0)</f>
        <v>15</v>
      </c>
      <c r="AA1325" s="8">
        <f>IF('Assumptions - Infrastructure'!$E$459&lt;&gt;0,IF(AA$4&lt;'Assumptions - Infrastructure'!$E$438+'Assumptions - Infrastructure'!$E$448,0,Z1325+1),0)</f>
        <v>16</v>
      </c>
      <c r="AB1325" s="8">
        <f>IF('Assumptions - Infrastructure'!$E$459&lt;&gt;0,IF(AB$4&lt;'Assumptions - Infrastructure'!$E$438+'Assumptions - Infrastructure'!$E$448,0,AA1325+1),0)</f>
        <v>17</v>
      </c>
      <c r="AC1325" s="8">
        <f>IF('Assumptions - Infrastructure'!$E$459&lt;&gt;0,IF(AC$4&lt;'Assumptions - Infrastructure'!$E$438+'Assumptions - Infrastructure'!$E$448,0,AB1325+1),0)</f>
        <v>18</v>
      </c>
      <c r="AD1325" s="8">
        <f>IF('Assumptions - Infrastructure'!$E$459&lt;&gt;0,IF(AD$4&lt;'Assumptions - Infrastructure'!$E$438+'Assumptions - Infrastructure'!$E$448,0,AC1325+1),0)</f>
        <v>19</v>
      </c>
      <c r="AE1325" s="8">
        <f>IF('Assumptions - Infrastructure'!$E$459&lt;&gt;0,IF(AE$4&lt;'Assumptions - Infrastructure'!$E$438+'Assumptions - Infrastructure'!$E$448,0,AD1325+1),0)</f>
        <v>20</v>
      </c>
      <c r="AF1325" s="8">
        <f>IF('Assumptions - Infrastructure'!$E$459&lt;&gt;0,IF(AF$4&lt;'Assumptions - Infrastructure'!$E$438+'Assumptions - Infrastructure'!$E$448,0,AE1325+1),0)</f>
        <v>21</v>
      </c>
      <c r="AG1325" s="8">
        <f>IF('Assumptions - Infrastructure'!$E$459&lt;&gt;0,IF(AG$4&lt;'Assumptions - Infrastructure'!$E$438+'Assumptions - Infrastructure'!$E$448,0,AF1325+1),0)</f>
        <v>22</v>
      </c>
      <c r="AH1325" s="8">
        <f>IF('Assumptions - Infrastructure'!$E$459&lt;&gt;0,IF(AH$4&lt;'Assumptions - Infrastructure'!$E$438+'Assumptions - Infrastructure'!$E$448,0,AG1325+1),0)</f>
        <v>23</v>
      </c>
    </row>
    <row r="1326" spans="1:34" s="20" customFormat="1" ht="14" x14ac:dyDescent="0.2">
      <c r="A1326" s="8"/>
      <c r="B1326" s="8" t="s">
        <v>135</v>
      </c>
      <c r="C1326" s="8"/>
      <c r="D1326" s="8" t="s">
        <v>15</v>
      </c>
      <c r="E1326" s="47">
        <f>IF(E$19=1,IF('Assumptions - Infrastructure'!$E461=1,'Assumptions - Infrastructure'!$E463,'Assumptions - General'!E$38+'Assumptions - Infrastructure'!$E464),0)</f>
        <v>2.4E-2</v>
      </c>
      <c r="F1326" s="47">
        <f>IF(F$19=1,IF('Assumptions - Infrastructure'!$E461=1,'Assumptions - Infrastructure'!$E463,'Assumptions - General'!F$38+'Assumptions - Infrastructure'!$E464),0)</f>
        <v>3.6299999999999999E-2</v>
      </c>
      <c r="G1326" s="47">
        <f>IF(G$19=1,IF('Assumptions - Infrastructure'!$E461=1,'Assumptions - Infrastructure'!$E463,'Assumptions - General'!G$38+'Assumptions - Infrastructure'!$E464),0)</f>
        <v>4.9700000000000001E-2</v>
      </c>
      <c r="H1326" s="47">
        <f>IF(H$19=1,IF('Assumptions - Infrastructure'!$E461=1,'Assumptions - Infrastructure'!$E463,'Assumptions - General'!H$38+'Assumptions - Infrastructure'!$E464),0)</f>
        <v>5.9399999999999994E-2</v>
      </c>
      <c r="I1326" s="47">
        <f>IF(I$19=1,IF('Assumptions - Infrastructure'!$E461=1,'Assumptions - Infrastructure'!$E463,'Assumptions - General'!I$38+'Assumptions - Infrastructure'!$E464),0)</f>
        <v>6.6299999999999998E-2</v>
      </c>
      <c r="J1326" s="47">
        <f>IF(J$19=1,IF('Assumptions - Infrastructure'!$E461=1,'Assumptions - Infrastructure'!$E463,'Assumptions - General'!J$38+'Assumptions - Infrastructure'!$E464),0)</f>
        <v>7.0800000000000002E-2</v>
      </c>
      <c r="K1326" s="47">
        <f>IF(K$19=1,IF('Assumptions - Infrastructure'!$E461=1,'Assumptions - Infrastructure'!$E463,'Assumptions - General'!K$38+'Assumptions - Infrastructure'!$E464),0)</f>
        <v>7.3800000000000004E-2</v>
      </c>
      <c r="L1326" s="47">
        <f>IF(L$19=1,IF('Assumptions - Infrastructure'!$E461=1,'Assumptions - Infrastructure'!$E463,'Assumptions - General'!L$38+'Assumptions - Infrastructure'!$E464),0)</f>
        <v>7.5700000000000003E-2</v>
      </c>
      <c r="M1326" s="47">
        <f>IF(M$19=1,IF('Assumptions - Infrastructure'!$E461=1,'Assumptions - Infrastructure'!$E463,'Assumptions - General'!M$38+'Assumptions - Infrastructure'!$E464),0)</f>
        <v>7.7700000000000005E-2</v>
      </c>
      <c r="N1326" s="47">
        <f>IF(N$19=1,IF('Assumptions - Infrastructure'!$E461=1,'Assumptions - Infrastructure'!$E463,'Assumptions - General'!N$38+'Assumptions - Infrastructure'!$E464),0)</f>
        <v>7.9100000000000004E-2</v>
      </c>
      <c r="O1326" s="47">
        <f>IF(O$19=1,IF('Assumptions - Infrastructure'!$E461=1,'Assumptions - Infrastructure'!$E463,'Assumptions - General'!O$38+'Assumptions - Infrastructure'!$E464),0)</f>
        <v>7.0599999999999996E-2</v>
      </c>
      <c r="P1326" s="47">
        <f>IF(P$19=1,IF('Assumptions - Infrastructure'!$E461=1,'Assumptions - Infrastructure'!$E463,'Assumptions - General'!P$38+'Assumptions - Infrastructure'!$E464),0)</f>
        <v>7.0000000000000007E-2</v>
      </c>
      <c r="Q1326" s="47">
        <f>IF(Q$19=1,IF('Assumptions - Infrastructure'!$E461=1,'Assumptions - Infrastructure'!$E463,'Assumptions - General'!Q$38+'Assumptions - Infrastructure'!$E464),0)</f>
        <v>7.0000000000000007E-2</v>
      </c>
      <c r="R1326" s="47">
        <f>IF(R$19=1,IF('Assumptions - Infrastructure'!$E461=1,'Assumptions - Infrastructure'!$E463,'Assumptions - General'!R$38+'Assumptions - Infrastructure'!$E464),0)</f>
        <v>7.0000000000000007E-2</v>
      </c>
      <c r="S1326" s="47">
        <f>IF(S$19=1,IF('Assumptions - Infrastructure'!$E461=1,'Assumptions - Infrastructure'!$E463,'Assumptions - General'!S$38+'Assumptions - Infrastructure'!$E464),0)</f>
        <v>7.0000000000000007E-2</v>
      </c>
      <c r="T1326" s="47">
        <f>IF(T$19=1,IF('Assumptions - Infrastructure'!$E461=1,'Assumptions - Infrastructure'!$E463,'Assumptions - General'!T$38+'Assumptions - Infrastructure'!$E464),0)</f>
        <v>7.0000000000000007E-2</v>
      </c>
      <c r="U1326" s="47">
        <f>IF(U$19=1,IF('Assumptions - Infrastructure'!$E461=1,'Assumptions - Infrastructure'!$E463,'Assumptions - General'!U$38+'Assumptions - Infrastructure'!$E464),0)</f>
        <v>7.0000000000000007E-2</v>
      </c>
      <c r="V1326" s="47">
        <f>IF(V$19=1,IF('Assumptions - Infrastructure'!$E461=1,'Assumptions - Infrastructure'!$E463,'Assumptions - General'!V$38+'Assumptions - Infrastructure'!$E464),0)</f>
        <v>7.0000000000000007E-2</v>
      </c>
      <c r="W1326" s="47">
        <f>IF(W$19=1,IF('Assumptions - Infrastructure'!$E461=1,'Assumptions - Infrastructure'!$E463,'Assumptions - General'!W$38+'Assumptions - Infrastructure'!$E464),0)</f>
        <v>7.0000000000000007E-2</v>
      </c>
      <c r="X1326" s="47">
        <f>IF(X$19=1,IF('Assumptions - Infrastructure'!$E461=1,'Assumptions - Infrastructure'!$E463,'Assumptions - General'!X$38+'Assumptions - Infrastructure'!$E464),0)</f>
        <v>7.0000000000000007E-2</v>
      </c>
      <c r="Y1326" s="47">
        <f>IF(Y$19=1,IF('Assumptions - Infrastructure'!$E461=1,'Assumptions - Infrastructure'!$E463,'Assumptions - General'!Y$38+'Assumptions - Infrastructure'!$E464),0)</f>
        <v>7.0000000000000007E-2</v>
      </c>
      <c r="Z1326" s="47">
        <f>IF(Z$19=1,IF('Assumptions - Infrastructure'!$E461=1,'Assumptions - Infrastructure'!$E463,'Assumptions - General'!Z$38+'Assumptions - Infrastructure'!$E464),0)</f>
        <v>7.0000000000000007E-2</v>
      </c>
      <c r="AA1326" s="47">
        <f>IF(AA$19=1,IF('Assumptions - Infrastructure'!$E461=1,'Assumptions - Infrastructure'!$E463,'Assumptions - General'!AA$38+'Assumptions - Infrastructure'!$E464),0)</f>
        <v>7.0000000000000007E-2</v>
      </c>
      <c r="AB1326" s="47">
        <f>IF(AB$19=1,IF('Assumptions - Infrastructure'!$E461=1,'Assumptions - Infrastructure'!$E463,'Assumptions - General'!AB$38+'Assumptions - Infrastructure'!$E464),0)</f>
        <v>7.0000000000000007E-2</v>
      </c>
      <c r="AC1326" s="47">
        <f>IF(AC$19=1,IF('Assumptions - Infrastructure'!$E461=1,'Assumptions - Infrastructure'!$E463,'Assumptions - General'!AC$38+'Assumptions - Infrastructure'!$E464),0)</f>
        <v>7.0000000000000007E-2</v>
      </c>
      <c r="AD1326" s="47">
        <f>IF(AD$19=1,IF('Assumptions - Infrastructure'!$E461=1,'Assumptions - Infrastructure'!$E463,'Assumptions - General'!AD$38+'Assumptions - Infrastructure'!$E464),0)</f>
        <v>7.0000000000000007E-2</v>
      </c>
      <c r="AE1326" s="47">
        <f>IF(AE$19=1,IF('Assumptions - Infrastructure'!$E461=1,'Assumptions - Infrastructure'!$E463,'Assumptions - General'!AE$38+'Assumptions - Infrastructure'!$E464),0)</f>
        <v>7.0000000000000007E-2</v>
      </c>
      <c r="AF1326" s="47">
        <f>IF(AF$19=1,IF('Assumptions - Infrastructure'!$E461=1,'Assumptions - Infrastructure'!$E463,'Assumptions - General'!AF$38+'Assumptions - Infrastructure'!$E464),0)</f>
        <v>7.0000000000000007E-2</v>
      </c>
      <c r="AG1326" s="47">
        <f>IF(AG$19=1,IF('Assumptions - Infrastructure'!$E461=1,'Assumptions - Infrastructure'!$E463,'Assumptions - General'!AG$38+'Assumptions - Infrastructure'!$E464),0)</f>
        <v>7.0000000000000007E-2</v>
      </c>
      <c r="AH1326" s="47">
        <f>IF(AH$19=1,IF('Assumptions - Infrastructure'!$E461=1,'Assumptions - Infrastructure'!$E463,'Assumptions - General'!AH$38+'Assumptions - Infrastructure'!$E464),0)</f>
        <v>7.0000000000000007E-2</v>
      </c>
    </row>
    <row r="1327" spans="1:34" s="20" customFormat="1" ht="14" x14ac:dyDescent="0.2">
      <c r="A1327" s="8"/>
      <c r="B1327" s="8" t="s">
        <v>136</v>
      </c>
      <c r="C1327" s="8"/>
      <c r="D1327" s="8" t="str">
        <f>'Assumptions - Infrastructure'!D459</f>
        <v>R$ millions</v>
      </c>
      <c r="E1327" s="468">
        <v>0</v>
      </c>
      <c r="F1327" s="126">
        <f t="shared" ref="F1327:AH1327" si="513">E1335</f>
        <v>0</v>
      </c>
      <c r="G1327" s="126">
        <f t="shared" si="513"/>
        <v>0</v>
      </c>
      <c r="H1327" s="126">
        <f t="shared" si="513"/>
        <v>10</v>
      </c>
      <c r="I1327" s="126">
        <f t="shared" si="513"/>
        <v>20</v>
      </c>
      <c r="J1327" s="126">
        <f t="shared" si="513"/>
        <v>30</v>
      </c>
      <c r="K1327" s="126">
        <f t="shared" si="513"/>
        <v>40</v>
      </c>
      <c r="L1327" s="126">
        <f t="shared" si="513"/>
        <v>50</v>
      </c>
      <c r="M1327" s="126">
        <f t="shared" si="513"/>
        <v>50</v>
      </c>
      <c r="N1327" s="126">
        <f t="shared" si="513"/>
        <v>50</v>
      </c>
      <c r="O1327" s="126">
        <f t="shared" si="513"/>
        <v>50</v>
      </c>
      <c r="P1327" s="126">
        <f t="shared" si="513"/>
        <v>50</v>
      </c>
      <c r="Q1327" s="126">
        <f t="shared" si="513"/>
        <v>50</v>
      </c>
      <c r="R1327" s="126">
        <f t="shared" si="513"/>
        <v>50</v>
      </c>
      <c r="S1327" s="126">
        <f t="shared" si="513"/>
        <v>50</v>
      </c>
      <c r="T1327" s="126">
        <f t="shared" si="513"/>
        <v>50</v>
      </c>
      <c r="U1327" s="126">
        <f t="shared" si="513"/>
        <v>50</v>
      </c>
      <c r="V1327" s="126">
        <f t="shared" si="513"/>
        <v>0</v>
      </c>
      <c r="W1327" s="126">
        <f t="shared" si="513"/>
        <v>0</v>
      </c>
      <c r="X1327" s="126">
        <f t="shared" si="513"/>
        <v>0</v>
      </c>
      <c r="Y1327" s="126">
        <f t="shared" si="513"/>
        <v>0</v>
      </c>
      <c r="Z1327" s="126">
        <f t="shared" si="513"/>
        <v>0</v>
      </c>
      <c r="AA1327" s="126">
        <f t="shared" si="513"/>
        <v>0</v>
      </c>
      <c r="AB1327" s="126">
        <f t="shared" si="513"/>
        <v>0</v>
      </c>
      <c r="AC1327" s="126">
        <f t="shared" si="513"/>
        <v>0</v>
      </c>
      <c r="AD1327" s="126">
        <f t="shared" si="513"/>
        <v>0</v>
      </c>
      <c r="AE1327" s="126">
        <f t="shared" si="513"/>
        <v>0</v>
      </c>
      <c r="AF1327" s="126">
        <f t="shared" si="513"/>
        <v>0</v>
      </c>
      <c r="AG1327" s="126">
        <f t="shared" si="513"/>
        <v>0</v>
      </c>
      <c r="AH1327" s="126">
        <f t="shared" si="513"/>
        <v>0</v>
      </c>
    </row>
    <row r="1328" spans="1:34" s="20" customFormat="1" ht="14" x14ac:dyDescent="0.2">
      <c r="A1328" s="8"/>
      <c r="B1328" s="8" t="s">
        <v>410</v>
      </c>
      <c r="C1328" s="8"/>
      <c r="D1328" s="8" t="str">
        <f>D1327</f>
        <v>R$ millions</v>
      </c>
      <c r="E1328" s="126">
        <f>IF(E$19=1,IF('Assumptions - Infrastructure'!$E$459&lt;&gt;0,IF('Assumptions - Infrastructure'!$E$467=1,Calculations!E1329,IF('Assumptions - Infrastructure'!$E$467=2,Calculations!E1330,IF('Assumptions - Infrastructure'!$E$467=3,IF(E1325=('Assumptions - Infrastructure'!$E$465-'Assumptions - Infrastructure'!$E$466),Calculations!D1335,Calculations!E1331),0))),0),0)</f>
        <v>0</v>
      </c>
      <c r="F1328" s="126">
        <f>IF(F$19=1,IF('Assumptions - Infrastructure'!$E$459&lt;&gt;0,IF('Assumptions - Infrastructure'!$E$467=1,Calculations!F1329,IF('Assumptions - Infrastructure'!$E$467=2,Calculations!F1330,IF('Assumptions - Infrastructure'!$E$467=3,IF(F1325=('Assumptions - Infrastructure'!$E$465-'Assumptions - Infrastructure'!$E$466),Calculations!E1335,Calculations!F1331),0))),0),0)</f>
        <v>0</v>
      </c>
      <c r="G1328" s="126">
        <f>IF(G$19=1,IF('Assumptions - Infrastructure'!$E$459&lt;&gt;0,IF('Assumptions - Infrastructure'!$E$467=1,Calculations!G1329,IF('Assumptions - Infrastructure'!$E$467=2,Calculations!G1330,IF('Assumptions - Infrastructure'!$E$467=3,IF(G1325=('Assumptions - Infrastructure'!$E$465-'Assumptions - Infrastructure'!$E$466),Calculations!F1335,Calculations!G1331),0))),0),0)</f>
        <v>0</v>
      </c>
      <c r="H1328" s="126">
        <f>IF(H$19=1,IF('Assumptions - Infrastructure'!$E$459&lt;&gt;0,IF('Assumptions - Infrastructure'!$E$467=1,Calculations!H1329,IF('Assumptions - Infrastructure'!$E$467=2,Calculations!H1330,IF('Assumptions - Infrastructure'!$E$467=3,IF(H1325=('Assumptions - Infrastructure'!$E$465-'Assumptions - Infrastructure'!$E$466),Calculations!G1335,Calculations!H1331),0))),0),0)</f>
        <v>0</v>
      </c>
      <c r="I1328" s="126">
        <f>IF(I$19=1,IF('Assumptions - Infrastructure'!$E$459&lt;&gt;0,IF('Assumptions - Infrastructure'!$E$467=1,Calculations!I1329,IF('Assumptions - Infrastructure'!$E$467=2,Calculations!I1330,IF('Assumptions - Infrastructure'!$E$467=3,IF(I1325=('Assumptions - Infrastructure'!$E$465-'Assumptions - Infrastructure'!$E$466),Calculations!H1335,Calculations!I1331),0))),0),0)</f>
        <v>0</v>
      </c>
      <c r="J1328" s="126">
        <f>IF(J$19=1,IF('Assumptions - Infrastructure'!$E$459&lt;&gt;0,IF('Assumptions - Infrastructure'!$E$467=1,Calculations!J1329,IF('Assumptions - Infrastructure'!$E$467=2,Calculations!J1330,IF('Assumptions - Infrastructure'!$E$467=3,IF(J1325=('Assumptions - Infrastructure'!$E$465-'Assumptions - Infrastructure'!$E$466),Calculations!I1335,Calculations!J1331),0))),0),0)</f>
        <v>0</v>
      </c>
      <c r="K1328" s="126">
        <f>IF(K$19=1,IF('Assumptions - Infrastructure'!$E$459&lt;&gt;0,IF('Assumptions - Infrastructure'!$E$467=1,Calculations!K1329,IF('Assumptions - Infrastructure'!$E$467=2,Calculations!K1330,IF('Assumptions - Infrastructure'!$E$467=3,IF(K1325=('Assumptions - Infrastructure'!$E$465-'Assumptions - Infrastructure'!$E$466),Calculations!J1335,Calculations!K1331),0))),0),0)</f>
        <v>0</v>
      </c>
      <c r="L1328" s="126">
        <f>IF(L$19=1,IF('Assumptions - Infrastructure'!$E$459&lt;&gt;0,IF('Assumptions - Infrastructure'!$E$467=1,Calculations!L1329,IF('Assumptions - Infrastructure'!$E$467=2,Calculations!L1330,IF('Assumptions - Infrastructure'!$E$467=3,IF(L1325=('Assumptions - Infrastructure'!$E$465-'Assumptions - Infrastructure'!$E$466),Calculations!K1335,Calculations!L1331),0))),0),0)</f>
        <v>0</v>
      </c>
      <c r="M1328" s="126">
        <f>IF(M$19=1,IF('Assumptions - Infrastructure'!$E$459&lt;&gt;0,IF('Assumptions - Infrastructure'!$E$467=1,Calculations!M1329,IF('Assumptions - Infrastructure'!$E$467=2,Calculations!M1330,IF('Assumptions - Infrastructure'!$E$467=3,IF(M1325=('Assumptions - Infrastructure'!$E$465-'Assumptions - Infrastructure'!$E$466),Calculations!L1335,Calculations!M1331),0))),0),0)</f>
        <v>0</v>
      </c>
      <c r="N1328" s="126">
        <f>IF(N$19=1,IF('Assumptions - Infrastructure'!$E$459&lt;&gt;0,IF('Assumptions - Infrastructure'!$E$467=1,Calculations!N1329,IF('Assumptions - Infrastructure'!$E$467=2,Calculations!N1330,IF('Assumptions - Infrastructure'!$E$467=3,IF(N1325=('Assumptions - Infrastructure'!$E$465-'Assumptions - Infrastructure'!$E$466),Calculations!M1335,Calculations!N1331),0))),0),0)</f>
        <v>0</v>
      </c>
      <c r="O1328" s="126">
        <f>IF(O$19=1,IF('Assumptions - Infrastructure'!$E$459&lt;&gt;0,IF('Assumptions - Infrastructure'!$E$467=1,Calculations!O1329,IF('Assumptions - Infrastructure'!$E$467=2,Calculations!O1330,IF('Assumptions - Infrastructure'!$E$467=3,IF(O1325=('Assumptions - Infrastructure'!$E$465-'Assumptions - Infrastructure'!$E$466),Calculations!N1335,Calculations!O1331),0))),0),0)</f>
        <v>0</v>
      </c>
      <c r="P1328" s="126">
        <f>IF(P$19=1,IF('Assumptions - Infrastructure'!$E$459&lt;&gt;0,IF('Assumptions - Infrastructure'!$E$467=1,Calculations!P1329,IF('Assumptions - Infrastructure'!$E$467=2,Calculations!P1330,IF('Assumptions - Infrastructure'!$E$467=3,IF(P1325=('Assumptions - Infrastructure'!$E$465-'Assumptions - Infrastructure'!$E$466),Calculations!O1335,Calculations!P1331),0))),0),0)</f>
        <v>0</v>
      </c>
      <c r="Q1328" s="126">
        <f>IF(Q$19=1,IF('Assumptions - Infrastructure'!$E$459&lt;&gt;0,IF('Assumptions - Infrastructure'!$E$467=1,Calculations!Q1329,IF('Assumptions - Infrastructure'!$E$467=2,Calculations!Q1330,IF('Assumptions - Infrastructure'!$E$467=3,IF(Q1325=('Assumptions - Infrastructure'!$E$465-'Assumptions - Infrastructure'!$E$466),Calculations!P1335,Calculations!Q1331),0))),0),0)</f>
        <v>0</v>
      </c>
      <c r="R1328" s="126">
        <f>IF(R$19=1,IF('Assumptions - Infrastructure'!$E$459&lt;&gt;0,IF('Assumptions - Infrastructure'!$E$467=1,Calculations!R1329,IF('Assumptions - Infrastructure'!$E$467=2,Calculations!R1330,IF('Assumptions - Infrastructure'!$E$467=3,IF(R1325=('Assumptions - Infrastructure'!$E$465-'Assumptions - Infrastructure'!$E$466),Calculations!Q1335,Calculations!R1331),0))),0),0)</f>
        <v>0</v>
      </c>
      <c r="S1328" s="126">
        <f>IF(S$19=1,IF('Assumptions - Infrastructure'!$E$459&lt;&gt;0,IF('Assumptions - Infrastructure'!$E$467=1,Calculations!S1329,IF('Assumptions - Infrastructure'!$E$467=2,Calculations!S1330,IF('Assumptions - Infrastructure'!$E$467=3,IF(S1325=('Assumptions - Infrastructure'!$E$465-'Assumptions - Infrastructure'!$E$466),Calculations!R1335,Calculations!S1331),0))),0),0)</f>
        <v>0</v>
      </c>
      <c r="T1328" s="126">
        <f>IF(T$19=1,IF('Assumptions - Infrastructure'!$E$459&lt;&gt;0,IF('Assumptions - Infrastructure'!$E$467=1,Calculations!T1329,IF('Assumptions - Infrastructure'!$E$467=2,Calculations!T1330,IF('Assumptions - Infrastructure'!$E$467=3,IF(T1325=('Assumptions - Infrastructure'!$E$465-'Assumptions - Infrastructure'!$E$466),Calculations!S1335,Calculations!T1331),0))),0),0)</f>
        <v>0</v>
      </c>
      <c r="U1328" s="126">
        <f>IF(U$19=1,IF('Assumptions - Infrastructure'!$E$459&lt;&gt;0,IF('Assumptions - Infrastructure'!$E$467=1,Calculations!U1329,IF('Assumptions - Infrastructure'!$E$467=2,Calculations!U1330,IF('Assumptions - Infrastructure'!$E$467=3,IF(U1325=('Assumptions - Infrastructure'!$E$465-'Assumptions - Infrastructure'!$E$466),Calculations!T1335,Calculations!U1331),0))),0),0)</f>
        <v>50</v>
      </c>
      <c r="V1328" s="126">
        <f>IF(V$19=1,IF('Assumptions - Infrastructure'!$E$459&lt;&gt;0,IF('Assumptions - Infrastructure'!$E$467=1,Calculations!V1329,IF('Assumptions - Infrastructure'!$E$467=2,Calculations!V1330,IF('Assumptions - Infrastructure'!$E$467=3,IF(V1325=('Assumptions - Infrastructure'!$E$465-'Assumptions - Infrastructure'!$E$466),Calculations!U1335,Calculations!V1331),0))),0),0)</f>
        <v>0</v>
      </c>
      <c r="W1328" s="126">
        <f>IF(W$19=1,IF('Assumptions - Infrastructure'!$E$459&lt;&gt;0,IF('Assumptions - Infrastructure'!$E$467=1,Calculations!W1329,IF('Assumptions - Infrastructure'!$E$467=2,Calculations!W1330,IF('Assumptions - Infrastructure'!$E$467=3,IF(W1325=('Assumptions - Infrastructure'!$E$465-'Assumptions - Infrastructure'!$E$466),Calculations!V1335,Calculations!W1331),0))),0),0)</f>
        <v>0</v>
      </c>
      <c r="X1328" s="126">
        <f>IF(X$19=1,IF('Assumptions - Infrastructure'!$E$459&lt;&gt;0,IF('Assumptions - Infrastructure'!$E$467=1,Calculations!X1329,IF('Assumptions - Infrastructure'!$E$467=2,Calculations!X1330,IF('Assumptions - Infrastructure'!$E$467=3,IF(X1325=('Assumptions - Infrastructure'!$E$465-'Assumptions - Infrastructure'!$E$466),Calculations!W1335,Calculations!X1331),0))),0),0)</f>
        <v>0</v>
      </c>
      <c r="Y1328" s="126">
        <f>IF(Y$19=1,IF('Assumptions - Infrastructure'!$E$459&lt;&gt;0,IF('Assumptions - Infrastructure'!$E$467=1,Calculations!Y1329,IF('Assumptions - Infrastructure'!$E$467=2,Calculations!Y1330,IF('Assumptions - Infrastructure'!$E$467=3,IF(Y1325=('Assumptions - Infrastructure'!$E$465-'Assumptions - Infrastructure'!$E$466),Calculations!X1335,Calculations!Y1331),0))),0),0)</f>
        <v>0</v>
      </c>
      <c r="Z1328" s="126">
        <f>IF(Z$19=1,IF('Assumptions - Infrastructure'!$E$459&lt;&gt;0,IF('Assumptions - Infrastructure'!$E$467=1,Calculations!Z1329,IF('Assumptions - Infrastructure'!$E$467=2,Calculations!Z1330,IF('Assumptions - Infrastructure'!$E$467=3,IF(Z1325=('Assumptions - Infrastructure'!$E$465-'Assumptions - Infrastructure'!$E$466),Calculations!Y1335,Calculations!Z1331),0))),0),0)</f>
        <v>0</v>
      </c>
      <c r="AA1328" s="126">
        <f>IF(AA$19=1,IF('Assumptions - Infrastructure'!$E$459&lt;&gt;0,IF('Assumptions - Infrastructure'!$E$467=1,Calculations!AA1329,IF('Assumptions - Infrastructure'!$E$467=2,Calculations!AA1330,IF('Assumptions - Infrastructure'!$E$467=3,IF(AA1325=('Assumptions - Infrastructure'!$E$465-'Assumptions - Infrastructure'!$E$466),Calculations!Z1335,Calculations!AA1331),0))),0),0)</f>
        <v>0</v>
      </c>
      <c r="AB1328" s="126">
        <f>IF(AB$19=1,IF('Assumptions - Infrastructure'!$E$459&lt;&gt;0,IF('Assumptions - Infrastructure'!$E$467=1,Calculations!AB1329,IF('Assumptions - Infrastructure'!$E$467=2,Calculations!AB1330,IF('Assumptions - Infrastructure'!$E$467=3,IF(AB1325=('Assumptions - Infrastructure'!$E$465-'Assumptions - Infrastructure'!$E$466),Calculations!AA1335,Calculations!AB1331),0))),0),0)</f>
        <v>0</v>
      </c>
      <c r="AC1328" s="126">
        <f>IF(AC$19=1,IF('Assumptions - Infrastructure'!$E$459&lt;&gt;0,IF('Assumptions - Infrastructure'!$E$467=1,Calculations!AC1329,IF('Assumptions - Infrastructure'!$E$467=2,Calculations!AC1330,IF('Assumptions - Infrastructure'!$E$467=3,IF(AC1325=('Assumptions - Infrastructure'!$E$465-'Assumptions - Infrastructure'!$E$466),Calculations!AB1335,Calculations!AC1331),0))),0),0)</f>
        <v>0</v>
      </c>
      <c r="AD1328" s="126">
        <f>IF(AD$19=1,IF('Assumptions - Infrastructure'!$E$459&lt;&gt;0,IF('Assumptions - Infrastructure'!$E$467=1,Calculations!AD1329,IF('Assumptions - Infrastructure'!$E$467=2,Calculations!AD1330,IF('Assumptions - Infrastructure'!$E$467=3,IF(AD1325=('Assumptions - Infrastructure'!$E$465-'Assumptions - Infrastructure'!$E$466),Calculations!AC1335,Calculations!AD1331),0))),0),0)</f>
        <v>0</v>
      </c>
      <c r="AE1328" s="126">
        <f>IF(AE$19=1,IF('Assumptions - Infrastructure'!$E$459&lt;&gt;0,IF('Assumptions - Infrastructure'!$E$467=1,Calculations!AE1329,IF('Assumptions - Infrastructure'!$E$467=2,Calculations!AE1330,IF('Assumptions - Infrastructure'!$E$467=3,IF(AE1325=('Assumptions - Infrastructure'!$E$465-'Assumptions - Infrastructure'!$E$466),Calculations!AD1335,Calculations!AE1331),0))),0),0)</f>
        <v>0</v>
      </c>
      <c r="AF1328" s="126">
        <f>IF(AF$19=1,IF('Assumptions - Infrastructure'!$E$459&lt;&gt;0,IF('Assumptions - Infrastructure'!$E$467=1,Calculations!AF1329,IF('Assumptions - Infrastructure'!$E$467=2,Calculations!AF1330,IF('Assumptions - Infrastructure'!$E$467=3,IF(AF1325=('Assumptions - Infrastructure'!$E$465-'Assumptions - Infrastructure'!$E$466),Calculations!AE1335,Calculations!AF1331),0))),0),0)</f>
        <v>0</v>
      </c>
      <c r="AG1328" s="126">
        <f>IF(AG$19=1,IF('Assumptions - Infrastructure'!$E$459&lt;&gt;0,IF('Assumptions - Infrastructure'!$E$467=1,Calculations!AG1329,IF('Assumptions - Infrastructure'!$E$467=2,Calculations!AG1330,IF('Assumptions - Infrastructure'!$E$467=3,IF(AG1325=('Assumptions - Infrastructure'!$E$465-'Assumptions - Infrastructure'!$E$466),Calculations!AF1335,Calculations!AG1331),0))),0),0)</f>
        <v>0</v>
      </c>
      <c r="AH1328" s="126">
        <f>IF(AH$19=1,IF('Assumptions - Infrastructure'!$E$459&lt;&gt;0,IF('Assumptions - Infrastructure'!$E$467=1,Calculations!AH1329,IF('Assumptions - Infrastructure'!$E$467=2,Calculations!AH1330,IF('Assumptions - Infrastructure'!$E$467=3,IF(AH1325=('Assumptions - Infrastructure'!$E$465-'Assumptions - Infrastructure'!$E$466),Calculations!AG1335,Calculations!AH1331),0))),0),0)</f>
        <v>0</v>
      </c>
    </row>
    <row r="1329" spans="1:34" s="20" customFormat="1" ht="14" x14ac:dyDescent="0.2">
      <c r="A1329" s="8"/>
      <c r="B1329" s="125" t="s">
        <v>295</v>
      </c>
      <c r="C1329" s="8"/>
      <c r="D1329" s="8" t="str">
        <f t="shared" ref="D1329:D1340" si="514">D1328</f>
        <v>R$ millions</v>
      </c>
      <c r="E1329" s="126">
        <f>IF('Assumptions - Infrastructure'!$E$459&lt;&gt;0,IF(AND('Assumptions - Infrastructure'!$E$467=1,E$1325=('Assumptions - Infrastructure'!$E$465-'Assumptions - Infrastructure'!$E$466)),'Assumptions - Infrastructure'!$E$459,0),0)</f>
        <v>0</v>
      </c>
      <c r="F1329" s="126">
        <f>IF('Assumptions - Infrastructure'!$E$459&lt;&gt;0,IF(AND('Assumptions - Infrastructure'!$E$467=1,F$1325=('Assumptions - Infrastructure'!$E$465-'Assumptions - Infrastructure'!$E$466)),'Assumptions - Infrastructure'!$E$459,0),0)</f>
        <v>0</v>
      </c>
      <c r="G1329" s="126">
        <f>IF('Assumptions - Infrastructure'!$E$459&lt;&gt;0,IF(AND('Assumptions - Infrastructure'!$E$467=1,G$1325=('Assumptions - Infrastructure'!$E$465-'Assumptions - Infrastructure'!$E$466)),'Assumptions - Infrastructure'!$E$459,0),0)</f>
        <v>0</v>
      </c>
      <c r="H1329" s="126">
        <f>IF('Assumptions - Infrastructure'!$E$459&lt;&gt;0,IF(AND('Assumptions - Infrastructure'!$E$467=1,H$1325=('Assumptions - Infrastructure'!$E$465-'Assumptions - Infrastructure'!$E$466)),'Assumptions - Infrastructure'!$E$459,0),0)</f>
        <v>0</v>
      </c>
      <c r="I1329" s="126">
        <f>IF('Assumptions - Infrastructure'!$E$459&lt;&gt;0,IF(AND('Assumptions - Infrastructure'!$E$467=1,I$1325=('Assumptions - Infrastructure'!$E$465-'Assumptions - Infrastructure'!$E$466)),'Assumptions - Infrastructure'!$E$459,0),0)</f>
        <v>0</v>
      </c>
      <c r="J1329" s="126">
        <f>IF('Assumptions - Infrastructure'!$E$459&lt;&gt;0,IF(AND('Assumptions - Infrastructure'!$E$467=1,J$1325=('Assumptions - Infrastructure'!$E$465-'Assumptions - Infrastructure'!$E$466)),'Assumptions - Infrastructure'!$E$459,0),0)</f>
        <v>0</v>
      </c>
      <c r="K1329" s="126">
        <f>IF('Assumptions - Infrastructure'!$E$459&lt;&gt;0,IF(AND('Assumptions - Infrastructure'!$E$467=1,K$1325=('Assumptions - Infrastructure'!$E$465-'Assumptions - Infrastructure'!$E$466)),'Assumptions - Infrastructure'!$E$459,0),0)</f>
        <v>0</v>
      </c>
      <c r="L1329" s="126">
        <f>IF('Assumptions - Infrastructure'!$E$459&lt;&gt;0,IF(AND('Assumptions - Infrastructure'!$E$467=1,L$1325=('Assumptions - Infrastructure'!$E$465-'Assumptions - Infrastructure'!$E$466)),'Assumptions - Infrastructure'!$E$459,0),0)</f>
        <v>0</v>
      </c>
      <c r="M1329" s="126">
        <f>IF('Assumptions - Infrastructure'!$E$459&lt;&gt;0,IF(AND('Assumptions - Infrastructure'!$E$467=1,M$1325=('Assumptions - Infrastructure'!$E$465-'Assumptions - Infrastructure'!$E$466)),'Assumptions - Infrastructure'!$E$459,0),0)</f>
        <v>0</v>
      </c>
      <c r="N1329" s="126">
        <f>IF('Assumptions - Infrastructure'!$E$459&lt;&gt;0,IF(AND('Assumptions - Infrastructure'!$E$467=1,N$1325=('Assumptions - Infrastructure'!$E$465-'Assumptions - Infrastructure'!$E$466)),'Assumptions - Infrastructure'!$E$459,0),0)</f>
        <v>0</v>
      </c>
      <c r="O1329" s="126">
        <f>IF('Assumptions - Infrastructure'!$E$459&lt;&gt;0,IF(AND('Assumptions - Infrastructure'!$E$467=1,O$1325=('Assumptions - Infrastructure'!$E$465-'Assumptions - Infrastructure'!$E$466)),'Assumptions - Infrastructure'!$E$459,0),0)</f>
        <v>0</v>
      </c>
      <c r="P1329" s="126">
        <f>IF('Assumptions - Infrastructure'!$E$459&lt;&gt;0,IF(AND('Assumptions - Infrastructure'!$E$467=1,P$1325=('Assumptions - Infrastructure'!$E$465-'Assumptions - Infrastructure'!$E$466)),'Assumptions - Infrastructure'!$E$459,0),0)</f>
        <v>0</v>
      </c>
      <c r="Q1329" s="126">
        <f>IF('Assumptions - Infrastructure'!$E$459&lt;&gt;0,IF(AND('Assumptions - Infrastructure'!$E$467=1,Q$1325=('Assumptions - Infrastructure'!$E$465-'Assumptions - Infrastructure'!$E$466)),'Assumptions - Infrastructure'!$E$459,0),0)</f>
        <v>0</v>
      </c>
      <c r="R1329" s="126">
        <f>IF('Assumptions - Infrastructure'!$E$459&lt;&gt;0,IF(AND('Assumptions - Infrastructure'!$E$467=1,R$1325=('Assumptions - Infrastructure'!$E$465-'Assumptions - Infrastructure'!$E$466)),'Assumptions - Infrastructure'!$E$459,0),0)</f>
        <v>0</v>
      </c>
      <c r="S1329" s="126">
        <f>IF('Assumptions - Infrastructure'!$E$459&lt;&gt;0,IF(AND('Assumptions - Infrastructure'!$E$467=1,S$1325=('Assumptions - Infrastructure'!$E$465-'Assumptions - Infrastructure'!$E$466)),'Assumptions - Infrastructure'!$E$459,0),0)</f>
        <v>0</v>
      </c>
      <c r="T1329" s="126">
        <f>IF('Assumptions - Infrastructure'!$E$459&lt;&gt;0,IF(AND('Assumptions - Infrastructure'!$E$467=1,T$1325=('Assumptions - Infrastructure'!$E$465-'Assumptions - Infrastructure'!$E$466)),'Assumptions - Infrastructure'!$E$459,0),0)</f>
        <v>0</v>
      </c>
      <c r="U1329" s="126">
        <f>IF('Assumptions - Infrastructure'!$E$459&lt;&gt;0,IF(AND('Assumptions - Infrastructure'!$E$467=1,U$1325=('Assumptions - Infrastructure'!$E$465-'Assumptions - Infrastructure'!$E$466)),'Assumptions - Infrastructure'!$E$459,0),0)</f>
        <v>50</v>
      </c>
      <c r="V1329" s="126">
        <f>IF('Assumptions - Infrastructure'!$E$459&lt;&gt;0,IF(AND('Assumptions - Infrastructure'!$E$467=1,V$1325=('Assumptions - Infrastructure'!$E$465-'Assumptions - Infrastructure'!$E$466)),'Assumptions - Infrastructure'!$E$459,0),0)</f>
        <v>0</v>
      </c>
      <c r="W1329" s="126">
        <f>IF('Assumptions - Infrastructure'!$E$459&lt;&gt;0,IF(AND('Assumptions - Infrastructure'!$E$467=1,W$1325=('Assumptions - Infrastructure'!$E$465-'Assumptions - Infrastructure'!$E$466)),'Assumptions - Infrastructure'!$E$459,0),0)</f>
        <v>0</v>
      </c>
      <c r="X1329" s="126">
        <f>IF('Assumptions - Infrastructure'!$E$459&lt;&gt;0,IF(AND('Assumptions - Infrastructure'!$E$467=1,X$1325=('Assumptions - Infrastructure'!$E$465-'Assumptions - Infrastructure'!$E$466)),'Assumptions - Infrastructure'!$E$459,0),0)</f>
        <v>0</v>
      </c>
      <c r="Y1329" s="126">
        <f>IF('Assumptions - Infrastructure'!$E$459&lt;&gt;0,IF(AND('Assumptions - Infrastructure'!$E$467=1,Y$1325=('Assumptions - Infrastructure'!$E$465-'Assumptions - Infrastructure'!$E$466)),'Assumptions - Infrastructure'!$E$459,0),0)</f>
        <v>0</v>
      </c>
      <c r="Z1329" s="126">
        <f>IF('Assumptions - Infrastructure'!$E$459&lt;&gt;0,IF(AND('Assumptions - Infrastructure'!$E$467=1,Z$1325=('Assumptions - Infrastructure'!$E$465-'Assumptions - Infrastructure'!$E$466)),'Assumptions - Infrastructure'!$E$459,0),0)</f>
        <v>0</v>
      </c>
      <c r="AA1329" s="126">
        <f>IF('Assumptions - Infrastructure'!$E$459&lt;&gt;0,IF(AND('Assumptions - Infrastructure'!$E$467=1,AA$1325=('Assumptions - Infrastructure'!$E$465-'Assumptions - Infrastructure'!$E$466)),'Assumptions - Infrastructure'!$E$459,0),0)</f>
        <v>0</v>
      </c>
      <c r="AB1329" s="126">
        <f>IF('Assumptions - Infrastructure'!$E$459&lt;&gt;0,IF(AND('Assumptions - Infrastructure'!$E$467=1,AB$1325=('Assumptions - Infrastructure'!$E$465-'Assumptions - Infrastructure'!$E$466)),'Assumptions - Infrastructure'!$E$459,0),0)</f>
        <v>0</v>
      </c>
      <c r="AC1329" s="126">
        <f>IF('Assumptions - Infrastructure'!$E$459&lt;&gt;0,IF(AND('Assumptions - Infrastructure'!$E$467=1,AC$1325=('Assumptions - Infrastructure'!$E$465-'Assumptions - Infrastructure'!$E$466)),'Assumptions - Infrastructure'!$E$459,0),0)</f>
        <v>0</v>
      </c>
      <c r="AD1329" s="126">
        <f>IF('Assumptions - Infrastructure'!$E$459&lt;&gt;0,IF(AND('Assumptions - Infrastructure'!$E$467=1,AD$1325=('Assumptions - Infrastructure'!$E$465-'Assumptions - Infrastructure'!$E$466)),'Assumptions - Infrastructure'!$E$459,0),0)</f>
        <v>0</v>
      </c>
      <c r="AE1329" s="126">
        <f>IF('Assumptions - Infrastructure'!$E$459&lt;&gt;0,IF(AND('Assumptions - Infrastructure'!$E$467=1,AE$1325=('Assumptions - Infrastructure'!$E$465-'Assumptions - Infrastructure'!$E$466)),'Assumptions - Infrastructure'!$E$459,0),0)</f>
        <v>0</v>
      </c>
      <c r="AF1329" s="126">
        <f>IF('Assumptions - Infrastructure'!$E$459&lt;&gt;0,IF(AND('Assumptions - Infrastructure'!$E$467=1,AF$1325=('Assumptions - Infrastructure'!$E$465-'Assumptions - Infrastructure'!$E$466)),'Assumptions - Infrastructure'!$E$459,0),0)</f>
        <v>0</v>
      </c>
      <c r="AG1329" s="126">
        <f>IF('Assumptions - Infrastructure'!$E$459&lt;&gt;0,IF(AND('Assumptions - Infrastructure'!$E$467=1,AG$1325=('Assumptions - Infrastructure'!$E$465-'Assumptions - Infrastructure'!$E$466)),'Assumptions - Infrastructure'!$E$459,0),0)</f>
        <v>0</v>
      </c>
      <c r="AH1329" s="126">
        <f>IF('Assumptions - Infrastructure'!$E$459&lt;&gt;0,IF(AND('Assumptions - Infrastructure'!$E$467=1,AH$1325=('Assumptions - Infrastructure'!$E$465-'Assumptions - Infrastructure'!$E$466)),'Assumptions - Infrastructure'!$E$459,0),0)</f>
        <v>0</v>
      </c>
    </row>
    <row r="1330" spans="1:34" s="20" customFormat="1" ht="14" x14ac:dyDescent="0.2">
      <c r="A1330" s="8"/>
      <c r="B1330" s="125" t="s">
        <v>294</v>
      </c>
      <c r="C1330" s="8"/>
      <c r="D1330" s="8" t="str">
        <f t="shared" si="514"/>
        <v>R$ millions</v>
      </c>
      <c r="E1330" s="126">
        <f>IF('Assumptions - Infrastructure'!$E$459&lt;&gt;0,IF(AND('Assumptions - Infrastructure'!$E$467=2,Calculations!E$1325&gt;0,Calculations!E$1325&lt;=('Assumptions - Infrastructure'!$E$465-'Assumptions - Infrastructure'!$E$466)),'Assumptions - Infrastructure'!$E$459/('Assumptions - Infrastructure'!$E$465-'Assumptions - Infrastructure'!$E$466),0),0)</f>
        <v>0</v>
      </c>
      <c r="F1330" s="126">
        <f>IF('Assumptions - Infrastructure'!$E$459&lt;&gt;0,IF(AND('Assumptions - Infrastructure'!$E$467=2,Calculations!F$1325&gt;0,Calculations!F$1325&lt;=('Assumptions - Infrastructure'!$E$465-'Assumptions - Infrastructure'!$E$466)),'Assumptions - Infrastructure'!$E$459/('Assumptions - Infrastructure'!$E$465-'Assumptions - Infrastructure'!$E$466),0),0)</f>
        <v>0</v>
      </c>
      <c r="G1330" s="126">
        <f>IF('Assumptions - Infrastructure'!$E$459&lt;&gt;0,IF(AND('Assumptions - Infrastructure'!$E$467=2,Calculations!G$1325&gt;0,Calculations!G$1325&lt;=('Assumptions - Infrastructure'!$E$465-'Assumptions - Infrastructure'!$E$466)),'Assumptions - Infrastructure'!$E$459/('Assumptions - Infrastructure'!$E$465-'Assumptions - Infrastructure'!$E$466),0),0)</f>
        <v>0</v>
      </c>
      <c r="H1330" s="126">
        <f>IF('Assumptions - Infrastructure'!$E$459&lt;&gt;0,IF(AND('Assumptions - Infrastructure'!$E$467=2,Calculations!H$1325&gt;0,Calculations!H$1325&lt;=('Assumptions - Infrastructure'!$E$465-'Assumptions - Infrastructure'!$E$466)),'Assumptions - Infrastructure'!$E$459/('Assumptions - Infrastructure'!$E$465-'Assumptions - Infrastructure'!$E$466),0),0)</f>
        <v>0</v>
      </c>
      <c r="I1330" s="126">
        <f>IF('Assumptions - Infrastructure'!$E$459&lt;&gt;0,IF(AND('Assumptions - Infrastructure'!$E$467=2,Calculations!I$1325&gt;0,Calculations!I$1325&lt;=('Assumptions - Infrastructure'!$E$465-'Assumptions - Infrastructure'!$E$466)),'Assumptions - Infrastructure'!$E$459/('Assumptions - Infrastructure'!$E$465-'Assumptions - Infrastructure'!$E$466),0),0)</f>
        <v>0</v>
      </c>
      <c r="J1330" s="126">
        <f>IF('Assumptions - Infrastructure'!$E$459&lt;&gt;0,IF(AND('Assumptions - Infrastructure'!$E$467=2,Calculations!J$1325&gt;0,Calculations!J$1325&lt;=('Assumptions - Infrastructure'!$E$465-'Assumptions - Infrastructure'!$E$466)),'Assumptions - Infrastructure'!$E$459/('Assumptions - Infrastructure'!$E$465-'Assumptions - Infrastructure'!$E$466),0),0)</f>
        <v>0</v>
      </c>
      <c r="K1330" s="126">
        <f>IF('Assumptions - Infrastructure'!$E$459&lt;&gt;0,IF(AND('Assumptions - Infrastructure'!$E$467=2,Calculations!K$1325&gt;0,Calculations!K$1325&lt;=('Assumptions - Infrastructure'!$E$465-'Assumptions - Infrastructure'!$E$466)),'Assumptions - Infrastructure'!$E$459/('Assumptions - Infrastructure'!$E$465-'Assumptions - Infrastructure'!$E$466),0),0)</f>
        <v>0</v>
      </c>
      <c r="L1330" s="126">
        <f>IF('Assumptions - Infrastructure'!$E$459&lt;&gt;0,IF(AND('Assumptions - Infrastructure'!$E$467=2,Calculations!L$1325&gt;0,Calculations!L$1325&lt;=('Assumptions - Infrastructure'!$E$465-'Assumptions - Infrastructure'!$E$466)),'Assumptions - Infrastructure'!$E$459/('Assumptions - Infrastructure'!$E$465-'Assumptions - Infrastructure'!$E$466),0),0)</f>
        <v>0</v>
      </c>
      <c r="M1330" s="126">
        <f>IF('Assumptions - Infrastructure'!$E$459&lt;&gt;0,IF(AND('Assumptions - Infrastructure'!$E$467=2,Calculations!M$1325&gt;0,Calculations!M$1325&lt;=('Assumptions - Infrastructure'!$E$465-'Assumptions - Infrastructure'!$E$466)),'Assumptions - Infrastructure'!$E$459/('Assumptions - Infrastructure'!$E$465-'Assumptions - Infrastructure'!$E$466),0),0)</f>
        <v>0</v>
      </c>
      <c r="N1330" s="126">
        <f>IF('Assumptions - Infrastructure'!$E$459&lt;&gt;0,IF(AND('Assumptions - Infrastructure'!$E$467=2,Calculations!N$1325&gt;0,Calculations!N$1325&lt;=('Assumptions - Infrastructure'!$E$465-'Assumptions - Infrastructure'!$E$466)),'Assumptions - Infrastructure'!$E$459/('Assumptions - Infrastructure'!$E$465-'Assumptions - Infrastructure'!$E$466),0),0)</f>
        <v>0</v>
      </c>
      <c r="O1330" s="126">
        <f>IF('Assumptions - Infrastructure'!$E$459&lt;&gt;0,IF(AND('Assumptions - Infrastructure'!$E$467=2,Calculations!O$1325&gt;0,Calculations!O$1325&lt;=('Assumptions - Infrastructure'!$E$465-'Assumptions - Infrastructure'!$E$466)),'Assumptions - Infrastructure'!$E$459/('Assumptions - Infrastructure'!$E$465-'Assumptions - Infrastructure'!$E$466),0),0)</f>
        <v>0</v>
      </c>
      <c r="P1330" s="126">
        <f>IF('Assumptions - Infrastructure'!$E$459&lt;&gt;0,IF(AND('Assumptions - Infrastructure'!$E$467=2,Calculations!P$1325&gt;0,Calculations!P$1325&lt;=('Assumptions - Infrastructure'!$E$465-'Assumptions - Infrastructure'!$E$466)),'Assumptions - Infrastructure'!$E$459/('Assumptions - Infrastructure'!$E$465-'Assumptions - Infrastructure'!$E$466),0),0)</f>
        <v>0</v>
      </c>
      <c r="Q1330" s="126">
        <f>IF('Assumptions - Infrastructure'!$E$459&lt;&gt;0,IF(AND('Assumptions - Infrastructure'!$E$467=2,Calculations!Q$1325&gt;0,Calculations!Q$1325&lt;=('Assumptions - Infrastructure'!$E$465-'Assumptions - Infrastructure'!$E$466)),'Assumptions - Infrastructure'!$E$459/('Assumptions - Infrastructure'!$E$465-'Assumptions - Infrastructure'!$E$466),0),0)</f>
        <v>0</v>
      </c>
      <c r="R1330" s="126">
        <f>IF('Assumptions - Infrastructure'!$E$459&lt;&gt;0,IF(AND('Assumptions - Infrastructure'!$E$467=2,Calculations!R$1325&gt;0,Calculations!R$1325&lt;=('Assumptions - Infrastructure'!$E$465-'Assumptions - Infrastructure'!$E$466)),'Assumptions - Infrastructure'!$E$459/('Assumptions - Infrastructure'!$E$465-'Assumptions - Infrastructure'!$E$466),0),0)</f>
        <v>0</v>
      </c>
      <c r="S1330" s="126">
        <f>IF('Assumptions - Infrastructure'!$E$459&lt;&gt;0,IF(AND('Assumptions - Infrastructure'!$E$467=2,Calculations!S$1325&gt;0,Calculations!S$1325&lt;=('Assumptions - Infrastructure'!$E$465-'Assumptions - Infrastructure'!$E$466)),'Assumptions - Infrastructure'!$E$459/('Assumptions - Infrastructure'!$E$465-'Assumptions - Infrastructure'!$E$466),0),0)</f>
        <v>0</v>
      </c>
      <c r="T1330" s="126">
        <f>IF('Assumptions - Infrastructure'!$E$459&lt;&gt;0,IF(AND('Assumptions - Infrastructure'!$E$467=2,Calculations!T$1325&gt;0,Calculations!T$1325&lt;=('Assumptions - Infrastructure'!$E$465-'Assumptions - Infrastructure'!$E$466)),'Assumptions - Infrastructure'!$E$459/('Assumptions - Infrastructure'!$E$465-'Assumptions - Infrastructure'!$E$466),0),0)</f>
        <v>0</v>
      </c>
      <c r="U1330" s="126">
        <f>IF('Assumptions - Infrastructure'!$E$459&lt;&gt;0,IF(AND('Assumptions - Infrastructure'!$E$467=2,Calculations!U$1325&gt;0,Calculations!U$1325&lt;=('Assumptions - Infrastructure'!$E$465-'Assumptions - Infrastructure'!$E$466)),'Assumptions - Infrastructure'!$E$459/('Assumptions - Infrastructure'!$E$465-'Assumptions - Infrastructure'!$E$466),0),0)</f>
        <v>0</v>
      </c>
      <c r="V1330" s="126">
        <f>IF('Assumptions - Infrastructure'!$E$459&lt;&gt;0,IF(AND('Assumptions - Infrastructure'!$E$467=2,Calculations!V$1325&gt;0,Calculations!V$1325&lt;=('Assumptions - Infrastructure'!$E$465-'Assumptions - Infrastructure'!$E$466)),'Assumptions - Infrastructure'!$E$459/('Assumptions - Infrastructure'!$E$465-'Assumptions - Infrastructure'!$E$466),0),0)</f>
        <v>0</v>
      </c>
      <c r="W1330" s="126">
        <f>IF('Assumptions - Infrastructure'!$E$459&lt;&gt;0,IF(AND('Assumptions - Infrastructure'!$E$467=2,Calculations!W$1325&gt;0,Calculations!W$1325&lt;=('Assumptions - Infrastructure'!$E$465-'Assumptions - Infrastructure'!$E$466)),'Assumptions - Infrastructure'!$E$459/('Assumptions - Infrastructure'!$E$465-'Assumptions - Infrastructure'!$E$466),0),0)</f>
        <v>0</v>
      </c>
      <c r="X1330" s="126">
        <f>IF('Assumptions - Infrastructure'!$E$459&lt;&gt;0,IF(AND('Assumptions - Infrastructure'!$E$467=2,Calculations!X$1325&gt;0,Calculations!X$1325&lt;=('Assumptions - Infrastructure'!$E$465-'Assumptions - Infrastructure'!$E$466)),'Assumptions - Infrastructure'!$E$459/('Assumptions - Infrastructure'!$E$465-'Assumptions - Infrastructure'!$E$466),0),0)</f>
        <v>0</v>
      </c>
      <c r="Y1330" s="126">
        <f>IF('Assumptions - Infrastructure'!$E$459&lt;&gt;0,IF(AND('Assumptions - Infrastructure'!$E$467=2,Calculations!Y$1325&gt;0,Calculations!Y$1325&lt;=('Assumptions - Infrastructure'!$E$465-'Assumptions - Infrastructure'!$E$466)),'Assumptions - Infrastructure'!$E$459/('Assumptions - Infrastructure'!$E$465-'Assumptions - Infrastructure'!$E$466),0),0)</f>
        <v>0</v>
      </c>
      <c r="Z1330" s="126">
        <f>IF('Assumptions - Infrastructure'!$E$459&lt;&gt;0,IF(AND('Assumptions - Infrastructure'!$E$467=2,Calculations!Z$1325&gt;0,Calculations!Z$1325&lt;=('Assumptions - Infrastructure'!$E$465-'Assumptions - Infrastructure'!$E$466)),'Assumptions - Infrastructure'!$E$459/('Assumptions - Infrastructure'!$E$465-'Assumptions - Infrastructure'!$E$466),0),0)</f>
        <v>0</v>
      </c>
      <c r="AA1330" s="126">
        <f>IF('Assumptions - Infrastructure'!$E$459&lt;&gt;0,IF(AND('Assumptions - Infrastructure'!$E$467=2,Calculations!AA$1325&gt;0,Calculations!AA$1325&lt;=('Assumptions - Infrastructure'!$E$465-'Assumptions - Infrastructure'!$E$466)),'Assumptions - Infrastructure'!$E$459/('Assumptions - Infrastructure'!$E$465-'Assumptions - Infrastructure'!$E$466),0),0)</f>
        <v>0</v>
      </c>
      <c r="AB1330" s="126">
        <f>IF('Assumptions - Infrastructure'!$E$459&lt;&gt;0,IF(AND('Assumptions - Infrastructure'!$E$467=2,Calculations!AB$1325&gt;0,Calculations!AB$1325&lt;=('Assumptions - Infrastructure'!$E$465-'Assumptions - Infrastructure'!$E$466)),'Assumptions - Infrastructure'!$E$459/('Assumptions - Infrastructure'!$E$465-'Assumptions - Infrastructure'!$E$466),0),0)</f>
        <v>0</v>
      </c>
      <c r="AC1330" s="126">
        <f>IF('Assumptions - Infrastructure'!$E$459&lt;&gt;0,IF(AND('Assumptions - Infrastructure'!$E$467=2,Calculations!AC$1325&gt;0,Calculations!AC$1325&lt;=('Assumptions - Infrastructure'!$E$465-'Assumptions - Infrastructure'!$E$466)),'Assumptions - Infrastructure'!$E$459/('Assumptions - Infrastructure'!$E$465-'Assumptions - Infrastructure'!$E$466),0),0)</f>
        <v>0</v>
      </c>
      <c r="AD1330" s="126">
        <f>IF('Assumptions - Infrastructure'!$E$459&lt;&gt;0,IF(AND('Assumptions - Infrastructure'!$E$467=2,Calculations!AD$1325&gt;0,Calculations!AD$1325&lt;=('Assumptions - Infrastructure'!$E$465-'Assumptions - Infrastructure'!$E$466)),'Assumptions - Infrastructure'!$E$459/('Assumptions - Infrastructure'!$E$465-'Assumptions - Infrastructure'!$E$466),0),0)</f>
        <v>0</v>
      </c>
      <c r="AE1330" s="126">
        <f>IF('Assumptions - Infrastructure'!$E$459&lt;&gt;0,IF(AND('Assumptions - Infrastructure'!$E$467=2,Calculations!AE$1325&gt;0,Calculations!AE$1325&lt;=('Assumptions - Infrastructure'!$E$465-'Assumptions - Infrastructure'!$E$466)),'Assumptions - Infrastructure'!$E$459/('Assumptions - Infrastructure'!$E$465-'Assumptions - Infrastructure'!$E$466),0),0)</f>
        <v>0</v>
      </c>
      <c r="AF1330" s="126">
        <f>IF('Assumptions - Infrastructure'!$E$459&lt;&gt;0,IF(AND('Assumptions - Infrastructure'!$E$467=2,Calculations!AF$1325&gt;0,Calculations!AF$1325&lt;=('Assumptions - Infrastructure'!$E$465-'Assumptions - Infrastructure'!$E$466)),'Assumptions - Infrastructure'!$E$459/('Assumptions - Infrastructure'!$E$465-'Assumptions - Infrastructure'!$E$466),0),0)</f>
        <v>0</v>
      </c>
      <c r="AG1330" s="126">
        <f>IF('Assumptions - Infrastructure'!$E$459&lt;&gt;0,IF(AND('Assumptions - Infrastructure'!$E$467=2,Calculations!AG$1325&gt;0,Calculations!AG$1325&lt;=('Assumptions - Infrastructure'!$E$465-'Assumptions - Infrastructure'!$E$466)),'Assumptions - Infrastructure'!$E$459/('Assumptions - Infrastructure'!$E$465-'Assumptions - Infrastructure'!$E$466),0),0)</f>
        <v>0</v>
      </c>
      <c r="AH1330" s="126">
        <f>IF('Assumptions - Infrastructure'!$E$459&lt;&gt;0,IF(AND('Assumptions - Infrastructure'!$E$467=2,Calculations!AH$1325&gt;0,Calculations!AH$1325&lt;=('Assumptions - Infrastructure'!$E$465-'Assumptions - Infrastructure'!$E$466)),'Assumptions - Infrastructure'!$E$459/('Assumptions - Infrastructure'!$E$465-'Assumptions - Infrastructure'!$E$466),0),0)</f>
        <v>0</v>
      </c>
    </row>
    <row r="1331" spans="1:34" s="20" customFormat="1" ht="14" x14ac:dyDescent="0.2">
      <c r="A1331" s="8"/>
      <c r="B1331" s="125" t="s">
        <v>678</v>
      </c>
      <c r="C1331" s="8"/>
      <c r="D1331" s="8" t="str">
        <f t="shared" si="514"/>
        <v>R$ millions</v>
      </c>
      <c r="E1331" s="126">
        <f>IF('Assumptions - Infrastructure'!$E$459&lt;&gt;0,IF(AND('Assumptions - Infrastructure'!$E467=3,E1325&gt;0,E1325&lt;=('Assumptions - Infrastructure'!$E$465-'Assumptions - Infrastructure'!$E$466)),E1327*D1332/SUM(E1332:$AH1332)-E1333,0),0)</f>
        <v>0</v>
      </c>
      <c r="F1331" s="126">
        <f>IF('Assumptions - Infrastructure'!$E$459&lt;&gt;0,IF(AND('Assumptions - Infrastructure'!$E467=3,F1325&gt;0,F1325&lt;=('Assumptions - Infrastructure'!$E$465-'Assumptions - Infrastructure'!$E$466)),F1327*E1332/SUM(F1332:$AH1332)-F1333,0),0)</f>
        <v>0</v>
      </c>
      <c r="G1331" s="126">
        <f>IF('Assumptions - Infrastructure'!$E$459&lt;&gt;0,IF(AND('Assumptions - Infrastructure'!$E467=3,G1325&gt;0,G1325&lt;=('Assumptions - Infrastructure'!$E$465-'Assumptions - Infrastructure'!$E$466)),G1327*F1332/SUM(G1332:$AH1332)-G1333,0),0)</f>
        <v>0</v>
      </c>
      <c r="H1331" s="126">
        <f>IF('Assumptions - Infrastructure'!$E$459&lt;&gt;0,IF(AND('Assumptions - Infrastructure'!$E467=3,H1325&gt;0,H1325&lt;=('Assumptions - Infrastructure'!$E$465-'Assumptions - Infrastructure'!$E$466)),H1327*G1332/SUM(H1332:$AH1332)-H1333,0),0)</f>
        <v>0</v>
      </c>
      <c r="I1331" s="126">
        <f>IF('Assumptions - Infrastructure'!$E$459&lt;&gt;0,IF(AND('Assumptions - Infrastructure'!$E467=3,I1325&gt;0,I1325&lt;=('Assumptions - Infrastructure'!$E$465-'Assumptions - Infrastructure'!$E$466)),I1327*H1332/SUM(I1332:$AH1332)-I1333,0),0)</f>
        <v>0</v>
      </c>
      <c r="J1331" s="126">
        <f>IF('Assumptions - Infrastructure'!$E$459&lt;&gt;0,IF(AND('Assumptions - Infrastructure'!$E467=3,J1325&gt;0,J1325&lt;=('Assumptions - Infrastructure'!$E$465-'Assumptions - Infrastructure'!$E$466)),J1327*I1332/SUM(J1332:$AH1332)-J1333,0),0)</f>
        <v>0</v>
      </c>
      <c r="K1331" s="126">
        <f>IF('Assumptions - Infrastructure'!$E$459&lt;&gt;0,IF(AND('Assumptions - Infrastructure'!$E467=3,K1325&gt;0,K1325&lt;=('Assumptions - Infrastructure'!$E$465-'Assumptions - Infrastructure'!$E$466)),K1327*J1332/SUM(K1332:$AH1332)-K1333,0),0)</f>
        <v>0</v>
      </c>
      <c r="L1331" s="126">
        <f>IF('Assumptions - Infrastructure'!$E$459&lt;&gt;0,IF(AND('Assumptions - Infrastructure'!$E467=3,L1325&gt;0,L1325&lt;=('Assumptions - Infrastructure'!$E$465-'Assumptions - Infrastructure'!$E$466)),L1327*K1332/SUM(L1332:$AH1332)-L1333,0),0)</f>
        <v>0</v>
      </c>
      <c r="M1331" s="126">
        <f>IF('Assumptions - Infrastructure'!$E$459&lt;&gt;0,IF(AND('Assumptions - Infrastructure'!$E467=3,M1325&gt;0,M1325&lt;=('Assumptions - Infrastructure'!$E$465-'Assumptions - Infrastructure'!$E$466)),M1327*L1332/SUM(M1332:$AH1332)-M1333,0),0)</f>
        <v>0</v>
      </c>
      <c r="N1331" s="126">
        <f>IF('Assumptions - Infrastructure'!$E$459&lt;&gt;0,IF(AND('Assumptions - Infrastructure'!$E467=3,N1325&gt;0,N1325&lt;=('Assumptions - Infrastructure'!$E$465-'Assumptions - Infrastructure'!$E$466)),N1327*M1332/SUM(N1332:$AH1332)-N1333,0),0)</f>
        <v>0</v>
      </c>
      <c r="O1331" s="126">
        <f>IF('Assumptions - Infrastructure'!$E$459&lt;&gt;0,IF(AND('Assumptions - Infrastructure'!$E467=3,O1325&gt;0,O1325&lt;=('Assumptions - Infrastructure'!$E$465-'Assumptions - Infrastructure'!$E$466)),O1327*N1332/SUM(O1332:$AH1332)-O1333,0),0)</f>
        <v>0</v>
      </c>
      <c r="P1331" s="126">
        <f>IF('Assumptions - Infrastructure'!$E$459&lt;&gt;0,IF(AND('Assumptions - Infrastructure'!$E467=3,P1325&gt;0,P1325&lt;=('Assumptions - Infrastructure'!$E$465-'Assumptions - Infrastructure'!$E$466)),P1327*O1332/SUM(P1332:$AH1332)-P1333,0),0)</f>
        <v>0</v>
      </c>
      <c r="Q1331" s="126">
        <f>IF('Assumptions - Infrastructure'!$E$459&lt;&gt;0,IF(AND('Assumptions - Infrastructure'!$E467=3,Q1325&gt;0,Q1325&lt;=('Assumptions - Infrastructure'!$E$465-'Assumptions - Infrastructure'!$E$466)),Q1327*P1332/SUM(Q1332:$AH1332)-Q1333,0),0)</f>
        <v>0</v>
      </c>
      <c r="R1331" s="126">
        <f>IF('Assumptions - Infrastructure'!$E$459&lt;&gt;0,IF(AND('Assumptions - Infrastructure'!$E467=3,R1325&gt;0,R1325&lt;=('Assumptions - Infrastructure'!$E$465-'Assumptions - Infrastructure'!$E$466)),R1327*Q1332/SUM(R1332:$AH1332)-R1333,0),0)</f>
        <v>0</v>
      </c>
      <c r="S1331" s="126">
        <f>IF('Assumptions - Infrastructure'!$E$459&lt;&gt;0,IF(AND('Assumptions - Infrastructure'!$E467=3,S1325&gt;0,S1325&lt;=('Assumptions - Infrastructure'!$E$465-'Assumptions - Infrastructure'!$E$466)),S1327*R1332/SUM(S1332:$AH1332)-S1333,0),0)</f>
        <v>0</v>
      </c>
      <c r="T1331" s="126">
        <f>IF('Assumptions - Infrastructure'!$E$459&lt;&gt;0,IF(AND('Assumptions - Infrastructure'!$E467=3,T1325&gt;0,T1325&lt;=('Assumptions - Infrastructure'!$E$465-'Assumptions - Infrastructure'!$E$466)),T1327*S1332/SUM(T1332:$AH1332)-T1333,0),0)</f>
        <v>0</v>
      </c>
      <c r="U1331" s="126">
        <f>IF('Assumptions - Infrastructure'!$E$459&lt;&gt;0,IF(AND('Assumptions - Infrastructure'!$E467=3,U1325&gt;0,U1325&lt;=('Assumptions - Infrastructure'!$E$465-'Assumptions - Infrastructure'!$E$466)),U1327*T1332/SUM(U1332:$AH1332)-U1333,0),0)</f>
        <v>0</v>
      </c>
      <c r="V1331" s="126">
        <f>IF('Assumptions - Infrastructure'!$E$459&lt;&gt;0,IF(AND('Assumptions - Infrastructure'!$E467=3,V1325&gt;0,V1325&lt;=('Assumptions - Infrastructure'!$E$465-'Assumptions - Infrastructure'!$E$466)),V1327*U1332/SUM(V1332:$AH1332)-V1333,0),0)</f>
        <v>0</v>
      </c>
      <c r="W1331" s="126">
        <f>IF('Assumptions - Infrastructure'!$E$459&lt;&gt;0,IF(AND('Assumptions - Infrastructure'!$E467=3,W1325&gt;0,W1325&lt;=('Assumptions - Infrastructure'!$E$465-'Assumptions - Infrastructure'!$E$466)),W1327*V1332/SUM(W1332:$AH1332)-W1333,0),0)</f>
        <v>0</v>
      </c>
      <c r="X1331" s="126">
        <f>IF('Assumptions - Infrastructure'!$E$459&lt;&gt;0,IF(AND('Assumptions - Infrastructure'!$E467=3,X1325&gt;0,X1325&lt;=('Assumptions - Infrastructure'!$E$465-'Assumptions - Infrastructure'!$E$466)),X1327*W1332/SUM(X1332:$AH1332)-X1333,0),0)</f>
        <v>0</v>
      </c>
      <c r="Y1331" s="126">
        <f>IF('Assumptions - Infrastructure'!$E$459&lt;&gt;0,IF(AND('Assumptions - Infrastructure'!$E467=3,Y1325&gt;0,Y1325&lt;=('Assumptions - Infrastructure'!$E$465-'Assumptions - Infrastructure'!$E$466)),Y1327*X1332/SUM(Y1332:$AH1332)-Y1333,0),0)</f>
        <v>0</v>
      </c>
      <c r="Z1331" s="126">
        <f>IF('Assumptions - Infrastructure'!$E$459&lt;&gt;0,IF(AND('Assumptions - Infrastructure'!$E467=3,Z1325&gt;0,Z1325&lt;=('Assumptions - Infrastructure'!$E$465-'Assumptions - Infrastructure'!$E$466)),Z1327*Y1332/SUM(Z1332:$AH1332)-Z1333,0),0)</f>
        <v>0</v>
      </c>
      <c r="AA1331" s="126">
        <f>IF('Assumptions - Infrastructure'!$E$459&lt;&gt;0,IF(AND('Assumptions - Infrastructure'!$E467=3,AA1325&gt;0,AA1325&lt;=('Assumptions - Infrastructure'!$E$465-'Assumptions - Infrastructure'!$E$466)),AA1327*Z1332/SUM(AA1332:$AH1332)-AA1333,0),0)</f>
        <v>0</v>
      </c>
      <c r="AB1331" s="126">
        <f>IF('Assumptions - Infrastructure'!$E$459&lt;&gt;0,IF(AND('Assumptions - Infrastructure'!$E467=3,AB1325&gt;0,AB1325&lt;=('Assumptions - Infrastructure'!$E$465-'Assumptions - Infrastructure'!$E$466)),AB1327*AA1332/SUM(AB1332:$AH1332)-AB1333,0),0)</f>
        <v>0</v>
      </c>
      <c r="AC1331" s="126">
        <f>IF('Assumptions - Infrastructure'!$E$459&lt;&gt;0,IF(AND('Assumptions - Infrastructure'!$E467=3,AC1325&gt;0,AC1325&lt;=('Assumptions - Infrastructure'!$E$465-'Assumptions - Infrastructure'!$E$466)),AC1327*AB1332/SUM(AC1332:$AH1332)-AC1333,0),0)</f>
        <v>0</v>
      </c>
      <c r="AD1331" s="126">
        <f>IF('Assumptions - Infrastructure'!$E$459&lt;&gt;0,IF(AND('Assumptions - Infrastructure'!$E467=3,AD1325&gt;0,AD1325&lt;=('Assumptions - Infrastructure'!$E$465-'Assumptions - Infrastructure'!$E$466)),AD1327*AC1332/SUM(AD1332:$AH1332)-AD1333,0),0)</f>
        <v>0</v>
      </c>
      <c r="AE1331" s="126">
        <f>IF('Assumptions - Infrastructure'!$E$459&lt;&gt;0,IF(AND('Assumptions - Infrastructure'!$E467=3,AE1325&gt;0,AE1325&lt;=('Assumptions - Infrastructure'!$E$465-'Assumptions - Infrastructure'!$E$466)),AE1327*AD1332/SUM(AE1332:$AH1332)-AE1333,0),0)</f>
        <v>0</v>
      </c>
      <c r="AF1331" s="126">
        <f>IF('Assumptions - Infrastructure'!$E$459&lt;&gt;0,IF(AND('Assumptions - Infrastructure'!$E467=3,AF1325&gt;0,AF1325&lt;=('Assumptions - Infrastructure'!$E$465-'Assumptions - Infrastructure'!$E$466)),AF1327*AE1332/SUM(AF1332:$AH1332)-AF1333,0),0)</f>
        <v>0</v>
      </c>
      <c r="AG1331" s="126">
        <f>IF('Assumptions - Infrastructure'!$E$459&lt;&gt;0,IF(AND('Assumptions - Infrastructure'!$E467=3,AG1325&gt;0,AG1325&lt;=('Assumptions - Infrastructure'!$E$465-'Assumptions - Infrastructure'!$E$466)),AG1327*AF1332/SUM(AG1332:$AH1332)-AG1333,0),0)</f>
        <v>0</v>
      </c>
      <c r="AH1331" s="126">
        <f>IF('Assumptions - Infrastructure'!$E$459&lt;&gt;0,IF(AND('Assumptions - Infrastructure'!$E467=3,AH1325&gt;0,AH1325&lt;=('Assumptions - Infrastructure'!$E$465-'Assumptions - Infrastructure'!$E$466)),AH1327*AG1332/SUM(AH1332:$AH1332)-AH1333,0),0)</f>
        <v>0</v>
      </c>
    </row>
    <row r="1332" spans="1:34" s="20" customFormat="1" ht="14" x14ac:dyDescent="0.2">
      <c r="B1332" s="127" t="s">
        <v>677</v>
      </c>
      <c r="D1332" s="87">
        <v>1</v>
      </c>
      <c r="E1332" s="126">
        <f>IF('Assumptions - Infrastructure'!$E$459&lt;&gt;0,IF(AND('Assumptions - Infrastructure'!$E467=3,E1325&lt;=('Assumptions - Infrastructure'!$E$465-'Assumptions - Infrastructure'!$E$466)),D1332/(1+E1326),0),0)</f>
        <v>0</v>
      </c>
      <c r="F1332" s="126">
        <f>IF('Assumptions - Infrastructure'!$E$459&lt;&gt;0,IF(AND('Assumptions - Infrastructure'!$E467=3,F1325&lt;=('Assumptions - Infrastructure'!$E$465-'Assumptions - Infrastructure'!$E$466)),E1332/(1+F1326),0),0)</f>
        <v>0</v>
      </c>
      <c r="G1332" s="126">
        <f>IF('Assumptions - Infrastructure'!$E$459&lt;&gt;0,IF(AND('Assumptions - Infrastructure'!$E467=3,G1325&lt;=('Assumptions - Infrastructure'!$E$465-'Assumptions - Infrastructure'!$E$466)),F1332/(1+G1326),0),0)</f>
        <v>0</v>
      </c>
      <c r="H1332" s="126">
        <f>IF('Assumptions - Infrastructure'!$E$459&lt;&gt;0,IF(AND('Assumptions - Infrastructure'!$E467=3,H1325&lt;=('Assumptions - Infrastructure'!$E$465-'Assumptions - Infrastructure'!$E$466)),G1332/(1+H1326),0),0)</f>
        <v>0</v>
      </c>
      <c r="I1332" s="126">
        <f>IF('Assumptions - Infrastructure'!$E$459&lt;&gt;0,IF(AND('Assumptions - Infrastructure'!$E467=3,I1325&lt;=('Assumptions - Infrastructure'!$E$465-'Assumptions - Infrastructure'!$E$466)),H1332/(1+I1326),0),0)</f>
        <v>0</v>
      </c>
      <c r="J1332" s="126">
        <f>IF('Assumptions - Infrastructure'!$E$459&lt;&gt;0,IF(AND('Assumptions - Infrastructure'!$E467=3,J1325&lt;=('Assumptions - Infrastructure'!$E$465-'Assumptions - Infrastructure'!$E$466)),I1332/(1+J1326),0),0)</f>
        <v>0</v>
      </c>
      <c r="K1332" s="126">
        <f>IF('Assumptions - Infrastructure'!$E$459&lt;&gt;0,IF(AND('Assumptions - Infrastructure'!$E467=3,K1325&lt;=('Assumptions - Infrastructure'!$E$465-'Assumptions - Infrastructure'!$E$466)),J1332/(1+K1326),0),0)</f>
        <v>0</v>
      </c>
      <c r="L1332" s="126">
        <f>IF('Assumptions - Infrastructure'!$E$459&lt;&gt;0,IF(AND('Assumptions - Infrastructure'!$E467=3,L1325&lt;=('Assumptions - Infrastructure'!$E$465-'Assumptions - Infrastructure'!$E$466)),K1332/(1+L1326),0),0)</f>
        <v>0</v>
      </c>
      <c r="M1332" s="126">
        <f>IF('Assumptions - Infrastructure'!$E$459&lt;&gt;0,IF(AND('Assumptions - Infrastructure'!$E467=3,M1325&lt;=('Assumptions - Infrastructure'!$E$465-'Assumptions - Infrastructure'!$E$466)),L1332/(1+M1326),0),0)</f>
        <v>0</v>
      </c>
      <c r="N1332" s="126">
        <f>IF('Assumptions - Infrastructure'!$E$459&lt;&gt;0,IF(AND('Assumptions - Infrastructure'!$E467=3,N1325&lt;=('Assumptions - Infrastructure'!$E$465-'Assumptions - Infrastructure'!$E$466)),M1332/(1+N1326),0),0)</f>
        <v>0</v>
      </c>
      <c r="O1332" s="126">
        <f>IF('Assumptions - Infrastructure'!$E$459&lt;&gt;0,IF(AND('Assumptions - Infrastructure'!$E467=3,O1325&lt;=('Assumptions - Infrastructure'!$E$465-'Assumptions - Infrastructure'!$E$466)),N1332/(1+O1326),0),0)</f>
        <v>0</v>
      </c>
      <c r="P1332" s="126">
        <f>IF('Assumptions - Infrastructure'!$E$459&lt;&gt;0,IF(AND('Assumptions - Infrastructure'!$E467=3,P1325&lt;=('Assumptions - Infrastructure'!$E$465-'Assumptions - Infrastructure'!$E$466)),O1332/(1+P1326),0),0)</f>
        <v>0</v>
      </c>
      <c r="Q1332" s="126">
        <f>IF('Assumptions - Infrastructure'!$E$459&lt;&gt;0,IF(AND('Assumptions - Infrastructure'!$E467=3,Q1325&lt;=('Assumptions - Infrastructure'!$E$465-'Assumptions - Infrastructure'!$E$466)),P1332/(1+Q1326),0),0)</f>
        <v>0</v>
      </c>
      <c r="R1332" s="126">
        <f>IF('Assumptions - Infrastructure'!$E$459&lt;&gt;0,IF(AND('Assumptions - Infrastructure'!$E467=3,R1325&lt;=('Assumptions - Infrastructure'!$E$465-'Assumptions - Infrastructure'!$E$466)),Q1332/(1+R1326),0),0)</f>
        <v>0</v>
      </c>
      <c r="S1332" s="126">
        <f>IF('Assumptions - Infrastructure'!$E$459&lt;&gt;0,IF(AND('Assumptions - Infrastructure'!$E467=3,S1325&lt;=('Assumptions - Infrastructure'!$E$465-'Assumptions - Infrastructure'!$E$466)),R1332/(1+S1326),0),0)</f>
        <v>0</v>
      </c>
      <c r="T1332" s="126">
        <f>IF('Assumptions - Infrastructure'!$E$459&lt;&gt;0,IF(AND('Assumptions - Infrastructure'!$E467=3,T1325&lt;=('Assumptions - Infrastructure'!$E$465-'Assumptions - Infrastructure'!$E$466)),S1332/(1+T1326),0),0)</f>
        <v>0</v>
      </c>
      <c r="U1332" s="126">
        <f>IF('Assumptions - Infrastructure'!$E$459&lt;&gt;0,IF(AND('Assumptions - Infrastructure'!$E467=3,U1325&lt;=('Assumptions - Infrastructure'!$E$465-'Assumptions - Infrastructure'!$E$466)),T1332/(1+U1326),0),0)</f>
        <v>0</v>
      </c>
      <c r="V1332" s="126">
        <f>IF('Assumptions - Infrastructure'!$E$459&lt;&gt;0,IF(AND('Assumptions - Infrastructure'!$E467=3,V1325&lt;=('Assumptions - Infrastructure'!$E$465-'Assumptions - Infrastructure'!$E$466)),U1332/(1+V1326),0),0)</f>
        <v>0</v>
      </c>
      <c r="W1332" s="126">
        <f>IF('Assumptions - Infrastructure'!$E$459&lt;&gt;0,IF(AND('Assumptions - Infrastructure'!$E467=3,W1325&lt;=('Assumptions - Infrastructure'!$E$465-'Assumptions - Infrastructure'!$E$466)),V1332/(1+W1326),0),0)</f>
        <v>0</v>
      </c>
      <c r="X1332" s="126">
        <f>IF('Assumptions - Infrastructure'!$E$459&lt;&gt;0,IF(AND('Assumptions - Infrastructure'!$E467=3,X1325&lt;=('Assumptions - Infrastructure'!$E$465-'Assumptions - Infrastructure'!$E$466)),W1332/(1+X1326),0),0)</f>
        <v>0</v>
      </c>
      <c r="Y1332" s="126">
        <f>IF('Assumptions - Infrastructure'!$E$459&lt;&gt;0,IF(AND('Assumptions - Infrastructure'!$E467=3,Y1325&lt;=('Assumptions - Infrastructure'!$E$465-'Assumptions - Infrastructure'!$E$466)),X1332/(1+Y1326),0),0)</f>
        <v>0</v>
      </c>
      <c r="Z1332" s="126">
        <f>IF('Assumptions - Infrastructure'!$E$459&lt;&gt;0,IF(AND('Assumptions - Infrastructure'!$E467=3,Z1325&lt;=('Assumptions - Infrastructure'!$E$465-'Assumptions - Infrastructure'!$E$466)),Y1332/(1+Z1326),0),0)</f>
        <v>0</v>
      </c>
      <c r="AA1332" s="126">
        <f>IF('Assumptions - Infrastructure'!$E$459&lt;&gt;0,IF(AND('Assumptions - Infrastructure'!$E467=3,AA1325&lt;=('Assumptions - Infrastructure'!$E$465-'Assumptions - Infrastructure'!$E$466)),Z1332/(1+AA1326),0),0)</f>
        <v>0</v>
      </c>
      <c r="AB1332" s="126">
        <f>IF('Assumptions - Infrastructure'!$E$459&lt;&gt;0,IF(AND('Assumptions - Infrastructure'!$E467=3,AB1325&lt;=('Assumptions - Infrastructure'!$E$465-'Assumptions - Infrastructure'!$E$466)),AA1332/(1+AB1326),0),0)</f>
        <v>0</v>
      </c>
      <c r="AC1332" s="126">
        <f>IF('Assumptions - Infrastructure'!$E$459&lt;&gt;0,IF(AND('Assumptions - Infrastructure'!$E467=3,AC1325&lt;=('Assumptions - Infrastructure'!$E$465-'Assumptions - Infrastructure'!$E$466)),AB1332/(1+AC1326),0),0)</f>
        <v>0</v>
      </c>
      <c r="AD1332" s="126">
        <f>IF('Assumptions - Infrastructure'!$E$459&lt;&gt;0,IF(AND('Assumptions - Infrastructure'!$E467=3,AD1325&lt;=('Assumptions - Infrastructure'!$E$465-'Assumptions - Infrastructure'!$E$466)),AC1332/(1+AD1326),0),0)</f>
        <v>0</v>
      </c>
      <c r="AE1332" s="126">
        <f>IF('Assumptions - Infrastructure'!$E$459&lt;&gt;0,IF(AND('Assumptions - Infrastructure'!$E467=3,AE1325&lt;=('Assumptions - Infrastructure'!$E$465-'Assumptions - Infrastructure'!$E$466)),AD1332/(1+AE1326),0),0)</f>
        <v>0</v>
      </c>
      <c r="AF1332" s="126">
        <f>IF('Assumptions - Infrastructure'!$E$459&lt;&gt;0,IF(AND('Assumptions - Infrastructure'!$E467=3,AF1325&lt;=('Assumptions - Infrastructure'!$E$465-'Assumptions - Infrastructure'!$E$466)),AE1332/(1+AF1326),0),0)</f>
        <v>0</v>
      </c>
      <c r="AG1332" s="126">
        <f>IF('Assumptions - Infrastructure'!$E$459&lt;&gt;0,IF(AND('Assumptions - Infrastructure'!$E467=3,AG1325&lt;=('Assumptions - Infrastructure'!$E$465-'Assumptions - Infrastructure'!$E$466)),AF1332/(1+AG1326),0),0)</f>
        <v>0</v>
      </c>
      <c r="AH1332" s="126">
        <f>IF('Assumptions - Infrastructure'!$E$459&lt;&gt;0,IF(AND('Assumptions - Infrastructure'!$E467=3,AH1325&lt;=('Assumptions - Infrastructure'!$E$465-'Assumptions - Infrastructure'!$E$466)),AG1332/(1+AH1326),0),0)</f>
        <v>0</v>
      </c>
    </row>
    <row r="1333" spans="1:34" s="20" customFormat="1" ht="14" x14ac:dyDescent="0.2">
      <c r="A1333" s="8"/>
      <c r="B1333" s="125" t="s">
        <v>679</v>
      </c>
      <c r="C1333" s="8"/>
      <c r="D1333" s="8" t="str">
        <f>D1331</f>
        <v>R$ millions</v>
      </c>
      <c r="E1333" s="126">
        <f>IF('Assumptions - Infrastructure'!$E$459&lt;&gt;0,IF('Assumptions - Infrastructure'!$E467=3,E1326*E1327,0),0)</f>
        <v>0</v>
      </c>
      <c r="F1333" s="126">
        <f>IF('Assumptions - Infrastructure'!$E$459&lt;&gt;0,IF('Assumptions - Infrastructure'!$E467=3,F1326*F1327,0),0)</f>
        <v>0</v>
      </c>
      <c r="G1333" s="126">
        <f>IF('Assumptions - Infrastructure'!$E$459&lt;&gt;0,IF('Assumptions - Infrastructure'!$E467=3,G1326*G1327,0),0)</f>
        <v>0</v>
      </c>
      <c r="H1333" s="126">
        <f>IF('Assumptions - Infrastructure'!$E$459&lt;&gt;0,IF('Assumptions - Infrastructure'!$E467=3,H1326*H1327,0),0)</f>
        <v>0</v>
      </c>
      <c r="I1333" s="126">
        <f>IF('Assumptions - Infrastructure'!$E$459&lt;&gt;0,IF('Assumptions - Infrastructure'!$E467=3,I1326*I1327,0),0)</f>
        <v>0</v>
      </c>
      <c r="J1333" s="126">
        <f>IF('Assumptions - Infrastructure'!$E$459&lt;&gt;0,IF('Assumptions - Infrastructure'!$E467=3,J1326*J1327,0),0)</f>
        <v>0</v>
      </c>
      <c r="K1333" s="126">
        <f>IF('Assumptions - Infrastructure'!$E$459&lt;&gt;0,IF('Assumptions - Infrastructure'!$E467=3,K1326*K1327,0),0)</f>
        <v>0</v>
      </c>
      <c r="L1333" s="126">
        <f>IF('Assumptions - Infrastructure'!$E$459&lt;&gt;0,IF('Assumptions - Infrastructure'!$E467=3,L1326*L1327,0),0)</f>
        <v>0</v>
      </c>
      <c r="M1333" s="126">
        <f>IF('Assumptions - Infrastructure'!$E$459&lt;&gt;0,IF('Assumptions - Infrastructure'!$E467=3,M1326*M1327,0),0)</f>
        <v>0</v>
      </c>
      <c r="N1333" s="126">
        <f>IF('Assumptions - Infrastructure'!$E$459&lt;&gt;0,IF('Assumptions - Infrastructure'!$E467=3,N1326*N1327,0),0)</f>
        <v>0</v>
      </c>
      <c r="O1333" s="126">
        <f>IF('Assumptions - Infrastructure'!$E$459&lt;&gt;0,IF('Assumptions - Infrastructure'!$E467=3,O1326*O1327,0),0)</f>
        <v>0</v>
      </c>
      <c r="P1333" s="126">
        <f>IF('Assumptions - Infrastructure'!$E$459&lt;&gt;0,IF('Assumptions - Infrastructure'!$E467=3,P1326*P1327,0),0)</f>
        <v>0</v>
      </c>
      <c r="Q1333" s="126">
        <f>IF('Assumptions - Infrastructure'!$E$459&lt;&gt;0,IF('Assumptions - Infrastructure'!$E467=3,Q1326*Q1327,0),0)</f>
        <v>0</v>
      </c>
      <c r="R1333" s="126">
        <f>IF('Assumptions - Infrastructure'!$E$459&lt;&gt;0,IF('Assumptions - Infrastructure'!$E467=3,R1326*R1327,0),0)</f>
        <v>0</v>
      </c>
      <c r="S1333" s="126">
        <f>IF('Assumptions - Infrastructure'!$E$459&lt;&gt;0,IF('Assumptions - Infrastructure'!$E467=3,S1326*S1327,0),0)</f>
        <v>0</v>
      </c>
      <c r="T1333" s="126">
        <f>IF('Assumptions - Infrastructure'!$E$459&lt;&gt;0,IF('Assumptions - Infrastructure'!$E467=3,T1326*T1327,0),0)</f>
        <v>0</v>
      </c>
      <c r="U1333" s="126">
        <f>IF('Assumptions - Infrastructure'!$E$459&lt;&gt;0,IF('Assumptions - Infrastructure'!$E467=3,U1326*U1327,0),0)</f>
        <v>0</v>
      </c>
      <c r="V1333" s="126">
        <f>IF('Assumptions - Infrastructure'!$E$459&lt;&gt;0,IF('Assumptions - Infrastructure'!$E467=3,V1326*V1327,0),0)</f>
        <v>0</v>
      </c>
      <c r="W1333" s="126">
        <f>IF('Assumptions - Infrastructure'!$E$459&lt;&gt;0,IF('Assumptions - Infrastructure'!$E467=3,W1326*W1327,0),0)</f>
        <v>0</v>
      </c>
      <c r="X1333" s="126">
        <f>IF('Assumptions - Infrastructure'!$E$459&lt;&gt;0,IF('Assumptions - Infrastructure'!$E467=3,X1326*X1327,0),0)</f>
        <v>0</v>
      </c>
      <c r="Y1333" s="126">
        <f>IF('Assumptions - Infrastructure'!$E$459&lt;&gt;0,IF('Assumptions - Infrastructure'!$E467=3,Y1326*Y1327,0),0)</f>
        <v>0</v>
      </c>
      <c r="Z1333" s="126">
        <f>IF('Assumptions - Infrastructure'!$E$459&lt;&gt;0,IF('Assumptions - Infrastructure'!$E467=3,Z1326*Z1327,0),0)</f>
        <v>0</v>
      </c>
      <c r="AA1333" s="126">
        <f>IF('Assumptions - Infrastructure'!$E$459&lt;&gt;0,IF('Assumptions - Infrastructure'!$E467=3,AA1326*AA1327,0),0)</f>
        <v>0</v>
      </c>
      <c r="AB1333" s="126">
        <f>IF('Assumptions - Infrastructure'!$E$459&lt;&gt;0,IF('Assumptions - Infrastructure'!$E467=3,AB1326*AB1327,0),0)</f>
        <v>0</v>
      </c>
      <c r="AC1333" s="126">
        <f>IF('Assumptions - Infrastructure'!$E$459&lt;&gt;0,IF('Assumptions - Infrastructure'!$E467=3,AC1326*AC1327,0),0)</f>
        <v>0</v>
      </c>
      <c r="AD1333" s="126">
        <f>IF('Assumptions - Infrastructure'!$E$459&lt;&gt;0,IF('Assumptions - Infrastructure'!$E467=3,AD1326*AD1327,0),0)</f>
        <v>0</v>
      </c>
      <c r="AE1333" s="126">
        <f>IF('Assumptions - Infrastructure'!$E$459&lt;&gt;0,IF('Assumptions - Infrastructure'!$E467=3,AE1326*AE1327,0),0)</f>
        <v>0</v>
      </c>
      <c r="AF1333" s="126">
        <f>IF('Assumptions - Infrastructure'!$E$459&lt;&gt;0,IF('Assumptions - Infrastructure'!$E467=3,AF1326*AF1327,0),0)</f>
        <v>0</v>
      </c>
      <c r="AG1333" s="126">
        <f>IF('Assumptions - Infrastructure'!$E$459&lt;&gt;0,IF('Assumptions - Infrastructure'!$E467=3,AG1326*AG1327,0),0)</f>
        <v>0</v>
      </c>
      <c r="AH1333" s="126">
        <f>IF('Assumptions - Infrastructure'!$E$459&lt;&gt;0,IF('Assumptions - Infrastructure'!$E467=3,AH1326*AH1327,0),0)</f>
        <v>0</v>
      </c>
    </row>
    <row r="1334" spans="1:34" s="20" customFormat="1" ht="14" x14ac:dyDescent="0.2">
      <c r="A1334" s="8"/>
      <c r="B1334" s="8" t="s">
        <v>137</v>
      </c>
      <c r="C1334" s="8"/>
      <c r="D1334" s="8" t="str">
        <f t="shared" si="514"/>
        <v>R$ millions</v>
      </c>
      <c r="E1334" s="126">
        <f>IF(E$19=1,IF('Assumptions - Infrastructure'!$E$459&gt;0,'Assumptions - Infrastructure'!E460,0),0)</f>
        <v>0</v>
      </c>
      <c r="F1334" s="126">
        <f>IF(F$19=1,IF('Assumptions - Infrastructure'!$E$459&gt;0,'Assumptions - Infrastructure'!F460,0),0)</f>
        <v>0</v>
      </c>
      <c r="G1334" s="126">
        <f>IF(G$19=1,IF('Assumptions - Infrastructure'!$E$459&gt;0,'Assumptions - Infrastructure'!G460,0),0)</f>
        <v>10</v>
      </c>
      <c r="H1334" s="126">
        <f>IF(H$19=1,IF('Assumptions - Infrastructure'!$E$459&gt;0,'Assumptions - Infrastructure'!H460,0),0)</f>
        <v>10</v>
      </c>
      <c r="I1334" s="126">
        <f>IF(I$19=1,IF('Assumptions - Infrastructure'!$E$459&gt;0,'Assumptions - Infrastructure'!I460,0),0)</f>
        <v>10</v>
      </c>
      <c r="J1334" s="126">
        <f>IF(J$19=1,IF('Assumptions - Infrastructure'!$E$459&gt;0,'Assumptions - Infrastructure'!J460,0),0)</f>
        <v>10</v>
      </c>
      <c r="K1334" s="126">
        <f>IF(K$19=1,IF('Assumptions - Infrastructure'!$E$459&gt;0,'Assumptions - Infrastructure'!K460,0),0)</f>
        <v>10</v>
      </c>
      <c r="L1334" s="126">
        <f>IF(L$19=1,IF('Assumptions - Infrastructure'!$E$459&gt;0,'Assumptions - Infrastructure'!L460,0),0)</f>
        <v>0</v>
      </c>
      <c r="M1334" s="126">
        <f>IF(M$19=1,IF('Assumptions - Infrastructure'!$E$459&gt;0,'Assumptions - Infrastructure'!M460,0),0)</f>
        <v>0</v>
      </c>
      <c r="N1334" s="126">
        <f>IF(N$19=1,IF('Assumptions - Infrastructure'!$E$459&gt;0,'Assumptions - Infrastructure'!N460,0),0)</f>
        <v>0</v>
      </c>
      <c r="O1334" s="126">
        <f>IF(O$19=1,IF('Assumptions - Infrastructure'!$E$459&gt;0,'Assumptions - Infrastructure'!O460,0),0)</f>
        <v>0</v>
      </c>
      <c r="P1334" s="126">
        <f>IF(P$19=1,IF('Assumptions - Infrastructure'!$E$459&gt;0,'Assumptions - Infrastructure'!P460,0),0)</f>
        <v>0</v>
      </c>
      <c r="Q1334" s="126">
        <f>IF(Q$19=1,IF('Assumptions - Infrastructure'!$E$459&gt;0,'Assumptions - Infrastructure'!Q460,0),0)</f>
        <v>0</v>
      </c>
      <c r="R1334" s="126">
        <f>IF(R$19=1,IF('Assumptions - Infrastructure'!$E$459&gt;0,'Assumptions - Infrastructure'!R460,0),0)</f>
        <v>0</v>
      </c>
      <c r="S1334" s="126">
        <f>IF(S$19=1,IF('Assumptions - Infrastructure'!$E$459&gt;0,'Assumptions - Infrastructure'!S460,0),0)</f>
        <v>0</v>
      </c>
      <c r="T1334" s="126">
        <f>IF(T$19=1,IF('Assumptions - Infrastructure'!$E$459&gt;0,'Assumptions - Infrastructure'!T460,0),0)</f>
        <v>0</v>
      </c>
      <c r="U1334" s="126">
        <f>IF(U$19=1,IF('Assumptions - Infrastructure'!$E$459&gt;0,'Assumptions - Infrastructure'!U460,0),0)</f>
        <v>0</v>
      </c>
      <c r="V1334" s="126">
        <f>IF(V$19=1,IF('Assumptions - Infrastructure'!$E$459&gt;0,'Assumptions - Infrastructure'!V460,0),0)</f>
        <v>0</v>
      </c>
      <c r="W1334" s="126">
        <f>IF(W$19=1,IF('Assumptions - Infrastructure'!$E$459&gt;0,'Assumptions - Infrastructure'!W460,0),0)</f>
        <v>0</v>
      </c>
      <c r="X1334" s="126">
        <f>IF(X$19=1,IF('Assumptions - Infrastructure'!$E$459&gt;0,'Assumptions - Infrastructure'!X460,0),0)</f>
        <v>0</v>
      </c>
      <c r="Y1334" s="126">
        <f>IF(Y$19=1,IF('Assumptions - Infrastructure'!$E$459&gt;0,'Assumptions - Infrastructure'!Y460,0),0)</f>
        <v>0</v>
      </c>
      <c r="Z1334" s="126">
        <f>IF(Z$19=1,IF('Assumptions - Infrastructure'!$E$459&gt;0,'Assumptions - Infrastructure'!Z460,0),0)</f>
        <v>0</v>
      </c>
      <c r="AA1334" s="126">
        <f>IF(AA$19=1,IF('Assumptions - Infrastructure'!$E$459&gt;0,'Assumptions - Infrastructure'!AA460,0),0)</f>
        <v>0</v>
      </c>
      <c r="AB1334" s="126">
        <f>IF(AB$19=1,IF('Assumptions - Infrastructure'!$E$459&gt;0,'Assumptions - Infrastructure'!AB460,0),0)</f>
        <v>0</v>
      </c>
      <c r="AC1334" s="126">
        <f>IF(AC$19=1,IF('Assumptions - Infrastructure'!$E$459&gt;0,'Assumptions - Infrastructure'!AC460,0),0)</f>
        <v>0</v>
      </c>
      <c r="AD1334" s="126">
        <f>IF(AD$19=1,IF('Assumptions - Infrastructure'!$E$459&gt;0,'Assumptions - Infrastructure'!AD460,0),0)</f>
        <v>0</v>
      </c>
      <c r="AE1334" s="126">
        <f>IF(AE$19=1,IF('Assumptions - Infrastructure'!$E$459&gt;0,'Assumptions - Infrastructure'!AE460,0),0)</f>
        <v>0</v>
      </c>
      <c r="AF1334" s="126">
        <f>IF(AF$19=1,IF('Assumptions - Infrastructure'!$E$459&gt;0,'Assumptions - Infrastructure'!AF460,0),0)</f>
        <v>0</v>
      </c>
      <c r="AG1334" s="126">
        <f>IF(AG$19=1,IF('Assumptions - Infrastructure'!$E$459&gt;0,'Assumptions - Infrastructure'!AG460,0),0)</f>
        <v>0</v>
      </c>
      <c r="AH1334" s="126">
        <f>IF(AH$19=1,IF('Assumptions - Infrastructure'!$E$459&gt;0,'Assumptions - Infrastructure'!AH460,0),0)</f>
        <v>0</v>
      </c>
    </row>
    <row r="1335" spans="1:34" s="20" customFormat="1" ht="14" x14ac:dyDescent="0.2">
      <c r="A1335" s="8"/>
      <c r="B1335" s="8" t="s">
        <v>138</v>
      </c>
      <c r="C1335" s="8"/>
      <c r="D1335" s="8" t="str">
        <f t="shared" si="514"/>
        <v>R$ millions</v>
      </c>
      <c r="E1335" s="126">
        <f>IF('Assumptions - Infrastructure'!$E$459&lt;&gt;0,E1327-E1328+E1334,0)</f>
        <v>0</v>
      </c>
      <c r="F1335" s="126">
        <f>IF('Assumptions - Infrastructure'!$E$459&lt;&gt;0,F1327-F1328+F1334,0)</f>
        <v>0</v>
      </c>
      <c r="G1335" s="126">
        <f>IF('Assumptions - Infrastructure'!$E$459&lt;&gt;0,G1327-G1328+G1334,0)</f>
        <v>10</v>
      </c>
      <c r="H1335" s="126">
        <f>IF('Assumptions - Infrastructure'!$E$459&lt;&gt;0,H1327-H1328+H1334,0)</f>
        <v>20</v>
      </c>
      <c r="I1335" s="126">
        <f>IF('Assumptions - Infrastructure'!$E$459&lt;&gt;0,I1327-I1328+I1334,0)</f>
        <v>30</v>
      </c>
      <c r="J1335" s="126">
        <f>IF('Assumptions - Infrastructure'!$E$459&lt;&gt;0,J1327-J1328+J1334,0)</f>
        <v>40</v>
      </c>
      <c r="K1335" s="126">
        <f>IF('Assumptions - Infrastructure'!$E$459&lt;&gt;0,K1327-K1328+K1334,0)</f>
        <v>50</v>
      </c>
      <c r="L1335" s="126">
        <f>IF('Assumptions - Infrastructure'!$E$459&lt;&gt;0,L1327-L1328+L1334,0)</f>
        <v>50</v>
      </c>
      <c r="M1335" s="126">
        <f>IF('Assumptions - Infrastructure'!$E$459&lt;&gt;0,M1327-M1328+M1334,0)</f>
        <v>50</v>
      </c>
      <c r="N1335" s="126">
        <f>IF('Assumptions - Infrastructure'!$E$459&lt;&gt;0,N1327-N1328+N1334,0)</f>
        <v>50</v>
      </c>
      <c r="O1335" s="126">
        <f>IF('Assumptions - Infrastructure'!$E$459&lt;&gt;0,O1327-O1328+O1334,0)</f>
        <v>50</v>
      </c>
      <c r="P1335" s="126">
        <f>IF('Assumptions - Infrastructure'!$E$459&lt;&gt;0,P1327-P1328+P1334,0)</f>
        <v>50</v>
      </c>
      <c r="Q1335" s="126">
        <f>IF('Assumptions - Infrastructure'!$E$459&lt;&gt;0,Q1327-Q1328+Q1334,0)</f>
        <v>50</v>
      </c>
      <c r="R1335" s="126">
        <f>IF('Assumptions - Infrastructure'!$E$459&lt;&gt;0,R1327-R1328+R1334,0)</f>
        <v>50</v>
      </c>
      <c r="S1335" s="126">
        <f>IF('Assumptions - Infrastructure'!$E$459&lt;&gt;0,S1327-S1328+S1334,0)</f>
        <v>50</v>
      </c>
      <c r="T1335" s="126">
        <f>IF('Assumptions - Infrastructure'!$E$459&lt;&gt;0,T1327-T1328+T1334,0)</f>
        <v>50</v>
      </c>
      <c r="U1335" s="126">
        <f>IF('Assumptions - Infrastructure'!$E$459&lt;&gt;0,U1327-U1328+U1334,0)</f>
        <v>0</v>
      </c>
      <c r="V1335" s="126">
        <f>IF('Assumptions - Infrastructure'!$E$459&lt;&gt;0,V1327-V1328+V1334,0)</f>
        <v>0</v>
      </c>
      <c r="W1335" s="126">
        <f>IF('Assumptions - Infrastructure'!$E$459&lt;&gt;0,W1327-W1328+W1334,0)</f>
        <v>0</v>
      </c>
      <c r="X1335" s="126">
        <f>IF('Assumptions - Infrastructure'!$E$459&lt;&gt;0,X1327-X1328+X1334,0)</f>
        <v>0</v>
      </c>
      <c r="Y1335" s="126">
        <f>IF('Assumptions - Infrastructure'!$E$459&lt;&gt;0,Y1327-Y1328+Y1334,0)</f>
        <v>0</v>
      </c>
      <c r="Z1335" s="126">
        <f>IF('Assumptions - Infrastructure'!$E$459&lt;&gt;0,Z1327-Z1328+Z1334,0)</f>
        <v>0</v>
      </c>
      <c r="AA1335" s="126">
        <f>IF('Assumptions - Infrastructure'!$E$459&lt;&gt;0,AA1327-AA1328+AA1334,0)</f>
        <v>0</v>
      </c>
      <c r="AB1335" s="126">
        <f>IF('Assumptions - Infrastructure'!$E$459&lt;&gt;0,AB1327-AB1328+AB1334,0)</f>
        <v>0</v>
      </c>
      <c r="AC1335" s="126">
        <f>IF('Assumptions - Infrastructure'!$E$459&lt;&gt;0,AC1327-AC1328+AC1334,0)</f>
        <v>0</v>
      </c>
      <c r="AD1335" s="126">
        <f>IF('Assumptions - Infrastructure'!$E$459&lt;&gt;0,AD1327-AD1328+AD1334,0)</f>
        <v>0</v>
      </c>
      <c r="AE1335" s="126">
        <f>IF('Assumptions - Infrastructure'!$E$459&lt;&gt;0,AE1327-AE1328+AE1334,0)</f>
        <v>0</v>
      </c>
      <c r="AF1335" s="126">
        <f>IF('Assumptions - Infrastructure'!$E$459&lt;&gt;0,AF1327-AF1328+AF1334,0)</f>
        <v>0</v>
      </c>
      <c r="AG1335" s="126">
        <f>IF('Assumptions - Infrastructure'!$E$459&lt;&gt;0,AG1327-AG1328+AG1334,0)</f>
        <v>0</v>
      </c>
      <c r="AH1335" s="126">
        <f>IF('Assumptions - Infrastructure'!$E$459&lt;&gt;0,AH1327-AH1328+AH1334,0)</f>
        <v>0</v>
      </c>
    </row>
    <row r="1336" spans="1:34" s="20" customFormat="1" ht="14" x14ac:dyDescent="0.2">
      <c r="A1336" s="8"/>
      <c r="B1336" s="8" t="s">
        <v>139</v>
      </c>
      <c r="C1336" s="8"/>
      <c r="D1336" s="8" t="str">
        <f t="shared" si="514"/>
        <v>R$ millions</v>
      </c>
      <c r="E1336" s="126">
        <f>IF(E$19=1,IF('Assumptions - Infrastructure'!$E$459&lt;&gt;0,IF(AND('Assumptions - Infrastructure'!$E$467=3,E1325&gt;0),Calculations!E1333,((E1327+E1335)/2)*E1326),0),0)</f>
        <v>0</v>
      </c>
      <c r="F1336" s="126">
        <f>IF(F$19=1,IF('Assumptions - Infrastructure'!$E$459&lt;&gt;0,IF(AND('Assumptions - Infrastructure'!$E$467=3,F1325&gt;0),Calculations!F1333,((F1327+F1335)/2)*F1326),0),0)</f>
        <v>0</v>
      </c>
      <c r="G1336" s="126">
        <f>IF(G$19=1,IF('Assumptions - Infrastructure'!$E$459&lt;&gt;0,IF(AND('Assumptions - Infrastructure'!$E$467=3,G1325&gt;0),Calculations!G1333,((G1327+G1335)/2)*G1326),0),0)</f>
        <v>0.2485</v>
      </c>
      <c r="H1336" s="126">
        <f>IF(H$19=1,IF('Assumptions - Infrastructure'!$E$459&lt;&gt;0,IF(AND('Assumptions - Infrastructure'!$E$467=3,H1325&gt;0),Calculations!H1333,((H1327+H1335)/2)*H1326),0),0)</f>
        <v>0.8909999999999999</v>
      </c>
      <c r="I1336" s="126">
        <f>IF(I$19=1,IF('Assumptions - Infrastructure'!$E$459&lt;&gt;0,IF(AND('Assumptions - Infrastructure'!$E$467=3,I1325&gt;0),Calculations!I1333,((I1327+I1335)/2)*I1326),0),0)</f>
        <v>1.6575</v>
      </c>
      <c r="J1336" s="126">
        <f>IF(J$19=1,IF('Assumptions - Infrastructure'!$E$459&lt;&gt;0,IF(AND('Assumptions - Infrastructure'!$E$467=3,J1325&gt;0),Calculations!J1333,((J1327+J1335)/2)*J1326),0),0)</f>
        <v>2.4780000000000002</v>
      </c>
      <c r="K1336" s="126">
        <f>IF(K$19=1,IF('Assumptions - Infrastructure'!$E$459&lt;&gt;0,IF(AND('Assumptions - Infrastructure'!$E$467=3,K1325&gt;0),Calculations!K1333,((K1327+K1335)/2)*K1326),0),0)</f>
        <v>3.3210000000000002</v>
      </c>
      <c r="L1336" s="126">
        <f>IF(L$19=1,IF('Assumptions - Infrastructure'!$E$459&lt;&gt;0,IF(AND('Assumptions - Infrastructure'!$E$467=3,L1325&gt;0),Calculations!L1333,((L1327+L1335)/2)*L1326),0),0)</f>
        <v>3.7850000000000001</v>
      </c>
      <c r="M1336" s="126">
        <f>IF(M$19=1,IF('Assumptions - Infrastructure'!$E$459&lt;&gt;0,IF(AND('Assumptions - Infrastructure'!$E$467=3,M1325&gt;0),Calculations!M1333,((M1327+M1335)/2)*M1326),0),0)</f>
        <v>3.8850000000000002</v>
      </c>
      <c r="N1336" s="126">
        <f>IF(N$19=1,IF('Assumptions - Infrastructure'!$E$459&lt;&gt;0,IF(AND('Assumptions - Infrastructure'!$E$467=3,N1325&gt;0),Calculations!N1333,((N1327+N1335)/2)*N1326),0),0)</f>
        <v>3.9550000000000001</v>
      </c>
      <c r="O1336" s="126">
        <f>IF(O$19=1,IF('Assumptions - Infrastructure'!$E$459&lt;&gt;0,IF(AND('Assumptions - Infrastructure'!$E$467=3,O1325&gt;0),Calculations!O1333,((O1327+O1335)/2)*O1326),0),0)</f>
        <v>3.53</v>
      </c>
      <c r="P1336" s="126">
        <f>IF(P$19=1,IF('Assumptions - Infrastructure'!$E$459&lt;&gt;0,IF(AND('Assumptions - Infrastructure'!$E$467=3,P1325&gt;0),Calculations!P1333,((P1327+P1335)/2)*P1326),0),0)</f>
        <v>3.5000000000000004</v>
      </c>
      <c r="Q1336" s="126">
        <f>IF(Q$19=1,IF('Assumptions - Infrastructure'!$E$459&lt;&gt;0,IF(AND('Assumptions - Infrastructure'!$E$467=3,Q1325&gt;0),Calculations!Q1333,((Q1327+Q1335)/2)*Q1326),0),0)</f>
        <v>3.5000000000000004</v>
      </c>
      <c r="R1336" s="126">
        <f>IF(R$19=1,IF('Assumptions - Infrastructure'!$E$459&lt;&gt;0,IF(AND('Assumptions - Infrastructure'!$E$467=3,R1325&gt;0),Calculations!R1333,((R1327+R1335)/2)*R1326),0),0)</f>
        <v>3.5000000000000004</v>
      </c>
      <c r="S1336" s="126">
        <f>IF(S$19=1,IF('Assumptions - Infrastructure'!$E$459&lt;&gt;0,IF(AND('Assumptions - Infrastructure'!$E$467=3,S1325&gt;0),Calculations!S1333,((S1327+S1335)/2)*S1326),0),0)</f>
        <v>3.5000000000000004</v>
      </c>
      <c r="T1336" s="126">
        <f>IF(T$19=1,IF('Assumptions - Infrastructure'!$E$459&lt;&gt;0,IF(AND('Assumptions - Infrastructure'!$E$467=3,T1325&gt;0),Calculations!T1333,((T1327+T1335)/2)*T1326),0),0)</f>
        <v>3.5000000000000004</v>
      </c>
      <c r="U1336" s="126">
        <f>IF(U$19=1,IF('Assumptions - Infrastructure'!$E$459&lt;&gt;0,IF(AND('Assumptions - Infrastructure'!$E$467=3,U1325&gt;0),Calculations!U1333,((U1327+U1335)/2)*U1326),0),0)</f>
        <v>1.7500000000000002</v>
      </c>
      <c r="V1336" s="126">
        <f>IF(V$19=1,IF('Assumptions - Infrastructure'!$E$459&lt;&gt;0,IF(AND('Assumptions - Infrastructure'!$E$467=3,V1325&gt;0),Calculations!V1333,((V1327+V1335)/2)*V1326),0),0)</f>
        <v>0</v>
      </c>
      <c r="W1336" s="126">
        <f>IF(W$19=1,IF('Assumptions - Infrastructure'!$E$459&lt;&gt;0,IF(AND('Assumptions - Infrastructure'!$E$467=3,W1325&gt;0),Calculations!W1333,((W1327+W1335)/2)*W1326),0),0)</f>
        <v>0</v>
      </c>
      <c r="X1336" s="126">
        <f>IF(X$19=1,IF('Assumptions - Infrastructure'!$E$459&lt;&gt;0,IF(AND('Assumptions - Infrastructure'!$E$467=3,X1325&gt;0),Calculations!X1333,((X1327+X1335)/2)*X1326),0),0)</f>
        <v>0</v>
      </c>
      <c r="Y1336" s="126">
        <f>IF(Y$19=1,IF('Assumptions - Infrastructure'!$E$459&lt;&gt;0,IF(AND('Assumptions - Infrastructure'!$E$467=3,Y1325&gt;0),Calculations!Y1333,((Y1327+Y1335)/2)*Y1326),0),0)</f>
        <v>0</v>
      </c>
      <c r="Z1336" s="126">
        <f>IF(Z$19=1,IF('Assumptions - Infrastructure'!$E$459&lt;&gt;0,IF(AND('Assumptions - Infrastructure'!$E$467=3,Z1325&gt;0),Calculations!Z1333,((Z1327+Z1335)/2)*Z1326),0),0)</f>
        <v>0</v>
      </c>
      <c r="AA1336" s="126">
        <f>IF(AA$19=1,IF('Assumptions - Infrastructure'!$E$459&lt;&gt;0,IF(AND('Assumptions - Infrastructure'!$E$467=3,AA1325&gt;0),Calculations!AA1333,((AA1327+AA1335)/2)*AA1326),0),0)</f>
        <v>0</v>
      </c>
      <c r="AB1336" s="126">
        <f>IF(AB$19=1,IF('Assumptions - Infrastructure'!$E$459&lt;&gt;0,IF(AND('Assumptions - Infrastructure'!$E$467=3,AB1325&gt;0),Calculations!AB1333,((AB1327+AB1335)/2)*AB1326),0),0)</f>
        <v>0</v>
      </c>
      <c r="AC1336" s="126">
        <f>IF(AC$19=1,IF('Assumptions - Infrastructure'!$E$459&lt;&gt;0,IF(AND('Assumptions - Infrastructure'!$E$467=3,AC1325&gt;0),Calculations!AC1333,((AC1327+AC1335)/2)*AC1326),0),0)</f>
        <v>0</v>
      </c>
      <c r="AD1336" s="126">
        <f>IF(AD$19=1,IF('Assumptions - Infrastructure'!$E$459&lt;&gt;0,IF(AND('Assumptions - Infrastructure'!$E$467=3,AD1325&gt;0),Calculations!AD1333,((AD1327+AD1335)/2)*AD1326),0),0)</f>
        <v>0</v>
      </c>
      <c r="AE1336" s="126">
        <f>IF(AE$19=1,IF('Assumptions - Infrastructure'!$E$459&lt;&gt;0,IF(AND('Assumptions - Infrastructure'!$E$467=3,AE1325&gt;0),Calculations!AE1333,((AE1327+AE1335)/2)*AE1326),0),0)</f>
        <v>0</v>
      </c>
      <c r="AF1336" s="126">
        <f>IF(AF$19=1,IF('Assumptions - Infrastructure'!$E$459&lt;&gt;0,IF(AND('Assumptions - Infrastructure'!$E$467=3,AF1325&gt;0),Calculations!AF1333,((AF1327+AF1335)/2)*AF1326),0),0)</f>
        <v>0</v>
      </c>
      <c r="AG1336" s="126">
        <f>IF(AG$19=1,IF('Assumptions - Infrastructure'!$E$459&lt;&gt;0,IF(AND('Assumptions - Infrastructure'!$E$467=3,AG1325&gt;0),Calculations!AG1333,((AG1327+AG1335)/2)*AG1326),0),0)</f>
        <v>0</v>
      </c>
      <c r="AH1336" s="126">
        <f>IF(AH$19=1,IF('Assumptions - Infrastructure'!$E$459&lt;&gt;0,IF(AND('Assumptions - Infrastructure'!$E$467=3,AH1325&gt;0),Calculations!AH1333,((AH1327+AH1335)/2)*AH1326),0),0)</f>
        <v>0</v>
      </c>
    </row>
    <row r="1337" spans="1:34" s="20" customFormat="1" ht="14" x14ac:dyDescent="0.2">
      <c r="A1337" s="8"/>
      <c r="B1337" s="8" t="s">
        <v>53</v>
      </c>
      <c r="C1337" s="8"/>
      <c r="D1337" s="8" t="str">
        <f t="shared" si="514"/>
        <v>R$ millions</v>
      </c>
      <c r="E1337" s="126">
        <f>IF(E$19=1,IF('Assumptions - Infrastructure'!$E$456=Calculations!E$4,'Assumptions - Infrastructure'!$E$459*'Assumptions - Infrastructure'!$E$469,0),0)</f>
        <v>0</v>
      </c>
      <c r="F1337" s="126">
        <f>IF(F$19=1,IF('Assumptions - Infrastructure'!$E$456=Calculations!F$4,'Assumptions - Infrastructure'!$E$459*'Assumptions - Infrastructure'!$E$469,0),0)</f>
        <v>0</v>
      </c>
      <c r="G1337" s="126">
        <f>IF(G$19=1,IF('Assumptions - Infrastructure'!$E$456=Calculations!G$4,'Assumptions - Infrastructure'!$E$459*'Assumptions - Infrastructure'!$E$469,0),0)</f>
        <v>0.125</v>
      </c>
      <c r="H1337" s="126">
        <f>IF(H$19=1,IF('Assumptions - Infrastructure'!$E$456=Calculations!H$4,'Assumptions - Infrastructure'!$E$459*'Assumptions - Infrastructure'!$E$469,0),0)</f>
        <v>0</v>
      </c>
      <c r="I1337" s="126">
        <f>IF(I$19=1,IF('Assumptions - Infrastructure'!$E$456=Calculations!I$4,'Assumptions - Infrastructure'!$E$459*'Assumptions - Infrastructure'!$E$469,0),0)</f>
        <v>0</v>
      </c>
      <c r="J1337" s="126">
        <f>IF(J$19=1,IF('Assumptions - Infrastructure'!$E$456=Calculations!J$4,'Assumptions - Infrastructure'!$E$459*'Assumptions - Infrastructure'!$E$469,0),0)</f>
        <v>0</v>
      </c>
      <c r="K1337" s="126">
        <f>IF(K$19=1,IF('Assumptions - Infrastructure'!$E$456=Calculations!K$4,'Assumptions - Infrastructure'!$E$459*'Assumptions - Infrastructure'!$E$469,0),0)</f>
        <v>0</v>
      </c>
      <c r="L1337" s="126">
        <f>IF(L$19=1,IF('Assumptions - Infrastructure'!$E$456=Calculations!L$4,'Assumptions - Infrastructure'!$E$459*'Assumptions - Infrastructure'!$E$469,0),0)</f>
        <v>0</v>
      </c>
      <c r="M1337" s="126">
        <f>IF(M$19=1,IF('Assumptions - Infrastructure'!$E$456=Calculations!M$4,'Assumptions - Infrastructure'!$E$459*'Assumptions - Infrastructure'!$E$469,0),0)</f>
        <v>0</v>
      </c>
      <c r="N1337" s="126">
        <f>IF(N$19=1,IF('Assumptions - Infrastructure'!$E$456=Calculations!N$4,'Assumptions - Infrastructure'!$E$459*'Assumptions - Infrastructure'!$E$469,0),0)</f>
        <v>0</v>
      </c>
      <c r="O1337" s="126">
        <f>IF(O$19=1,IF('Assumptions - Infrastructure'!$E$456=Calculations!O$4,'Assumptions - Infrastructure'!$E$459*'Assumptions - Infrastructure'!$E$469,0),0)</f>
        <v>0</v>
      </c>
      <c r="P1337" s="126">
        <f>IF(P$19=1,IF('Assumptions - Infrastructure'!$E$456=Calculations!P$4,'Assumptions - Infrastructure'!$E$459*'Assumptions - Infrastructure'!$E$469,0),0)</f>
        <v>0</v>
      </c>
      <c r="Q1337" s="126">
        <f>IF(Q$19=1,IF('Assumptions - Infrastructure'!$E$456=Calculations!Q$4,'Assumptions - Infrastructure'!$E$459*'Assumptions - Infrastructure'!$E$469,0),0)</f>
        <v>0</v>
      </c>
      <c r="R1337" s="126">
        <f>IF(R$19=1,IF('Assumptions - Infrastructure'!$E$456=Calculations!R$4,'Assumptions - Infrastructure'!$E$459*'Assumptions - Infrastructure'!$E$469,0),0)</f>
        <v>0</v>
      </c>
      <c r="S1337" s="126">
        <f>IF(S$19=1,IF('Assumptions - Infrastructure'!$E$456=Calculations!S$4,'Assumptions - Infrastructure'!$E$459*'Assumptions - Infrastructure'!$E$469,0),0)</f>
        <v>0</v>
      </c>
      <c r="T1337" s="126">
        <f>IF(T$19=1,IF('Assumptions - Infrastructure'!$E$456=Calculations!T$4,'Assumptions - Infrastructure'!$E$459*'Assumptions - Infrastructure'!$E$469,0),0)</f>
        <v>0</v>
      </c>
      <c r="U1337" s="126">
        <f>IF(U$19=1,IF('Assumptions - Infrastructure'!$E$456=Calculations!U$4,'Assumptions - Infrastructure'!$E$459*'Assumptions - Infrastructure'!$E$469,0),0)</f>
        <v>0</v>
      </c>
      <c r="V1337" s="126">
        <f>IF(V$19=1,IF('Assumptions - Infrastructure'!$E$456=Calculations!V$4,'Assumptions - Infrastructure'!$E$459*'Assumptions - Infrastructure'!$E$469,0),0)</f>
        <v>0</v>
      </c>
      <c r="W1337" s="126">
        <f>IF(W$19=1,IF('Assumptions - Infrastructure'!$E$456=Calculations!W$4,'Assumptions - Infrastructure'!$E$459*'Assumptions - Infrastructure'!$E$469,0),0)</f>
        <v>0</v>
      </c>
      <c r="X1337" s="126">
        <f>IF(X$19=1,IF('Assumptions - Infrastructure'!$E$456=Calculations!X$4,'Assumptions - Infrastructure'!$E$459*'Assumptions - Infrastructure'!$E$469,0),0)</f>
        <v>0</v>
      </c>
      <c r="Y1337" s="126">
        <f>IF(Y$19=1,IF('Assumptions - Infrastructure'!$E$456=Calculations!Y$4,'Assumptions - Infrastructure'!$E$459*'Assumptions - Infrastructure'!$E$469,0),0)</f>
        <v>0</v>
      </c>
      <c r="Z1337" s="126">
        <f>IF(Z$19=1,IF('Assumptions - Infrastructure'!$E$456=Calculations!Z$4,'Assumptions - Infrastructure'!$E$459*'Assumptions - Infrastructure'!$E$469,0),0)</f>
        <v>0</v>
      </c>
      <c r="AA1337" s="126">
        <f>IF(AA$19=1,IF('Assumptions - Infrastructure'!$E$456=Calculations!AA$4,'Assumptions - Infrastructure'!$E$459*'Assumptions - Infrastructure'!$E$469,0),0)</f>
        <v>0</v>
      </c>
      <c r="AB1337" s="126">
        <f>IF(AB$19=1,IF('Assumptions - Infrastructure'!$E$456=Calculations!AB$4,'Assumptions - Infrastructure'!$E$459*'Assumptions - Infrastructure'!$E$469,0),0)</f>
        <v>0</v>
      </c>
      <c r="AC1337" s="126">
        <f>IF(AC$19=1,IF('Assumptions - Infrastructure'!$E$456=Calculations!AC$4,'Assumptions - Infrastructure'!$E$459*'Assumptions - Infrastructure'!$E$469,0),0)</f>
        <v>0</v>
      </c>
      <c r="AD1337" s="126">
        <f>IF(AD$19=1,IF('Assumptions - Infrastructure'!$E$456=Calculations!AD$4,'Assumptions - Infrastructure'!$E$459*'Assumptions - Infrastructure'!$E$469,0),0)</f>
        <v>0</v>
      </c>
      <c r="AE1337" s="126">
        <f>IF(AE$19=1,IF('Assumptions - Infrastructure'!$E$456=Calculations!AE$4,'Assumptions - Infrastructure'!$E$459*'Assumptions - Infrastructure'!$E$469,0),0)</f>
        <v>0</v>
      </c>
      <c r="AF1337" s="126">
        <f>IF(AF$19=1,IF('Assumptions - Infrastructure'!$E$456=Calculations!AF$4,'Assumptions - Infrastructure'!$E$459*'Assumptions - Infrastructure'!$E$469,0),0)</f>
        <v>0</v>
      </c>
      <c r="AG1337" s="126">
        <f>IF(AG$19=1,IF('Assumptions - Infrastructure'!$E$456=Calculations!AG$4,'Assumptions - Infrastructure'!$E$459*'Assumptions - Infrastructure'!$E$469,0),0)</f>
        <v>0</v>
      </c>
      <c r="AH1337" s="126">
        <f>IF(AH$19=1,IF('Assumptions - Infrastructure'!$E$456=Calculations!AH$4,'Assumptions - Infrastructure'!$E$459*'Assumptions - Infrastructure'!$E$469,0),0)</f>
        <v>0</v>
      </c>
    </row>
    <row r="1338" spans="1:34" s="20" customFormat="1" ht="14" x14ac:dyDescent="0.2">
      <c r="A1338" s="8"/>
      <c r="B1338" s="8" t="s">
        <v>142</v>
      </c>
      <c r="C1338" s="8"/>
      <c r="D1338" s="8" t="str">
        <f t="shared" si="514"/>
        <v>R$ millions</v>
      </c>
      <c r="E1338" s="126">
        <f>IF(E$19=1,IF(AND(E$4&lt;=('Assumptions - Infrastructure'!$E$456+'Assumptions - Infrastructure'!$E$466),E$4&gt;='Assumptions - Infrastructure'!$E$456),'Assumptions - Infrastructure'!$E$459-Calculations!E1327-E1334,0),0)</f>
        <v>0</v>
      </c>
      <c r="F1338" s="126">
        <f>IF(F$19=1,IF(AND(F$4&lt;=('Assumptions - Infrastructure'!$E$456+'Assumptions - Infrastructure'!$E$466),F$4&gt;='Assumptions - Infrastructure'!$E$456),'Assumptions - Infrastructure'!$E$459-Calculations!F1327-F1334,0),0)</f>
        <v>0</v>
      </c>
      <c r="G1338" s="126">
        <f>IF(G$19=1,IF(AND(G$4&lt;=('Assumptions - Infrastructure'!$E$456+'Assumptions - Infrastructure'!$E$466),G$4&gt;='Assumptions - Infrastructure'!$E$456),'Assumptions - Infrastructure'!$E$459-Calculations!G1327-G1334,0),0)</f>
        <v>40</v>
      </c>
      <c r="H1338" s="126">
        <f>IF(H$19=1,IF(AND(H$4&lt;=('Assumptions - Infrastructure'!$E$456+'Assumptions - Infrastructure'!$E$466),H$4&gt;='Assumptions - Infrastructure'!$E$456),'Assumptions - Infrastructure'!$E$459-Calculations!H1327-H1334,0),0)</f>
        <v>30</v>
      </c>
      <c r="I1338" s="126">
        <f>IF(I$19=1,IF(AND(I$4&lt;=('Assumptions - Infrastructure'!$E$456+'Assumptions - Infrastructure'!$E$466),I$4&gt;='Assumptions - Infrastructure'!$E$456),'Assumptions - Infrastructure'!$E$459-Calculations!I1327-I1334,0),0)</f>
        <v>20</v>
      </c>
      <c r="J1338" s="126">
        <f>IF(J$19=1,IF(AND(J$4&lt;=('Assumptions - Infrastructure'!$E$456+'Assumptions - Infrastructure'!$E$466),J$4&gt;='Assumptions - Infrastructure'!$E$456),'Assumptions - Infrastructure'!$E$459-Calculations!J1327-J1334,0),0)</f>
        <v>10</v>
      </c>
      <c r="K1338" s="126">
        <f>IF(K$19=1,IF(AND(K$4&lt;=('Assumptions - Infrastructure'!$E$456+'Assumptions - Infrastructure'!$E$466),K$4&gt;='Assumptions - Infrastructure'!$E$456),'Assumptions - Infrastructure'!$E$459-Calculations!K1327-K1334,0),0)</f>
        <v>0</v>
      </c>
      <c r="L1338" s="126">
        <f>IF(L$19=1,IF(AND(L$4&lt;=('Assumptions - Infrastructure'!$E$456+'Assumptions - Infrastructure'!$E$466),L$4&gt;='Assumptions - Infrastructure'!$E$456),'Assumptions - Infrastructure'!$E$459-Calculations!L1327-L1334,0),0)</f>
        <v>0</v>
      </c>
      <c r="M1338" s="126">
        <f>IF(M$19=1,IF(AND(M$4&lt;=('Assumptions - Infrastructure'!$E$456+'Assumptions - Infrastructure'!$E$466),M$4&gt;='Assumptions - Infrastructure'!$E$456),'Assumptions - Infrastructure'!$E$459-Calculations!M1327-M1334,0),0)</f>
        <v>0</v>
      </c>
      <c r="N1338" s="126">
        <f>IF(N$19=1,IF(AND(N$4&lt;=('Assumptions - Infrastructure'!$E$456+'Assumptions - Infrastructure'!$E$466),N$4&gt;='Assumptions - Infrastructure'!$E$456),'Assumptions - Infrastructure'!$E$459-Calculations!N1327-N1334,0),0)</f>
        <v>0</v>
      </c>
      <c r="O1338" s="126">
        <f>IF(O$19=1,IF(AND(O$4&lt;=('Assumptions - Infrastructure'!$E$456+'Assumptions - Infrastructure'!$E$466),O$4&gt;='Assumptions - Infrastructure'!$E$456),'Assumptions - Infrastructure'!$E$459-Calculations!O1327-O1334,0),0)</f>
        <v>0</v>
      </c>
      <c r="P1338" s="126">
        <f>IF(P$19=1,IF(AND(P$4&lt;=('Assumptions - Infrastructure'!$E$456+'Assumptions - Infrastructure'!$E$466),P$4&gt;='Assumptions - Infrastructure'!$E$456),'Assumptions - Infrastructure'!$E$459-Calculations!P1327-P1334,0),0)</f>
        <v>0</v>
      </c>
      <c r="Q1338" s="126">
        <f>IF(Q$19=1,IF(AND(Q$4&lt;=('Assumptions - Infrastructure'!$E$456+'Assumptions - Infrastructure'!$E$466),Q$4&gt;='Assumptions - Infrastructure'!$E$456),'Assumptions - Infrastructure'!$E$459-Calculations!Q1327-Q1334,0),0)</f>
        <v>0</v>
      </c>
      <c r="R1338" s="126">
        <f>IF(R$19=1,IF(AND(R$4&lt;=('Assumptions - Infrastructure'!$E$456+'Assumptions - Infrastructure'!$E$466),R$4&gt;='Assumptions - Infrastructure'!$E$456),'Assumptions - Infrastructure'!$E$459-Calculations!R1327-R1334,0),0)</f>
        <v>0</v>
      </c>
      <c r="S1338" s="126">
        <f>IF(S$19=1,IF(AND(S$4&lt;=('Assumptions - Infrastructure'!$E$456+'Assumptions - Infrastructure'!$E$466),S$4&gt;='Assumptions - Infrastructure'!$E$456),'Assumptions - Infrastructure'!$E$459-Calculations!S1327-S1334,0),0)</f>
        <v>0</v>
      </c>
      <c r="T1338" s="126">
        <f>IF(T$19=1,IF(AND(T$4&lt;=('Assumptions - Infrastructure'!$E$456+'Assumptions - Infrastructure'!$E$466),T$4&gt;='Assumptions - Infrastructure'!$E$456),'Assumptions - Infrastructure'!$E$459-Calculations!T1327-T1334,0),0)</f>
        <v>0</v>
      </c>
      <c r="U1338" s="126">
        <f>IF(U$19=1,IF(AND(U$4&lt;=('Assumptions - Infrastructure'!$E$456+'Assumptions - Infrastructure'!$E$466),U$4&gt;='Assumptions - Infrastructure'!$E$456),'Assumptions - Infrastructure'!$E$459-Calculations!U1327-U1334,0),0)</f>
        <v>0</v>
      </c>
      <c r="V1338" s="126">
        <f>IF(V$19=1,IF(AND(V$4&lt;=('Assumptions - Infrastructure'!$E$456+'Assumptions - Infrastructure'!$E$466),V$4&gt;='Assumptions - Infrastructure'!$E$456),'Assumptions - Infrastructure'!$E$459-Calculations!V1327-V1334,0),0)</f>
        <v>0</v>
      </c>
      <c r="W1338" s="126">
        <f>IF(W$19=1,IF(AND(W$4&lt;=('Assumptions - Infrastructure'!$E$456+'Assumptions - Infrastructure'!$E$466),W$4&gt;='Assumptions - Infrastructure'!$E$456),'Assumptions - Infrastructure'!$E$459-Calculations!W1327-W1334,0),0)</f>
        <v>0</v>
      </c>
      <c r="X1338" s="126">
        <f>IF(X$19=1,IF(AND(X$4&lt;=('Assumptions - Infrastructure'!$E$456+'Assumptions - Infrastructure'!$E$466),X$4&gt;='Assumptions - Infrastructure'!$E$456),'Assumptions - Infrastructure'!$E$459-Calculations!X1327-X1334,0),0)</f>
        <v>0</v>
      </c>
      <c r="Y1338" s="126">
        <f>IF(Y$19=1,IF(AND(Y$4&lt;=('Assumptions - Infrastructure'!$E$456+'Assumptions - Infrastructure'!$E$466),Y$4&gt;='Assumptions - Infrastructure'!$E$456),'Assumptions - Infrastructure'!$E$459-Calculations!Y1327-Y1334,0),0)</f>
        <v>0</v>
      </c>
      <c r="Z1338" s="126">
        <f>IF(Z$19=1,IF(AND(Z$4&lt;=('Assumptions - Infrastructure'!$E$456+'Assumptions - Infrastructure'!$E$466),Z$4&gt;='Assumptions - Infrastructure'!$E$456),'Assumptions - Infrastructure'!$E$459-Calculations!Z1327-Z1334,0),0)</f>
        <v>0</v>
      </c>
      <c r="AA1338" s="126">
        <f>IF(AA$19=1,IF(AND(AA$4&lt;=('Assumptions - Infrastructure'!$E$456+'Assumptions - Infrastructure'!$E$466),AA$4&gt;='Assumptions - Infrastructure'!$E$456),'Assumptions - Infrastructure'!$E$459-Calculations!AA1327-AA1334,0),0)</f>
        <v>0</v>
      </c>
      <c r="AB1338" s="126">
        <f>IF(AB$19=1,IF(AND(AB$4&lt;=('Assumptions - Infrastructure'!$E$456+'Assumptions - Infrastructure'!$E$466),AB$4&gt;='Assumptions - Infrastructure'!$E$456),'Assumptions - Infrastructure'!$E$459-Calculations!AB1327-AB1334,0),0)</f>
        <v>0</v>
      </c>
      <c r="AC1338" s="126">
        <f>IF(AC$19=1,IF(AND(AC$4&lt;=('Assumptions - Infrastructure'!$E$456+'Assumptions - Infrastructure'!$E$466),AC$4&gt;='Assumptions - Infrastructure'!$E$456),'Assumptions - Infrastructure'!$E$459-Calculations!AC1327-AC1334,0),0)</f>
        <v>0</v>
      </c>
      <c r="AD1338" s="126">
        <f>IF(AD$19=1,IF(AND(AD$4&lt;=('Assumptions - Infrastructure'!$E$456+'Assumptions - Infrastructure'!$E$466),AD$4&gt;='Assumptions - Infrastructure'!$E$456),'Assumptions - Infrastructure'!$E$459-Calculations!AD1327-AD1334,0),0)</f>
        <v>0</v>
      </c>
      <c r="AE1338" s="126">
        <f>IF(AE$19=1,IF(AND(AE$4&lt;=('Assumptions - Infrastructure'!$E$456+'Assumptions - Infrastructure'!$E$466),AE$4&gt;='Assumptions - Infrastructure'!$E$456),'Assumptions - Infrastructure'!$E$459-Calculations!AE1327-AE1334,0),0)</f>
        <v>0</v>
      </c>
      <c r="AF1338" s="126">
        <f>IF(AF$19=1,IF(AND(AF$4&lt;=('Assumptions - Infrastructure'!$E$456+'Assumptions - Infrastructure'!$E$466),AF$4&gt;='Assumptions - Infrastructure'!$E$456),'Assumptions - Infrastructure'!$E$459-Calculations!AF1327-AF1334,0),0)</f>
        <v>0</v>
      </c>
      <c r="AG1338" s="126">
        <f>IF(AG$19=1,IF(AND(AG$4&lt;=('Assumptions - Infrastructure'!$E$456+'Assumptions - Infrastructure'!$E$466),AG$4&gt;='Assumptions - Infrastructure'!$E$456),'Assumptions - Infrastructure'!$E$459-Calculations!AG1327-AG1334,0),0)</f>
        <v>0</v>
      </c>
      <c r="AH1338" s="126">
        <f>IF(AH$19=1,IF(AND(AH$4&lt;=('Assumptions - Infrastructure'!$E$456+'Assumptions - Infrastructure'!$E$466),AH$4&gt;='Assumptions - Infrastructure'!$E$456),'Assumptions - Infrastructure'!$E$459-Calculations!AH1327-AH1334,0),0)</f>
        <v>0</v>
      </c>
    </row>
    <row r="1339" spans="1:34" s="20" customFormat="1" ht="14" x14ac:dyDescent="0.2">
      <c r="A1339" s="8"/>
      <c r="B1339" s="8" t="s">
        <v>55</v>
      </c>
      <c r="C1339" s="8"/>
      <c r="D1339" s="8" t="str">
        <f t="shared" si="514"/>
        <v>R$ millions</v>
      </c>
      <c r="E1339" s="126">
        <f>IF(E$19=1,'Assumptions - Infrastructure'!$E$470*Calculations!E1338,0)</f>
        <v>0</v>
      </c>
      <c r="F1339" s="126">
        <f>IF(F$19=1,'Assumptions - Infrastructure'!$E$470*Calculations!F1338,0)</f>
        <v>0</v>
      </c>
      <c r="G1339" s="126">
        <f>IF(G$19=1,'Assumptions - Infrastructure'!$E$470*Calculations!G1338,0)</f>
        <v>0</v>
      </c>
      <c r="H1339" s="126">
        <f>IF(H$19=1,'Assumptions - Infrastructure'!$E$470*Calculations!H1338,0)</f>
        <v>0</v>
      </c>
      <c r="I1339" s="126">
        <f>IF(I$19=1,'Assumptions - Infrastructure'!$E$470*Calculations!I1338,0)</f>
        <v>0</v>
      </c>
      <c r="J1339" s="126">
        <f>IF(J$19=1,'Assumptions - Infrastructure'!$E$470*Calculations!J1338,0)</f>
        <v>0</v>
      </c>
      <c r="K1339" s="126">
        <f>IF(K$19=1,'Assumptions - Infrastructure'!$E$470*Calculations!K1338,0)</f>
        <v>0</v>
      </c>
      <c r="L1339" s="126">
        <f>IF(L$19=1,'Assumptions - Infrastructure'!$E$470*Calculations!L1338,0)</f>
        <v>0</v>
      </c>
      <c r="M1339" s="126">
        <f>IF(M$19=1,'Assumptions - Infrastructure'!$E$470*Calculations!M1338,0)</f>
        <v>0</v>
      </c>
      <c r="N1339" s="126">
        <f>IF(N$19=1,'Assumptions - Infrastructure'!$E$470*Calculations!N1338,0)</f>
        <v>0</v>
      </c>
      <c r="O1339" s="126">
        <f>IF(O$19=1,'Assumptions - Infrastructure'!$E$470*Calculations!O1338,0)</f>
        <v>0</v>
      </c>
      <c r="P1339" s="126">
        <f>IF(P$19=1,'Assumptions - Infrastructure'!$E$470*Calculations!P1338,0)</f>
        <v>0</v>
      </c>
      <c r="Q1339" s="126">
        <f>IF(Q$19=1,'Assumptions - Infrastructure'!$E$470*Calculations!Q1338,0)</f>
        <v>0</v>
      </c>
      <c r="R1339" s="126">
        <f>IF(R$19=1,'Assumptions - Infrastructure'!$E$470*Calculations!R1338,0)</f>
        <v>0</v>
      </c>
      <c r="S1339" s="126">
        <f>IF(S$19=1,'Assumptions - Infrastructure'!$E$470*Calculations!S1338,0)</f>
        <v>0</v>
      </c>
      <c r="T1339" s="126">
        <f>IF(T$19=1,'Assumptions - Infrastructure'!$E$470*Calculations!T1338,0)</f>
        <v>0</v>
      </c>
      <c r="U1339" s="126">
        <f>IF(U$19=1,'Assumptions - Infrastructure'!$E$470*Calculations!U1338,0)</f>
        <v>0</v>
      </c>
      <c r="V1339" s="126">
        <f>IF(V$19=1,'Assumptions - Infrastructure'!$E$470*Calculations!V1338,0)</f>
        <v>0</v>
      </c>
      <c r="W1339" s="126">
        <f>IF(W$19=1,'Assumptions - Infrastructure'!$E$470*Calculations!W1338,0)</f>
        <v>0</v>
      </c>
      <c r="X1339" s="126">
        <f>IF(X$19=1,'Assumptions - Infrastructure'!$E$470*Calculations!X1338,0)</f>
        <v>0</v>
      </c>
      <c r="Y1339" s="126">
        <f>IF(Y$19=1,'Assumptions - Infrastructure'!$E$470*Calculations!Y1338,0)</f>
        <v>0</v>
      </c>
      <c r="Z1339" s="126">
        <f>IF(Z$19=1,'Assumptions - Infrastructure'!$E$470*Calculations!Z1338,0)</f>
        <v>0</v>
      </c>
      <c r="AA1339" s="126">
        <f>IF(AA$19=1,'Assumptions - Infrastructure'!$E$470*Calculations!AA1338,0)</f>
        <v>0</v>
      </c>
      <c r="AB1339" s="126">
        <f>IF(AB$19=1,'Assumptions - Infrastructure'!$E$470*Calculations!AB1338,0)</f>
        <v>0</v>
      </c>
      <c r="AC1339" s="126">
        <f>IF(AC$19=1,'Assumptions - Infrastructure'!$E$470*Calculations!AC1338,0)</f>
        <v>0</v>
      </c>
      <c r="AD1339" s="126">
        <f>IF(AD$19=1,'Assumptions - Infrastructure'!$E$470*Calculations!AD1338,0)</f>
        <v>0</v>
      </c>
      <c r="AE1339" s="126">
        <f>IF(AE$19=1,'Assumptions - Infrastructure'!$E$470*Calculations!AE1338,0)</f>
        <v>0</v>
      </c>
      <c r="AF1339" s="126">
        <f>IF(AF$19=1,'Assumptions - Infrastructure'!$E$470*Calculations!AF1338,0)</f>
        <v>0</v>
      </c>
      <c r="AG1339" s="126">
        <f>IF(AG$19=1,'Assumptions - Infrastructure'!$E$470*Calculations!AG1338,0)</f>
        <v>0</v>
      </c>
      <c r="AH1339" s="126">
        <f>IF(AH$19=1,'Assumptions - Infrastructure'!$E$470*Calculations!AH1338,0)</f>
        <v>0</v>
      </c>
    </row>
    <row r="1340" spans="1:34" s="20" customFormat="1" ht="14" x14ac:dyDescent="0.2">
      <c r="A1340" s="8"/>
      <c r="B1340" s="8" t="s">
        <v>140</v>
      </c>
      <c r="C1340" s="8"/>
      <c r="D1340" s="8" t="str">
        <f t="shared" si="514"/>
        <v>R$ millions</v>
      </c>
      <c r="E1340" s="126">
        <f>E1328+E1336+E1337+E1339</f>
        <v>0</v>
      </c>
      <c r="F1340" s="126">
        <f t="shared" ref="F1340:AH1340" si="515">F1328+F1336+F1337+F1339</f>
        <v>0</v>
      </c>
      <c r="G1340" s="126">
        <f t="shared" si="515"/>
        <v>0.3735</v>
      </c>
      <c r="H1340" s="126">
        <f t="shared" si="515"/>
        <v>0.8909999999999999</v>
      </c>
      <c r="I1340" s="126">
        <f t="shared" si="515"/>
        <v>1.6575</v>
      </c>
      <c r="J1340" s="126">
        <f t="shared" si="515"/>
        <v>2.4780000000000002</v>
      </c>
      <c r="K1340" s="126">
        <f t="shared" si="515"/>
        <v>3.3210000000000002</v>
      </c>
      <c r="L1340" s="126">
        <f t="shared" si="515"/>
        <v>3.7850000000000001</v>
      </c>
      <c r="M1340" s="126">
        <f t="shared" si="515"/>
        <v>3.8850000000000002</v>
      </c>
      <c r="N1340" s="126">
        <f t="shared" si="515"/>
        <v>3.9550000000000001</v>
      </c>
      <c r="O1340" s="126">
        <f t="shared" si="515"/>
        <v>3.53</v>
      </c>
      <c r="P1340" s="126">
        <f t="shared" si="515"/>
        <v>3.5000000000000004</v>
      </c>
      <c r="Q1340" s="126">
        <f t="shared" si="515"/>
        <v>3.5000000000000004</v>
      </c>
      <c r="R1340" s="126">
        <f t="shared" si="515"/>
        <v>3.5000000000000004</v>
      </c>
      <c r="S1340" s="126">
        <f t="shared" si="515"/>
        <v>3.5000000000000004</v>
      </c>
      <c r="T1340" s="126">
        <f t="shared" si="515"/>
        <v>3.5000000000000004</v>
      </c>
      <c r="U1340" s="126">
        <f t="shared" si="515"/>
        <v>51.75</v>
      </c>
      <c r="V1340" s="126">
        <f t="shared" si="515"/>
        <v>0</v>
      </c>
      <c r="W1340" s="126">
        <f t="shared" si="515"/>
        <v>0</v>
      </c>
      <c r="X1340" s="126">
        <f t="shared" si="515"/>
        <v>0</v>
      </c>
      <c r="Y1340" s="126">
        <f t="shared" si="515"/>
        <v>0</v>
      </c>
      <c r="Z1340" s="126">
        <f t="shared" si="515"/>
        <v>0</v>
      </c>
      <c r="AA1340" s="126">
        <f t="shared" si="515"/>
        <v>0</v>
      </c>
      <c r="AB1340" s="126">
        <f t="shared" si="515"/>
        <v>0</v>
      </c>
      <c r="AC1340" s="126">
        <f t="shared" si="515"/>
        <v>0</v>
      </c>
      <c r="AD1340" s="126">
        <f t="shared" si="515"/>
        <v>0</v>
      </c>
      <c r="AE1340" s="126">
        <f t="shared" si="515"/>
        <v>0</v>
      </c>
      <c r="AF1340" s="126">
        <f t="shared" si="515"/>
        <v>0</v>
      </c>
      <c r="AG1340" s="126">
        <f t="shared" si="515"/>
        <v>0</v>
      </c>
      <c r="AH1340" s="126">
        <f t="shared" si="515"/>
        <v>0</v>
      </c>
    </row>
    <row r="1341" spans="1:34" s="20" customFormat="1" ht="14" x14ac:dyDescent="0.2">
      <c r="A1341" s="8"/>
      <c r="B1341" s="8"/>
      <c r="C1341" s="8"/>
      <c r="D1341" s="8"/>
      <c r="E1341" s="16"/>
      <c r="F1341" s="8"/>
      <c r="G1341" s="8"/>
      <c r="H1341" s="8"/>
      <c r="I1341" s="8"/>
      <c r="J1341" s="8"/>
      <c r="K1341" s="8"/>
      <c r="L1341" s="8"/>
      <c r="M1341" s="8"/>
      <c r="N1341" s="8"/>
      <c r="O1341" s="8"/>
      <c r="P1341" s="8"/>
      <c r="Q1341" s="8"/>
      <c r="R1341" s="8"/>
      <c r="S1341" s="8"/>
      <c r="T1341" s="8"/>
      <c r="U1341" s="8"/>
      <c r="V1341" s="8"/>
      <c r="W1341" s="8"/>
      <c r="X1341" s="8"/>
      <c r="Y1341" s="8"/>
      <c r="Z1341" s="8"/>
      <c r="AA1341" s="8"/>
      <c r="AB1341" s="8"/>
      <c r="AC1341" s="8"/>
      <c r="AD1341" s="8"/>
      <c r="AE1341" s="8"/>
      <c r="AF1341" s="8"/>
      <c r="AG1341" s="8"/>
      <c r="AH1341" s="8"/>
    </row>
    <row r="1342" spans="1:34" s="20" customFormat="1" ht="14" x14ac:dyDescent="0.2">
      <c r="A1342" s="8"/>
      <c r="B1342" s="21" t="str">
        <f>B1324</f>
        <v>New loan from Multilateral bank</v>
      </c>
      <c r="C1342" s="8"/>
      <c r="D1342" s="8"/>
      <c r="E1342" s="8"/>
      <c r="F1342" s="8"/>
      <c r="G1342" s="8"/>
      <c r="H1342" s="8"/>
      <c r="I1342" s="8"/>
      <c r="J1342" s="8"/>
      <c r="K1342" s="8"/>
      <c r="L1342" s="8"/>
      <c r="M1342" s="8"/>
      <c r="N1342" s="8"/>
      <c r="O1342" s="8"/>
      <c r="P1342" s="8"/>
      <c r="Q1342" s="8"/>
      <c r="R1342" s="8"/>
      <c r="S1342" s="8"/>
      <c r="T1342" s="8"/>
      <c r="U1342" s="8"/>
      <c r="V1342" s="8"/>
      <c r="W1342" s="8"/>
      <c r="X1342" s="8"/>
      <c r="Y1342" s="8"/>
      <c r="Z1342" s="8"/>
      <c r="AA1342" s="8"/>
      <c r="AB1342" s="8"/>
      <c r="AC1342" s="8"/>
      <c r="AD1342" s="8"/>
      <c r="AE1342" s="8"/>
      <c r="AF1342" s="8"/>
      <c r="AG1342" s="8"/>
      <c r="AH1342" s="8"/>
    </row>
    <row r="1343" spans="1:34" s="20" customFormat="1" ht="14" x14ac:dyDescent="0.2">
      <c r="A1343" s="8"/>
      <c r="B1343" s="8" t="s">
        <v>334</v>
      </c>
      <c r="C1343" s="8"/>
      <c r="D1343" s="8" t="str">
        <f>IF('Assumptions - Infrastructure'!$E$457=1,"Same as above",IF('Assumptions - Infrastructure'!$E$457=2,"Local currency/"&amp;'Assumptions - General'!$E$39,"Local currency/"&amp;'Assumptions - General'!$E$40))</f>
        <v>Same as above</v>
      </c>
      <c r="E1343" s="124">
        <f>IF('Assumptions - Infrastructure'!$E$457=1,1,IF('Assumptions - Infrastructure'!$E$457=2,'Assumptions - General'!E$41,'Assumptions - General'!E$42))</f>
        <v>1</v>
      </c>
      <c r="F1343" s="124">
        <f>IF('Assumptions - Infrastructure'!$E$457=1,1,IF('Assumptions - Infrastructure'!$E$457=2,'Assumptions - General'!F$41,'Assumptions - General'!F$42))</f>
        <v>1</v>
      </c>
      <c r="G1343" s="124">
        <f>IF('Assumptions - Infrastructure'!$E$457=1,1,IF('Assumptions - Infrastructure'!$E$457=2,'Assumptions - General'!G$41,'Assumptions - General'!G$42))</f>
        <v>1</v>
      </c>
      <c r="H1343" s="124">
        <f>IF('Assumptions - Infrastructure'!$E$457=1,1,IF('Assumptions - Infrastructure'!$E$457=2,'Assumptions - General'!H$41,'Assumptions - General'!H$42))</f>
        <v>1</v>
      </c>
      <c r="I1343" s="124">
        <f>IF('Assumptions - Infrastructure'!$E$457=1,1,IF('Assumptions - Infrastructure'!$E$457=2,'Assumptions - General'!I$41,'Assumptions - General'!I$42))</f>
        <v>1</v>
      </c>
      <c r="J1343" s="124">
        <f>IF('Assumptions - Infrastructure'!$E$457=1,1,IF('Assumptions - Infrastructure'!$E$457=2,'Assumptions - General'!J$41,'Assumptions - General'!J$42))</f>
        <v>1</v>
      </c>
      <c r="K1343" s="124">
        <f>IF('Assumptions - Infrastructure'!$E$457=1,1,IF('Assumptions - Infrastructure'!$E$457=2,'Assumptions - General'!K$41,'Assumptions - General'!K$42))</f>
        <v>1</v>
      </c>
      <c r="L1343" s="124">
        <f>IF('Assumptions - Infrastructure'!$E$457=1,1,IF('Assumptions - Infrastructure'!$E$457=2,'Assumptions - General'!L$41,'Assumptions - General'!L$42))</f>
        <v>1</v>
      </c>
      <c r="M1343" s="124">
        <f>IF('Assumptions - Infrastructure'!$E$457=1,1,IF('Assumptions - Infrastructure'!$E$457=2,'Assumptions - General'!M$41,'Assumptions - General'!M$42))</f>
        <v>1</v>
      </c>
      <c r="N1343" s="124">
        <f>IF('Assumptions - Infrastructure'!$E$457=1,1,IF('Assumptions - Infrastructure'!$E$457=2,'Assumptions - General'!N$41,'Assumptions - General'!N$42))</f>
        <v>1</v>
      </c>
      <c r="O1343" s="124">
        <f>IF('Assumptions - Infrastructure'!$E$457=1,1,IF('Assumptions - Infrastructure'!$E$457=2,'Assumptions - General'!O$41,'Assumptions - General'!O$42))</f>
        <v>1</v>
      </c>
      <c r="P1343" s="124">
        <f>IF('Assumptions - Infrastructure'!$E$457=1,1,IF('Assumptions - Infrastructure'!$E$457=2,'Assumptions - General'!P$41,'Assumptions - General'!P$42))</f>
        <v>1</v>
      </c>
      <c r="Q1343" s="124">
        <f>IF('Assumptions - Infrastructure'!$E$457=1,1,IF('Assumptions - Infrastructure'!$E$457=2,'Assumptions - General'!Q$41,'Assumptions - General'!Q$42))</f>
        <v>1</v>
      </c>
      <c r="R1343" s="124">
        <f>IF('Assumptions - Infrastructure'!$E$457=1,1,IF('Assumptions - Infrastructure'!$E$457=2,'Assumptions - General'!R$41,'Assumptions - General'!R$42))</f>
        <v>1</v>
      </c>
      <c r="S1343" s="124">
        <f>IF('Assumptions - Infrastructure'!$E$457=1,1,IF('Assumptions - Infrastructure'!$E$457=2,'Assumptions - General'!S$41,'Assumptions - General'!S$42))</f>
        <v>1</v>
      </c>
      <c r="T1343" s="124">
        <f>IF('Assumptions - Infrastructure'!$E$457=1,1,IF('Assumptions - Infrastructure'!$E$457=2,'Assumptions - General'!T$41,'Assumptions - General'!T$42))</f>
        <v>1</v>
      </c>
      <c r="U1343" s="124">
        <f>IF('Assumptions - Infrastructure'!$E$457=1,1,IF('Assumptions - Infrastructure'!$E$457=2,'Assumptions - General'!U$41,'Assumptions - General'!U$42))</f>
        <v>1</v>
      </c>
      <c r="V1343" s="124">
        <f>IF('Assumptions - Infrastructure'!$E$457=1,1,IF('Assumptions - Infrastructure'!$E$457=2,'Assumptions - General'!V$41,'Assumptions - General'!V$42))</f>
        <v>1</v>
      </c>
      <c r="W1343" s="124">
        <f>IF('Assumptions - Infrastructure'!$E$457=1,1,IF('Assumptions - Infrastructure'!$E$457=2,'Assumptions - General'!W$41,'Assumptions - General'!W$42))</f>
        <v>1</v>
      </c>
      <c r="X1343" s="124">
        <f>IF('Assumptions - Infrastructure'!$E$457=1,1,IF('Assumptions - Infrastructure'!$E$457=2,'Assumptions - General'!X$41,'Assumptions - General'!X$42))</f>
        <v>1</v>
      </c>
      <c r="Y1343" s="124">
        <f>IF('Assumptions - Infrastructure'!$E$457=1,1,IF('Assumptions - Infrastructure'!$E$457=2,'Assumptions - General'!Y$41,'Assumptions - General'!Y$42))</f>
        <v>1</v>
      </c>
      <c r="Z1343" s="124">
        <f>IF('Assumptions - Infrastructure'!$E$457=1,1,IF('Assumptions - Infrastructure'!$E$457=2,'Assumptions - General'!Z$41,'Assumptions - General'!Z$42))</f>
        <v>1</v>
      </c>
      <c r="AA1343" s="124">
        <f>IF('Assumptions - Infrastructure'!$E$457=1,1,IF('Assumptions - Infrastructure'!$E$457=2,'Assumptions - General'!AA$41,'Assumptions - General'!AA$42))</f>
        <v>1</v>
      </c>
      <c r="AB1343" s="124">
        <f>IF('Assumptions - Infrastructure'!$E$457=1,1,IF('Assumptions - Infrastructure'!$E$457=2,'Assumptions - General'!AB$41,'Assumptions - General'!AB$42))</f>
        <v>1</v>
      </c>
      <c r="AC1343" s="124">
        <f>IF('Assumptions - Infrastructure'!$E$457=1,1,IF('Assumptions - Infrastructure'!$E$457=2,'Assumptions - General'!AC$41,'Assumptions - General'!AC$42))</f>
        <v>1</v>
      </c>
      <c r="AD1343" s="124">
        <f>IF('Assumptions - Infrastructure'!$E$457=1,1,IF('Assumptions - Infrastructure'!$E$457=2,'Assumptions - General'!AD$41,'Assumptions - General'!AD$42))</f>
        <v>1</v>
      </c>
      <c r="AE1343" s="124">
        <f>IF('Assumptions - Infrastructure'!$E$457=1,1,IF('Assumptions - Infrastructure'!$E$457=2,'Assumptions - General'!AE$41,'Assumptions - General'!AE$42))</f>
        <v>1</v>
      </c>
      <c r="AF1343" s="124">
        <f>IF('Assumptions - Infrastructure'!$E$457=1,1,IF('Assumptions - Infrastructure'!$E$457=2,'Assumptions - General'!AF$41,'Assumptions - General'!AF$42))</f>
        <v>1</v>
      </c>
      <c r="AG1343" s="124">
        <f>IF('Assumptions - Infrastructure'!$E$457=1,1,IF('Assumptions - Infrastructure'!$E$457=2,'Assumptions - General'!AG$41,'Assumptions - General'!AG$42))</f>
        <v>1</v>
      </c>
      <c r="AH1343" s="124">
        <f>IF('Assumptions - Infrastructure'!$E$457=1,1,IF('Assumptions - Infrastructure'!$E$457=2,'Assumptions - General'!AH$41,'Assumptions - General'!AH$42))</f>
        <v>1</v>
      </c>
    </row>
    <row r="1344" spans="1:34" s="20" customFormat="1" ht="14" x14ac:dyDescent="0.2">
      <c r="A1344" s="8"/>
      <c r="B1344" s="8" t="s">
        <v>136</v>
      </c>
      <c r="C1344" s="8"/>
      <c r="D1344" s="8" t="str">
        <f>'Assumptions - General'!$E$27 &amp;" millions"</f>
        <v>R$ millions</v>
      </c>
      <c r="E1344" s="126">
        <f>E1327*E$1343</f>
        <v>0</v>
      </c>
      <c r="F1344" s="126">
        <f t="shared" ref="F1344:AH1344" si="516">F1327*F$1343</f>
        <v>0</v>
      </c>
      <c r="G1344" s="126">
        <f t="shared" si="516"/>
        <v>0</v>
      </c>
      <c r="H1344" s="126">
        <f t="shared" si="516"/>
        <v>10</v>
      </c>
      <c r="I1344" s="126">
        <f t="shared" si="516"/>
        <v>20</v>
      </c>
      <c r="J1344" s="126">
        <f t="shared" si="516"/>
        <v>30</v>
      </c>
      <c r="K1344" s="126">
        <f t="shared" si="516"/>
        <v>40</v>
      </c>
      <c r="L1344" s="126">
        <f t="shared" si="516"/>
        <v>50</v>
      </c>
      <c r="M1344" s="126">
        <f t="shared" si="516"/>
        <v>50</v>
      </c>
      <c r="N1344" s="126">
        <f t="shared" si="516"/>
        <v>50</v>
      </c>
      <c r="O1344" s="126">
        <f t="shared" si="516"/>
        <v>50</v>
      </c>
      <c r="P1344" s="126">
        <f t="shared" si="516"/>
        <v>50</v>
      </c>
      <c r="Q1344" s="126">
        <f t="shared" si="516"/>
        <v>50</v>
      </c>
      <c r="R1344" s="126">
        <f t="shared" si="516"/>
        <v>50</v>
      </c>
      <c r="S1344" s="126">
        <f t="shared" si="516"/>
        <v>50</v>
      </c>
      <c r="T1344" s="126">
        <f t="shared" si="516"/>
        <v>50</v>
      </c>
      <c r="U1344" s="126">
        <f t="shared" si="516"/>
        <v>50</v>
      </c>
      <c r="V1344" s="126">
        <f t="shared" si="516"/>
        <v>0</v>
      </c>
      <c r="W1344" s="126">
        <f t="shared" si="516"/>
        <v>0</v>
      </c>
      <c r="X1344" s="126">
        <f t="shared" si="516"/>
        <v>0</v>
      </c>
      <c r="Y1344" s="126">
        <f t="shared" si="516"/>
        <v>0</v>
      </c>
      <c r="Z1344" s="126">
        <f t="shared" si="516"/>
        <v>0</v>
      </c>
      <c r="AA1344" s="126">
        <f t="shared" si="516"/>
        <v>0</v>
      </c>
      <c r="AB1344" s="126">
        <f t="shared" si="516"/>
        <v>0</v>
      </c>
      <c r="AC1344" s="126">
        <f t="shared" si="516"/>
        <v>0</v>
      </c>
      <c r="AD1344" s="126">
        <f t="shared" si="516"/>
        <v>0</v>
      </c>
      <c r="AE1344" s="126">
        <f t="shared" si="516"/>
        <v>0</v>
      </c>
      <c r="AF1344" s="126">
        <f t="shared" si="516"/>
        <v>0</v>
      </c>
      <c r="AG1344" s="126">
        <f t="shared" si="516"/>
        <v>0</v>
      </c>
      <c r="AH1344" s="126">
        <f t="shared" si="516"/>
        <v>0</v>
      </c>
    </row>
    <row r="1345" spans="1:34" s="20" customFormat="1" ht="14" x14ac:dyDescent="0.2">
      <c r="A1345" s="8"/>
      <c r="B1345" s="8" t="s">
        <v>410</v>
      </c>
      <c r="C1345" s="8"/>
      <c r="D1345" s="8" t="str">
        <f>'Assumptions - General'!$E$27 &amp;" millions"</f>
        <v>R$ millions</v>
      </c>
      <c r="E1345" s="126">
        <f>E1328*E$1343</f>
        <v>0</v>
      </c>
      <c r="F1345" s="126">
        <f t="shared" ref="F1345:AH1345" si="517">F1328*F$1343</f>
        <v>0</v>
      </c>
      <c r="G1345" s="126">
        <f t="shared" si="517"/>
        <v>0</v>
      </c>
      <c r="H1345" s="126">
        <f t="shared" si="517"/>
        <v>0</v>
      </c>
      <c r="I1345" s="126">
        <f t="shared" si="517"/>
        <v>0</v>
      </c>
      <c r="J1345" s="126">
        <f t="shared" si="517"/>
        <v>0</v>
      </c>
      <c r="K1345" s="126">
        <f t="shared" si="517"/>
        <v>0</v>
      </c>
      <c r="L1345" s="126">
        <f t="shared" si="517"/>
        <v>0</v>
      </c>
      <c r="M1345" s="126">
        <f t="shared" si="517"/>
        <v>0</v>
      </c>
      <c r="N1345" s="126">
        <f t="shared" si="517"/>
        <v>0</v>
      </c>
      <c r="O1345" s="126">
        <f t="shared" si="517"/>
        <v>0</v>
      </c>
      <c r="P1345" s="126">
        <f t="shared" si="517"/>
        <v>0</v>
      </c>
      <c r="Q1345" s="126">
        <f t="shared" si="517"/>
        <v>0</v>
      </c>
      <c r="R1345" s="126">
        <f t="shared" si="517"/>
        <v>0</v>
      </c>
      <c r="S1345" s="126">
        <f t="shared" si="517"/>
        <v>0</v>
      </c>
      <c r="T1345" s="126">
        <f t="shared" si="517"/>
        <v>0</v>
      </c>
      <c r="U1345" s="126">
        <f t="shared" si="517"/>
        <v>50</v>
      </c>
      <c r="V1345" s="126">
        <f t="shared" si="517"/>
        <v>0</v>
      </c>
      <c r="W1345" s="126">
        <f t="shared" si="517"/>
        <v>0</v>
      </c>
      <c r="X1345" s="126">
        <f t="shared" si="517"/>
        <v>0</v>
      </c>
      <c r="Y1345" s="126">
        <f t="shared" si="517"/>
        <v>0</v>
      </c>
      <c r="Z1345" s="126">
        <f t="shared" si="517"/>
        <v>0</v>
      </c>
      <c r="AA1345" s="126">
        <f t="shared" si="517"/>
        <v>0</v>
      </c>
      <c r="AB1345" s="126">
        <f t="shared" si="517"/>
        <v>0</v>
      </c>
      <c r="AC1345" s="126">
        <f t="shared" si="517"/>
        <v>0</v>
      </c>
      <c r="AD1345" s="126">
        <f t="shared" si="517"/>
        <v>0</v>
      </c>
      <c r="AE1345" s="126">
        <f t="shared" si="517"/>
        <v>0</v>
      </c>
      <c r="AF1345" s="126">
        <f t="shared" si="517"/>
        <v>0</v>
      </c>
      <c r="AG1345" s="126">
        <f t="shared" si="517"/>
        <v>0</v>
      </c>
      <c r="AH1345" s="126">
        <f t="shared" si="517"/>
        <v>0</v>
      </c>
    </row>
    <row r="1346" spans="1:34" s="20" customFormat="1" ht="14" x14ac:dyDescent="0.2">
      <c r="A1346" s="8"/>
      <c r="B1346" s="8" t="s">
        <v>137</v>
      </c>
      <c r="C1346" s="8"/>
      <c r="D1346" s="8" t="str">
        <f>'Assumptions - General'!$E$27 &amp;" millions"</f>
        <v>R$ millions</v>
      </c>
      <c r="E1346" s="126">
        <f>E1334*E$1343</f>
        <v>0</v>
      </c>
      <c r="F1346" s="126">
        <f t="shared" ref="F1346:AH1346" si="518">F1334*F$1343</f>
        <v>0</v>
      </c>
      <c r="G1346" s="126">
        <f t="shared" si="518"/>
        <v>10</v>
      </c>
      <c r="H1346" s="126">
        <f t="shared" si="518"/>
        <v>10</v>
      </c>
      <c r="I1346" s="126">
        <f t="shared" si="518"/>
        <v>10</v>
      </c>
      <c r="J1346" s="126">
        <f t="shared" si="518"/>
        <v>10</v>
      </c>
      <c r="K1346" s="126">
        <f t="shared" si="518"/>
        <v>10</v>
      </c>
      <c r="L1346" s="126">
        <f t="shared" si="518"/>
        <v>0</v>
      </c>
      <c r="M1346" s="126">
        <f t="shared" si="518"/>
        <v>0</v>
      </c>
      <c r="N1346" s="126">
        <f t="shared" si="518"/>
        <v>0</v>
      </c>
      <c r="O1346" s="126">
        <f t="shared" si="518"/>
        <v>0</v>
      </c>
      <c r="P1346" s="126">
        <f t="shared" si="518"/>
        <v>0</v>
      </c>
      <c r="Q1346" s="126">
        <f t="shared" si="518"/>
        <v>0</v>
      </c>
      <c r="R1346" s="126">
        <f t="shared" si="518"/>
        <v>0</v>
      </c>
      <c r="S1346" s="126">
        <f t="shared" si="518"/>
        <v>0</v>
      </c>
      <c r="T1346" s="126">
        <f t="shared" si="518"/>
        <v>0</v>
      </c>
      <c r="U1346" s="126">
        <f t="shared" si="518"/>
        <v>0</v>
      </c>
      <c r="V1346" s="126">
        <f t="shared" si="518"/>
        <v>0</v>
      </c>
      <c r="W1346" s="126">
        <f t="shared" si="518"/>
        <v>0</v>
      </c>
      <c r="X1346" s="126">
        <f t="shared" si="518"/>
        <v>0</v>
      </c>
      <c r="Y1346" s="126">
        <f t="shared" si="518"/>
        <v>0</v>
      </c>
      <c r="Z1346" s="126">
        <f t="shared" si="518"/>
        <v>0</v>
      </c>
      <c r="AA1346" s="126">
        <f t="shared" si="518"/>
        <v>0</v>
      </c>
      <c r="AB1346" s="126">
        <f t="shared" si="518"/>
        <v>0</v>
      </c>
      <c r="AC1346" s="126">
        <f t="shared" si="518"/>
        <v>0</v>
      </c>
      <c r="AD1346" s="126">
        <f t="shared" si="518"/>
        <v>0</v>
      </c>
      <c r="AE1346" s="126">
        <f t="shared" si="518"/>
        <v>0</v>
      </c>
      <c r="AF1346" s="126">
        <f t="shared" si="518"/>
        <v>0</v>
      </c>
      <c r="AG1346" s="126">
        <f t="shared" si="518"/>
        <v>0</v>
      </c>
      <c r="AH1346" s="126">
        <f t="shared" si="518"/>
        <v>0</v>
      </c>
    </row>
    <row r="1347" spans="1:34" s="20" customFormat="1" ht="14" x14ac:dyDescent="0.2">
      <c r="A1347" s="8"/>
      <c r="B1347" s="8" t="s">
        <v>138</v>
      </c>
      <c r="C1347" s="8"/>
      <c r="D1347" s="8" t="str">
        <f>'Assumptions - General'!$E$27 &amp;" millions"</f>
        <v>R$ millions</v>
      </c>
      <c r="E1347" s="126">
        <f t="shared" ref="E1347:E1352" si="519">E1335*E$1343</f>
        <v>0</v>
      </c>
      <c r="F1347" s="126">
        <f t="shared" ref="F1347:AH1347" si="520">F1335*F$1343</f>
        <v>0</v>
      </c>
      <c r="G1347" s="126">
        <f t="shared" si="520"/>
        <v>10</v>
      </c>
      <c r="H1347" s="126">
        <f t="shared" si="520"/>
        <v>20</v>
      </c>
      <c r="I1347" s="126">
        <f t="shared" si="520"/>
        <v>30</v>
      </c>
      <c r="J1347" s="126">
        <f t="shared" si="520"/>
        <v>40</v>
      </c>
      <c r="K1347" s="126">
        <f t="shared" si="520"/>
        <v>50</v>
      </c>
      <c r="L1347" s="126">
        <f t="shared" si="520"/>
        <v>50</v>
      </c>
      <c r="M1347" s="126">
        <f t="shared" si="520"/>
        <v>50</v>
      </c>
      <c r="N1347" s="126">
        <f t="shared" si="520"/>
        <v>50</v>
      </c>
      <c r="O1347" s="126">
        <f t="shared" si="520"/>
        <v>50</v>
      </c>
      <c r="P1347" s="126">
        <f t="shared" si="520"/>
        <v>50</v>
      </c>
      <c r="Q1347" s="126">
        <f t="shared" si="520"/>
        <v>50</v>
      </c>
      <c r="R1347" s="126">
        <f t="shared" si="520"/>
        <v>50</v>
      </c>
      <c r="S1347" s="126">
        <f t="shared" si="520"/>
        <v>50</v>
      </c>
      <c r="T1347" s="126">
        <f t="shared" si="520"/>
        <v>50</v>
      </c>
      <c r="U1347" s="126">
        <f t="shared" si="520"/>
        <v>0</v>
      </c>
      <c r="V1347" s="126">
        <f t="shared" si="520"/>
        <v>0</v>
      </c>
      <c r="W1347" s="126">
        <f t="shared" si="520"/>
        <v>0</v>
      </c>
      <c r="X1347" s="126">
        <f t="shared" si="520"/>
        <v>0</v>
      </c>
      <c r="Y1347" s="126">
        <f t="shared" si="520"/>
        <v>0</v>
      </c>
      <c r="Z1347" s="126">
        <f t="shared" si="520"/>
        <v>0</v>
      </c>
      <c r="AA1347" s="126">
        <f t="shared" si="520"/>
        <v>0</v>
      </c>
      <c r="AB1347" s="126">
        <f t="shared" si="520"/>
        <v>0</v>
      </c>
      <c r="AC1347" s="126">
        <f t="shared" si="520"/>
        <v>0</v>
      </c>
      <c r="AD1347" s="126">
        <f t="shared" si="520"/>
        <v>0</v>
      </c>
      <c r="AE1347" s="126">
        <f t="shared" si="520"/>
        <v>0</v>
      </c>
      <c r="AF1347" s="126">
        <f t="shared" si="520"/>
        <v>0</v>
      </c>
      <c r="AG1347" s="126">
        <f t="shared" si="520"/>
        <v>0</v>
      </c>
      <c r="AH1347" s="126">
        <f t="shared" si="520"/>
        <v>0</v>
      </c>
    </row>
    <row r="1348" spans="1:34" s="20" customFormat="1" ht="14" x14ac:dyDescent="0.2">
      <c r="A1348" s="8"/>
      <c r="B1348" s="8" t="s">
        <v>139</v>
      </c>
      <c r="C1348" s="8"/>
      <c r="D1348" s="8" t="str">
        <f>'Assumptions - General'!$E$27 &amp;" millions"</f>
        <v>R$ millions</v>
      </c>
      <c r="E1348" s="126">
        <f t="shared" si="519"/>
        <v>0</v>
      </c>
      <c r="F1348" s="126">
        <f t="shared" ref="F1348:AH1348" si="521">F1336*F$1343</f>
        <v>0</v>
      </c>
      <c r="G1348" s="126">
        <f t="shared" si="521"/>
        <v>0.2485</v>
      </c>
      <c r="H1348" s="126">
        <f t="shared" si="521"/>
        <v>0.8909999999999999</v>
      </c>
      <c r="I1348" s="126">
        <f t="shared" si="521"/>
        <v>1.6575</v>
      </c>
      <c r="J1348" s="126">
        <f t="shared" si="521"/>
        <v>2.4780000000000002</v>
      </c>
      <c r="K1348" s="126">
        <f t="shared" si="521"/>
        <v>3.3210000000000002</v>
      </c>
      <c r="L1348" s="126">
        <f t="shared" si="521"/>
        <v>3.7850000000000001</v>
      </c>
      <c r="M1348" s="126">
        <f t="shared" si="521"/>
        <v>3.8850000000000002</v>
      </c>
      <c r="N1348" s="126">
        <f t="shared" si="521"/>
        <v>3.9550000000000001</v>
      </c>
      <c r="O1348" s="126">
        <f t="shared" si="521"/>
        <v>3.53</v>
      </c>
      <c r="P1348" s="126">
        <f t="shared" si="521"/>
        <v>3.5000000000000004</v>
      </c>
      <c r="Q1348" s="126">
        <f t="shared" si="521"/>
        <v>3.5000000000000004</v>
      </c>
      <c r="R1348" s="126">
        <f t="shared" si="521"/>
        <v>3.5000000000000004</v>
      </c>
      <c r="S1348" s="126">
        <f t="shared" si="521"/>
        <v>3.5000000000000004</v>
      </c>
      <c r="T1348" s="126">
        <f t="shared" si="521"/>
        <v>3.5000000000000004</v>
      </c>
      <c r="U1348" s="126">
        <f t="shared" si="521"/>
        <v>1.7500000000000002</v>
      </c>
      <c r="V1348" s="126">
        <f t="shared" si="521"/>
        <v>0</v>
      </c>
      <c r="W1348" s="126">
        <f t="shared" si="521"/>
        <v>0</v>
      </c>
      <c r="X1348" s="126">
        <f t="shared" si="521"/>
        <v>0</v>
      </c>
      <c r="Y1348" s="126">
        <f t="shared" si="521"/>
        <v>0</v>
      </c>
      <c r="Z1348" s="126">
        <f t="shared" si="521"/>
        <v>0</v>
      </c>
      <c r="AA1348" s="126">
        <f t="shared" si="521"/>
        <v>0</v>
      </c>
      <c r="AB1348" s="126">
        <f t="shared" si="521"/>
        <v>0</v>
      </c>
      <c r="AC1348" s="126">
        <f t="shared" si="521"/>
        <v>0</v>
      </c>
      <c r="AD1348" s="126">
        <f t="shared" si="521"/>
        <v>0</v>
      </c>
      <c r="AE1348" s="126">
        <f t="shared" si="521"/>
        <v>0</v>
      </c>
      <c r="AF1348" s="126">
        <f t="shared" si="521"/>
        <v>0</v>
      </c>
      <c r="AG1348" s="126">
        <f t="shared" si="521"/>
        <v>0</v>
      </c>
      <c r="AH1348" s="126">
        <f t="shared" si="521"/>
        <v>0</v>
      </c>
    </row>
    <row r="1349" spans="1:34" s="20" customFormat="1" ht="14" x14ac:dyDescent="0.2">
      <c r="A1349" s="8"/>
      <c r="B1349" s="8" t="s">
        <v>53</v>
      </c>
      <c r="C1349" s="8"/>
      <c r="D1349" s="8" t="str">
        <f>'Assumptions - General'!$E$27 &amp;" millions"</f>
        <v>R$ millions</v>
      </c>
      <c r="E1349" s="126">
        <f t="shared" si="519"/>
        <v>0</v>
      </c>
      <c r="F1349" s="126">
        <f t="shared" ref="F1349:AH1349" si="522">F1337*F$1343</f>
        <v>0</v>
      </c>
      <c r="G1349" s="126">
        <f t="shared" si="522"/>
        <v>0.125</v>
      </c>
      <c r="H1349" s="126">
        <f t="shared" si="522"/>
        <v>0</v>
      </c>
      <c r="I1349" s="126">
        <f t="shared" si="522"/>
        <v>0</v>
      </c>
      <c r="J1349" s="126">
        <f t="shared" si="522"/>
        <v>0</v>
      </c>
      <c r="K1349" s="126">
        <f t="shared" si="522"/>
        <v>0</v>
      </c>
      <c r="L1349" s="126">
        <f t="shared" si="522"/>
        <v>0</v>
      </c>
      <c r="M1349" s="126">
        <f t="shared" si="522"/>
        <v>0</v>
      </c>
      <c r="N1349" s="126">
        <f t="shared" si="522"/>
        <v>0</v>
      </c>
      <c r="O1349" s="126">
        <f t="shared" si="522"/>
        <v>0</v>
      </c>
      <c r="P1349" s="126">
        <f t="shared" si="522"/>
        <v>0</v>
      </c>
      <c r="Q1349" s="126">
        <f t="shared" si="522"/>
        <v>0</v>
      </c>
      <c r="R1349" s="126">
        <f t="shared" si="522"/>
        <v>0</v>
      </c>
      <c r="S1349" s="126">
        <f t="shared" si="522"/>
        <v>0</v>
      </c>
      <c r="T1349" s="126">
        <f t="shared" si="522"/>
        <v>0</v>
      </c>
      <c r="U1349" s="126">
        <f t="shared" si="522"/>
        <v>0</v>
      </c>
      <c r="V1349" s="126">
        <f t="shared" si="522"/>
        <v>0</v>
      </c>
      <c r="W1349" s="126">
        <f t="shared" si="522"/>
        <v>0</v>
      </c>
      <c r="X1349" s="126">
        <f t="shared" si="522"/>
        <v>0</v>
      </c>
      <c r="Y1349" s="126">
        <f t="shared" si="522"/>
        <v>0</v>
      </c>
      <c r="Z1349" s="126">
        <f t="shared" si="522"/>
        <v>0</v>
      </c>
      <c r="AA1349" s="126">
        <f t="shared" si="522"/>
        <v>0</v>
      </c>
      <c r="AB1349" s="126">
        <f t="shared" si="522"/>
        <v>0</v>
      </c>
      <c r="AC1349" s="126">
        <f t="shared" si="522"/>
        <v>0</v>
      </c>
      <c r="AD1349" s="126">
        <f t="shared" si="522"/>
        <v>0</v>
      </c>
      <c r="AE1349" s="126">
        <f t="shared" si="522"/>
        <v>0</v>
      </c>
      <c r="AF1349" s="126">
        <f t="shared" si="522"/>
        <v>0</v>
      </c>
      <c r="AG1349" s="126">
        <f t="shared" si="522"/>
        <v>0</v>
      </c>
      <c r="AH1349" s="126">
        <f t="shared" si="522"/>
        <v>0</v>
      </c>
    </row>
    <row r="1350" spans="1:34" s="20" customFormat="1" ht="14" x14ac:dyDescent="0.2">
      <c r="A1350" s="8"/>
      <c r="B1350" s="8" t="s">
        <v>142</v>
      </c>
      <c r="C1350" s="8"/>
      <c r="D1350" s="8" t="str">
        <f>'Assumptions - General'!$E$27 &amp;" millions"</f>
        <v>R$ millions</v>
      </c>
      <c r="E1350" s="126">
        <f t="shared" si="519"/>
        <v>0</v>
      </c>
      <c r="F1350" s="126">
        <f t="shared" ref="F1350:AH1350" si="523">F1338*F$1343</f>
        <v>0</v>
      </c>
      <c r="G1350" s="126">
        <f t="shared" si="523"/>
        <v>40</v>
      </c>
      <c r="H1350" s="126">
        <f t="shared" si="523"/>
        <v>30</v>
      </c>
      <c r="I1350" s="126">
        <f t="shared" si="523"/>
        <v>20</v>
      </c>
      <c r="J1350" s="126">
        <f t="shared" si="523"/>
        <v>10</v>
      </c>
      <c r="K1350" s="126">
        <f t="shared" si="523"/>
        <v>0</v>
      </c>
      <c r="L1350" s="126">
        <f t="shared" si="523"/>
        <v>0</v>
      </c>
      <c r="M1350" s="126">
        <f t="shared" si="523"/>
        <v>0</v>
      </c>
      <c r="N1350" s="126">
        <f t="shared" si="523"/>
        <v>0</v>
      </c>
      <c r="O1350" s="126">
        <f t="shared" si="523"/>
        <v>0</v>
      </c>
      <c r="P1350" s="126">
        <f t="shared" si="523"/>
        <v>0</v>
      </c>
      <c r="Q1350" s="126">
        <f t="shared" si="523"/>
        <v>0</v>
      </c>
      <c r="R1350" s="126">
        <f t="shared" si="523"/>
        <v>0</v>
      </c>
      <c r="S1350" s="126">
        <f t="shared" si="523"/>
        <v>0</v>
      </c>
      <c r="T1350" s="126">
        <f t="shared" si="523"/>
        <v>0</v>
      </c>
      <c r="U1350" s="126">
        <f t="shared" si="523"/>
        <v>0</v>
      </c>
      <c r="V1350" s="126">
        <f t="shared" si="523"/>
        <v>0</v>
      </c>
      <c r="W1350" s="126">
        <f t="shared" si="523"/>
        <v>0</v>
      </c>
      <c r="X1350" s="126">
        <f t="shared" si="523"/>
        <v>0</v>
      </c>
      <c r="Y1350" s="126">
        <f t="shared" si="523"/>
        <v>0</v>
      </c>
      <c r="Z1350" s="126">
        <f t="shared" si="523"/>
        <v>0</v>
      </c>
      <c r="AA1350" s="126">
        <f t="shared" si="523"/>
        <v>0</v>
      </c>
      <c r="AB1350" s="126">
        <f t="shared" si="523"/>
        <v>0</v>
      </c>
      <c r="AC1350" s="126">
        <f t="shared" si="523"/>
        <v>0</v>
      </c>
      <c r="AD1350" s="126">
        <f t="shared" si="523"/>
        <v>0</v>
      </c>
      <c r="AE1350" s="126">
        <f t="shared" si="523"/>
        <v>0</v>
      </c>
      <c r="AF1350" s="126">
        <f t="shared" si="523"/>
        <v>0</v>
      </c>
      <c r="AG1350" s="126">
        <f t="shared" si="523"/>
        <v>0</v>
      </c>
      <c r="AH1350" s="126">
        <f t="shared" si="523"/>
        <v>0</v>
      </c>
    </row>
    <row r="1351" spans="1:34" s="20" customFormat="1" ht="14" x14ac:dyDescent="0.2">
      <c r="A1351" s="8"/>
      <c r="B1351" s="8" t="s">
        <v>55</v>
      </c>
      <c r="C1351" s="8"/>
      <c r="D1351" s="8" t="str">
        <f>'Assumptions - General'!$E$27 &amp;" millions"</f>
        <v>R$ millions</v>
      </c>
      <c r="E1351" s="126">
        <f t="shared" si="519"/>
        <v>0</v>
      </c>
      <c r="F1351" s="126">
        <f t="shared" ref="F1351:AH1351" si="524">F1339*F$1343</f>
        <v>0</v>
      </c>
      <c r="G1351" s="126">
        <f t="shared" si="524"/>
        <v>0</v>
      </c>
      <c r="H1351" s="126">
        <f t="shared" si="524"/>
        <v>0</v>
      </c>
      <c r="I1351" s="126">
        <f t="shared" si="524"/>
        <v>0</v>
      </c>
      <c r="J1351" s="126">
        <f t="shared" si="524"/>
        <v>0</v>
      </c>
      <c r="K1351" s="126">
        <f t="shared" si="524"/>
        <v>0</v>
      </c>
      <c r="L1351" s="126">
        <f t="shared" si="524"/>
        <v>0</v>
      </c>
      <c r="M1351" s="126">
        <f t="shared" si="524"/>
        <v>0</v>
      </c>
      <c r="N1351" s="126">
        <f t="shared" si="524"/>
        <v>0</v>
      </c>
      <c r="O1351" s="126">
        <f t="shared" si="524"/>
        <v>0</v>
      </c>
      <c r="P1351" s="126">
        <f t="shared" si="524"/>
        <v>0</v>
      </c>
      <c r="Q1351" s="126">
        <f t="shared" si="524"/>
        <v>0</v>
      </c>
      <c r="R1351" s="126">
        <f t="shared" si="524"/>
        <v>0</v>
      </c>
      <c r="S1351" s="126">
        <f t="shared" si="524"/>
        <v>0</v>
      </c>
      <c r="T1351" s="126">
        <f t="shared" si="524"/>
        <v>0</v>
      </c>
      <c r="U1351" s="126">
        <f t="shared" si="524"/>
        <v>0</v>
      </c>
      <c r="V1351" s="126">
        <f t="shared" si="524"/>
        <v>0</v>
      </c>
      <c r="W1351" s="126">
        <f t="shared" si="524"/>
        <v>0</v>
      </c>
      <c r="X1351" s="126">
        <f t="shared" si="524"/>
        <v>0</v>
      </c>
      <c r="Y1351" s="126">
        <f t="shared" si="524"/>
        <v>0</v>
      </c>
      <c r="Z1351" s="126">
        <f t="shared" si="524"/>
        <v>0</v>
      </c>
      <c r="AA1351" s="126">
        <f t="shared" si="524"/>
        <v>0</v>
      </c>
      <c r="AB1351" s="126">
        <f t="shared" si="524"/>
        <v>0</v>
      </c>
      <c r="AC1351" s="126">
        <f t="shared" si="524"/>
        <v>0</v>
      </c>
      <c r="AD1351" s="126">
        <f t="shared" si="524"/>
        <v>0</v>
      </c>
      <c r="AE1351" s="126">
        <f t="shared" si="524"/>
        <v>0</v>
      </c>
      <c r="AF1351" s="126">
        <f t="shared" si="524"/>
        <v>0</v>
      </c>
      <c r="AG1351" s="126">
        <f t="shared" si="524"/>
        <v>0</v>
      </c>
      <c r="AH1351" s="126">
        <f t="shared" si="524"/>
        <v>0</v>
      </c>
    </row>
    <row r="1352" spans="1:34" s="20" customFormat="1" ht="14" x14ac:dyDescent="0.2">
      <c r="A1352" s="8"/>
      <c r="B1352" s="8" t="s">
        <v>140</v>
      </c>
      <c r="C1352" s="8"/>
      <c r="D1352" s="8" t="str">
        <f>'Assumptions - General'!$E$27 &amp;" millions"</f>
        <v>R$ millions</v>
      </c>
      <c r="E1352" s="126">
        <f t="shared" si="519"/>
        <v>0</v>
      </c>
      <c r="F1352" s="126">
        <f t="shared" ref="F1352:AH1352" si="525">F1340*F$1343</f>
        <v>0</v>
      </c>
      <c r="G1352" s="126">
        <f t="shared" si="525"/>
        <v>0.3735</v>
      </c>
      <c r="H1352" s="126">
        <f t="shared" si="525"/>
        <v>0.8909999999999999</v>
      </c>
      <c r="I1352" s="126">
        <f t="shared" si="525"/>
        <v>1.6575</v>
      </c>
      <c r="J1352" s="126">
        <f t="shared" si="525"/>
        <v>2.4780000000000002</v>
      </c>
      <c r="K1352" s="126">
        <f t="shared" si="525"/>
        <v>3.3210000000000002</v>
      </c>
      <c r="L1352" s="126">
        <f t="shared" si="525"/>
        <v>3.7850000000000001</v>
      </c>
      <c r="M1352" s="126">
        <f t="shared" si="525"/>
        <v>3.8850000000000002</v>
      </c>
      <c r="N1352" s="126">
        <f t="shared" si="525"/>
        <v>3.9550000000000001</v>
      </c>
      <c r="O1352" s="126">
        <f t="shared" si="525"/>
        <v>3.53</v>
      </c>
      <c r="P1352" s="126">
        <f t="shared" si="525"/>
        <v>3.5000000000000004</v>
      </c>
      <c r="Q1352" s="126">
        <f t="shared" si="525"/>
        <v>3.5000000000000004</v>
      </c>
      <c r="R1352" s="126">
        <f t="shared" si="525"/>
        <v>3.5000000000000004</v>
      </c>
      <c r="S1352" s="126">
        <f t="shared" si="525"/>
        <v>3.5000000000000004</v>
      </c>
      <c r="T1352" s="126">
        <f t="shared" si="525"/>
        <v>3.5000000000000004</v>
      </c>
      <c r="U1352" s="126">
        <f t="shared" si="525"/>
        <v>51.75</v>
      </c>
      <c r="V1352" s="126">
        <f t="shared" si="525"/>
        <v>0</v>
      </c>
      <c r="W1352" s="126">
        <f t="shared" si="525"/>
        <v>0</v>
      </c>
      <c r="X1352" s="126">
        <f t="shared" si="525"/>
        <v>0</v>
      </c>
      <c r="Y1352" s="126">
        <f t="shared" si="525"/>
        <v>0</v>
      </c>
      <c r="Z1352" s="126">
        <f t="shared" si="525"/>
        <v>0</v>
      </c>
      <c r="AA1352" s="126">
        <f t="shared" si="525"/>
        <v>0</v>
      </c>
      <c r="AB1352" s="126">
        <f t="shared" si="525"/>
        <v>0</v>
      </c>
      <c r="AC1352" s="126">
        <f t="shared" si="525"/>
        <v>0</v>
      </c>
      <c r="AD1352" s="126">
        <f t="shared" si="525"/>
        <v>0</v>
      </c>
      <c r="AE1352" s="126">
        <f t="shared" si="525"/>
        <v>0</v>
      </c>
      <c r="AF1352" s="126">
        <f t="shared" si="525"/>
        <v>0</v>
      </c>
      <c r="AG1352" s="126">
        <f t="shared" si="525"/>
        <v>0</v>
      </c>
      <c r="AH1352" s="126">
        <f t="shared" si="525"/>
        <v>0</v>
      </c>
    </row>
    <row r="1353" spans="1:34" s="20" customFormat="1" ht="14" x14ac:dyDescent="0.2">
      <c r="A1353" s="8"/>
      <c r="B1353" s="8"/>
      <c r="C1353" s="8"/>
      <c r="D1353" s="8"/>
      <c r="E1353" s="126"/>
      <c r="F1353" s="126"/>
      <c r="G1353" s="126"/>
      <c r="H1353" s="126"/>
      <c r="I1353" s="126"/>
      <c r="J1353" s="126"/>
      <c r="K1353" s="126"/>
      <c r="L1353" s="126"/>
      <c r="M1353" s="126"/>
      <c r="N1353" s="126"/>
      <c r="O1353" s="126"/>
      <c r="P1353" s="126"/>
      <c r="Q1353" s="126"/>
      <c r="R1353" s="126"/>
      <c r="S1353" s="126"/>
      <c r="T1353" s="126"/>
      <c r="U1353" s="126"/>
      <c r="V1353" s="126"/>
      <c r="W1353" s="126"/>
      <c r="X1353" s="126"/>
      <c r="Y1353" s="126"/>
      <c r="Z1353" s="126"/>
      <c r="AA1353" s="126"/>
      <c r="AB1353" s="126"/>
      <c r="AC1353" s="126"/>
      <c r="AD1353" s="126"/>
      <c r="AE1353" s="126"/>
      <c r="AF1353" s="126"/>
      <c r="AG1353" s="126"/>
      <c r="AH1353" s="126"/>
    </row>
    <row r="1354" spans="1:34" s="20" customFormat="1" ht="14" x14ac:dyDescent="0.2">
      <c r="A1354" s="8"/>
      <c r="B1354" s="21" t="str">
        <f>"New loan from " &amp; 'Assumptions - Infrastructure'!E473</f>
        <v>New loan from Regional bank</v>
      </c>
      <c r="C1354" s="8"/>
      <c r="D1354" s="8"/>
      <c r="E1354" s="8"/>
      <c r="F1354" s="8"/>
      <c r="G1354" s="8"/>
      <c r="H1354" s="8"/>
      <c r="I1354" s="8"/>
      <c r="J1354" s="8"/>
      <c r="K1354" s="8"/>
      <c r="L1354" s="8"/>
      <c r="M1354" s="8"/>
      <c r="N1354" s="8"/>
      <c r="O1354" s="8"/>
      <c r="P1354" s="8"/>
      <c r="Q1354" s="8"/>
      <c r="R1354" s="8"/>
      <c r="S1354" s="8"/>
      <c r="T1354" s="8"/>
      <c r="U1354" s="8"/>
      <c r="V1354" s="8"/>
      <c r="W1354" s="8"/>
      <c r="X1354" s="8"/>
      <c r="Y1354" s="8"/>
      <c r="Z1354" s="8"/>
      <c r="AA1354" s="8"/>
      <c r="AB1354" s="8"/>
      <c r="AC1354" s="8"/>
      <c r="AD1354" s="8"/>
      <c r="AE1354" s="8"/>
      <c r="AF1354" s="8"/>
      <c r="AG1354" s="8"/>
      <c r="AH1354" s="8"/>
    </row>
    <row r="1355" spans="1:34" s="20" customFormat="1" ht="14" x14ac:dyDescent="0.2">
      <c r="A1355" s="8"/>
      <c r="B1355" s="8" t="s">
        <v>293</v>
      </c>
      <c r="C1355" s="8"/>
      <c r="D1355" s="8" t="s">
        <v>99</v>
      </c>
      <c r="E1355" s="8"/>
      <c r="F1355" s="8">
        <f>IF('Assumptions - Infrastructure'!$E$477&lt;&gt;0,IF(F$4&lt;'Assumptions - Infrastructure'!$E$474+'Assumptions - Infrastructure'!$E$484,0,E1355+1),0)</f>
        <v>0</v>
      </c>
      <c r="G1355" s="8">
        <f>IF('Assumptions - Infrastructure'!$E$477&lt;&gt;0,IF(G$4&lt;'Assumptions - Infrastructure'!$E$474+'Assumptions - Infrastructure'!$E$484,0,F1355+1),0)</f>
        <v>0</v>
      </c>
      <c r="H1355" s="8">
        <f>IF('Assumptions - Infrastructure'!$E$477&lt;&gt;0,IF(H$4&lt;'Assumptions - Infrastructure'!$E$474+'Assumptions - Infrastructure'!$E$484,0,G1355+1),0)</f>
        <v>0</v>
      </c>
      <c r="I1355" s="8">
        <f>IF('Assumptions - Infrastructure'!$E$477&lt;&gt;0,IF(I$4&lt;'Assumptions - Infrastructure'!$E$474+'Assumptions - Infrastructure'!$E$484,0,H1355+1),0)</f>
        <v>0</v>
      </c>
      <c r="J1355" s="8">
        <f>IF('Assumptions - Infrastructure'!$E$477&lt;&gt;0,IF(J$4&lt;'Assumptions - Infrastructure'!$E$474+'Assumptions - Infrastructure'!$E$484,0,I1355+1),0)</f>
        <v>0</v>
      </c>
      <c r="K1355" s="8">
        <f>IF('Assumptions - Infrastructure'!$E$477&lt;&gt;0,IF(K$4&lt;'Assumptions - Infrastructure'!$E$474+'Assumptions - Infrastructure'!$E$484,0,J1355+1),0)</f>
        <v>0</v>
      </c>
      <c r="L1355" s="8">
        <f>IF('Assumptions - Infrastructure'!$E$477&lt;&gt;0,IF(L$4&lt;'Assumptions - Infrastructure'!$E$474+'Assumptions - Infrastructure'!$E$484,0,K1355+1),0)</f>
        <v>1</v>
      </c>
      <c r="M1355" s="8">
        <f>IF('Assumptions - Infrastructure'!$E$477&lt;&gt;0,IF(M$4&lt;'Assumptions - Infrastructure'!$E$474+'Assumptions - Infrastructure'!$E$484,0,L1355+1),0)</f>
        <v>2</v>
      </c>
      <c r="N1355" s="8">
        <f>IF('Assumptions - Infrastructure'!$E$477&lt;&gt;0,IF(N$4&lt;'Assumptions - Infrastructure'!$E$474+'Assumptions - Infrastructure'!$E$484,0,M1355+1),0)</f>
        <v>3</v>
      </c>
      <c r="O1355" s="8">
        <f>IF('Assumptions - Infrastructure'!$E$477&lt;&gt;0,IF(O$4&lt;'Assumptions - Infrastructure'!$E$474+'Assumptions - Infrastructure'!$E$484,0,N1355+1),0)</f>
        <v>4</v>
      </c>
      <c r="P1355" s="8">
        <f>IF('Assumptions - Infrastructure'!$E$477&lt;&gt;0,IF(P$4&lt;'Assumptions - Infrastructure'!$E$474+'Assumptions - Infrastructure'!$E$484,0,O1355+1),0)</f>
        <v>5</v>
      </c>
      <c r="Q1355" s="8">
        <f>IF('Assumptions - Infrastructure'!$E$477&lt;&gt;0,IF(Q$4&lt;'Assumptions - Infrastructure'!$E$474+'Assumptions - Infrastructure'!$E$484,0,P1355+1),0)</f>
        <v>6</v>
      </c>
      <c r="R1355" s="8">
        <f>IF('Assumptions - Infrastructure'!$E$477&lt;&gt;0,IF(R$4&lt;'Assumptions - Infrastructure'!$E$474+'Assumptions - Infrastructure'!$E$484,0,Q1355+1),0)</f>
        <v>7</v>
      </c>
      <c r="S1355" s="8">
        <f>IF('Assumptions - Infrastructure'!$E$477&lt;&gt;0,IF(S$4&lt;'Assumptions - Infrastructure'!$E$474+'Assumptions - Infrastructure'!$E$484,0,R1355+1),0)</f>
        <v>8</v>
      </c>
      <c r="T1355" s="8">
        <f>IF('Assumptions - Infrastructure'!$E$477&lt;&gt;0,IF(T$4&lt;'Assumptions - Infrastructure'!$E$474+'Assumptions - Infrastructure'!$E$484,0,S1355+1),0)</f>
        <v>9</v>
      </c>
      <c r="U1355" s="8">
        <f>IF('Assumptions - Infrastructure'!$E$477&lt;&gt;0,IF(U$4&lt;'Assumptions - Infrastructure'!$E$474+'Assumptions - Infrastructure'!$E$484,0,T1355+1),0)</f>
        <v>10</v>
      </c>
      <c r="V1355" s="8">
        <f>IF('Assumptions - Infrastructure'!$E$477&lt;&gt;0,IF(V$4&lt;'Assumptions - Infrastructure'!$E$474+'Assumptions - Infrastructure'!$E$484,0,U1355+1),0)</f>
        <v>11</v>
      </c>
      <c r="W1355" s="8">
        <f>IF('Assumptions - Infrastructure'!$E$477&lt;&gt;0,IF(W$4&lt;'Assumptions - Infrastructure'!$E$474+'Assumptions - Infrastructure'!$E$484,0,V1355+1),0)</f>
        <v>12</v>
      </c>
      <c r="X1355" s="8">
        <f>IF('Assumptions - Infrastructure'!$E$477&lt;&gt;0,IF(X$4&lt;'Assumptions - Infrastructure'!$E$474+'Assumptions - Infrastructure'!$E$484,0,W1355+1),0)</f>
        <v>13</v>
      </c>
      <c r="Y1355" s="8">
        <f>IF('Assumptions - Infrastructure'!$E$477&lt;&gt;0,IF(Y$4&lt;'Assumptions - Infrastructure'!$E$474+'Assumptions - Infrastructure'!$E$484,0,X1355+1),0)</f>
        <v>14</v>
      </c>
      <c r="Z1355" s="8">
        <f>IF('Assumptions - Infrastructure'!$E$477&lt;&gt;0,IF(Z$4&lt;'Assumptions - Infrastructure'!$E$474+'Assumptions - Infrastructure'!$E$484,0,Y1355+1),0)</f>
        <v>15</v>
      </c>
      <c r="AA1355" s="8">
        <f>IF('Assumptions - Infrastructure'!$E$477&lt;&gt;0,IF(AA$4&lt;'Assumptions - Infrastructure'!$E$474+'Assumptions - Infrastructure'!$E$484,0,Z1355+1),0)</f>
        <v>16</v>
      </c>
      <c r="AB1355" s="8">
        <f>IF('Assumptions - Infrastructure'!$E$477&lt;&gt;0,IF(AB$4&lt;'Assumptions - Infrastructure'!$E$474+'Assumptions - Infrastructure'!$E$484,0,AA1355+1),0)</f>
        <v>17</v>
      </c>
      <c r="AC1355" s="8">
        <f>IF('Assumptions - Infrastructure'!$E$477&lt;&gt;0,IF(AC$4&lt;'Assumptions - Infrastructure'!$E$474+'Assumptions - Infrastructure'!$E$484,0,AB1355+1),0)</f>
        <v>18</v>
      </c>
      <c r="AD1355" s="8">
        <f>IF('Assumptions - Infrastructure'!$E$477&lt;&gt;0,IF(AD$4&lt;'Assumptions - Infrastructure'!$E$474+'Assumptions - Infrastructure'!$E$484,0,AC1355+1),0)</f>
        <v>19</v>
      </c>
      <c r="AE1355" s="8">
        <f>IF('Assumptions - Infrastructure'!$E$477&lt;&gt;0,IF(AE$4&lt;'Assumptions - Infrastructure'!$E$474+'Assumptions - Infrastructure'!$E$484,0,AD1355+1),0)</f>
        <v>20</v>
      </c>
      <c r="AF1355" s="8">
        <f>IF('Assumptions - Infrastructure'!$E$477&lt;&gt;0,IF(AF$4&lt;'Assumptions - Infrastructure'!$E$474+'Assumptions - Infrastructure'!$E$484,0,AE1355+1),0)</f>
        <v>21</v>
      </c>
      <c r="AG1355" s="8">
        <f>IF('Assumptions - Infrastructure'!$E$477&lt;&gt;0,IF(AG$4&lt;'Assumptions - Infrastructure'!$E$474+'Assumptions - Infrastructure'!$E$484,0,AF1355+1),0)</f>
        <v>22</v>
      </c>
      <c r="AH1355" s="8">
        <f>IF('Assumptions - Infrastructure'!$E$477&lt;&gt;0,IF(AH$4&lt;'Assumptions - Infrastructure'!$E$474+'Assumptions - Infrastructure'!$E$484,0,AG1355+1),0)</f>
        <v>23</v>
      </c>
    </row>
    <row r="1356" spans="1:34" s="20" customFormat="1" ht="14" x14ac:dyDescent="0.2">
      <c r="A1356" s="8"/>
      <c r="B1356" s="8" t="s">
        <v>135</v>
      </c>
      <c r="C1356" s="8"/>
      <c r="D1356" s="8" t="s">
        <v>15</v>
      </c>
      <c r="E1356" s="47">
        <f>IF(E$19=1,IF('Assumptions - Infrastructure'!$E479=1,'Assumptions - Infrastructure'!$E481,'Assumptions - General'!E$38+'Assumptions - Infrastructure'!$E482),0)</f>
        <v>0.05</v>
      </c>
      <c r="F1356" s="47">
        <f>IF(F$19=1,IF('Assumptions - Infrastructure'!$E479=1,'Assumptions - Infrastructure'!$E481,'Assumptions - General'!F$38+'Assumptions - Infrastructure'!$E482),0)</f>
        <v>0.05</v>
      </c>
      <c r="G1356" s="47">
        <f>IF(G$19=1,IF('Assumptions - Infrastructure'!$E479=1,'Assumptions - Infrastructure'!$E481,'Assumptions - General'!G$38+'Assumptions - Infrastructure'!$E482),0)</f>
        <v>0.05</v>
      </c>
      <c r="H1356" s="47">
        <f>IF(H$19=1,IF('Assumptions - Infrastructure'!$E479=1,'Assumptions - Infrastructure'!$E481,'Assumptions - General'!H$38+'Assumptions - Infrastructure'!$E482),0)</f>
        <v>0.05</v>
      </c>
      <c r="I1356" s="47">
        <f>IF(I$19=1,IF('Assumptions - Infrastructure'!$E479=1,'Assumptions - Infrastructure'!$E481,'Assumptions - General'!I$38+'Assumptions - Infrastructure'!$E482),0)</f>
        <v>0.05</v>
      </c>
      <c r="J1356" s="47">
        <f>IF(J$19=1,IF('Assumptions - Infrastructure'!$E479=1,'Assumptions - Infrastructure'!$E481,'Assumptions - General'!J$38+'Assumptions - Infrastructure'!$E482),0)</f>
        <v>0.05</v>
      </c>
      <c r="K1356" s="47">
        <f>IF(K$19=1,IF('Assumptions - Infrastructure'!$E479=1,'Assumptions - Infrastructure'!$E481,'Assumptions - General'!K$38+'Assumptions - Infrastructure'!$E482),0)</f>
        <v>0.05</v>
      </c>
      <c r="L1356" s="47">
        <f>IF(L$19=1,IF('Assumptions - Infrastructure'!$E479=1,'Assumptions - Infrastructure'!$E481,'Assumptions - General'!L$38+'Assumptions - Infrastructure'!$E482),0)</f>
        <v>0.05</v>
      </c>
      <c r="M1356" s="47">
        <f>IF(M$19=1,IF('Assumptions - Infrastructure'!$E479=1,'Assumptions - Infrastructure'!$E481,'Assumptions - General'!M$38+'Assumptions - Infrastructure'!$E482),0)</f>
        <v>0.05</v>
      </c>
      <c r="N1356" s="47">
        <f>IF(N$19=1,IF('Assumptions - Infrastructure'!$E479=1,'Assumptions - Infrastructure'!$E481,'Assumptions - General'!N$38+'Assumptions - Infrastructure'!$E482),0)</f>
        <v>0.05</v>
      </c>
      <c r="O1356" s="47">
        <f>IF(O$19=1,IF('Assumptions - Infrastructure'!$E479=1,'Assumptions - Infrastructure'!$E481,'Assumptions - General'!O$38+'Assumptions - Infrastructure'!$E482),0)</f>
        <v>0.05</v>
      </c>
      <c r="P1356" s="47">
        <f>IF(P$19=1,IF('Assumptions - Infrastructure'!$E479=1,'Assumptions - Infrastructure'!$E481,'Assumptions - General'!P$38+'Assumptions - Infrastructure'!$E482),0)</f>
        <v>0.05</v>
      </c>
      <c r="Q1356" s="47">
        <f>IF(Q$19=1,IF('Assumptions - Infrastructure'!$E479=1,'Assumptions - Infrastructure'!$E481,'Assumptions - General'!Q$38+'Assumptions - Infrastructure'!$E482),0)</f>
        <v>0.05</v>
      </c>
      <c r="R1356" s="47">
        <f>IF(R$19=1,IF('Assumptions - Infrastructure'!$E479=1,'Assumptions - Infrastructure'!$E481,'Assumptions - General'!R$38+'Assumptions - Infrastructure'!$E482),0)</f>
        <v>0.05</v>
      </c>
      <c r="S1356" s="47">
        <f>IF(S$19=1,IF('Assumptions - Infrastructure'!$E479=1,'Assumptions - Infrastructure'!$E481,'Assumptions - General'!S$38+'Assumptions - Infrastructure'!$E482),0)</f>
        <v>0.05</v>
      </c>
      <c r="T1356" s="47">
        <f>IF(T$19=1,IF('Assumptions - Infrastructure'!$E479=1,'Assumptions - Infrastructure'!$E481,'Assumptions - General'!T$38+'Assumptions - Infrastructure'!$E482),0)</f>
        <v>0.05</v>
      </c>
      <c r="U1356" s="47">
        <f>IF(U$19=1,IF('Assumptions - Infrastructure'!$E479=1,'Assumptions - Infrastructure'!$E481,'Assumptions - General'!U$38+'Assumptions - Infrastructure'!$E482),0)</f>
        <v>0.05</v>
      </c>
      <c r="V1356" s="47">
        <f>IF(V$19=1,IF('Assumptions - Infrastructure'!$E479=1,'Assumptions - Infrastructure'!$E481,'Assumptions - General'!V$38+'Assumptions - Infrastructure'!$E482),0)</f>
        <v>0.05</v>
      </c>
      <c r="W1356" s="47">
        <f>IF(W$19=1,IF('Assumptions - Infrastructure'!$E479=1,'Assumptions - Infrastructure'!$E481,'Assumptions - General'!W$38+'Assumptions - Infrastructure'!$E482),0)</f>
        <v>0.05</v>
      </c>
      <c r="X1356" s="47">
        <f>IF(X$19=1,IF('Assumptions - Infrastructure'!$E479=1,'Assumptions - Infrastructure'!$E481,'Assumptions - General'!X$38+'Assumptions - Infrastructure'!$E482),0)</f>
        <v>0.05</v>
      </c>
      <c r="Y1356" s="47">
        <f>IF(Y$19=1,IF('Assumptions - Infrastructure'!$E479=1,'Assumptions - Infrastructure'!$E481,'Assumptions - General'!Y$38+'Assumptions - Infrastructure'!$E482),0)</f>
        <v>0.05</v>
      </c>
      <c r="Z1356" s="47">
        <f>IF(Z$19=1,IF('Assumptions - Infrastructure'!$E479=1,'Assumptions - Infrastructure'!$E481,'Assumptions - General'!Z$38+'Assumptions - Infrastructure'!$E482),0)</f>
        <v>0.05</v>
      </c>
      <c r="AA1356" s="47">
        <f>IF(AA$19=1,IF('Assumptions - Infrastructure'!$E479=1,'Assumptions - Infrastructure'!$E481,'Assumptions - General'!AA$38+'Assumptions - Infrastructure'!$E482),0)</f>
        <v>0.05</v>
      </c>
      <c r="AB1356" s="47">
        <f>IF(AB$19=1,IF('Assumptions - Infrastructure'!$E479=1,'Assumptions - Infrastructure'!$E481,'Assumptions - General'!AB$38+'Assumptions - Infrastructure'!$E482),0)</f>
        <v>0.05</v>
      </c>
      <c r="AC1356" s="47">
        <f>IF(AC$19=1,IF('Assumptions - Infrastructure'!$E479=1,'Assumptions - Infrastructure'!$E481,'Assumptions - General'!AC$38+'Assumptions - Infrastructure'!$E482),0)</f>
        <v>0.05</v>
      </c>
      <c r="AD1356" s="47">
        <f>IF(AD$19=1,IF('Assumptions - Infrastructure'!$E479=1,'Assumptions - Infrastructure'!$E481,'Assumptions - General'!AD$38+'Assumptions - Infrastructure'!$E482),0)</f>
        <v>0.05</v>
      </c>
      <c r="AE1356" s="47">
        <f>IF(AE$19=1,IF('Assumptions - Infrastructure'!$E479=1,'Assumptions - Infrastructure'!$E481,'Assumptions - General'!AE$38+'Assumptions - Infrastructure'!$E482),0)</f>
        <v>0.05</v>
      </c>
      <c r="AF1356" s="47">
        <f>IF(AF$19=1,IF('Assumptions - Infrastructure'!$E479=1,'Assumptions - Infrastructure'!$E481,'Assumptions - General'!AF$38+'Assumptions - Infrastructure'!$E482),0)</f>
        <v>0.05</v>
      </c>
      <c r="AG1356" s="47">
        <f>IF(AG$19=1,IF('Assumptions - Infrastructure'!$E479=1,'Assumptions - Infrastructure'!$E481,'Assumptions - General'!AG$38+'Assumptions - Infrastructure'!$E482),0)</f>
        <v>0.05</v>
      </c>
      <c r="AH1356" s="47">
        <f>IF(AH$19=1,IF('Assumptions - Infrastructure'!$E479=1,'Assumptions - Infrastructure'!$E481,'Assumptions - General'!AH$38+'Assumptions - Infrastructure'!$E482),0)</f>
        <v>0.05</v>
      </c>
    </row>
    <row r="1357" spans="1:34" s="20" customFormat="1" ht="14" x14ac:dyDescent="0.2">
      <c r="A1357" s="8"/>
      <c r="B1357" s="8" t="s">
        <v>136</v>
      </c>
      <c r="C1357" s="8"/>
      <c r="D1357" s="8" t="str">
        <f>'Assumptions - Infrastructure'!D477</f>
        <v>R$ millions</v>
      </c>
      <c r="E1357" s="468">
        <v>0</v>
      </c>
      <c r="F1357" s="126">
        <f t="shared" ref="F1357:AH1357" si="526">E1365</f>
        <v>0</v>
      </c>
      <c r="G1357" s="126">
        <f t="shared" si="526"/>
        <v>0</v>
      </c>
      <c r="H1357" s="126">
        <f t="shared" si="526"/>
        <v>10</v>
      </c>
      <c r="I1357" s="126">
        <f t="shared" si="526"/>
        <v>20</v>
      </c>
      <c r="J1357" s="126">
        <f t="shared" si="526"/>
        <v>30</v>
      </c>
      <c r="K1357" s="126">
        <f t="shared" si="526"/>
        <v>40</v>
      </c>
      <c r="L1357" s="126">
        <f t="shared" si="526"/>
        <v>50</v>
      </c>
      <c r="M1357" s="126">
        <f t="shared" si="526"/>
        <v>50</v>
      </c>
      <c r="N1357" s="126">
        <f t="shared" si="526"/>
        <v>50</v>
      </c>
      <c r="O1357" s="126">
        <f t="shared" si="526"/>
        <v>50</v>
      </c>
      <c r="P1357" s="126">
        <f t="shared" si="526"/>
        <v>50</v>
      </c>
      <c r="Q1357" s="126">
        <f t="shared" si="526"/>
        <v>50</v>
      </c>
      <c r="R1357" s="126">
        <f t="shared" si="526"/>
        <v>50</v>
      </c>
      <c r="S1357" s="126">
        <f t="shared" si="526"/>
        <v>50</v>
      </c>
      <c r="T1357" s="126">
        <f t="shared" si="526"/>
        <v>50</v>
      </c>
      <c r="U1357" s="126">
        <f t="shared" si="526"/>
        <v>50</v>
      </c>
      <c r="V1357" s="126">
        <f t="shared" si="526"/>
        <v>0</v>
      </c>
      <c r="W1357" s="126">
        <f t="shared" si="526"/>
        <v>0</v>
      </c>
      <c r="X1357" s="126">
        <f t="shared" si="526"/>
        <v>0</v>
      </c>
      <c r="Y1357" s="126">
        <f t="shared" si="526"/>
        <v>0</v>
      </c>
      <c r="Z1357" s="126">
        <f t="shared" si="526"/>
        <v>0</v>
      </c>
      <c r="AA1357" s="126">
        <f t="shared" si="526"/>
        <v>0</v>
      </c>
      <c r="AB1357" s="126">
        <f t="shared" si="526"/>
        <v>0</v>
      </c>
      <c r="AC1357" s="126">
        <f t="shared" si="526"/>
        <v>0</v>
      </c>
      <c r="AD1357" s="126">
        <f t="shared" si="526"/>
        <v>0</v>
      </c>
      <c r="AE1357" s="126">
        <f t="shared" si="526"/>
        <v>0</v>
      </c>
      <c r="AF1357" s="126">
        <f t="shared" si="526"/>
        <v>0</v>
      </c>
      <c r="AG1357" s="126">
        <f t="shared" si="526"/>
        <v>0</v>
      </c>
      <c r="AH1357" s="126">
        <f t="shared" si="526"/>
        <v>0</v>
      </c>
    </row>
    <row r="1358" spans="1:34" s="20" customFormat="1" ht="14" x14ac:dyDescent="0.2">
      <c r="A1358" s="8"/>
      <c r="B1358" s="8" t="s">
        <v>410</v>
      </c>
      <c r="C1358" s="8"/>
      <c r="D1358" s="8" t="str">
        <f>D1357</f>
        <v>R$ millions</v>
      </c>
      <c r="E1358" s="126">
        <f>IF(E$19=1,IF('Assumptions - Infrastructure'!$E$477&lt;&gt;0,IF('Assumptions - Infrastructure'!$E$485=1,Calculations!E1359,IF('Assumptions - Infrastructure'!$E$485=2,Calculations!E1360,IF('Assumptions - Infrastructure'!$E$485=3,IF(E1355=('Assumptions - Infrastructure'!$E$483-'Assumptions - Infrastructure'!$E$484),Calculations!D1365,Calculations!E1361),0))),0),0)</f>
        <v>0</v>
      </c>
      <c r="F1358" s="126">
        <f>IF(F$19=1,IF('Assumptions - Infrastructure'!$E$477&lt;&gt;0,IF('Assumptions - Infrastructure'!$E$485=1,Calculations!F1359,IF('Assumptions - Infrastructure'!$E$485=2,Calculations!F1360,IF('Assumptions - Infrastructure'!$E$485=3,IF(F1355=('Assumptions - Infrastructure'!$E$483-'Assumptions - Infrastructure'!$E$484),Calculations!E1365,Calculations!F1361),0))),0),0)</f>
        <v>0</v>
      </c>
      <c r="G1358" s="126">
        <f>IF(G$19=1,IF('Assumptions - Infrastructure'!$E$477&lt;&gt;0,IF('Assumptions - Infrastructure'!$E$485=1,Calculations!G1359,IF('Assumptions - Infrastructure'!$E$485=2,Calculations!G1360,IF('Assumptions - Infrastructure'!$E$485=3,IF(G1355=('Assumptions - Infrastructure'!$E$483-'Assumptions - Infrastructure'!$E$484),Calculations!F1365,Calculations!G1361),0))),0),0)</f>
        <v>0</v>
      </c>
      <c r="H1358" s="126">
        <f>IF(H$19=1,IF('Assumptions - Infrastructure'!$E$477&lt;&gt;0,IF('Assumptions - Infrastructure'!$E$485=1,Calculations!H1359,IF('Assumptions - Infrastructure'!$E$485=2,Calculations!H1360,IF('Assumptions - Infrastructure'!$E$485=3,IF(H1355=('Assumptions - Infrastructure'!$E$483-'Assumptions - Infrastructure'!$E$484),Calculations!G1365,Calculations!H1361),0))),0),0)</f>
        <v>0</v>
      </c>
      <c r="I1358" s="126">
        <f>IF(I$19=1,IF('Assumptions - Infrastructure'!$E$477&lt;&gt;0,IF('Assumptions - Infrastructure'!$E$485=1,Calculations!I1359,IF('Assumptions - Infrastructure'!$E$485=2,Calculations!I1360,IF('Assumptions - Infrastructure'!$E$485=3,IF(I1355=('Assumptions - Infrastructure'!$E$483-'Assumptions - Infrastructure'!$E$484),Calculations!H1365,Calculations!I1361),0))),0),0)</f>
        <v>0</v>
      </c>
      <c r="J1358" s="126">
        <f>IF(J$19=1,IF('Assumptions - Infrastructure'!$E$477&lt;&gt;0,IF('Assumptions - Infrastructure'!$E$485=1,Calculations!J1359,IF('Assumptions - Infrastructure'!$E$485=2,Calculations!J1360,IF('Assumptions - Infrastructure'!$E$485=3,IF(J1355=('Assumptions - Infrastructure'!$E$483-'Assumptions - Infrastructure'!$E$484),Calculations!I1365,Calculations!J1361),0))),0),0)</f>
        <v>0</v>
      </c>
      <c r="K1358" s="126">
        <f>IF(K$19=1,IF('Assumptions - Infrastructure'!$E$477&lt;&gt;0,IF('Assumptions - Infrastructure'!$E$485=1,Calculations!K1359,IF('Assumptions - Infrastructure'!$E$485=2,Calculations!K1360,IF('Assumptions - Infrastructure'!$E$485=3,IF(K1355=('Assumptions - Infrastructure'!$E$483-'Assumptions - Infrastructure'!$E$484),Calculations!J1365,Calculations!K1361),0))),0),0)</f>
        <v>0</v>
      </c>
      <c r="L1358" s="126">
        <f>IF(L$19=1,IF('Assumptions - Infrastructure'!$E$477&lt;&gt;0,IF('Assumptions - Infrastructure'!$E$485=1,Calculations!L1359,IF('Assumptions - Infrastructure'!$E$485=2,Calculations!L1360,IF('Assumptions - Infrastructure'!$E$485=3,IF(L1355=('Assumptions - Infrastructure'!$E$483-'Assumptions - Infrastructure'!$E$484),Calculations!K1365,Calculations!L1361),0))),0),0)</f>
        <v>0</v>
      </c>
      <c r="M1358" s="126">
        <f>IF(M$19=1,IF('Assumptions - Infrastructure'!$E$477&lt;&gt;0,IF('Assumptions - Infrastructure'!$E$485=1,Calculations!M1359,IF('Assumptions - Infrastructure'!$E$485=2,Calculations!M1360,IF('Assumptions - Infrastructure'!$E$485=3,IF(M1355=('Assumptions - Infrastructure'!$E$483-'Assumptions - Infrastructure'!$E$484),Calculations!L1365,Calculations!M1361),0))),0),0)</f>
        <v>0</v>
      </c>
      <c r="N1358" s="126">
        <f>IF(N$19=1,IF('Assumptions - Infrastructure'!$E$477&lt;&gt;0,IF('Assumptions - Infrastructure'!$E$485=1,Calculations!N1359,IF('Assumptions - Infrastructure'!$E$485=2,Calculations!N1360,IF('Assumptions - Infrastructure'!$E$485=3,IF(N1355=('Assumptions - Infrastructure'!$E$483-'Assumptions - Infrastructure'!$E$484),Calculations!M1365,Calculations!N1361),0))),0),0)</f>
        <v>0</v>
      </c>
      <c r="O1358" s="126">
        <f>IF(O$19=1,IF('Assumptions - Infrastructure'!$E$477&lt;&gt;0,IF('Assumptions - Infrastructure'!$E$485=1,Calculations!O1359,IF('Assumptions - Infrastructure'!$E$485=2,Calculations!O1360,IF('Assumptions - Infrastructure'!$E$485=3,IF(O1355=('Assumptions - Infrastructure'!$E$483-'Assumptions - Infrastructure'!$E$484),Calculations!N1365,Calculations!O1361),0))),0),0)</f>
        <v>0</v>
      </c>
      <c r="P1358" s="126">
        <f>IF(P$19=1,IF('Assumptions - Infrastructure'!$E$477&lt;&gt;0,IF('Assumptions - Infrastructure'!$E$485=1,Calculations!P1359,IF('Assumptions - Infrastructure'!$E$485=2,Calculations!P1360,IF('Assumptions - Infrastructure'!$E$485=3,IF(P1355=('Assumptions - Infrastructure'!$E$483-'Assumptions - Infrastructure'!$E$484),Calculations!O1365,Calculations!P1361),0))),0),0)</f>
        <v>0</v>
      </c>
      <c r="Q1358" s="126">
        <f>IF(Q$19=1,IF('Assumptions - Infrastructure'!$E$477&lt;&gt;0,IF('Assumptions - Infrastructure'!$E$485=1,Calculations!Q1359,IF('Assumptions - Infrastructure'!$E$485=2,Calculations!Q1360,IF('Assumptions - Infrastructure'!$E$485=3,IF(Q1355=('Assumptions - Infrastructure'!$E$483-'Assumptions - Infrastructure'!$E$484),Calculations!P1365,Calculations!Q1361),0))),0),0)</f>
        <v>0</v>
      </c>
      <c r="R1358" s="126">
        <f>IF(R$19=1,IF('Assumptions - Infrastructure'!$E$477&lt;&gt;0,IF('Assumptions - Infrastructure'!$E$485=1,Calculations!R1359,IF('Assumptions - Infrastructure'!$E$485=2,Calculations!R1360,IF('Assumptions - Infrastructure'!$E$485=3,IF(R1355=('Assumptions - Infrastructure'!$E$483-'Assumptions - Infrastructure'!$E$484),Calculations!Q1365,Calculations!R1361),0))),0),0)</f>
        <v>0</v>
      </c>
      <c r="S1358" s="126">
        <f>IF(S$19=1,IF('Assumptions - Infrastructure'!$E$477&lt;&gt;0,IF('Assumptions - Infrastructure'!$E$485=1,Calculations!S1359,IF('Assumptions - Infrastructure'!$E$485=2,Calculations!S1360,IF('Assumptions - Infrastructure'!$E$485=3,IF(S1355=('Assumptions - Infrastructure'!$E$483-'Assumptions - Infrastructure'!$E$484),Calculations!R1365,Calculations!S1361),0))),0),0)</f>
        <v>0</v>
      </c>
      <c r="T1358" s="126">
        <f>IF(T$19=1,IF('Assumptions - Infrastructure'!$E$477&lt;&gt;0,IF('Assumptions - Infrastructure'!$E$485=1,Calculations!T1359,IF('Assumptions - Infrastructure'!$E$485=2,Calculations!T1360,IF('Assumptions - Infrastructure'!$E$485=3,IF(T1355=('Assumptions - Infrastructure'!$E$483-'Assumptions - Infrastructure'!$E$484),Calculations!S1365,Calculations!T1361),0))),0),0)</f>
        <v>0</v>
      </c>
      <c r="U1358" s="126">
        <f>IF(U$19=1,IF('Assumptions - Infrastructure'!$E$477&lt;&gt;0,IF('Assumptions - Infrastructure'!$E$485=1,Calculations!U1359,IF('Assumptions - Infrastructure'!$E$485=2,Calculations!U1360,IF('Assumptions - Infrastructure'!$E$485=3,IF(U1355=('Assumptions - Infrastructure'!$E$483-'Assumptions - Infrastructure'!$E$484),Calculations!T1365,Calculations!U1361),0))),0),0)</f>
        <v>50</v>
      </c>
      <c r="V1358" s="126">
        <f>IF(V$19=1,IF('Assumptions - Infrastructure'!$E$477&lt;&gt;0,IF('Assumptions - Infrastructure'!$E$485=1,Calculations!V1359,IF('Assumptions - Infrastructure'!$E$485=2,Calculations!V1360,IF('Assumptions - Infrastructure'!$E$485=3,IF(V1355=('Assumptions - Infrastructure'!$E$483-'Assumptions - Infrastructure'!$E$484),Calculations!U1365,Calculations!V1361),0))),0),0)</f>
        <v>0</v>
      </c>
      <c r="W1358" s="126">
        <f>IF(W$19=1,IF('Assumptions - Infrastructure'!$E$477&lt;&gt;0,IF('Assumptions - Infrastructure'!$E$485=1,Calculations!W1359,IF('Assumptions - Infrastructure'!$E$485=2,Calculations!W1360,IF('Assumptions - Infrastructure'!$E$485=3,IF(W1355=('Assumptions - Infrastructure'!$E$483-'Assumptions - Infrastructure'!$E$484),Calculations!V1365,Calculations!W1361),0))),0),0)</f>
        <v>0</v>
      </c>
      <c r="X1358" s="126">
        <f>IF(X$19=1,IF('Assumptions - Infrastructure'!$E$477&lt;&gt;0,IF('Assumptions - Infrastructure'!$E$485=1,Calculations!X1359,IF('Assumptions - Infrastructure'!$E$485=2,Calculations!X1360,IF('Assumptions - Infrastructure'!$E$485=3,IF(X1355=('Assumptions - Infrastructure'!$E$483-'Assumptions - Infrastructure'!$E$484),Calculations!W1365,Calculations!X1361),0))),0),0)</f>
        <v>0</v>
      </c>
      <c r="Y1358" s="126">
        <f>IF(Y$19=1,IF('Assumptions - Infrastructure'!$E$477&lt;&gt;0,IF('Assumptions - Infrastructure'!$E$485=1,Calculations!Y1359,IF('Assumptions - Infrastructure'!$E$485=2,Calculations!Y1360,IF('Assumptions - Infrastructure'!$E$485=3,IF(Y1355=('Assumptions - Infrastructure'!$E$483-'Assumptions - Infrastructure'!$E$484),Calculations!X1365,Calculations!Y1361),0))),0),0)</f>
        <v>0</v>
      </c>
      <c r="Z1358" s="126">
        <f>IF(Z$19=1,IF('Assumptions - Infrastructure'!$E$477&lt;&gt;0,IF('Assumptions - Infrastructure'!$E$485=1,Calculations!Z1359,IF('Assumptions - Infrastructure'!$E$485=2,Calculations!Z1360,IF('Assumptions - Infrastructure'!$E$485=3,IF(Z1355=('Assumptions - Infrastructure'!$E$483-'Assumptions - Infrastructure'!$E$484),Calculations!Y1365,Calculations!Z1361),0))),0),0)</f>
        <v>0</v>
      </c>
      <c r="AA1358" s="126">
        <f>IF(AA$19=1,IF('Assumptions - Infrastructure'!$E$477&lt;&gt;0,IF('Assumptions - Infrastructure'!$E$485=1,Calculations!AA1359,IF('Assumptions - Infrastructure'!$E$485=2,Calculations!AA1360,IF('Assumptions - Infrastructure'!$E$485=3,IF(AA1355=('Assumptions - Infrastructure'!$E$483-'Assumptions - Infrastructure'!$E$484),Calculations!Z1365,Calculations!AA1361),0))),0),0)</f>
        <v>0</v>
      </c>
      <c r="AB1358" s="126">
        <f>IF(AB$19=1,IF('Assumptions - Infrastructure'!$E$477&lt;&gt;0,IF('Assumptions - Infrastructure'!$E$485=1,Calculations!AB1359,IF('Assumptions - Infrastructure'!$E$485=2,Calculations!AB1360,IF('Assumptions - Infrastructure'!$E$485=3,IF(AB1355=('Assumptions - Infrastructure'!$E$483-'Assumptions - Infrastructure'!$E$484),Calculations!AA1365,Calculations!AB1361),0))),0),0)</f>
        <v>0</v>
      </c>
      <c r="AC1358" s="126">
        <f>IF(AC$19=1,IF('Assumptions - Infrastructure'!$E$477&lt;&gt;0,IF('Assumptions - Infrastructure'!$E$485=1,Calculations!AC1359,IF('Assumptions - Infrastructure'!$E$485=2,Calculations!AC1360,IF('Assumptions - Infrastructure'!$E$485=3,IF(AC1355=('Assumptions - Infrastructure'!$E$483-'Assumptions - Infrastructure'!$E$484),Calculations!AB1365,Calculations!AC1361),0))),0),0)</f>
        <v>0</v>
      </c>
      <c r="AD1358" s="126">
        <f>IF(AD$19=1,IF('Assumptions - Infrastructure'!$E$477&lt;&gt;0,IF('Assumptions - Infrastructure'!$E$485=1,Calculations!AD1359,IF('Assumptions - Infrastructure'!$E$485=2,Calculations!AD1360,IF('Assumptions - Infrastructure'!$E$485=3,IF(AD1355=('Assumptions - Infrastructure'!$E$483-'Assumptions - Infrastructure'!$E$484),Calculations!AC1365,Calculations!AD1361),0))),0),0)</f>
        <v>0</v>
      </c>
      <c r="AE1358" s="126">
        <f>IF(AE$19=1,IF('Assumptions - Infrastructure'!$E$477&lt;&gt;0,IF('Assumptions - Infrastructure'!$E$485=1,Calculations!AE1359,IF('Assumptions - Infrastructure'!$E$485=2,Calculations!AE1360,IF('Assumptions - Infrastructure'!$E$485=3,IF(AE1355=('Assumptions - Infrastructure'!$E$483-'Assumptions - Infrastructure'!$E$484),Calculations!AD1365,Calculations!AE1361),0))),0),0)</f>
        <v>0</v>
      </c>
      <c r="AF1358" s="126">
        <f>IF(AF$19=1,IF('Assumptions - Infrastructure'!$E$477&lt;&gt;0,IF('Assumptions - Infrastructure'!$E$485=1,Calculations!AF1359,IF('Assumptions - Infrastructure'!$E$485=2,Calculations!AF1360,IF('Assumptions - Infrastructure'!$E$485=3,IF(AF1355=('Assumptions - Infrastructure'!$E$483-'Assumptions - Infrastructure'!$E$484),Calculations!AE1365,Calculations!AF1361),0))),0),0)</f>
        <v>0</v>
      </c>
      <c r="AG1358" s="126">
        <f>IF(AG$19=1,IF('Assumptions - Infrastructure'!$E$477&lt;&gt;0,IF('Assumptions - Infrastructure'!$E$485=1,Calculations!AG1359,IF('Assumptions - Infrastructure'!$E$485=2,Calculations!AG1360,IF('Assumptions - Infrastructure'!$E$485=3,IF(AG1355=('Assumptions - Infrastructure'!$E$483-'Assumptions - Infrastructure'!$E$484),Calculations!AF1365,Calculations!AG1361),0))),0),0)</f>
        <v>0</v>
      </c>
      <c r="AH1358" s="126">
        <f>IF(AH$19=1,IF('Assumptions - Infrastructure'!$E$477&lt;&gt;0,IF('Assumptions - Infrastructure'!$E$485=1,Calculations!AH1359,IF('Assumptions - Infrastructure'!$E$485=2,Calculations!AH1360,IF('Assumptions - Infrastructure'!$E$485=3,IF(AH1355=('Assumptions - Infrastructure'!$E$483-'Assumptions - Infrastructure'!$E$484),Calculations!AG1365,Calculations!AH1361),0))),0),0)</f>
        <v>0</v>
      </c>
    </row>
    <row r="1359" spans="1:34" s="20" customFormat="1" ht="14" x14ac:dyDescent="0.2">
      <c r="A1359" s="8"/>
      <c r="B1359" s="125" t="s">
        <v>295</v>
      </c>
      <c r="C1359" s="8"/>
      <c r="D1359" s="8" t="str">
        <f t="shared" ref="D1359:D1370" si="527">D1358</f>
        <v>R$ millions</v>
      </c>
      <c r="E1359" s="126">
        <f>IF('Assumptions - Infrastructure'!$E$477&lt;&gt;0,IF(AND('Assumptions - Infrastructure'!$E$485=1,E$1355=('Assumptions - Infrastructure'!$E$483-'Assumptions - Infrastructure'!$E$484)),'Assumptions - Infrastructure'!$E$477,0),0)</f>
        <v>0</v>
      </c>
      <c r="F1359" s="126">
        <f>IF('Assumptions - Infrastructure'!$E$477&lt;&gt;0,IF(AND('Assumptions - Infrastructure'!$E$485=1,F$1355=('Assumptions - Infrastructure'!$E$483-'Assumptions - Infrastructure'!$E$484)),'Assumptions - Infrastructure'!$E$477,0),0)</f>
        <v>0</v>
      </c>
      <c r="G1359" s="126">
        <f>IF('Assumptions - Infrastructure'!$E$477&lt;&gt;0,IF(AND('Assumptions - Infrastructure'!$E$485=1,G$1355=('Assumptions - Infrastructure'!$E$483-'Assumptions - Infrastructure'!$E$484)),'Assumptions - Infrastructure'!$E$477,0),0)</f>
        <v>0</v>
      </c>
      <c r="H1359" s="126">
        <f>IF('Assumptions - Infrastructure'!$E$477&lt;&gt;0,IF(AND('Assumptions - Infrastructure'!$E$485=1,H$1355=('Assumptions - Infrastructure'!$E$483-'Assumptions - Infrastructure'!$E$484)),'Assumptions - Infrastructure'!$E$477,0),0)</f>
        <v>0</v>
      </c>
      <c r="I1359" s="126">
        <f>IF('Assumptions - Infrastructure'!$E$477&lt;&gt;0,IF(AND('Assumptions - Infrastructure'!$E$485=1,I$1355=('Assumptions - Infrastructure'!$E$483-'Assumptions - Infrastructure'!$E$484)),'Assumptions - Infrastructure'!$E$477,0),0)</f>
        <v>0</v>
      </c>
      <c r="J1359" s="126">
        <f>IF('Assumptions - Infrastructure'!$E$477&lt;&gt;0,IF(AND('Assumptions - Infrastructure'!$E$485=1,J$1355=('Assumptions - Infrastructure'!$E$483-'Assumptions - Infrastructure'!$E$484)),'Assumptions - Infrastructure'!$E$477,0),0)</f>
        <v>0</v>
      </c>
      <c r="K1359" s="126">
        <f>IF('Assumptions - Infrastructure'!$E$477&lt;&gt;0,IF(AND('Assumptions - Infrastructure'!$E$485=1,K$1355=('Assumptions - Infrastructure'!$E$483-'Assumptions - Infrastructure'!$E$484)),'Assumptions - Infrastructure'!$E$477,0),0)</f>
        <v>0</v>
      </c>
      <c r="L1359" s="126">
        <f>IF('Assumptions - Infrastructure'!$E$477&lt;&gt;0,IF(AND('Assumptions - Infrastructure'!$E$485=1,L$1355=('Assumptions - Infrastructure'!$E$483-'Assumptions - Infrastructure'!$E$484)),'Assumptions - Infrastructure'!$E$477,0),0)</f>
        <v>0</v>
      </c>
      <c r="M1359" s="126">
        <f>IF('Assumptions - Infrastructure'!$E$477&lt;&gt;0,IF(AND('Assumptions - Infrastructure'!$E$485=1,M$1355=('Assumptions - Infrastructure'!$E$483-'Assumptions - Infrastructure'!$E$484)),'Assumptions - Infrastructure'!$E$477,0),0)</f>
        <v>0</v>
      </c>
      <c r="N1359" s="126">
        <f>IF('Assumptions - Infrastructure'!$E$477&lt;&gt;0,IF(AND('Assumptions - Infrastructure'!$E$485=1,N$1355=('Assumptions - Infrastructure'!$E$483-'Assumptions - Infrastructure'!$E$484)),'Assumptions - Infrastructure'!$E$477,0),0)</f>
        <v>0</v>
      </c>
      <c r="O1359" s="126">
        <f>IF('Assumptions - Infrastructure'!$E$477&lt;&gt;0,IF(AND('Assumptions - Infrastructure'!$E$485=1,O$1355=('Assumptions - Infrastructure'!$E$483-'Assumptions - Infrastructure'!$E$484)),'Assumptions - Infrastructure'!$E$477,0),0)</f>
        <v>0</v>
      </c>
      <c r="P1359" s="126">
        <f>IF('Assumptions - Infrastructure'!$E$477&lt;&gt;0,IF(AND('Assumptions - Infrastructure'!$E$485=1,P$1355=('Assumptions - Infrastructure'!$E$483-'Assumptions - Infrastructure'!$E$484)),'Assumptions - Infrastructure'!$E$477,0),0)</f>
        <v>0</v>
      </c>
      <c r="Q1359" s="126">
        <f>IF('Assumptions - Infrastructure'!$E$477&lt;&gt;0,IF(AND('Assumptions - Infrastructure'!$E$485=1,Q$1355=('Assumptions - Infrastructure'!$E$483-'Assumptions - Infrastructure'!$E$484)),'Assumptions - Infrastructure'!$E$477,0),0)</f>
        <v>0</v>
      </c>
      <c r="R1359" s="126">
        <f>IF('Assumptions - Infrastructure'!$E$477&lt;&gt;0,IF(AND('Assumptions - Infrastructure'!$E$485=1,R$1355=('Assumptions - Infrastructure'!$E$483-'Assumptions - Infrastructure'!$E$484)),'Assumptions - Infrastructure'!$E$477,0),0)</f>
        <v>0</v>
      </c>
      <c r="S1359" s="126">
        <f>IF('Assumptions - Infrastructure'!$E$477&lt;&gt;0,IF(AND('Assumptions - Infrastructure'!$E$485=1,S$1355=('Assumptions - Infrastructure'!$E$483-'Assumptions - Infrastructure'!$E$484)),'Assumptions - Infrastructure'!$E$477,0),0)</f>
        <v>0</v>
      </c>
      <c r="T1359" s="126">
        <f>IF('Assumptions - Infrastructure'!$E$477&lt;&gt;0,IF(AND('Assumptions - Infrastructure'!$E$485=1,T$1355=('Assumptions - Infrastructure'!$E$483-'Assumptions - Infrastructure'!$E$484)),'Assumptions - Infrastructure'!$E$477,0),0)</f>
        <v>0</v>
      </c>
      <c r="U1359" s="126">
        <f>IF('Assumptions - Infrastructure'!$E$477&lt;&gt;0,IF(AND('Assumptions - Infrastructure'!$E$485=1,U$1355=('Assumptions - Infrastructure'!$E$483-'Assumptions - Infrastructure'!$E$484)),'Assumptions - Infrastructure'!$E$477,0),0)</f>
        <v>50</v>
      </c>
      <c r="V1359" s="126">
        <f>IF('Assumptions - Infrastructure'!$E$477&lt;&gt;0,IF(AND('Assumptions - Infrastructure'!$E$485=1,V$1355=('Assumptions - Infrastructure'!$E$483-'Assumptions - Infrastructure'!$E$484)),'Assumptions - Infrastructure'!$E$477,0),0)</f>
        <v>0</v>
      </c>
      <c r="W1359" s="126">
        <f>IF('Assumptions - Infrastructure'!$E$477&lt;&gt;0,IF(AND('Assumptions - Infrastructure'!$E$485=1,W$1355=('Assumptions - Infrastructure'!$E$483-'Assumptions - Infrastructure'!$E$484)),'Assumptions - Infrastructure'!$E$477,0),0)</f>
        <v>0</v>
      </c>
      <c r="X1359" s="126">
        <f>IF('Assumptions - Infrastructure'!$E$477&lt;&gt;0,IF(AND('Assumptions - Infrastructure'!$E$485=1,X$1355=('Assumptions - Infrastructure'!$E$483-'Assumptions - Infrastructure'!$E$484)),'Assumptions - Infrastructure'!$E$477,0),0)</f>
        <v>0</v>
      </c>
      <c r="Y1359" s="126">
        <f>IF('Assumptions - Infrastructure'!$E$477&lt;&gt;0,IF(AND('Assumptions - Infrastructure'!$E$485=1,Y$1355=('Assumptions - Infrastructure'!$E$483-'Assumptions - Infrastructure'!$E$484)),'Assumptions - Infrastructure'!$E$477,0),0)</f>
        <v>0</v>
      </c>
      <c r="Z1359" s="126">
        <f>IF('Assumptions - Infrastructure'!$E$477&lt;&gt;0,IF(AND('Assumptions - Infrastructure'!$E$485=1,Z$1355=('Assumptions - Infrastructure'!$E$483-'Assumptions - Infrastructure'!$E$484)),'Assumptions - Infrastructure'!$E$477,0),0)</f>
        <v>0</v>
      </c>
      <c r="AA1359" s="126">
        <f>IF('Assumptions - Infrastructure'!$E$477&lt;&gt;0,IF(AND('Assumptions - Infrastructure'!$E$485=1,AA$1355=('Assumptions - Infrastructure'!$E$483-'Assumptions - Infrastructure'!$E$484)),'Assumptions - Infrastructure'!$E$477,0),0)</f>
        <v>0</v>
      </c>
      <c r="AB1359" s="126">
        <f>IF('Assumptions - Infrastructure'!$E$477&lt;&gt;0,IF(AND('Assumptions - Infrastructure'!$E$485=1,AB$1355=('Assumptions - Infrastructure'!$E$483-'Assumptions - Infrastructure'!$E$484)),'Assumptions - Infrastructure'!$E$477,0),0)</f>
        <v>0</v>
      </c>
      <c r="AC1359" s="126">
        <f>IF('Assumptions - Infrastructure'!$E$477&lt;&gt;0,IF(AND('Assumptions - Infrastructure'!$E$485=1,AC$1355=('Assumptions - Infrastructure'!$E$483-'Assumptions - Infrastructure'!$E$484)),'Assumptions - Infrastructure'!$E$477,0),0)</f>
        <v>0</v>
      </c>
      <c r="AD1359" s="126">
        <f>IF('Assumptions - Infrastructure'!$E$477&lt;&gt;0,IF(AND('Assumptions - Infrastructure'!$E$485=1,AD$1355=('Assumptions - Infrastructure'!$E$483-'Assumptions - Infrastructure'!$E$484)),'Assumptions - Infrastructure'!$E$477,0),0)</f>
        <v>0</v>
      </c>
      <c r="AE1359" s="126">
        <f>IF('Assumptions - Infrastructure'!$E$477&lt;&gt;0,IF(AND('Assumptions - Infrastructure'!$E$485=1,AE$1355=('Assumptions - Infrastructure'!$E$483-'Assumptions - Infrastructure'!$E$484)),'Assumptions - Infrastructure'!$E$477,0),0)</f>
        <v>0</v>
      </c>
      <c r="AF1359" s="126">
        <f>IF('Assumptions - Infrastructure'!$E$477&lt;&gt;0,IF(AND('Assumptions - Infrastructure'!$E$485=1,AF$1355=('Assumptions - Infrastructure'!$E$483-'Assumptions - Infrastructure'!$E$484)),'Assumptions - Infrastructure'!$E$477,0),0)</f>
        <v>0</v>
      </c>
      <c r="AG1359" s="126">
        <f>IF('Assumptions - Infrastructure'!$E$477&lt;&gt;0,IF(AND('Assumptions - Infrastructure'!$E$485=1,AG$1355=('Assumptions - Infrastructure'!$E$483-'Assumptions - Infrastructure'!$E$484)),'Assumptions - Infrastructure'!$E$477,0),0)</f>
        <v>0</v>
      </c>
      <c r="AH1359" s="126">
        <f>IF('Assumptions - Infrastructure'!$E$477&lt;&gt;0,IF(AND('Assumptions - Infrastructure'!$E$485=1,AH$1355=('Assumptions - Infrastructure'!$E$483-'Assumptions - Infrastructure'!$E$484)),'Assumptions - Infrastructure'!$E$477,0),0)</f>
        <v>0</v>
      </c>
    </row>
    <row r="1360" spans="1:34" s="20" customFormat="1" ht="14" x14ac:dyDescent="0.2">
      <c r="A1360" s="8"/>
      <c r="B1360" s="125" t="s">
        <v>294</v>
      </c>
      <c r="C1360" s="8"/>
      <c r="D1360" s="8" t="str">
        <f t="shared" si="527"/>
        <v>R$ millions</v>
      </c>
      <c r="E1360" s="126">
        <f>IF('Assumptions - Infrastructure'!$E$477&lt;&gt;0,IF(AND('Assumptions - Infrastructure'!$E$485=2,Calculations!E$1355&gt;0,Calculations!E$1355&lt;=('Assumptions - Infrastructure'!$E$483-'Assumptions - Infrastructure'!$E$484)),'Assumptions - Infrastructure'!$E$477/('Assumptions - Infrastructure'!$E$483-'Assumptions - Infrastructure'!$E$484),0),0)</f>
        <v>0</v>
      </c>
      <c r="F1360" s="126">
        <f>IF('Assumptions - Infrastructure'!$E$477&lt;&gt;0,IF(AND('Assumptions - Infrastructure'!$E$485=2,Calculations!F$1355&gt;0,Calculations!F$1355&lt;=('Assumptions - Infrastructure'!$E$483-'Assumptions - Infrastructure'!$E$484)),'Assumptions - Infrastructure'!$E$477/('Assumptions - Infrastructure'!$E$483-'Assumptions - Infrastructure'!$E$484),0),0)</f>
        <v>0</v>
      </c>
      <c r="G1360" s="126">
        <f>IF('Assumptions - Infrastructure'!$E$477&lt;&gt;0,IF(AND('Assumptions - Infrastructure'!$E$485=2,Calculations!G$1355&gt;0,Calculations!G$1355&lt;=('Assumptions - Infrastructure'!$E$483-'Assumptions - Infrastructure'!$E$484)),'Assumptions - Infrastructure'!$E$477/('Assumptions - Infrastructure'!$E$483-'Assumptions - Infrastructure'!$E$484),0),0)</f>
        <v>0</v>
      </c>
      <c r="H1360" s="126">
        <f>IF('Assumptions - Infrastructure'!$E$477&lt;&gt;0,IF(AND('Assumptions - Infrastructure'!$E$485=2,Calculations!H$1355&gt;0,Calculations!H$1355&lt;=('Assumptions - Infrastructure'!$E$483-'Assumptions - Infrastructure'!$E$484)),'Assumptions - Infrastructure'!$E$477/('Assumptions - Infrastructure'!$E$483-'Assumptions - Infrastructure'!$E$484),0),0)</f>
        <v>0</v>
      </c>
      <c r="I1360" s="126">
        <f>IF('Assumptions - Infrastructure'!$E$477&lt;&gt;0,IF(AND('Assumptions - Infrastructure'!$E$485=2,Calculations!I$1355&gt;0,Calculations!I$1355&lt;=('Assumptions - Infrastructure'!$E$483-'Assumptions - Infrastructure'!$E$484)),'Assumptions - Infrastructure'!$E$477/('Assumptions - Infrastructure'!$E$483-'Assumptions - Infrastructure'!$E$484),0),0)</f>
        <v>0</v>
      </c>
      <c r="J1360" s="126">
        <f>IF('Assumptions - Infrastructure'!$E$477&lt;&gt;0,IF(AND('Assumptions - Infrastructure'!$E$485=2,Calculations!J$1355&gt;0,Calculations!J$1355&lt;=('Assumptions - Infrastructure'!$E$483-'Assumptions - Infrastructure'!$E$484)),'Assumptions - Infrastructure'!$E$477/('Assumptions - Infrastructure'!$E$483-'Assumptions - Infrastructure'!$E$484),0),0)</f>
        <v>0</v>
      </c>
      <c r="K1360" s="126">
        <f>IF('Assumptions - Infrastructure'!$E$477&lt;&gt;0,IF(AND('Assumptions - Infrastructure'!$E$485=2,Calculations!K$1355&gt;0,Calculations!K$1355&lt;=('Assumptions - Infrastructure'!$E$483-'Assumptions - Infrastructure'!$E$484)),'Assumptions - Infrastructure'!$E$477/('Assumptions - Infrastructure'!$E$483-'Assumptions - Infrastructure'!$E$484),0),0)</f>
        <v>0</v>
      </c>
      <c r="L1360" s="126">
        <f>IF('Assumptions - Infrastructure'!$E$477&lt;&gt;0,IF(AND('Assumptions - Infrastructure'!$E$485=2,Calculations!L$1355&gt;0,Calculations!L$1355&lt;=('Assumptions - Infrastructure'!$E$483-'Assumptions - Infrastructure'!$E$484)),'Assumptions - Infrastructure'!$E$477/('Assumptions - Infrastructure'!$E$483-'Assumptions - Infrastructure'!$E$484),0),0)</f>
        <v>0</v>
      </c>
      <c r="M1360" s="126">
        <f>IF('Assumptions - Infrastructure'!$E$477&lt;&gt;0,IF(AND('Assumptions - Infrastructure'!$E$485=2,Calculations!M$1355&gt;0,Calculations!M$1355&lt;=('Assumptions - Infrastructure'!$E$483-'Assumptions - Infrastructure'!$E$484)),'Assumptions - Infrastructure'!$E$477/('Assumptions - Infrastructure'!$E$483-'Assumptions - Infrastructure'!$E$484),0),0)</f>
        <v>0</v>
      </c>
      <c r="N1360" s="126">
        <f>IF('Assumptions - Infrastructure'!$E$477&lt;&gt;0,IF(AND('Assumptions - Infrastructure'!$E$485=2,Calculations!N$1355&gt;0,Calculations!N$1355&lt;=('Assumptions - Infrastructure'!$E$483-'Assumptions - Infrastructure'!$E$484)),'Assumptions - Infrastructure'!$E$477/('Assumptions - Infrastructure'!$E$483-'Assumptions - Infrastructure'!$E$484),0),0)</f>
        <v>0</v>
      </c>
      <c r="O1360" s="126">
        <f>IF('Assumptions - Infrastructure'!$E$477&lt;&gt;0,IF(AND('Assumptions - Infrastructure'!$E$485=2,Calculations!O$1355&gt;0,Calculations!O$1355&lt;=('Assumptions - Infrastructure'!$E$483-'Assumptions - Infrastructure'!$E$484)),'Assumptions - Infrastructure'!$E$477/('Assumptions - Infrastructure'!$E$483-'Assumptions - Infrastructure'!$E$484),0),0)</f>
        <v>0</v>
      </c>
      <c r="P1360" s="126">
        <f>IF('Assumptions - Infrastructure'!$E$477&lt;&gt;0,IF(AND('Assumptions - Infrastructure'!$E$485=2,Calculations!P$1355&gt;0,Calculations!P$1355&lt;=('Assumptions - Infrastructure'!$E$483-'Assumptions - Infrastructure'!$E$484)),'Assumptions - Infrastructure'!$E$477/('Assumptions - Infrastructure'!$E$483-'Assumptions - Infrastructure'!$E$484),0),0)</f>
        <v>0</v>
      </c>
      <c r="Q1360" s="126">
        <f>IF('Assumptions - Infrastructure'!$E$477&lt;&gt;0,IF(AND('Assumptions - Infrastructure'!$E$485=2,Calculations!Q$1355&gt;0,Calculations!Q$1355&lt;=('Assumptions - Infrastructure'!$E$483-'Assumptions - Infrastructure'!$E$484)),'Assumptions - Infrastructure'!$E$477/('Assumptions - Infrastructure'!$E$483-'Assumptions - Infrastructure'!$E$484),0),0)</f>
        <v>0</v>
      </c>
      <c r="R1360" s="126">
        <f>IF('Assumptions - Infrastructure'!$E$477&lt;&gt;0,IF(AND('Assumptions - Infrastructure'!$E$485=2,Calculations!R$1355&gt;0,Calculations!R$1355&lt;=('Assumptions - Infrastructure'!$E$483-'Assumptions - Infrastructure'!$E$484)),'Assumptions - Infrastructure'!$E$477/('Assumptions - Infrastructure'!$E$483-'Assumptions - Infrastructure'!$E$484),0),0)</f>
        <v>0</v>
      </c>
      <c r="S1360" s="126">
        <f>IF('Assumptions - Infrastructure'!$E$477&lt;&gt;0,IF(AND('Assumptions - Infrastructure'!$E$485=2,Calculations!S$1355&gt;0,Calculations!S$1355&lt;=('Assumptions - Infrastructure'!$E$483-'Assumptions - Infrastructure'!$E$484)),'Assumptions - Infrastructure'!$E$477/('Assumptions - Infrastructure'!$E$483-'Assumptions - Infrastructure'!$E$484),0),0)</f>
        <v>0</v>
      </c>
      <c r="T1360" s="126">
        <f>IF('Assumptions - Infrastructure'!$E$477&lt;&gt;0,IF(AND('Assumptions - Infrastructure'!$E$485=2,Calculations!T$1355&gt;0,Calculations!T$1355&lt;=('Assumptions - Infrastructure'!$E$483-'Assumptions - Infrastructure'!$E$484)),'Assumptions - Infrastructure'!$E$477/('Assumptions - Infrastructure'!$E$483-'Assumptions - Infrastructure'!$E$484),0),0)</f>
        <v>0</v>
      </c>
      <c r="U1360" s="126">
        <f>IF('Assumptions - Infrastructure'!$E$477&lt;&gt;0,IF(AND('Assumptions - Infrastructure'!$E$485=2,Calculations!U$1355&gt;0,Calculations!U$1355&lt;=('Assumptions - Infrastructure'!$E$483-'Assumptions - Infrastructure'!$E$484)),'Assumptions - Infrastructure'!$E$477/('Assumptions - Infrastructure'!$E$483-'Assumptions - Infrastructure'!$E$484),0),0)</f>
        <v>0</v>
      </c>
      <c r="V1360" s="126">
        <f>IF('Assumptions - Infrastructure'!$E$477&lt;&gt;0,IF(AND('Assumptions - Infrastructure'!$E$485=2,Calculations!V$1355&gt;0,Calculations!V$1355&lt;=('Assumptions - Infrastructure'!$E$483-'Assumptions - Infrastructure'!$E$484)),'Assumptions - Infrastructure'!$E$477/('Assumptions - Infrastructure'!$E$483-'Assumptions - Infrastructure'!$E$484),0),0)</f>
        <v>0</v>
      </c>
      <c r="W1360" s="126">
        <f>IF('Assumptions - Infrastructure'!$E$477&lt;&gt;0,IF(AND('Assumptions - Infrastructure'!$E$485=2,Calculations!W$1355&gt;0,Calculations!W$1355&lt;=('Assumptions - Infrastructure'!$E$483-'Assumptions - Infrastructure'!$E$484)),'Assumptions - Infrastructure'!$E$477/('Assumptions - Infrastructure'!$E$483-'Assumptions - Infrastructure'!$E$484),0),0)</f>
        <v>0</v>
      </c>
      <c r="X1360" s="126">
        <f>IF('Assumptions - Infrastructure'!$E$477&lt;&gt;0,IF(AND('Assumptions - Infrastructure'!$E$485=2,Calculations!X$1355&gt;0,Calculations!X$1355&lt;=('Assumptions - Infrastructure'!$E$483-'Assumptions - Infrastructure'!$E$484)),'Assumptions - Infrastructure'!$E$477/('Assumptions - Infrastructure'!$E$483-'Assumptions - Infrastructure'!$E$484),0),0)</f>
        <v>0</v>
      </c>
      <c r="Y1360" s="126">
        <f>IF('Assumptions - Infrastructure'!$E$477&lt;&gt;0,IF(AND('Assumptions - Infrastructure'!$E$485=2,Calculations!Y$1355&gt;0,Calculations!Y$1355&lt;=('Assumptions - Infrastructure'!$E$483-'Assumptions - Infrastructure'!$E$484)),'Assumptions - Infrastructure'!$E$477/('Assumptions - Infrastructure'!$E$483-'Assumptions - Infrastructure'!$E$484),0),0)</f>
        <v>0</v>
      </c>
      <c r="Z1360" s="126">
        <f>IF('Assumptions - Infrastructure'!$E$477&lt;&gt;0,IF(AND('Assumptions - Infrastructure'!$E$485=2,Calculations!Z$1355&gt;0,Calculations!Z$1355&lt;=('Assumptions - Infrastructure'!$E$483-'Assumptions - Infrastructure'!$E$484)),'Assumptions - Infrastructure'!$E$477/('Assumptions - Infrastructure'!$E$483-'Assumptions - Infrastructure'!$E$484),0),0)</f>
        <v>0</v>
      </c>
      <c r="AA1360" s="126">
        <f>IF('Assumptions - Infrastructure'!$E$477&lt;&gt;0,IF(AND('Assumptions - Infrastructure'!$E$485=2,Calculations!AA$1355&gt;0,Calculations!AA$1355&lt;=('Assumptions - Infrastructure'!$E$483-'Assumptions - Infrastructure'!$E$484)),'Assumptions - Infrastructure'!$E$477/('Assumptions - Infrastructure'!$E$483-'Assumptions - Infrastructure'!$E$484),0),0)</f>
        <v>0</v>
      </c>
      <c r="AB1360" s="126">
        <f>IF('Assumptions - Infrastructure'!$E$477&lt;&gt;0,IF(AND('Assumptions - Infrastructure'!$E$485=2,Calculations!AB$1355&gt;0,Calculations!AB$1355&lt;=('Assumptions - Infrastructure'!$E$483-'Assumptions - Infrastructure'!$E$484)),'Assumptions - Infrastructure'!$E$477/('Assumptions - Infrastructure'!$E$483-'Assumptions - Infrastructure'!$E$484),0),0)</f>
        <v>0</v>
      </c>
      <c r="AC1360" s="126">
        <f>IF('Assumptions - Infrastructure'!$E$477&lt;&gt;0,IF(AND('Assumptions - Infrastructure'!$E$485=2,Calculations!AC$1355&gt;0,Calculations!AC$1355&lt;=('Assumptions - Infrastructure'!$E$483-'Assumptions - Infrastructure'!$E$484)),'Assumptions - Infrastructure'!$E$477/('Assumptions - Infrastructure'!$E$483-'Assumptions - Infrastructure'!$E$484),0),0)</f>
        <v>0</v>
      </c>
      <c r="AD1360" s="126">
        <f>IF('Assumptions - Infrastructure'!$E$477&lt;&gt;0,IF(AND('Assumptions - Infrastructure'!$E$485=2,Calculations!AD$1355&gt;0,Calculations!AD$1355&lt;=('Assumptions - Infrastructure'!$E$483-'Assumptions - Infrastructure'!$E$484)),'Assumptions - Infrastructure'!$E$477/('Assumptions - Infrastructure'!$E$483-'Assumptions - Infrastructure'!$E$484),0),0)</f>
        <v>0</v>
      </c>
      <c r="AE1360" s="126">
        <f>IF('Assumptions - Infrastructure'!$E$477&lt;&gt;0,IF(AND('Assumptions - Infrastructure'!$E$485=2,Calculations!AE$1355&gt;0,Calculations!AE$1355&lt;=('Assumptions - Infrastructure'!$E$483-'Assumptions - Infrastructure'!$E$484)),'Assumptions - Infrastructure'!$E$477/('Assumptions - Infrastructure'!$E$483-'Assumptions - Infrastructure'!$E$484),0),0)</f>
        <v>0</v>
      </c>
      <c r="AF1360" s="126">
        <f>IF('Assumptions - Infrastructure'!$E$477&lt;&gt;0,IF(AND('Assumptions - Infrastructure'!$E$485=2,Calculations!AF$1355&gt;0,Calculations!AF$1355&lt;=('Assumptions - Infrastructure'!$E$483-'Assumptions - Infrastructure'!$E$484)),'Assumptions - Infrastructure'!$E$477/('Assumptions - Infrastructure'!$E$483-'Assumptions - Infrastructure'!$E$484),0),0)</f>
        <v>0</v>
      </c>
      <c r="AG1360" s="126">
        <f>IF('Assumptions - Infrastructure'!$E$477&lt;&gt;0,IF(AND('Assumptions - Infrastructure'!$E$485=2,Calculations!AG$1355&gt;0,Calculations!AG$1355&lt;=('Assumptions - Infrastructure'!$E$483-'Assumptions - Infrastructure'!$E$484)),'Assumptions - Infrastructure'!$E$477/('Assumptions - Infrastructure'!$E$483-'Assumptions - Infrastructure'!$E$484),0),0)</f>
        <v>0</v>
      </c>
      <c r="AH1360" s="126">
        <f>IF('Assumptions - Infrastructure'!$E$477&lt;&gt;0,IF(AND('Assumptions - Infrastructure'!$E$485=2,Calculations!AH$1355&gt;0,Calculations!AH$1355&lt;=('Assumptions - Infrastructure'!$E$483-'Assumptions - Infrastructure'!$E$484)),'Assumptions - Infrastructure'!$E$477/('Assumptions - Infrastructure'!$E$483-'Assumptions - Infrastructure'!$E$484),0),0)</f>
        <v>0</v>
      </c>
    </row>
    <row r="1361" spans="1:34" s="20" customFormat="1" ht="14" x14ac:dyDescent="0.2">
      <c r="A1361" s="8"/>
      <c r="B1361" s="125" t="s">
        <v>678</v>
      </c>
      <c r="C1361" s="8"/>
      <c r="D1361" s="8" t="str">
        <f t="shared" si="527"/>
        <v>R$ millions</v>
      </c>
      <c r="E1361" s="126">
        <f>IF('Assumptions - Infrastructure'!$E$477&lt;&gt;0,IF(AND('Assumptions - Infrastructure'!$E485=3,E1355&gt;0,E1355&lt;=('Assumptions - Infrastructure'!$E$483-'Assumptions - Infrastructure'!$E$484)),E1357*D1362/SUM(E1362:$AH1362)-E1363,0),0)</f>
        <v>0</v>
      </c>
      <c r="F1361" s="126">
        <f>IF('Assumptions - Infrastructure'!$E$477&lt;&gt;0,IF(AND('Assumptions - Infrastructure'!$E485=3,F1355&gt;0,F1355&lt;=('Assumptions - Infrastructure'!$E$483-'Assumptions - Infrastructure'!$E$484)),F1357*E1362/SUM(F1362:$AH1362)-F1363,0),0)</f>
        <v>0</v>
      </c>
      <c r="G1361" s="126">
        <f>IF('Assumptions - Infrastructure'!$E$477&lt;&gt;0,IF(AND('Assumptions - Infrastructure'!$E485=3,G1355&gt;0,G1355&lt;=('Assumptions - Infrastructure'!$E$483-'Assumptions - Infrastructure'!$E$484)),G1357*F1362/SUM(G1362:$AH1362)-G1363,0),0)</f>
        <v>0</v>
      </c>
      <c r="H1361" s="126">
        <f>IF('Assumptions - Infrastructure'!$E$477&lt;&gt;0,IF(AND('Assumptions - Infrastructure'!$E485=3,H1355&gt;0,H1355&lt;=('Assumptions - Infrastructure'!$E$483-'Assumptions - Infrastructure'!$E$484)),H1357*G1362/SUM(H1362:$AH1362)-H1363,0),0)</f>
        <v>0</v>
      </c>
      <c r="I1361" s="126">
        <f>IF('Assumptions - Infrastructure'!$E$477&lt;&gt;0,IF(AND('Assumptions - Infrastructure'!$E485=3,I1355&gt;0,I1355&lt;=('Assumptions - Infrastructure'!$E$483-'Assumptions - Infrastructure'!$E$484)),I1357*H1362/SUM(I1362:$AH1362)-I1363,0),0)</f>
        <v>0</v>
      </c>
      <c r="J1361" s="126">
        <f>IF('Assumptions - Infrastructure'!$E$477&lt;&gt;0,IF(AND('Assumptions - Infrastructure'!$E485=3,J1355&gt;0,J1355&lt;=('Assumptions - Infrastructure'!$E$483-'Assumptions - Infrastructure'!$E$484)),J1357*I1362/SUM(J1362:$AH1362)-J1363,0),0)</f>
        <v>0</v>
      </c>
      <c r="K1361" s="126">
        <f>IF('Assumptions - Infrastructure'!$E$477&lt;&gt;0,IF(AND('Assumptions - Infrastructure'!$E485=3,K1355&gt;0,K1355&lt;=('Assumptions - Infrastructure'!$E$483-'Assumptions - Infrastructure'!$E$484)),K1357*J1362/SUM(K1362:$AH1362)-K1363,0),0)</f>
        <v>0</v>
      </c>
      <c r="L1361" s="126">
        <f>IF('Assumptions - Infrastructure'!$E$477&lt;&gt;0,IF(AND('Assumptions - Infrastructure'!$E485=3,L1355&gt;0,L1355&lt;=('Assumptions - Infrastructure'!$E$483-'Assumptions - Infrastructure'!$E$484)),L1357*K1362/SUM(L1362:$AH1362)-L1363,0),0)</f>
        <v>0</v>
      </c>
      <c r="M1361" s="126">
        <f>IF('Assumptions - Infrastructure'!$E$477&lt;&gt;0,IF(AND('Assumptions - Infrastructure'!$E485=3,M1355&gt;0,M1355&lt;=('Assumptions - Infrastructure'!$E$483-'Assumptions - Infrastructure'!$E$484)),M1357*L1362/SUM(M1362:$AH1362)-M1363,0),0)</f>
        <v>0</v>
      </c>
      <c r="N1361" s="126">
        <f>IF('Assumptions - Infrastructure'!$E$477&lt;&gt;0,IF(AND('Assumptions - Infrastructure'!$E485=3,N1355&gt;0,N1355&lt;=('Assumptions - Infrastructure'!$E$483-'Assumptions - Infrastructure'!$E$484)),N1357*M1362/SUM(N1362:$AH1362)-N1363,0),0)</f>
        <v>0</v>
      </c>
      <c r="O1361" s="126">
        <f>IF('Assumptions - Infrastructure'!$E$477&lt;&gt;0,IF(AND('Assumptions - Infrastructure'!$E485=3,O1355&gt;0,O1355&lt;=('Assumptions - Infrastructure'!$E$483-'Assumptions - Infrastructure'!$E$484)),O1357*N1362/SUM(O1362:$AH1362)-O1363,0),0)</f>
        <v>0</v>
      </c>
      <c r="P1361" s="126">
        <f>IF('Assumptions - Infrastructure'!$E$477&lt;&gt;0,IF(AND('Assumptions - Infrastructure'!$E485=3,P1355&gt;0,P1355&lt;=('Assumptions - Infrastructure'!$E$483-'Assumptions - Infrastructure'!$E$484)),P1357*O1362/SUM(P1362:$AH1362)-P1363,0),0)</f>
        <v>0</v>
      </c>
      <c r="Q1361" s="126">
        <f>IF('Assumptions - Infrastructure'!$E$477&lt;&gt;0,IF(AND('Assumptions - Infrastructure'!$E485=3,Q1355&gt;0,Q1355&lt;=('Assumptions - Infrastructure'!$E$483-'Assumptions - Infrastructure'!$E$484)),Q1357*P1362/SUM(Q1362:$AH1362)-Q1363,0),0)</f>
        <v>0</v>
      </c>
      <c r="R1361" s="126">
        <f>IF('Assumptions - Infrastructure'!$E$477&lt;&gt;0,IF(AND('Assumptions - Infrastructure'!$E485=3,R1355&gt;0,R1355&lt;=('Assumptions - Infrastructure'!$E$483-'Assumptions - Infrastructure'!$E$484)),R1357*Q1362/SUM(R1362:$AH1362)-R1363,0),0)</f>
        <v>0</v>
      </c>
      <c r="S1361" s="126">
        <f>IF('Assumptions - Infrastructure'!$E$477&lt;&gt;0,IF(AND('Assumptions - Infrastructure'!$E485=3,S1355&gt;0,S1355&lt;=('Assumptions - Infrastructure'!$E$483-'Assumptions - Infrastructure'!$E$484)),S1357*R1362/SUM(S1362:$AH1362)-S1363,0),0)</f>
        <v>0</v>
      </c>
      <c r="T1361" s="126">
        <f>IF('Assumptions - Infrastructure'!$E$477&lt;&gt;0,IF(AND('Assumptions - Infrastructure'!$E485=3,T1355&gt;0,T1355&lt;=('Assumptions - Infrastructure'!$E$483-'Assumptions - Infrastructure'!$E$484)),T1357*S1362/SUM(T1362:$AH1362)-T1363,0),0)</f>
        <v>0</v>
      </c>
      <c r="U1361" s="126">
        <f>IF('Assumptions - Infrastructure'!$E$477&lt;&gt;0,IF(AND('Assumptions - Infrastructure'!$E485=3,U1355&gt;0,U1355&lt;=('Assumptions - Infrastructure'!$E$483-'Assumptions - Infrastructure'!$E$484)),U1357*T1362/SUM(U1362:$AH1362)-U1363,0),0)</f>
        <v>0</v>
      </c>
      <c r="V1361" s="126">
        <f>IF('Assumptions - Infrastructure'!$E$477&lt;&gt;0,IF(AND('Assumptions - Infrastructure'!$E485=3,V1355&gt;0,V1355&lt;=('Assumptions - Infrastructure'!$E$483-'Assumptions - Infrastructure'!$E$484)),V1357*U1362/SUM(V1362:$AH1362)-V1363,0),0)</f>
        <v>0</v>
      </c>
      <c r="W1361" s="126">
        <f>IF('Assumptions - Infrastructure'!$E$477&lt;&gt;0,IF(AND('Assumptions - Infrastructure'!$E485=3,W1355&gt;0,W1355&lt;=('Assumptions - Infrastructure'!$E$483-'Assumptions - Infrastructure'!$E$484)),W1357*V1362/SUM(W1362:$AH1362)-W1363,0),0)</f>
        <v>0</v>
      </c>
      <c r="X1361" s="126">
        <f>IF('Assumptions - Infrastructure'!$E$477&lt;&gt;0,IF(AND('Assumptions - Infrastructure'!$E485=3,X1355&gt;0,X1355&lt;=('Assumptions - Infrastructure'!$E$483-'Assumptions - Infrastructure'!$E$484)),X1357*W1362/SUM(X1362:$AH1362)-X1363,0),0)</f>
        <v>0</v>
      </c>
      <c r="Y1361" s="126">
        <f>IF('Assumptions - Infrastructure'!$E$477&lt;&gt;0,IF(AND('Assumptions - Infrastructure'!$E485=3,Y1355&gt;0,Y1355&lt;=('Assumptions - Infrastructure'!$E$483-'Assumptions - Infrastructure'!$E$484)),Y1357*X1362/SUM(Y1362:$AH1362)-Y1363,0),0)</f>
        <v>0</v>
      </c>
      <c r="Z1361" s="126">
        <f>IF('Assumptions - Infrastructure'!$E$477&lt;&gt;0,IF(AND('Assumptions - Infrastructure'!$E485=3,Z1355&gt;0,Z1355&lt;=('Assumptions - Infrastructure'!$E$483-'Assumptions - Infrastructure'!$E$484)),Z1357*Y1362/SUM(Z1362:$AH1362)-Z1363,0),0)</f>
        <v>0</v>
      </c>
      <c r="AA1361" s="126">
        <f>IF('Assumptions - Infrastructure'!$E$477&lt;&gt;0,IF(AND('Assumptions - Infrastructure'!$E485=3,AA1355&gt;0,AA1355&lt;=('Assumptions - Infrastructure'!$E$483-'Assumptions - Infrastructure'!$E$484)),AA1357*Z1362/SUM(AA1362:$AH1362)-AA1363,0),0)</f>
        <v>0</v>
      </c>
      <c r="AB1361" s="126">
        <f>IF('Assumptions - Infrastructure'!$E$477&lt;&gt;0,IF(AND('Assumptions - Infrastructure'!$E485=3,AB1355&gt;0,AB1355&lt;=('Assumptions - Infrastructure'!$E$483-'Assumptions - Infrastructure'!$E$484)),AB1357*AA1362/SUM(AB1362:$AH1362)-AB1363,0),0)</f>
        <v>0</v>
      </c>
      <c r="AC1361" s="126">
        <f>IF('Assumptions - Infrastructure'!$E$477&lt;&gt;0,IF(AND('Assumptions - Infrastructure'!$E485=3,AC1355&gt;0,AC1355&lt;=('Assumptions - Infrastructure'!$E$483-'Assumptions - Infrastructure'!$E$484)),AC1357*AB1362/SUM(AC1362:$AH1362)-AC1363,0),0)</f>
        <v>0</v>
      </c>
      <c r="AD1361" s="126">
        <f>IF('Assumptions - Infrastructure'!$E$477&lt;&gt;0,IF(AND('Assumptions - Infrastructure'!$E485=3,AD1355&gt;0,AD1355&lt;=('Assumptions - Infrastructure'!$E$483-'Assumptions - Infrastructure'!$E$484)),AD1357*AC1362/SUM(AD1362:$AH1362)-AD1363,0),0)</f>
        <v>0</v>
      </c>
      <c r="AE1361" s="126">
        <f>IF('Assumptions - Infrastructure'!$E$477&lt;&gt;0,IF(AND('Assumptions - Infrastructure'!$E485=3,AE1355&gt;0,AE1355&lt;=('Assumptions - Infrastructure'!$E$483-'Assumptions - Infrastructure'!$E$484)),AE1357*AD1362/SUM(AE1362:$AH1362)-AE1363,0),0)</f>
        <v>0</v>
      </c>
      <c r="AF1361" s="126">
        <f>IF('Assumptions - Infrastructure'!$E$477&lt;&gt;0,IF(AND('Assumptions - Infrastructure'!$E485=3,AF1355&gt;0,AF1355&lt;=('Assumptions - Infrastructure'!$E$483-'Assumptions - Infrastructure'!$E$484)),AF1357*AE1362/SUM(AF1362:$AH1362)-AF1363,0),0)</f>
        <v>0</v>
      </c>
      <c r="AG1361" s="126">
        <f>IF('Assumptions - Infrastructure'!$E$477&lt;&gt;0,IF(AND('Assumptions - Infrastructure'!$E485=3,AG1355&gt;0,AG1355&lt;=('Assumptions - Infrastructure'!$E$483-'Assumptions - Infrastructure'!$E$484)),AG1357*AF1362/SUM(AG1362:$AH1362)-AG1363,0),0)</f>
        <v>0</v>
      </c>
      <c r="AH1361" s="126">
        <f>IF('Assumptions - Infrastructure'!$E$477&lt;&gt;0,IF(AND('Assumptions - Infrastructure'!$E485=3,AH1355&gt;0,AH1355&lt;=('Assumptions - Infrastructure'!$E$483-'Assumptions - Infrastructure'!$E$484)),AH1357*AG1362/SUM(AH1362:$AH1362)-AH1363,0),0)</f>
        <v>0</v>
      </c>
    </row>
    <row r="1362" spans="1:34" s="20" customFormat="1" ht="14" x14ac:dyDescent="0.2">
      <c r="B1362" s="127" t="s">
        <v>677</v>
      </c>
      <c r="D1362" s="87">
        <v>1</v>
      </c>
      <c r="E1362" s="126">
        <f>IF('Assumptions - Infrastructure'!$E$477&lt;&gt;0,IF(AND('Assumptions - Infrastructure'!$E485=3,E1355&lt;=('Assumptions - Infrastructure'!$E$483-'Assumptions - Infrastructure'!$E$484)),D1362/(1+E1356),0),0)</f>
        <v>0</v>
      </c>
      <c r="F1362" s="126">
        <f>IF('Assumptions - Infrastructure'!$E$477&lt;&gt;0,IF(AND('Assumptions - Infrastructure'!$E485=3,F1355&lt;=('Assumptions - Infrastructure'!$E$483-'Assumptions - Infrastructure'!$E$484)),E1362/(1+F1356),0),0)</f>
        <v>0</v>
      </c>
      <c r="G1362" s="126">
        <f>IF('Assumptions - Infrastructure'!$E$477&lt;&gt;0,IF(AND('Assumptions - Infrastructure'!$E485=3,G1355&lt;=('Assumptions - Infrastructure'!$E$483-'Assumptions - Infrastructure'!$E$484)),F1362/(1+G1356),0),0)</f>
        <v>0</v>
      </c>
      <c r="H1362" s="126">
        <f>IF('Assumptions - Infrastructure'!$E$477&lt;&gt;0,IF(AND('Assumptions - Infrastructure'!$E485=3,H1355&lt;=('Assumptions - Infrastructure'!$E$483-'Assumptions - Infrastructure'!$E$484)),G1362/(1+H1356),0),0)</f>
        <v>0</v>
      </c>
      <c r="I1362" s="126">
        <f>IF('Assumptions - Infrastructure'!$E$477&lt;&gt;0,IF(AND('Assumptions - Infrastructure'!$E485=3,I1355&lt;=('Assumptions - Infrastructure'!$E$483-'Assumptions - Infrastructure'!$E$484)),H1362/(1+I1356),0),0)</f>
        <v>0</v>
      </c>
      <c r="J1362" s="126">
        <f>IF('Assumptions - Infrastructure'!$E$477&lt;&gt;0,IF(AND('Assumptions - Infrastructure'!$E485=3,J1355&lt;=('Assumptions - Infrastructure'!$E$483-'Assumptions - Infrastructure'!$E$484)),I1362/(1+J1356),0),0)</f>
        <v>0</v>
      </c>
      <c r="K1362" s="126">
        <f>IF('Assumptions - Infrastructure'!$E$477&lt;&gt;0,IF(AND('Assumptions - Infrastructure'!$E485=3,K1355&lt;=('Assumptions - Infrastructure'!$E$483-'Assumptions - Infrastructure'!$E$484)),J1362/(1+K1356),0),0)</f>
        <v>0</v>
      </c>
      <c r="L1362" s="126">
        <f>IF('Assumptions - Infrastructure'!$E$477&lt;&gt;0,IF(AND('Assumptions - Infrastructure'!$E485=3,L1355&lt;=('Assumptions - Infrastructure'!$E$483-'Assumptions - Infrastructure'!$E$484)),K1362/(1+L1356),0),0)</f>
        <v>0</v>
      </c>
      <c r="M1362" s="126">
        <f>IF('Assumptions - Infrastructure'!$E$477&lt;&gt;0,IF(AND('Assumptions - Infrastructure'!$E485=3,M1355&lt;=('Assumptions - Infrastructure'!$E$483-'Assumptions - Infrastructure'!$E$484)),L1362/(1+M1356),0),0)</f>
        <v>0</v>
      </c>
      <c r="N1362" s="126">
        <f>IF('Assumptions - Infrastructure'!$E$477&lt;&gt;0,IF(AND('Assumptions - Infrastructure'!$E485=3,N1355&lt;=('Assumptions - Infrastructure'!$E$483-'Assumptions - Infrastructure'!$E$484)),M1362/(1+N1356),0),0)</f>
        <v>0</v>
      </c>
      <c r="O1362" s="126">
        <f>IF('Assumptions - Infrastructure'!$E$477&lt;&gt;0,IF(AND('Assumptions - Infrastructure'!$E485=3,O1355&lt;=('Assumptions - Infrastructure'!$E$483-'Assumptions - Infrastructure'!$E$484)),N1362/(1+O1356),0),0)</f>
        <v>0</v>
      </c>
      <c r="P1362" s="126">
        <f>IF('Assumptions - Infrastructure'!$E$477&lt;&gt;0,IF(AND('Assumptions - Infrastructure'!$E485=3,P1355&lt;=('Assumptions - Infrastructure'!$E$483-'Assumptions - Infrastructure'!$E$484)),O1362/(1+P1356),0),0)</f>
        <v>0</v>
      </c>
      <c r="Q1362" s="126">
        <f>IF('Assumptions - Infrastructure'!$E$477&lt;&gt;0,IF(AND('Assumptions - Infrastructure'!$E485=3,Q1355&lt;=('Assumptions - Infrastructure'!$E$483-'Assumptions - Infrastructure'!$E$484)),P1362/(1+Q1356),0),0)</f>
        <v>0</v>
      </c>
      <c r="R1362" s="126">
        <f>IF('Assumptions - Infrastructure'!$E$477&lt;&gt;0,IF(AND('Assumptions - Infrastructure'!$E485=3,R1355&lt;=('Assumptions - Infrastructure'!$E$483-'Assumptions - Infrastructure'!$E$484)),Q1362/(1+R1356),0),0)</f>
        <v>0</v>
      </c>
      <c r="S1362" s="126">
        <f>IF('Assumptions - Infrastructure'!$E$477&lt;&gt;0,IF(AND('Assumptions - Infrastructure'!$E485=3,S1355&lt;=('Assumptions - Infrastructure'!$E$483-'Assumptions - Infrastructure'!$E$484)),R1362/(1+S1356),0),0)</f>
        <v>0</v>
      </c>
      <c r="T1362" s="126">
        <f>IF('Assumptions - Infrastructure'!$E$477&lt;&gt;0,IF(AND('Assumptions - Infrastructure'!$E485=3,T1355&lt;=('Assumptions - Infrastructure'!$E$483-'Assumptions - Infrastructure'!$E$484)),S1362/(1+T1356),0),0)</f>
        <v>0</v>
      </c>
      <c r="U1362" s="126">
        <f>IF('Assumptions - Infrastructure'!$E$477&lt;&gt;0,IF(AND('Assumptions - Infrastructure'!$E485=3,U1355&lt;=('Assumptions - Infrastructure'!$E$483-'Assumptions - Infrastructure'!$E$484)),T1362/(1+U1356),0),0)</f>
        <v>0</v>
      </c>
      <c r="V1362" s="126">
        <f>IF('Assumptions - Infrastructure'!$E$477&lt;&gt;0,IF(AND('Assumptions - Infrastructure'!$E485=3,V1355&lt;=('Assumptions - Infrastructure'!$E$483-'Assumptions - Infrastructure'!$E$484)),U1362/(1+V1356),0),0)</f>
        <v>0</v>
      </c>
      <c r="W1362" s="126">
        <f>IF('Assumptions - Infrastructure'!$E$477&lt;&gt;0,IF(AND('Assumptions - Infrastructure'!$E485=3,W1355&lt;=('Assumptions - Infrastructure'!$E$483-'Assumptions - Infrastructure'!$E$484)),V1362/(1+W1356),0),0)</f>
        <v>0</v>
      </c>
      <c r="X1362" s="126">
        <f>IF('Assumptions - Infrastructure'!$E$477&lt;&gt;0,IF(AND('Assumptions - Infrastructure'!$E485=3,X1355&lt;=('Assumptions - Infrastructure'!$E$483-'Assumptions - Infrastructure'!$E$484)),W1362/(1+X1356),0),0)</f>
        <v>0</v>
      </c>
      <c r="Y1362" s="126">
        <f>IF('Assumptions - Infrastructure'!$E$477&lt;&gt;0,IF(AND('Assumptions - Infrastructure'!$E485=3,Y1355&lt;=('Assumptions - Infrastructure'!$E$483-'Assumptions - Infrastructure'!$E$484)),X1362/(1+Y1356),0),0)</f>
        <v>0</v>
      </c>
      <c r="Z1362" s="126">
        <f>IF('Assumptions - Infrastructure'!$E$477&lt;&gt;0,IF(AND('Assumptions - Infrastructure'!$E485=3,Z1355&lt;=('Assumptions - Infrastructure'!$E$483-'Assumptions - Infrastructure'!$E$484)),Y1362/(1+Z1356),0),0)</f>
        <v>0</v>
      </c>
      <c r="AA1362" s="126">
        <f>IF('Assumptions - Infrastructure'!$E$477&lt;&gt;0,IF(AND('Assumptions - Infrastructure'!$E485=3,AA1355&lt;=('Assumptions - Infrastructure'!$E$483-'Assumptions - Infrastructure'!$E$484)),Z1362/(1+AA1356),0),0)</f>
        <v>0</v>
      </c>
      <c r="AB1362" s="126">
        <f>IF('Assumptions - Infrastructure'!$E$477&lt;&gt;0,IF(AND('Assumptions - Infrastructure'!$E485=3,AB1355&lt;=('Assumptions - Infrastructure'!$E$483-'Assumptions - Infrastructure'!$E$484)),AA1362/(1+AB1356),0),0)</f>
        <v>0</v>
      </c>
      <c r="AC1362" s="126">
        <f>IF('Assumptions - Infrastructure'!$E$477&lt;&gt;0,IF(AND('Assumptions - Infrastructure'!$E485=3,AC1355&lt;=('Assumptions - Infrastructure'!$E$483-'Assumptions - Infrastructure'!$E$484)),AB1362/(1+AC1356),0),0)</f>
        <v>0</v>
      </c>
      <c r="AD1362" s="126">
        <f>IF('Assumptions - Infrastructure'!$E$477&lt;&gt;0,IF(AND('Assumptions - Infrastructure'!$E485=3,AD1355&lt;=('Assumptions - Infrastructure'!$E$483-'Assumptions - Infrastructure'!$E$484)),AC1362/(1+AD1356),0),0)</f>
        <v>0</v>
      </c>
      <c r="AE1362" s="126">
        <f>IF('Assumptions - Infrastructure'!$E$477&lt;&gt;0,IF(AND('Assumptions - Infrastructure'!$E485=3,AE1355&lt;=('Assumptions - Infrastructure'!$E$483-'Assumptions - Infrastructure'!$E$484)),AD1362/(1+AE1356),0),0)</f>
        <v>0</v>
      </c>
      <c r="AF1362" s="126">
        <f>IF('Assumptions - Infrastructure'!$E$477&lt;&gt;0,IF(AND('Assumptions - Infrastructure'!$E485=3,AF1355&lt;=('Assumptions - Infrastructure'!$E$483-'Assumptions - Infrastructure'!$E$484)),AE1362/(1+AF1356),0),0)</f>
        <v>0</v>
      </c>
      <c r="AG1362" s="126">
        <f>IF('Assumptions - Infrastructure'!$E$477&lt;&gt;0,IF(AND('Assumptions - Infrastructure'!$E485=3,AG1355&lt;=('Assumptions - Infrastructure'!$E$483-'Assumptions - Infrastructure'!$E$484)),AF1362/(1+AG1356),0),0)</f>
        <v>0</v>
      </c>
      <c r="AH1362" s="126">
        <f>IF('Assumptions - Infrastructure'!$E$477&lt;&gt;0,IF(AND('Assumptions - Infrastructure'!$E485=3,AH1355&lt;=('Assumptions - Infrastructure'!$E$483-'Assumptions - Infrastructure'!$E$484)),AG1362/(1+AH1356),0),0)</f>
        <v>0</v>
      </c>
    </row>
    <row r="1363" spans="1:34" s="20" customFormat="1" ht="14" x14ac:dyDescent="0.2">
      <c r="A1363" s="8"/>
      <c r="B1363" s="125" t="s">
        <v>679</v>
      </c>
      <c r="C1363" s="8"/>
      <c r="D1363" s="8" t="str">
        <f>D1361</f>
        <v>R$ millions</v>
      </c>
      <c r="E1363" s="126">
        <f>IF('Assumptions - Infrastructure'!$E$477&lt;&gt;0,IF('Assumptions - Infrastructure'!$E485=3,E1356*E1357,0),0)</f>
        <v>0</v>
      </c>
      <c r="F1363" s="126">
        <f>IF('Assumptions - Infrastructure'!$E$477&lt;&gt;0,IF('Assumptions - Infrastructure'!$E485=3,F1356*F1357,0),0)</f>
        <v>0</v>
      </c>
      <c r="G1363" s="126">
        <f>IF('Assumptions - Infrastructure'!$E$477&lt;&gt;0,IF('Assumptions - Infrastructure'!$E485=3,G1356*G1357,0),0)</f>
        <v>0</v>
      </c>
      <c r="H1363" s="126">
        <f>IF('Assumptions - Infrastructure'!$E$477&lt;&gt;0,IF('Assumptions - Infrastructure'!$E485=3,H1356*H1357,0),0)</f>
        <v>0</v>
      </c>
      <c r="I1363" s="126">
        <f>IF('Assumptions - Infrastructure'!$E$477&lt;&gt;0,IF('Assumptions - Infrastructure'!$E485=3,I1356*I1357,0),0)</f>
        <v>0</v>
      </c>
      <c r="J1363" s="126">
        <f>IF('Assumptions - Infrastructure'!$E$477&lt;&gt;0,IF('Assumptions - Infrastructure'!$E485=3,J1356*J1357,0),0)</f>
        <v>0</v>
      </c>
      <c r="K1363" s="126">
        <f>IF('Assumptions - Infrastructure'!$E$477&lt;&gt;0,IF('Assumptions - Infrastructure'!$E485=3,K1356*K1357,0),0)</f>
        <v>0</v>
      </c>
      <c r="L1363" s="126">
        <f>IF('Assumptions - Infrastructure'!$E$477&lt;&gt;0,IF('Assumptions - Infrastructure'!$E485=3,L1356*L1357,0),0)</f>
        <v>0</v>
      </c>
      <c r="M1363" s="126">
        <f>IF('Assumptions - Infrastructure'!$E$477&lt;&gt;0,IF('Assumptions - Infrastructure'!$E485=3,M1356*M1357,0),0)</f>
        <v>0</v>
      </c>
      <c r="N1363" s="126">
        <f>IF('Assumptions - Infrastructure'!$E$477&lt;&gt;0,IF('Assumptions - Infrastructure'!$E485=3,N1356*N1357,0),0)</f>
        <v>0</v>
      </c>
      <c r="O1363" s="126">
        <f>IF('Assumptions - Infrastructure'!$E$477&lt;&gt;0,IF('Assumptions - Infrastructure'!$E485=3,O1356*O1357,0),0)</f>
        <v>0</v>
      </c>
      <c r="P1363" s="126">
        <f>IF('Assumptions - Infrastructure'!$E$477&lt;&gt;0,IF('Assumptions - Infrastructure'!$E485=3,P1356*P1357,0),0)</f>
        <v>0</v>
      </c>
      <c r="Q1363" s="126">
        <f>IF('Assumptions - Infrastructure'!$E$477&lt;&gt;0,IF('Assumptions - Infrastructure'!$E485=3,Q1356*Q1357,0),0)</f>
        <v>0</v>
      </c>
      <c r="R1363" s="126">
        <f>IF('Assumptions - Infrastructure'!$E$477&lt;&gt;0,IF('Assumptions - Infrastructure'!$E485=3,R1356*R1357,0),0)</f>
        <v>0</v>
      </c>
      <c r="S1363" s="126">
        <f>IF('Assumptions - Infrastructure'!$E$477&lt;&gt;0,IF('Assumptions - Infrastructure'!$E485=3,S1356*S1357,0),0)</f>
        <v>0</v>
      </c>
      <c r="T1363" s="126">
        <f>IF('Assumptions - Infrastructure'!$E$477&lt;&gt;0,IF('Assumptions - Infrastructure'!$E485=3,T1356*T1357,0),0)</f>
        <v>0</v>
      </c>
      <c r="U1363" s="126">
        <f>IF('Assumptions - Infrastructure'!$E$477&lt;&gt;0,IF('Assumptions - Infrastructure'!$E485=3,U1356*U1357,0),0)</f>
        <v>0</v>
      </c>
      <c r="V1363" s="126">
        <f>IF('Assumptions - Infrastructure'!$E$477&lt;&gt;0,IF('Assumptions - Infrastructure'!$E485=3,V1356*V1357,0),0)</f>
        <v>0</v>
      </c>
      <c r="W1363" s="126">
        <f>IF('Assumptions - Infrastructure'!$E$477&lt;&gt;0,IF('Assumptions - Infrastructure'!$E485=3,W1356*W1357,0),0)</f>
        <v>0</v>
      </c>
      <c r="X1363" s="126">
        <f>IF('Assumptions - Infrastructure'!$E$477&lt;&gt;0,IF('Assumptions - Infrastructure'!$E485=3,X1356*X1357,0),0)</f>
        <v>0</v>
      </c>
      <c r="Y1363" s="126">
        <f>IF('Assumptions - Infrastructure'!$E$477&lt;&gt;0,IF('Assumptions - Infrastructure'!$E485=3,Y1356*Y1357,0),0)</f>
        <v>0</v>
      </c>
      <c r="Z1363" s="126">
        <f>IF('Assumptions - Infrastructure'!$E$477&lt;&gt;0,IF('Assumptions - Infrastructure'!$E485=3,Z1356*Z1357,0),0)</f>
        <v>0</v>
      </c>
      <c r="AA1363" s="126">
        <f>IF('Assumptions - Infrastructure'!$E$477&lt;&gt;0,IF('Assumptions - Infrastructure'!$E485=3,AA1356*AA1357,0),0)</f>
        <v>0</v>
      </c>
      <c r="AB1363" s="126">
        <f>IF('Assumptions - Infrastructure'!$E$477&lt;&gt;0,IF('Assumptions - Infrastructure'!$E485=3,AB1356*AB1357,0),0)</f>
        <v>0</v>
      </c>
      <c r="AC1363" s="126">
        <f>IF('Assumptions - Infrastructure'!$E$477&lt;&gt;0,IF('Assumptions - Infrastructure'!$E485=3,AC1356*AC1357,0),0)</f>
        <v>0</v>
      </c>
      <c r="AD1363" s="126">
        <f>IF('Assumptions - Infrastructure'!$E$477&lt;&gt;0,IF('Assumptions - Infrastructure'!$E485=3,AD1356*AD1357,0),0)</f>
        <v>0</v>
      </c>
      <c r="AE1363" s="126">
        <f>IF('Assumptions - Infrastructure'!$E$477&lt;&gt;0,IF('Assumptions - Infrastructure'!$E485=3,AE1356*AE1357,0),0)</f>
        <v>0</v>
      </c>
      <c r="AF1363" s="126">
        <f>IF('Assumptions - Infrastructure'!$E$477&lt;&gt;0,IF('Assumptions - Infrastructure'!$E485=3,AF1356*AF1357,0),0)</f>
        <v>0</v>
      </c>
      <c r="AG1363" s="126">
        <f>IF('Assumptions - Infrastructure'!$E$477&lt;&gt;0,IF('Assumptions - Infrastructure'!$E485=3,AG1356*AG1357,0),0)</f>
        <v>0</v>
      </c>
      <c r="AH1363" s="126">
        <f>IF('Assumptions - Infrastructure'!$E$477&lt;&gt;0,IF('Assumptions - Infrastructure'!$E485=3,AH1356*AH1357,0),0)</f>
        <v>0</v>
      </c>
    </row>
    <row r="1364" spans="1:34" s="20" customFormat="1" ht="14" x14ac:dyDescent="0.2">
      <c r="A1364" s="8"/>
      <c r="B1364" s="8" t="s">
        <v>137</v>
      </c>
      <c r="C1364" s="8"/>
      <c r="D1364" s="8" t="str">
        <f t="shared" si="527"/>
        <v>R$ millions</v>
      </c>
      <c r="E1364" s="126">
        <f>IF(E$19=1,IF('Assumptions - Infrastructure'!$E$477&gt;0,'Assumptions - Infrastructure'!E478,0),0)</f>
        <v>0</v>
      </c>
      <c r="F1364" s="126">
        <f>IF(F$19=1,IF('Assumptions - Infrastructure'!$E$477&gt;0,'Assumptions - Infrastructure'!F478,0),0)</f>
        <v>0</v>
      </c>
      <c r="G1364" s="126">
        <f>IF(G$19=1,IF('Assumptions - Infrastructure'!$E$477&gt;0,'Assumptions - Infrastructure'!G478,0),0)</f>
        <v>10</v>
      </c>
      <c r="H1364" s="126">
        <f>IF(H$19=1,IF('Assumptions - Infrastructure'!$E$477&gt;0,'Assumptions - Infrastructure'!H478,0),0)</f>
        <v>10</v>
      </c>
      <c r="I1364" s="126">
        <f>IF(I$19=1,IF('Assumptions - Infrastructure'!$E$477&gt;0,'Assumptions - Infrastructure'!I478,0),0)</f>
        <v>10</v>
      </c>
      <c r="J1364" s="126">
        <f>IF(J$19=1,IF('Assumptions - Infrastructure'!$E$477&gt;0,'Assumptions - Infrastructure'!J478,0),0)</f>
        <v>10</v>
      </c>
      <c r="K1364" s="126">
        <f>IF(K$19=1,IF('Assumptions - Infrastructure'!$E$477&gt;0,'Assumptions - Infrastructure'!K478,0),0)</f>
        <v>10</v>
      </c>
      <c r="L1364" s="126">
        <f>IF(L$19=1,IF('Assumptions - Infrastructure'!$E$477&gt;0,'Assumptions - Infrastructure'!L478,0),0)</f>
        <v>0</v>
      </c>
      <c r="M1364" s="126">
        <f>IF(M$19=1,IF('Assumptions - Infrastructure'!$E$477&gt;0,'Assumptions - Infrastructure'!M478,0),0)</f>
        <v>0</v>
      </c>
      <c r="N1364" s="126">
        <f>IF(N$19=1,IF('Assumptions - Infrastructure'!$E$477&gt;0,'Assumptions - Infrastructure'!N478,0),0)</f>
        <v>0</v>
      </c>
      <c r="O1364" s="126">
        <f>IF(O$19=1,IF('Assumptions - Infrastructure'!$E$477&gt;0,'Assumptions - Infrastructure'!O478,0),0)</f>
        <v>0</v>
      </c>
      <c r="P1364" s="126">
        <f>IF(P$19=1,IF('Assumptions - Infrastructure'!$E$477&gt;0,'Assumptions - Infrastructure'!P478,0),0)</f>
        <v>0</v>
      </c>
      <c r="Q1364" s="126">
        <f>IF(Q$19=1,IF('Assumptions - Infrastructure'!$E$477&gt;0,'Assumptions - Infrastructure'!Q478,0),0)</f>
        <v>0</v>
      </c>
      <c r="R1364" s="126">
        <f>IF(R$19=1,IF('Assumptions - Infrastructure'!$E$477&gt;0,'Assumptions - Infrastructure'!R478,0),0)</f>
        <v>0</v>
      </c>
      <c r="S1364" s="126">
        <f>IF(S$19=1,IF('Assumptions - Infrastructure'!$E$477&gt;0,'Assumptions - Infrastructure'!S478,0),0)</f>
        <v>0</v>
      </c>
      <c r="T1364" s="126">
        <f>IF(T$19=1,IF('Assumptions - Infrastructure'!$E$477&gt;0,'Assumptions - Infrastructure'!T478,0),0)</f>
        <v>0</v>
      </c>
      <c r="U1364" s="126">
        <f>IF(U$19=1,IF('Assumptions - Infrastructure'!$E$477&gt;0,'Assumptions - Infrastructure'!U478,0),0)</f>
        <v>0</v>
      </c>
      <c r="V1364" s="126">
        <f>IF(V$19=1,IF('Assumptions - Infrastructure'!$E$477&gt;0,'Assumptions - Infrastructure'!V478,0),0)</f>
        <v>0</v>
      </c>
      <c r="W1364" s="126">
        <f>IF(W$19=1,IF('Assumptions - Infrastructure'!$E$477&gt;0,'Assumptions - Infrastructure'!W478,0),0)</f>
        <v>0</v>
      </c>
      <c r="X1364" s="126">
        <f>IF(X$19=1,IF('Assumptions - Infrastructure'!$E$477&gt;0,'Assumptions - Infrastructure'!X478,0),0)</f>
        <v>0</v>
      </c>
      <c r="Y1364" s="126">
        <f>IF(Y$19=1,IF('Assumptions - Infrastructure'!$E$477&gt;0,'Assumptions - Infrastructure'!Y478,0),0)</f>
        <v>0</v>
      </c>
      <c r="Z1364" s="126">
        <f>IF(Z$19=1,IF('Assumptions - Infrastructure'!$E$477&gt;0,'Assumptions - Infrastructure'!Z478,0),0)</f>
        <v>0</v>
      </c>
      <c r="AA1364" s="126">
        <f>IF(AA$19=1,IF('Assumptions - Infrastructure'!$E$477&gt;0,'Assumptions - Infrastructure'!AA478,0),0)</f>
        <v>0</v>
      </c>
      <c r="AB1364" s="126">
        <f>IF(AB$19=1,IF('Assumptions - Infrastructure'!$E$477&gt;0,'Assumptions - Infrastructure'!AB478,0),0)</f>
        <v>0</v>
      </c>
      <c r="AC1364" s="126">
        <f>IF(AC$19=1,IF('Assumptions - Infrastructure'!$E$477&gt;0,'Assumptions - Infrastructure'!AC478,0),0)</f>
        <v>0</v>
      </c>
      <c r="AD1364" s="126">
        <f>IF(AD$19=1,IF('Assumptions - Infrastructure'!$E$477&gt;0,'Assumptions - Infrastructure'!AD478,0),0)</f>
        <v>0</v>
      </c>
      <c r="AE1364" s="126">
        <f>IF(AE$19=1,IF('Assumptions - Infrastructure'!$E$477&gt;0,'Assumptions - Infrastructure'!AE478,0),0)</f>
        <v>0</v>
      </c>
      <c r="AF1364" s="126">
        <f>IF(AF$19=1,IF('Assumptions - Infrastructure'!$E$477&gt;0,'Assumptions - Infrastructure'!AF478,0),0)</f>
        <v>0</v>
      </c>
      <c r="AG1364" s="126">
        <f>IF(AG$19=1,IF('Assumptions - Infrastructure'!$E$477&gt;0,'Assumptions - Infrastructure'!AG478,0),0)</f>
        <v>0</v>
      </c>
      <c r="AH1364" s="126">
        <f>IF(AH$19=1,IF('Assumptions - Infrastructure'!$E$477&gt;0,'Assumptions - Infrastructure'!AH478,0),0)</f>
        <v>0</v>
      </c>
    </row>
    <row r="1365" spans="1:34" s="20" customFormat="1" ht="14" x14ac:dyDescent="0.2">
      <c r="A1365" s="8"/>
      <c r="B1365" s="8" t="s">
        <v>138</v>
      </c>
      <c r="C1365" s="8"/>
      <c r="D1365" s="8" t="str">
        <f t="shared" si="527"/>
        <v>R$ millions</v>
      </c>
      <c r="E1365" s="126">
        <f>IF('Assumptions - Infrastructure'!$E$477&lt;&gt;0,E1357-E1358+E1364,0)</f>
        <v>0</v>
      </c>
      <c r="F1365" s="126">
        <f>IF('Assumptions - Infrastructure'!$E$477&lt;&gt;0,F1357-F1358+F1364,0)</f>
        <v>0</v>
      </c>
      <c r="G1365" s="126">
        <f>IF('Assumptions - Infrastructure'!$E$477&lt;&gt;0,G1357-G1358+G1364,0)</f>
        <v>10</v>
      </c>
      <c r="H1365" s="126">
        <f>IF('Assumptions - Infrastructure'!$E$477&lt;&gt;0,H1357-H1358+H1364,0)</f>
        <v>20</v>
      </c>
      <c r="I1365" s="126">
        <f>IF('Assumptions - Infrastructure'!$E$477&lt;&gt;0,I1357-I1358+I1364,0)</f>
        <v>30</v>
      </c>
      <c r="J1365" s="126">
        <f>IF('Assumptions - Infrastructure'!$E$477&lt;&gt;0,J1357-J1358+J1364,0)</f>
        <v>40</v>
      </c>
      <c r="K1365" s="126">
        <f>IF('Assumptions - Infrastructure'!$E$477&lt;&gt;0,K1357-K1358+K1364,0)</f>
        <v>50</v>
      </c>
      <c r="L1365" s="126">
        <f>IF('Assumptions - Infrastructure'!$E$477&lt;&gt;0,L1357-L1358+L1364,0)</f>
        <v>50</v>
      </c>
      <c r="M1365" s="126">
        <f>IF('Assumptions - Infrastructure'!$E$477&lt;&gt;0,M1357-M1358+M1364,0)</f>
        <v>50</v>
      </c>
      <c r="N1365" s="126">
        <f>IF('Assumptions - Infrastructure'!$E$477&lt;&gt;0,N1357-N1358+N1364,0)</f>
        <v>50</v>
      </c>
      <c r="O1365" s="126">
        <f>IF('Assumptions - Infrastructure'!$E$477&lt;&gt;0,O1357-O1358+O1364,0)</f>
        <v>50</v>
      </c>
      <c r="P1365" s="126">
        <f>IF('Assumptions - Infrastructure'!$E$477&lt;&gt;0,P1357-P1358+P1364,0)</f>
        <v>50</v>
      </c>
      <c r="Q1365" s="126">
        <f>IF('Assumptions - Infrastructure'!$E$477&lt;&gt;0,Q1357-Q1358+Q1364,0)</f>
        <v>50</v>
      </c>
      <c r="R1365" s="126">
        <f>IF('Assumptions - Infrastructure'!$E$477&lt;&gt;0,R1357-R1358+R1364,0)</f>
        <v>50</v>
      </c>
      <c r="S1365" s="126">
        <f>IF('Assumptions - Infrastructure'!$E$477&lt;&gt;0,S1357-S1358+S1364,0)</f>
        <v>50</v>
      </c>
      <c r="T1365" s="126">
        <f>IF('Assumptions - Infrastructure'!$E$477&lt;&gt;0,T1357-T1358+T1364,0)</f>
        <v>50</v>
      </c>
      <c r="U1365" s="126">
        <f>IF('Assumptions - Infrastructure'!$E$477&lt;&gt;0,U1357-U1358+U1364,0)</f>
        <v>0</v>
      </c>
      <c r="V1365" s="126">
        <f>IF('Assumptions - Infrastructure'!$E$477&lt;&gt;0,V1357-V1358+V1364,0)</f>
        <v>0</v>
      </c>
      <c r="W1365" s="126">
        <f>IF('Assumptions - Infrastructure'!$E$477&lt;&gt;0,W1357-W1358+W1364,0)</f>
        <v>0</v>
      </c>
      <c r="X1365" s="126">
        <f>IF('Assumptions - Infrastructure'!$E$477&lt;&gt;0,X1357-X1358+X1364,0)</f>
        <v>0</v>
      </c>
      <c r="Y1365" s="126">
        <f>IF('Assumptions - Infrastructure'!$E$477&lt;&gt;0,Y1357-Y1358+Y1364,0)</f>
        <v>0</v>
      </c>
      <c r="Z1365" s="126">
        <f>IF('Assumptions - Infrastructure'!$E$477&lt;&gt;0,Z1357-Z1358+Z1364,0)</f>
        <v>0</v>
      </c>
      <c r="AA1365" s="126">
        <f>IF('Assumptions - Infrastructure'!$E$477&lt;&gt;0,AA1357-AA1358+AA1364,0)</f>
        <v>0</v>
      </c>
      <c r="AB1365" s="126">
        <f>IF('Assumptions - Infrastructure'!$E$477&lt;&gt;0,AB1357-AB1358+AB1364,0)</f>
        <v>0</v>
      </c>
      <c r="AC1365" s="126">
        <f>IF('Assumptions - Infrastructure'!$E$477&lt;&gt;0,AC1357-AC1358+AC1364,0)</f>
        <v>0</v>
      </c>
      <c r="AD1365" s="126">
        <f>IF('Assumptions - Infrastructure'!$E$477&lt;&gt;0,AD1357-AD1358+AD1364,0)</f>
        <v>0</v>
      </c>
      <c r="AE1365" s="126">
        <f>IF('Assumptions - Infrastructure'!$E$477&lt;&gt;0,AE1357-AE1358+AE1364,0)</f>
        <v>0</v>
      </c>
      <c r="AF1365" s="126">
        <f>IF('Assumptions - Infrastructure'!$E$477&lt;&gt;0,AF1357-AF1358+AF1364,0)</f>
        <v>0</v>
      </c>
      <c r="AG1365" s="126">
        <f>IF('Assumptions - Infrastructure'!$E$477&lt;&gt;0,AG1357-AG1358+AG1364,0)</f>
        <v>0</v>
      </c>
      <c r="AH1365" s="126">
        <f>IF('Assumptions - Infrastructure'!$E$477&lt;&gt;0,AH1357-AH1358+AH1364,0)</f>
        <v>0</v>
      </c>
    </row>
    <row r="1366" spans="1:34" s="20" customFormat="1" ht="14" x14ac:dyDescent="0.2">
      <c r="A1366" s="8"/>
      <c r="B1366" s="8" t="s">
        <v>139</v>
      </c>
      <c r="C1366" s="8"/>
      <c r="D1366" s="8" t="str">
        <f t="shared" si="527"/>
        <v>R$ millions</v>
      </c>
      <c r="E1366" s="126">
        <f>IF(E$19=1,IF('Assumptions - Infrastructure'!$E$477&lt;&gt;0,IF(AND('Assumptions - Infrastructure'!$E$485=3,E1355&gt;0),Calculations!E1363,((E1357+E1365)/2)*E1356),0),0)</f>
        <v>0</v>
      </c>
      <c r="F1366" s="126">
        <f>IF(F$19=1,IF('Assumptions - Infrastructure'!$E$477&lt;&gt;0,IF(AND('Assumptions - Infrastructure'!$E$485=3,F1355&gt;0),Calculations!F1363,((F1357+F1365)/2)*F1356),0),0)</f>
        <v>0</v>
      </c>
      <c r="G1366" s="126">
        <f>IF(G$19=1,IF('Assumptions - Infrastructure'!$E$477&lt;&gt;0,IF(AND('Assumptions - Infrastructure'!$E$485=3,G1355&gt;0),Calculations!G1363,((G1357+G1365)/2)*G1356),0),0)</f>
        <v>0.25</v>
      </c>
      <c r="H1366" s="126">
        <f>IF(H$19=1,IF('Assumptions - Infrastructure'!$E$477&lt;&gt;0,IF(AND('Assumptions - Infrastructure'!$E$485=3,H1355&gt;0),Calculations!H1363,((H1357+H1365)/2)*H1356),0),0)</f>
        <v>0.75</v>
      </c>
      <c r="I1366" s="126">
        <f>IF(I$19=1,IF('Assumptions - Infrastructure'!$E$477&lt;&gt;0,IF(AND('Assumptions - Infrastructure'!$E$485=3,I1355&gt;0),Calculations!I1363,((I1357+I1365)/2)*I1356),0),0)</f>
        <v>1.25</v>
      </c>
      <c r="J1366" s="126">
        <f>IF(J$19=1,IF('Assumptions - Infrastructure'!$E$477&lt;&gt;0,IF(AND('Assumptions - Infrastructure'!$E$485=3,J1355&gt;0),Calculations!J1363,((J1357+J1365)/2)*J1356),0),0)</f>
        <v>1.75</v>
      </c>
      <c r="K1366" s="126">
        <f>IF(K$19=1,IF('Assumptions - Infrastructure'!$E$477&lt;&gt;0,IF(AND('Assumptions - Infrastructure'!$E$485=3,K1355&gt;0),Calculations!K1363,((K1357+K1365)/2)*K1356),0),0)</f>
        <v>2.25</v>
      </c>
      <c r="L1366" s="126">
        <f>IF(L$19=1,IF('Assumptions - Infrastructure'!$E$477&lt;&gt;0,IF(AND('Assumptions - Infrastructure'!$E$485=3,L1355&gt;0),Calculations!L1363,((L1357+L1365)/2)*L1356),0),0)</f>
        <v>2.5</v>
      </c>
      <c r="M1366" s="126">
        <f>IF(M$19=1,IF('Assumptions - Infrastructure'!$E$477&lt;&gt;0,IF(AND('Assumptions - Infrastructure'!$E$485=3,M1355&gt;0),Calculations!M1363,((M1357+M1365)/2)*M1356),0),0)</f>
        <v>2.5</v>
      </c>
      <c r="N1366" s="126">
        <f>IF(N$19=1,IF('Assumptions - Infrastructure'!$E$477&lt;&gt;0,IF(AND('Assumptions - Infrastructure'!$E$485=3,N1355&gt;0),Calculations!N1363,((N1357+N1365)/2)*N1356),0),0)</f>
        <v>2.5</v>
      </c>
      <c r="O1366" s="126">
        <f>IF(O$19=1,IF('Assumptions - Infrastructure'!$E$477&lt;&gt;0,IF(AND('Assumptions - Infrastructure'!$E$485=3,O1355&gt;0),Calculations!O1363,((O1357+O1365)/2)*O1356),0),0)</f>
        <v>2.5</v>
      </c>
      <c r="P1366" s="126">
        <f>IF(P$19=1,IF('Assumptions - Infrastructure'!$E$477&lt;&gt;0,IF(AND('Assumptions - Infrastructure'!$E$485=3,P1355&gt;0),Calculations!P1363,((P1357+P1365)/2)*P1356),0),0)</f>
        <v>2.5</v>
      </c>
      <c r="Q1366" s="126">
        <f>IF(Q$19=1,IF('Assumptions - Infrastructure'!$E$477&lt;&gt;0,IF(AND('Assumptions - Infrastructure'!$E$485=3,Q1355&gt;0),Calculations!Q1363,((Q1357+Q1365)/2)*Q1356),0),0)</f>
        <v>2.5</v>
      </c>
      <c r="R1366" s="126">
        <f>IF(R$19=1,IF('Assumptions - Infrastructure'!$E$477&lt;&gt;0,IF(AND('Assumptions - Infrastructure'!$E$485=3,R1355&gt;0),Calculations!R1363,((R1357+R1365)/2)*R1356),0),0)</f>
        <v>2.5</v>
      </c>
      <c r="S1366" s="126">
        <f>IF(S$19=1,IF('Assumptions - Infrastructure'!$E$477&lt;&gt;0,IF(AND('Assumptions - Infrastructure'!$E$485=3,S1355&gt;0),Calculations!S1363,((S1357+S1365)/2)*S1356),0),0)</f>
        <v>2.5</v>
      </c>
      <c r="T1366" s="126">
        <f>IF(T$19=1,IF('Assumptions - Infrastructure'!$E$477&lt;&gt;0,IF(AND('Assumptions - Infrastructure'!$E$485=3,T1355&gt;0),Calculations!T1363,((T1357+T1365)/2)*T1356),0),0)</f>
        <v>2.5</v>
      </c>
      <c r="U1366" s="126">
        <f>IF(U$19=1,IF('Assumptions - Infrastructure'!$E$477&lt;&gt;0,IF(AND('Assumptions - Infrastructure'!$E$485=3,U1355&gt;0),Calculations!U1363,((U1357+U1365)/2)*U1356),0),0)</f>
        <v>1.25</v>
      </c>
      <c r="V1366" s="126">
        <f>IF(V$19=1,IF('Assumptions - Infrastructure'!$E$477&lt;&gt;0,IF(AND('Assumptions - Infrastructure'!$E$485=3,V1355&gt;0),Calculations!V1363,((V1357+V1365)/2)*V1356),0),0)</f>
        <v>0</v>
      </c>
      <c r="W1366" s="126">
        <f>IF(W$19=1,IF('Assumptions - Infrastructure'!$E$477&lt;&gt;0,IF(AND('Assumptions - Infrastructure'!$E$485=3,W1355&gt;0),Calculations!W1363,((W1357+W1365)/2)*W1356),0),0)</f>
        <v>0</v>
      </c>
      <c r="X1366" s="126">
        <f>IF(X$19=1,IF('Assumptions - Infrastructure'!$E$477&lt;&gt;0,IF(AND('Assumptions - Infrastructure'!$E$485=3,X1355&gt;0),Calculations!X1363,((X1357+X1365)/2)*X1356),0),0)</f>
        <v>0</v>
      </c>
      <c r="Y1366" s="126">
        <f>IF(Y$19=1,IF('Assumptions - Infrastructure'!$E$477&lt;&gt;0,IF(AND('Assumptions - Infrastructure'!$E$485=3,Y1355&gt;0),Calculations!Y1363,((Y1357+Y1365)/2)*Y1356),0),0)</f>
        <v>0</v>
      </c>
      <c r="Z1366" s="126">
        <f>IF(Z$19=1,IF('Assumptions - Infrastructure'!$E$477&lt;&gt;0,IF(AND('Assumptions - Infrastructure'!$E$485=3,Z1355&gt;0),Calculations!Z1363,((Z1357+Z1365)/2)*Z1356),0),0)</f>
        <v>0</v>
      </c>
      <c r="AA1366" s="126">
        <f>IF(AA$19=1,IF('Assumptions - Infrastructure'!$E$477&lt;&gt;0,IF(AND('Assumptions - Infrastructure'!$E$485=3,AA1355&gt;0),Calculations!AA1363,((AA1357+AA1365)/2)*AA1356),0),0)</f>
        <v>0</v>
      </c>
      <c r="AB1366" s="126">
        <f>IF(AB$19=1,IF('Assumptions - Infrastructure'!$E$477&lt;&gt;0,IF(AND('Assumptions - Infrastructure'!$E$485=3,AB1355&gt;0),Calculations!AB1363,((AB1357+AB1365)/2)*AB1356),0),0)</f>
        <v>0</v>
      </c>
      <c r="AC1366" s="126">
        <f>IF(AC$19=1,IF('Assumptions - Infrastructure'!$E$477&lt;&gt;0,IF(AND('Assumptions - Infrastructure'!$E$485=3,AC1355&gt;0),Calculations!AC1363,((AC1357+AC1365)/2)*AC1356),0),0)</f>
        <v>0</v>
      </c>
      <c r="AD1366" s="126">
        <f>IF(AD$19=1,IF('Assumptions - Infrastructure'!$E$477&lt;&gt;0,IF(AND('Assumptions - Infrastructure'!$E$485=3,AD1355&gt;0),Calculations!AD1363,((AD1357+AD1365)/2)*AD1356),0),0)</f>
        <v>0</v>
      </c>
      <c r="AE1366" s="126">
        <f>IF(AE$19=1,IF('Assumptions - Infrastructure'!$E$477&lt;&gt;0,IF(AND('Assumptions - Infrastructure'!$E$485=3,AE1355&gt;0),Calculations!AE1363,((AE1357+AE1365)/2)*AE1356),0),0)</f>
        <v>0</v>
      </c>
      <c r="AF1366" s="126">
        <f>IF(AF$19=1,IF('Assumptions - Infrastructure'!$E$477&lt;&gt;0,IF(AND('Assumptions - Infrastructure'!$E$485=3,AF1355&gt;0),Calculations!AF1363,((AF1357+AF1365)/2)*AF1356),0),0)</f>
        <v>0</v>
      </c>
      <c r="AG1366" s="126">
        <f>IF(AG$19=1,IF('Assumptions - Infrastructure'!$E$477&lt;&gt;0,IF(AND('Assumptions - Infrastructure'!$E$485=3,AG1355&gt;0),Calculations!AG1363,((AG1357+AG1365)/2)*AG1356),0),0)</f>
        <v>0</v>
      </c>
      <c r="AH1366" s="126">
        <f>IF(AH$19=1,IF('Assumptions - Infrastructure'!$E$477&lt;&gt;0,IF(AND('Assumptions - Infrastructure'!$E$485=3,AH1355&gt;0),Calculations!AH1363,((AH1357+AH1365)/2)*AH1356),0),0)</f>
        <v>0</v>
      </c>
    </row>
    <row r="1367" spans="1:34" s="20" customFormat="1" ht="14" x14ac:dyDescent="0.2">
      <c r="A1367" s="8"/>
      <c r="B1367" s="8" t="s">
        <v>53</v>
      </c>
      <c r="C1367" s="8"/>
      <c r="D1367" s="8" t="str">
        <f t="shared" si="527"/>
        <v>R$ millions</v>
      </c>
      <c r="E1367" s="126">
        <f>IF(E$19=1,IF('Assumptions - Infrastructure'!$E$474=Calculations!E$4,'Assumptions - Infrastructure'!$E$477*'Assumptions - Infrastructure'!$E$487,0),0)</f>
        <v>0</v>
      </c>
      <c r="F1367" s="126">
        <f>IF(F$19=1,IF('Assumptions - Infrastructure'!$E$474=Calculations!F$4,'Assumptions - Infrastructure'!$E$477*'Assumptions - Infrastructure'!$E$487,0),0)</f>
        <v>0</v>
      </c>
      <c r="G1367" s="126">
        <f>IF(G$19=1,IF('Assumptions - Infrastructure'!$E$474=Calculations!G$4,'Assumptions - Infrastructure'!$E$477*'Assumptions - Infrastructure'!$E$487,0),0)</f>
        <v>0.125</v>
      </c>
      <c r="H1367" s="126">
        <f>IF(H$19=1,IF('Assumptions - Infrastructure'!$E$474=Calculations!H$4,'Assumptions - Infrastructure'!$E$477*'Assumptions - Infrastructure'!$E$487,0),0)</f>
        <v>0</v>
      </c>
      <c r="I1367" s="126">
        <f>IF(I$19=1,IF('Assumptions - Infrastructure'!$E$474=Calculations!I$4,'Assumptions - Infrastructure'!$E$477*'Assumptions - Infrastructure'!$E$487,0),0)</f>
        <v>0</v>
      </c>
      <c r="J1367" s="126">
        <f>IF(J$19=1,IF('Assumptions - Infrastructure'!$E$474=Calculations!J$4,'Assumptions - Infrastructure'!$E$477*'Assumptions - Infrastructure'!$E$487,0),0)</f>
        <v>0</v>
      </c>
      <c r="K1367" s="126">
        <f>IF(K$19=1,IF('Assumptions - Infrastructure'!$E$474=Calculations!K$4,'Assumptions - Infrastructure'!$E$477*'Assumptions - Infrastructure'!$E$487,0),0)</f>
        <v>0</v>
      </c>
      <c r="L1367" s="126">
        <f>IF(L$19=1,IF('Assumptions - Infrastructure'!$E$474=Calculations!L$4,'Assumptions - Infrastructure'!$E$477*'Assumptions - Infrastructure'!$E$487,0),0)</f>
        <v>0</v>
      </c>
      <c r="M1367" s="126">
        <f>IF(M$19=1,IF('Assumptions - Infrastructure'!$E$474=Calculations!M$4,'Assumptions - Infrastructure'!$E$477*'Assumptions - Infrastructure'!$E$487,0),0)</f>
        <v>0</v>
      </c>
      <c r="N1367" s="126">
        <f>IF(N$19=1,IF('Assumptions - Infrastructure'!$E$474=Calculations!N$4,'Assumptions - Infrastructure'!$E$477*'Assumptions - Infrastructure'!$E$487,0),0)</f>
        <v>0</v>
      </c>
      <c r="O1367" s="126">
        <f>IF(O$19=1,IF('Assumptions - Infrastructure'!$E$474=Calculations!O$4,'Assumptions - Infrastructure'!$E$477*'Assumptions - Infrastructure'!$E$487,0),0)</f>
        <v>0</v>
      </c>
      <c r="P1367" s="126">
        <f>IF(P$19=1,IF('Assumptions - Infrastructure'!$E$474=Calculations!P$4,'Assumptions - Infrastructure'!$E$477*'Assumptions - Infrastructure'!$E$487,0),0)</f>
        <v>0</v>
      </c>
      <c r="Q1367" s="126">
        <f>IF(Q$19=1,IF('Assumptions - Infrastructure'!$E$474=Calculations!Q$4,'Assumptions - Infrastructure'!$E$477*'Assumptions - Infrastructure'!$E$487,0),0)</f>
        <v>0</v>
      </c>
      <c r="R1367" s="126">
        <f>IF(R$19=1,IF('Assumptions - Infrastructure'!$E$474=Calculations!R$4,'Assumptions - Infrastructure'!$E$477*'Assumptions - Infrastructure'!$E$487,0),0)</f>
        <v>0</v>
      </c>
      <c r="S1367" s="126">
        <f>IF(S$19=1,IF('Assumptions - Infrastructure'!$E$474=Calculations!S$4,'Assumptions - Infrastructure'!$E$477*'Assumptions - Infrastructure'!$E$487,0),0)</f>
        <v>0</v>
      </c>
      <c r="T1367" s="126">
        <f>IF(T$19=1,IF('Assumptions - Infrastructure'!$E$474=Calculations!T$4,'Assumptions - Infrastructure'!$E$477*'Assumptions - Infrastructure'!$E$487,0),0)</f>
        <v>0</v>
      </c>
      <c r="U1367" s="126">
        <f>IF(U$19=1,IF('Assumptions - Infrastructure'!$E$474=Calculations!U$4,'Assumptions - Infrastructure'!$E$477*'Assumptions - Infrastructure'!$E$487,0),0)</f>
        <v>0</v>
      </c>
      <c r="V1367" s="126">
        <f>IF(V$19=1,IF('Assumptions - Infrastructure'!$E$474=Calculations!V$4,'Assumptions - Infrastructure'!$E$477*'Assumptions - Infrastructure'!$E$487,0),0)</f>
        <v>0</v>
      </c>
      <c r="W1367" s="126">
        <f>IF(W$19=1,IF('Assumptions - Infrastructure'!$E$474=Calculations!W$4,'Assumptions - Infrastructure'!$E$477*'Assumptions - Infrastructure'!$E$487,0),0)</f>
        <v>0</v>
      </c>
      <c r="X1367" s="126">
        <f>IF(X$19=1,IF('Assumptions - Infrastructure'!$E$474=Calculations!X$4,'Assumptions - Infrastructure'!$E$477*'Assumptions - Infrastructure'!$E$487,0),0)</f>
        <v>0</v>
      </c>
      <c r="Y1367" s="126">
        <f>IF(Y$19=1,IF('Assumptions - Infrastructure'!$E$474=Calculations!Y$4,'Assumptions - Infrastructure'!$E$477*'Assumptions - Infrastructure'!$E$487,0),0)</f>
        <v>0</v>
      </c>
      <c r="Z1367" s="126">
        <f>IF(Z$19=1,IF('Assumptions - Infrastructure'!$E$474=Calculations!Z$4,'Assumptions - Infrastructure'!$E$477*'Assumptions - Infrastructure'!$E$487,0),0)</f>
        <v>0</v>
      </c>
      <c r="AA1367" s="126">
        <f>IF(AA$19=1,IF('Assumptions - Infrastructure'!$E$474=Calculations!AA$4,'Assumptions - Infrastructure'!$E$477*'Assumptions - Infrastructure'!$E$487,0),0)</f>
        <v>0</v>
      </c>
      <c r="AB1367" s="126">
        <f>IF(AB$19=1,IF('Assumptions - Infrastructure'!$E$474=Calculations!AB$4,'Assumptions - Infrastructure'!$E$477*'Assumptions - Infrastructure'!$E$487,0),0)</f>
        <v>0</v>
      </c>
      <c r="AC1367" s="126">
        <f>IF(AC$19=1,IF('Assumptions - Infrastructure'!$E$474=Calculations!AC$4,'Assumptions - Infrastructure'!$E$477*'Assumptions - Infrastructure'!$E$487,0),0)</f>
        <v>0</v>
      </c>
      <c r="AD1367" s="126">
        <f>IF(AD$19=1,IF('Assumptions - Infrastructure'!$E$474=Calculations!AD$4,'Assumptions - Infrastructure'!$E$477*'Assumptions - Infrastructure'!$E$487,0),0)</f>
        <v>0</v>
      </c>
      <c r="AE1367" s="126">
        <f>IF(AE$19=1,IF('Assumptions - Infrastructure'!$E$474=Calculations!AE$4,'Assumptions - Infrastructure'!$E$477*'Assumptions - Infrastructure'!$E$487,0),0)</f>
        <v>0</v>
      </c>
      <c r="AF1367" s="126">
        <f>IF(AF$19=1,IF('Assumptions - Infrastructure'!$E$474=Calculations!AF$4,'Assumptions - Infrastructure'!$E$477*'Assumptions - Infrastructure'!$E$487,0),0)</f>
        <v>0</v>
      </c>
      <c r="AG1367" s="126">
        <f>IF(AG$19=1,IF('Assumptions - Infrastructure'!$E$474=Calculations!AG$4,'Assumptions - Infrastructure'!$E$477*'Assumptions - Infrastructure'!$E$487,0),0)</f>
        <v>0</v>
      </c>
      <c r="AH1367" s="126">
        <f>IF(AH$19=1,IF('Assumptions - Infrastructure'!$E$474=Calculations!AH$4,'Assumptions - Infrastructure'!$E$477*'Assumptions - Infrastructure'!$E$487,0),0)</f>
        <v>0</v>
      </c>
    </row>
    <row r="1368" spans="1:34" s="20" customFormat="1" ht="14" x14ac:dyDescent="0.2">
      <c r="A1368" s="8"/>
      <c r="B1368" s="8" t="s">
        <v>142</v>
      </c>
      <c r="C1368" s="8"/>
      <c r="D1368" s="8" t="str">
        <f t="shared" si="527"/>
        <v>R$ millions</v>
      </c>
      <c r="E1368" s="126">
        <f>IF(E$19=1,IF(AND(E$4&lt;=('Assumptions - Infrastructure'!$E$474+'Assumptions - Infrastructure'!$E$484),E$4&gt;='Assumptions - Freight'!$E$539),'Assumptions - Infrastructure'!$E$477-Calculations!E1357-E1364,0),0)</f>
        <v>0</v>
      </c>
      <c r="F1368" s="126">
        <f>IF(F$19=1,IF(AND(F$4&lt;=('Assumptions - Infrastructure'!$E$474+'Assumptions - Infrastructure'!$E$484),F$4&gt;='Assumptions - Freight'!$E$539),'Assumptions - Infrastructure'!$E$477-Calculations!F1357-F1364,0),0)</f>
        <v>0</v>
      </c>
      <c r="G1368" s="126">
        <f>IF(G$19=1,IF(AND(G$4&lt;=('Assumptions - Infrastructure'!$E$474+'Assumptions - Infrastructure'!$E$484),G$4&gt;='Assumptions - Freight'!$E$539),'Assumptions - Infrastructure'!$E$477-Calculations!G1357-G1364,0),0)</f>
        <v>40</v>
      </c>
      <c r="H1368" s="126">
        <f>IF(H$19=1,IF(AND(H$4&lt;=('Assumptions - Infrastructure'!$E$474+'Assumptions - Infrastructure'!$E$484),H$4&gt;='Assumptions - Freight'!$E$539),'Assumptions - Infrastructure'!$E$477-Calculations!H1357-H1364,0),0)</f>
        <v>30</v>
      </c>
      <c r="I1368" s="126">
        <f>IF(I$19=1,IF(AND(I$4&lt;=('Assumptions - Infrastructure'!$E$474+'Assumptions - Infrastructure'!$E$484),I$4&gt;='Assumptions - Freight'!$E$539),'Assumptions - Infrastructure'!$E$477-Calculations!I1357-I1364,0),0)</f>
        <v>20</v>
      </c>
      <c r="J1368" s="126">
        <f>IF(J$19=1,IF(AND(J$4&lt;=('Assumptions - Infrastructure'!$E$474+'Assumptions - Infrastructure'!$E$484),J$4&gt;='Assumptions - Freight'!$E$539),'Assumptions - Infrastructure'!$E$477-Calculations!J1357-J1364,0),0)</f>
        <v>10</v>
      </c>
      <c r="K1368" s="126">
        <f>IF(K$19=1,IF(AND(K$4&lt;=('Assumptions - Infrastructure'!$E$474+'Assumptions - Infrastructure'!$E$484),K$4&gt;='Assumptions - Freight'!$E$539),'Assumptions - Infrastructure'!$E$477-Calculations!K1357-K1364,0),0)</f>
        <v>0</v>
      </c>
      <c r="L1368" s="126">
        <f>IF(L$19=1,IF(AND(L$4&lt;=('Assumptions - Infrastructure'!$E$474+'Assumptions - Infrastructure'!$E$484),L$4&gt;='Assumptions - Freight'!$E$539),'Assumptions - Infrastructure'!$E$477-Calculations!L1357-L1364,0),0)</f>
        <v>0</v>
      </c>
      <c r="M1368" s="126">
        <f>IF(M$19=1,IF(AND(M$4&lt;=('Assumptions - Infrastructure'!$E$474+'Assumptions - Infrastructure'!$E$484),M$4&gt;='Assumptions - Freight'!$E$539),'Assumptions - Infrastructure'!$E$477-Calculations!M1357-M1364,0),0)</f>
        <v>0</v>
      </c>
      <c r="N1368" s="126">
        <f>IF(N$19=1,IF(AND(N$4&lt;=('Assumptions - Infrastructure'!$E$474+'Assumptions - Infrastructure'!$E$484),N$4&gt;='Assumptions - Freight'!$E$539),'Assumptions - Infrastructure'!$E$477-Calculations!N1357-N1364,0),0)</f>
        <v>0</v>
      </c>
      <c r="O1368" s="126">
        <f>IF(O$19=1,IF(AND(O$4&lt;=('Assumptions - Infrastructure'!$E$474+'Assumptions - Infrastructure'!$E$484),O$4&gt;='Assumptions - Freight'!$E$539),'Assumptions - Infrastructure'!$E$477-Calculations!O1357-O1364,0),0)</f>
        <v>0</v>
      </c>
      <c r="P1368" s="126">
        <f>IF(P$19=1,IF(AND(P$4&lt;=('Assumptions - Infrastructure'!$E$474+'Assumptions - Infrastructure'!$E$484),P$4&gt;='Assumptions - Freight'!$E$539),'Assumptions - Infrastructure'!$E$477-Calculations!P1357-P1364,0),0)</f>
        <v>0</v>
      </c>
      <c r="Q1368" s="126">
        <f>IF(Q$19=1,IF(AND(Q$4&lt;=('Assumptions - Infrastructure'!$E$474+'Assumptions - Infrastructure'!$E$484),Q$4&gt;='Assumptions - Freight'!$E$539),'Assumptions - Infrastructure'!$E$477-Calculations!Q1357-Q1364,0),0)</f>
        <v>0</v>
      </c>
      <c r="R1368" s="126">
        <f>IF(R$19=1,IF(AND(R$4&lt;=('Assumptions - Infrastructure'!$E$474+'Assumptions - Infrastructure'!$E$484),R$4&gt;='Assumptions - Freight'!$E$539),'Assumptions - Infrastructure'!$E$477-Calculations!R1357-R1364,0),0)</f>
        <v>0</v>
      </c>
      <c r="S1368" s="126">
        <f>IF(S$19=1,IF(AND(S$4&lt;=('Assumptions - Infrastructure'!$E$474+'Assumptions - Infrastructure'!$E$484),S$4&gt;='Assumptions - Freight'!$E$539),'Assumptions - Infrastructure'!$E$477-Calculations!S1357-S1364,0),0)</f>
        <v>0</v>
      </c>
      <c r="T1368" s="126">
        <f>IF(T$19=1,IF(AND(T$4&lt;=('Assumptions - Infrastructure'!$E$474+'Assumptions - Infrastructure'!$E$484),T$4&gt;='Assumptions - Freight'!$E$539),'Assumptions - Infrastructure'!$E$477-Calculations!T1357-T1364,0),0)</f>
        <v>0</v>
      </c>
      <c r="U1368" s="126">
        <f>IF(U$19=1,IF(AND(U$4&lt;=('Assumptions - Infrastructure'!$E$474+'Assumptions - Infrastructure'!$E$484),U$4&gt;='Assumptions - Freight'!$E$539),'Assumptions - Infrastructure'!$E$477-Calculations!U1357-U1364,0),0)</f>
        <v>0</v>
      </c>
      <c r="V1368" s="126">
        <f>IF(V$19=1,IF(AND(V$4&lt;=('Assumptions - Infrastructure'!$E$474+'Assumptions - Infrastructure'!$E$484),V$4&gt;='Assumptions - Freight'!$E$539),'Assumptions - Infrastructure'!$E$477-Calculations!V1357-V1364,0),0)</f>
        <v>0</v>
      </c>
      <c r="W1368" s="126">
        <f>IF(W$19=1,IF(AND(W$4&lt;=('Assumptions - Infrastructure'!$E$474+'Assumptions - Infrastructure'!$E$484),W$4&gt;='Assumptions - Freight'!$E$539),'Assumptions - Infrastructure'!$E$477-Calculations!W1357-W1364,0),0)</f>
        <v>0</v>
      </c>
      <c r="X1368" s="126">
        <f>IF(X$19=1,IF(AND(X$4&lt;=('Assumptions - Infrastructure'!$E$474+'Assumptions - Infrastructure'!$E$484),X$4&gt;='Assumptions - Freight'!$E$539),'Assumptions - Infrastructure'!$E$477-Calculations!X1357-X1364,0),0)</f>
        <v>0</v>
      </c>
      <c r="Y1368" s="126">
        <f>IF(Y$19=1,IF(AND(Y$4&lt;=('Assumptions - Infrastructure'!$E$474+'Assumptions - Infrastructure'!$E$484),Y$4&gt;='Assumptions - Freight'!$E$539),'Assumptions - Infrastructure'!$E$477-Calculations!Y1357-Y1364,0),0)</f>
        <v>0</v>
      </c>
      <c r="Z1368" s="126">
        <f>IF(Z$19=1,IF(AND(Z$4&lt;=('Assumptions - Infrastructure'!$E$474+'Assumptions - Infrastructure'!$E$484),Z$4&gt;='Assumptions - Freight'!$E$539),'Assumptions - Infrastructure'!$E$477-Calculations!Z1357-Z1364,0),0)</f>
        <v>0</v>
      </c>
      <c r="AA1368" s="126">
        <f>IF(AA$19=1,IF(AND(AA$4&lt;=('Assumptions - Infrastructure'!$E$474+'Assumptions - Infrastructure'!$E$484),AA$4&gt;='Assumptions - Freight'!$E$539),'Assumptions - Infrastructure'!$E$477-Calculations!AA1357-AA1364,0),0)</f>
        <v>0</v>
      </c>
      <c r="AB1368" s="126">
        <f>IF(AB$19=1,IF(AND(AB$4&lt;=('Assumptions - Infrastructure'!$E$474+'Assumptions - Infrastructure'!$E$484),AB$4&gt;='Assumptions - Freight'!$E$539),'Assumptions - Infrastructure'!$E$477-Calculations!AB1357-AB1364,0),0)</f>
        <v>0</v>
      </c>
      <c r="AC1368" s="126">
        <f>IF(AC$19=1,IF(AND(AC$4&lt;=('Assumptions - Infrastructure'!$E$474+'Assumptions - Infrastructure'!$E$484),AC$4&gt;='Assumptions - Freight'!$E$539),'Assumptions - Infrastructure'!$E$477-Calculations!AC1357-AC1364,0),0)</f>
        <v>0</v>
      </c>
      <c r="AD1368" s="126">
        <f>IF(AD$19=1,IF(AND(AD$4&lt;=('Assumptions - Infrastructure'!$E$474+'Assumptions - Infrastructure'!$E$484),AD$4&gt;='Assumptions - Freight'!$E$539),'Assumptions - Infrastructure'!$E$477-Calculations!AD1357-AD1364,0),0)</f>
        <v>0</v>
      </c>
      <c r="AE1368" s="126">
        <f>IF(AE$19=1,IF(AND(AE$4&lt;=('Assumptions - Infrastructure'!$E$474+'Assumptions - Infrastructure'!$E$484),AE$4&gt;='Assumptions - Freight'!$E$539),'Assumptions - Infrastructure'!$E$477-Calculations!AE1357-AE1364,0),0)</f>
        <v>0</v>
      </c>
      <c r="AF1368" s="126">
        <f>IF(AF$19=1,IF(AND(AF$4&lt;=('Assumptions - Infrastructure'!$E$474+'Assumptions - Infrastructure'!$E$484),AF$4&gt;='Assumptions - Freight'!$E$539),'Assumptions - Infrastructure'!$E$477-Calculations!AF1357-AF1364,0),0)</f>
        <v>0</v>
      </c>
      <c r="AG1368" s="126">
        <f>IF(AG$19=1,IF(AND(AG$4&lt;=('Assumptions - Infrastructure'!$E$474+'Assumptions - Infrastructure'!$E$484),AG$4&gt;='Assumptions - Freight'!$E$539),'Assumptions - Infrastructure'!$E$477-Calculations!AG1357-AG1364,0),0)</f>
        <v>0</v>
      </c>
      <c r="AH1368" s="126">
        <f>IF(AH$19=1,IF(AND(AH$4&lt;=('Assumptions - Infrastructure'!$E$474+'Assumptions - Infrastructure'!$E$484),AH$4&gt;='Assumptions - Freight'!$E$539),'Assumptions - Infrastructure'!$E$477-Calculations!AH1357-AH1364,0),0)</f>
        <v>0</v>
      </c>
    </row>
    <row r="1369" spans="1:34" s="20" customFormat="1" ht="14" x14ac:dyDescent="0.2">
      <c r="A1369" s="8"/>
      <c r="B1369" s="8" t="s">
        <v>55</v>
      </c>
      <c r="C1369" s="8"/>
      <c r="D1369" s="8" t="str">
        <f t="shared" si="527"/>
        <v>R$ millions</v>
      </c>
      <c r="E1369" s="126">
        <f>IF(E$19=1,'Assumptions - Infrastructure'!$E$488*Calculations!E1368,0)</f>
        <v>0</v>
      </c>
      <c r="F1369" s="126">
        <f>IF(F$19=1,'Assumptions - Infrastructure'!$E$488*Calculations!F1368,0)</f>
        <v>0</v>
      </c>
      <c r="G1369" s="126">
        <f>IF(G$19=1,'Assumptions - Infrastructure'!$E$488*Calculations!G1368,0)</f>
        <v>0</v>
      </c>
      <c r="H1369" s="126">
        <f>IF(H$19=1,'Assumptions - Infrastructure'!$E$488*Calculations!H1368,0)</f>
        <v>0</v>
      </c>
      <c r="I1369" s="126">
        <f>IF(I$19=1,'Assumptions - Infrastructure'!$E$488*Calculations!I1368,0)</f>
        <v>0</v>
      </c>
      <c r="J1369" s="126">
        <f>IF(J$19=1,'Assumptions - Infrastructure'!$E$488*Calculations!J1368,0)</f>
        <v>0</v>
      </c>
      <c r="K1369" s="126">
        <f>IF(K$19=1,'Assumptions - Infrastructure'!$E$488*Calculations!K1368,0)</f>
        <v>0</v>
      </c>
      <c r="L1369" s="126">
        <f>IF(L$19=1,'Assumptions - Infrastructure'!$E$488*Calculations!L1368,0)</f>
        <v>0</v>
      </c>
      <c r="M1369" s="126">
        <f>IF(M$19=1,'Assumptions - Infrastructure'!$E$488*Calculations!M1368,0)</f>
        <v>0</v>
      </c>
      <c r="N1369" s="126">
        <f>IF(N$19=1,'Assumptions - Infrastructure'!$E$488*Calculations!N1368,0)</f>
        <v>0</v>
      </c>
      <c r="O1369" s="126">
        <f>IF(O$19=1,'Assumptions - Infrastructure'!$E$488*Calculations!O1368,0)</f>
        <v>0</v>
      </c>
      <c r="P1369" s="126">
        <f>IF(P$19=1,'Assumptions - Infrastructure'!$E$488*Calculations!P1368,0)</f>
        <v>0</v>
      </c>
      <c r="Q1369" s="126">
        <f>IF(Q$19=1,'Assumptions - Infrastructure'!$E$488*Calculations!Q1368,0)</f>
        <v>0</v>
      </c>
      <c r="R1369" s="126">
        <f>IF(R$19=1,'Assumptions - Infrastructure'!$E$488*Calculations!R1368,0)</f>
        <v>0</v>
      </c>
      <c r="S1369" s="126">
        <f>IF(S$19=1,'Assumptions - Infrastructure'!$E$488*Calculations!S1368,0)</f>
        <v>0</v>
      </c>
      <c r="T1369" s="126">
        <f>IF(T$19=1,'Assumptions - Infrastructure'!$E$488*Calculations!T1368,0)</f>
        <v>0</v>
      </c>
      <c r="U1369" s="126">
        <f>IF(U$19=1,'Assumptions - Infrastructure'!$E$488*Calculations!U1368,0)</f>
        <v>0</v>
      </c>
      <c r="V1369" s="126">
        <f>IF(V$19=1,'Assumptions - Infrastructure'!$E$488*Calculations!V1368,0)</f>
        <v>0</v>
      </c>
      <c r="W1369" s="126">
        <f>IF(W$19=1,'Assumptions - Infrastructure'!$E$488*Calculations!W1368,0)</f>
        <v>0</v>
      </c>
      <c r="X1369" s="126">
        <f>IF(X$19=1,'Assumptions - Infrastructure'!$E$488*Calculations!X1368,0)</f>
        <v>0</v>
      </c>
      <c r="Y1369" s="126">
        <f>IF(Y$19=1,'Assumptions - Infrastructure'!$E$488*Calculations!Y1368,0)</f>
        <v>0</v>
      </c>
      <c r="Z1369" s="126">
        <f>IF(Z$19=1,'Assumptions - Infrastructure'!$E$488*Calculations!Z1368,0)</f>
        <v>0</v>
      </c>
      <c r="AA1369" s="126">
        <f>IF(AA$19=1,'Assumptions - Infrastructure'!$E$488*Calculations!AA1368,0)</f>
        <v>0</v>
      </c>
      <c r="AB1369" s="126">
        <f>IF(AB$19=1,'Assumptions - Infrastructure'!$E$488*Calculations!AB1368,0)</f>
        <v>0</v>
      </c>
      <c r="AC1369" s="126">
        <f>IF(AC$19=1,'Assumptions - Infrastructure'!$E$488*Calculations!AC1368,0)</f>
        <v>0</v>
      </c>
      <c r="AD1369" s="126">
        <f>IF(AD$19=1,'Assumptions - Infrastructure'!$E$488*Calculations!AD1368,0)</f>
        <v>0</v>
      </c>
      <c r="AE1369" s="126">
        <f>IF(AE$19=1,'Assumptions - Infrastructure'!$E$488*Calculations!AE1368,0)</f>
        <v>0</v>
      </c>
      <c r="AF1369" s="126">
        <f>IF(AF$19=1,'Assumptions - Infrastructure'!$E$488*Calculations!AF1368,0)</f>
        <v>0</v>
      </c>
      <c r="AG1369" s="126">
        <f>IF(AG$19=1,'Assumptions - Infrastructure'!$E$488*Calculations!AG1368,0)</f>
        <v>0</v>
      </c>
      <c r="AH1369" s="126">
        <f>IF(AH$19=1,'Assumptions - Infrastructure'!$E$488*Calculations!AH1368,0)</f>
        <v>0</v>
      </c>
    </row>
    <row r="1370" spans="1:34" s="20" customFormat="1" ht="14" x14ac:dyDescent="0.2">
      <c r="A1370" s="8"/>
      <c r="B1370" s="8" t="s">
        <v>140</v>
      </c>
      <c r="C1370" s="8"/>
      <c r="D1370" s="8" t="str">
        <f t="shared" si="527"/>
        <v>R$ millions</v>
      </c>
      <c r="E1370" s="126">
        <f>E1358+E1366+E1367+E1369</f>
        <v>0</v>
      </c>
      <c r="F1370" s="126">
        <f t="shared" ref="F1370:AH1370" si="528">F1358+F1366+F1367+F1369</f>
        <v>0</v>
      </c>
      <c r="G1370" s="126">
        <f t="shared" si="528"/>
        <v>0.375</v>
      </c>
      <c r="H1370" s="126">
        <f t="shared" si="528"/>
        <v>0.75</v>
      </c>
      <c r="I1370" s="126">
        <f t="shared" si="528"/>
        <v>1.25</v>
      </c>
      <c r="J1370" s="126">
        <f t="shared" si="528"/>
        <v>1.75</v>
      </c>
      <c r="K1370" s="126">
        <f t="shared" si="528"/>
        <v>2.25</v>
      </c>
      <c r="L1370" s="126">
        <f t="shared" si="528"/>
        <v>2.5</v>
      </c>
      <c r="M1370" s="126">
        <f t="shared" si="528"/>
        <v>2.5</v>
      </c>
      <c r="N1370" s="126">
        <f t="shared" si="528"/>
        <v>2.5</v>
      </c>
      <c r="O1370" s="126">
        <f t="shared" si="528"/>
        <v>2.5</v>
      </c>
      <c r="P1370" s="126">
        <f t="shared" si="528"/>
        <v>2.5</v>
      </c>
      <c r="Q1370" s="126">
        <f t="shared" si="528"/>
        <v>2.5</v>
      </c>
      <c r="R1370" s="126">
        <f t="shared" si="528"/>
        <v>2.5</v>
      </c>
      <c r="S1370" s="126">
        <f t="shared" si="528"/>
        <v>2.5</v>
      </c>
      <c r="T1370" s="126">
        <f t="shared" si="528"/>
        <v>2.5</v>
      </c>
      <c r="U1370" s="126">
        <f t="shared" si="528"/>
        <v>51.25</v>
      </c>
      <c r="V1370" s="126">
        <f t="shared" si="528"/>
        <v>0</v>
      </c>
      <c r="W1370" s="126">
        <f t="shared" si="528"/>
        <v>0</v>
      </c>
      <c r="X1370" s="126">
        <f t="shared" si="528"/>
        <v>0</v>
      </c>
      <c r="Y1370" s="126">
        <f t="shared" si="528"/>
        <v>0</v>
      </c>
      <c r="Z1370" s="126">
        <f t="shared" si="528"/>
        <v>0</v>
      </c>
      <c r="AA1370" s="126">
        <f t="shared" si="528"/>
        <v>0</v>
      </c>
      <c r="AB1370" s="126">
        <f t="shared" si="528"/>
        <v>0</v>
      </c>
      <c r="AC1370" s="126">
        <f t="shared" si="528"/>
        <v>0</v>
      </c>
      <c r="AD1370" s="126">
        <f t="shared" si="528"/>
        <v>0</v>
      </c>
      <c r="AE1370" s="126">
        <f t="shared" si="528"/>
        <v>0</v>
      </c>
      <c r="AF1370" s="126">
        <f t="shared" si="528"/>
        <v>0</v>
      </c>
      <c r="AG1370" s="126">
        <f t="shared" si="528"/>
        <v>0</v>
      </c>
      <c r="AH1370" s="126">
        <f t="shared" si="528"/>
        <v>0</v>
      </c>
    </row>
    <row r="1371" spans="1:34" s="20" customFormat="1" ht="14" x14ac:dyDescent="0.2">
      <c r="A1371" s="8"/>
      <c r="B1371" s="8"/>
      <c r="C1371" s="8"/>
      <c r="D1371" s="8"/>
      <c r="E1371" s="16"/>
      <c r="F1371" s="8"/>
      <c r="G1371" s="8"/>
      <c r="H1371" s="8"/>
      <c r="I1371" s="8"/>
      <c r="J1371" s="8"/>
      <c r="K1371" s="8"/>
      <c r="L1371" s="8"/>
      <c r="M1371" s="8"/>
      <c r="N1371" s="8"/>
      <c r="O1371" s="8"/>
      <c r="P1371" s="8"/>
      <c r="Q1371" s="8"/>
      <c r="R1371" s="8"/>
      <c r="S1371" s="8"/>
      <c r="T1371" s="8"/>
      <c r="U1371" s="8"/>
      <c r="V1371" s="8"/>
      <c r="W1371" s="8"/>
      <c r="X1371" s="8"/>
      <c r="Y1371" s="8"/>
      <c r="Z1371" s="8"/>
      <c r="AA1371" s="8"/>
      <c r="AB1371" s="8"/>
      <c r="AC1371" s="8"/>
      <c r="AD1371" s="8"/>
      <c r="AE1371" s="8"/>
      <c r="AF1371" s="8"/>
      <c r="AG1371" s="8"/>
      <c r="AH1371" s="8"/>
    </row>
    <row r="1372" spans="1:34" s="20" customFormat="1" ht="14" x14ac:dyDescent="0.2">
      <c r="A1372" s="8"/>
      <c r="B1372" s="21" t="str">
        <f>B1354</f>
        <v>New loan from Regional bank</v>
      </c>
      <c r="C1372" s="8"/>
      <c r="D1372" s="8"/>
      <c r="E1372" s="8"/>
      <c r="F1372" s="8"/>
      <c r="G1372" s="8"/>
      <c r="H1372" s="8"/>
      <c r="I1372" s="8"/>
      <c r="J1372" s="8"/>
      <c r="K1372" s="8"/>
      <c r="L1372" s="8"/>
      <c r="M1372" s="8"/>
      <c r="N1372" s="8"/>
      <c r="O1372" s="8"/>
      <c r="P1372" s="8"/>
      <c r="Q1372" s="8"/>
      <c r="R1372" s="8"/>
      <c r="S1372" s="8"/>
      <c r="T1372" s="8"/>
      <c r="U1372" s="8"/>
      <c r="V1372" s="8"/>
      <c r="W1372" s="8"/>
      <c r="X1372" s="8"/>
      <c r="Y1372" s="8"/>
      <c r="Z1372" s="8"/>
      <c r="AA1372" s="8"/>
      <c r="AB1372" s="8"/>
      <c r="AC1372" s="8"/>
      <c r="AD1372" s="8"/>
      <c r="AE1372" s="8"/>
      <c r="AF1372" s="8"/>
      <c r="AG1372" s="8"/>
      <c r="AH1372" s="8"/>
    </row>
    <row r="1373" spans="1:34" s="20" customFormat="1" ht="14" x14ac:dyDescent="0.2">
      <c r="A1373" s="8"/>
      <c r="B1373" s="8" t="s">
        <v>334</v>
      </c>
      <c r="C1373" s="8"/>
      <c r="D1373" s="8" t="str">
        <f>IF('Assumptions - Infrastructure'!$E$475=1,"Same as above",IF('Assumptions - Infrastructure'!$E$475=2,"Local currency/"&amp;'Assumptions - General'!$E$39,"Local currency/"&amp;'Assumptions - General'!$E$40))</f>
        <v>Same as above</v>
      </c>
      <c r="E1373" s="124">
        <f>IF('Assumptions - Infrastructure'!$E$475=1,1,IF('Assumptions - Infrastructure'!$E$475=2,'Assumptions - General'!E$41,'Assumptions - General'!E$42))</f>
        <v>1</v>
      </c>
      <c r="F1373" s="124">
        <f>IF('Assumptions - Infrastructure'!$E$475=1,1,IF('Assumptions - Infrastructure'!$E$475=2,'Assumptions - General'!F$41,'Assumptions - General'!F$42))</f>
        <v>1</v>
      </c>
      <c r="G1373" s="124">
        <f>IF('Assumptions - Infrastructure'!$E$475=1,1,IF('Assumptions - Infrastructure'!$E$475=2,'Assumptions - General'!G$41,'Assumptions - General'!G$42))</f>
        <v>1</v>
      </c>
      <c r="H1373" s="124">
        <f>IF('Assumptions - Infrastructure'!$E$475=1,1,IF('Assumptions - Infrastructure'!$E$475=2,'Assumptions - General'!H$41,'Assumptions - General'!H$42))</f>
        <v>1</v>
      </c>
      <c r="I1373" s="124">
        <f>IF('Assumptions - Infrastructure'!$E$475=1,1,IF('Assumptions - Infrastructure'!$E$475=2,'Assumptions - General'!I$41,'Assumptions - General'!I$42))</f>
        <v>1</v>
      </c>
      <c r="J1373" s="124">
        <f>IF('Assumptions - Infrastructure'!$E$475=1,1,IF('Assumptions - Infrastructure'!$E$475=2,'Assumptions - General'!J$41,'Assumptions - General'!J$42))</f>
        <v>1</v>
      </c>
      <c r="K1373" s="124">
        <f>IF('Assumptions - Infrastructure'!$E$475=1,1,IF('Assumptions - Infrastructure'!$E$475=2,'Assumptions - General'!K$41,'Assumptions - General'!K$42))</f>
        <v>1</v>
      </c>
      <c r="L1373" s="124">
        <f>IF('Assumptions - Infrastructure'!$E$475=1,1,IF('Assumptions - Infrastructure'!$E$475=2,'Assumptions - General'!L$41,'Assumptions - General'!L$42))</f>
        <v>1</v>
      </c>
      <c r="M1373" s="124">
        <f>IF('Assumptions - Infrastructure'!$E$475=1,1,IF('Assumptions - Infrastructure'!$E$475=2,'Assumptions - General'!M$41,'Assumptions - General'!M$42))</f>
        <v>1</v>
      </c>
      <c r="N1373" s="124">
        <f>IF('Assumptions - Infrastructure'!$E$475=1,1,IF('Assumptions - Infrastructure'!$E$475=2,'Assumptions - General'!N$41,'Assumptions - General'!N$42))</f>
        <v>1</v>
      </c>
      <c r="O1373" s="124">
        <f>IF('Assumptions - Infrastructure'!$E$475=1,1,IF('Assumptions - Infrastructure'!$E$475=2,'Assumptions - General'!O$41,'Assumptions - General'!O$42))</f>
        <v>1</v>
      </c>
      <c r="P1373" s="124">
        <f>IF('Assumptions - Infrastructure'!$E$475=1,1,IF('Assumptions - Infrastructure'!$E$475=2,'Assumptions - General'!P$41,'Assumptions - General'!P$42))</f>
        <v>1</v>
      </c>
      <c r="Q1373" s="124">
        <f>IF('Assumptions - Infrastructure'!$E$475=1,1,IF('Assumptions - Infrastructure'!$E$475=2,'Assumptions - General'!Q$41,'Assumptions - General'!Q$42))</f>
        <v>1</v>
      </c>
      <c r="R1373" s="124">
        <f>IF('Assumptions - Infrastructure'!$E$475=1,1,IF('Assumptions - Infrastructure'!$E$475=2,'Assumptions - General'!R$41,'Assumptions - General'!R$42))</f>
        <v>1</v>
      </c>
      <c r="S1373" s="124">
        <f>IF('Assumptions - Infrastructure'!$E$475=1,1,IF('Assumptions - Infrastructure'!$E$475=2,'Assumptions - General'!S$41,'Assumptions - General'!S$42))</f>
        <v>1</v>
      </c>
      <c r="T1373" s="124">
        <f>IF('Assumptions - Infrastructure'!$E$475=1,1,IF('Assumptions - Infrastructure'!$E$475=2,'Assumptions - General'!T$41,'Assumptions - General'!T$42))</f>
        <v>1</v>
      </c>
      <c r="U1373" s="124">
        <f>IF('Assumptions - Infrastructure'!$E$475=1,1,IF('Assumptions - Infrastructure'!$E$475=2,'Assumptions - General'!U$41,'Assumptions - General'!U$42))</f>
        <v>1</v>
      </c>
      <c r="V1373" s="124">
        <f>IF('Assumptions - Infrastructure'!$E$475=1,1,IF('Assumptions - Infrastructure'!$E$475=2,'Assumptions - General'!V$41,'Assumptions - General'!V$42))</f>
        <v>1</v>
      </c>
      <c r="W1373" s="124">
        <f>IF('Assumptions - Infrastructure'!$E$475=1,1,IF('Assumptions - Infrastructure'!$E$475=2,'Assumptions - General'!W$41,'Assumptions - General'!W$42))</f>
        <v>1</v>
      </c>
      <c r="X1373" s="124">
        <f>IF('Assumptions - Infrastructure'!$E$475=1,1,IF('Assumptions - Infrastructure'!$E$475=2,'Assumptions - General'!X$41,'Assumptions - General'!X$42))</f>
        <v>1</v>
      </c>
      <c r="Y1373" s="124">
        <f>IF('Assumptions - Infrastructure'!$E$475=1,1,IF('Assumptions - Infrastructure'!$E$475=2,'Assumptions - General'!Y$41,'Assumptions - General'!Y$42))</f>
        <v>1</v>
      </c>
      <c r="Z1373" s="124">
        <f>IF('Assumptions - Infrastructure'!$E$475=1,1,IF('Assumptions - Infrastructure'!$E$475=2,'Assumptions - General'!Z$41,'Assumptions - General'!Z$42))</f>
        <v>1</v>
      </c>
      <c r="AA1373" s="124">
        <f>IF('Assumptions - Infrastructure'!$E$475=1,1,IF('Assumptions - Infrastructure'!$E$475=2,'Assumptions - General'!AA$41,'Assumptions - General'!AA$42))</f>
        <v>1</v>
      </c>
      <c r="AB1373" s="124">
        <f>IF('Assumptions - Infrastructure'!$E$475=1,1,IF('Assumptions - Infrastructure'!$E$475=2,'Assumptions - General'!AB$41,'Assumptions - General'!AB$42))</f>
        <v>1</v>
      </c>
      <c r="AC1373" s="124">
        <f>IF('Assumptions - Infrastructure'!$E$475=1,1,IF('Assumptions - Infrastructure'!$E$475=2,'Assumptions - General'!AC$41,'Assumptions - General'!AC$42))</f>
        <v>1</v>
      </c>
      <c r="AD1373" s="124">
        <f>IF('Assumptions - Infrastructure'!$E$475=1,1,IF('Assumptions - Infrastructure'!$E$475=2,'Assumptions - General'!AD$41,'Assumptions - General'!AD$42))</f>
        <v>1</v>
      </c>
      <c r="AE1373" s="124">
        <f>IF('Assumptions - Infrastructure'!$E$475=1,1,IF('Assumptions - Infrastructure'!$E$475=2,'Assumptions - General'!AE$41,'Assumptions - General'!AE$42))</f>
        <v>1</v>
      </c>
      <c r="AF1373" s="124">
        <f>IF('Assumptions - Infrastructure'!$E$475=1,1,IF('Assumptions - Infrastructure'!$E$475=2,'Assumptions - General'!AF$41,'Assumptions - General'!AF$42))</f>
        <v>1</v>
      </c>
      <c r="AG1373" s="124">
        <f>IF('Assumptions - Infrastructure'!$E$475=1,1,IF('Assumptions - Infrastructure'!$E$475=2,'Assumptions - General'!AG$41,'Assumptions - General'!AG$42))</f>
        <v>1</v>
      </c>
      <c r="AH1373" s="124">
        <f>IF('Assumptions - Infrastructure'!$E$475=1,1,IF('Assumptions - Infrastructure'!$E$475=2,'Assumptions - General'!AH$41,'Assumptions - General'!AH$42))</f>
        <v>1</v>
      </c>
    </row>
    <row r="1374" spans="1:34" s="20" customFormat="1" ht="14" x14ac:dyDescent="0.2">
      <c r="A1374" s="8"/>
      <c r="B1374" s="8" t="s">
        <v>136</v>
      </c>
      <c r="C1374" s="8"/>
      <c r="D1374" s="8" t="str">
        <f>'Assumptions - General'!$E$27 &amp;" millions"</f>
        <v>R$ millions</v>
      </c>
      <c r="E1374" s="126">
        <f>E1357*E$1373</f>
        <v>0</v>
      </c>
      <c r="F1374" s="126">
        <f t="shared" ref="F1374:AH1374" si="529">F1357*F$1373</f>
        <v>0</v>
      </c>
      <c r="G1374" s="126">
        <f t="shared" si="529"/>
        <v>0</v>
      </c>
      <c r="H1374" s="126">
        <f t="shared" si="529"/>
        <v>10</v>
      </c>
      <c r="I1374" s="126">
        <f t="shared" si="529"/>
        <v>20</v>
      </c>
      <c r="J1374" s="126">
        <f t="shared" si="529"/>
        <v>30</v>
      </c>
      <c r="K1374" s="126">
        <f t="shared" si="529"/>
        <v>40</v>
      </c>
      <c r="L1374" s="126">
        <f t="shared" si="529"/>
        <v>50</v>
      </c>
      <c r="M1374" s="126">
        <f t="shared" si="529"/>
        <v>50</v>
      </c>
      <c r="N1374" s="126">
        <f t="shared" si="529"/>
        <v>50</v>
      </c>
      <c r="O1374" s="126">
        <f t="shared" si="529"/>
        <v>50</v>
      </c>
      <c r="P1374" s="126">
        <f t="shared" si="529"/>
        <v>50</v>
      </c>
      <c r="Q1374" s="126">
        <f t="shared" si="529"/>
        <v>50</v>
      </c>
      <c r="R1374" s="126">
        <f t="shared" si="529"/>
        <v>50</v>
      </c>
      <c r="S1374" s="126">
        <f t="shared" si="529"/>
        <v>50</v>
      </c>
      <c r="T1374" s="126">
        <f t="shared" si="529"/>
        <v>50</v>
      </c>
      <c r="U1374" s="126">
        <f t="shared" si="529"/>
        <v>50</v>
      </c>
      <c r="V1374" s="126">
        <f t="shared" si="529"/>
        <v>0</v>
      </c>
      <c r="W1374" s="126">
        <f t="shared" si="529"/>
        <v>0</v>
      </c>
      <c r="X1374" s="126">
        <f t="shared" si="529"/>
        <v>0</v>
      </c>
      <c r="Y1374" s="126">
        <f t="shared" si="529"/>
        <v>0</v>
      </c>
      <c r="Z1374" s="126">
        <f t="shared" si="529"/>
        <v>0</v>
      </c>
      <c r="AA1374" s="126">
        <f t="shared" si="529"/>
        <v>0</v>
      </c>
      <c r="AB1374" s="126">
        <f t="shared" si="529"/>
        <v>0</v>
      </c>
      <c r="AC1374" s="126">
        <f t="shared" si="529"/>
        <v>0</v>
      </c>
      <c r="AD1374" s="126">
        <f t="shared" si="529"/>
        <v>0</v>
      </c>
      <c r="AE1374" s="126">
        <f t="shared" si="529"/>
        <v>0</v>
      </c>
      <c r="AF1374" s="126">
        <f t="shared" si="529"/>
        <v>0</v>
      </c>
      <c r="AG1374" s="126">
        <f t="shared" si="529"/>
        <v>0</v>
      </c>
      <c r="AH1374" s="126">
        <f t="shared" si="529"/>
        <v>0</v>
      </c>
    </row>
    <row r="1375" spans="1:34" s="20" customFormat="1" ht="14" x14ac:dyDescent="0.2">
      <c r="A1375" s="8"/>
      <c r="B1375" s="8" t="s">
        <v>410</v>
      </c>
      <c r="C1375" s="8"/>
      <c r="D1375" s="8" t="str">
        <f>'Assumptions - General'!$E$27 &amp;" millions"</f>
        <v>R$ millions</v>
      </c>
      <c r="E1375" s="126">
        <f>E1358*E$1373</f>
        <v>0</v>
      </c>
      <c r="F1375" s="126">
        <f t="shared" ref="F1375:AH1375" si="530">F1358*F$1373</f>
        <v>0</v>
      </c>
      <c r="G1375" s="126">
        <f t="shared" si="530"/>
        <v>0</v>
      </c>
      <c r="H1375" s="126">
        <f t="shared" si="530"/>
        <v>0</v>
      </c>
      <c r="I1375" s="126">
        <f t="shared" si="530"/>
        <v>0</v>
      </c>
      <c r="J1375" s="126">
        <f t="shared" si="530"/>
        <v>0</v>
      </c>
      <c r="K1375" s="126">
        <f t="shared" si="530"/>
        <v>0</v>
      </c>
      <c r="L1375" s="126">
        <f t="shared" si="530"/>
        <v>0</v>
      </c>
      <c r="M1375" s="126">
        <f t="shared" si="530"/>
        <v>0</v>
      </c>
      <c r="N1375" s="126">
        <f t="shared" si="530"/>
        <v>0</v>
      </c>
      <c r="O1375" s="126">
        <f t="shared" si="530"/>
        <v>0</v>
      </c>
      <c r="P1375" s="126">
        <f t="shared" si="530"/>
        <v>0</v>
      </c>
      <c r="Q1375" s="126">
        <f t="shared" si="530"/>
        <v>0</v>
      </c>
      <c r="R1375" s="126">
        <f t="shared" si="530"/>
        <v>0</v>
      </c>
      <c r="S1375" s="126">
        <f t="shared" si="530"/>
        <v>0</v>
      </c>
      <c r="T1375" s="126">
        <f t="shared" si="530"/>
        <v>0</v>
      </c>
      <c r="U1375" s="126">
        <f t="shared" si="530"/>
        <v>50</v>
      </c>
      <c r="V1375" s="126">
        <f t="shared" si="530"/>
        <v>0</v>
      </c>
      <c r="W1375" s="126">
        <f t="shared" si="530"/>
        <v>0</v>
      </c>
      <c r="X1375" s="126">
        <f t="shared" si="530"/>
        <v>0</v>
      </c>
      <c r="Y1375" s="126">
        <f t="shared" si="530"/>
        <v>0</v>
      </c>
      <c r="Z1375" s="126">
        <f t="shared" si="530"/>
        <v>0</v>
      </c>
      <c r="AA1375" s="126">
        <f t="shared" si="530"/>
        <v>0</v>
      </c>
      <c r="AB1375" s="126">
        <f t="shared" si="530"/>
        <v>0</v>
      </c>
      <c r="AC1375" s="126">
        <f t="shared" si="530"/>
        <v>0</v>
      </c>
      <c r="AD1375" s="126">
        <f t="shared" si="530"/>
        <v>0</v>
      </c>
      <c r="AE1375" s="126">
        <f t="shared" si="530"/>
        <v>0</v>
      </c>
      <c r="AF1375" s="126">
        <f t="shared" si="530"/>
        <v>0</v>
      </c>
      <c r="AG1375" s="126">
        <f t="shared" si="530"/>
        <v>0</v>
      </c>
      <c r="AH1375" s="126">
        <f t="shared" si="530"/>
        <v>0</v>
      </c>
    </row>
    <row r="1376" spans="1:34" s="20" customFormat="1" ht="14" x14ac:dyDescent="0.2">
      <c r="A1376" s="8"/>
      <c r="B1376" s="8" t="s">
        <v>137</v>
      </c>
      <c r="C1376" s="8"/>
      <c r="D1376" s="8" t="str">
        <f>'Assumptions - General'!$E$27 &amp;" millions"</f>
        <v>R$ millions</v>
      </c>
      <c r="E1376" s="126">
        <f>E1364*E$1373</f>
        <v>0</v>
      </c>
      <c r="F1376" s="126">
        <f t="shared" ref="F1376:AH1376" si="531">F1364*F$1373</f>
        <v>0</v>
      </c>
      <c r="G1376" s="126">
        <f t="shared" si="531"/>
        <v>10</v>
      </c>
      <c r="H1376" s="126">
        <f t="shared" si="531"/>
        <v>10</v>
      </c>
      <c r="I1376" s="126">
        <f t="shared" si="531"/>
        <v>10</v>
      </c>
      <c r="J1376" s="126">
        <f t="shared" si="531"/>
        <v>10</v>
      </c>
      <c r="K1376" s="126">
        <f t="shared" si="531"/>
        <v>10</v>
      </c>
      <c r="L1376" s="126">
        <f t="shared" si="531"/>
        <v>0</v>
      </c>
      <c r="M1376" s="126">
        <f t="shared" si="531"/>
        <v>0</v>
      </c>
      <c r="N1376" s="126">
        <f t="shared" si="531"/>
        <v>0</v>
      </c>
      <c r="O1376" s="126">
        <f t="shared" si="531"/>
        <v>0</v>
      </c>
      <c r="P1376" s="126">
        <f t="shared" si="531"/>
        <v>0</v>
      </c>
      <c r="Q1376" s="126">
        <f t="shared" si="531"/>
        <v>0</v>
      </c>
      <c r="R1376" s="126">
        <f t="shared" si="531"/>
        <v>0</v>
      </c>
      <c r="S1376" s="126">
        <f t="shared" si="531"/>
        <v>0</v>
      </c>
      <c r="T1376" s="126">
        <f t="shared" si="531"/>
        <v>0</v>
      </c>
      <c r="U1376" s="126">
        <f t="shared" si="531"/>
        <v>0</v>
      </c>
      <c r="V1376" s="126">
        <f t="shared" si="531"/>
        <v>0</v>
      </c>
      <c r="W1376" s="126">
        <f t="shared" si="531"/>
        <v>0</v>
      </c>
      <c r="X1376" s="126">
        <f t="shared" si="531"/>
        <v>0</v>
      </c>
      <c r="Y1376" s="126">
        <f t="shared" si="531"/>
        <v>0</v>
      </c>
      <c r="Z1376" s="126">
        <f t="shared" si="531"/>
        <v>0</v>
      </c>
      <c r="AA1376" s="126">
        <f t="shared" si="531"/>
        <v>0</v>
      </c>
      <c r="AB1376" s="126">
        <f t="shared" si="531"/>
        <v>0</v>
      </c>
      <c r="AC1376" s="126">
        <f t="shared" si="531"/>
        <v>0</v>
      </c>
      <c r="AD1376" s="126">
        <f t="shared" si="531"/>
        <v>0</v>
      </c>
      <c r="AE1376" s="126">
        <f t="shared" si="531"/>
        <v>0</v>
      </c>
      <c r="AF1376" s="126">
        <f t="shared" si="531"/>
        <v>0</v>
      </c>
      <c r="AG1376" s="126">
        <f t="shared" si="531"/>
        <v>0</v>
      </c>
      <c r="AH1376" s="126">
        <f t="shared" si="531"/>
        <v>0</v>
      </c>
    </row>
    <row r="1377" spans="1:34" s="20" customFormat="1" ht="14" x14ac:dyDescent="0.2">
      <c r="A1377" s="8"/>
      <c r="B1377" s="8" t="s">
        <v>138</v>
      </c>
      <c r="C1377" s="8"/>
      <c r="D1377" s="8" t="str">
        <f>'Assumptions - General'!$E$27 &amp;" millions"</f>
        <v>R$ millions</v>
      </c>
      <c r="E1377" s="126">
        <f t="shared" ref="E1377:E1382" si="532">E1365*E$1373</f>
        <v>0</v>
      </c>
      <c r="F1377" s="126">
        <f t="shared" ref="F1377:AH1377" si="533">F1365*F$1373</f>
        <v>0</v>
      </c>
      <c r="G1377" s="126">
        <f t="shared" si="533"/>
        <v>10</v>
      </c>
      <c r="H1377" s="126">
        <f t="shared" si="533"/>
        <v>20</v>
      </c>
      <c r="I1377" s="126">
        <f t="shared" si="533"/>
        <v>30</v>
      </c>
      <c r="J1377" s="126">
        <f t="shared" si="533"/>
        <v>40</v>
      </c>
      <c r="K1377" s="126">
        <f t="shared" si="533"/>
        <v>50</v>
      </c>
      <c r="L1377" s="126">
        <f t="shared" si="533"/>
        <v>50</v>
      </c>
      <c r="M1377" s="126">
        <f t="shared" si="533"/>
        <v>50</v>
      </c>
      <c r="N1377" s="126">
        <f t="shared" si="533"/>
        <v>50</v>
      </c>
      <c r="O1377" s="126">
        <f t="shared" si="533"/>
        <v>50</v>
      </c>
      <c r="P1377" s="126">
        <f t="shared" si="533"/>
        <v>50</v>
      </c>
      <c r="Q1377" s="126">
        <f t="shared" si="533"/>
        <v>50</v>
      </c>
      <c r="R1377" s="126">
        <f t="shared" si="533"/>
        <v>50</v>
      </c>
      <c r="S1377" s="126">
        <f t="shared" si="533"/>
        <v>50</v>
      </c>
      <c r="T1377" s="126">
        <f t="shared" si="533"/>
        <v>50</v>
      </c>
      <c r="U1377" s="126">
        <f t="shared" si="533"/>
        <v>0</v>
      </c>
      <c r="V1377" s="126">
        <f t="shared" si="533"/>
        <v>0</v>
      </c>
      <c r="W1377" s="126">
        <f t="shared" si="533"/>
        <v>0</v>
      </c>
      <c r="X1377" s="126">
        <f t="shared" si="533"/>
        <v>0</v>
      </c>
      <c r="Y1377" s="126">
        <f t="shared" si="533"/>
        <v>0</v>
      </c>
      <c r="Z1377" s="126">
        <f t="shared" si="533"/>
        <v>0</v>
      </c>
      <c r="AA1377" s="126">
        <f t="shared" si="533"/>
        <v>0</v>
      </c>
      <c r="AB1377" s="126">
        <f t="shared" si="533"/>
        <v>0</v>
      </c>
      <c r="AC1377" s="126">
        <f t="shared" si="533"/>
        <v>0</v>
      </c>
      <c r="AD1377" s="126">
        <f t="shared" si="533"/>
        <v>0</v>
      </c>
      <c r="AE1377" s="126">
        <f t="shared" si="533"/>
        <v>0</v>
      </c>
      <c r="AF1377" s="126">
        <f t="shared" si="533"/>
        <v>0</v>
      </c>
      <c r="AG1377" s="126">
        <f t="shared" si="533"/>
        <v>0</v>
      </c>
      <c r="AH1377" s="126">
        <f t="shared" si="533"/>
        <v>0</v>
      </c>
    </row>
    <row r="1378" spans="1:34" s="20" customFormat="1" ht="14" x14ac:dyDescent="0.2">
      <c r="A1378" s="8"/>
      <c r="B1378" s="8" t="s">
        <v>139</v>
      </c>
      <c r="C1378" s="8"/>
      <c r="D1378" s="8" t="str">
        <f>'Assumptions - General'!$E$27 &amp;" millions"</f>
        <v>R$ millions</v>
      </c>
      <c r="E1378" s="126">
        <f t="shared" si="532"/>
        <v>0</v>
      </c>
      <c r="F1378" s="126">
        <f t="shared" ref="F1378:AH1378" si="534">F1366*F$1373</f>
        <v>0</v>
      </c>
      <c r="G1378" s="126">
        <f t="shared" si="534"/>
        <v>0.25</v>
      </c>
      <c r="H1378" s="126">
        <f t="shared" si="534"/>
        <v>0.75</v>
      </c>
      <c r="I1378" s="126">
        <f t="shared" si="534"/>
        <v>1.25</v>
      </c>
      <c r="J1378" s="126">
        <f t="shared" si="534"/>
        <v>1.75</v>
      </c>
      <c r="K1378" s="126">
        <f t="shared" si="534"/>
        <v>2.25</v>
      </c>
      <c r="L1378" s="126">
        <f t="shared" si="534"/>
        <v>2.5</v>
      </c>
      <c r="M1378" s="126">
        <f t="shared" si="534"/>
        <v>2.5</v>
      </c>
      <c r="N1378" s="126">
        <f t="shared" si="534"/>
        <v>2.5</v>
      </c>
      <c r="O1378" s="126">
        <f t="shared" si="534"/>
        <v>2.5</v>
      </c>
      <c r="P1378" s="126">
        <f t="shared" si="534"/>
        <v>2.5</v>
      </c>
      <c r="Q1378" s="126">
        <f t="shared" si="534"/>
        <v>2.5</v>
      </c>
      <c r="R1378" s="126">
        <f t="shared" si="534"/>
        <v>2.5</v>
      </c>
      <c r="S1378" s="126">
        <f t="shared" si="534"/>
        <v>2.5</v>
      </c>
      <c r="T1378" s="126">
        <f t="shared" si="534"/>
        <v>2.5</v>
      </c>
      <c r="U1378" s="126">
        <f t="shared" si="534"/>
        <v>1.25</v>
      </c>
      <c r="V1378" s="126">
        <f t="shared" si="534"/>
        <v>0</v>
      </c>
      <c r="W1378" s="126">
        <f t="shared" si="534"/>
        <v>0</v>
      </c>
      <c r="X1378" s="126">
        <f t="shared" si="534"/>
        <v>0</v>
      </c>
      <c r="Y1378" s="126">
        <f t="shared" si="534"/>
        <v>0</v>
      </c>
      <c r="Z1378" s="126">
        <f t="shared" si="534"/>
        <v>0</v>
      </c>
      <c r="AA1378" s="126">
        <f t="shared" si="534"/>
        <v>0</v>
      </c>
      <c r="AB1378" s="126">
        <f t="shared" si="534"/>
        <v>0</v>
      </c>
      <c r="AC1378" s="126">
        <f t="shared" si="534"/>
        <v>0</v>
      </c>
      <c r="AD1378" s="126">
        <f t="shared" si="534"/>
        <v>0</v>
      </c>
      <c r="AE1378" s="126">
        <f t="shared" si="534"/>
        <v>0</v>
      </c>
      <c r="AF1378" s="126">
        <f t="shared" si="534"/>
        <v>0</v>
      </c>
      <c r="AG1378" s="126">
        <f t="shared" si="534"/>
        <v>0</v>
      </c>
      <c r="AH1378" s="126">
        <f t="shared" si="534"/>
        <v>0</v>
      </c>
    </row>
    <row r="1379" spans="1:34" s="20" customFormat="1" ht="14" x14ac:dyDescent="0.2">
      <c r="A1379" s="8"/>
      <c r="B1379" s="8" t="s">
        <v>53</v>
      </c>
      <c r="C1379" s="8"/>
      <c r="D1379" s="8" t="str">
        <f>'Assumptions - General'!$E$27 &amp;" millions"</f>
        <v>R$ millions</v>
      </c>
      <c r="E1379" s="126">
        <f t="shared" si="532"/>
        <v>0</v>
      </c>
      <c r="F1379" s="126">
        <f t="shared" ref="F1379:AH1379" si="535">F1367*F$1373</f>
        <v>0</v>
      </c>
      <c r="G1379" s="126">
        <f t="shared" si="535"/>
        <v>0.125</v>
      </c>
      <c r="H1379" s="126">
        <f t="shared" si="535"/>
        <v>0</v>
      </c>
      <c r="I1379" s="126">
        <f t="shared" si="535"/>
        <v>0</v>
      </c>
      <c r="J1379" s="126">
        <f t="shared" si="535"/>
        <v>0</v>
      </c>
      <c r="K1379" s="126">
        <f t="shared" si="535"/>
        <v>0</v>
      </c>
      <c r="L1379" s="126">
        <f t="shared" si="535"/>
        <v>0</v>
      </c>
      <c r="M1379" s="126">
        <f t="shared" si="535"/>
        <v>0</v>
      </c>
      <c r="N1379" s="126">
        <f t="shared" si="535"/>
        <v>0</v>
      </c>
      <c r="O1379" s="126">
        <f t="shared" si="535"/>
        <v>0</v>
      </c>
      <c r="P1379" s="126">
        <f t="shared" si="535"/>
        <v>0</v>
      </c>
      <c r="Q1379" s="126">
        <f t="shared" si="535"/>
        <v>0</v>
      </c>
      <c r="R1379" s="126">
        <f t="shared" si="535"/>
        <v>0</v>
      </c>
      <c r="S1379" s="126">
        <f t="shared" si="535"/>
        <v>0</v>
      </c>
      <c r="T1379" s="126">
        <f t="shared" si="535"/>
        <v>0</v>
      </c>
      <c r="U1379" s="126">
        <f t="shared" si="535"/>
        <v>0</v>
      </c>
      <c r="V1379" s="126">
        <f t="shared" si="535"/>
        <v>0</v>
      </c>
      <c r="W1379" s="126">
        <f t="shared" si="535"/>
        <v>0</v>
      </c>
      <c r="X1379" s="126">
        <f t="shared" si="535"/>
        <v>0</v>
      </c>
      <c r="Y1379" s="126">
        <f t="shared" si="535"/>
        <v>0</v>
      </c>
      <c r="Z1379" s="126">
        <f t="shared" si="535"/>
        <v>0</v>
      </c>
      <c r="AA1379" s="126">
        <f t="shared" si="535"/>
        <v>0</v>
      </c>
      <c r="AB1379" s="126">
        <f t="shared" si="535"/>
        <v>0</v>
      </c>
      <c r="AC1379" s="126">
        <f t="shared" si="535"/>
        <v>0</v>
      </c>
      <c r="AD1379" s="126">
        <f t="shared" si="535"/>
        <v>0</v>
      </c>
      <c r="AE1379" s="126">
        <f t="shared" si="535"/>
        <v>0</v>
      </c>
      <c r="AF1379" s="126">
        <f t="shared" si="535"/>
        <v>0</v>
      </c>
      <c r="AG1379" s="126">
        <f t="shared" si="535"/>
        <v>0</v>
      </c>
      <c r="AH1379" s="126">
        <f t="shared" si="535"/>
        <v>0</v>
      </c>
    </row>
    <row r="1380" spans="1:34" s="20" customFormat="1" ht="14" x14ac:dyDescent="0.2">
      <c r="A1380" s="8"/>
      <c r="B1380" s="8" t="s">
        <v>142</v>
      </c>
      <c r="C1380" s="8"/>
      <c r="D1380" s="8" t="str">
        <f>'Assumptions - General'!$E$27 &amp;" millions"</f>
        <v>R$ millions</v>
      </c>
      <c r="E1380" s="126">
        <f t="shared" si="532"/>
        <v>0</v>
      </c>
      <c r="F1380" s="126">
        <f t="shared" ref="F1380:AH1380" si="536">F1368*F$1373</f>
        <v>0</v>
      </c>
      <c r="G1380" s="126">
        <f t="shared" si="536"/>
        <v>40</v>
      </c>
      <c r="H1380" s="126">
        <f t="shared" si="536"/>
        <v>30</v>
      </c>
      <c r="I1380" s="126">
        <f t="shared" si="536"/>
        <v>20</v>
      </c>
      <c r="J1380" s="126">
        <f t="shared" si="536"/>
        <v>10</v>
      </c>
      <c r="K1380" s="126">
        <f t="shared" si="536"/>
        <v>0</v>
      </c>
      <c r="L1380" s="126">
        <f t="shared" si="536"/>
        <v>0</v>
      </c>
      <c r="M1380" s="126">
        <f t="shared" si="536"/>
        <v>0</v>
      </c>
      <c r="N1380" s="126">
        <f t="shared" si="536"/>
        <v>0</v>
      </c>
      <c r="O1380" s="126">
        <f t="shared" si="536"/>
        <v>0</v>
      </c>
      <c r="P1380" s="126">
        <f t="shared" si="536"/>
        <v>0</v>
      </c>
      <c r="Q1380" s="126">
        <f t="shared" si="536"/>
        <v>0</v>
      </c>
      <c r="R1380" s="126">
        <f t="shared" si="536"/>
        <v>0</v>
      </c>
      <c r="S1380" s="126">
        <f t="shared" si="536"/>
        <v>0</v>
      </c>
      <c r="T1380" s="126">
        <f t="shared" si="536"/>
        <v>0</v>
      </c>
      <c r="U1380" s="126">
        <f t="shared" si="536"/>
        <v>0</v>
      </c>
      <c r="V1380" s="126">
        <f t="shared" si="536"/>
        <v>0</v>
      </c>
      <c r="W1380" s="126">
        <f t="shared" si="536"/>
        <v>0</v>
      </c>
      <c r="X1380" s="126">
        <f t="shared" si="536"/>
        <v>0</v>
      </c>
      <c r="Y1380" s="126">
        <f t="shared" si="536"/>
        <v>0</v>
      </c>
      <c r="Z1380" s="126">
        <f t="shared" si="536"/>
        <v>0</v>
      </c>
      <c r="AA1380" s="126">
        <f t="shared" si="536"/>
        <v>0</v>
      </c>
      <c r="AB1380" s="126">
        <f t="shared" si="536"/>
        <v>0</v>
      </c>
      <c r="AC1380" s="126">
        <f t="shared" si="536"/>
        <v>0</v>
      </c>
      <c r="AD1380" s="126">
        <f t="shared" si="536"/>
        <v>0</v>
      </c>
      <c r="AE1380" s="126">
        <f t="shared" si="536"/>
        <v>0</v>
      </c>
      <c r="AF1380" s="126">
        <f t="shared" si="536"/>
        <v>0</v>
      </c>
      <c r="AG1380" s="126">
        <f t="shared" si="536"/>
        <v>0</v>
      </c>
      <c r="AH1380" s="126">
        <f t="shared" si="536"/>
        <v>0</v>
      </c>
    </row>
    <row r="1381" spans="1:34" s="20" customFormat="1" ht="14" x14ac:dyDescent="0.2">
      <c r="A1381" s="8"/>
      <c r="B1381" s="8" t="s">
        <v>55</v>
      </c>
      <c r="C1381" s="8"/>
      <c r="D1381" s="8" t="str">
        <f>'Assumptions - General'!$E$27 &amp;" millions"</f>
        <v>R$ millions</v>
      </c>
      <c r="E1381" s="126">
        <f t="shared" si="532"/>
        <v>0</v>
      </c>
      <c r="F1381" s="126">
        <f t="shared" ref="F1381:AH1381" si="537">F1369*F$1373</f>
        <v>0</v>
      </c>
      <c r="G1381" s="126">
        <f t="shared" si="537"/>
        <v>0</v>
      </c>
      <c r="H1381" s="126">
        <f t="shared" si="537"/>
        <v>0</v>
      </c>
      <c r="I1381" s="126">
        <f t="shared" si="537"/>
        <v>0</v>
      </c>
      <c r="J1381" s="126">
        <f t="shared" si="537"/>
        <v>0</v>
      </c>
      <c r="K1381" s="126">
        <f t="shared" si="537"/>
        <v>0</v>
      </c>
      <c r="L1381" s="126">
        <f t="shared" si="537"/>
        <v>0</v>
      </c>
      <c r="M1381" s="126">
        <f t="shared" si="537"/>
        <v>0</v>
      </c>
      <c r="N1381" s="126">
        <f t="shared" si="537"/>
        <v>0</v>
      </c>
      <c r="O1381" s="126">
        <f t="shared" si="537"/>
        <v>0</v>
      </c>
      <c r="P1381" s="126">
        <f t="shared" si="537"/>
        <v>0</v>
      </c>
      <c r="Q1381" s="126">
        <f t="shared" si="537"/>
        <v>0</v>
      </c>
      <c r="R1381" s="126">
        <f t="shared" si="537"/>
        <v>0</v>
      </c>
      <c r="S1381" s="126">
        <f t="shared" si="537"/>
        <v>0</v>
      </c>
      <c r="T1381" s="126">
        <f t="shared" si="537"/>
        <v>0</v>
      </c>
      <c r="U1381" s="126">
        <f t="shared" si="537"/>
        <v>0</v>
      </c>
      <c r="V1381" s="126">
        <f t="shared" si="537"/>
        <v>0</v>
      </c>
      <c r="W1381" s="126">
        <f t="shared" si="537"/>
        <v>0</v>
      </c>
      <c r="X1381" s="126">
        <f t="shared" si="537"/>
        <v>0</v>
      </c>
      <c r="Y1381" s="126">
        <f t="shared" si="537"/>
        <v>0</v>
      </c>
      <c r="Z1381" s="126">
        <f t="shared" si="537"/>
        <v>0</v>
      </c>
      <c r="AA1381" s="126">
        <f t="shared" si="537"/>
        <v>0</v>
      </c>
      <c r="AB1381" s="126">
        <f t="shared" si="537"/>
        <v>0</v>
      </c>
      <c r="AC1381" s="126">
        <f t="shared" si="537"/>
        <v>0</v>
      </c>
      <c r="AD1381" s="126">
        <f t="shared" si="537"/>
        <v>0</v>
      </c>
      <c r="AE1381" s="126">
        <f t="shared" si="537"/>
        <v>0</v>
      </c>
      <c r="AF1381" s="126">
        <f t="shared" si="537"/>
        <v>0</v>
      </c>
      <c r="AG1381" s="126">
        <f t="shared" si="537"/>
        <v>0</v>
      </c>
      <c r="AH1381" s="126">
        <f t="shared" si="537"/>
        <v>0</v>
      </c>
    </row>
    <row r="1382" spans="1:34" s="20" customFormat="1" ht="14" x14ac:dyDescent="0.2">
      <c r="A1382" s="8"/>
      <c r="B1382" s="8" t="s">
        <v>140</v>
      </c>
      <c r="C1382" s="8"/>
      <c r="D1382" s="8" t="str">
        <f>'Assumptions - General'!$E$27 &amp;" millions"</f>
        <v>R$ millions</v>
      </c>
      <c r="E1382" s="126">
        <f t="shared" si="532"/>
        <v>0</v>
      </c>
      <c r="F1382" s="126">
        <f t="shared" ref="F1382:AH1382" si="538">F1370*F$1373</f>
        <v>0</v>
      </c>
      <c r="G1382" s="126">
        <f t="shared" si="538"/>
        <v>0.375</v>
      </c>
      <c r="H1382" s="126">
        <f t="shared" si="538"/>
        <v>0.75</v>
      </c>
      <c r="I1382" s="126">
        <f t="shared" si="538"/>
        <v>1.25</v>
      </c>
      <c r="J1382" s="126">
        <f t="shared" si="538"/>
        <v>1.75</v>
      </c>
      <c r="K1382" s="126">
        <f t="shared" si="538"/>
        <v>2.25</v>
      </c>
      <c r="L1382" s="126">
        <f t="shared" si="538"/>
        <v>2.5</v>
      </c>
      <c r="M1382" s="126">
        <f t="shared" si="538"/>
        <v>2.5</v>
      </c>
      <c r="N1382" s="126">
        <f t="shared" si="538"/>
        <v>2.5</v>
      </c>
      <c r="O1382" s="126">
        <f t="shared" si="538"/>
        <v>2.5</v>
      </c>
      <c r="P1382" s="126">
        <f t="shared" si="538"/>
        <v>2.5</v>
      </c>
      <c r="Q1382" s="126">
        <f t="shared" si="538"/>
        <v>2.5</v>
      </c>
      <c r="R1382" s="126">
        <f t="shared" si="538"/>
        <v>2.5</v>
      </c>
      <c r="S1382" s="126">
        <f t="shared" si="538"/>
        <v>2.5</v>
      </c>
      <c r="T1382" s="126">
        <f t="shared" si="538"/>
        <v>2.5</v>
      </c>
      <c r="U1382" s="126">
        <f t="shared" si="538"/>
        <v>51.25</v>
      </c>
      <c r="V1382" s="126">
        <f t="shared" si="538"/>
        <v>0</v>
      </c>
      <c r="W1382" s="126">
        <f t="shared" si="538"/>
        <v>0</v>
      </c>
      <c r="X1382" s="126">
        <f t="shared" si="538"/>
        <v>0</v>
      </c>
      <c r="Y1382" s="126">
        <f t="shared" si="538"/>
        <v>0</v>
      </c>
      <c r="Z1382" s="126">
        <f t="shared" si="538"/>
        <v>0</v>
      </c>
      <c r="AA1382" s="126">
        <f t="shared" si="538"/>
        <v>0</v>
      </c>
      <c r="AB1382" s="126">
        <f t="shared" si="538"/>
        <v>0</v>
      </c>
      <c r="AC1382" s="126">
        <f t="shared" si="538"/>
        <v>0</v>
      </c>
      <c r="AD1382" s="126">
        <f t="shared" si="538"/>
        <v>0</v>
      </c>
      <c r="AE1382" s="126">
        <f t="shared" si="538"/>
        <v>0</v>
      </c>
      <c r="AF1382" s="126">
        <f t="shared" si="538"/>
        <v>0</v>
      </c>
      <c r="AG1382" s="126">
        <f t="shared" si="538"/>
        <v>0</v>
      </c>
      <c r="AH1382" s="126">
        <f t="shared" si="538"/>
        <v>0</v>
      </c>
    </row>
    <row r="1383" spans="1:34" s="20" customFormat="1" ht="14" x14ac:dyDescent="0.2">
      <c r="A1383" s="8"/>
      <c r="B1383" s="8"/>
      <c r="C1383" s="8"/>
      <c r="D1383" s="8"/>
      <c r="E1383" s="126"/>
      <c r="F1383" s="126"/>
      <c r="G1383" s="126"/>
      <c r="H1383" s="126"/>
      <c r="I1383" s="126"/>
      <c r="J1383" s="126"/>
      <c r="K1383" s="126"/>
      <c r="L1383" s="126"/>
      <c r="M1383" s="126"/>
      <c r="N1383" s="126"/>
      <c r="O1383" s="126"/>
      <c r="P1383" s="126"/>
      <c r="Q1383" s="126"/>
      <c r="R1383" s="126"/>
      <c r="S1383" s="126"/>
      <c r="T1383" s="126"/>
      <c r="U1383" s="126"/>
      <c r="V1383" s="126"/>
      <c r="W1383" s="126"/>
      <c r="X1383" s="126"/>
      <c r="Y1383" s="126"/>
      <c r="Z1383" s="126"/>
      <c r="AA1383" s="126"/>
      <c r="AB1383" s="126"/>
      <c r="AC1383" s="126"/>
      <c r="AD1383" s="126"/>
      <c r="AE1383" s="126"/>
      <c r="AF1383" s="126"/>
      <c r="AG1383" s="126"/>
      <c r="AH1383" s="126"/>
    </row>
    <row r="1384" spans="1:34" s="20" customFormat="1" ht="14" x14ac:dyDescent="0.2">
      <c r="A1384" s="8"/>
      <c r="B1384" s="21" t="str">
        <f>"Existing equity from " &amp;'Assumptions - Infrastructure'!E498</f>
        <v>Existing equity from Government</v>
      </c>
      <c r="C1384" s="8"/>
      <c r="D1384" s="8"/>
      <c r="E1384" s="16"/>
      <c r="F1384" s="8"/>
      <c r="G1384" s="8"/>
      <c r="H1384" s="8"/>
      <c r="I1384" s="8"/>
      <c r="J1384" s="8"/>
      <c r="K1384" s="8"/>
      <c r="L1384" s="8"/>
      <c r="M1384" s="8"/>
      <c r="N1384" s="8"/>
      <c r="O1384" s="8"/>
      <c r="P1384" s="8"/>
      <c r="Q1384" s="8"/>
      <c r="R1384" s="8"/>
      <c r="S1384" s="8"/>
      <c r="T1384" s="8"/>
      <c r="U1384" s="8"/>
      <c r="V1384" s="8"/>
      <c r="W1384" s="8"/>
      <c r="X1384" s="8"/>
      <c r="Y1384" s="8"/>
      <c r="Z1384" s="8"/>
      <c r="AA1384" s="8"/>
      <c r="AB1384" s="8"/>
      <c r="AC1384" s="8"/>
      <c r="AD1384" s="8"/>
      <c r="AE1384" s="8"/>
      <c r="AF1384" s="8"/>
      <c r="AG1384" s="8"/>
      <c r="AH1384" s="8"/>
    </row>
    <row r="1385" spans="1:34" s="20" customFormat="1" ht="14" x14ac:dyDescent="0.2">
      <c r="A1385" s="8"/>
      <c r="B1385" s="8" t="s">
        <v>161</v>
      </c>
      <c r="C1385" s="8"/>
      <c r="D1385" s="8" t="str">
        <f>'Assumptions - General'!$E$27 &amp;" millions"</f>
        <v>R$ millions</v>
      </c>
      <c r="E1385" s="469"/>
      <c r="F1385" s="12">
        <f t="shared" ref="F1385:AH1385" si="539">IF(F19=1,E1387,0)</f>
        <v>5372.5</v>
      </c>
      <c r="G1385" s="12">
        <f t="shared" si="539"/>
        <v>5372.5</v>
      </c>
      <c r="H1385" s="12">
        <f t="shared" si="539"/>
        <v>5372.5</v>
      </c>
      <c r="I1385" s="12">
        <f t="shared" si="539"/>
        <v>5372.5</v>
      </c>
      <c r="J1385" s="12">
        <f t="shared" si="539"/>
        <v>5372.5</v>
      </c>
      <c r="K1385" s="12">
        <f t="shared" si="539"/>
        <v>5372.5</v>
      </c>
      <c r="L1385" s="12">
        <f t="shared" si="539"/>
        <v>5372.5</v>
      </c>
      <c r="M1385" s="12">
        <f t="shared" si="539"/>
        <v>5372.5</v>
      </c>
      <c r="N1385" s="12">
        <f t="shared" si="539"/>
        <v>5372.5</v>
      </c>
      <c r="O1385" s="12">
        <f t="shared" si="539"/>
        <v>5372.5</v>
      </c>
      <c r="P1385" s="12">
        <f t="shared" si="539"/>
        <v>5372.5</v>
      </c>
      <c r="Q1385" s="12">
        <f t="shared" si="539"/>
        <v>5372.5</v>
      </c>
      <c r="R1385" s="12">
        <f t="shared" si="539"/>
        <v>5372.5</v>
      </c>
      <c r="S1385" s="12">
        <f t="shared" si="539"/>
        <v>5372.5</v>
      </c>
      <c r="T1385" s="12">
        <f t="shared" si="539"/>
        <v>5372.5</v>
      </c>
      <c r="U1385" s="12">
        <f t="shared" si="539"/>
        <v>5372.5</v>
      </c>
      <c r="V1385" s="12">
        <f t="shared" si="539"/>
        <v>5372.5</v>
      </c>
      <c r="W1385" s="12">
        <f t="shared" si="539"/>
        <v>5372.5</v>
      </c>
      <c r="X1385" s="12">
        <f t="shared" si="539"/>
        <v>5372.5</v>
      </c>
      <c r="Y1385" s="12">
        <f t="shared" si="539"/>
        <v>5372.5</v>
      </c>
      <c r="Z1385" s="12">
        <f t="shared" si="539"/>
        <v>5372.5</v>
      </c>
      <c r="AA1385" s="12">
        <f t="shared" si="539"/>
        <v>5372.5</v>
      </c>
      <c r="AB1385" s="12">
        <f t="shared" si="539"/>
        <v>5372.5</v>
      </c>
      <c r="AC1385" s="12">
        <f t="shared" si="539"/>
        <v>5372.5</v>
      </c>
      <c r="AD1385" s="12">
        <f t="shared" si="539"/>
        <v>5372.5</v>
      </c>
      <c r="AE1385" s="12">
        <f t="shared" si="539"/>
        <v>5372.5</v>
      </c>
      <c r="AF1385" s="12">
        <f t="shared" si="539"/>
        <v>5372.5</v>
      </c>
      <c r="AG1385" s="12">
        <f t="shared" si="539"/>
        <v>5372.5</v>
      </c>
      <c r="AH1385" s="12">
        <f t="shared" si="539"/>
        <v>5372.5</v>
      </c>
    </row>
    <row r="1386" spans="1:34" s="20" customFormat="1" ht="14" x14ac:dyDescent="0.2">
      <c r="A1386" s="8"/>
      <c r="B1386" s="8" t="s">
        <v>116</v>
      </c>
      <c r="C1386" s="8"/>
      <c r="D1386" s="8" t="str">
        <f>'Assumptions - General'!$E$27 &amp;" millions"</f>
        <v>R$ millions</v>
      </c>
      <c r="E1386" s="469"/>
      <c r="F1386" s="12">
        <f>'Assumptions - Infrastructure'!F500</f>
        <v>0</v>
      </c>
      <c r="G1386" s="12">
        <f>'Assumptions - Infrastructure'!G500</f>
        <v>0</v>
      </c>
      <c r="H1386" s="12">
        <f>'Assumptions - Infrastructure'!H500</f>
        <v>0</v>
      </c>
      <c r="I1386" s="12">
        <f>'Assumptions - Infrastructure'!I500</f>
        <v>0</v>
      </c>
      <c r="J1386" s="12">
        <f>'Assumptions - Infrastructure'!J500</f>
        <v>0</v>
      </c>
      <c r="K1386" s="12">
        <f>'Assumptions - Infrastructure'!K500</f>
        <v>0</v>
      </c>
      <c r="L1386" s="12">
        <f>'Assumptions - Infrastructure'!L500</f>
        <v>0</v>
      </c>
      <c r="M1386" s="12">
        <f>'Assumptions - Infrastructure'!M500</f>
        <v>0</v>
      </c>
      <c r="N1386" s="12">
        <f>'Assumptions - Infrastructure'!N500</f>
        <v>0</v>
      </c>
      <c r="O1386" s="12">
        <f>'Assumptions - Infrastructure'!O500</f>
        <v>0</v>
      </c>
      <c r="P1386" s="12">
        <f>'Assumptions - Infrastructure'!P500</f>
        <v>0</v>
      </c>
      <c r="Q1386" s="12">
        <f>'Assumptions - Infrastructure'!Q500</f>
        <v>0</v>
      </c>
      <c r="R1386" s="12">
        <f>'Assumptions - Infrastructure'!R500</f>
        <v>0</v>
      </c>
      <c r="S1386" s="12">
        <f>'Assumptions - Infrastructure'!S500</f>
        <v>0</v>
      </c>
      <c r="T1386" s="12">
        <f>'Assumptions - Infrastructure'!T500</f>
        <v>0</v>
      </c>
      <c r="U1386" s="12">
        <f>'Assumptions - Infrastructure'!U500</f>
        <v>0</v>
      </c>
      <c r="V1386" s="12">
        <f>'Assumptions - Infrastructure'!V500</f>
        <v>0</v>
      </c>
      <c r="W1386" s="12">
        <f>'Assumptions - Infrastructure'!W500</f>
        <v>0</v>
      </c>
      <c r="X1386" s="12">
        <f>'Assumptions - Infrastructure'!X500</f>
        <v>0</v>
      </c>
      <c r="Y1386" s="12">
        <f>'Assumptions - Infrastructure'!Y500</f>
        <v>0</v>
      </c>
      <c r="Z1386" s="12">
        <f>'Assumptions - Infrastructure'!Z500</f>
        <v>0</v>
      </c>
      <c r="AA1386" s="12">
        <f>'Assumptions - Infrastructure'!AA500</f>
        <v>0</v>
      </c>
      <c r="AB1386" s="12">
        <f>'Assumptions - Infrastructure'!AB500</f>
        <v>0</v>
      </c>
      <c r="AC1386" s="12">
        <f>'Assumptions - Infrastructure'!AC500</f>
        <v>0</v>
      </c>
      <c r="AD1386" s="12">
        <f>'Assumptions - Infrastructure'!AD500</f>
        <v>0</v>
      </c>
      <c r="AE1386" s="12">
        <f>'Assumptions - Infrastructure'!AE500</f>
        <v>0</v>
      </c>
      <c r="AF1386" s="12">
        <f>'Assumptions - Infrastructure'!AF500</f>
        <v>0</v>
      </c>
      <c r="AG1386" s="12">
        <f>'Assumptions - Infrastructure'!AG500</f>
        <v>0</v>
      </c>
      <c r="AH1386" s="12">
        <f>'Assumptions - Infrastructure'!AH500</f>
        <v>0</v>
      </c>
    </row>
    <row r="1387" spans="1:34" s="20" customFormat="1" ht="14" x14ac:dyDescent="0.2">
      <c r="A1387" s="8"/>
      <c r="B1387" s="8" t="s">
        <v>160</v>
      </c>
      <c r="C1387" s="8"/>
      <c r="D1387" s="8" t="str">
        <f>'Assumptions - General'!$E$27 &amp;" millions"</f>
        <v>R$ millions</v>
      </c>
      <c r="E1387" s="467">
        <f>IF(E19=1,'Assumptions - Infrastructure'!E499,0)</f>
        <v>5372.5</v>
      </c>
      <c r="F1387" s="12">
        <f t="shared" ref="F1387:AH1387" si="540">IF(F19=1,F1385+F1386,0)</f>
        <v>5372.5</v>
      </c>
      <c r="G1387" s="12">
        <f t="shared" si="540"/>
        <v>5372.5</v>
      </c>
      <c r="H1387" s="12">
        <f t="shared" si="540"/>
        <v>5372.5</v>
      </c>
      <c r="I1387" s="12">
        <f t="shared" si="540"/>
        <v>5372.5</v>
      </c>
      <c r="J1387" s="12">
        <f t="shared" si="540"/>
        <v>5372.5</v>
      </c>
      <c r="K1387" s="12">
        <f t="shared" si="540"/>
        <v>5372.5</v>
      </c>
      <c r="L1387" s="12">
        <f t="shared" si="540"/>
        <v>5372.5</v>
      </c>
      <c r="M1387" s="12">
        <f t="shared" si="540"/>
        <v>5372.5</v>
      </c>
      <c r="N1387" s="12">
        <f t="shared" si="540"/>
        <v>5372.5</v>
      </c>
      <c r="O1387" s="12">
        <f t="shared" si="540"/>
        <v>5372.5</v>
      </c>
      <c r="P1387" s="12">
        <f t="shared" si="540"/>
        <v>5372.5</v>
      </c>
      <c r="Q1387" s="12">
        <f t="shared" si="540"/>
        <v>5372.5</v>
      </c>
      <c r="R1387" s="12">
        <f t="shared" si="540"/>
        <v>5372.5</v>
      </c>
      <c r="S1387" s="12">
        <f t="shared" si="540"/>
        <v>5372.5</v>
      </c>
      <c r="T1387" s="12">
        <f t="shared" si="540"/>
        <v>5372.5</v>
      </c>
      <c r="U1387" s="12">
        <f t="shared" si="540"/>
        <v>5372.5</v>
      </c>
      <c r="V1387" s="12">
        <f t="shared" si="540"/>
        <v>5372.5</v>
      </c>
      <c r="W1387" s="12">
        <f t="shared" si="540"/>
        <v>5372.5</v>
      </c>
      <c r="X1387" s="12">
        <f t="shared" si="540"/>
        <v>5372.5</v>
      </c>
      <c r="Y1387" s="12">
        <f t="shared" si="540"/>
        <v>5372.5</v>
      </c>
      <c r="Z1387" s="12">
        <f t="shared" si="540"/>
        <v>5372.5</v>
      </c>
      <c r="AA1387" s="12">
        <f t="shared" si="540"/>
        <v>5372.5</v>
      </c>
      <c r="AB1387" s="12">
        <f t="shared" si="540"/>
        <v>5372.5</v>
      </c>
      <c r="AC1387" s="12">
        <f t="shared" si="540"/>
        <v>5372.5</v>
      </c>
      <c r="AD1387" s="12">
        <f t="shared" si="540"/>
        <v>5372.5</v>
      </c>
      <c r="AE1387" s="12">
        <f t="shared" si="540"/>
        <v>5372.5</v>
      </c>
      <c r="AF1387" s="12">
        <f t="shared" si="540"/>
        <v>5372.5</v>
      </c>
      <c r="AG1387" s="12">
        <f t="shared" si="540"/>
        <v>5372.5</v>
      </c>
      <c r="AH1387" s="12">
        <f t="shared" si="540"/>
        <v>5372.5</v>
      </c>
    </row>
    <row r="1388" spans="1:34" s="20" customFormat="1" ht="14" x14ac:dyDescent="0.2">
      <c r="A1388" s="8"/>
      <c r="B1388" s="8" t="s">
        <v>612</v>
      </c>
      <c r="C1388" s="8"/>
      <c r="D1388" s="8" t="str">
        <f>'Assumptions - General'!$E$27 &amp;" millions"</f>
        <v>R$ millions</v>
      </c>
      <c r="E1388" s="459"/>
      <c r="F1388" s="12">
        <f t="shared" ref="F1388:AH1388" si="541">IF(F19=1,E1390,0)</f>
        <v>15</v>
      </c>
      <c r="G1388" s="12">
        <f t="shared" si="541"/>
        <v>28.437242501414829</v>
      </c>
      <c r="H1388" s="12">
        <f t="shared" si="541"/>
        <v>40.500894989933904</v>
      </c>
      <c r="I1388" s="12">
        <f t="shared" si="541"/>
        <v>52.325215778608346</v>
      </c>
      <c r="J1388" s="12">
        <f t="shared" si="541"/>
        <v>63.923966988689614</v>
      </c>
      <c r="K1388" s="12">
        <f t="shared" si="541"/>
        <v>75.296324741945057</v>
      </c>
      <c r="L1388" s="12">
        <f t="shared" si="541"/>
        <v>86.437380014531712</v>
      </c>
      <c r="M1388" s="12">
        <f t="shared" si="541"/>
        <v>97.340513321144115</v>
      </c>
      <c r="N1388" s="12">
        <f t="shared" si="541"/>
        <v>107.99817402104421</v>
      </c>
      <c r="O1388" s="12">
        <f t="shared" si="541"/>
        <v>118.41183919078794</v>
      </c>
      <c r="P1388" s="12">
        <f t="shared" si="541"/>
        <v>128.56437793557717</v>
      </c>
      <c r="Q1388" s="12">
        <f t="shared" si="541"/>
        <v>138.43916834609084</v>
      </c>
      <c r="R1388" s="12">
        <f t="shared" si="541"/>
        <v>148.18682983718676</v>
      </c>
      <c r="S1388" s="12">
        <f t="shared" si="541"/>
        <v>158.03200342141849</v>
      </c>
      <c r="T1388" s="12">
        <f t="shared" si="541"/>
        <v>167.61521495554655</v>
      </c>
      <c r="U1388" s="12">
        <f t="shared" si="541"/>
        <v>177.45935840020121</v>
      </c>
      <c r="V1388" s="12">
        <f t="shared" si="541"/>
        <v>186.98023776130071</v>
      </c>
      <c r="W1388" s="12">
        <f t="shared" si="541"/>
        <v>196.16774857751423</v>
      </c>
      <c r="X1388" s="12">
        <f t="shared" si="541"/>
        <v>205.01153342038862</v>
      </c>
      <c r="Y1388" s="12">
        <f t="shared" si="541"/>
        <v>213.50096397229689</v>
      </c>
      <c r="Z1388" s="12">
        <f t="shared" si="541"/>
        <v>221.62512517472379</v>
      </c>
      <c r="AA1388" s="12">
        <f t="shared" si="541"/>
        <v>229.37280075440125</v>
      </c>
      <c r="AB1388" s="12">
        <f t="shared" si="541"/>
        <v>236.73245965780623</v>
      </c>
      <c r="AC1388" s="12">
        <f t="shared" si="541"/>
        <v>243.69224306802917</v>
      </c>
      <c r="AD1388" s="12">
        <f t="shared" si="541"/>
        <v>250.23995177250623</v>
      </c>
      <c r="AE1388" s="12">
        <f t="shared" si="541"/>
        <v>256.36303371360657</v>
      </c>
      <c r="AF1388" s="12">
        <f t="shared" si="541"/>
        <v>262.04857159752737</v>
      </c>
      <c r="AG1388" s="12">
        <f t="shared" si="541"/>
        <v>267.2832704671842</v>
      </c>
      <c r="AH1388" s="12">
        <f t="shared" si="541"/>
        <v>272.23453272710435</v>
      </c>
    </row>
    <row r="1389" spans="1:34" s="20" customFormat="1" ht="14" x14ac:dyDescent="0.2">
      <c r="A1389" s="8"/>
      <c r="B1389" s="8" t="s">
        <v>613</v>
      </c>
      <c r="C1389" s="8"/>
      <c r="D1389" s="8" t="str">
        <f>'Assumptions - General'!$E$27 &amp;" millions"</f>
        <v>R$ millions</v>
      </c>
      <c r="E1389" s="469"/>
      <c r="F1389" s="12">
        <f t="shared" ref="F1389:AH1389" si="542">IF(F19=1,F1142-F1143,0)</f>
        <v>13.437242501414829</v>
      </c>
      <c r="G1389" s="12">
        <f t="shared" si="542"/>
        <v>12.063652488519075</v>
      </c>
      <c r="H1389" s="12">
        <f t="shared" si="542"/>
        <v>11.824320788674441</v>
      </c>
      <c r="I1389" s="12">
        <f t="shared" si="542"/>
        <v>11.598751210081264</v>
      </c>
      <c r="J1389" s="12">
        <f t="shared" si="542"/>
        <v>11.372357753255436</v>
      </c>
      <c r="K1389" s="12">
        <f t="shared" si="542"/>
        <v>11.14105527258665</v>
      </c>
      <c r="L1389" s="12">
        <f t="shared" si="542"/>
        <v>10.903133306612409</v>
      </c>
      <c r="M1389" s="12">
        <f t="shared" si="542"/>
        <v>10.657660699900095</v>
      </c>
      <c r="N1389" s="12">
        <f t="shared" si="542"/>
        <v>10.413665169743741</v>
      </c>
      <c r="O1389" s="12">
        <f t="shared" si="542"/>
        <v>10.152538744789236</v>
      </c>
      <c r="P1389" s="12">
        <f t="shared" si="542"/>
        <v>9.8747904105136755</v>
      </c>
      <c r="Q1389" s="12">
        <f t="shared" si="542"/>
        <v>9.7476614910959309</v>
      </c>
      <c r="R1389" s="12">
        <f t="shared" si="542"/>
        <v>9.8451735842317287</v>
      </c>
      <c r="S1389" s="12">
        <f t="shared" si="542"/>
        <v>9.5832115341280542</v>
      </c>
      <c r="T1389" s="12">
        <f t="shared" si="542"/>
        <v>9.8441434446546499</v>
      </c>
      <c r="U1389" s="12">
        <f t="shared" si="542"/>
        <v>9.5208793610995119</v>
      </c>
      <c r="V1389" s="12">
        <f t="shared" si="542"/>
        <v>9.1875108162135302</v>
      </c>
      <c r="W1389" s="12">
        <f t="shared" si="542"/>
        <v>8.8437848428743777</v>
      </c>
      <c r="X1389" s="12">
        <f t="shared" si="542"/>
        <v>8.4894305519082813</v>
      </c>
      <c r="Y1389" s="12">
        <f t="shared" si="542"/>
        <v>8.1241612024268939</v>
      </c>
      <c r="Z1389" s="12">
        <f t="shared" si="542"/>
        <v>7.7476755796774626</v>
      </c>
      <c r="AA1389" s="12">
        <f t="shared" si="542"/>
        <v>7.3596589034049735</v>
      </c>
      <c r="AB1389" s="12">
        <f t="shared" si="542"/>
        <v>6.9597834102229434</v>
      </c>
      <c r="AC1389" s="12">
        <f t="shared" si="542"/>
        <v>6.5477087044770457</v>
      </c>
      <c r="AD1389" s="12">
        <f t="shared" si="542"/>
        <v>6.1230819411003203</v>
      </c>
      <c r="AE1389" s="12">
        <f t="shared" si="542"/>
        <v>5.6855378839208299</v>
      </c>
      <c r="AF1389" s="12">
        <f t="shared" si="542"/>
        <v>5.2346988696568459</v>
      </c>
      <c r="AG1389" s="12">
        <f t="shared" si="542"/>
        <v>4.9512622599201599</v>
      </c>
      <c r="AH1389" s="12">
        <f t="shared" si="542"/>
        <v>9.5580092279656164</v>
      </c>
    </row>
    <row r="1390" spans="1:34" s="20" customFormat="1" ht="14" x14ac:dyDescent="0.2">
      <c r="A1390" s="8"/>
      <c r="B1390" s="8" t="s">
        <v>614</v>
      </c>
      <c r="C1390" s="8"/>
      <c r="D1390" s="8" t="str">
        <f>'Assumptions - General'!$E$27 &amp;" millions"</f>
        <v>R$ millions</v>
      </c>
      <c r="E1390" s="467">
        <f>IF(E19=1,'Assumptions - Infrastructure'!E213,0)</f>
        <v>15</v>
      </c>
      <c r="F1390" s="12">
        <f t="shared" ref="F1390:AH1390" si="543">IF(F19=1,F1388+F1389,0)</f>
        <v>28.437242501414829</v>
      </c>
      <c r="G1390" s="12">
        <f t="shared" si="543"/>
        <v>40.500894989933904</v>
      </c>
      <c r="H1390" s="12">
        <f t="shared" si="543"/>
        <v>52.325215778608346</v>
      </c>
      <c r="I1390" s="12">
        <f t="shared" si="543"/>
        <v>63.923966988689614</v>
      </c>
      <c r="J1390" s="12">
        <f t="shared" si="543"/>
        <v>75.296324741945057</v>
      </c>
      <c r="K1390" s="12">
        <f t="shared" si="543"/>
        <v>86.437380014531712</v>
      </c>
      <c r="L1390" s="12">
        <f t="shared" si="543"/>
        <v>97.340513321144115</v>
      </c>
      <c r="M1390" s="12">
        <f t="shared" si="543"/>
        <v>107.99817402104421</v>
      </c>
      <c r="N1390" s="12">
        <f t="shared" si="543"/>
        <v>118.41183919078794</v>
      </c>
      <c r="O1390" s="12">
        <f t="shared" si="543"/>
        <v>128.56437793557717</v>
      </c>
      <c r="P1390" s="12">
        <f t="shared" si="543"/>
        <v>138.43916834609084</v>
      </c>
      <c r="Q1390" s="12">
        <f t="shared" si="543"/>
        <v>148.18682983718676</v>
      </c>
      <c r="R1390" s="12">
        <f t="shared" si="543"/>
        <v>158.03200342141849</v>
      </c>
      <c r="S1390" s="12">
        <f t="shared" si="543"/>
        <v>167.61521495554655</v>
      </c>
      <c r="T1390" s="12">
        <f t="shared" si="543"/>
        <v>177.45935840020121</v>
      </c>
      <c r="U1390" s="12">
        <f t="shared" si="543"/>
        <v>186.98023776130071</v>
      </c>
      <c r="V1390" s="12">
        <f t="shared" si="543"/>
        <v>196.16774857751423</v>
      </c>
      <c r="W1390" s="12">
        <f t="shared" si="543"/>
        <v>205.01153342038862</v>
      </c>
      <c r="X1390" s="12">
        <f t="shared" si="543"/>
        <v>213.50096397229689</v>
      </c>
      <c r="Y1390" s="12">
        <f t="shared" si="543"/>
        <v>221.62512517472379</v>
      </c>
      <c r="Z1390" s="12">
        <f t="shared" si="543"/>
        <v>229.37280075440125</v>
      </c>
      <c r="AA1390" s="12">
        <f t="shared" si="543"/>
        <v>236.73245965780623</v>
      </c>
      <c r="AB1390" s="12">
        <f t="shared" si="543"/>
        <v>243.69224306802917</v>
      </c>
      <c r="AC1390" s="12">
        <f t="shared" si="543"/>
        <v>250.23995177250623</v>
      </c>
      <c r="AD1390" s="12">
        <f t="shared" si="543"/>
        <v>256.36303371360657</v>
      </c>
      <c r="AE1390" s="12">
        <f t="shared" si="543"/>
        <v>262.04857159752737</v>
      </c>
      <c r="AF1390" s="12">
        <f t="shared" si="543"/>
        <v>267.2832704671842</v>
      </c>
      <c r="AG1390" s="12">
        <f t="shared" si="543"/>
        <v>272.23453272710435</v>
      </c>
      <c r="AH1390" s="12">
        <f t="shared" si="543"/>
        <v>281.79254195506996</v>
      </c>
    </row>
    <row r="1391" spans="1:34" s="20" customFormat="1" ht="14" x14ac:dyDescent="0.2">
      <c r="A1391" s="8"/>
      <c r="B1391" s="8" t="s">
        <v>158</v>
      </c>
      <c r="C1391" s="8"/>
      <c r="D1391" s="8" t="str">
        <f>'Assumptions - General'!$E$27 &amp;" millions"</f>
        <v>R$ millions</v>
      </c>
      <c r="E1391" s="459"/>
      <c r="F1391" s="12">
        <f t="shared" ref="F1391:AH1391" si="544">IF(F19=1,E1393,0)</f>
        <v>200</v>
      </c>
      <c r="G1391" s="12">
        <f t="shared" si="544"/>
        <v>8572.2883610951649</v>
      </c>
      <c r="H1391" s="12">
        <f t="shared" si="544"/>
        <v>17275.290500454623</v>
      </c>
      <c r="I1391" s="12">
        <f t="shared" si="544"/>
        <v>26592.652594288928</v>
      </c>
      <c r="J1391" s="12">
        <f t="shared" si="544"/>
        <v>36778.728389953285</v>
      </c>
      <c r="K1391" s="12">
        <f t="shared" si="544"/>
        <v>47541.766867183163</v>
      </c>
      <c r="L1391" s="12">
        <f t="shared" si="544"/>
        <v>60047.332294347027</v>
      </c>
      <c r="M1391" s="12">
        <f t="shared" si="544"/>
        <v>73027.495500061777</v>
      </c>
      <c r="N1391" s="12">
        <f t="shared" si="544"/>
        <v>86802.374697399879</v>
      </c>
      <c r="O1391" s="12">
        <f t="shared" si="544"/>
        <v>101409.19563865181</v>
      </c>
      <c r="P1391" s="12">
        <f t="shared" si="544"/>
        <v>116676.77412287702</v>
      </c>
      <c r="Q1391" s="12">
        <f t="shared" si="544"/>
        <v>132793.95337308352</v>
      </c>
      <c r="R1391" s="12">
        <f t="shared" si="544"/>
        <v>149811.9752880481</v>
      </c>
      <c r="S1391" s="12">
        <f t="shared" si="544"/>
        <v>167776.65984854117</v>
      </c>
      <c r="T1391" s="12">
        <f t="shared" si="544"/>
        <v>186722.54434338369</v>
      </c>
      <c r="U1391" s="12">
        <f t="shared" si="544"/>
        <v>206705.27828164154</v>
      </c>
      <c r="V1391" s="12">
        <f t="shared" si="544"/>
        <v>227899.43874811754</v>
      </c>
      <c r="W1391" s="12">
        <f t="shared" si="544"/>
        <v>250071.99785167631</v>
      </c>
      <c r="X1391" s="12">
        <f t="shared" si="544"/>
        <v>273412.06870553148</v>
      </c>
      <c r="Y1391" s="12">
        <f t="shared" si="544"/>
        <v>297971.23157811817</v>
      </c>
      <c r="Z1391" s="12">
        <f t="shared" si="544"/>
        <v>323803.10981367476</v>
      </c>
      <c r="AA1391" s="12">
        <f t="shared" si="544"/>
        <v>350963.44612758287</v>
      </c>
      <c r="AB1391" s="12">
        <f t="shared" si="544"/>
        <v>379510.18164086726</v>
      </c>
      <c r="AC1391" s="12">
        <f t="shared" si="544"/>
        <v>409503.53774991998</v>
      </c>
      <c r="AD1391" s="12">
        <f t="shared" si="544"/>
        <v>441006.10093070578</v>
      </c>
      <c r="AE1391" s="12">
        <f t="shared" si="544"/>
        <v>474082.9105800392</v>
      </c>
      <c r="AF1391" s="12">
        <f t="shared" si="544"/>
        <v>508801.54999998939</v>
      </c>
      <c r="AG1391" s="12">
        <f t="shared" si="544"/>
        <v>545232.24063506396</v>
      </c>
      <c r="AH1391" s="12">
        <f t="shared" si="544"/>
        <v>583451.74181950686</v>
      </c>
    </row>
    <row r="1392" spans="1:34" s="20" customFormat="1" ht="14" x14ac:dyDescent="0.2">
      <c r="A1392" s="8"/>
      <c r="B1392" s="8" t="s">
        <v>157</v>
      </c>
      <c r="C1392" s="8"/>
      <c r="D1392" s="8" t="str">
        <f>'Assumptions - General'!$E$27 &amp;" millions"</f>
        <v>R$ millions</v>
      </c>
      <c r="E1392" s="467">
        <f>'Cash flow statement'!E180</f>
        <v>0</v>
      </c>
      <c r="F1392" s="12">
        <f>IF(F19=1,'Income statement'!F170-'Cash flow statement'!F176,0)</f>
        <v>8372.2883610951649</v>
      </c>
      <c r="G1392" s="12">
        <f>IF(G19=1,'Income statement'!G170-'Cash flow statement'!G176,0)</f>
        <v>8703.0021393594579</v>
      </c>
      <c r="H1392" s="12">
        <f>IF(H19=1,'Income statement'!H170-'Cash flow statement'!H176,0)</f>
        <v>9317.3620938343047</v>
      </c>
      <c r="I1392" s="12">
        <f>IF(I19=1,'Income statement'!I170-'Cash flow statement'!I176,0)</f>
        <v>10186.075795664357</v>
      </c>
      <c r="J1392" s="12">
        <f>IF(J19=1,'Income statement'!J170-'Cash flow statement'!J176,0)</f>
        <v>10763.038477229878</v>
      </c>
      <c r="K1392" s="12">
        <f>IF(K19=1,'Income statement'!K170-'Cash flow statement'!K176,0)</f>
        <v>12505.565427163867</v>
      </c>
      <c r="L1392" s="12">
        <f>IF(L19=1,'Income statement'!L170-'Cash flow statement'!L176,0)</f>
        <v>12980.163205714747</v>
      </c>
      <c r="M1392" s="12">
        <f>IF(M19=1,'Income statement'!M170-'Cash flow statement'!M176,0)</f>
        <v>13774.879197338094</v>
      </c>
      <c r="N1392" s="12">
        <f>IF(N19=1,'Income statement'!N170-'Cash flow statement'!N176,0)</f>
        <v>14606.820941251943</v>
      </c>
      <c r="O1392" s="12">
        <f>IF(O19=1,'Income statement'!O170-'Cash flow statement'!O176,0)</f>
        <v>15267.578484225211</v>
      </c>
      <c r="P1392" s="12">
        <f>IF(P19=1,'Income statement'!P170-'Cash flow statement'!P176,0)</f>
        <v>16117.179250206515</v>
      </c>
      <c r="Q1392" s="12">
        <f>IF(Q19=1,'Income statement'!Q170-'Cash flow statement'!Q176,0)</f>
        <v>17018.021914964585</v>
      </c>
      <c r="R1392" s="12">
        <f>IF(R19=1,'Income statement'!R170-'Cash flow statement'!R176,0)</f>
        <v>17964.684560493071</v>
      </c>
      <c r="S1392" s="12">
        <f>IF(S19=1,'Income statement'!S170-'Cash flow statement'!S176,0)</f>
        <v>18945.884494842539</v>
      </c>
      <c r="T1392" s="12">
        <f>IF(T19=1,'Income statement'!T170-'Cash flow statement'!T176,0)</f>
        <v>19982.733938257865</v>
      </c>
      <c r="U1392" s="12">
        <f>IF(U19=1,'Income statement'!U170-'Cash flow statement'!U176,0)</f>
        <v>21194.160466476002</v>
      </c>
      <c r="V1392" s="12">
        <f>IF(V19=1,'Income statement'!V170-'Cash flow statement'!V176,0)</f>
        <v>22172.559103558757</v>
      </c>
      <c r="W1392" s="12">
        <f>IF(W19=1,'Income statement'!W170-'Cash flow statement'!W176,0)</f>
        <v>23340.07085385517</v>
      </c>
      <c r="X1392" s="12">
        <f>IF(X19=1,'Income statement'!X170-'Cash flow statement'!X176,0)</f>
        <v>24559.162872586661</v>
      </c>
      <c r="Y1392" s="12">
        <f>IF(Y19=1,'Income statement'!Y170-'Cash flow statement'!Y176,0)</f>
        <v>25831.878235556585</v>
      </c>
      <c r="Z1392" s="12">
        <f>IF(Z19=1,'Income statement'!Z170-'Cash flow statement'!Z176,0)</f>
        <v>27160.336313908083</v>
      </c>
      <c r="AA1392" s="12">
        <f>IF(AA19=1,'Income statement'!AA170-'Cash flow statement'!AA176,0)</f>
        <v>28546.735513284366</v>
      </c>
      <c r="AB1392" s="12">
        <f>IF(AB19=1,'Income statement'!AB170-'Cash flow statement'!AB176,0)</f>
        <v>29993.356109052736</v>
      </c>
      <c r="AC1392" s="12">
        <f>IF(AC19=1,'Income statement'!AC170-'Cash flow statement'!AC176,0)</f>
        <v>31502.563180785801</v>
      </c>
      <c r="AD1392" s="12">
        <f>IF(AD19=1,'Income statement'!AD170-'Cash flow statement'!AD176,0)</f>
        <v>33076.809649333401</v>
      </c>
      <c r="AE1392" s="12">
        <f>IF(AE19=1,'Income statement'!AE170-'Cash flow statement'!AE176,0)</f>
        <v>34718.63941995021</v>
      </c>
      <c r="AF1392" s="12">
        <f>IF(AF19=1,'Income statement'!AF170-'Cash flow statement'!AF176,0)</f>
        <v>36430.690635074599</v>
      </c>
      <c r="AG1392" s="12">
        <f>IF(AG19=1,'Income statement'!AG170-'Cash flow statement'!AG176,0)</f>
        <v>38219.501184442895</v>
      </c>
      <c r="AH1392" s="12">
        <f>IF(AH19=1,'Income statement'!AH170-'Cash flow statement'!AH176,0)</f>
        <v>40129.135953633871</v>
      </c>
    </row>
    <row r="1393" spans="1:34" s="20" customFormat="1" ht="14" x14ac:dyDescent="0.2">
      <c r="A1393" s="8"/>
      <c r="B1393" s="8" t="s">
        <v>159</v>
      </c>
      <c r="C1393" s="8"/>
      <c r="D1393" s="8" t="str">
        <f>'Assumptions - General'!$E$27 &amp;" millions"</f>
        <v>R$ millions</v>
      </c>
      <c r="E1393" s="175">
        <f>IF(E19=1,'Assumptions - Infrastructure'!E501,0)</f>
        <v>200</v>
      </c>
      <c r="F1393" s="13">
        <f t="shared" ref="F1393:AH1393" si="545">IF(F19=1,F1392+F1391,0)</f>
        <v>8572.2883610951649</v>
      </c>
      <c r="G1393" s="13">
        <f t="shared" si="545"/>
        <v>17275.290500454623</v>
      </c>
      <c r="H1393" s="13">
        <f t="shared" si="545"/>
        <v>26592.652594288928</v>
      </c>
      <c r="I1393" s="13">
        <f t="shared" si="545"/>
        <v>36778.728389953285</v>
      </c>
      <c r="J1393" s="13">
        <f t="shared" si="545"/>
        <v>47541.766867183163</v>
      </c>
      <c r="K1393" s="13">
        <f t="shared" si="545"/>
        <v>60047.332294347027</v>
      </c>
      <c r="L1393" s="13">
        <f t="shared" si="545"/>
        <v>73027.495500061777</v>
      </c>
      <c r="M1393" s="13">
        <f t="shared" si="545"/>
        <v>86802.374697399879</v>
      </c>
      <c r="N1393" s="13">
        <f t="shared" si="545"/>
        <v>101409.19563865181</v>
      </c>
      <c r="O1393" s="13">
        <f t="shared" si="545"/>
        <v>116676.77412287702</v>
      </c>
      <c r="P1393" s="13">
        <f t="shared" si="545"/>
        <v>132793.95337308352</v>
      </c>
      <c r="Q1393" s="13">
        <f t="shared" si="545"/>
        <v>149811.9752880481</v>
      </c>
      <c r="R1393" s="13">
        <f t="shared" si="545"/>
        <v>167776.65984854117</v>
      </c>
      <c r="S1393" s="13">
        <f t="shared" si="545"/>
        <v>186722.54434338369</v>
      </c>
      <c r="T1393" s="13">
        <f t="shared" si="545"/>
        <v>206705.27828164154</v>
      </c>
      <c r="U1393" s="13">
        <f t="shared" si="545"/>
        <v>227899.43874811754</v>
      </c>
      <c r="V1393" s="13">
        <f t="shared" si="545"/>
        <v>250071.99785167631</v>
      </c>
      <c r="W1393" s="13">
        <f t="shared" si="545"/>
        <v>273412.06870553148</v>
      </c>
      <c r="X1393" s="13">
        <f t="shared" si="545"/>
        <v>297971.23157811817</v>
      </c>
      <c r="Y1393" s="13">
        <f t="shared" si="545"/>
        <v>323803.10981367476</v>
      </c>
      <c r="Z1393" s="13">
        <f t="shared" si="545"/>
        <v>350963.44612758287</v>
      </c>
      <c r="AA1393" s="13">
        <f t="shared" si="545"/>
        <v>379510.18164086726</v>
      </c>
      <c r="AB1393" s="13">
        <f t="shared" si="545"/>
        <v>409503.53774991998</v>
      </c>
      <c r="AC1393" s="13">
        <f t="shared" si="545"/>
        <v>441006.10093070578</v>
      </c>
      <c r="AD1393" s="13">
        <f t="shared" si="545"/>
        <v>474082.9105800392</v>
      </c>
      <c r="AE1393" s="13">
        <f t="shared" si="545"/>
        <v>508801.54999998939</v>
      </c>
      <c r="AF1393" s="13">
        <f t="shared" si="545"/>
        <v>545232.24063506396</v>
      </c>
      <c r="AG1393" s="13">
        <f t="shared" si="545"/>
        <v>583451.74181950686</v>
      </c>
      <c r="AH1393" s="13">
        <f t="shared" si="545"/>
        <v>623580.87777314079</v>
      </c>
    </row>
    <row r="1394" spans="1:34" s="20" customFormat="1" ht="14" x14ac:dyDescent="0.2">
      <c r="B1394" s="20" t="s">
        <v>697</v>
      </c>
      <c r="D1394" s="20" t="str">
        <f>'Assumptions - General'!$E$27 &amp;" millions"</f>
        <v>R$ millions</v>
      </c>
      <c r="F1394" s="38">
        <f t="shared" ref="F1394:AH1394" si="546">IF(F19=1,E1396,0)</f>
        <v>0</v>
      </c>
      <c r="G1394" s="38">
        <f t="shared" si="546"/>
        <v>0</v>
      </c>
      <c r="H1394" s="38">
        <f t="shared" si="546"/>
        <v>0</v>
      </c>
      <c r="I1394" s="38">
        <f t="shared" si="546"/>
        <v>0</v>
      </c>
      <c r="J1394" s="38">
        <f t="shared" si="546"/>
        <v>0</v>
      </c>
      <c r="K1394" s="38">
        <f t="shared" si="546"/>
        <v>0</v>
      </c>
      <c r="L1394" s="38">
        <f t="shared" si="546"/>
        <v>0</v>
      </c>
      <c r="M1394" s="38">
        <f t="shared" si="546"/>
        <v>0</v>
      </c>
      <c r="N1394" s="38">
        <f t="shared" si="546"/>
        <v>0</v>
      </c>
      <c r="O1394" s="38">
        <f t="shared" si="546"/>
        <v>0</v>
      </c>
      <c r="P1394" s="38">
        <f t="shared" si="546"/>
        <v>0</v>
      </c>
      <c r="Q1394" s="38">
        <f t="shared" si="546"/>
        <v>0</v>
      </c>
      <c r="R1394" s="38">
        <f t="shared" si="546"/>
        <v>0</v>
      </c>
      <c r="S1394" s="38">
        <f t="shared" si="546"/>
        <v>0</v>
      </c>
      <c r="T1394" s="38">
        <f t="shared" si="546"/>
        <v>0</v>
      </c>
      <c r="U1394" s="38">
        <f t="shared" si="546"/>
        <v>0</v>
      </c>
      <c r="V1394" s="38">
        <f t="shared" si="546"/>
        <v>0</v>
      </c>
      <c r="W1394" s="38">
        <f t="shared" si="546"/>
        <v>0</v>
      </c>
      <c r="X1394" s="38">
        <f t="shared" si="546"/>
        <v>0</v>
      </c>
      <c r="Y1394" s="38">
        <f t="shared" si="546"/>
        <v>0</v>
      </c>
      <c r="Z1394" s="38">
        <f t="shared" si="546"/>
        <v>0</v>
      </c>
      <c r="AA1394" s="38">
        <f t="shared" si="546"/>
        <v>0</v>
      </c>
      <c r="AB1394" s="38">
        <f t="shared" si="546"/>
        <v>0</v>
      </c>
      <c r="AC1394" s="38">
        <f t="shared" si="546"/>
        <v>0</v>
      </c>
      <c r="AD1394" s="38">
        <f t="shared" si="546"/>
        <v>0</v>
      </c>
      <c r="AE1394" s="38">
        <f t="shared" si="546"/>
        <v>0</v>
      </c>
      <c r="AF1394" s="38">
        <f t="shared" si="546"/>
        <v>0</v>
      </c>
      <c r="AG1394" s="38">
        <f t="shared" si="546"/>
        <v>0</v>
      </c>
      <c r="AH1394" s="38">
        <f t="shared" si="546"/>
        <v>0</v>
      </c>
    </row>
    <row r="1395" spans="1:34" s="20" customFormat="1" ht="14" x14ac:dyDescent="0.2">
      <c r="B1395" s="20" t="s">
        <v>691</v>
      </c>
      <c r="D1395" s="20" t="str">
        <f>'Assumptions - General'!$E$27 &amp;" millions"</f>
        <v>R$ millions</v>
      </c>
      <c r="E1395" s="38"/>
      <c r="F1395" s="38">
        <f t="shared" ref="F1395:AH1395" si="547">IF(F19=1,IF(F1225/E1225=1,0,F1228/(F1225/E1225)-F1228)+IF(F1241/E1241=1,0,F1244/(F1241/E1241)-F1244)+IF(F1257/E1257=1,0,F1260/(F1257/E1257)-F1260)+IF(F1283/E1283=1,0,F1287/(F1283/E1283)-F1287)+IF(F1313/E1313=1,0,F1317/(F1313/E1313)-F1317)+IF(F1343/E1343=1,0,F1347/(F1343/E1343)-F1347)+IF(F1373/E1373=1,0,F1377/(F1373/E1373)-F1377),0)</f>
        <v>0</v>
      </c>
      <c r="G1395" s="38">
        <f t="shared" si="547"/>
        <v>0</v>
      </c>
      <c r="H1395" s="38">
        <f t="shared" si="547"/>
        <v>0</v>
      </c>
      <c r="I1395" s="38">
        <f t="shared" si="547"/>
        <v>0</v>
      </c>
      <c r="J1395" s="38">
        <f t="shared" si="547"/>
        <v>0</v>
      </c>
      <c r="K1395" s="38">
        <f t="shared" si="547"/>
        <v>0</v>
      </c>
      <c r="L1395" s="38">
        <f t="shared" si="547"/>
        <v>0</v>
      </c>
      <c r="M1395" s="38">
        <f t="shared" si="547"/>
        <v>0</v>
      </c>
      <c r="N1395" s="38">
        <f t="shared" si="547"/>
        <v>0</v>
      </c>
      <c r="O1395" s="38">
        <f t="shared" si="547"/>
        <v>0</v>
      </c>
      <c r="P1395" s="38">
        <f t="shared" si="547"/>
        <v>0</v>
      </c>
      <c r="Q1395" s="38">
        <f t="shared" si="547"/>
        <v>0</v>
      </c>
      <c r="R1395" s="38">
        <f t="shared" si="547"/>
        <v>0</v>
      </c>
      <c r="S1395" s="38">
        <f t="shared" si="547"/>
        <v>0</v>
      </c>
      <c r="T1395" s="38">
        <f t="shared" si="547"/>
        <v>0</v>
      </c>
      <c r="U1395" s="38">
        <f t="shared" si="547"/>
        <v>0</v>
      </c>
      <c r="V1395" s="38">
        <f t="shared" si="547"/>
        <v>0</v>
      </c>
      <c r="W1395" s="38">
        <f t="shared" si="547"/>
        <v>0</v>
      </c>
      <c r="X1395" s="38">
        <f t="shared" si="547"/>
        <v>0</v>
      </c>
      <c r="Y1395" s="38">
        <f t="shared" si="547"/>
        <v>0</v>
      </c>
      <c r="Z1395" s="38">
        <f t="shared" si="547"/>
        <v>0</v>
      </c>
      <c r="AA1395" s="38">
        <f t="shared" si="547"/>
        <v>0</v>
      </c>
      <c r="AB1395" s="38">
        <f t="shared" si="547"/>
        <v>0</v>
      </c>
      <c r="AC1395" s="38">
        <f t="shared" si="547"/>
        <v>0</v>
      </c>
      <c r="AD1395" s="38">
        <f t="shared" si="547"/>
        <v>0</v>
      </c>
      <c r="AE1395" s="38">
        <f t="shared" si="547"/>
        <v>0</v>
      </c>
      <c r="AF1395" s="38">
        <f t="shared" si="547"/>
        <v>0</v>
      </c>
      <c r="AG1395" s="38">
        <f t="shared" si="547"/>
        <v>0</v>
      </c>
      <c r="AH1395" s="38">
        <f t="shared" si="547"/>
        <v>0</v>
      </c>
    </row>
    <row r="1396" spans="1:34" s="20" customFormat="1" ht="14" x14ac:dyDescent="0.2">
      <c r="B1396" s="20" t="s">
        <v>698</v>
      </c>
      <c r="D1396" s="20" t="str">
        <f>'Assumptions - General'!$E$27 &amp;" millions"</f>
        <v>R$ millions</v>
      </c>
      <c r="E1396" s="20">
        <v>0</v>
      </c>
      <c r="F1396" s="53">
        <f t="shared" ref="F1396:AH1396" si="548">IF(F19=1,F1394+F1395,0)</f>
        <v>0</v>
      </c>
      <c r="G1396" s="53">
        <f t="shared" si="548"/>
        <v>0</v>
      </c>
      <c r="H1396" s="53">
        <f t="shared" si="548"/>
        <v>0</v>
      </c>
      <c r="I1396" s="53">
        <f t="shared" si="548"/>
        <v>0</v>
      </c>
      <c r="J1396" s="53">
        <f t="shared" si="548"/>
        <v>0</v>
      </c>
      <c r="K1396" s="53">
        <f t="shared" si="548"/>
        <v>0</v>
      </c>
      <c r="L1396" s="53">
        <f t="shared" si="548"/>
        <v>0</v>
      </c>
      <c r="M1396" s="53">
        <f t="shared" si="548"/>
        <v>0</v>
      </c>
      <c r="N1396" s="53">
        <f t="shared" si="548"/>
        <v>0</v>
      </c>
      <c r="O1396" s="53">
        <f t="shared" si="548"/>
        <v>0</v>
      </c>
      <c r="P1396" s="53">
        <f t="shared" si="548"/>
        <v>0</v>
      </c>
      <c r="Q1396" s="53">
        <f t="shared" si="548"/>
        <v>0</v>
      </c>
      <c r="R1396" s="53">
        <f t="shared" si="548"/>
        <v>0</v>
      </c>
      <c r="S1396" s="53">
        <f t="shared" si="548"/>
        <v>0</v>
      </c>
      <c r="T1396" s="53">
        <f t="shared" si="548"/>
        <v>0</v>
      </c>
      <c r="U1396" s="53">
        <f t="shared" si="548"/>
        <v>0</v>
      </c>
      <c r="V1396" s="53">
        <f t="shared" si="548"/>
        <v>0</v>
      </c>
      <c r="W1396" s="53">
        <f t="shared" si="548"/>
        <v>0</v>
      </c>
      <c r="X1396" s="53">
        <f t="shared" si="548"/>
        <v>0</v>
      </c>
      <c r="Y1396" s="53">
        <f t="shared" si="548"/>
        <v>0</v>
      </c>
      <c r="Z1396" s="53">
        <f t="shared" si="548"/>
        <v>0</v>
      </c>
      <c r="AA1396" s="53">
        <f t="shared" si="548"/>
        <v>0</v>
      </c>
      <c r="AB1396" s="53">
        <f t="shared" si="548"/>
        <v>0</v>
      </c>
      <c r="AC1396" s="53">
        <f t="shared" si="548"/>
        <v>0</v>
      </c>
      <c r="AD1396" s="53">
        <f t="shared" si="548"/>
        <v>0</v>
      </c>
      <c r="AE1396" s="53">
        <f t="shared" si="548"/>
        <v>0</v>
      </c>
      <c r="AF1396" s="53">
        <f t="shared" si="548"/>
        <v>0</v>
      </c>
      <c r="AG1396" s="53">
        <f t="shared" si="548"/>
        <v>0</v>
      </c>
      <c r="AH1396" s="53">
        <f t="shared" si="548"/>
        <v>0</v>
      </c>
    </row>
    <row r="1397" spans="1:34" collapsed="1" x14ac:dyDescent="0.2">
      <c r="A1397" s="18"/>
      <c r="D1397" s="8"/>
    </row>
    <row r="1398" spans="1:34" x14ac:dyDescent="0.2">
      <c r="A1398" s="2"/>
      <c r="B1398" s="4" t="str">
        <f>"Operating costs of " &amp;'Assumptions - General'!E23</f>
        <v xml:space="preserve">Operating costs of Ruritania Railways </v>
      </c>
      <c r="C1398" s="2"/>
      <c r="D1398" s="2"/>
      <c r="E1398" s="2"/>
      <c r="F1398" s="2"/>
      <c r="G1398" s="2"/>
      <c r="H1398" s="2"/>
      <c r="I1398" s="2"/>
      <c r="J1398" s="2"/>
      <c r="K1398" s="2"/>
      <c r="L1398" s="2"/>
      <c r="M1398" s="2"/>
      <c r="N1398" s="2"/>
      <c r="O1398" s="2"/>
      <c r="P1398" s="2"/>
      <c r="Q1398" s="2"/>
      <c r="R1398" s="2"/>
      <c r="S1398" s="2"/>
      <c r="T1398" s="2"/>
      <c r="U1398" s="2"/>
      <c r="V1398" s="2"/>
      <c r="W1398" s="2"/>
      <c r="X1398" s="2"/>
      <c r="Y1398" s="2"/>
      <c r="Z1398" s="2"/>
      <c r="AA1398" s="2"/>
      <c r="AB1398" s="2"/>
      <c r="AC1398" s="2"/>
      <c r="AD1398" s="2"/>
      <c r="AE1398" s="2"/>
      <c r="AF1398" s="2"/>
      <c r="AG1398" s="2"/>
      <c r="AH1398" s="2"/>
    </row>
    <row r="1399" spans="1:34" s="20" customFormat="1" ht="14" x14ac:dyDescent="0.2">
      <c r="B1399" s="55"/>
      <c r="E1399" s="56"/>
      <c r="F1399" s="56"/>
      <c r="G1399" s="56"/>
      <c r="H1399" s="56"/>
      <c r="I1399" s="56"/>
      <c r="J1399" s="56"/>
      <c r="K1399" s="56"/>
      <c r="L1399" s="56"/>
      <c r="M1399" s="56"/>
      <c r="N1399" s="56"/>
      <c r="O1399" s="56"/>
      <c r="P1399" s="56"/>
      <c r="Q1399" s="56"/>
      <c r="R1399" s="56"/>
      <c r="S1399" s="56"/>
      <c r="T1399" s="56"/>
      <c r="U1399" s="56"/>
      <c r="V1399" s="56"/>
      <c r="W1399" s="56"/>
      <c r="X1399" s="56"/>
      <c r="Y1399" s="56"/>
      <c r="Z1399" s="56"/>
      <c r="AA1399" s="56"/>
      <c r="AB1399" s="56"/>
      <c r="AC1399" s="56"/>
      <c r="AD1399" s="56"/>
      <c r="AE1399" s="56"/>
      <c r="AF1399" s="56"/>
      <c r="AG1399" s="56"/>
      <c r="AH1399" s="56"/>
    </row>
    <row r="1400" spans="1:34" s="20" customFormat="1" ht="14" x14ac:dyDescent="0.2">
      <c r="B1400" s="19" t="s">
        <v>457</v>
      </c>
      <c r="E1400" s="56"/>
      <c r="F1400" s="56"/>
      <c r="G1400" s="56"/>
      <c r="H1400" s="56"/>
      <c r="I1400" s="56"/>
      <c r="J1400" s="56"/>
      <c r="K1400" s="56"/>
      <c r="L1400" s="56"/>
      <c r="M1400" s="56"/>
      <c r="N1400" s="56"/>
      <c r="O1400" s="56"/>
      <c r="P1400" s="56"/>
      <c r="Q1400" s="56"/>
      <c r="R1400" s="56"/>
      <c r="S1400" s="56"/>
      <c r="T1400" s="56"/>
      <c r="U1400" s="56"/>
      <c r="V1400" s="56"/>
      <c r="W1400" s="56"/>
      <c r="X1400" s="56"/>
      <c r="Y1400" s="56"/>
      <c r="Z1400" s="56"/>
      <c r="AA1400" s="56"/>
      <c r="AB1400" s="56"/>
      <c r="AC1400" s="56"/>
      <c r="AD1400" s="56"/>
      <c r="AE1400" s="56"/>
      <c r="AF1400" s="56"/>
      <c r="AG1400" s="56"/>
      <c r="AH1400" s="56"/>
    </row>
    <row r="1401" spans="1:34" s="20" customFormat="1" ht="14" x14ac:dyDescent="0.2">
      <c r="B1401" s="57" t="s">
        <v>44</v>
      </c>
      <c r="D1401" s="20" t="str">
        <f>'Assumptions - General'!$E$27 &amp;" millions"</f>
        <v>R$ millions</v>
      </c>
      <c r="E1401" s="459">
        <f>IF(AND((E16+E17+E19+E21)&lt;3,E21=1),'Assumptions - Consolidated'!E32,0)</f>
        <v>0</v>
      </c>
      <c r="F1401" s="38">
        <f>IF(AND((F16+F17+F19+F21)&lt;3,F21=1,'Assumptions - Consolidated'!$E$32&gt;0),('Assumptions - Consolidated'!F35*'Assumptions - Consolidated'!F38/1000000),0)</f>
        <v>0</v>
      </c>
      <c r="G1401" s="38">
        <f>IF(AND((G16+G17+G19+G21)&lt;3,G21=1,'Assumptions - Consolidated'!$E$32&gt;0),('Assumptions - Consolidated'!G35*'Assumptions - Consolidated'!G38/1000000),0)</f>
        <v>0</v>
      </c>
      <c r="H1401" s="38">
        <f>IF(AND((H16+H17+H19+H21)&lt;3,H21=1,'Assumptions - Consolidated'!$E$32&gt;0),('Assumptions - Consolidated'!H35*'Assumptions - Consolidated'!H38/1000000),0)</f>
        <v>0</v>
      </c>
      <c r="I1401" s="38">
        <f>IF(AND((I16+I17+I19+I21)&lt;3,I21=1,'Assumptions - Consolidated'!$E$32&gt;0),('Assumptions - Consolidated'!I35*'Assumptions - Consolidated'!I38/1000000),0)</f>
        <v>0</v>
      </c>
      <c r="J1401" s="38">
        <f>IF(AND((J16+J17+J19+J21)&lt;3,J21=1,'Assumptions - Consolidated'!$E$32&gt;0),('Assumptions - Consolidated'!J35*'Assumptions - Consolidated'!J38/1000000),0)</f>
        <v>0</v>
      </c>
      <c r="K1401" s="38">
        <f>IF(AND((K16+K17+K19+K21)&lt;3,K21=1,'Assumptions - Consolidated'!$E$32&gt;0),('Assumptions - Consolidated'!K35*'Assumptions - Consolidated'!K38/1000000),0)</f>
        <v>0</v>
      </c>
      <c r="L1401" s="38">
        <f>IF(AND((L16+L17+L19+L21)&lt;3,L21=1,'Assumptions - Consolidated'!$E$32&gt;0),('Assumptions - Consolidated'!L35*'Assumptions - Consolidated'!L38/1000000),0)</f>
        <v>0</v>
      </c>
      <c r="M1401" s="38">
        <f>IF(AND((M16+M17+M19+M21)&lt;3,M21=1,'Assumptions - Consolidated'!$E$32&gt;0),('Assumptions - Consolidated'!M35*'Assumptions - Consolidated'!M38/1000000),0)</f>
        <v>0</v>
      </c>
      <c r="N1401" s="38">
        <f>IF(AND((N16+N17+N19+N21)&lt;3,N21=1,'Assumptions - Consolidated'!$E$32&gt;0),('Assumptions - Consolidated'!N35*'Assumptions - Consolidated'!N38/1000000),0)</f>
        <v>0</v>
      </c>
      <c r="O1401" s="38">
        <f>IF(AND((O16+O17+O19+O21)&lt;3,O21=1,'Assumptions - Consolidated'!$E$32&gt;0),('Assumptions - Consolidated'!O35*'Assumptions - Consolidated'!O38/1000000),0)</f>
        <v>0</v>
      </c>
      <c r="P1401" s="38">
        <f>IF(AND((P16+P17+P19+P21)&lt;3,P21=1,'Assumptions - Consolidated'!$E$32&gt;0),('Assumptions - Consolidated'!P35*'Assumptions - Consolidated'!P38/1000000),0)</f>
        <v>0</v>
      </c>
      <c r="Q1401" s="38">
        <f>IF(AND((Q16+Q17+Q19+Q21)&lt;3,Q21=1,'Assumptions - Consolidated'!$E$32&gt;0),('Assumptions - Consolidated'!Q35*'Assumptions - Consolidated'!Q38/1000000),0)</f>
        <v>0</v>
      </c>
      <c r="R1401" s="38">
        <f>IF(AND((R16+R17+R19+R21)&lt;3,R21=1,'Assumptions - Consolidated'!$E$32&gt;0),('Assumptions - Consolidated'!R35*'Assumptions - Consolidated'!R38/1000000),0)</f>
        <v>0</v>
      </c>
      <c r="S1401" s="38">
        <f>IF(AND((S16+S17+S19+S21)&lt;3,S21=1,'Assumptions - Consolidated'!$E$32&gt;0),('Assumptions - Consolidated'!S35*'Assumptions - Consolidated'!S38/1000000),0)</f>
        <v>0</v>
      </c>
      <c r="T1401" s="38">
        <f>IF(AND((T16+T17+T19+T21)&lt;3,T21=1,'Assumptions - Consolidated'!$E$32&gt;0),('Assumptions - Consolidated'!T35*'Assumptions - Consolidated'!T38/1000000),0)</f>
        <v>0</v>
      </c>
      <c r="U1401" s="38">
        <f>IF(AND((U16+U17+U19+U21)&lt;3,U21=1,'Assumptions - Consolidated'!$E$32&gt;0),('Assumptions - Consolidated'!U35*'Assumptions - Consolidated'!U38/1000000),0)</f>
        <v>0</v>
      </c>
      <c r="V1401" s="38">
        <f>IF(AND((V16+V17+V19+V21)&lt;3,V21=1,'Assumptions - Consolidated'!$E$32&gt;0),('Assumptions - Consolidated'!V35*'Assumptions - Consolidated'!V38/1000000),0)</f>
        <v>0</v>
      </c>
      <c r="W1401" s="38">
        <f>IF(AND((W16+W17+W19+W21)&lt;3,W21=1,'Assumptions - Consolidated'!$E$32&gt;0),('Assumptions - Consolidated'!W35*'Assumptions - Consolidated'!W38/1000000),0)</f>
        <v>0</v>
      </c>
      <c r="X1401" s="38">
        <f>IF(AND((X16+X17+X19+X21)&lt;3,X21=1,'Assumptions - Consolidated'!$E$32&gt;0),('Assumptions - Consolidated'!X35*'Assumptions - Consolidated'!X38/1000000),0)</f>
        <v>0</v>
      </c>
      <c r="Y1401" s="38">
        <f>IF(AND((Y16+Y17+Y19+Y21)&lt;3,Y21=1,'Assumptions - Consolidated'!$E$32&gt;0),('Assumptions - Consolidated'!Y35*'Assumptions - Consolidated'!Y38/1000000),0)</f>
        <v>0</v>
      </c>
      <c r="Z1401" s="38">
        <f>IF(AND((Z16+Z17+Z19+Z21)&lt;3,Z21=1,'Assumptions - Consolidated'!$E$32&gt;0),('Assumptions - Consolidated'!Z35*'Assumptions - Consolidated'!Z38/1000000),0)</f>
        <v>0</v>
      </c>
      <c r="AA1401" s="38">
        <f>IF(AND((AA16+AA17+AA19+AA21)&lt;3,AA21=1,'Assumptions - Consolidated'!$E$32&gt;0),('Assumptions - Consolidated'!AA35*'Assumptions - Consolidated'!AA38/1000000),0)</f>
        <v>0</v>
      </c>
      <c r="AB1401" s="38">
        <f>IF(AND((AB16+AB17+AB19+AB21)&lt;3,AB21=1,'Assumptions - Consolidated'!$E$32&gt;0),('Assumptions - Consolidated'!AB35*'Assumptions - Consolidated'!AB38/1000000),0)</f>
        <v>0</v>
      </c>
      <c r="AC1401" s="38">
        <f>IF(AND((AC16+AC17+AC19+AC21)&lt;3,AC21=1,'Assumptions - Consolidated'!$E$32&gt;0),('Assumptions - Consolidated'!AC35*'Assumptions - Consolidated'!AC38/1000000),0)</f>
        <v>0</v>
      </c>
      <c r="AD1401" s="38">
        <f>IF(AND((AD16+AD17+AD19+AD21)&lt;3,AD21=1,'Assumptions - Consolidated'!$E$32&gt;0),('Assumptions - Consolidated'!AD35*'Assumptions - Consolidated'!AD38/1000000),0)</f>
        <v>0</v>
      </c>
      <c r="AE1401" s="38">
        <f>IF(AND((AE16+AE17+AE19+AE21)&lt;3,AE21=1,'Assumptions - Consolidated'!$E$32&gt;0),('Assumptions - Consolidated'!AE35*'Assumptions - Consolidated'!AE38/1000000),0)</f>
        <v>0</v>
      </c>
      <c r="AF1401" s="38">
        <f>IF(AND((AF16+AF17+AF19+AF21)&lt;3,AF21=1,'Assumptions - Consolidated'!$E$32&gt;0),('Assumptions - Consolidated'!AF35*'Assumptions - Consolidated'!AF38/1000000),0)</f>
        <v>0</v>
      </c>
      <c r="AG1401" s="38">
        <f>IF(AND((AG16+AG17+AG19+AG21)&lt;3,AG21=1,'Assumptions - Consolidated'!$E$32&gt;0),('Assumptions - Consolidated'!AG35*'Assumptions - Consolidated'!AG38/1000000),0)</f>
        <v>0</v>
      </c>
      <c r="AH1401" s="38">
        <f>IF(AND((AH16+AH17+AH19+AH21)&lt;3,AH21=1,'Assumptions - Consolidated'!$E$32&gt;0),('Assumptions - Consolidated'!AH35*'Assumptions - Consolidated'!AH38/1000000),0)</f>
        <v>0</v>
      </c>
    </row>
    <row r="1402" spans="1:34" s="20" customFormat="1" ht="14" x14ac:dyDescent="0.2">
      <c r="B1402" s="30" t="s">
        <v>297</v>
      </c>
      <c r="D1402" s="20" t="s">
        <v>15</v>
      </c>
      <c r="E1402" s="38" t="str">
        <f t="shared" ref="E1402:AH1402" si="549">IF(AND(($E$4+SUM($F$21:$AH$21))=E$4,$E$1401&gt;0),(E1401/$E1401)^(1/SUM($F$21:$AH$21))-1," ")</f>
        <v xml:space="preserve"> </v>
      </c>
      <c r="F1402" s="38" t="str">
        <f t="shared" si="549"/>
        <v xml:space="preserve"> </v>
      </c>
      <c r="G1402" s="38" t="str">
        <f t="shared" si="549"/>
        <v xml:space="preserve"> </v>
      </c>
      <c r="H1402" s="38" t="str">
        <f t="shared" si="549"/>
        <v xml:space="preserve"> </v>
      </c>
      <c r="I1402" s="38" t="str">
        <f t="shared" si="549"/>
        <v xml:space="preserve"> </v>
      </c>
      <c r="J1402" s="38" t="str">
        <f t="shared" si="549"/>
        <v xml:space="preserve"> </v>
      </c>
      <c r="K1402" s="38" t="str">
        <f t="shared" si="549"/>
        <v xml:space="preserve"> </v>
      </c>
      <c r="L1402" s="38" t="str">
        <f t="shared" si="549"/>
        <v xml:space="preserve"> </v>
      </c>
      <c r="M1402" s="38" t="str">
        <f t="shared" si="549"/>
        <v xml:space="preserve"> </v>
      </c>
      <c r="N1402" s="38" t="str">
        <f t="shared" si="549"/>
        <v xml:space="preserve"> </v>
      </c>
      <c r="O1402" s="38" t="str">
        <f t="shared" si="549"/>
        <v xml:space="preserve"> </v>
      </c>
      <c r="P1402" s="38" t="str">
        <f t="shared" si="549"/>
        <v xml:space="preserve"> </v>
      </c>
      <c r="Q1402" s="38" t="str">
        <f t="shared" si="549"/>
        <v xml:space="preserve"> </v>
      </c>
      <c r="R1402" s="38" t="str">
        <f t="shared" si="549"/>
        <v xml:space="preserve"> </v>
      </c>
      <c r="S1402" s="38" t="str">
        <f t="shared" si="549"/>
        <v xml:space="preserve"> </v>
      </c>
      <c r="T1402" s="38" t="str">
        <f t="shared" si="549"/>
        <v xml:space="preserve"> </v>
      </c>
      <c r="U1402" s="38" t="str">
        <f t="shared" si="549"/>
        <v xml:space="preserve"> </v>
      </c>
      <c r="V1402" s="38" t="str">
        <f t="shared" si="549"/>
        <v xml:space="preserve"> </v>
      </c>
      <c r="W1402" s="38" t="str">
        <f t="shared" si="549"/>
        <v xml:space="preserve"> </v>
      </c>
      <c r="X1402" s="38" t="str">
        <f t="shared" si="549"/>
        <v xml:space="preserve"> </v>
      </c>
      <c r="Y1402" s="38" t="str">
        <f t="shared" si="549"/>
        <v xml:space="preserve"> </v>
      </c>
      <c r="Z1402" s="38" t="str">
        <f t="shared" si="549"/>
        <v xml:space="preserve"> </v>
      </c>
      <c r="AA1402" s="38" t="str">
        <f t="shared" si="549"/>
        <v xml:space="preserve"> </v>
      </c>
      <c r="AB1402" s="38" t="str">
        <f t="shared" si="549"/>
        <v xml:space="preserve"> </v>
      </c>
      <c r="AC1402" s="38" t="str">
        <f t="shared" si="549"/>
        <v xml:space="preserve"> </v>
      </c>
      <c r="AD1402" s="38" t="str">
        <f t="shared" si="549"/>
        <v xml:space="preserve"> </v>
      </c>
      <c r="AE1402" s="38" t="str">
        <f t="shared" si="549"/>
        <v xml:space="preserve"> </v>
      </c>
      <c r="AF1402" s="38" t="str">
        <f t="shared" si="549"/>
        <v xml:space="preserve"> </v>
      </c>
      <c r="AG1402" s="38" t="str">
        <f t="shared" si="549"/>
        <v xml:space="preserve"> </v>
      </c>
      <c r="AH1402" s="38" t="str">
        <f t="shared" si="549"/>
        <v xml:space="preserve"> </v>
      </c>
    </row>
    <row r="1403" spans="1:34" s="20" customFormat="1" ht="14" x14ac:dyDescent="0.2">
      <c r="B1403" s="57" t="s">
        <v>43</v>
      </c>
      <c r="D1403" s="20" t="str">
        <f>'Assumptions - General'!$E$27 &amp;" millions"</f>
        <v>R$ millions</v>
      </c>
      <c r="E1403" s="459">
        <f>IF(AND((E16+E17+E19+E21)&lt;3,E21=1),'Assumptions - Consolidated'!E42,0)</f>
        <v>0</v>
      </c>
      <c r="F1403" s="38">
        <f>IF(AND((F16+F17+F19+F21)&lt;3,F21=1),'Assumptions - Consolidated'!F43*'Assumptions - Consolidated'!F48/1000000,0)</f>
        <v>0</v>
      </c>
      <c r="G1403" s="38">
        <f>IF(AND((G16+G17+G19+G21)&lt;3,G21=1),'Assumptions - Consolidated'!G43*'Assumptions - Consolidated'!G48/1000000,0)</f>
        <v>0</v>
      </c>
      <c r="H1403" s="38">
        <f>IF(AND((H16+H17+H19+H21)&lt;3,H21=1),'Assumptions - Consolidated'!H43*'Assumptions - Consolidated'!H48/1000000,0)</f>
        <v>0</v>
      </c>
      <c r="I1403" s="38">
        <f>IF(AND((I16+I17+I19+I21)&lt;3,I21=1),'Assumptions - Consolidated'!I43*'Assumptions - Consolidated'!I48/1000000,0)</f>
        <v>0</v>
      </c>
      <c r="J1403" s="38">
        <f>IF(AND((J16+J17+J19+J21)&lt;3,J21=1),'Assumptions - Consolidated'!J43*'Assumptions - Consolidated'!J48/1000000,0)</f>
        <v>0</v>
      </c>
      <c r="K1403" s="38">
        <f>IF(AND((K16+K17+K19+K21)&lt;3,K21=1),'Assumptions - Consolidated'!K43*'Assumptions - Consolidated'!K48/1000000,0)</f>
        <v>0</v>
      </c>
      <c r="L1403" s="38">
        <f>IF(AND((L16+L17+L19+L21)&lt;3,L21=1),'Assumptions - Consolidated'!L43*'Assumptions - Consolidated'!L48/1000000,0)</f>
        <v>0</v>
      </c>
      <c r="M1403" s="38">
        <f>IF(AND((M16+M17+M19+M21)&lt;3,M21=1),'Assumptions - Consolidated'!M43*'Assumptions - Consolidated'!M48/1000000,0)</f>
        <v>0</v>
      </c>
      <c r="N1403" s="38">
        <f>IF(AND((N16+N17+N19+N21)&lt;3,N21=1),'Assumptions - Consolidated'!N43*'Assumptions - Consolidated'!N48/1000000,0)</f>
        <v>0</v>
      </c>
      <c r="O1403" s="38">
        <f>IF(AND((O16+O17+O19+O21)&lt;3,O21=1),'Assumptions - Consolidated'!O43*'Assumptions - Consolidated'!O48/1000000,0)</f>
        <v>0</v>
      </c>
      <c r="P1403" s="38">
        <f>IF(AND((P16+P17+P19+P21)&lt;3,P21=1),'Assumptions - Consolidated'!P43*'Assumptions - Consolidated'!P48/1000000,0)</f>
        <v>0</v>
      </c>
      <c r="Q1403" s="38">
        <f>IF(AND((Q16+Q17+Q19+Q21)&lt;3,Q21=1),'Assumptions - Consolidated'!Q43*'Assumptions - Consolidated'!Q48/1000000,0)</f>
        <v>0</v>
      </c>
      <c r="R1403" s="38">
        <f>IF(AND((R16+R17+R19+R21)&lt;3,R21=1),'Assumptions - Consolidated'!R43*'Assumptions - Consolidated'!R48/1000000,0)</f>
        <v>0</v>
      </c>
      <c r="S1403" s="38">
        <f>IF(AND((S16+S17+S19+S21)&lt;3,S21=1),'Assumptions - Consolidated'!S43*'Assumptions - Consolidated'!S48/1000000,0)</f>
        <v>0</v>
      </c>
      <c r="T1403" s="38">
        <f>IF(AND((T16+T17+T19+T21)&lt;3,T21=1),'Assumptions - Consolidated'!T43*'Assumptions - Consolidated'!T48/1000000,0)</f>
        <v>0</v>
      </c>
      <c r="U1403" s="38">
        <f>IF(AND((U16+U17+U19+U21)&lt;3,U21=1),'Assumptions - Consolidated'!U43*'Assumptions - Consolidated'!U48/1000000,0)</f>
        <v>0</v>
      </c>
      <c r="V1403" s="38">
        <f>IF(AND((V16+V17+V19+V21)&lt;3,V21=1),'Assumptions - Consolidated'!V43*'Assumptions - Consolidated'!V48/1000000,0)</f>
        <v>0</v>
      </c>
      <c r="W1403" s="38">
        <f>IF(AND((W16+W17+W19+W21)&lt;3,W21=1),'Assumptions - Consolidated'!W43*'Assumptions - Consolidated'!W48/1000000,0)</f>
        <v>0</v>
      </c>
      <c r="X1403" s="38">
        <f>IF(AND((X16+X17+X19+X21)&lt;3,X21=1),'Assumptions - Consolidated'!X43*'Assumptions - Consolidated'!X48/1000000,0)</f>
        <v>0</v>
      </c>
      <c r="Y1403" s="38">
        <f>IF(AND((Y16+Y17+Y19+Y21)&lt;3,Y21=1),'Assumptions - Consolidated'!Y43*'Assumptions - Consolidated'!Y48/1000000,0)</f>
        <v>0</v>
      </c>
      <c r="Z1403" s="38">
        <f>IF(AND((Z16+Z17+Z19+Z21)&lt;3,Z21=1),'Assumptions - Consolidated'!Z43*'Assumptions - Consolidated'!Z48/1000000,0)</f>
        <v>0</v>
      </c>
      <c r="AA1403" s="38">
        <f>IF(AND((AA16+AA17+AA19+AA21)&lt;3,AA21=1),'Assumptions - Consolidated'!AA43*'Assumptions - Consolidated'!AA48/1000000,0)</f>
        <v>0</v>
      </c>
      <c r="AB1403" s="38">
        <f>IF(AND((AB16+AB17+AB19+AB21)&lt;3,AB21=1),'Assumptions - Consolidated'!AB43*'Assumptions - Consolidated'!AB48/1000000,0)</f>
        <v>0</v>
      </c>
      <c r="AC1403" s="38">
        <f>IF(AND((AC16+AC17+AC19+AC21)&lt;3,AC21=1),'Assumptions - Consolidated'!AC43*'Assumptions - Consolidated'!AC48/1000000,0)</f>
        <v>0</v>
      </c>
      <c r="AD1403" s="38">
        <f>IF(AND((AD16+AD17+AD19+AD21)&lt;3,AD21=1),'Assumptions - Consolidated'!AD43*'Assumptions - Consolidated'!AD48/1000000,0)</f>
        <v>0</v>
      </c>
      <c r="AE1403" s="38">
        <f>IF(AND((AE16+AE17+AE19+AE21)&lt;3,AE21=1),'Assumptions - Consolidated'!AE43*'Assumptions - Consolidated'!AE48/1000000,0)</f>
        <v>0</v>
      </c>
      <c r="AF1403" s="38">
        <f>IF(AND((AF16+AF17+AF19+AF21)&lt;3,AF21=1),'Assumptions - Consolidated'!AF43*'Assumptions - Consolidated'!AF48/1000000,0)</f>
        <v>0</v>
      </c>
      <c r="AG1403" s="38">
        <f>IF(AND((AG16+AG17+AG19+AG21)&lt;3,AG21=1),'Assumptions - Consolidated'!AG43*'Assumptions - Consolidated'!AG48/1000000,0)</f>
        <v>0</v>
      </c>
      <c r="AH1403" s="38">
        <f>IF(AND((AH16+AH17+AH19+AH21)&lt;3,AH21=1),'Assumptions - Consolidated'!AH43*'Assumptions - Consolidated'!AH48/1000000,0)</f>
        <v>0</v>
      </c>
    </row>
    <row r="1404" spans="1:34" s="20" customFormat="1" ht="14" x14ac:dyDescent="0.2">
      <c r="B1404" s="30" t="s">
        <v>297</v>
      </c>
      <c r="D1404" s="20" t="s">
        <v>15</v>
      </c>
      <c r="E1404" s="128" t="str">
        <f t="shared" ref="E1404:AH1404" si="550">IF(AND(($E$4+SUM($F$21:$AH$21))=E$4,$E$1403&gt;0),(E1403/$E1403)^(1/SUM($F$21:$AH$21))-1," ")</f>
        <v xml:space="preserve"> </v>
      </c>
      <c r="F1404" s="128" t="str">
        <f t="shared" si="550"/>
        <v xml:space="preserve"> </v>
      </c>
      <c r="G1404" s="128" t="str">
        <f t="shared" si="550"/>
        <v xml:space="preserve"> </v>
      </c>
      <c r="H1404" s="128" t="str">
        <f t="shared" si="550"/>
        <v xml:space="preserve"> </v>
      </c>
      <c r="I1404" s="128" t="str">
        <f t="shared" si="550"/>
        <v xml:space="preserve"> </v>
      </c>
      <c r="J1404" s="128" t="str">
        <f t="shared" si="550"/>
        <v xml:space="preserve"> </v>
      </c>
      <c r="K1404" s="128" t="str">
        <f t="shared" si="550"/>
        <v xml:space="preserve"> </v>
      </c>
      <c r="L1404" s="128" t="str">
        <f t="shared" si="550"/>
        <v xml:space="preserve"> </v>
      </c>
      <c r="M1404" s="128" t="str">
        <f t="shared" si="550"/>
        <v xml:space="preserve"> </v>
      </c>
      <c r="N1404" s="128" t="str">
        <f t="shared" si="550"/>
        <v xml:space="preserve"> </v>
      </c>
      <c r="O1404" s="128" t="str">
        <f t="shared" si="550"/>
        <v xml:space="preserve"> </v>
      </c>
      <c r="P1404" s="128" t="str">
        <f t="shared" si="550"/>
        <v xml:space="preserve"> </v>
      </c>
      <c r="Q1404" s="128" t="str">
        <f t="shared" si="550"/>
        <v xml:space="preserve"> </v>
      </c>
      <c r="R1404" s="128" t="str">
        <f t="shared" si="550"/>
        <v xml:space="preserve"> </v>
      </c>
      <c r="S1404" s="128" t="str">
        <f t="shared" si="550"/>
        <v xml:space="preserve"> </v>
      </c>
      <c r="T1404" s="128" t="str">
        <f t="shared" si="550"/>
        <v xml:space="preserve"> </v>
      </c>
      <c r="U1404" s="128" t="str">
        <f t="shared" si="550"/>
        <v xml:space="preserve"> </v>
      </c>
      <c r="V1404" s="128" t="str">
        <f t="shared" si="550"/>
        <v xml:space="preserve"> </v>
      </c>
      <c r="W1404" s="128" t="str">
        <f t="shared" si="550"/>
        <v xml:space="preserve"> </v>
      </c>
      <c r="X1404" s="128" t="str">
        <f t="shared" si="550"/>
        <v xml:space="preserve"> </v>
      </c>
      <c r="Y1404" s="128" t="str">
        <f t="shared" si="550"/>
        <v xml:space="preserve"> </v>
      </c>
      <c r="Z1404" s="128" t="str">
        <f t="shared" si="550"/>
        <v xml:space="preserve"> </v>
      </c>
      <c r="AA1404" s="128" t="str">
        <f t="shared" si="550"/>
        <v xml:space="preserve"> </v>
      </c>
      <c r="AB1404" s="128" t="str">
        <f t="shared" si="550"/>
        <v xml:space="preserve"> </v>
      </c>
      <c r="AC1404" s="128" t="str">
        <f t="shared" si="550"/>
        <v xml:space="preserve"> </v>
      </c>
      <c r="AD1404" s="128" t="str">
        <f t="shared" si="550"/>
        <v xml:space="preserve"> </v>
      </c>
      <c r="AE1404" s="128" t="str">
        <f t="shared" si="550"/>
        <v xml:space="preserve"> </v>
      </c>
      <c r="AF1404" s="128" t="str">
        <f t="shared" si="550"/>
        <v xml:space="preserve"> </v>
      </c>
      <c r="AG1404" s="128" t="str">
        <f t="shared" si="550"/>
        <v xml:space="preserve"> </v>
      </c>
      <c r="AH1404" s="128" t="str">
        <f t="shared" si="550"/>
        <v xml:space="preserve"> </v>
      </c>
    </row>
    <row r="1405" spans="1:34" s="20" customFormat="1" ht="14" x14ac:dyDescent="0.2">
      <c r="B1405" s="30"/>
      <c r="E1405" s="128"/>
      <c r="F1405" s="128"/>
      <c r="G1405" s="128"/>
      <c r="H1405" s="128"/>
      <c r="I1405" s="128"/>
      <c r="J1405" s="128"/>
      <c r="K1405" s="128"/>
      <c r="L1405" s="128"/>
      <c r="M1405" s="128"/>
      <c r="N1405" s="128"/>
      <c r="O1405" s="128"/>
      <c r="P1405" s="128"/>
      <c r="Q1405" s="128"/>
      <c r="R1405" s="128"/>
      <c r="S1405" s="128"/>
      <c r="T1405" s="128"/>
      <c r="U1405" s="128"/>
      <c r="V1405" s="128"/>
      <c r="W1405" s="128"/>
      <c r="X1405" s="128"/>
      <c r="Y1405" s="128"/>
      <c r="Z1405" s="128"/>
      <c r="AA1405" s="128"/>
      <c r="AB1405" s="128"/>
      <c r="AC1405" s="128"/>
      <c r="AD1405" s="128"/>
      <c r="AE1405" s="128"/>
      <c r="AF1405" s="128"/>
      <c r="AG1405" s="128"/>
      <c r="AH1405" s="128"/>
    </row>
    <row r="1406" spans="1:34" s="20" customFormat="1" ht="14" x14ac:dyDescent="0.2">
      <c r="A1406" s="8"/>
      <c r="B1406" s="21" t="s">
        <v>665</v>
      </c>
      <c r="C1406" s="8"/>
      <c r="D1406" s="8"/>
      <c r="E1406" s="9"/>
      <c r="F1406" s="9"/>
      <c r="G1406" s="9"/>
      <c r="H1406" s="9"/>
      <c r="I1406" s="9"/>
      <c r="J1406" s="9"/>
      <c r="K1406" s="9"/>
      <c r="L1406" s="9"/>
      <c r="M1406" s="9"/>
      <c r="N1406" s="9"/>
      <c r="O1406" s="9"/>
      <c r="P1406" s="9"/>
      <c r="Q1406" s="9"/>
      <c r="R1406" s="9"/>
      <c r="S1406" s="9"/>
      <c r="T1406" s="9"/>
      <c r="U1406" s="9"/>
      <c r="V1406" s="9"/>
      <c r="W1406" s="9"/>
      <c r="X1406" s="9"/>
      <c r="Y1406" s="9"/>
      <c r="Z1406" s="9"/>
      <c r="AA1406" s="9"/>
      <c r="AB1406" s="9"/>
      <c r="AC1406" s="9"/>
      <c r="AD1406" s="9"/>
      <c r="AE1406" s="9"/>
      <c r="AF1406" s="9"/>
      <c r="AG1406" s="9"/>
      <c r="AH1406" s="9"/>
    </row>
    <row r="1407" spans="1:34" s="20" customFormat="1" ht="14" x14ac:dyDescent="0.2">
      <c r="A1407" s="8"/>
      <c r="B1407" s="8" t="s">
        <v>44</v>
      </c>
      <c r="C1407" s="8"/>
      <c r="D1407" s="8" t="str">
        <f>'Assumptions - General'!$E$27 &amp;" millions"</f>
        <v>R$ millions</v>
      </c>
      <c r="E1407" s="12">
        <f t="shared" ref="E1407:AH1407" si="551">IF(E21=1,E260+E678+E1147+E1401,0)</f>
        <v>3000</v>
      </c>
      <c r="F1407" s="12">
        <f t="shared" si="551"/>
        <v>3158.666666666667</v>
      </c>
      <c r="G1407" s="12">
        <f t="shared" si="551"/>
        <v>3324.1533333333336</v>
      </c>
      <c r="H1407" s="12">
        <f t="shared" si="551"/>
        <v>3715.2718000000009</v>
      </c>
      <c r="I1407" s="12">
        <f t="shared" si="551"/>
        <v>4126.8656366666673</v>
      </c>
      <c r="J1407" s="12">
        <f t="shared" si="551"/>
        <v>4250.6716057666672</v>
      </c>
      <c r="K1407" s="12">
        <f t="shared" si="551"/>
        <v>4378.1917539396673</v>
      </c>
      <c r="L1407" s="12">
        <f t="shared" si="551"/>
        <v>4509.5375065578573</v>
      </c>
      <c r="M1407" s="12">
        <f t="shared" si="551"/>
        <v>4644.8236317545934</v>
      </c>
      <c r="N1407" s="12">
        <f t="shared" si="551"/>
        <v>4784.1683407072305</v>
      </c>
      <c r="O1407" s="12">
        <f t="shared" si="551"/>
        <v>4927.693390928448</v>
      </c>
      <c r="P1407" s="12">
        <f t="shared" si="551"/>
        <v>5075.5241926563012</v>
      </c>
      <c r="Q1407" s="12">
        <f t="shared" si="551"/>
        <v>5227.7899184359921</v>
      </c>
      <c r="R1407" s="12">
        <f t="shared" si="551"/>
        <v>5384.6236159890723</v>
      </c>
      <c r="S1407" s="12">
        <f t="shared" si="551"/>
        <v>5546.1623244687435</v>
      </c>
      <c r="T1407" s="12">
        <f t="shared" si="551"/>
        <v>5712.5471942028062</v>
      </c>
      <c r="U1407" s="12">
        <f t="shared" si="551"/>
        <v>5883.9236100288899</v>
      </c>
      <c r="V1407" s="12">
        <f t="shared" si="551"/>
        <v>6060.4413183297565</v>
      </c>
      <c r="W1407" s="12">
        <f t="shared" si="551"/>
        <v>6242.2545578796498</v>
      </c>
      <c r="X1407" s="12">
        <f t="shared" si="551"/>
        <v>6429.5221946160391</v>
      </c>
      <c r="Y1407" s="12">
        <f t="shared" si="551"/>
        <v>6622.4078604545202</v>
      </c>
      <c r="Z1407" s="12">
        <f t="shared" si="551"/>
        <v>6821.0800962681551</v>
      </c>
      <c r="AA1407" s="12">
        <f t="shared" si="551"/>
        <v>7025.7124991562005</v>
      </c>
      <c r="AB1407" s="12">
        <f t="shared" si="551"/>
        <v>7236.4838741308877</v>
      </c>
      <c r="AC1407" s="12">
        <f t="shared" si="551"/>
        <v>7453.5783903548127</v>
      </c>
      <c r="AD1407" s="12">
        <f t="shared" si="551"/>
        <v>7677.1857420654578</v>
      </c>
      <c r="AE1407" s="12">
        <f t="shared" si="551"/>
        <v>7907.5013143274218</v>
      </c>
      <c r="AF1407" s="12">
        <f t="shared" si="551"/>
        <v>8144.7263537572435</v>
      </c>
      <c r="AG1407" s="12">
        <f t="shared" si="551"/>
        <v>8389.0681443699614</v>
      </c>
      <c r="AH1407" s="12">
        <f t="shared" si="551"/>
        <v>8640.7401887010601</v>
      </c>
    </row>
    <row r="1408" spans="1:34" s="20" customFormat="1" ht="14" x14ac:dyDescent="0.2">
      <c r="A1408" s="8"/>
      <c r="B1408" s="30" t="s">
        <v>297</v>
      </c>
      <c r="C1408" s="8"/>
      <c r="D1408" s="8" t="s">
        <v>15</v>
      </c>
      <c r="E1408" s="128" t="str">
        <f t="shared" ref="E1408:AH1408" si="552">IF(AND(($E$4+SUM($F$21:$AH$21))=E$4,$E$1407&gt;0),(E1407/$E1407)^(1/SUM($F$21:$AH$21))-1," ")</f>
        <v xml:space="preserve"> </v>
      </c>
      <c r="F1408" s="128" t="str">
        <f t="shared" si="552"/>
        <v xml:space="preserve"> </v>
      </c>
      <c r="G1408" s="128" t="str">
        <f t="shared" si="552"/>
        <v xml:space="preserve"> </v>
      </c>
      <c r="H1408" s="128" t="str">
        <f t="shared" si="552"/>
        <v xml:space="preserve"> </v>
      </c>
      <c r="I1408" s="128" t="str">
        <f t="shared" si="552"/>
        <v xml:space="preserve"> </v>
      </c>
      <c r="J1408" s="128" t="str">
        <f t="shared" si="552"/>
        <v xml:space="preserve"> </v>
      </c>
      <c r="K1408" s="128" t="str">
        <f t="shared" si="552"/>
        <v xml:space="preserve"> </v>
      </c>
      <c r="L1408" s="128" t="str">
        <f t="shared" si="552"/>
        <v xml:space="preserve"> </v>
      </c>
      <c r="M1408" s="128" t="str">
        <f t="shared" si="552"/>
        <v xml:space="preserve"> </v>
      </c>
      <c r="N1408" s="128" t="str">
        <f t="shared" si="552"/>
        <v xml:space="preserve"> </v>
      </c>
      <c r="O1408" s="128" t="str">
        <f t="shared" si="552"/>
        <v xml:space="preserve"> </v>
      </c>
      <c r="P1408" s="128" t="str">
        <f t="shared" si="552"/>
        <v xml:space="preserve"> </v>
      </c>
      <c r="Q1408" s="128" t="str">
        <f t="shared" si="552"/>
        <v xml:space="preserve"> </v>
      </c>
      <c r="R1408" s="128" t="str">
        <f t="shared" si="552"/>
        <v xml:space="preserve"> </v>
      </c>
      <c r="S1408" s="128" t="str">
        <f t="shared" si="552"/>
        <v xml:space="preserve"> </v>
      </c>
      <c r="T1408" s="128" t="str">
        <f t="shared" si="552"/>
        <v xml:space="preserve"> </v>
      </c>
      <c r="U1408" s="128" t="str">
        <f t="shared" si="552"/>
        <v xml:space="preserve"> </v>
      </c>
      <c r="V1408" s="128" t="str">
        <f t="shared" si="552"/>
        <v xml:space="preserve"> </v>
      </c>
      <c r="W1408" s="128" t="str">
        <f t="shared" si="552"/>
        <v xml:space="preserve"> </v>
      </c>
      <c r="X1408" s="128" t="str">
        <f t="shared" si="552"/>
        <v xml:space="preserve"> </v>
      </c>
      <c r="Y1408" s="128" t="str">
        <f t="shared" si="552"/>
        <v xml:space="preserve"> </v>
      </c>
      <c r="Z1408" s="128" t="str">
        <f t="shared" si="552"/>
        <v xml:space="preserve"> </v>
      </c>
      <c r="AA1408" s="128" t="str">
        <f t="shared" si="552"/>
        <v xml:space="preserve"> </v>
      </c>
      <c r="AB1408" s="128" t="str">
        <f t="shared" si="552"/>
        <v xml:space="preserve"> </v>
      </c>
      <c r="AC1408" s="128" t="str">
        <f t="shared" si="552"/>
        <v xml:space="preserve"> </v>
      </c>
      <c r="AD1408" s="128" t="str">
        <f t="shared" si="552"/>
        <v xml:space="preserve"> </v>
      </c>
      <c r="AE1408" s="128" t="str">
        <f t="shared" si="552"/>
        <v xml:space="preserve"> </v>
      </c>
      <c r="AF1408" s="128" t="str">
        <f t="shared" si="552"/>
        <v xml:space="preserve"> </v>
      </c>
      <c r="AG1408" s="128" t="str">
        <f t="shared" si="552"/>
        <v xml:space="preserve"> </v>
      </c>
      <c r="AH1408" s="128">
        <f t="shared" si="552"/>
        <v>3.7151985714142688E-2</v>
      </c>
    </row>
    <row r="1409" spans="1:34" s="20" customFormat="1" ht="14" x14ac:dyDescent="0.2">
      <c r="A1409" s="8"/>
      <c r="B1409" s="8" t="s">
        <v>45</v>
      </c>
      <c r="C1409" s="8"/>
      <c r="D1409" s="8" t="str">
        <f>'Assumptions - General'!$E$27 &amp;" millions"</f>
        <v>R$ millions</v>
      </c>
      <c r="E1409" s="448">
        <f t="shared" ref="E1409:AH1409" si="553">IF(E21=1,E262+E680+E1149,0)</f>
        <v>1500</v>
      </c>
      <c r="F1409" s="448">
        <f t="shared" si="553"/>
        <v>1572.7715320121952</v>
      </c>
      <c r="G1409" s="448">
        <f t="shared" si="553"/>
        <v>1619.9546779725611</v>
      </c>
      <c r="H1409" s="448">
        <f t="shared" si="553"/>
        <v>1715.5064315929881</v>
      </c>
      <c r="I1409" s="448">
        <f t="shared" si="553"/>
        <v>1863.6950379001528</v>
      </c>
      <c r="J1409" s="448">
        <f t="shared" si="553"/>
        <v>1969.418446917236</v>
      </c>
      <c r="K1409" s="448">
        <f t="shared" si="553"/>
        <v>2198.689856613566</v>
      </c>
      <c r="L1409" s="448">
        <f t="shared" si="553"/>
        <v>2317.4966949669479</v>
      </c>
      <c r="M1409" s="448">
        <f t="shared" si="553"/>
        <v>2441.4531227505804</v>
      </c>
      <c r="N1409" s="448">
        <f t="shared" si="553"/>
        <v>2570.761189175761</v>
      </c>
      <c r="O1409" s="448">
        <f t="shared" si="553"/>
        <v>2705.6304317759764</v>
      </c>
      <c r="P1409" s="448">
        <f t="shared" si="553"/>
        <v>2846.2781438619472</v>
      </c>
      <c r="Q1409" s="448">
        <f t="shared" si="553"/>
        <v>2992.9296512844771</v>
      </c>
      <c r="R1409" s="448">
        <f t="shared" si="553"/>
        <v>3145.8185988228834</v>
      </c>
      <c r="S1409" s="448">
        <f t="shared" si="553"/>
        <v>3305.1872465274382</v>
      </c>
      <c r="T1409" s="448">
        <f t="shared" si="553"/>
        <v>3471.2867763553259</v>
      </c>
      <c r="U1409" s="448">
        <f t="shared" si="553"/>
        <v>3644.3776094510122</v>
      </c>
      <c r="V1409" s="448">
        <f t="shared" si="553"/>
        <v>3824.7297344337185</v>
      </c>
      <c r="W1409" s="448">
        <f t="shared" si="553"/>
        <v>4012.6230470668825</v>
      </c>
      <c r="X1409" s="448">
        <f t="shared" si="553"/>
        <v>4208.3477016970455</v>
      </c>
      <c r="Y1409" s="448">
        <f t="shared" si="553"/>
        <v>4412.2044748626577</v>
      </c>
      <c r="Z1409" s="448">
        <f t="shared" si="553"/>
        <v>4624.5051414866803</v>
      </c>
      <c r="AA1409" s="448">
        <f t="shared" si="553"/>
        <v>4845.5728640807683</v>
      </c>
      <c r="AB1409" s="448">
        <f t="shared" si="553"/>
        <v>5075.7425954031623</v>
      </c>
      <c r="AC1409" s="448">
        <f t="shared" si="553"/>
        <v>5315.3614950272276</v>
      </c>
      <c r="AD1409" s="448">
        <f t="shared" si="553"/>
        <v>5564.7893602928743</v>
      </c>
      <c r="AE1409" s="448">
        <f t="shared" si="553"/>
        <v>5824.3990721289347</v>
      </c>
      <c r="AF1409" s="448">
        <f t="shared" si="553"/>
        <v>6094.5770562508951</v>
      </c>
      <c r="AG1409" s="448">
        <f t="shared" si="553"/>
        <v>6375.7237602552577</v>
      </c>
      <c r="AH1409" s="448">
        <f t="shared" si="553"/>
        <v>6668.2541471492559</v>
      </c>
    </row>
    <row r="1410" spans="1:34" s="20" customFormat="1" ht="14" x14ac:dyDescent="0.2">
      <c r="A1410" s="8"/>
      <c r="B1410" s="30" t="s">
        <v>297</v>
      </c>
      <c r="C1410" s="8"/>
      <c r="D1410" s="8" t="s">
        <v>15</v>
      </c>
      <c r="E1410" s="128" t="str">
        <f t="shared" ref="E1410:AH1410" si="554">IF(AND(($E$4+SUM($F$21:$AH$21))=E$4,$E$1409&gt;0),(E1409/$E1409)^(1/SUM($F$21:$AH$21))-1," ")</f>
        <v xml:space="preserve"> </v>
      </c>
      <c r="F1410" s="128" t="str">
        <f t="shared" si="554"/>
        <v xml:space="preserve"> </v>
      </c>
      <c r="G1410" s="128" t="str">
        <f t="shared" si="554"/>
        <v xml:space="preserve"> </v>
      </c>
      <c r="H1410" s="128" t="str">
        <f t="shared" si="554"/>
        <v xml:space="preserve"> </v>
      </c>
      <c r="I1410" s="128" t="str">
        <f t="shared" si="554"/>
        <v xml:space="preserve"> </v>
      </c>
      <c r="J1410" s="128" t="str">
        <f t="shared" si="554"/>
        <v xml:space="preserve"> </v>
      </c>
      <c r="K1410" s="128" t="str">
        <f t="shared" si="554"/>
        <v xml:space="preserve"> </v>
      </c>
      <c r="L1410" s="128" t="str">
        <f t="shared" si="554"/>
        <v xml:space="preserve"> </v>
      </c>
      <c r="M1410" s="128" t="str">
        <f t="shared" si="554"/>
        <v xml:space="preserve"> </v>
      </c>
      <c r="N1410" s="128" t="str">
        <f t="shared" si="554"/>
        <v xml:space="preserve"> </v>
      </c>
      <c r="O1410" s="128" t="str">
        <f t="shared" si="554"/>
        <v xml:space="preserve"> </v>
      </c>
      <c r="P1410" s="128" t="str">
        <f t="shared" si="554"/>
        <v xml:space="preserve"> </v>
      </c>
      <c r="Q1410" s="128" t="str">
        <f t="shared" si="554"/>
        <v xml:space="preserve"> </v>
      </c>
      <c r="R1410" s="128" t="str">
        <f t="shared" si="554"/>
        <v xml:space="preserve"> </v>
      </c>
      <c r="S1410" s="128" t="str">
        <f t="shared" si="554"/>
        <v xml:space="preserve"> </v>
      </c>
      <c r="T1410" s="128" t="str">
        <f t="shared" si="554"/>
        <v xml:space="preserve"> </v>
      </c>
      <c r="U1410" s="128" t="str">
        <f t="shared" si="554"/>
        <v xml:space="preserve"> </v>
      </c>
      <c r="V1410" s="128" t="str">
        <f t="shared" si="554"/>
        <v xml:space="preserve"> </v>
      </c>
      <c r="W1410" s="128" t="str">
        <f t="shared" si="554"/>
        <v xml:space="preserve"> </v>
      </c>
      <c r="X1410" s="128" t="str">
        <f t="shared" si="554"/>
        <v xml:space="preserve"> </v>
      </c>
      <c r="Y1410" s="128" t="str">
        <f t="shared" si="554"/>
        <v xml:space="preserve"> </v>
      </c>
      <c r="Z1410" s="128" t="str">
        <f t="shared" si="554"/>
        <v xml:space="preserve"> </v>
      </c>
      <c r="AA1410" s="128" t="str">
        <f t="shared" si="554"/>
        <v xml:space="preserve"> </v>
      </c>
      <c r="AB1410" s="128" t="str">
        <f t="shared" si="554"/>
        <v xml:space="preserve"> </v>
      </c>
      <c r="AC1410" s="128" t="str">
        <f t="shared" si="554"/>
        <v xml:space="preserve"> </v>
      </c>
      <c r="AD1410" s="128" t="str">
        <f t="shared" si="554"/>
        <v xml:space="preserve"> </v>
      </c>
      <c r="AE1410" s="128" t="str">
        <f t="shared" si="554"/>
        <v xml:space="preserve"> </v>
      </c>
      <c r="AF1410" s="128" t="str">
        <f t="shared" si="554"/>
        <v xml:space="preserve"> </v>
      </c>
      <c r="AG1410" s="128" t="str">
        <f t="shared" si="554"/>
        <v xml:space="preserve"> </v>
      </c>
      <c r="AH1410" s="128">
        <f t="shared" si="554"/>
        <v>5.2790844470797404E-2</v>
      </c>
    </row>
    <row r="1411" spans="1:34" s="20" customFormat="1" ht="14" x14ac:dyDescent="0.2">
      <c r="A1411" s="8"/>
      <c r="B1411" s="8" t="s">
        <v>46</v>
      </c>
      <c r="C1411" s="8"/>
      <c r="D1411" s="8" t="str">
        <f>'Assumptions - General'!$E$27 &amp;" millions"</f>
        <v>R$ millions</v>
      </c>
      <c r="E1411" s="448">
        <f t="shared" ref="E1411:AH1411" si="555">IF(E21=1,E264+E682+E1151,0)</f>
        <v>1500</v>
      </c>
      <c r="F1411" s="448">
        <f t="shared" si="555"/>
        <v>1559.5825076219512</v>
      </c>
      <c r="G1411" s="448">
        <f t="shared" si="555"/>
        <v>1592.7852877286584</v>
      </c>
      <c r="H1411" s="448">
        <f t="shared" si="555"/>
        <v>1673.5297236661588</v>
      </c>
      <c r="I1411" s="448">
        <f t="shared" si="555"/>
        <v>1806.0470256806407</v>
      </c>
      <c r="J1411" s="448">
        <f t="shared" si="555"/>
        <v>1895.196631184614</v>
      </c>
      <c r="K1411" s="448">
        <f t="shared" si="555"/>
        <v>2095.4844218373555</v>
      </c>
      <c r="L1411" s="448">
        <f t="shared" si="555"/>
        <v>2193.4781641775353</v>
      </c>
      <c r="M1411" s="448">
        <f t="shared" si="555"/>
        <v>2295.4655950784718</v>
      </c>
      <c r="N1411" s="448">
        <f t="shared" si="555"/>
        <v>2401.5981414857047</v>
      </c>
      <c r="O1411" s="448">
        <f t="shared" si="555"/>
        <v>2512.0327216418009</v>
      </c>
      <c r="P1411" s="448">
        <f t="shared" si="555"/>
        <v>2626.9319382799258</v>
      </c>
      <c r="Q1411" s="448">
        <f t="shared" si="555"/>
        <v>2746.4642784668604</v>
      </c>
      <c r="R1411" s="448">
        <f t="shared" si="555"/>
        <v>2870.8043203205598</v>
      </c>
      <c r="S1411" s="448">
        <f t="shared" si="555"/>
        <v>3000.1329468348613</v>
      </c>
      <c r="T1411" s="448">
        <f t="shared" si="555"/>
        <v>3134.6375670517314</v>
      </c>
      <c r="U1411" s="448">
        <f t="shared" si="555"/>
        <v>3274.512344829463</v>
      </c>
      <c r="V1411" s="448">
        <f t="shared" si="555"/>
        <v>3419.9584354635117</v>
      </c>
      <c r="W1411" s="448">
        <f t="shared" si="555"/>
        <v>3571.1842304252568</v>
      </c>
      <c r="X1411" s="448">
        <f t="shared" si="555"/>
        <v>3728.405610492789</v>
      </c>
      <c r="Y1411" s="448">
        <f t="shared" si="555"/>
        <v>3891.8462075569905</v>
      </c>
      <c r="Z1411" s="448">
        <f t="shared" si="555"/>
        <v>4061.7376753956005</v>
      </c>
      <c r="AA1411" s="448">
        <f t="shared" si="555"/>
        <v>4238.3199697177261</v>
      </c>
      <c r="AB1411" s="448">
        <f t="shared" si="555"/>
        <v>4421.8416377913236</v>
      </c>
      <c r="AC1411" s="448">
        <f t="shared" si="555"/>
        <v>4612.5601179765908</v>
      </c>
      <c r="AD1411" s="448">
        <f t="shared" si="555"/>
        <v>4810.7420494989601</v>
      </c>
      <c r="AE1411" s="448">
        <f t="shared" si="555"/>
        <v>5016.6635928064943</v>
      </c>
      <c r="AF1411" s="448">
        <f t="shared" si="555"/>
        <v>5230.6107608679313</v>
      </c>
      <c r="AG1411" s="448">
        <f t="shared" si="555"/>
        <v>5452.8797617795281</v>
      </c>
      <c r="AH1411" s="448">
        <f t="shared" si="555"/>
        <v>5683.7773530610411</v>
      </c>
    </row>
    <row r="1412" spans="1:34" s="20" customFormat="1" ht="14" x14ac:dyDescent="0.2">
      <c r="A1412" s="8"/>
      <c r="B1412" s="30" t="s">
        <v>297</v>
      </c>
      <c r="C1412" s="8"/>
      <c r="D1412" s="8" t="s">
        <v>15</v>
      </c>
      <c r="E1412" s="128" t="str">
        <f t="shared" ref="E1412:AH1412" si="556">IF(AND(($E$4+SUM($F$21:$AH$21))=E$4,$E$1411&gt;0),(E1411/$E1411)^(1/SUM($F$21:$AH$21))-1," ")</f>
        <v xml:space="preserve"> </v>
      </c>
      <c r="F1412" s="128" t="str">
        <f t="shared" si="556"/>
        <v xml:space="preserve"> </v>
      </c>
      <c r="G1412" s="128" t="str">
        <f t="shared" si="556"/>
        <v xml:space="preserve"> </v>
      </c>
      <c r="H1412" s="128" t="str">
        <f t="shared" si="556"/>
        <v xml:space="preserve"> </v>
      </c>
      <c r="I1412" s="128" t="str">
        <f t="shared" si="556"/>
        <v xml:space="preserve"> </v>
      </c>
      <c r="J1412" s="128" t="str">
        <f t="shared" si="556"/>
        <v xml:space="preserve"> </v>
      </c>
      <c r="K1412" s="128" t="str">
        <f t="shared" si="556"/>
        <v xml:space="preserve"> </v>
      </c>
      <c r="L1412" s="128" t="str">
        <f t="shared" si="556"/>
        <v xml:space="preserve"> </v>
      </c>
      <c r="M1412" s="128" t="str">
        <f t="shared" si="556"/>
        <v xml:space="preserve"> </v>
      </c>
      <c r="N1412" s="128" t="str">
        <f t="shared" si="556"/>
        <v xml:space="preserve"> </v>
      </c>
      <c r="O1412" s="128" t="str">
        <f t="shared" si="556"/>
        <v xml:space="preserve"> </v>
      </c>
      <c r="P1412" s="128" t="str">
        <f t="shared" si="556"/>
        <v xml:space="preserve"> </v>
      </c>
      <c r="Q1412" s="128" t="str">
        <f t="shared" si="556"/>
        <v xml:space="preserve"> </v>
      </c>
      <c r="R1412" s="128" t="str">
        <f t="shared" si="556"/>
        <v xml:space="preserve"> </v>
      </c>
      <c r="S1412" s="128" t="str">
        <f t="shared" si="556"/>
        <v xml:space="preserve"> </v>
      </c>
      <c r="T1412" s="128" t="str">
        <f t="shared" si="556"/>
        <v xml:space="preserve"> </v>
      </c>
      <c r="U1412" s="128" t="str">
        <f t="shared" si="556"/>
        <v xml:space="preserve"> </v>
      </c>
      <c r="V1412" s="128" t="str">
        <f t="shared" si="556"/>
        <v xml:space="preserve"> </v>
      </c>
      <c r="W1412" s="128" t="str">
        <f t="shared" si="556"/>
        <v xml:space="preserve"> </v>
      </c>
      <c r="X1412" s="128" t="str">
        <f t="shared" si="556"/>
        <v xml:space="preserve"> </v>
      </c>
      <c r="Y1412" s="128" t="str">
        <f t="shared" si="556"/>
        <v xml:space="preserve"> </v>
      </c>
      <c r="Z1412" s="128" t="str">
        <f t="shared" si="556"/>
        <v xml:space="preserve"> </v>
      </c>
      <c r="AA1412" s="128" t="str">
        <f t="shared" si="556"/>
        <v xml:space="preserve"> </v>
      </c>
      <c r="AB1412" s="128" t="str">
        <f t="shared" si="556"/>
        <v xml:space="preserve"> </v>
      </c>
      <c r="AC1412" s="128" t="str">
        <f t="shared" si="556"/>
        <v xml:space="preserve"> </v>
      </c>
      <c r="AD1412" s="128" t="str">
        <f t="shared" si="556"/>
        <v xml:space="preserve"> </v>
      </c>
      <c r="AE1412" s="128" t="str">
        <f t="shared" si="556"/>
        <v xml:space="preserve"> </v>
      </c>
      <c r="AF1412" s="128" t="str">
        <f t="shared" si="556"/>
        <v xml:space="preserve"> </v>
      </c>
      <c r="AG1412" s="128" t="str">
        <f t="shared" si="556"/>
        <v xml:space="preserve"> </v>
      </c>
      <c r="AH1412" s="128">
        <f t="shared" si="556"/>
        <v>4.7007650557183478E-2</v>
      </c>
    </row>
    <row r="1413" spans="1:34" s="20" customFormat="1" ht="14" x14ac:dyDescent="0.2">
      <c r="A1413" s="8"/>
      <c r="B1413" s="8" t="s">
        <v>218</v>
      </c>
      <c r="C1413" s="8"/>
      <c r="D1413" s="8" t="str">
        <f>'Assumptions - General'!$E$27 &amp;" millions"</f>
        <v>R$ millions</v>
      </c>
      <c r="E1413" s="448">
        <f t="shared" ref="E1413:AH1413" si="557">IF(E21=1,E266+E684+E1153,0)</f>
        <v>1500</v>
      </c>
      <c r="F1413" s="448">
        <f t="shared" si="557"/>
        <v>1585.9605564024391</v>
      </c>
      <c r="G1413" s="448">
        <f t="shared" si="557"/>
        <v>1647.1240682164635</v>
      </c>
      <c r="H1413" s="448">
        <f t="shared" si="557"/>
        <v>1757.4831395198171</v>
      </c>
      <c r="I1413" s="448">
        <f t="shared" si="557"/>
        <v>1921.3430501196649</v>
      </c>
      <c r="J1413" s="448">
        <f t="shared" si="557"/>
        <v>2043.6402626498577</v>
      </c>
      <c r="K1413" s="448">
        <f t="shared" si="557"/>
        <v>2301.895291389777</v>
      </c>
      <c r="L1413" s="448">
        <f t="shared" si="557"/>
        <v>2441.5152257563618</v>
      </c>
      <c r="M1413" s="448">
        <f t="shared" si="557"/>
        <v>2587.4406504226899</v>
      </c>
      <c r="N1413" s="448">
        <f t="shared" si="557"/>
        <v>2739.9242368658179</v>
      </c>
      <c r="O1413" s="448">
        <f t="shared" si="557"/>
        <v>2899.2281419101528</v>
      </c>
      <c r="P1413" s="448">
        <f t="shared" si="557"/>
        <v>3065.6243494439686</v>
      </c>
      <c r="Q1413" s="448">
        <f t="shared" si="557"/>
        <v>3239.3950241020943</v>
      </c>
      <c r="R1413" s="448">
        <f t="shared" si="557"/>
        <v>3420.8328773252078</v>
      </c>
      <c r="S1413" s="448">
        <f t="shared" si="557"/>
        <v>3610.241546220017</v>
      </c>
      <c r="T1413" s="448">
        <f t="shared" si="557"/>
        <v>3807.9359856589217</v>
      </c>
      <c r="U1413" s="448">
        <f t="shared" si="557"/>
        <v>4014.2428740725627</v>
      </c>
      <c r="V1413" s="448">
        <f t="shared" si="557"/>
        <v>4229.5010334039289</v>
      </c>
      <c r="W1413" s="448">
        <f t="shared" si="557"/>
        <v>4454.0618637085117</v>
      </c>
      <c r="X1413" s="448">
        <f t="shared" si="557"/>
        <v>4688.2897929013043</v>
      </c>
      <c r="Y1413" s="448">
        <f t="shared" si="557"/>
        <v>4932.5627421683294</v>
      </c>
      <c r="Z1413" s="448">
        <f t="shared" si="557"/>
        <v>5187.2726075777628</v>
      </c>
      <c r="AA1413" s="448">
        <f t="shared" si="557"/>
        <v>5452.8257584438124</v>
      </c>
      <c r="AB1413" s="448">
        <f t="shared" si="557"/>
        <v>5729.6435530150047</v>
      </c>
      <c r="AC1413" s="448">
        <f t="shared" si="557"/>
        <v>6018.1628720778681</v>
      </c>
      <c r="AD1413" s="448">
        <f t="shared" si="557"/>
        <v>6318.8366710867904</v>
      </c>
      <c r="AE1413" s="448">
        <f t="shared" si="557"/>
        <v>6632.1345514513778</v>
      </c>
      <c r="AF1413" s="448">
        <f t="shared" si="557"/>
        <v>6958.5433516338635</v>
      </c>
      <c r="AG1413" s="448">
        <f t="shared" si="557"/>
        <v>7298.567758730991</v>
      </c>
      <c r="AH1413" s="448">
        <f t="shared" si="557"/>
        <v>7652.7309412374761</v>
      </c>
    </row>
    <row r="1414" spans="1:34" s="20" customFormat="1" ht="14" x14ac:dyDescent="0.2">
      <c r="A1414" s="8"/>
      <c r="B1414" s="30" t="s">
        <v>297</v>
      </c>
      <c r="C1414" s="8"/>
      <c r="D1414" s="8" t="s">
        <v>15</v>
      </c>
      <c r="E1414" s="128" t="str">
        <f t="shared" ref="E1414:AH1414" si="558">IF(AND(($E$4+SUM($F$21:$AH$21))=E$4,$E$1413&gt;0),(E1413/$E1413)^(1/SUM($F$21:$AH$21))-1," ")</f>
        <v xml:space="preserve"> </v>
      </c>
      <c r="F1414" s="128" t="str">
        <f t="shared" si="558"/>
        <v xml:space="preserve"> </v>
      </c>
      <c r="G1414" s="128" t="str">
        <f t="shared" si="558"/>
        <v xml:space="preserve"> </v>
      </c>
      <c r="H1414" s="128" t="str">
        <f t="shared" si="558"/>
        <v xml:space="preserve"> </v>
      </c>
      <c r="I1414" s="128" t="str">
        <f t="shared" si="558"/>
        <v xml:space="preserve"> </v>
      </c>
      <c r="J1414" s="128" t="str">
        <f t="shared" si="558"/>
        <v xml:space="preserve"> </v>
      </c>
      <c r="K1414" s="128" t="str">
        <f t="shared" si="558"/>
        <v xml:space="preserve"> </v>
      </c>
      <c r="L1414" s="128" t="str">
        <f t="shared" si="558"/>
        <v xml:space="preserve"> </v>
      </c>
      <c r="M1414" s="128" t="str">
        <f t="shared" si="558"/>
        <v xml:space="preserve"> </v>
      </c>
      <c r="N1414" s="128" t="str">
        <f t="shared" si="558"/>
        <v xml:space="preserve"> </v>
      </c>
      <c r="O1414" s="128" t="str">
        <f t="shared" si="558"/>
        <v xml:space="preserve"> </v>
      </c>
      <c r="P1414" s="128" t="str">
        <f t="shared" si="558"/>
        <v xml:space="preserve"> </v>
      </c>
      <c r="Q1414" s="128" t="str">
        <f t="shared" si="558"/>
        <v xml:space="preserve"> </v>
      </c>
      <c r="R1414" s="128" t="str">
        <f t="shared" si="558"/>
        <v xml:space="preserve"> </v>
      </c>
      <c r="S1414" s="128" t="str">
        <f t="shared" si="558"/>
        <v xml:space="preserve"> </v>
      </c>
      <c r="T1414" s="128" t="str">
        <f t="shared" si="558"/>
        <v xml:space="preserve"> </v>
      </c>
      <c r="U1414" s="128" t="str">
        <f t="shared" si="558"/>
        <v xml:space="preserve"> </v>
      </c>
      <c r="V1414" s="128" t="str">
        <f t="shared" si="558"/>
        <v xml:space="preserve"> </v>
      </c>
      <c r="W1414" s="128" t="str">
        <f t="shared" si="558"/>
        <v xml:space="preserve"> </v>
      </c>
      <c r="X1414" s="128" t="str">
        <f t="shared" si="558"/>
        <v xml:space="preserve"> </v>
      </c>
      <c r="Y1414" s="128" t="str">
        <f t="shared" si="558"/>
        <v xml:space="preserve"> </v>
      </c>
      <c r="Z1414" s="128" t="str">
        <f t="shared" si="558"/>
        <v xml:space="preserve"> </v>
      </c>
      <c r="AA1414" s="128" t="str">
        <f t="shared" si="558"/>
        <v xml:space="preserve"> </v>
      </c>
      <c r="AB1414" s="128" t="str">
        <f t="shared" si="558"/>
        <v xml:space="preserve"> </v>
      </c>
      <c r="AC1414" s="128" t="str">
        <f t="shared" si="558"/>
        <v xml:space="preserve"> </v>
      </c>
      <c r="AD1414" s="128" t="str">
        <f t="shared" si="558"/>
        <v xml:space="preserve"> </v>
      </c>
      <c r="AE1414" s="128" t="str">
        <f t="shared" si="558"/>
        <v xml:space="preserve"> </v>
      </c>
      <c r="AF1414" s="128" t="str">
        <f t="shared" si="558"/>
        <v xml:space="preserve"> </v>
      </c>
      <c r="AG1414" s="128" t="str">
        <f t="shared" si="558"/>
        <v xml:space="preserve"> </v>
      </c>
      <c r="AH1414" s="128">
        <f t="shared" si="558"/>
        <v>5.7801836632967118E-2</v>
      </c>
    </row>
    <row r="1415" spans="1:34" s="20" customFormat="1" ht="14" x14ac:dyDescent="0.2">
      <c r="A1415" s="8"/>
      <c r="B1415" s="8" t="s">
        <v>42</v>
      </c>
      <c r="C1415" s="8"/>
      <c r="D1415" s="8" t="str">
        <f>'Assumptions - General'!$E$27 &amp;" millions"</f>
        <v>R$ millions</v>
      </c>
      <c r="E1415" s="448">
        <f t="shared" ref="E1415:AH1415" si="559">IF(E21=1,E268+E686+E1155,0)</f>
        <v>1500</v>
      </c>
      <c r="F1415" s="448">
        <f t="shared" si="559"/>
        <v>1545</v>
      </c>
      <c r="G1415" s="448">
        <f t="shared" si="559"/>
        <v>1591.3500000000001</v>
      </c>
      <c r="H1415" s="448">
        <f t="shared" si="559"/>
        <v>1639.0905000000002</v>
      </c>
      <c r="I1415" s="448">
        <f t="shared" si="559"/>
        <v>1688.2632149999999</v>
      </c>
      <c r="J1415" s="448">
        <f t="shared" si="559"/>
        <v>1738.9111114500001</v>
      </c>
      <c r="K1415" s="448">
        <f t="shared" si="559"/>
        <v>1791.0784447934998</v>
      </c>
      <c r="L1415" s="448">
        <f t="shared" si="559"/>
        <v>1844.8107981373055</v>
      </c>
      <c r="M1415" s="448">
        <f t="shared" si="559"/>
        <v>1900.1551220814245</v>
      </c>
      <c r="N1415" s="448">
        <f t="shared" si="559"/>
        <v>1957.1597757438672</v>
      </c>
      <c r="O1415" s="448">
        <f t="shared" si="559"/>
        <v>2015.8745690161832</v>
      </c>
      <c r="P1415" s="448">
        <f t="shared" si="559"/>
        <v>2076.3508060866689</v>
      </c>
      <c r="Q1415" s="448">
        <f t="shared" si="559"/>
        <v>2138.641330269269</v>
      </c>
      <c r="R1415" s="448">
        <f t="shared" si="559"/>
        <v>2202.8005701773468</v>
      </c>
      <c r="S1415" s="448">
        <f t="shared" si="559"/>
        <v>2268.8845872826673</v>
      </c>
      <c r="T1415" s="448">
        <f t="shared" si="559"/>
        <v>2336.9511249011475</v>
      </c>
      <c r="U1415" s="448">
        <f t="shared" si="559"/>
        <v>2407.0596586481815</v>
      </c>
      <c r="V1415" s="448">
        <f t="shared" si="559"/>
        <v>2479.2714484076273</v>
      </c>
      <c r="W1415" s="448">
        <f t="shared" si="559"/>
        <v>2553.6495918598562</v>
      </c>
      <c r="X1415" s="448">
        <f t="shared" si="559"/>
        <v>2630.2590796156519</v>
      </c>
      <c r="Y1415" s="448">
        <f t="shared" si="559"/>
        <v>2709.1668520041217</v>
      </c>
      <c r="Z1415" s="448">
        <f t="shared" si="559"/>
        <v>2790.4418575642453</v>
      </c>
      <c r="AA1415" s="448">
        <f t="shared" si="559"/>
        <v>2874.1551132911727</v>
      </c>
      <c r="AB1415" s="448">
        <f t="shared" si="559"/>
        <v>2960.3797666899081</v>
      </c>
      <c r="AC1415" s="448">
        <f t="shared" si="559"/>
        <v>3049.1911596906057</v>
      </c>
      <c r="AD1415" s="448">
        <f t="shared" si="559"/>
        <v>3140.6668944813237</v>
      </c>
      <c r="AE1415" s="448">
        <f t="shared" si="559"/>
        <v>3234.8869013157632</v>
      </c>
      <c r="AF1415" s="448">
        <f t="shared" si="559"/>
        <v>3331.933508355236</v>
      </c>
      <c r="AG1415" s="448">
        <f t="shared" si="559"/>
        <v>3431.891513605894</v>
      </c>
      <c r="AH1415" s="448">
        <f t="shared" si="559"/>
        <v>3534.8482590140707</v>
      </c>
    </row>
    <row r="1416" spans="1:34" s="20" customFormat="1" ht="14" x14ac:dyDescent="0.2">
      <c r="A1416" s="8"/>
      <c r="B1416" s="30" t="s">
        <v>297</v>
      </c>
      <c r="C1416" s="8"/>
      <c r="D1416" s="8" t="s">
        <v>15</v>
      </c>
      <c r="E1416" s="128" t="str">
        <f t="shared" ref="E1416:AH1416" si="560">IF(AND(($E$4+SUM($F$21:$AH$21))=E$4,$E$1415&gt;0),(E1415/$E1415)^(1/SUM($F$21:$AH$21))-1," ")</f>
        <v xml:space="preserve"> </v>
      </c>
      <c r="F1416" s="128" t="str">
        <f t="shared" si="560"/>
        <v xml:space="preserve"> </v>
      </c>
      <c r="G1416" s="128" t="str">
        <f t="shared" si="560"/>
        <v xml:space="preserve"> </v>
      </c>
      <c r="H1416" s="128" t="str">
        <f t="shared" si="560"/>
        <v xml:space="preserve"> </v>
      </c>
      <c r="I1416" s="128" t="str">
        <f t="shared" si="560"/>
        <v xml:space="preserve"> </v>
      </c>
      <c r="J1416" s="128" t="str">
        <f t="shared" si="560"/>
        <v xml:space="preserve"> </v>
      </c>
      <c r="K1416" s="128" t="str">
        <f t="shared" si="560"/>
        <v xml:space="preserve"> </v>
      </c>
      <c r="L1416" s="128" t="str">
        <f t="shared" si="560"/>
        <v xml:space="preserve"> </v>
      </c>
      <c r="M1416" s="128" t="str">
        <f t="shared" si="560"/>
        <v xml:space="preserve"> </v>
      </c>
      <c r="N1416" s="128" t="str">
        <f t="shared" si="560"/>
        <v xml:space="preserve"> </v>
      </c>
      <c r="O1416" s="128" t="str">
        <f t="shared" si="560"/>
        <v xml:space="preserve"> </v>
      </c>
      <c r="P1416" s="128" t="str">
        <f t="shared" si="560"/>
        <v xml:space="preserve"> </v>
      </c>
      <c r="Q1416" s="128" t="str">
        <f t="shared" si="560"/>
        <v xml:space="preserve"> </v>
      </c>
      <c r="R1416" s="128" t="str">
        <f t="shared" si="560"/>
        <v xml:space="preserve"> </v>
      </c>
      <c r="S1416" s="128" t="str">
        <f t="shared" si="560"/>
        <v xml:space="preserve"> </v>
      </c>
      <c r="T1416" s="128" t="str">
        <f t="shared" si="560"/>
        <v xml:space="preserve"> </v>
      </c>
      <c r="U1416" s="128" t="str">
        <f t="shared" si="560"/>
        <v xml:space="preserve"> </v>
      </c>
      <c r="V1416" s="128" t="str">
        <f t="shared" si="560"/>
        <v xml:space="preserve"> </v>
      </c>
      <c r="W1416" s="128" t="str">
        <f t="shared" si="560"/>
        <v xml:space="preserve"> </v>
      </c>
      <c r="X1416" s="128" t="str">
        <f t="shared" si="560"/>
        <v xml:space="preserve"> </v>
      </c>
      <c r="Y1416" s="128" t="str">
        <f t="shared" si="560"/>
        <v xml:space="preserve"> </v>
      </c>
      <c r="Z1416" s="128" t="str">
        <f t="shared" si="560"/>
        <v xml:space="preserve"> </v>
      </c>
      <c r="AA1416" s="128" t="str">
        <f t="shared" si="560"/>
        <v xml:space="preserve"> </v>
      </c>
      <c r="AB1416" s="128" t="str">
        <f t="shared" si="560"/>
        <v xml:space="preserve"> </v>
      </c>
      <c r="AC1416" s="128" t="str">
        <f t="shared" si="560"/>
        <v xml:space="preserve"> </v>
      </c>
      <c r="AD1416" s="128" t="str">
        <f t="shared" si="560"/>
        <v xml:space="preserve"> </v>
      </c>
      <c r="AE1416" s="128" t="str">
        <f t="shared" si="560"/>
        <v xml:space="preserve"> </v>
      </c>
      <c r="AF1416" s="128" t="str">
        <f t="shared" si="560"/>
        <v xml:space="preserve"> </v>
      </c>
      <c r="AG1416" s="128" t="str">
        <f t="shared" si="560"/>
        <v xml:space="preserve"> </v>
      </c>
      <c r="AH1416" s="128">
        <f t="shared" si="560"/>
        <v>3.0000000000000027E-2</v>
      </c>
    </row>
    <row r="1417" spans="1:34" s="20" customFormat="1" ht="14" x14ac:dyDescent="0.2">
      <c r="A1417" s="8"/>
      <c r="B1417" s="8" t="s">
        <v>43</v>
      </c>
      <c r="C1417" s="8"/>
      <c r="D1417" s="8" t="str">
        <f>'Assumptions - General'!$E$27 &amp;" millions"</f>
        <v>R$ millions</v>
      </c>
      <c r="E1417" s="448">
        <f t="shared" ref="E1417:AH1417" si="561">IF(E21=1,E1403+E270+E688+E1157,0)</f>
        <v>1500</v>
      </c>
      <c r="F1417" s="448">
        <f t="shared" si="561"/>
        <v>1545</v>
      </c>
      <c r="G1417" s="448">
        <f t="shared" si="561"/>
        <v>1591.3500000000001</v>
      </c>
      <c r="H1417" s="448">
        <f t="shared" si="561"/>
        <v>1639.0905000000002</v>
      </c>
      <c r="I1417" s="448">
        <f t="shared" si="561"/>
        <v>1688.2632149999999</v>
      </c>
      <c r="J1417" s="448">
        <f t="shared" si="561"/>
        <v>1738.9111114500001</v>
      </c>
      <c r="K1417" s="448">
        <f t="shared" si="561"/>
        <v>1791.0784447934998</v>
      </c>
      <c r="L1417" s="448">
        <f t="shared" si="561"/>
        <v>1844.8107981373055</v>
      </c>
      <c r="M1417" s="448">
        <f t="shared" si="561"/>
        <v>1900.1551220814245</v>
      </c>
      <c r="N1417" s="448">
        <f t="shared" si="561"/>
        <v>1957.1597757438672</v>
      </c>
      <c r="O1417" s="448">
        <f t="shared" si="561"/>
        <v>2015.8745690161832</v>
      </c>
      <c r="P1417" s="448">
        <f t="shared" si="561"/>
        <v>2076.3508060866689</v>
      </c>
      <c r="Q1417" s="448">
        <f t="shared" si="561"/>
        <v>2138.641330269269</v>
      </c>
      <c r="R1417" s="448">
        <f t="shared" si="561"/>
        <v>2202.8005701773468</v>
      </c>
      <c r="S1417" s="448">
        <f t="shared" si="561"/>
        <v>2268.8845872826673</v>
      </c>
      <c r="T1417" s="448">
        <f t="shared" si="561"/>
        <v>2336.9511249011475</v>
      </c>
      <c r="U1417" s="448">
        <f t="shared" si="561"/>
        <v>2407.0596586481815</v>
      </c>
      <c r="V1417" s="448">
        <f t="shared" si="561"/>
        <v>2479.2714484076273</v>
      </c>
      <c r="W1417" s="448">
        <f t="shared" si="561"/>
        <v>2553.6495918598562</v>
      </c>
      <c r="X1417" s="448">
        <f t="shared" si="561"/>
        <v>2630.2590796156519</v>
      </c>
      <c r="Y1417" s="448">
        <f t="shared" si="561"/>
        <v>2709.1668520041217</v>
      </c>
      <c r="Z1417" s="448">
        <f t="shared" si="561"/>
        <v>2790.4418575642453</v>
      </c>
      <c r="AA1417" s="448">
        <f t="shared" si="561"/>
        <v>2874.1551132911727</v>
      </c>
      <c r="AB1417" s="448">
        <f t="shared" si="561"/>
        <v>2960.3797666899081</v>
      </c>
      <c r="AC1417" s="448">
        <f t="shared" si="561"/>
        <v>3049.1911596906057</v>
      </c>
      <c r="AD1417" s="448">
        <f t="shared" si="561"/>
        <v>3140.6668944813237</v>
      </c>
      <c r="AE1417" s="448">
        <f t="shared" si="561"/>
        <v>3234.8869013157632</v>
      </c>
      <c r="AF1417" s="448">
        <f t="shared" si="561"/>
        <v>3331.933508355236</v>
      </c>
      <c r="AG1417" s="448">
        <f t="shared" si="561"/>
        <v>3431.891513605894</v>
      </c>
      <c r="AH1417" s="448">
        <f t="shared" si="561"/>
        <v>3534.8482590140707</v>
      </c>
    </row>
    <row r="1418" spans="1:34" s="20" customFormat="1" ht="14" x14ac:dyDescent="0.2">
      <c r="A1418" s="8"/>
      <c r="B1418" s="30" t="s">
        <v>297</v>
      </c>
      <c r="C1418" s="8"/>
      <c r="D1418" s="8" t="s">
        <v>15</v>
      </c>
      <c r="E1418" s="128" t="str">
        <f t="shared" ref="E1418:AH1418" si="562">IF(AND(($E$4+SUM($F$21:$AH$21))=E$4,$E$1417&gt;0),(E1417/$E1417)^(1/SUM($F$21:$AH$21))-1," ")</f>
        <v xml:space="preserve"> </v>
      </c>
      <c r="F1418" s="128" t="str">
        <f t="shared" si="562"/>
        <v xml:space="preserve"> </v>
      </c>
      <c r="G1418" s="128" t="str">
        <f t="shared" si="562"/>
        <v xml:space="preserve"> </v>
      </c>
      <c r="H1418" s="128" t="str">
        <f t="shared" si="562"/>
        <v xml:space="preserve"> </v>
      </c>
      <c r="I1418" s="128" t="str">
        <f t="shared" si="562"/>
        <v xml:space="preserve"> </v>
      </c>
      <c r="J1418" s="128" t="str">
        <f t="shared" si="562"/>
        <v xml:space="preserve"> </v>
      </c>
      <c r="K1418" s="128" t="str">
        <f t="shared" si="562"/>
        <v xml:space="preserve"> </v>
      </c>
      <c r="L1418" s="128" t="str">
        <f t="shared" si="562"/>
        <v xml:space="preserve"> </v>
      </c>
      <c r="M1418" s="128" t="str">
        <f t="shared" si="562"/>
        <v xml:space="preserve"> </v>
      </c>
      <c r="N1418" s="128" t="str">
        <f t="shared" si="562"/>
        <v xml:space="preserve"> </v>
      </c>
      <c r="O1418" s="128" t="str">
        <f t="shared" si="562"/>
        <v xml:space="preserve"> </v>
      </c>
      <c r="P1418" s="128" t="str">
        <f t="shared" si="562"/>
        <v xml:space="preserve"> </v>
      </c>
      <c r="Q1418" s="128" t="str">
        <f t="shared" si="562"/>
        <v xml:space="preserve"> </v>
      </c>
      <c r="R1418" s="128" t="str">
        <f t="shared" si="562"/>
        <v xml:space="preserve"> </v>
      </c>
      <c r="S1418" s="128" t="str">
        <f t="shared" si="562"/>
        <v xml:space="preserve"> </v>
      </c>
      <c r="T1418" s="128" t="str">
        <f t="shared" si="562"/>
        <v xml:space="preserve"> </v>
      </c>
      <c r="U1418" s="128" t="str">
        <f t="shared" si="562"/>
        <v xml:space="preserve"> </v>
      </c>
      <c r="V1418" s="128" t="str">
        <f t="shared" si="562"/>
        <v xml:space="preserve"> </v>
      </c>
      <c r="W1418" s="128" t="str">
        <f t="shared" si="562"/>
        <v xml:space="preserve"> </v>
      </c>
      <c r="X1418" s="128" t="str">
        <f t="shared" si="562"/>
        <v xml:space="preserve"> </v>
      </c>
      <c r="Y1418" s="128" t="str">
        <f t="shared" si="562"/>
        <v xml:space="preserve"> </v>
      </c>
      <c r="Z1418" s="128" t="str">
        <f t="shared" si="562"/>
        <v xml:space="preserve"> </v>
      </c>
      <c r="AA1418" s="128" t="str">
        <f t="shared" si="562"/>
        <v xml:space="preserve"> </v>
      </c>
      <c r="AB1418" s="128" t="str">
        <f t="shared" si="562"/>
        <v xml:space="preserve"> </v>
      </c>
      <c r="AC1418" s="128" t="str">
        <f t="shared" si="562"/>
        <v xml:space="preserve"> </v>
      </c>
      <c r="AD1418" s="128" t="str">
        <f t="shared" si="562"/>
        <v xml:space="preserve"> </v>
      </c>
      <c r="AE1418" s="128" t="str">
        <f t="shared" si="562"/>
        <v xml:space="preserve"> </v>
      </c>
      <c r="AF1418" s="128" t="str">
        <f t="shared" si="562"/>
        <v xml:space="preserve"> </v>
      </c>
      <c r="AG1418" s="128" t="str">
        <f t="shared" si="562"/>
        <v xml:space="preserve"> </v>
      </c>
      <c r="AH1418" s="128">
        <f t="shared" si="562"/>
        <v>3.0000000000000027E-2</v>
      </c>
    </row>
    <row r="1419" spans="1:34" s="20" customFormat="1" ht="14" x14ac:dyDescent="0.2">
      <c r="A1419" s="8"/>
      <c r="B1419" s="7"/>
      <c r="C1419" s="8"/>
      <c r="D1419" s="8"/>
      <c r="E1419" s="9"/>
      <c r="F1419" s="9"/>
      <c r="G1419" s="9"/>
      <c r="H1419" s="9"/>
      <c r="I1419" s="9"/>
      <c r="J1419" s="9"/>
      <c r="K1419" s="9"/>
      <c r="L1419" s="9"/>
      <c r="M1419" s="9"/>
      <c r="N1419" s="9"/>
      <c r="O1419" s="9"/>
      <c r="P1419" s="9"/>
      <c r="Q1419" s="9"/>
      <c r="R1419" s="9"/>
      <c r="S1419" s="9"/>
      <c r="T1419" s="9"/>
      <c r="U1419" s="9"/>
      <c r="V1419" s="9"/>
      <c r="W1419" s="9"/>
      <c r="X1419" s="9"/>
      <c r="Y1419" s="9"/>
      <c r="Z1419" s="9"/>
      <c r="AA1419" s="9"/>
      <c r="AB1419" s="9"/>
      <c r="AC1419" s="9"/>
      <c r="AD1419" s="9"/>
      <c r="AE1419" s="9"/>
      <c r="AF1419" s="9"/>
      <c r="AG1419" s="9"/>
      <c r="AH1419" s="9"/>
    </row>
    <row r="1420" spans="1:34" x14ac:dyDescent="0.2">
      <c r="A1420" s="2"/>
      <c r="B1420" s="4" t="str">
        <f>"Non-operating costs of "&amp;'Assumptions - General'!$E$23</f>
        <v xml:space="preserve">Non-operating costs of Ruritania Railways </v>
      </c>
      <c r="C1420" s="2"/>
      <c r="D1420" s="2"/>
      <c r="E1420" s="2"/>
      <c r="F1420" s="2"/>
      <c r="G1420" s="2"/>
      <c r="H1420" s="2"/>
      <c r="I1420" s="2"/>
      <c r="J1420" s="2"/>
      <c r="K1420" s="2"/>
      <c r="L1420" s="2"/>
      <c r="M1420" s="2"/>
      <c r="N1420" s="2"/>
      <c r="O1420" s="2"/>
      <c r="P1420" s="2"/>
      <c r="Q1420" s="2"/>
      <c r="R1420" s="2"/>
      <c r="S1420" s="2"/>
      <c r="T1420" s="2"/>
      <c r="U1420" s="2"/>
      <c r="V1420" s="2"/>
      <c r="W1420" s="2"/>
      <c r="X1420" s="2"/>
      <c r="Y1420" s="2"/>
      <c r="Z1420" s="2"/>
      <c r="AA1420" s="2"/>
      <c r="AB1420" s="2"/>
      <c r="AC1420" s="2"/>
      <c r="AD1420" s="2"/>
      <c r="AE1420" s="2"/>
      <c r="AF1420" s="2"/>
      <c r="AG1420" s="2"/>
      <c r="AH1420" s="2"/>
    </row>
    <row r="1421" spans="1:34" s="20" customFormat="1" ht="14" x14ac:dyDescent="0.2">
      <c r="B1421" s="55"/>
      <c r="E1421" s="56"/>
      <c r="F1421" s="56"/>
      <c r="G1421" s="56"/>
      <c r="H1421" s="56"/>
      <c r="I1421" s="56"/>
      <c r="J1421" s="56"/>
      <c r="K1421" s="56"/>
      <c r="L1421" s="56"/>
      <c r="M1421" s="56"/>
      <c r="N1421" s="56"/>
      <c r="O1421" s="56"/>
      <c r="P1421" s="56"/>
      <c r="Q1421" s="56"/>
      <c r="R1421" s="56"/>
      <c r="S1421" s="56"/>
      <c r="T1421" s="56"/>
      <c r="U1421" s="56"/>
      <c r="V1421" s="56"/>
      <c r="W1421" s="56"/>
      <c r="X1421" s="56"/>
      <c r="Y1421" s="56"/>
      <c r="Z1421" s="56"/>
      <c r="AA1421" s="56"/>
      <c r="AB1421" s="56"/>
      <c r="AC1421" s="56"/>
      <c r="AD1421" s="56"/>
      <c r="AE1421" s="56"/>
      <c r="AF1421" s="56"/>
      <c r="AG1421" s="56"/>
      <c r="AH1421" s="56"/>
    </row>
    <row r="1422" spans="1:34" s="20" customFormat="1" ht="14" x14ac:dyDescent="0.2">
      <c r="B1422" s="19" t="s">
        <v>457</v>
      </c>
      <c r="E1422" s="56"/>
      <c r="F1422" s="56"/>
      <c r="G1422" s="56"/>
      <c r="H1422" s="56"/>
      <c r="I1422" s="56"/>
      <c r="J1422" s="56"/>
      <c r="K1422" s="56"/>
      <c r="L1422" s="56"/>
      <c r="M1422" s="56"/>
      <c r="N1422" s="56"/>
      <c r="O1422" s="56"/>
      <c r="P1422" s="56"/>
      <c r="Q1422" s="56"/>
      <c r="R1422" s="56"/>
      <c r="S1422" s="56"/>
      <c r="T1422" s="56"/>
      <c r="U1422" s="56"/>
      <c r="V1422" s="56"/>
      <c r="W1422" s="56"/>
      <c r="X1422" s="56"/>
      <c r="Y1422" s="56"/>
      <c r="Z1422" s="56"/>
      <c r="AA1422" s="56"/>
      <c r="AB1422" s="56"/>
      <c r="AC1422" s="56"/>
      <c r="AD1422" s="56"/>
      <c r="AE1422" s="56"/>
      <c r="AF1422" s="56"/>
      <c r="AG1422" s="56"/>
      <c r="AH1422" s="56"/>
    </row>
    <row r="1423" spans="1:34" s="20" customFormat="1" ht="14" x14ac:dyDescent="0.2">
      <c r="B1423" s="57" t="str">
        <f>'Assumptions - Consolidated'!E59</f>
        <v>Provisions and legal claims</v>
      </c>
      <c r="D1423" s="20" t="str">
        <f>'Assumptions - General'!$E$27 &amp;" millions"</f>
        <v>R$ millions</v>
      </c>
      <c r="E1423" s="467" t="str">
        <f>IF(AND((E16+E17+E19+E21)&lt;3,E21=1),'Assumptions - Consolidated'!E60," ")</f>
        <v xml:space="preserve"> </v>
      </c>
      <c r="F1423" s="38" t="str">
        <f>IF(AND((F16+F17+F19+F21)&lt;3,F21=1),'Assumptions - Consolidated'!F61*'Assumptions - Consolidated'!F65/1000000," ")</f>
        <v xml:space="preserve"> </v>
      </c>
      <c r="G1423" s="38" t="str">
        <f>IF(AND((G16+G17+G19+G21)&lt;3,G21=1),'Assumptions - Consolidated'!G61*'Assumptions - Consolidated'!G65/1000000," ")</f>
        <v xml:space="preserve"> </v>
      </c>
      <c r="H1423" s="38" t="str">
        <f>IF(AND((H16+H17+H19+H21)&lt;3,H21=1),'Assumptions - Consolidated'!H61*'Assumptions - Consolidated'!H65/1000000," ")</f>
        <v xml:space="preserve"> </v>
      </c>
      <c r="I1423" s="38" t="str">
        <f>IF(AND((I16+I17+I19+I21)&lt;3,I21=1),'Assumptions - Consolidated'!I61*'Assumptions - Consolidated'!I65/1000000," ")</f>
        <v xml:space="preserve"> </v>
      </c>
      <c r="J1423" s="38" t="str">
        <f>IF(AND((J16+J17+J19+J21)&lt;3,J21=1),'Assumptions - Consolidated'!J61*'Assumptions - Consolidated'!J65/1000000," ")</f>
        <v xml:space="preserve"> </v>
      </c>
      <c r="K1423" s="38" t="str">
        <f>IF(AND((K16+K17+K19+K21)&lt;3,K21=1),'Assumptions - Consolidated'!K61*'Assumptions - Consolidated'!K65/1000000," ")</f>
        <v xml:space="preserve"> </v>
      </c>
      <c r="L1423" s="38" t="str">
        <f>IF(AND((L16+L17+L19+L21)&lt;3,L21=1),'Assumptions - Consolidated'!L61*'Assumptions - Consolidated'!L65/1000000," ")</f>
        <v xml:space="preserve"> </v>
      </c>
      <c r="M1423" s="38" t="str">
        <f>IF(AND((M16+M17+M19+M21)&lt;3,M21=1),'Assumptions - Consolidated'!M61*'Assumptions - Consolidated'!M65/1000000," ")</f>
        <v xml:space="preserve"> </v>
      </c>
      <c r="N1423" s="38" t="str">
        <f>IF(AND((N16+N17+N19+N21)&lt;3,N21=1),'Assumptions - Consolidated'!N61*'Assumptions - Consolidated'!N65/1000000," ")</f>
        <v xml:space="preserve"> </v>
      </c>
      <c r="O1423" s="38" t="str">
        <f>IF(AND((O16+O17+O19+O21)&lt;3,O21=1),'Assumptions - Consolidated'!O61*'Assumptions - Consolidated'!O65/1000000," ")</f>
        <v xml:space="preserve"> </v>
      </c>
      <c r="P1423" s="38" t="str">
        <f>IF(AND((P16+P17+P19+P21)&lt;3,P21=1),'Assumptions - Consolidated'!P61*'Assumptions - Consolidated'!P65/1000000," ")</f>
        <v xml:space="preserve"> </v>
      </c>
      <c r="Q1423" s="38" t="str">
        <f>IF(AND((Q16+Q17+Q19+Q21)&lt;3,Q21=1),'Assumptions - Consolidated'!Q61*'Assumptions - Consolidated'!Q65/1000000," ")</f>
        <v xml:space="preserve"> </v>
      </c>
      <c r="R1423" s="38" t="str">
        <f>IF(AND((R16+R17+R19+R21)&lt;3,R21=1),'Assumptions - Consolidated'!R61*'Assumptions - Consolidated'!R65/1000000," ")</f>
        <v xml:space="preserve"> </v>
      </c>
      <c r="S1423" s="38" t="str">
        <f>IF(AND((S16+S17+S19+S21)&lt;3,S21=1),'Assumptions - Consolidated'!S61*'Assumptions - Consolidated'!S65/1000000," ")</f>
        <v xml:space="preserve"> </v>
      </c>
      <c r="T1423" s="38" t="str">
        <f>IF(AND((T16+T17+T19+T21)&lt;3,T21=1),'Assumptions - Consolidated'!T61*'Assumptions - Consolidated'!T65/1000000," ")</f>
        <v xml:space="preserve"> </v>
      </c>
      <c r="U1423" s="38" t="str">
        <f>IF(AND((U16+U17+U19+U21)&lt;3,U21=1),'Assumptions - Consolidated'!U61*'Assumptions - Consolidated'!U65/1000000," ")</f>
        <v xml:space="preserve"> </v>
      </c>
      <c r="V1423" s="38" t="str">
        <f>IF(AND((V16+V17+V19+V21)&lt;3,V21=1),'Assumptions - Consolidated'!V61*'Assumptions - Consolidated'!V65/1000000," ")</f>
        <v xml:space="preserve"> </v>
      </c>
      <c r="W1423" s="38" t="str">
        <f>IF(AND((W16+W17+W19+W21)&lt;3,W21=1),'Assumptions - Consolidated'!W61*'Assumptions - Consolidated'!W65/1000000," ")</f>
        <v xml:space="preserve"> </v>
      </c>
      <c r="X1423" s="38" t="str">
        <f>IF(AND((X16+X17+X19+X21)&lt;3,X21=1),'Assumptions - Consolidated'!X61*'Assumptions - Consolidated'!X65/1000000," ")</f>
        <v xml:space="preserve"> </v>
      </c>
      <c r="Y1423" s="38" t="str">
        <f>IF(AND((Y16+Y17+Y19+Y21)&lt;3,Y21=1),'Assumptions - Consolidated'!Y61*'Assumptions - Consolidated'!Y65/1000000," ")</f>
        <v xml:space="preserve"> </v>
      </c>
      <c r="Z1423" s="38" t="str">
        <f>IF(AND((Z16+Z17+Z19+Z21)&lt;3,Z21=1),'Assumptions - Consolidated'!Z61*'Assumptions - Consolidated'!Z65/1000000," ")</f>
        <v xml:space="preserve"> </v>
      </c>
      <c r="AA1423" s="38" t="str">
        <f>IF(AND((AA16+AA17+AA19+AA21)&lt;3,AA21=1),'Assumptions - Consolidated'!AA61*'Assumptions - Consolidated'!AA65/1000000," ")</f>
        <v xml:space="preserve"> </v>
      </c>
      <c r="AB1423" s="38" t="str">
        <f>IF(AND((AB16+AB17+AB19+AB21)&lt;3,AB21=1),'Assumptions - Consolidated'!AB61*'Assumptions - Consolidated'!AB65/1000000," ")</f>
        <v xml:space="preserve"> </v>
      </c>
      <c r="AC1423" s="38" t="str">
        <f>IF(AND((AC16+AC17+AC19+AC21)&lt;3,AC21=1),'Assumptions - Consolidated'!AC61*'Assumptions - Consolidated'!AC65/1000000," ")</f>
        <v xml:space="preserve"> </v>
      </c>
      <c r="AD1423" s="38" t="str">
        <f>IF(AND((AD16+AD17+AD19+AD21)&lt;3,AD21=1),'Assumptions - Consolidated'!AD61*'Assumptions - Consolidated'!AD65/1000000," ")</f>
        <v xml:space="preserve"> </v>
      </c>
      <c r="AE1423" s="38" t="str">
        <f>IF(AND((AE16+AE17+AE19+AE21)&lt;3,AE21=1),'Assumptions - Consolidated'!AE61*'Assumptions - Consolidated'!AE65/1000000," ")</f>
        <v xml:space="preserve"> </v>
      </c>
      <c r="AF1423" s="38" t="str">
        <f>IF(AND((AF16+AF17+AF19+AF21)&lt;3,AF21=1),'Assumptions - Consolidated'!AF61*'Assumptions - Consolidated'!AF65/1000000," ")</f>
        <v xml:space="preserve"> </v>
      </c>
      <c r="AG1423" s="38" t="str">
        <f>IF(AND((AG16+AG17+AG19+AG21)&lt;3,AG21=1),'Assumptions - Consolidated'!AG61*'Assumptions - Consolidated'!AG65/1000000," ")</f>
        <v xml:space="preserve"> </v>
      </c>
      <c r="AH1423" s="38" t="str">
        <f>IF(AND((AH16+AH17+AH19+AH21)&lt;3,AH21=1),'Assumptions - Consolidated'!AH61*'Assumptions - Consolidated'!AH65/1000000," ")</f>
        <v xml:space="preserve"> </v>
      </c>
    </row>
    <row r="1424" spans="1:34" s="20" customFormat="1" ht="14" x14ac:dyDescent="0.2">
      <c r="B1424" s="57" t="str">
        <f>'Assumptions - Consolidated'!E68</f>
        <v>Investment losses</v>
      </c>
      <c r="D1424" s="20" t="str">
        <f>'Assumptions - General'!$E$27 &amp;" millions"</f>
        <v>R$ millions</v>
      </c>
      <c r="E1424" s="467" t="str">
        <f>IF(AND((E16+E17+E19+E21)&lt;3,E21=1),'Assumptions - Consolidated'!E69," ")</f>
        <v xml:space="preserve"> </v>
      </c>
      <c r="F1424" s="38" t="str">
        <f>IF(AND((F16+F17+F19+F21)&lt;3,F21=1),'Assumptions - Consolidated'!F70*'Assumptions - Consolidated'!F74/1000000," ")</f>
        <v xml:space="preserve"> </v>
      </c>
      <c r="G1424" s="38" t="str">
        <f>IF(AND((G16+G17+G19+G21)&lt;3,G21=1),'Assumptions - Consolidated'!G70*'Assumptions - Consolidated'!G74/1000000," ")</f>
        <v xml:space="preserve"> </v>
      </c>
      <c r="H1424" s="38" t="str">
        <f>IF(AND((H16+H17+H19+H21)&lt;3,H21=1),'Assumptions - Consolidated'!H70*'Assumptions - Consolidated'!H74/1000000," ")</f>
        <v xml:space="preserve"> </v>
      </c>
      <c r="I1424" s="38" t="str">
        <f>IF(AND((I16+I17+I19+I21)&lt;3,I21=1),'Assumptions - Consolidated'!I70*'Assumptions - Consolidated'!I74/1000000," ")</f>
        <v xml:space="preserve"> </v>
      </c>
      <c r="J1424" s="38" t="str">
        <f>IF(AND((J16+J17+J19+J21)&lt;3,J21=1),'Assumptions - Consolidated'!J70*'Assumptions - Consolidated'!J74/1000000," ")</f>
        <v xml:space="preserve"> </v>
      </c>
      <c r="K1424" s="38" t="str">
        <f>IF(AND((K16+K17+K19+K21)&lt;3,K21=1),'Assumptions - Consolidated'!K70*'Assumptions - Consolidated'!K74/1000000," ")</f>
        <v xml:space="preserve"> </v>
      </c>
      <c r="L1424" s="38" t="str">
        <f>IF(AND((L16+L17+L19+L21)&lt;3,L21=1),'Assumptions - Consolidated'!L70*'Assumptions - Consolidated'!L74/1000000," ")</f>
        <v xml:space="preserve"> </v>
      </c>
      <c r="M1424" s="38" t="str">
        <f>IF(AND((M16+M17+M19+M21)&lt;3,M21=1),'Assumptions - Consolidated'!M70*'Assumptions - Consolidated'!M74/1000000," ")</f>
        <v xml:space="preserve"> </v>
      </c>
      <c r="N1424" s="38" t="str">
        <f>IF(AND((N16+N17+N19+N21)&lt;3,N21=1),'Assumptions - Consolidated'!N70*'Assumptions - Consolidated'!N74/1000000," ")</f>
        <v xml:space="preserve"> </v>
      </c>
      <c r="O1424" s="38" t="str">
        <f>IF(AND((O16+O17+O19+O21)&lt;3,O21=1),'Assumptions - Consolidated'!O70*'Assumptions - Consolidated'!O74/1000000," ")</f>
        <v xml:space="preserve"> </v>
      </c>
      <c r="P1424" s="38" t="str">
        <f>IF(AND((P16+P17+P19+P21)&lt;3,P21=1),'Assumptions - Consolidated'!P70*'Assumptions - Consolidated'!P74/1000000," ")</f>
        <v xml:space="preserve"> </v>
      </c>
      <c r="Q1424" s="38" t="str">
        <f>IF(AND((Q16+Q17+Q19+Q21)&lt;3,Q21=1),'Assumptions - Consolidated'!Q70*'Assumptions - Consolidated'!Q74/1000000," ")</f>
        <v xml:space="preserve"> </v>
      </c>
      <c r="R1424" s="38" t="str">
        <f>IF(AND((R16+R17+R19+R21)&lt;3,R21=1),'Assumptions - Consolidated'!R70*'Assumptions - Consolidated'!R74/1000000," ")</f>
        <v xml:space="preserve"> </v>
      </c>
      <c r="S1424" s="38" t="str">
        <f>IF(AND((S16+S17+S19+S21)&lt;3,S21=1),'Assumptions - Consolidated'!S70*'Assumptions - Consolidated'!S74/1000000," ")</f>
        <v xml:space="preserve"> </v>
      </c>
      <c r="T1424" s="38" t="str">
        <f>IF(AND((T16+T17+T19+T21)&lt;3,T21=1),'Assumptions - Consolidated'!T70*'Assumptions - Consolidated'!T74/1000000," ")</f>
        <v xml:space="preserve"> </v>
      </c>
      <c r="U1424" s="38" t="str">
        <f>IF(AND((U16+U17+U19+U21)&lt;3,U21=1),'Assumptions - Consolidated'!U70*'Assumptions - Consolidated'!U74/1000000," ")</f>
        <v xml:space="preserve"> </v>
      </c>
      <c r="V1424" s="38" t="str">
        <f>IF(AND((V16+V17+V19+V21)&lt;3,V21=1),'Assumptions - Consolidated'!V70*'Assumptions - Consolidated'!V74/1000000," ")</f>
        <v xml:space="preserve"> </v>
      </c>
      <c r="W1424" s="38" t="str">
        <f>IF(AND((W16+W17+W19+W21)&lt;3,W21=1),'Assumptions - Consolidated'!W70*'Assumptions - Consolidated'!W74/1000000," ")</f>
        <v xml:space="preserve"> </v>
      </c>
      <c r="X1424" s="38" t="str">
        <f>IF(AND((X16+X17+X19+X21)&lt;3,X21=1),'Assumptions - Consolidated'!X70*'Assumptions - Consolidated'!X74/1000000," ")</f>
        <v xml:space="preserve"> </v>
      </c>
      <c r="Y1424" s="38" t="str">
        <f>IF(AND((Y16+Y17+Y19+Y21)&lt;3,Y21=1),'Assumptions - Consolidated'!Y70*'Assumptions - Consolidated'!Y74/1000000," ")</f>
        <v xml:space="preserve"> </v>
      </c>
      <c r="Z1424" s="38" t="str">
        <f>IF(AND((Z16+Z17+Z19+Z21)&lt;3,Z21=1),'Assumptions - Consolidated'!Z70*'Assumptions - Consolidated'!Z74/1000000," ")</f>
        <v xml:space="preserve"> </v>
      </c>
      <c r="AA1424" s="38" t="str">
        <f>IF(AND((AA16+AA17+AA19+AA21)&lt;3,AA21=1),'Assumptions - Consolidated'!AA70*'Assumptions - Consolidated'!AA74/1000000," ")</f>
        <v xml:space="preserve"> </v>
      </c>
      <c r="AB1424" s="38" t="str">
        <f>IF(AND((AB16+AB17+AB19+AB21)&lt;3,AB21=1),'Assumptions - Consolidated'!AB70*'Assumptions - Consolidated'!AB74/1000000," ")</f>
        <v xml:space="preserve"> </v>
      </c>
      <c r="AC1424" s="38" t="str">
        <f>IF(AND((AC16+AC17+AC19+AC21)&lt;3,AC21=1),'Assumptions - Consolidated'!AC70*'Assumptions - Consolidated'!AC74/1000000," ")</f>
        <v xml:space="preserve"> </v>
      </c>
      <c r="AD1424" s="38" t="str">
        <f>IF(AND((AD16+AD17+AD19+AD21)&lt;3,AD21=1),'Assumptions - Consolidated'!AD70*'Assumptions - Consolidated'!AD74/1000000," ")</f>
        <v xml:space="preserve"> </v>
      </c>
      <c r="AE1424" s="38" t="str">
        <f>IF(AND((AE16+AE17+AE19+AE21)&lt;3,AE21=1),'Assumptions - Consolidated'!AE70*'Assumptions - Consolidated'!AE74/1000000," ")</f>
        <v xml:space="preserve"> </v>
      </c>
      <c r="AF1424" s="38" t="str">
        <f>IF(AND((AF16+AF17+AF19+AF21)&lt;3,AF21=1),'Assumptions - Consolidated'!AF70*'Assumptions - Consolidated'!AF74/1000000," ")</f>
        <v xml:space="preserve"> </v>
      </c>
      <c r="AG1424" s="38" t="str">
        <f>IF(AND((AG16+AG17+AG19+AG21)&lt;3,AG21=1),'Assumptions - Consolidated'!AG70*'Assumptions - Consolidated'!AG74/1000000," ")</f>
        <v xml:space="preserve"> </v>
      </c>
      <c r="AH1424" s="38" t="str">
        <f>IF(AND((AH16+AH17+AH19+AH21)&lt;3,AH21=1),'Assumptions - Consolidated'!AH70*'Assumptions - Consolidated'!AH74/1000000," ")</f>
        <v xml:space="preserve"> </v>
      </c>
    </row>
    <row r="1425" spans="1:34" s="20" customFormat="1" ht="14" x14ac:dyDescent="0.2">
      <c r="B1425" s="57" t="str">
        <f>'Assumptions - Consolidated'!E77</f>
        <v>Other</v>
      </c>
      <c r="D1425" s="20" t="str">
        <f>'Assumptions - General'!$E$27 &amp;" millions"</f>
        <v>R$ millions</v>
      </c>
      <c r="E1425" s="467" t="str">
        <f>IF(AND((E16+E17+E19+E21)&lt;3,E21=1),'Assumptions - Consolidated'!E78," ")</f>
        <v xml:space="preserve"> </v>
      </c>
      <c r="F1425" s="38" t="str">
        <f>IF(AND((F16+F17+F19+F21)&lt;3,F21=1),'Assumptions - Consolidated'!F79*'Assumptions - Consolidated'!F83/1000000," ")</f>
        <v xml:space="preserve"> </v>
      </c>
      <c r="G1425" s="38" t="str">
        <f>IF(AND((G16+G17+G19+G21)&lt;3,G21=1),'Assumptions - Consolidated'!G79*'Assumptions - Consolidated'!G83/1000000," ")</f>
        <v xml:space="preserve"> </v>
      </c>
      <c r="H1425" s="38" t="str">
        <f>IF(AND((H16+H17+H19+H21)&lt;3,H21=1),'Assumptions - Consolidated'!H79*'Assumptions - Consolidated'!H83/1000000," ")</f>
        <v xml:space="preserve"> </v>
      </c>
      <c r="I1425" s="38" t="str">
        <f>IF(AND((I16+I17+I19+I21)&lt;3,I21=1),'Assumptions - Consolidated'!I79*'Assumptions - Consolidated'!I83/1000000," ")</f>
        <v xml:space="preserve"> </v>
      </c>
      <c r="J1425" s="38" t="str">
        <f>IF(AND((J16+J17+J19+J21)&lt;3,J21=1),'Assumptions - Consolidated'!J79*'Assumptions - Consolidated'!J83/1000000," ")</f>
        <v xml:space="preserve"> </v>
      </c>
      <c r="K1425" s="38" t="str">
        <f>IF(AND((K16+K17+K19+K21)&lt;3,K21=1),'Assumptions - Consolidated'!K79*'Assumptions - Consolidated'!K83/1000000," ")</f>
        <v xml:space="preserve"> </v>
      </c>
      <c r="L1425" s="38" t="str">
        <f>IF(AND((L16+L17+L19+L21)&lt;3,L21=1),'Assumptions - Consolidated'!L79*'Assumptions - Consolidated'!L83/1000000," ")</f>
        <v xml:space="preserve"> </v>
      </c>
      <c r="M1425" s="38" t="str">
        <f>IF(AND((M16+M17+M19+M21)&lt;3,M21=1),'Assumptions - Consolidated'!M79*'Assumptions - Consolidated'!M83/1000000," ")</f>
        <v xml:space="preserve"> </v>
      </c>
      <c r="N1425" s="38" t="str">
        <f>IF(AND((N16+N17+N19+N21)&lt;3,N21=1),'Assumptions - Consolidated'!N79*'Assumptions - Consolidated'!N83/1000000," ")</f>
        <v xml:space="preserve"> </v>
      </c>
      <c r="O1425" s="38" t="str">
        <f>IF(AND((O16+O17+O19+O21)&lt;3,O21=1),'Assumptions - Consolidated'!O79*'Assumptions - Consolidated'!O83/1000000," ")</f>
        <v xml:space="preserve"> </v>
      </c>
      <c r="P1425" s="38" t="str">
        <f>IF(AND((P16+P17+P19+P21)&lt;3,P21=1),'Assumptions - Consolidated'!P79*'Assumptions - Consolidated'!P83/1000000," ")</f>
        <v xml:space="preserve"> </v>
      </c>
      <c r="Q1425" s="38" t="str">
        <f>IF(AND((Q16+Q17+Q19+Q21)&lt;3,Q21=1),'Assumptions - Consolidated'!Q79*'Assumptions - Consolidated'!Q83/1000000," ")</f>
        <v xml:space="preserve"> </v>
      </c>
      <c r="R1425" s="38" t="str">
        <f>IF(AND((R16+R17+R19+R21)&lt;3,R21=1),'Assumptions - Consolidated'!R79*'Assumptions - Consolidated'!R83/1000000," ")</f>
        <v xml:space="preserve"> </v>
      </c>
      <c r="S1425" s="38" t="str">
        <f>IF(AND((S16+S17+S19+S21)&lt;3,S21=1),'Assumptions - Consolidated'!S79*'Assumptions - Consolidated'!S83/1000000," ")</f>
        <v xml:space="preserve"> </v>
      </c>
      <c r="T1425" s="38" t="str">
        <f>IF(AND((T16+T17+T19+T21)&lt;3,T21=1),'Assumptions - Consolidated'!T79*'Assumptions - Consolidated'!T83/1000000," ")</f>
        <v xml:space="preserve"> </v>
      </c>
      <c r="U1425" s="38" t="str">
        <f>IF(AND((U16+U17+U19+U21)&lt;3,U21=1),'Assumptions - Consolidated'!U79*'Assumptions - Consolidated'!U83/1000000," ")</f>
        <v xml:space="preserve"> </v>
      </c>
      <c r="V1425" s="38" t="str">
        <f>IF(AND((V16+V17+V19+V21)&lt;3,V21=1),'Assumptions - Consolidated'!V79*'Assumptions - Consolidated'!V83/1000000," ")</f>
        <v xml:space="preserve"> </v>
      </c>
      <c r="W1425" s="38" t="str">
        <f>IF(AND((W16+W17+W19+W21)&lt;3,W21=1),'Assumptions - Consolidated'!W79*'Assumptions - Consolidated'!W83/1000000," ")</f>
        <v xml:space="preserve"> </v>
      </c>
      <c r="X1425" s="38" t="str">
        <f>IF(AND((X16+X17+X19+X21)&lt;3,X21=1),'Assumptions - Consolidated'!X79*'Assumptions - Consolidated'!X83/1000000," ")</f>
        <v xml:space="preserve"> </v>
      </c>
      <c r="Y1425" s="38" t="str">
        <f>IF(AND((Y16+Y17+Y19+Y21)&lt;3,Y21=1),'Assumptions - Consolidated'!Y79*'Assumptions - Consolidated'!Y83/1000000," ")</f>
        <v xml:space="preserve"> </v>
      </c>
      <c r="Z1425" s="38" t="str">
        <f>IF(AND((Z16+Z17+Z19+Z21)&lt;3,Z21=1),'Assumptions - Consolidated'!Z79*'Assumptions - Consolidated'!Z83/1000000," ")</f>
        <v xml:space="preserve"> </v>
      </c>
      <c r="AA1425" s="38" t="str">
        <f>IF(AND((AA16+AA17+AA19+AA21)&lt;3,AA21=1),'Assumptions - Consolidated'!AA79*'Assumptions - Consolidated'!AA83/1000000," ")</f>
        <v xml:space="preserve"> </v>
      </c>
      <c r="AB1425" s="38" t="str">
        <f>IF(AND((AB16+AB17+AB19+AB21)&lt;3,AB21=1),'Assumptions - Consolidated'!AB79*'Assumptions - Consolidated'!AB83/1000000," ")</f>
        <v xml:space="preserve"> </v>
      </c>
      <c r="AC1425" s="38" t="str">
        <f>IF(AND((AC16+AC17+AC19+AC21)&lt;3,AC21=1),'Assumptions - Consolidated'!AC79*'Assumptions - Consolidated'!AC83/1000000," ")</f>
        <v xml:space="preserve"> </v>
      </c>
      <c r="AD1425" s="38" t="str">
        <f>IF(AND((AD16+AD17+AD19+AD21)&lt;3,AD21=1),'Assumptions - Consolidated'!AD79*'Assumptions - Consolidated'!AD83/1000000," ")</f>
        <v xml:space="preserve"> </v>
      </c>
      <c r="AE1425" s="38" t="str">
        <f>IF(AND((AE16+AE17+AE19+AE21)&lt;3,AE21=1),'Assumptions - Consolidated'!AE79*'Assumptions - Consolidated'!AE83/1000000," ")</f>
        <v xml:space="preserve"> </v>
      </c>
      <c r="AF1425" s="38" t="str">
        <f>IF(AND((AF16+AF17+AF19+AF21)&lt;3,AF21=1),'Assumptions - Consolidated'!AF79*'Assumptions - Consolidated'!AF83/1000000," ")</f>
        <v xml:space="preserve"> </v>
      </c>
      <c r="AG1425" s="38" t="str">
        <f>IF(AND((AG16+AG17+AG19+AG21)&lt;3,AG21=1),'Assumptions - Consolidated'!AG79*'Assumptions - Consolidated'!AG83/1000000," ")</f>
        <v xml:space="preserve"> </v>
      </c>
      <c r="AH1425" s="38" t="str">
        <f>IF(AND((AH16+AH17+AH19+AH21)&lt;3,AH21=1),'Assumptions - Consolidated'!AH79*'Assumptions - Consolidated'!AH83/1000000," ")</f>
        <v xml:space="preserve"> </v>
      </c>
    </row>
    <row r="1426" spans="1:34" s="20" customFormat="1" ht="14" x14ac:dyDescent="0.2">
      <c r="B1426" s="57" t="s">
        <v>322</v>
      </c>
      <c r="D1426" s="20" t="s">
        <v>15</v>
      </c>
      <c r="E1426" s="128" t="str">
        <f t="shared" ref="E1426:AH1426" si="563">IF(AND(SUM($E$1423:$AH$1425)&gt;0,($E$4+SUM($F$21:$AH$21))=E$4),(SUM(E1423:E1425)/SUM($E1423:$E1425))^(1/SUM($F$21:$AH$21))-1," ")</f>
        <v xml:space="preserve"> </v>
      </c>
      <c r="F1426" s="128" t="str">
        <f t="shared" si="563"/>
        <v xml:space="preserve"> </v>
      </c>
      <c r="G1426" s="128" t="str">
        <f t="shared" si="563"/>
        <v xml:space="preserve"> </v>
      </c>
      <c r="H1426" s="128" t="str">
        <f t="shared" si="563"/>
        <v xml:space="preserve"> </v>
      </c>
      <c r="I1426" s="128" t="str">
        <f t="shared" si="563"/>
        <v xml:space="preserve"> </v>
      </c>
      <c r="J1426" s="128" t="str">
        <f t="shared" si="563"/>
        <v xml:space="preserve"> </v>
      </c>
      <c r="K1426" s="128" t="str">
        <f t="shared" si="563"/>
        <v xml:space="preserve"> </v>
      </c>
      <c r="L1426" s="128" t="str">
        <f t="shared" si="563"/>
        <v xml:space="preserve"> </v>
      </c>
      <c r="M1426" s="128" t="str">
        <f t="shared" si="563"/>
        <v xml:space="preserve"> </v>
      </c>
      <c r="N1426" s="128" t="str">
        <f t="shared" si="563"/>
        <v xml:space="preserve"> </v>
      </c>
      <c r="O1426" s="128" t="str">
        <f t="shared" si="563"/>
        <v xml:space="preserve"> </v>
      </c>
      <c r="P1426" s="128" t="str">
        <f t="shared" si="563"/>
        <v xml:space="preserve"> </v>
      </c>
      <c r="Q1426" s="128" t="str">
        <f t="shared" si="563"/>
        <v xml:space="preserve"> </v>
      </c>
      <c r="R1426" s="128" t="str">
        <f t="shared" si="563"/>
        <v xml:space="preserve"> </v>
      </c>
      <c r="S1426" s="128" t="str">
        <f t="shared" si="563"/>
        <v xml:space="preserve"> </v>
      </c>
      <c r="T1426" s="128" t="str">
        <f t="shared" si="563"/>
        <v xml:space="preserve"> </v>
      </c>
      <c r="U1426" s="128" t="str">
        <f t="shared" si="563"/>
        <v xml:space="preserve"> </v>
      </c>
      <c r="V1426" s="128" t="str">
        <f t="shared" si="563"/>
        <v xml:space="preserve"> </v>
      </c>
      <c r="W1426" s="128" t="str">
        <f t="shared" si="563"/>
        <v xml:space="preserve"> </v>
      </c>
      <c r="X1426" s="128" t="str">
        <f t="shared" si="563"/>
        <v xml:space="preserve"> </v>
      </c>
      <c r="Y1426" s="128" t="str">
        <f t="shared" si="563"/>
        <v xml:space="preserve"> </v>
      </c>
      <c r="Z1426" s="128" t="str">
        <f t="shared" si="563"/>
        <v xml:space="preserve"> </v>
      </c>
      <c r="AA1426" s="128" t="str">
        <f t="shared" si="563"/>
        <v xml:space="preserve"> </v>
      </c>
      <c r="AB1426" s="128" t="str">
        <f t="shared" si="563"/>
        <v xml:space="preserve"> </v>
      </c>
      <c r="AC1426" s="128" t="str">
        <f t="shared" si="563"/>
        <v xml:space="preserve"> </v>
      </c>
      <c r="AD1426" s="128" t="str">
        <f t="shared" si="563"/>
        <v xml:space="preserve"> </v>
      </c>
      <c r="AE1426" s="128" t="str">
        <f t="shared" si="563"/>
        <v xml:space="preserve"> </v>
      </c>
      <c r="AF1426" s="128" t="str">
        <f t="shared" si="563"/>
        <v xml:space="preserve"> </v>
      </c>
      <c r="AG1426" s="128" t="str">
        <f t="shared" si="563"/>
        <v xml:space="preserve"> </v>
      </c>
      <c r="AH1426" s="128" t="str">
        <f t="shared" si="563"/>
        <v xml:space="preserve"> </v>
      </c>
    </row>
    <row r="1427" spans="1:34" s="20" customFormat="1" ht="14" x14ac:dyDescent="0.2">
      <c r="B1427" s="57"/>
      <c r="E1427" s="128"/>
      <c r="F1427" s="128"/>
      <c r="G1427" s="128"/>
      <c r="H1427" s="128"/>
      <c r="I1427" s="128"/>
      <c r="J1427" s="128"/>
      <c r="K1427" s="128"/>
      <c r="L1427" s="128"/>
      <c r="M1427" s="128"/>
      <c r="N1427" s="128"/>
      <c r="O1427" s="128"/>
      <c r="P1427" s="128"/>
      <c r="Q1427" s="128"/>
      <c r="R1427" s="128"/>
      <c r="S1427" s="128"/>
      <c r="T1427" s="128"/>
      <c r="U1427" s="128"/>
      <c r="V1427" s="128"/>
      <c r="W1427" s="128"/>
      <c r="X1427" s="128"/>
      <c r="Y1427" s="128"/>
      <c r="Z1427" s="128"/>
      <c r="AA1427" s="128"/>
      <c r="AB1427" s="128"/>
      <c r="AC1427" s="128"/>
      <c r="AD1427" s="128"/>
      <c r="AE1427" s="128"/>
      <c r="AF1427" s="128"/>
      <c r="AG1427" s="128"/>
      <c r="AH1427" s="128"/>
    </row>
    <row r="1428" spans="1:34" s="20" customFormat="1" ht="14" x14ac:dyDescent="0.2">
      <c r="B1428" s="19" t="s">
        <v>594</v>
      </c>
      <c r="E1428" s="56"/>
      <c r="F1428" s="56"/>
      <c r="G1428" s="56"/>
      <c r="H1428" s="56"/>
      <c r="I1428" s="56"/>
      <c r="J1428" s="56"/>
      <c r="K1428" s="56"/>
      <c r="L1428" s="56"/>
      <c r="M1428" s="56"/>
      <c r="N1428" s="56"/>
      <c r="O1428" s="56"/>
      <c r="P1428" s="56"/>
      <c r="Q1428" s="56"/>
      <c r="R1428" s="56"/>
      <c r="S1428" s="56"/>
      <c r="T1428" s="56"/>
      <c r="U1428" s="56"/>
      <c r="V1428" s="56"/>
      <c r="W1428" s="56"/>
      <c r="X1428" s="56"/>
      <c r="Y1428" s="56"/>
      <c r="Z1428" s="56"/>
      <c r="AA1428" s="56"/>
      <c r="AB1428" s="56"/>
      <c r="AC1428" s="56"/>
      <c r="AD1428" s="56"/>
      <c r="AE1428" s="56"/>
      <c r="AF1428" s="56"/>
      <c r="AG1428" s="56"/>
      <c r="AH1428" s="56"/>
    </row>
    <row r="1429" spans="1:34" s="20" customFormat="1" ht="14" x14ac:dyDescent="0.2">
      <c r="B1429" s="271" t="s">
        <v>596</v>
      </c>
      <c r="C1429" s="271"/>
      <c r="D1429" s="20" t="str">
        <f>'Assumptions - General'!$E$27 &amp;" millions"</f>
        <v>R$ millions</v>
      </c>
      <c r="E1429" s="38">
        <f>IF(E21=1,E246+E247+E249+E664+E665+E667+E1133+E1134+E1136,0)</f>
        <v>620</v>
      </c>
      <c r="F1429" s="38">
        <f t="shared" ref="F1429:AH1429" si="564">IF(F21=1,F246+F247+F249+F664+F665+F667+F1133+F1134+F1136,0)</f>
        <v>635.6</v>
      </c>
      <c r="G1429" s="38">
        <f t="shared" si="564"/>
        <v>651.66800000000001</v>
      </c>
      <c r="H1429" s="38">
        <f t="shared" si="564"/>
        <v>668.21803999999997</v>
      </c>
      <c r="I1429" s="38">
        <f t="shared" si="564"/>
        <v>685.26458120000007</v>
      </c>
      <c r="J1429" s="38">
        <f t="shared" si="564"/>
        <v>702.82251863599993</v>
      </c>
      <c r="K1429" s="38">
        <f t="shared" si="564"/>
        <v>720.90719419507991</v>
      </c>
      <c r="L1429" s="38">
        <f t="shared" si="564"/>
        <v>739.53441002093246</v>
      </c>
      <c r="M1429" s="38">
        <f t="shared" si="564"/>
        <v>758.72044232156054</v>
      </c>
      <c r="N1429" s="38">
        <f t="shared" si="564"/>
        <v>778.48205559120743</v>
      </c>
      <c r="O1429" s="38">
        <f t="shared" si="564"/>
        <v>798.83651725894356</v>
      </c>
      <c r="P1429" s="38">
        <f t="shared" si="564"/>
        <v>819.80161277671175</v>
      </c>
      <c r="Q1429" s="38">
        <f t="shared" si="564"/>
        <v>841.39566116001311</v>
      </c>
      <c r="R1429" s="38">
        <f t="shared" si="564"/>
        <v>863.63753099481369</v>
      </c>
      <c r="S1429" s="38">
        <f t="shared" si="564"/>
        <v>886.54665692465801</v>
      </c>
      <c r="T1429" s="38">
        <f t="shared" si="564"/>
        <v>910.1430566323977</v>
      </c>
      <c r="U1429" s="38">
        <f t="shared" si="564"/>
        <v>934.44734833136965</v>
      </c>
      <c r="V1429" s="38">
        <f t="shared" si="564"/>
        <v>959.48076878131064</v>
      </c>
      <c r="W1429" s="38">
        <f t="shared" si="564"/>
        <v>985.26519184475001</v>
      </c>
      <c r="X1429" s="38">
        <f t="shared" si="564"/>
        <v>1011.8231476000926</v>
      </c>
      <c r="Y1429" s="38">
        <f t="shared" si="564"/>
        <v>1039.1778420280955</v>
      </c>
      <c r="Z1429" s="38">
        <f t="shared" si="564"/>
        <v>1067.3531772889382</v>
      </c>
      <c r="AA1429" s="38">
        <f t="shared" si="564"/>
        <v>1096.3737726076065</v>
      </c>
      <c r="AB1429" s="38">
        <f t="shared" si="564"/>
        <v>1126.2649857858346</v>
      </c>
      <c r="AC1429" s="38">
        <f t="shared" si="564"/>
        <v>1157.0529353594097</v>
      </c>
      <c r="AD1429" s="38">
        <f t="shared" si="564"/>
        <v>1188.7645234201921</v>
      </c>
      <c r="AE1429" s="38">
        <f t="shared" si="564"/>
        <v>1221.4274591227977</v>
      </c>
      <c r="AF1429" s="38">
        <f t="shared" si="564"/>
        <v>1255.0702828964816</v>
      </c>
      <c r="AG1429" s="38">
        <f t="shared" si="564"/>
        <v>1289.7223913833761</v>
      </c>
      <c r="AH1429" s="38">
        <f t="shared" si="564"/>
        <v>1325.4140631248777</v>
      </c>
    </row>
    <row r="1430" spans="1:34" s="20" customFormat="1" ht="14" x14ac:dyDescent="0.2">
      <c r="B1430" s="271" t="s">
        <v>458</v>
      </c>
      <c r="D1430" s="20" t="str">
        <f>'Assumptions - General'!$E$27 &amp;" millions"</f>
        <v>R$ millions</v>
      </c>
      <c r="E1430" s="38">
        <f>IF(E21=1,E275+E276+E278+E693+E694+E696+E1162+E1163+E1165,0)</f>
        <v>1350</v>
      </c>
      <c r="F1430" s="38">
        <f t="shared" ref="F1430:AH1430" si="565">IF(F21=1,F275+F276+F278+F693+F694+F696+F1162+F1163+F1165,0)</f>
        <v>1390.5</v>
      </c>
      <c r="G1430" s="38">
        <f t="shared" si="565"/>
        <v>1432.2150000000001</v>
      </c>
      <c r="H1430" s="38">
        <f t="shared" si="565"/>
        <v>1475.18145</v>
      </c>
      <c r="I1430" s="38">
        <f t="shared" si="565"/>
        <v>1519.4368935000002</v>
      </c>
      <c r="J1430" s="38">
        <f t="shared" si="565"/>
        <v>1565.0200003049999</v>
      </c>
      <c r="K1430" s="38">
        <f t="shared" si="565"/>
        <v>1611.97060031415</v>
      </c>
      <c r="L1430" s="38">
        <f t="shared" si="565"/>
        <v>1660.3297183235748</v>
      </c>
      <c r="M1430" s="38">
        <f t="shared" si="565"/>
        <v>1710.1396098732821</v>
      </c>
      <c r="N1430" s="38">
        <f t="shared" si="565"/>
        <v>1761.4437981694803</v>
      </c>
      <c r="O1430" s="38">
        <f t="shared" si="565"/>
        <v>1814.2871121145649</v>
      </c>
      <c r="P1430" s="38">
        <f t="shared" si="565"/>
        <v>1868.7157254780018</v>
      </c>
      <c r="Q1430" s="38">
        <f t="shared" si="565"/>
        <v>1924.7771972423418</v>
      </c>
      <c r="R1430" s="38">
        <f t="shared" si="565"/>
        <v>1982.5205131596124</v>
      </c>
      <c r="S1430" s="38">
        <f t="shared" si="565"/>
        <v>2041.9961285544007</v>
      </c>
      <c r="T1430" s="38">
        <f t="shared" si="565"/>
        <v>2103.2560124110328</v>
      </c>
      <c r="U1430" s="38">
        <f t="shared" si="565"/>
        <v>2166.3536927833634</v>
      </c>
      <c r="V1430" s="38">
        <f t="shared" si="565"/>
        <v>2231.3443035668643</v>
      </c>
      <c r="W1430" s="38">
        <f t="shared" si="565"/>
        <v>2298.2846326738704</v>
      </c>
      <c r="X1430" s="38">
        <f t="shared" si="565"/>
        <v>2367.2331716540866</v>
      </c>
      <c r="Y1430" s="38">
        <f t="shared" si="565"/>
        <v>2438.2501668037094</v>
      </c>
      <c r="Z1430" s="38">
        <f t="shared" si="565"/>
        <v>2511.3976718078206</v>
      </c>
      <c r="AA1430" s="38">
        <f t="shared" si="565"/>
        <v>2586.7396019620555</v>
      </c>
      <c r="AB1430" s="38">
        <f t="shared" si="565"/>
        <v>2664.341790020917</v>
      </c>
      <c r="AC1430" s="38">
        <f t="shared" si="565"/>
        <v>2744.2720437215448</v>
      </c>
      <c r="AD1430" s="38">
        <f t="shared" si="565"/>
        <v>2826.6002050331908</v>
      </c>
      <c r="AE1430" s="38">
        <f t="shared" si="565"/>
        <v>2911.398211184186</v>
      </c>
      <c r="AF1430" s="38">
        <f t="shared" si="565"/>
        <v>2998.7401575197123</v>
      </c>
      <c r="AG1430" s="38">
        <f t="shared" si="565"/>
        <v>3088.7023622453039</v>
      </c>
      <c r="AH1430" s="38">
        <f t="shared" si="565"/>
        <v>3181.3634331126632</v>
      </c>
    </row>
    <row r="1431" spans="1:34" s="20" customFormat="1" ht="14" x14ac:dyDescent="0.2">
      <c r="B1431" s="271" t="s">
        <v>459</v>
      </c>
      <c r="D1431" s="20" t="str">
        <f>'Assumptions - General'!$E$27 &amp;" millions"</f>
        <v>R$ millions</v>
      </c>
      <c r="E1431" s="38">
        <f t="shared" ref="E1431:AH1431" si="566">IF(AND((E16+E17+E19+E21)&lt;3,E21=1),SUM(E1423:E1425),0)</f>
        <v>0</v>
      </c>
      <c r="F1431" s="38">
        <f t="shared" si="566"/>
        <v>0</v>
      </c>
      <c r="G1431" s="38">
        <f t="shared" si="566"/>
        <v>0</v>
      </c>
      <c r="H1431" s="38">
        <f t="shared" si="566"/>
        <v>0</v>
      </c>
      <c r="I1431" s="38">
        <f t="shared" si="566"/>
        <v>0</v>
      </c>
      <c r="J1431" s="38">
        <f t="shared" si="566"/>
        <v>0</v>
      </c>
      <c r="K1431" s="38">
        <f t="shared" si="566"/>
        <v>0</v>
      </c>
      <c r="L1431" s="38">
        <f t="shared" si="566"/>
        <v>0</v>
      </c>
      <c r="M1431" s="38">
        <f t="shared" si="566"/>
        <v>0</v>
      </c>
      <c r="N1431" s="38">
        <f t="shared" si="566"/>
        <v>0</v>
      </c>
      <c r="O1431" s="38">
        <f t="shared" si="566"/>
        <v>0</v>
      </c>
      <c r="P1431" s="38">
        <f t="shared" si="566"/>
        <v>0</v>
      </c>
      <c r="Q1431" s="38">
        <f t="shared" si="566"/>
        <v>0</v>
      </c>
      <c r="R1431" s="38">
        <f t="shared" si="566"/>
        <v>0</v>
      </c>
      <c r="S1431" s="38">
        <f t="shared" si="566"/>
        <v>0</v>
      </c>
      <c r="T1431" s="38">
        <f t="shared" si="566"/>
        <v>0</v>
      </c>
      <c r="U1431" s="38">
        <f t="shared" si="566"/>
        <v>0</v>
      </c>
      <c r="V1431" s="38">
        <f t="shared" si="566"/>
        <v>0</v>
      </c>
      <c r="W1431" s="38">
        <f t="shared" si="566"/>
        <v>0</v>
      </c>
      <c r="X1431" s="38">
        <f t="shared" si="566"/>
        <v>0</v>
      </c>
      <c r="Y1431" s="38">
        <f t="shared" si="566"/>
        <v>0</v>
      </c>
      <c r="Z1431" s="38">
        <f t="shared" si="566"/>
        <v>0</v>
      </c>
      <c r="AA1431" s="38">
        <f t="shared" si="566"/>
        <v>0</v>
      </c>
      <c r="AB1431" s="38">
        <f t="shared" si="566"/>
        <v>0</v>
      </c>
      <c r="AC1431" s="38">
        <f t="shared" si="566"/>
        <v>0</v>
      </c>
      <c r="AD1431" s="38">
        <f t="shared" si="566"/>
        <v>0</v>
      </c>
      <c r="AE1431" s="38">
        <f t="shared" si="566"/>
        <v>0</v>
      </c>
      <c r="AF1431" s="38">
        <f t="shared" si="566"/>
        <v>0</v>
      </c>
      <c r="AG1431" s="38">
        <f t="shared" si="566"/>
        <v>0</v>
      </c>
      <c r="AH1431" s="38">
        <f t="shared" si="566"/>
        <v>0</v>
      </c>
    </row>
    <row r="1432" spans="1:34" s="20" customFormat="1" ht="14" x14ac:dyDescent="0.2">
      <c r="B1432" s="57" t="s">
        <v>460</v>
      </c>
      <c r="D1432" s="20" t="str">
        <f>'Assumptions - General'!$E$27 &amp;" millions"</f>
        <v>R$ millions</v>
      </c>
      <c r="E1432" s="38">
        <f t="shared" ref="E1432:AH1432" si="567">IF(E21=1,E1429-E1430-E1431," ")</f>
        <v>-730</v>
      </c>
      <c r="F1432" s="38">
        <f t="shared" si="567"/>
        <v>-754.9</v>
      </c>
      <c r="G1432" s="38">
        <f t="shared" si="567"/>
        <v>-780.54700000000014</v>
      </c>
      <c r="H1432" s="38">
        <f t="shared" si="567"/>
        <v>-806.96341000000007</v>
      </c>
      <c r="I1432" s="38">
        <f t="shared" si="567"/>
        <v>-834.17231230000016</v>
      </c>
      <c r="J1432" s="38">
        <f t="shared" si="567"/>
        <v>-862.19748166900001</v>
      </c>
      <c r="K1432" s="38">
        <f t="shared" si="567"/>
        <v>-891.06340611907012</v>
      </c>
      <c r="L1432" s="38">
        <f t="shared" si="567"/>
        <v>-920.7953083026423</v>
      </c>
      <c r="M1432" s="38">
        <f t="shared" si="567"/>
        <v>-951.41916755172156</v>
      </c>
      <c r="N1432" s="38">
        <f t="shared" si="567"/>
        <v>-982.96174257827283</v>
      </c>
      <c r="O1432" s="38">
        <f t="shared" si="567"/>
        <v>-1015.4505948556214</v>
      </c>
      <c r="P1432" s="38">
        <f t="shared" si="567"/>
        <v>-1048.9141127012899</v>
      </c>
      <c r="Q1432" s="38">
        <f t="shared" si="567"/>
        <v>-1083.3815360823287</v>
      </c>
      <c r="R1432" s="38">
        <f t="shared" si="567"/>
        <v>-1118.8829821647987</v>
      </c>
      <c r="S1432" s="38">
        <f t="shared" si="567"/>
        <v>-1155.4494716297427</v>
      </c>
      <c r="T1432" s="38">
        <f t="shared" si="567"/>
        <v>-1193.1129557786351</v>
      </c>
      <c r="U1432" s="38">
        <f t="shared" si="567"/>
        <v>-1231.9063444519938</v>
      </c>
      <c r="V1432" s="38">
        <f t="shared" si="567"/>
        <v>-1271.8635347855536</v>
      </c>
      <c r="W1432" s="38">
        <f t="shared" si="567"/>
        <v>-1313.0194408291204</v>
      </c>
      <c r="X1432" s="38">
        <f t="shared" si="567"/>
        <v>-1355.410024053994</v>
      </c>
      <c r="Y1432" s="38">
        <f t="shared" si="567"/>
        <v>-1399.0723247756139</v>
      </c>
      <c r="Z1432" s="38">
        <f t="shared" si="567"/>
        <v>-1444.0444945188824</v>
      </c>
      <c r="AA1432" s="38">
        <f t="shared" si="567"/>
        <v>-1490.365829354449</v>
      </c>
      <c r="AB1432" s="38">
        <f t="shared" si="567"/>
        <v>-1538.0768042350824</v>
      </c>
      <c r="AC1432" s="38">
        <f t="shared" si="567"/>
        <v>-1587.2191083621351</v>
      </c>
      <c r="AD1432" s="38">
        <f t="shared" si="567"/>
        <v>-1637.8356816129988</v>
      </c>
      <c r="AE1432" s="38">
        <f t="shared" si="567"/>
        <v>-1689.9707520613883</v>
      </c>
      <c r="AF1432" s="38">
        <f t="shared" si="567"/>
        <v>-1743.6698746232307</v>
      </c>
      <c r="AG1432" s="38">
        <f t="shared" si="567"/>
        <v>-1798.9799708619278</v>
      </c>
      <c r="AH1432" s="38">
        <f t="shared" si="567"/>
        <v>-1855.9493699877855</v>
      </c>
    </row>
    <row r="1433" spans="1:34" s="20" customFormat="1" ht="14" x14ac:dyDescent="0.2">
      <c r="B1433" s="57" t="s">
        <v>322</v>
      </c>
      <c r="D1433" s="20" t="s">
        <v>15</v>
      </c>
      <c r="E1433" s="128" t="str">
        <f t="shared" ref="E1433:AH1433" si="568">IF(AND(SUM($E$1432:$AH$1432)&lt;&gt;0,($E$4+SUM($F$21:$AH$21))=E$4),(E1432/$E1432)^(1/SUM($F$21:$AH$21))-1," ")</f>
        <v xml:space="preserve"> </v>
      </c>
      <c r="F1433" s="128" t="str">
        <f t="shared" si="568"/>
        <v xml:space="preserve"> </v>
      </c>
      <c r="G1433" s="128" t="str">
        <f t="shared" si="568"/>
        <v xml:space="preserve"> </v>
      </c>
      <c r="H1433" s="128" t="str">
        <f t="shared" si="568"/>
        <v xml:space="preserve"> </v>
      </c>
      <c r="I1433" s="128" t="str">
        <f t="shared" si="568"/>
        <v xml:space="preserve"> </v>
      </c>
      <c r="J1433" s="128" t="str">
        <f t="shared" si="568"/>
        <v xml:space="preserve"> </v>
      </c>
      <c r="K1433" s="128" t="str">
        <f t="shared" si="568"/>
        <v xml:space="preserve"> </v>
      </c>
      <c r="L1433" s="128" t="str">
        <f t="shared" si="568"/>
        <v xml:space="preserve"> </v>
      </c>
      <c r="M1433" s="128" t="str">
        <f t="shared" si="568"/>
        <v xml:space="preserve"> </v>
      </c>
      <c r="N1433" s="128" t="str">
        <f t="shared" si="568"/>
        <v xml:space="preserve"> </v>
      </c>
      <c r="O1433" s="128" t="str">
        <f t="shared" si="568"/>
        <v xml:space="preserve"> </v>
      </c>
      <c r="P1433" s="128" t="str">
        <f t="shared" si="568"/>
        <v xml:space="preserve"> </v>
      </c>
      <c r="Q1433" s="128" t="str">
        <f t="shared" si="568"/>
        <v xml:space="preserve"> </v>
      </c>
      <c r="R1433" s="128" t="str">
        <f t="shared" si="568"/>
        <v xml:space="preserve"> </v>
      </c>
      <c r="S1433" s="128" t="str">
        <f t="shared" si="568"/>
        <v xml:space="preserve"> </v>
      </c>
      <c r="T1433" s="128" t="str">
        <f t="shared" si="568"/>
        <v xml:space="preserve"> </v>
      </c>
      <c r="U1433" s="128" t="str">
        <f t="shared" si="568"/>
        <v xml:space="preserve"> </v>
      </c>
      <c r="V1433" s="128" t="str">
        <f t="shared" si="568"/>
        <v xml:space="preserve"> </v>
      </c>
      <c r="W1433" s="128" t="str">
        <f t="shared" si="568"/>
        <v xml:space="preserve"> </v>
      </c>
      <c r="X1433" s="128" t="str">
        <f t="shared" si="568"/>
        <v xml:space="preserve"> </v>
      </c>
      <c r="Y1433" s="128" t="str">
        <f t="shared" si="568"/>
        <v xml:space="preserve"> </v>
      </c>
      <c r="Z1433" s="128" t="str">
        <f t="shared" si="568"/>
        <v xml:space="preserve"> </v>
      </c>
      <c r="AA1433" s="128" t="str">
        <f t="shared" si="568"/>
        <v xml:space="preserve"> </v>
      </c>
      <c r="AB1433" s="128" t="str">
        <f t="shared" si="568"/>
        <v xml:space="preserve"> </v>
      </c>
      <c r="AC1433" s="128" t="str">
        <f t="shared" si="568"/>
        <v xml:space="preserve"> </v>
      </c>
      <c r="AD1433" s="128" t="str">
        <f t="shared" si="568"/>
        <v xml:space="preserve"> </v>
      </c>
      <c r="AE1433" s="128" t="str">
        <f t="shared" si="568"/>
        <v xml:space="preserve"> </v>
      </c>
      <c r="AF1433" s="128" t="str">
        <f t="shared" si="568"/>
        <v xml:space="preserve"> </v>
      </c>
      <c r="AG1433" s="128" t="str">
        <f t="shared" si="568"/>
        <v xml:space="preserve"> </v>
      </c>
      <c r="AH1433" s="128">
        <f t="shared" si="568"/>
        <v>3.2699354761008603E-2</v>
      </c>
    </row>
    <row r="1434" spans="1:34" s="20" customFormat="1" ht="14" x14ac:dyDescent="0.2">
      <c r="B1434" s="55"/>
      <c r="E1434" s="56"/>
      <c r="F1434" s="56"/>
      <c r="G1434" s="56"/>
      <c r="H1434" s="56"/>
      <c r="I1434" s="56"/>
      <c r="J1434" s="56"/>
      <c r="K1434" s="56"/>
      <c r="L1434" s="56"/>
      <c r="M1434" s="56"/>
      <c r="N1434" s="56"/>
      <c r="O1434" s="56"/>
      <c r="P1434" s="56"/>
      <c r="Q1434" s="56"/>
      <c r="R1434" s="56"/>
      <c r="S1434" s="56"/>
      <c r="T1434" s="56"/>
      <c r="U1434" s="56"/>
      <c r="V1434" s="56"/>
      <c r="W1434" s="56"/>
      <c r="X1434" s="56"/>
      <c r="Y1434" s="56"/>
      <c r="Z1434" s="56"/>
      <c r="AA1434" s="56"/>
      <c r="AB1434" s="56"/>
      <c r="AC1434" s="56"/>
      <c r="AD1434" s="56"/>
      <c r="AE1434" s="56"/>
      <c r="AF1434" s="56"/>
      <c r="AG1434" s="56"/>
      <c r="AH1434" s="56"/>
    </row>
    <row r="1435" spans="1:34" x14ac:dyDescent="0.2">
      <c r="A1435" s="2"/>
      <c r="B1435" s="4" t="str">
        <f>"Dividends for " &amp; 'Assumptions - General'!E23</f>
        <v xml:space="preserve">Dividends for Ruritania Railways </v>
      </c>
      <c r="C1435" s="2"/>
      <c r="D1435" s="2"/>
      <c r="E1435" s="2"/>
      <c r="F1435" s="2"/>
      <c r="G1435" s="2"/>
      <c r="H1435" s="2"/>
      <c r="I1435" s="2"/>
      <c r="J1435" s="2"/>
      <c r="K1435" s="2"/>
      <c r="L1435" s="2"/>
      <c r="M1435" s="2"/>
      <c r="N1435" s="2"/>
      <c r="O1435" s="2"/>
      <c r="P1435" s="2"/>
      <c r="Q1435" s="2"/>
      <c r="R1435" s="2"/>
      <c r="S1435" s="2"/>
      <c r="T1435" s="2"/>
      <c r="U1435" s="2"/>
      <c r="V1435" s="2"/>
      <c r="W1435" s="2"/>
      <c r="X1435" s="2"/>
      <c r="Y1435" s="2"/>
      <c r="Z1435" s="2"/>
      <c r="AA1435" s="2"/>
      <c r="AB1435" s="2"/>
      <c r="AC1435" s="2"/>
      <c r="AD1435" s="2"/>
      <c r="AE1435" s="2"/>
      <c r="AF1435" s="2"/>
      <c r="AG1435" s="2"/>
      <c r="AH1435" s="2"/>
    </row>
    <row r="1436" spans="1:34" s="20" customFormat="1" ht="14" x14ac:dyDescent="0.2">
      <c r="A1436" s="8"/>
      <c r="B1436" s="8"/>
      <c r="C1436" s="8"/>
      <c r="D1436" s="8"/>
      <c r="E1436" s="15"/>
      <c r="F1436" s="8"/>
      <c r="G1436" s="8"/>
      <c r="H1436" s="8"/>
      <c r="I1436" s="8"/>
      <c r="J1436" s="8"/>
      <c r="K1436" s="8"/>
      <c r="L1436" s="8"/>
      <c r="M1436" s="8"/>
      <c r="N1436" s="8"/>
      <c r="O1436" s="8"/>
      <c r="P1436" s="8"/>
      <c r="Q1436" s="8"/>
      <c r="R1436" s="8"/>
      <c r="S1436" s="8"/>
      <c r="T1436" s="8"/>
      <c r="U1436" s="8"/>
      <c r="V1436" s="8"/>
      <c r="W1436" s="8"/>
      <c r="X1436" s="8"/>
      <c r="Y1436" s="8"/>
      <c r="Z1436" s="8"/>
      <c r="AA1436" s="8"/>
      <c r="AB1436" s="8"/>
      <c r="AC1436" s="8"/>
      <c r="AD1436" s="8"/>
      <c r="AE1436" s="8"/>
      <c r="AF1436" s="8"/>
      <c r="AG1436" s="8"/>
      <c r="AH1436" s="8"/>
    </row>
    <row r="1437" spans="1:34" s="20" customFormat="1" ht="14" x14ac:dyDescent="0.2">
      <c r="A1437" s="8"/>
      <c r="B1437" s="8" t="s">
        <v>151</v>
      </c>
      <c r="C1437" s="8"/>
      <c r="D1437" s="8" t="str">
        <f>'Assumptions - General'!$E$27 &amp;" millions"</f>
        <v>R$ millions</v>
      </c>
      <c r="E1437" s="41">
        <f>IF(E21=1,'Cash flow statement'!E25," ")</f>
        <v>0</v>
      </c>
      <c r="F1437" s="41">
        <f>IF(F21=1,'Cash flow statement'!F25," ")</f>
        <v>50690.792519097551</v>
      </c>
      <c r="G1437" s="41">
        <f>IF(G21=1,'Cash flow statement'!G25," ")</f>
        <v>52724.69910649403</v>
      </c>
      <c r="H1437" s="41">
        <f>IF(H21=1,'Cash flow statement'!H25," ")</f>
        <v>55555.087292603705</v>
      </c>
      <c r="I1437" s="41">
        <f>IF(I21=1,'Cash flow statement'!I25," ")</f>
        <v>59925.604475971457</v>
      </c>
      <c r="J1437" s="41">
        <f>IF(J21=1,'Cash flow statement'!J25," ")</f>
        <v>64163.626703987196</v>
      </c>
      <c r="K1437" s="41">
        <f>IF(K21=1,'Cash flow statement'!K25," ")</f>
        <v>72149.97263055107</v>
      </c>
      <c r="L1437" s="41">
        <f>IF(L21=1,'Cash flow statement'!L25," ")</f>
        <v>77495.629768915795</v>
      </c>
      <c r="M1437" s="41">
        <f>IF(M21=1,'Cash flow statement'!M25," ")</f>
        <v>82223.493875014101</v>
      </c>
      <c r="N1437" s="41">
        <f>IF(N21=1,'Cash flow statement'!N25," ")</f>
        <v>87164.973491895071</v>
      </c>
      <c r="O1437" s="41">
        <f>IF(O21=1,'Cash flow statement'!O25," ")</f>
        <v>91222.768841377983</v>
      </c>
      <c r="P1437" s="41">
        <f>IF(P21=1,'Cash flow statement'!P25," ")</f>
        <v>96261.173051379898</v>
      </c>
      <c r="Q1437" s="41">
        <f>IF(Q21=1,'Cash flow statement'!Q25," ")</f>
        <v>101596.8188694383</v>
      </c>
      <c r="R1437" s="41">
        <f>IF(R21=1,'Cash flow statement'!R25," ")</f>
        <v>107167.51642838139</v>
      </c>
      <c r="S1437" s="41">
        <f>IF(S21=1,'Cash flow statement'!S25," ")</f>
        <v>112987.49117860262</v>
      </c>
      <c r="T1437" s="41">
        <f>IF(T21=1,'Cash flow statement'!T25," ")</f>
        <v>119058.94847536211</v>
      </c>
      <c r="U1437" s="41">
        <f>IF(U21=1,'Cash flow statement'!U25," ")</f>
        <v>125394.26549745037</v>
      </c>
      <c r="V1437" s="41">
        <f>IF(V21=1,'Cash flow statement'!V25," ")</f>
        <v>131994.57828943952</v>
      </c>
      <c r="W1437" s="41">
        <f>IF(W21=1,'Cash flow statement'!W25," ")</f>
        <v>138894.53135041392</v>
      </c>
      <c r="X1437" s="41">
        <f>IF(X21=1,'Cash flow statement'!X25," ")</f>
        <v>146097.43811296648</v>
      </c>
      <c r="Y1437" s="41">
        <f>IF(Y21=1,'Cash flow statement'!Y25," ")</f>
        <v>153605.48887873936</v>
      </c>
      <c r="Z1437" s="41">
        <f>IF(Z21=1,'Cash flow statement'!Z25," ")</f>
        <v>161439.28338368493</v>
      </c>
      <c r="AA1437" s="41">
        <f>IF(AA21=1,'Cash flow statement'!AA25," ")</f>
        <v>169607.40726804076</v>
      </c>
      <c r="AB1437" s="41">
        <f>IF(AB21=1,'Cash flow statement'!AB25," ")</f>
        <v>178121.83813264631</v>
      </c>
      <c r="AC1437" s="41">
        <f>IF(AC21=1,'Cash flow statement'!AC25," ")</f>
        <v>186994.98892456814</v>
      </c>
      <c r="AD1437" s="41">
        <f>IF(AD21=1,'Cash flow statement'!AD25," ")</f>
        <v>196241.9497469081</v>
      </c>
      <c r="AE1437" s="41">
        <f>IF(AE21=1,'Cash flow statement'!AE25," ")</f>
        <v>205875.64425810269</v>
      </c>
      <c r="AF1437" s="41">
        <f>IF(AF21=1,'Cash flow statement'!AF25," ")</f>
        <v>215910.12989520255</v>
      </c>
      <c r="AG1437" s="41">
        <f>IF(AG21=1,'Cash flow statement'!AG25," ")</f>
        <v>226361.40002495603</v>
      </c>
      <c r="AH1437" s="41">
        <f>IF(AH21=1,'Cash flow statement'!AH25," ")</f>
        <v>237227.77046402689</v>
      </c>
    </row>
    <row r="1438" spans="1:34" s="20" customFormat="1" ht="14" x14ac:dyDescent="0.2">
      <c r="A1438" s="8"/>
      <c r="B1438" s="8" t="s">
        <v>175</v>
      </c>
      <c r="C1438" s="8"/>
      <c r="D1438" s="8" t="str">
        <f>'Assumptions - General'!$E$27 &amp;" millions"</f>
        <v>R$ millions</v>
      </c>
      <c r="E1438" s="29">
        <f t="shared" ref="E1438:AH1438" si="569">IF(E21=1,E284+E702+E1171," ")</f>
        <v>69.5</v>
      </c>
      <c r="F1438" s="29">
        <f t="shared" si="569"/>
        <v>81.574250000000006</v>
      </c>
      <c r="G1438" s="29">
        <f t="shared" si="569"/>
        <v>146.41950000000003</v>
      </c>
      <c r="H1438" s="29">
        <f t="shared" si="569"/>
        <v>120.19224999999999</v>
      </c>
      <c r="I1438" s="29">
        <f t="shared" si="569"/>
        <v>126.986625</v>
      </c>
      <c r="J1438" s="29">
        <f t="shared" si="569"/>
        <v>133.63249999999999</v>
      </c>
      <c r="K1438" s="29">
        <f t="shared" si="569"/>
        <v>140.13774999999998</v>
      </c>
      <c r="L1438" s="29">
        <f t="shared" si="569"/>
        <v>148.91113166691531</v>
      </c>
      <c r="M1438" s="29">
        <f t="shared" si="569"/>
        <v>145.17388166691532</v>
      </c>
      <c r="N1438" s="29">
        <f t="shared" si="569"/>
        <v>141.20088166691531</v>
      </c>
      <c r="O1438" s="29">
        <f t="shared" si="569"/>
        <v>112.6797566669153</v>
      </c>
      <c r="P1438" s="29">
        <f t="shared" si="569"/>
        <v>55.974506666915289</v>
      </c>
      <c r="Q1438" s="29">
        <f t="shared" si="569"/>
        <v>55.974506666915289</v>
      </c>
      <c r="R1438" s="29">
        <f t="shared" si="569"/>
        <v>55.974506666915296</v>
      </c>
      <c r="S1438" s="29">
        <f t="shared" si="569"/>
        <v>55.974506666915289</v>
      </c>
      <c r="T1438" s="29">
        <f t="shared" si="569"/>
        <v>55.974506666915289</v>
      </c>
      <c r="U1438" s="29">
        <f t="shared" si="569"/>
        <v>711.59950666691532</v>
      </c>
      <c r="V1438" s="29">
        <f t="shared" si="569"/>
        <v>3.5</v>
      </c>
      <c r="W1438" s="29">
        <f t="shared" si="569"/>
        <v>3.5</v>
      </c>
      <c r="X1438" s="29">
        <f t="shared" si="569"/>
        <v>3.5</v>
      </c>
      <c r="Y1438" s="29">
        <f t="shared" si="569"/>
        <v>3.5</v>
      </c>
      <c r="Z1438" s="29">
        <f t="shared" si="569"/>
        <v>3.5</v>
      </c>
      <c r="AA1438" s="29">
        <f t="shared" si="569"/>
        <v>3.5</v>
      </c>
      <c r="AB1438" s="29">
        <f t="shared" si="569"/>
        <v>3.5</v>
      </c>
      <c r="AC1438" s="29">
        <f t="shared" si="569"/>
        <v>3.5</v>
      </c>
      <c r="AD1438" s="29">
        <f t="shared" si="569"/>
        <v>3.5</v>
      </c>
      <c r="AE1438" s="29">
        <f t="shared" si="569"/>
        <v>52.25</v>
      </c>
      <c r="AF1438" s="29">
        <f t="shared" si="569"/>
        <v>1</v>
      </c>
      <c r="AG1438" s="29">
        <f t="shared" si="569"/>
        <v>1</v>
      </c>
      <c r="AH1438" s="29">
        <f t="shared" si="569"/>
        <v>1</v>
      </c>
    </row>
    <row r="1439" spans="1:34" s="20" customFormat="1" ht="14" x14ac:dyDescent="0.2">
      <c r="A1439" s="8"/>
      <c r="B1439" s="8" t="s">
        <v>152</v>
      </c>
      <c r="C1439" s="8"/>
      <c r="D1439" s="8" t="s">
        <v>118</v>
      </c>
      <c r="E1439" s="50" t="str">
        <f t="shared" ref="E1439:AH1439" si="570">IF(E21=1,IF(OR(ROUND(E1438,0)=0,ROUND(E1437,0)=0),"N/A",E1437/E1438),0)</f>
        <v>N/A</v>
      </c>
      <c r="F1439" s="50">
        <f t="shared" si="570"/>
        <v>621.4067860764585</v>
      </c>
      <c r="G1439" s="50">
        <f t="shared" si="570"/>
        <v>360.09342407598729</v>
      </c>
      <c r="H1439" s="50">
        <f t="shared" si="570"/>
        <v>462.21854813936596</v>
      </c>
      <c r="I1439" s="50">
        <f t="shared" si="570"/>
        <v>471.90485199501489</v>
      </c>
      <c r="J1439" s="50">
        <f t="shared" si="570"/>
        <v>480.14986402250349</v>
      </c>
      <c r="K1439" s="50">
        <f t="shared" si="570"/>
        <v>514.85037137067695</v>
      </c>
      <c r="L1439" s="50">
        <f t="shared" si="570"/>
        <v>520.4152899882472</v>
      </c>
      <c r="M1439" s="50">
        <f t="shared" si="570"/>
        <v>566.37938540257812</v>
      </c>
      <c r="N1439" s="50">
        <f t="shared" si="570"/>
        <v>617.31182173148318</v>
      </c>
      <c r="O1439" s="50">
        <f t="shared" si="570"/>
        <v>809.57548666913783</v>
      </c>
      <c r="P1439" s="50">
        <f t="shared" si="570"/>
        <v>1719.7324064720476</v>
      </c>
      <c r="Q1439" s="50">
        <f t="shared" si="570"/>
        <v>1815.0551906425087</v>
      </c>
      <c r="R1439" s="50">
        <f t="shared" si="570"/>
        <v>1914.5772389937761</v>
      </c>
      <c r="S1439" s="50">
        <f t="shared" si="570"/>
        <v>2018.5526931206675</v>
      </c>
      <c r="T1439" s="50">
        <f t="shared" si="570"/>
        <v>2127.0209523031667</v>
      </c>
      <c r="U1439" s="50">
        <f t="shared" si="570"/>
        <v>176.2146605255374</v>
      </c>
      <c r="V1439" s="50">
        <f t="shared" si="570"/>
        <v>37712.736654125576</v>
      </c>
      <c r="W1439" s="50">
        <f t="shared" si="570"/>
        <v>39684.15181440398</v>
      </c>
      <c r="X1439" s="50">
        <f t="shared" si="570"/>
        <v>41742.125175133282</v>
      </c>
      <c r="Y1439" s="50">
        <f t="shared" si="570"/>
        <v>43887.282536782674</v>
      </c>
      <c r="Z1439" s="50">
        <f t="shared" si="570"/>
        <v>46125.509538195693</v>
      </c>
      <c r="AA1439" s="50">
        <f t="shared" si="570"/>
        <v>48459.259219440217</v>
      </c>
      <c r="AB1439" s="50">
        <f t="shared" si="570"/>
        <v>50891.953752184658</v>
      </c>
      <c r="AC1439" s="50">
        <f t="shared" si="570"/>
        <v>53427.139692733756</v>
      </c>
      <c r="AD1439" s="50">
        <f t="shared" si="570"/>
        <v>56069.128499116596</v>
      </c>
      <c r="AE1439" s="50">
        <f t="shared" si="570"/>
        <v>3940.2037178584246</v>
      </c>
      <c r="AF1439" s="50">
        <f t="shared" si="570"/>
        <v>215910.12989520255</v>
      </c>
      <c r="AG1439" s="50">
        <f t="shared" si="570"/>
        <v>226361.40002495603</v>
      </c>
      <c r="AH1439" s="50">
        <f t="shared" si="570"/>
        <v>237227.77046402689</v>
      </c>
    </row>
    <row r="1440" spans="1:34" s="20" customFormat="1" ht="14" x14ac:dyDescent="0.2">
      <c r="A1440" s="8"/>
      <c r="B1440" s="8" t="s">
        <v>153</v>
      </c>
      <c r="C1440" s="8"/>
      <c r="D1440" s="8" t="s">
        <v>118</v>
      </c>
      <c r="E1440" s="42">
        <f>IF(AND((E16+E17+E19+E21)&lt;3,E21=1),'Assumptions - Consolidated'!$E$93,IF(E16=1,'Assumptions - Freight'!$E$406,IF(E19=1,'Assumptions - Infrastructure'!$E$341," ")))</f>
        <v>1.2</v>
      </c>
      <c r="F1440" s="42">
        <f>IF(AND((F16+F17+F19+F21)&lt;3,F21=1),'Assumptions - Consolidated'!$E$93,IF(F16=1,'Assumptions - Freight'!$E$406,IF(F19=1,'Assumptions - Infrastructure'!$E$341," ")))</f>
        <v>1.2</v>
      </c>
      <c r="G1440" s="42">
        <f>IF(AND((G16+G17+G19+G21)&lt;3,G21=1),'Assumptions - Consolidated'!$E$93,IF(G16=1,'Assumptions - Freight'!$E$406,IF(G19=1,'Assumptions - Infrastructure'!$E$341," ")))</f>
        <v>1.2</v>
      </c>
      <c r="H1440" s="42">
        <f>IF(AND((H16+H17+H19+H21)&lt;3,H21=1),'Assumptions - Consolidated'!$E$93,IF(H16=1,'Assumptions - Freight'!$E$406,IF(H19=1,'Assumptions - Infrastructure'!$E$341," ")))</f>
        <v>1.2</v>
      </c>
      <c r="I1440" s="42">
        <f>IF(AND((I16+I17+I19+I21)&lt;3,I21=1),'Assumptions - Consolidated'!$E$93,IF(I16=1,'Assumptions - Freight'!$E$406,IF(I19=1,'Assumptions - Infrastructure'!$E$341," ")))</f>
        <v>1.2</v>
      </c>
      <c r="J1440" s="42">
        <f>IF(AND((J16+J17+J19+J21)&lt;3,J21=1),'Assumptions - Consolidated'!$E$93,IF(J16=1,'Assumptions - Freight'!$E$406,IF(J19=1,'Assumptions - Infrastructure'!$E$341," ")))</f>
        <v>1.2</v>
      </c>
      <c r="K1440" s="42">
        <f>IF(AND((K16+K17+K19+K21)&lt;3,K21=1),'Assumptions - Consolidated'!$E$93,IF(K16=1,'Assumptions - Freight'!$E$406,IF(K19=1,'Assumptions - Infrastructure'!$E$341," ")))</f>
        <v>1.2</v>
      </c>
      <c r="L1440" s="42">
        <f>IF(AND((L16+L17+L19+L21)&lt;3,L21=1),'Assumptions - Consolidated'!$E$93,IF(L16=1,'Assumptions - Freight'!$E$406,IF(L19=1,'Assumptions - Infrastructure'!$E$341," ")))</f>
        <v>1.2</v>
      </c>
      <c r="M1440" s="42">
        <f>IF(AND((M16+M17+M19+M21)&lt;3,M21=1),'Assumptions - Consolidated'!$E$93,IF(M16=1,'Assumptions - Freight'!$E$406,IF(M19=1,'Assumptions - Infrastructure'!$E$341," ")))</f>
        <v>1.2</v>
      </c>
      <c r="N1440" s="42">
        <f>IF(AND((N16+N17+N19+N21)&lt;3,N21=1),'Assumptions - Consolidated'!$E$93,IF(N16=1,'Assumptions - Freight'!$E$406,IF(N19=1,'Assumptions - Infrastructure'!$E$341," ")))</f>
        <v>1.2</v>
      </c>
      <c r="O1440" s="42">
        <f>IF(AND((O16+O17+O19+O21)&lt;3,O21=1),'Assumptions - Consolidated'!$E$93,IF(O16=1,'Assumptions - Freight'!$E$406,IF(O19=1,'Assumptions - Infrastructure'!$E$341," ")))</f>
        <v>1.2</v>
      </c>
      <c r="P1440" s="42">
        <f>IF(AND((P16+P17+P19+P21)&lt;3,P21=1),'Assumptions - Consolidated'!$E$93,IF(P16=1,'Assumptions - Freight'!$E$406,IF(P19=1,'Assumptions - Infrastructure'!$E$341," ")))</f>
        <v>1.2</v>
      </c>
      <c r="Q1440" s="42">
        <f>IF(AND((Q16+Q17+Q19+Q21)&lt;3,Q21=1),'Assumptions - Consolidated'!$E$93,IF(Q16=1,'Assumptions - Freight'!$E$406,IF(Q19=1,'Assumptions - Infrastructure'!$E$341," ")))</f>
        <v>1.2</v>
      </c>
      <c r="R1440" s="42">
        <f>IF(AND((R16+R17+R19+R21)&lt;3,R21=1),'Assumptions - Consolidated'!$E$93,IF(R16=1,'Assumptions - Freight'!$E$406,IF(R19=1,'Assumptions - Infrastructure'!$E$341," ")))</f>
        <v>1.2</v>
      </c>
      <c r="S1440" s="42">
        <f>IF(AND((S16+S17+S19+S21)&lt;3,S21=1),'Assumptions - Consolidated'!$E$93,IF(S16=1,'Assumptions - Freight'!$E$406,IF(S19=1,'Assumptions - Infrastructure'!$E$341," ")))</f>
        <v>1.2</v>
      </c>
      <c r="T1440" s="42">
        <f>IF(AND((T16+T17+T19+T21)&lt;3,T21=1),'Assumptions - Consolidated'!$E$93,IF(T16=1,'Assumptions - Freight'!$E$406,IF(T19=1,'Assumptions - Infrastructure'!$E$341," ")))</f>
        <v>1.2</v>
      </c>
      <c r="U1440" s="42">
        <f>IF(AND((U16+U17+U19+U21)&lt;3,U21=1),'Assumptions - Consolidated'!$E$93,IF(U16=1,'Assumptions - Freight'!$E$406,IF(U19=1,'Assumptions - Infrastructure'!$E$341," ")))</f>
        <v>1.2</v>
      </c>
      <c r="V1440" s="42">
        <f>IF(AND((V16+V17+V19+V21)&lt;3,V21=1),'Assumptions - Consolidated'!$E$93,IF(V16=1,'Assumptions - Freight'!$E$406,IF(V19=1,'Assumptions - Infrastructure'!$E$341," ")))</f>
        <v>1.2</v>
      </c>
      <c r="W1440" s="42">
        <f>IF(AND((W16+W17+W19+W21)&lt;3,W21=1),'Assumptions - Consolidated'!$E$93,IF(W16=1,'Assumptions - Freight'!$E$406,IF(W19=1,'Assumptions - Infrastructure'!$E$341," ")))</f>
        <v>1.2</v>
      </c>
      <c r="X1440" s="42">
        <f>IF(AND((X16+X17+X19+X21)&lt;3,X21=1),'Assumptions - Consolidated'!$E$93,IF(X16=1,'Assumptions - Freight'!$E$406,IF(X19=1,'Assumptions - Infrastructure'!$E$341," ")))</f>
        <v>1.2</v>
      </c>
      <c r="Y1440" s="42">
        <f>IF(AND((Y16+Y17+Y19+Y21)&lt;3,Y21=1),'Assumptions - Consolidated'!$E$93,IF(Y16=1,'Assumptions - Freight'!$E$406,IF(Y19=1,'Assumptions - Infrastructure'!$E$341," ")))</f>
        <v>1.2</v>
      </c>
      <c r="Z1440" s="42">
        <f>IF(AND((Z16+Z17+Z19+Z21)&lt;3,Z21=1),'Assumptions - Consolidated'!$E$93,IF(Z16=1,'Assumptions - Freight'!$E$406,IF(Z19=1,'Assumptions - Infrastructure'!$E$341," ")))</f>
        <v>1.2</v>
      </c>
      <c r="AA1440" s="42">
        <f>IF(AND((AA16+AA17+AA19+AA21)&lt;3,AA21=1),'Assumptions - Consolidated'!$E$93,IF(AA16=1,'Assumptions - Freight'!$E$406,IF(AA19=1,'Assumptions - Infrastructure'!$E$341," ")))</f>
        <v>1.2</v>
      </c>
      <c r="AB1440" s="42">
        <f>IF(AND((AB16+AB17+AB19+AB21)&lt;3,AB21=1),'Assumptions - Consolidated'!$E$93,IF(AB16=1,'Assumptions - Freight'!$E$406,IF(AB19=1,'Assumptions - Infrastructure'!$E$341," ")))</f>
        <v>1.2</v>
      </c>
      <c r="AC1440" s="42">
        <f>IF(AND((AC16+AC17+AC19+AC21)&lt;3,AC21=1),'Assumptions - Consolidated'!$E$93,IF(AC16=1,'Assumptions - Freight'!$E$406,IF(AC19=1,'Assumptions - Infrastructure'!$E$341," ")))</f>
        <v>1.2</v>
      </c>
      <c r="AD1440" s="42">
        <f>IF(AND((AD16+AD17+AD19+AD21)&lt;3,AD21=1),'Assumptions - Consolidated'!$E$93,IF(AD16=1,'Assumptions - Freight'!$E$406,IF(AD19=1,'Assumptions - Infrastructure'!$E$341," ")))</f>
        <v>1.2</v>
      </c>
      <c r="AE1440" s="42">
        <f>IF(AND((AE16+AE17+AE19+AE21)&lt;3,AE21=1),'Assumptions - Consolidated'!$E$93,IF(AE16=1,'Assumptions - Freight'!$E$406,IF(AE19=1,'Assumptions - Infrastructure'!$E$341," ")))</f>
        <v>1.2</v>
      </c>
      <c r="AF1440" s="42">
        <f>IF(AND((AF16+AF17+AF19+AF21)&lt;3,AF21=1),'Assumptions - Consolidated'!$E$93,IF(AF16=1,'Assumptions - Freight'!$E$406,IF(AF19=1,'Assumptions - Infrastructure'!$E$341," ")))</f>
        <v>1.2</v>
      </c>
      <c r="AG1440" s="42">
        <f>IF(AND((AG16+AG17+AG19+AG21)&lt;3,AG21=1),'Assumptions - Consolidated'!$E$93,IF(AG16=1,'Assumptions - Freight'!$E$406,IF(AG19=1,'Assumptions - Infrastructure'!$E$341," ")))</f>
        <v>1.2</v>
      </c>
      <c r="AH1440" s="42">
        <f>IF(AND((AH16+AH17+AH19+AH21)&lt;3,AH21=1),'Assumptions - Consolidated'!$E$93,IF(AH16=1,'Assumptions - Freight'!$E$406,IF(AH19=1,'Assumptions - Infrastructure'!$E$341," ")))</f>
        <v>1.2</v>
      </c>
    </row>
    <row r="1441" spans="1:34" s="20" customFormat="1" ht="14" x14ac:dyDescent="0.2">
      <c r="A1441" s="8"/>
      <c r="B1441" s="8" t="s">
        <v>646</v>
      </c>
      <c r="C1441" s="8"/>
      <c r="D1441" s="8" t="str">
        <f>'Assumptions - General'!$E$27 &amp;" millions"</f>
        <v>R$ millions</v>
      </c>
      <c r="E1441" s="29">
        <f>IF(E21=1,'Cash flow statement'!E32+'Cash flow statement'!E36+'Cash flow statement'!E37," ")</f>
        <v>0</v>
      </c>
      <c r="F1441" s="29">
        <f>IF(F21=1,'Cash flow statement'!F32+'Cash flow statement'!F36+'Cash flow statement'!F37," ")</f>
        <v>-418.8</v>
      </c>
      <c r="G1441" s="29">
        <f>IF(G21=1,'Cash flow statement'!G32+'Cash flow statement'!G36+'Cash flow statement'!G37," ")</f>
        <v>-552.56399999999996</v>
      </c>
      <c r="H1441" s="29">
        <f>IF(H21=1,'Cash flow statement'!H32+'Cash flow statement'!H36+'Cash flow statement'!H37," ")</f>
        <v>-551.29092000000003</v>
      </c>
      <c r="I1441" s="29">
        <f>IF(I21=1,'Cash flow statement'!I32+'Cash flow statement'!I36+'Cash flow statement'!I37," ")</f>
        <v>-554.97964760000002</v>
      </c>
      <c r="J1441" s="29">
        <f>IF(J21=1,'Cash flow statement'!J32+'Cash flow statement'!J36+'Cash flow statement'!J37," ")</f>
        <v>-553.62903702799997</v>
      </c>
      <c r="K1441" s="29">
        <f>IF(K21=1,'Cash flow statement'!K32+'Cash flow statement'!K36+'Cash flow statement'!K37," ")</f>
        <v>-552.23790813884</v>
      </c>
      <c r="L1441" s="29">
        <f>IF(L21=1,'Cash flow statement'!L32+'Cash flow statement'!L36+'Cash flow statement'!L37," ")</f>
        <v>-725.80504538300522</v>
      </c>
      <c r="M1441" s="29">
        <f>IF(M21=1,'Cash flow statement'!M32+'Cash flow statement'!M36+'Cash flow statement'!M37," ")</f>
        <v>-724.32919674449533</v>
      </c>
      <c r="N1441" s="29">
        <f>IF(N21=1,'Cash flow statement'!N32+'Cash flow statement'!N36+'Cash flow statement'!N37," ")</f>
        <v>-727.80907264683015</v>
      </c>
      <c r="O1441" s="29">
        <f>IF(O21=1,'Cash flow statement'!O32+'Cash flow statement'!O36+'Cash flow statement'!O37," ")</f>
        <v>-726.2433448262351</v>
      </c>
      <c r="P1441" s="29">
        <f>IF(P21=1,'Cash flow statement'!P32+'Cash flow statement'!P36+'Cash flow statement'!P37," ")</f>
        <v>-729.63064517102214</v>
      </c>
      <c r="Q1441" s="29">
        <f>IF(Q21=1,'Cash flow statement'!Q32+'Cash flow statement'!Q36+'Cash flow statement'!Q37," ")</f>
        <v>-727.96956452615279</v>
      </c>
      <c r="R1441" s="29">
        <f>IF(R21=1,'Cash flow statement'!R32+'Cash flow statement'!R36+'Cash flow statement'!R37," ")</f>
        <v>-726.25865146193746</v>
      </c>
      <c r="S1441" s="29">
        <f>IF(S21=1,'Cash flow statement'!S32+'Cash flow statement'!S36+'Cash flow statement'!S37," ")</f>
        <v>-724.49641100579549</v>
      </c>
      <c r="T1441" s="29">
        <f>IF(T21=1,'Cash flow statement'!T32+'Cash flow statement'!T36+'Cash flow statement'!T37," ")</f>
        <v>-722.68130333596935</v>
      </c>
      <c r="U1441" s="29">
        <f>IF(U21=1,'Cash flow statement'!U32+'Cash flow statement'!U36+'Cash flow statement'!U37," ")</f>
        <v>-720.81174243604846</v>
      </c>
      <c r="V1441" s="29">
        <f>IF(V21=1,'Cash flow statement'!V32+'Cash flow statement'!V36+'Cash flow statement'!V37," ")</f>
        <v>-718.88609470912991</v>
      </c>
      <c r="W1441" s="29">
        <f>IF(W21=1,'Cash flow statement'!W32+'Cash flow statement'!W36+'Cash flow statement'!W37," ")</f>
        <v>-716.90267755040384</v>
      </c>
      <c r="X1441" s="29">
        <f>IF(X21=1,'Cash flow statement'!X32+'Cash flow statement'!X36+'Cash flow statement'!X37," ")</f>
        <v>-714.85975787691598</v>
      </c>
      <c r="Y1441" s="29">
        <f>IF(Y21=1,'Cash flow statement'!Y32+'Cash flow statement'!Y36+'Cash flow statement'!Y37," ")</f>
        <v>-712.75555061322336</v>
      </c>
      <c r="Z1441" s="29">
        <f>IF(Z21=1,'Cash flow statement'!Z32+'Cash flow statement'!Z36+'Cash flow statement'!Z37," ")</f>
        <v>-715.58821713162013</v>
      </c>
      <c r="AA1441" s="29">
        <f>IF(AA21=1,'Cash flow statement'!AA32+'Cash flow statement'!AA36+'Cash flow statement'!AA37," ")</f>
        <v>-713.35586364556866</v>
      </c>
      <c r="AB1441" s="29">
        <f>IF(AB21=1,'Cash flow statement'!AB32+'Cash flow statement'!AB36+'Cash flow statement'!AB37," ")</f>
        <v>-711.05653955493574</v>
      </c>
      <c r="AC1441" s="29">
        <f>IF(AC21=1,'Cash flow statement'!AC32+'Cash flow statement'!AC36+'Cash flow statement'!AC37," ")</f>
        <v>-708.68823574158387</v>
      </c>
      <c r="AD1441" s="29">
        <f>IF(AD21=1,'Cash flow statement'!AD32+'Cash flow statement'!AD36+'Cash flow statement'!AD37," ")</f>
        <v>-706.24888281383141</v>
      </c>
      <c r="AE1441" s="29">
        <f>IF(AE21=1,'Cash flow statement'!AE32+'Cash flow statement'!AE36+'Cash flow statement'!AE37," ")</f>
        <v>-703.7363492982463</v>
      </c>
      <c r="AF1441" s="29">
        <f>IF(AF21=1,'Cash flow statement'!AF32+'Cash flow statement'!AF36+'Cash flow statement'!AF37," ")</f>
        <v>-701.14843977719374</v>
      </c>
      <c r="AG1441" s="29">
        <f>IF(AG21=1,'Cash flow statement'!AG32+'Cash flow statement'!AG36+'Cash flow statement'!AG37," ")</f>
        <v>-698.48289297050951</v>
      </c>
      <c r="AH1441" s="29">
        <f>IF(AH21=1,'Cash flow statement'!AH32+'Cash flow statement'!AH36+'Cash flow statement'!AH37," ")</f>
        <v>-695.73737975962479</v>
      </c>
    </row>
    <row r="1442" spans="1:34" s="20" customFormat="1" ht="14" x14ac:dyDescent="0.2">
      <c r="A1442" s="8"/>
      <c r="B1442" s="8" t="s">
        <v>156</v>
      </c>
      <c r="C1442" s="8"/>
      <c r="D1442" s="8" t="str">
        <f>'Assumptions - General'!$E$27 &amp;" millions"</f>
        <v>R$ millions</v>
      </c>
      <c r="E1442" s="50">
        <f t="shared" ref="E1442:AH1442" si="571">IF(E21=1,E1437-E1438+E1441," ")</f>
        <v>-69.5</v>
      </c>
      <c r="F1442" s="50">
        <f t="shared" si="571"/>
        <v>50190.41826909755</v>
      </c>
      <c r="G1442" s="50">
        <f t="shared" si="571"/>
        <v>52025.715606494028</v>
      </c>
      <c r="H1442" s="50">
        <f t="shared" si="571"/>
        <v>54883.604122603705</v>
      </c>
      <c r="I1442" s="50">
        <f t="shared" si="571"/>
        <v>59243.638203371462</v>
      </c>
      <c r="J1442" s="50">
        <f t="shared" si="571"/>
        <v>63476.3651669592</v>
      </c>
      <c r="K1442" s="50">
        <f t="shared" si="571"/>
        <v>71457.596972412241</v>
      </c>
      <c r="L1442" s="50">
        <f t="shared" si="571"/>
        <v>76620.913591865872</v>
      </c>
      <c r="M1442" s="50">
        <f t="shared" si="571"/>
        <v>81353.990796602695</v>
      </c>
      <c r="N1442" s="50">
        <f t="shared" si="571"/>
        <v>86295.963537581323</v>
      </c>
      <c r="O1442" s="50">
        <f t="shared" si="571"/>
        <v>90383.84573988484</v>
      </c>
      <c r="P1442" s="50">
        <f t="shared" si="571"/>
        <v>95475.567899541958</v>
      </c>
      <c r="Q1442" s="50">
        <f t="shared" si="571"/>
        <v>100812.87479824523</v>
      </c>
      <c r="R1442" s="50">
        <f t="shared" si="571"/>
        <v>106385.28327025255</v>
      </c>
      <c r="S1442" s="50">
        <f t="shared" si="571"/>
        <v>112207.02026092992</v>
      </c>
      <c r="T1442" s="50">
        <f t="shared" si="571"/>
        <v>118280.29266535923</v>
      </c>
      <c r="U1442" s="50">
        <f t="shared" si="571"/>
        <v>123961.8542483474</v>
      </c>
      <c r="V1442" s="50">
        <f t="shared" si="571"/>
        <v>131272.19219473039</v>
      </c>
      <c r="W1442" s="50">
        <f t="shared" si="571"/>
        <v>138174.1286728635</v>
      </c>
      <c r="X1442" s="50">
        <f t="shared" si="571"/>
        <v>145379.07835508956</v>
      </c>
      <c r="Y1442" s="50">
        <f t="shared" si="571"/>
        <v>152889.23332812614</v>
      </c>
      <c r="Z1442" s="50">
        <f t="shared" si="571"/>
        <v>160720.19516655331</v>
      </c>
      <c r="AA1442" s="50">
        <f t="shared" si="571"/>
        <v>168890.5514043952</v>
      </c>
      <c r="AB1442" s="50">
        <f t="shared" si="571"/>
        <v>177407.28159309138</v>
      </c>
      <c r="AC1442" s="50">
        <f t="shared" si="571"/>
        <v>186282.80068882657</v>
      </c>
      <c r="AD1442" s="50">
        <f t="shared" si="571"/>
        <v>195532.20086409425</v>
      </c>
      <c r="AE1442" s="50">
        <f t="shared" si="571"/>
        <v>205119.65790880445</v>
      </c>
      <c r="AF1442" s="50">
        <f t="shared" si="571"/>
        <v>215207.98145542535</v>
      </c>
      <c r="AG1442" s="50">
        <f t="shared" si="571"/>
        <v>225661.91713198554</v>
      </c>
      <c r="AH1442" s="50">
        <f t="shared" si="571"/>
        <v>236531.03308426726</v>
      </c>
    </row>
    <row r="1443" spans="1:34" s="20" customFormat="1" ht="14" x14ac:dyDescent="0.2">
      <c r="A1443" s="8"/>
      <c r="B1443" s="8" t="s">
        <v>154</v>
      </c>
      <c r="C1443" s="8"/>
      <c r="D1443" s="8" t="str">
        <f>'Assumptions - General'!$E$27 &amp;" millions"</f>
        <v>R$ millions</v>
      </c>
      <c r="E1443" s="41">
        <f>IF(AND(E1439&gt;=E1440,E1439&gt;0),IF(AND((E16+E17+E19+E21)&lt;3,E21=1),'Assumptions - Consolidated'!$E$94*Calculations!E1442,'Cash flow statement'!E86+'Cash flow statement'!E131+'Cash flow statement'!E176),0)</f>
        <v>0</v>
      </c>
      <c r="F1443" s="41">
        <f>IF(AND(F1439&gt;=F1440,F1439&gt;0),IF(AND((F16+F17+F19+F21)&lt;3,F21=1),'Assumptions - Consolidated'!$E$94*Calculations!F1442,'Cash flow statement'!F86+'Cash flow statement'!F131+'Cash flow statement'!F176),0)</f>
        <v>35111.332491345485</v>
      </c>
      <c r="G1443" s="41">
        <f>IF(AND(G1439&gt;=G1440,G1439&gt;0),IF(AND((G16+G17+G19+G21)&lt;3,G21=1),'Assumptions - Consolidated'!$E$94*Calculations!G1442,'Cash flow statement'!G86+'Cash flow statement'!G131+'Cash flow statement'!G176),0)</f>
        <v>36373.575895897797</v>
      </c>
      <c r="H1443" s="41">
        <f>IF(AND(H1439&gt;=H1440,H1439&gt;0),IF(AND((H16+H17+H19+H21)&lt;3,H21=1),'Assumptions - Consolidated'!$E$94*Calculations!H1442,'Cash flow statement'!H86+'Cash flow statement'!H131+'Cash flow statement'!H176),0)</f>
        <v>38410.307538107183</v>
      </c>
      <c r="I1443" s="41">
        <f>IF(AND(I1439&gt;=I1440,I1439&gt;0),IF(AND((I16+I17+I19+I21)&lt;3,I21=1),'Assumptions - Consolidated'!$E$94*Calculations!I1442,'Cash flow statement'!I86+'Cash flow statement'!I131+'Cash flow statement'!I176),0)</f>
        <v>41440.206875796313</v>
      </c>
      <c r="J1443" s="41">
        <f>IF(AND(J1439&gt;=J1440,J1439&gt;0),IF(AND((J16+J17+J19+J21)&lt;3,J21=1),'Assumptions - Consolidated'!$E$94*Calculations!J1442,'Cash flow statement'!J86+'Cash flow statement'!J131+'Cash flow statement'!J176),0)</f>
        <v>44358.624339988368</v>
      </c>
      <c r="K1443" s="41">
        <f>IF(AND(K1439&gt;=K1440,K1439&gt;0),IF(AND((K16+K17+K19+K21)&lt;3,K21=1),'Assumptions - Consolidated'!$E$94*Calculations!K1442,'Cash flow statement'!K86+'Cash flow statement'!K131+'Cash flow statement'!K176),0)</f>
        <v>50086.956185961229</v>
      </c>
      <c r="L1443" s="41">
        <f>IF(AND(L1439&gt;=L1440,L1439&gt;0),IF(AND((L16+L17+L19+L21)&lt;3,L21=1),'Assumptions - Consolidated'!$E$94*Calculations!L1442,'Cash flow statement'!L86+'Cash flow statement'!L131+'Cash flow statement'!L176),0)</f>
        <v>53743.342858310134</v>
      </c>
      <c r="M1443" s="41">
        <f>IF(AND(M1439&gt;=M1440,M1439&gt;0),IF(AND((M16+M17+M19+M21)&lt;3,M21=1),'Assumptions - Consolidated'!$E$94*Calculations!M1442,'Cash flow statement'!M86+'Cash flow statement'!M131+'Cash flow statement'!M176),0)</f>
        <v>57103.623383135331</v>
      </c>
      <c r="N1443" s="41">
        <f>IF(AND(N1439&gt;=N1440,N1439&gt;0),IF(AND((N16+N17+N19+N21)&lt;3,N21=1),'Assumptions - Consolidated'!$E$94*Calculations!N1442,'Cash flow statement'!N86+'Cash flow statement'!N131+'Cash flow statement'!N176),0)</f>
        <v>60619.997197637553</v>
      </c>
      <c r="O1443" s="41">
        <f>IF(AND(O1439&gt;=O1440,O1439&gt;0),IF(AND((O16+O17+O19+O21)&lt;3,O21=1),'Assumptions - Consolidated'!$E$94*Calculations!O1442,'Cash flow statement'!O86+'Cash flow statement'!O131+'Cash flow statement'!O176),0)</f>
        <v>63414.882193721845</v>
      </c>
      <c r="P1443" s="41">
        <f>IF(AND(P1439&gt;=P1440,P1439&gt;0),IF(AND((P16+P17+P19+P21)&lt;3,P21=1),'Assumptions - Consolidated'!$E$94*Calculations!P1442,'Cash flow statement'!P86+'Cash flow statement'!P131+'Cash flow statement'!P176),0)</f>
        <v>66996.838806571293</v>
      </c>
      <c r="Q1443" s="41">
        <f>IF(AND(Q1439&gt;=Q1440,Q1439&gt;0),IF(AND((Q16+Q17+Q19+Q21)&lt;3,Q21=1),'Assumptions - Consolidated'!$E$94*Calculations!Q1442,'Cash flow statement'!Q86+'Cash flow statement'!Q131+'Cash flow statement'!Q176),0)</f>
        <v>70769.865697055488</v>
      </c>
      <c r="R1443" s="41">
        <f>IF(AND(R1439&gt;=R1440,R1439&gt;0),IF(AND((R16+R17+R19+R21)&lt;3,R21=1),'Assumptions - Consolidated'!$E$94*Calculations!R1442,'Cash flow statement'!R86+'Cash flow statement'!R131+'Cash flow statement'!R176),0)</f>
        <v>74714.3929470398</v>
      </c>
      <c r="S1443" s="41">
        <f>IF(AND(S1439&gt;=S1440,S1439&gt;0),IF(AND((S16+S17+S19+S21)&lt;3,S21=1),'Assumptions - Consolidated'!$E$94*Calculations!S1442,'Cash flow statement'!S86+'Cash flow statement'!S131+'Cash flow statement'!S176),0)</f>
        <v>78840.515344163679</v>
      </c>
      <c r="T1443" s="41">
        <f>IF(AND(T1439&gt;=T1440,T1439&gt;0),IF(AND((T16+T17+T19+T21)&lt;3,T21=1),'Assumptions - Consolidated'!$E$94*Calculations!T1442,'Cash flow statement'!T86+'Cash flow statement'!T131+'Cash flow statement'!T176),0)</f>
        <v>83151.183172028323</v>
      </c>
      <c r="U1443" s="41">
        <f>IF(AND(U1439&gt;=U1440,U1439&gt;0),IF(AND((U16+U17+U19+U21)&lt;3,U21=1),'Assumptions - Consolidated'!$E$94*Calculations!U1442,'Cash flow statement'!U86+'Cash flow statement'!U131+'Cash flow statement'!U176),0)</f>
        <v>87206.006007881486</v>
      </c>
      <c r="V1443" s="41">
        <f>IF(AND(V1439&gt;=V1440,V1439&gt;0),IF(AND((V16+V17+V19+V21)&lt;3,V21=1),'Assumptions - Consolidated'!$E$94*Calculations!V1442,'Cash flow statement'!V86+'Cash flow statement'!V131+'Cash flow statement'!V176),0)</f>
        <v>92387.772174757163</v>
      </c>
      <c r="W1443" s="41">
        <f>IF(AND(W1439&gt;=W1440,W1439&gt;0),IF(AND((W16+W17+W19+W21)&lt;3,W21=1),'Assumptions - Consolidated'!$E$94*Calculations!W1442,'Cash flow statement'!W86+'Cash flow statement'!W131+'Cash flow statement'!W176),0)</f>
        <v>97306.49180990427</v>
      </c>
      <c r="X1443" s="41">
        <f>IF(AND(X1439&gt;=X1440,X1439&gt;0),IF(AND((X16+X17+X19+X21)&lt;3,X21=1),'Assumptions - Consolidated'!$E$94*Calculations!X1442,'Cash flow statement'!X86+'Cash flow statement'!X131+'Cash flow statement'!X176),0)</f>
        <v>102448.77479444376</v>
      </c>
      <c r="Y1443" s="41">
        <f>IF(AND(Y1439&gt;=Y1440,Y1439&gt;0),IF(AND((Y16+Y17+Y19+Y21)&lt;3,Y21=1),'Assumptions - Consolidated'!$E$94*Calculations!Y1442,'Cash flow statement'!Y86+'Cash flow statement'!Y131+'Cash flow statement'!Y176),0)</f>
        <v>107817.97320115482</v>
      </c>
      <c r="Z1443" s="41">
        <f>IF(AND(Z1439&gt;=Z1440,Z1439&gt;0),IF(AND((Z16+Z17+Z19+Z21)&lt;3,Z21=1),'Assumptions - Consolidated'!$E$94*Calculations!Z1442,'Cash flow statement'!Z86+'Cash flow statement'!Z131+'Cash flow statement'!Z176),0)</f>
        <v>113424.39512110522</v>
      </c>
      <c r="AA1443" s="41">
        <f>IF(AND(AA1439&gt;=AA1440,AA1439&gt;0),IF(AND((AA16+AA17+AA19+AA21)&lt;3,AA21=1),'Assumptions - Consolidated'!$E$94*Calculations!AA1442,'Cash flow statement'!AA86+'Cash flow statement'!AA131+'Cash flow statement'!AA176),0)</f>
        <v>119281.54195346916</v>
      </c>
      <c r="AB1443" s="41">
        <f>IF(AND(AB1439&gt;=AB1440,AB1439&gt;0),IF(AND((AB16+AB17+AB19+AB21)&lt;3,AB21=1),'Assumptions - Consolidated'!$E$94*Calculations!AB1442,'Cash flow statement'!AB86+'Cash flow statement'!AB131+'Cash flow statement'!AB176),0)</f>
        <v>125396.39799338669</v>
      </c>
      <c r="AC1443" s="41">
        <f>IF(AND(AC1439&gt;=AC1440,AC1439&gt;0),IF(AND((AC16+AC17+AC19+AC21)&lt;3,AC21=1),'Assumptions - Consolidated'!$E$94*Calculations!AC1442,'Cash flow statement'!AC86+'Cash flow statement'!AC131+'Cash flow statement'!AC176),0)</f>
        <v>131779.04065523282</v>
      </c>
      <c r="AD1443" s="41">
        <f>IF(AND(AD1439&gt;=AD1440,AD1439&gt;0),IF(AND((AD16+AD17+AD19+AD21)&lt;3,AD21=1),'Assumptions - Consolidated'!$E$94*Calculations!AD1442,'Cash flow statement'!AD86+'Cash flow statement'!AD131+'Cash flow statement'!AD176),0)</f>
        <v>138440.89451048782</v>
      </c>
      <c r="AE1443" s="41">
        <f>IF(AND(AE1439&gt;=AE1440,AE1439&gt;0),IF(AND((AE16+AE17+AE19+AE21)&lt;3,AE21=1),'Assumptions - Consolidated'!$E$94*Calculations!AE1442,'Cash flow statement'!AE86+'Cash flow statement'!AE131+'Cash flow statement'!AE176),0)</f>
        <v>145368.28740758781</v>
      </c>
      <c r="AF1443" s="41">
        <f>IF(AND(AF1439&gt;=AF1440,AF1439&gt;0),IF(AND((AF16+AF17+AF19+AF21)&lt;3,AF21=1),'Assumptions - Consolidated'!$E$94*Calculations!AF1442,'Cash flow statement'!AF86+'Cash flow statement'!AF131+'Cash flow statement'!AF176),0)</f>
        <v>152646.89529751957</v>
      </c>
      <c r="AG1443" s="41">
        <f>IF(AND(AG1439&gt;=AG1440,AG1439&gt;0),IF(AND((AG16+AG17+AG19+AG21)&lt;3,AG21=1),'Assumptions - Consolidated'!$E$94*Calculations!AG1442,'Cash flow statement'!AG86+'Cash flow statement'!AG131+'Cash flow statement'!AG176),0)</f>
        <v>160213.51308990608</v>
      </c>
      <c r="AH1443" s="41">
        <f>IF(AND(AH1439&gt;=AH1440,AH1439&gt;0),IF(AND((AH16+AH17+AH19+AH21)&lt;3,AH21=1),'Assumptions - Consolidated'!$E$94*Calculations!AH1442,'Cash flow statement'!AH86+'Cash flow statement'!AH131+'Cash flow statement'!AH176),0)</f>
        <v>168096.05694573803</v>
      </c>
    </row>
    <row r="1445" spans="1:34" x14ac:dyDescent="0.2">
      <c r="A1445" s="2"/>
      <c r="B1445" s="4" t="str">
        <f>"Financial results for " &amp;'Assumptions - General'!E23</f>
        <v xml:space="preserve">Financial results for Ruritania Railways </v>
      </c>
      <c r="C1445" s="2"/>
      <c r="D1445" s="2"/>
      <c r="E1445" s="2"/>
      <c r="F1445" s="2"/>
      <c r="G1445" s="2"/>
      <c r="H1445" s="2"/>
      <c r="I1445" s="2"/>
      <c r="J1445" s="2"/>
      <c r="K1445" s="2"/>
      <c r="L1445" s="2"/>
      <c r="M1445" s="2"/>
      <c r="N1445" s="2"/>
      <c r="O1445" s="2"/>
      <c r="P1445" s="2"/>
      <c r="Q1445" s="2"/>
      <c r="R1445" s="2"/>
      <c r="S1445" s="2"/>
      <c r="T1445" s="2"/>
      <c r="U1445" s="2"/>
      <c r="V1445" s="2"/>
      <c r="W1445" s="2"/>
      <c r="X1445" s="2"/>
      <c r="Y1445" s="2"/>
      <c r="Z1445" s="2"/>
      <c r="AA1445" s="2"/>
      <c r="AB1445" s="2"/>
      <c r="AC1445" s="2"/>
      <c r="AD1445" s="2"/>
      <c r="AE1445" s="2"/>
      <c r="AF1445" s="2"/>
      <c r="AG1445" s="2"/>
      <c r="AH1445" s="2"/>
    </row>
    <row r="1446" spans="1:34" s="20" customFormat="1" ht="14" x14ac:dyDescent="0.2">
      <c r="A1446" s="8"/>
      <c r="B1446" s="8"/>
      <c r="C1446" s="8"/>
      <c r="D1446" s="8"/>
      <c r="E1446" s="15"/>
      <c r="F1446" s="8"/>
      <c r="G1446" s="8"/>
      <c r="H1446" s="8"/>
      <c r="I1446" s="8"/>
      <c r="J1446" s="8"/>
      <c r="K1446" s="8"/>
      <c r="L1446" s="8"/>
      <c r="M1446" s="8"/>
      <c r="N1446" s="8"/>
      <c r="O1446" s="8"/>
      <c r="P1446" s="8"/>
      <c r="Q1446" s="8"/>
      <c r="R1446" s="8"/>
      <c r="S1446" s="8"/>
      <c r="T1446" s="8"/>
      <c r="U1446" s="8"/>
      <c r="V1446" s="8"/>
      <c r="W1446" s="8"/>
      <c r="X1446" s="8"/>
      <c r="Y1446" s="8"/>
      <c r="Z1446" s="8"/>
      <c r="AA1446" s="8"/>
      <c r="AB1446" s="8"/>
      <c r="AC1446" s="8"/>
      <c r="AD1446" s="8"/>
      <c r="AE1446" s="8"/>
      <c r="AF1446" s="8"/>
      <c r="AG1446" s="8"/>
      <c r="AH1446" s="8"/>
    </row>
    <row r="1447" spans="1:34" s="20" customFormat="1" ht="14" x14ac:dyDescent="0.2">
      <c r="A1447" s="8"/>
      <c r="B1447" s="8" t="s">
        <v>102</v>
      </c>
      <c r="C1447" s="8"/>
      <c r="D1447" s="8" t="str">
        <f>'Assumptions - General'!$E$27 &amp;" millions"</f>
        <v>R$ millions</v>
      </c>
      <c r="E1447" s="41">
        <f>IF(E21=1,'Income statement'!E41," ")</f>
        <v>49132.850000000006</v>
      </c>
      <c r="F1447" s="41">
        <f>IF(F21=1,'Income statement'!F41," ")</f>
        <v>51076.180647190602</v>
      </c>
      <c r="G1447" s="41">
        <f>IF(G21=1,'Income statement'!G41," ")</f>
        <v>52833.882010083762</v>
      </c>
      <c r="H1447" s="41">
        <f>IF(H21=1,'Income statement'!H41," ")</f>
        <v>56012.92755942855</v>
      </c>
      <c r="I1447" s="41">
        <f>IF(I21=1,'Income statement'!I41," ")</f>
        <v>60789.006702455954</v>
      </c>
      <c r="J1447" s="41">
        <f>IF(J21=1,'Income statement'!J41," ")</f>
        <v>64675.893370528727</v>
      </c>
      <c r="K1447" s="41">
        <f>IF(K21=1,'Income statement'!K41," ")</f>
        <v>73586.957923887676</v>
      </c>
      <c r="L1447" s="41">
        <f>IF(L21=1,'Income statement'!L41," ")</f>
        <v>78067.126185957284</v>
      </c>
      <c r="M1447" s="41">
        <f>IF(M21=1,'Income statement'!M41," ")</f>
        <v>82816.584936701809</v>
      </c>
      <c r="N1447" s="41">
        <f>IF(N21=1,'Income statement'!N41," ")</f>
        <v>87780.244924841885</v>
      </c>
      <c r="O1447" s="41">
        <f>IF(O21=1,'Income statement'!O41," ")</f>
        <v>91864.589175435191</v>
      </c>
      <c r="P1447" s="41">
        <f>IF(P21=1,'Income statement'!P41," ")</f>
        <v>96926.216854716826</v>
      </c>
      <c r="Q1447" s="41">
        <f>IF(Q21=1,'Income statement'!Q41," ")</f>
        <v>102289.0940854557</v>
      </c>
      <c r="R1447" s="41">
        <f>IF(R21=1,'Income statement'!R41," ")</f>
        <v>107894.53008474925</v>
      </c>
      <c r="S1447" s="41">
        <f>IF(S21=1,'Income statement'!S41," ")</f>
        <v>113742.63224968793</v>
      </c>
      <c r="T1447" s="41">
        <f>IF(T21=1,'Income statement'!T41," ")</f>
        <v>119857.00399171299</v>
      </c>
      <c r="U1447" s="41">
        <f>IF(U21=1,'Income statement'!U41," ")</f>
        <v>126243.01316232259</v>
      </c>
      <c r="V1447" s="41">
        <f>IF(V21=1,'Income statement'!V41," ")</f>
        <v>132905.06401470795</v>
      </c>
      <c r="W1447" s="41">
        <f>IF(W21=1,'Income statement'!W41," ")</f>
        <v>139857.17967443334</v>
      </c>
      <c r="X1447" s="41">
        <f>IF(X21=1,'Income statement'!X41," ")</f>
        <v>147100.2732670941</v>
      </c>
      <c r="Y1447" s="41">
        <f>IF(Y21=1,'Income statement'!Y41," ")</f>
        <v>154663.24131945026</v>
      </c>
      <c r="Z1447" s="41">
        <f>IF(Z21=1,'Income statement'!Z41," ")</f>
        <v>162541.54000811907</v>
      </c>
      <c r="AA1447" s="41">
        <f>IF(AA21=1,'Income statement'!AA41," ")</f>
        <v>170754.43608073692</v>
      </c>
      <c r="AB1447" s="41">
        <f>IF(AB21=1,'Income statement'!AB41," ")</f>
        <v>179316.40455152997</v>
      </c>
      <c r="AC1447" s="41">
        <f>IF(AC21=1,'Income statement'!AC41," ")</f>
        <v>188242.08543988143</v>
      </c>
      <c r="AD1447" s="41">
        <f>IF(AD21=1,'Income statement'!AD41," ")</f>
        <v>197542.41570191426</v>
      </c>
      <c r="AE1447" s="41">
        <f>IF(AE21=1,'Income statement'!AE41," ")</f>
        <v>207233.80817187973</v>
      </c>
      <c r="AF1447" s="41">
        <f>IF(AF21=1,'Income statement'!AF41," ")</f>
        <v>217329.18222586409</v>
      </c>
      <c r="AG1447" s="41">
        <f>IF(AG21=1,'Income statement'!AG41," ")</f>
        <v>227847.57530096141</v>
      </c>
      <c r="AH1447" s="41">
        <f>IF(AH21=1,'Income statement'!AH41," ")</f>
        <v>238833.98395016085</v>
      </c>
    </row>
    <row r="1448" spans="1:34" s="20" customFormat="1" ht="14" x14ac:dyDescent="0.2">
      <c r="A1448" s="8"/>
      <c r="B1448" s="8" t="s">
        <v>214</v>
      </c>
      <c r="C1448" s="8"/>
      <c r="D1448" s="8" t="str">
        <f>'Assumptions - General'!$E$27 &amp;" millions"</f>
        <v>R$ millions</v>
      </c>
      <c r="E1448" s="41">
        <f>IF(E21=1,'Income statement'!E17," ")</f>
        <v>87011</v>
      </c>
      <c r="F1448" s="41">
        <f>IF(F21=1,'Income statement'!F17," ")</f>
        <v>90475.679971457415</v>
      </c>
      <c r="G1448" s="41">
        <f>IF(G21=1,'Income statement'!G17," ")</f>
        <v>93048.938718952821</v>
      </c>
      <c r="H1448" s="41">
        <f>IF(H21=1,'Income statement'!H17," ")</f>
        <v>97846.613706804841</v>
      </c>
      <c r="I1448" s="41">
        <f>IF(I21=1,'Income statement'!I17," ")</f>
        <v>105067.15870969972</v>
      </c>
      <c r="J1448" s="41">
        <f>IF(J21=1,'Income statement'!J17," ")</f>
        <v>110353.49303965193</v>
      </c>
      <c r="K1448" s="41">
        <f>IF(K21=1,'Income statement'!K17," ")</f>
        <v>123628.0122425671</v>
      </c>
      <c r="L1448" s="41">
        <f>IF(L21=1,'Income statement'!L17," ")</f>
        <v>129593.20025983242</v>
      </c>
      <c r="M1448" s="41">
        <f>IF(M21=1,'Income statement'!M17," ")</f>
        <v>135808.83873919945</v>
      </c>
      <c r="N1448" s="41">
        <f>IF(N21=1,'Income statement'!N17," ")</f>
        <v>142284.07113167556</v>
      </c>
      <c r="O1448" s="41">
        <f>IF(O21=1,'Income statement'!O17," ")</f>
        <v>149028.82862423887</v>
      </c>
      <c r="P1448" s="41">
        <f>IF(P21=1,'Income statement'!P17," ")</f>
        <v>156053.51473596404</v>
      </c>
      <c r="Q1448" s="41">
        <f>IF(Q21=1,'Income statement'!Q17," ")</f>
        <v>163368.68792912355</v>
      </c>
      <c r="R1448" s="41">
        <f>IF(R21=1,'Income statement'!R17," ")</f>
        <v>170985.41229274412</v>
      </c>
      <c r="S1448" s="41">
        <f>IF(S21=1,'Income statement'!S17," ")</f>
        <v>178915.81704468711</v>
      </c>
      <c r="T1448" s="41">
        <f>IF(T21=1,'Income statement'!T17," ")</f>
        <v>187170.9863049869</v>
      </c>
      <c r="U1448" s="41">
        <f>IF(U21=1,'Income statement'!U17," ")</f>
        <v>195764.42992999768</v>
      </c>
      <c r="V1448" s="41">
        <f>IF(V21=1,'Income statement'!V17," ")</f>
        <v>204708.06103274794</v>
      </c>
      <c r="W1448" s="41">
        <f>IF(W21=1,'Income statement'!W17," ")</f>
        <v>214015.2204442111</v>
      </c>
      <c r="X1448" s="41">
        <f>IF(X21=1,'Income statement'!X17," ")</f>
        <v>223700.64751416226</v>
      </c>
      <c r="Y1448" s="41">
        <f>IF(Y21=1,'Income statement'!Y17," ")</f>
        <v>233777.4886345258</v>
      </c>
      <c r="Z1448" s="41">
        <f>IF(Z21=1,'Income statement'!Z17," ")</f>
        <v>244261.75740066011</v>
      </c>
      <c r="AA1448" s="41">
        <f>IF(AA21=1,'Income statement'!AA17," ")</f>
        <v>255168.30597817167</v>
      </c>
      <c r="AB1448" s="41">
        <f>IF(AB21=1,'Income statement'!AB17," ")</f>
        <v>266512.95388374582</v>
      </c>
      <c r="AC1448" s="41">
        <f>IF(AC21=1,'Income statement'!AC17," ")</f>
        <v>278312.09244357492</v>
      </c>
      <c r="AD1448" s="41">
        <f>IF(AD21=1,'Income statement'!AD17," ")</f>
        <v>290583.014671201</v>
      </c>
      <c r="AE1448" s="41">
        <f>IF(AE21=1,'Income statement'!AE17," ")</f>
        <v>303343.32908722403</v>
      </c>
      <c r="AF1448" s="41">
        <f>IF(AF21=1,'Income statement'!AF17," ")</f>
        <v>316611.38132019946</v>
      </c>
      <c r="AG1448" s="41">
        <f>IF(AG21=1,'Income statement'!AG17," ")</f>
        <v>330405.99652098806</v>
      </c>
      <c r="AH1448" s="41">
        <f>IF(AH21=1,'Income statement'!AH17," ")</f>
        <v>344742.14148318389</v>
      </c>
    </row>
    <row r="1449" spans="1:34" s="20" customFormat="1" ht="14" x14ac:dyDescent="0.2">
      <c r="A1449" s="8"/>
      <c r="B1449" s="8" t="s">
        <v>213</v>
      </c>
      <c r="C1449" s="8"/>
      <c r="D1449" s="8" t="s">
        <v>15</v>
      </c>
      <c r="E1449" s="54">
        <f t="shared" ref="E1449:AH1449" si="572">IF(E21=1,E1447/E1448,"N/A")</f>
        <v>0.56467400673478074</v>
      </c>
      <c r="F1449" s="54">
        <f t="shared" si="572"/>
        <v>0.56452939246550815</v>
      </c>
      <c r="G1449" s="54">
        <f t="shared" si="572"/>
        <v>0.56780746494771372</v>
      </c>
      <c r="H1449" s="54">
        <f t="shared" si="572"/>
        <v>0.57245647485839435</v>
      </c>
      <c r="I1449" s="54">
        <f t="shared" si="572"/>
        <v>0.57857286186272361</v>
      </c>
      <c r="J1449" s="54">
        <f t="shared" si="572"/>
        <v>0.58607925847249398</v>
      </c>
      <c r="K1449" s="54">
        <f t="shared" si="572"/>
        <v>0.59522883680686167</v>
      </c>
      <c r="L1449" s="54">
        <f t="shared" si="572"/>
        <v>0.60240140709106549</v>
      </c>
      <c r="M1449" s="54">
        <f t="shared" si="572"/>
        <v>0.60980261450978657</v>
      </c>
      <c r="N1449" s="54">
        <f t="shared" si="572"/>
        <v>0.61693655675347114</v>
      </c>
      <c r="O1449" s="54">
        <f t="shared" si="572"/>
        <v>0.61642160126657419</v>
      </c>
      <c r="P1449" s="54">
        <f t="shared" si="572"/>
        <v>0.62110883576516618</v>
      </c>
      <c r="Q1449" s="54">
        <f t="shared" si="572"/>
        <v>0.62612423091647251</v>
      </c>
      <c r="R1449" s="54">
        <f t="shared" si="572"/>
        <v>0.63101599509566952</v>
      </c>
      <c r="S1449" s="54">
        <f t="shared" si="572"/>
        <v>0.63573268215452894</v>
      </c>
      <c r="T1449" s="54">
        <f t="shared" si="572"/>
        <v>0.64036102153360064</v>
      </c>
      <c r="U1449" s="54">
        <f t="shared" si="572"/>
        <v>0.64487207000508273</v>
      </c>
      <c r="V1449" s="54">
        <f t="shared" si="572"/>
        <v>0.6492419660672113</v>
      </c>
      <c r="W1449" s="54">
        <f t="shared" si="572"/>
        <v>0.65349174411121347</v>
      </c>
      <c r="X1449" s="54">
        <f t="shared" si="572"/>
        <v>0.65757643038463409</v>
      </c>
      <c r="Y1449" s="54">
        <f t="shared" si="572"/>
        <v>0.66158312428978916</v>
      </c>
      <c r="Z1449" s="54">
        <f t="shared" si="572"/>
        <v>0.66543998429317697</v>
      </c>
      <c r="AA1449" s="54">
        <f t="shared" si="572"/>
        <v>0.66918356269271184</v>
      </c>
      <c r="AB1449" s="54">
        <f t="shared" si="572"/>
        <v>0.6728243484545543</v>
      </c>
      <c r="AC1449" s="54">
        <f t="shared" si="572"/>
        <v>0.67637048676943734</v>
      </c>
      <c r="AD1449" s="54">
        <f t="shared" si="572"/>
        <v>0.67981404875104778</v>
      </c>
      <c r="AE1449" s="54">
        <f t="shared" si="572"/>
        <v>0.68316586620004838</v>
      </c>
      <c r="AF1449" s="54">
        <f t="shared" si="572"/>
        <v>0.68642251999801607</v>
      </c>
      <c r="AG1449" s="54">
        <f t="shared" si="572"/>
        <v>0.68959878967114352</v>
      </c>
      <c r="AH1449" s="54">
        <f t="shared" si="572"/>
        <v>0.69279021973532318</v>
      </c>
    </row>
    <row r="1450" spans="1:34" s="20" customFormat="1" ht="14" x14ac:dyDescent="0.2">
      <c r="A1450" s="8"/>
      <c r="B1450" s="8" t="s">
        <v>168</v>
      </c>
      <c r="C1450" s="8"/>
      <c r="D1450" s="8" t="str">
        <f>'Assumptions - General'!$E$27 &amp;" millions"</f>
        <v>R$ millions</v>
      </c>
      <c r="E1450" s="474">
        <f>IF(E21=1,'Balance sheet'!E42," ")</f>
        <v>14217.5</v>
      </c>
      <c r="F1450" s="41">
        <f>IF(F21=1,('Balance sheet'!F42+'Balance sheet'!E42)/2," ")</f>
        <v>22217.46534219386</v>
      </c>
      <c r="G1450" s="41">
        <f>IF(G21=1,('Balance sheet'!G42+'Balance sheet'!F42)/2," ")</f>
        <v>38463.766589504288</v>
      </c>
      <c r="H1450" s="41">
        <f>IF(H21=1,('Balance sheet'!H42+'Balance sheet'!G42)/2," ")</f>
        <v>55527.537552241134</v>
      </c>
      <c r="I1450" s="41">
        <f>IF(I21=1,('Balance sheet'!I42+'Balance sheet'!H42)/2," ")</f>
        <v>74035.445633896292</v>
      </c>
      <c r="J1450" s="41">
        <f>IF(J21=1,('Balance sheet'!J42+'Balance sheet'!I42)/2," ")</f>
        <v>93900.573821279235</v>
      </c>
      <c r="K1450" s="41">
        <f>IF(K21=1,('Balance sheet'!K42+'Balance sheet'!J42)/2," ")</f>
        <v>115841.19571663823</v>
      </c>
      <c r="L1450" s="41">
        <f>IF(L21=1,('Balance sheet'!L42+'Balance sheet'!K42)/2," ")</f>
        <v>139785.26211259351</v>
      </c>
      <c r="M1450" s="41">
        <f>IF(M21=1,('Balance sheet'!M42+'Balance sheet'!L42)/2," ")</f>
        <v>164836.00957505149</v>
      </c>
      <c r="N1450" s="41">
        <f>IF(N21=1,('Balance sheet'!N42+'Balance sheet'!M42)/2," ")</f>
        <v>191304.87486962377</v>
      </c>
      <c r="O1450" s="41">
        <f>IF(O21=1,('Balance sheet'!O42+'Balance sheet'!N42)/2," ")</f>
        <v>219141.96754783165</v>
      </c>
      <c r="P1450" s="41">
        <f>IF(P21=1,('Balance sheet'!P42+'Balance sheet'!O42)/2," ")</f>
        <v>248363.46395049899</v>
      </c>
      <c r="Q1450" s="41">
        <f>IF(Q21=1,('Balance sheet'!Q42+'Balance sheet'!P42)/2," ")</f>
        <v>279119.61784554331</v>
      </c>
      <c r="R1450" s="41">
        <f>IF(R21=1,('Balance sheet'!R42+'Balance sheet'!Q42)/2," ")</f>
        <v>311501.23668232647</v>
      </c>
      <c r="S1450" s="41">
        <f>IF(S21=1,('Balance sheet'!S42+'Balance sheet'!R42)/2," ")</f>
        <v>345574.31880887359</v>
      </c>
      <c r="T1450" s="41">
        <f>IF(T21=1,('Balance sheet'!T42+'Balance sheet'!S42)/2," ")</f>
        <v>381410.34463130881</v>
      </c>
      <c r="U1450" s="41">
        <f>IF(U21=1,('Balance sheet'!U42+'Balance sheet'!T42)/2," ")</f>
        <v>419313.88795252895</v>
      </c>
      <c r="V1450" s="41">
        <f>IF(V21=1,('Balance sheet'!V42+'Balance sheet'!U42)/2," ")</f>
        <v>459123.12685538508</v>
      </c>
      <c r="W1450" s="41">
        <f>IF(W21=1,('Balance sheet'!W42+'Balance sheet'!V42)/2," ")</f>
        <v>500689.51522722573</v>
      </c>
      <c r="X1450" s="41">
        <f>IF(X21=1,('Balance sheet'!X42+'Balance sheet'!W42)/2," ")</f>
        <v>544323.18917086686</v>
      </c>
      <c r="Y1450" s="41">
        <f>IF(Y21=1,('Balance sheet'!Y42+'Balance sheet'!X42)/2," ")</f>
        <v>590104.32260591746</v>
      </c>
      <c r="Z1450" s="41">
        <f>IF(Z21=1,('Balance sheet'!Z42+'Balance sheet'!Y42)/2," ")</f>
        <v>638118.42257066723</v>
      </c>
      <c r="AA1450" s="41">
        <f>IF(AA21=1,('Balance sheet'!AA42+'Balance sheet'!Z42)/2," ")</f>
        <v>688446.11473979754</v>
      </c>
      <c r="AB1450" s="41">
        <f>IF(AB21=1,('Balance sheet'!AB42+'Balance sheet'!AA42)/2," ")</f>
        <v>741174.95830922667</v>
      </c>
      <c r="AC1450" s="41">
        <f>IF(AC21=1,('Balance sheet'!AC42+'Balance sheet'!AB42)/2," ")</f>
        <v>796398.64078345336</v>
      </c>
      <c r="AD1450" s="41">
        <f>IF(AD21=1,('Balance sheet'!AD42+'Balance sheet'!AC42)/2," ")</f>
        <v>854212.83767073229</v>
      </c>
      <c r="AE1450" s="41">
        <f>IF(AE21=1,('Balance sheet'!AE42+'Balance sheet'!AD42)/2," ")</f>
        <v>914727.97124175797</v>
      </c>
      <c r="AF1450" s="41">
        <f>IF(AF21=1,('Balance sheet'!AF42+'Balance sheet'!AE42)/2," ")</f>
        <v>978033.17716883647</v>
      </c>
      <c r="AG1450" s="41">
        <f>IF(AG21=1,('Balance sheet'!AG42+'Balance sheet'!AF42)/2," ")</f>
        <v>1044222.4243991887</v>
      </c>
      <c r="AH1450" s="41">
        <f>IF(AH21=1,('Balance sheet'!AH42+'Balance sheet'!AG42)/2," ")</f>
        <v>1113441.7952195066</v>
      </c>
    </row>
    <row r="1451" spans="1:34" s="20" customFormat="1" ht="14" x14ac:dyDescent="0.2">
      <c r="A1451" s="8"/>
      <c r="B1451" s="8" t="s">
        <v>167</v>
      </c>
      <c r="C1451" s="8"/>
      <c r="D1451" s="8" t="s">
        <v>15</v>
      </c>
      <c r="E1451" s="54">
        <f t="shared" ref="E1451:AH1451" si="573">IF(E21=1,E1447/E1450,"N/A")</f>
        <v>3.4558009495340252</v>
      </c>
      <c r="F1451" s="54">
        <f t="shared" si="573"/>
        <v>2.2989202350724627</v>
      </c>
      <c r="G1451" s="54">
        <f t="shared" si="573"/>
        <v>1.3736013577126034</v>
      </c>
      <c r="H1451" s="54">
        <f t="shared" si="573"/>
        <v>1.0087414286421534</v>
      </c>
      <c r="I1451" s="54">
        <f t="shared" si="573"/>
        <v>0.82107977039884794</v>
      </c>
      <c r="J1451" s="54">
        <f t="shared" si="573"/>
        <v>0.68876994823936033</v>
      </c>
      <c r="K1451" s="54">
        <f t="shared" si="573"/>
        <v>0.63523997200348659</v>
      </c>
      <c r="L1451" s="54">
        <f t="shared" si="573"/>
        <v>0.55847894839640666</v>
      </c>
      <c r="M1451" s="54">
        <f t="shared" si="573"/>
        <v>0.50241804051313554</v>
      </c>
      <c r="N1451" s="54">
        <f t="shared" si="573"/>
        <v>0.45885001615701126</v>
      </c>
      <c r="O1451" s="54">
        <f t="shared" si="573"/>
        <v>0.41920126118875017</v>
      </c>
      <c r="P1451" s="54">
        <f t="shared" si="573"/>
        <v>0.39025956279155083</v>
      </c>
      <c r="Q1451" s="54">
        <f t="shared" si="573"/>
        <v>0.36647045763031788</v>
      </c>
      <c r="R1451" s="54">
        <f t="shared" si="573"/>
        <v>0.34636950797977623</v>
      </c>
      <c r="S1451" s="54">
        <f t="shared" si="573"/>
        <v>0.32914087088918043</v>
      </c>
      <c r="T1451" s="54">
        <f t="shared" si="573"/>
        <v>0.31424686214940772</v>
      </c>
      <c r="U1451" s="54">
        <f t="shared" si="573"/>
        <v>0.30107043145829387</v>
      </c>
      <c r="V1451" s="54">
        <f t="shared" si="573"/>
        <v>0.28947586440482331</v>
      </c>
      <c r="W1451" s="54">
        <f t="shared" si="573"/>
        <v>0.27932915593601471</v>
      </c>
      <c r="X1451" s="54">
        <f t="shared" si="573"/>
        <v>0.27024436252874445</v>
      </c>
      <c r="Y1451" s="54">
        <f t="shared" si="573"/>
        <v>0.26209474391994453</v>
      </c>
      <c r="Z1451" s="54">
        <f t="shared" si="573"/>
        <v>0.25472002415056227</v>
      </c>
      <c r="AA1451" s="54">
        <f t="shared" si="573"/>
        <v>0.24802875987654402</v>
      </c>
      <c r="AB1451" s="54">
        <f t="shared" si="573"/>
        <v>0.24193532517691607</v>
      </c>
      <c r="AC1451" s="54">
        <f t="shared" si="573"/>
        <v>0.23636665835428747</v>
      </c>
      <c r="AD1451" s="54">
        <f t="shared" si="573"/>
        <v>0.23125666928698116</v>
      </c>
      <c r="AE1451" s="54">
        <f t="shared" si="573"/>
        <v>0.22655239009533784</v>
      </c>
      <c r="AF1451" s="54">
        <f t="shared" si="573"/>
        <v>0.22221043958342823</v>
      </c>
      <c r="AG1451" s="54">
        <f t="shared" si="573"/>
        <v>0.21819831673511267</v>
      </c>
      <c r="AH1451" s="54">
        <f t="shared" si="573"/>
        <v>0.21450064563372759</v>
      </c>
    </row>
    <row r="1452" spans="1:34" s="20" customFormat="1" ht="14" x14ac:dyDescent="0.2">
      <c r="A1452" s="8"/>
      <c r="B1452" s="8" t="s">
        <v>169</v>
      </c>
      <c r="C1452" s="8"/>
      <c r="D1452" s="8" t="str">
        <f>'Assumptions - General'!$E$27 &amp;" millions"</f>
        <v>R$ millions</v>
      </c>
      <c r="E1452" s="474">
        <f>IF(E21=1,'Balance sheet'!E22," ")</f>
        <v>16730.457735733904</v>
      </c>
      <c r="F1452" s="41">
        <f>IF(F21=1,('Balance sheet'!E22+'Balance sheet'!F22)/2," ")</f>
        <v>24742.337990378852</v>
      </c>
      <c r="G1452" s="41">
        <f>IF(G21=1,('Balance sheet'!F22+'Balance sheet'!G22)/2," ")</f>
        <v>41065.932868311807</v>
      </c>
      <c r="H1452" s="41">
        <f>IF(H21=1,('Balance sheet'!G22+'Balance sheet'!H22)/2," ")</f>
        <v>58299.441743343603</v>
      </c>
      <c r="I1452" s="41">
        <f>IF(I21=1,('Balance sheet'!H22+'Balance sheet'!I22)/2," ")</f>
        <v>77028.865945787024</v>
      </c>
      <c r="J1452" s="41">
        <f>IF(J21=1,('Balance sheet'!I22+'Balance sheet'!J22)/2," ")</f>
        <v>97101.02198680742</v>
      </c>
      <c r="K1452" s="41">
        <f>IF(K21=1,('Balance sheet'!J22+'Balance sheet'!K22)/2," ")</f>
        <v>119248.31811021152</v>
      </c>
      <c r="L1452" s="41">
        <f>IF(L21=1,('Balance sheet'!K22+'Balance sheet'!L22)/2," ")</f>
        <v>143311.71558111502</v>
      </c>
      <c r="M1452" s="41">
        <f>IF(M21=1,('Balance sheet'!L22+'Balance sheet'!M22)/2," ")</f>
        <v>168368.99883347872</v>
      </c>
      <c r="N1452" s="41">
        <f>IF(N21=1,('Balance sheet'!M22+'Balance sheet'!N22)/2," ")</f>
        <v>194847.38824722241</v>
      </c>
      <c r="O1452" s="41">
        <f>IF(O21=1,('Balance sheet'!N22+'Balance sheet'!O22)/2," ")</f>
        <v>222708.12010654857</v>
      </c>
      <c r="P1452" s="41">
        <f>IF(P21=1,('Balance sheet'!O22+'Balance sheet'!P22)/2," ")</f>
        <v>251994.92720037466</v>
      </c>
      <c r="Q1452" s="41">
        <f>IF(Q21=1,('Balance sheet'!P22+'Balance sheet'!Q22)/2," ")</f>
        <v>282847.08075072139</v>
      </c>
      <c r="R1452" s="41">
        <f>IF(R21=1,('Balance sheet'!Q22+'Balance sheet'!R22)/2," ")</f>
        <v>315327.99826678541</v>
      </c>
      <c r="S1452" s="41">
        <f>IF(S21=1,('Balance sheet'!R22+'Balance sheet'!S22)/2," ")</f>
        <v>349503.7796579476</v>
      </c>
      <c r="T1452" s="41">
        <f>IF(T21=1,('Balance sheet'!S22+'Balance sheet'!T22)/2," ")</f>
        <v>385446.00935724168</v>
      </c>
      <c r="U1452" s="41">
        <f>IF(U21=1,('Balance sheet'!T22+'Balance sheet'!U22)/2," ")</f>
        <v>423121.86767240678</v>
      </c>
      <c r="V1452" s="41">
        <f>IF(V21=1,('Balance sheet'!U22+'Balance sheet'!V22)/2," ")</f>
        <v>462714.00393031328</v>
      </c>
      <c r="W1452" s="41">
        <f>IF(W21=1,('Balance sheet'!V22+'Balance sheet'!W22)/2," ")</f>
        <v>504411.89910324465</v>
      </c>
      <c r="X1452" s="41">
        <f>IF(X21=1,('Balance sheet'!W22+'Balance sheet'!X22)/2," ")</f>
        <v>548181.88246667455</v>
      </c>
      <c r="Y1452" s="41">
        <f>IF(Y21=1,('Balance sheet'!X22+'Balance sheet'!Y22)/2," ")</f>
        <v>594104.29774121311</v>
      </c>
      <c r="Z1452" s="41">
        <f>IF(Z21=1,('Balance sheet'!Y22+'Balance sheet'!Z22)/2," ")</f>
        <v>642264.82763185352</v>
      </c>
      <c r="AA1452" s="41">
        <f>IF(AA21=1,('Balance sheet'!Z22+'Balance sheet'!AA22)/2," ")</f>
        <v>692744.27954480634</v>
      </c>
      <c r="AB1452" s="41">
        <f>IF(AB21=1,('Balance sheet'!AA22+'Balance sheet'!AB22)/2," ")</f>
        <v>745630.4006781322</v>
      </c>
      <c r="AC1452" s="41">
        <f>IF(AC21=1,('Balance sheet'!AB22+'Balance sheet'!AC22)/2," ")</f>
        <v>801017.0730217651</v>
      </c>
      <c r="AD1452" s="41">
        <f>IF(AD21=1,('Balance sheet'!AC22+'Balance sheet'!AD22)/2," ")</f>
        <v>859000.17327248247</v>
      </c>
      <c r="AE1452" s="41">
        <f>IF(AE21=1,('Balance sheet'!AD22+'Balance sheet'!AE22)/2," ")</f>
        <v>919665.33181973826</v>
      </c>
      <c r="AF1452" s="41">
        <f>IF(AF21=1,('Balance sheet'!AE22+'Balance sheet'!AF22)/2," ")</f>
        <v>983126.89961957943</v>
      </c>
      <c r="AG1452" s="41">
        <f>IF(AG21=1,('Balance sheet'!AF22+'Balance sheet'!AG22)/2," ")</f>
        <v>1049504.0683105397</v>
      </c>
      <c r="AH1452" s="41">
        <f>IF(AH21=1,('Balance sheet'!AG22+'Balance sheet'!AH22)/2," ")</f>
        <v>1118918.1505288964</v>
      </c>
    </row>
    <row r="1453" spans="1:34" s="20" customFormat="1" ht="14" x14ac:dyDescent="0.2">
      <c r="A1453" s="8"/>
      <c r="B1453" s="8" t="s">
        <v>170</v>
      </c>
      <c r="C1453" s="8"/>
      <c r="D1453" s="8" t="s">
        <v>15</v>
      </c>
      <c r="E1453" s="54">
        <f t="shared" ref="E1453:AH1453" si="574">IF(E21=1,E1447/E1452,"N/A")</f>
        <v>2.9367307682837125</v>
      </c>
      <c r="F1453" s="54">
        <f t="shared" si="574"/>
        <v>2.0643231317530204</v>
      </c>
      <c r="G1453" s="54">
        <f t="shared" si="574"/>
        <v>1.2865623235568233</v>
      </c>
      <c r="H1453" s="54">
        <f t="shared" si="574"/>
        <v>0.96077982712113852</v>
      </c>
      <c r="I1453" s="54">
        <f t="shared" si="574"/>
        <v>0.78917177289406426</v>
      </c>
      <c r="J1453" s="54">
        <f t="shared" si="574"/>
        <v>0.66606810152127838</v>
      </c>
      <c r="K1453" s="54">
        <f t="shared" si="574"/>
        <v>0.61709011154251447</v>
      </c>
      <c r="L1453" s="54">
        <f t="shared" si="574"/>
        <v>0.54473652673406847</v>
      </c>
      <c r="M1453" s="54">
        <f t="shared" si="574"/>
        <v>0.49187549673921593</v>
      </c>
      <c r="N1453" s="54">
        <f t="shared" si="574"/>
        <v>0.45050768046973405</v>
      </c>
      <c r="O1453" s="54">
        <f t="shared" si="574"/>
        <v>0.41248872798838726</v>
      </c>
      <c r="P1453" s="54">
        <f t="shared" si="574"/>
        <v>0.38463558743643123</v>
      </c>
      <c r="Q1453" s="54">
        <f t="shared" si="574"/>
        <v>0.36164097509496679</v>
      </c>
      <c r="R1453" s="54">
        <f t="shared" si="574"/>
        <v>0.34216603244176352</v>
      </c>
      <c r="S1453" s="54">
        <f t="shared" si="574"/>
        <v>0.32544034963228602</v>
      </c>
      <c r="T1453" s="54">
        <f t="shared" si="574"/>
        <v>0.31095666080856038</v>
      </c>
      <c r="U1453" s="54">
        <f t="shared" si="574"/>
        <v>0.29836088088943585</v>
      </c>
      <c r="V1453" s="54">
        <f t="shared" si="574"/>
        <v>0.28722939631350347</v>
      </c>
      <c r="W1453" s="54">
        <f t="shared" si="574"/>
        <v>0.2772678041954893</v>
      </c>
      <c r="X1453" s="54">
        <f t="shared" si="574"/>
        <v>0.26834209223621452</v>
      </c>
      <c r="Y1453" s="54">
        <f t="shared" si="574"/>
        <v>0.26033011696343639</v>
      </c>
      <c r="Z1453" s="54">
        <f t="shared" si="574"/>
        <v>0.25307557414818915</v>
      </c>
      <c r="AA1453" s="54">
        <f t="shared" si="574"/>
        <v>0.2464898536483586</v>
      </c>
      <c r="AB1453" s="54">
        <f t="shared" si="574"/>
        <v>0.24048966403253702</v>
      </c>
      <c r="AC1453" s="54">
        <f t="shared" si="574"/>
        <v>0.23500383672192532</v>
      </c>
      <c r="AD1453" s="54">
        <f t="shared" si="574"/>
        <v>0.22996784150735211</v>
      </c>
      <c r="AE1453" s="54">
        <f t="shared" si="574"/>
        <v>0.22533610978009466</v>
      </c>
      <c r="AF1453" s="54">
        <f t="shared" si="574"/>
        <v>0.22105913520417306</v>
      </c>
      <c r="AG1453" s="54">
        <f t="shared" si="574"/>
        <v>0.21710023065250583</v>
      </c>
      <c r="AH1453" s="54">
        <f t="shared" si="574"/>
        <v>0.21345080856653142</v>
      </c>
    </row>
    <row r="1454" spans="1:34" s="20" customFormat="1" ht="14" x14ac:dyDescent="0.2">
      <c r="A1454" s="8"/>
      <c r="B1454" s="8"/>
      <c r="C1454" s="8"/>
      <c r="D1454" s="8"/>
      <c r="E1454" s="42"/>
      <c r="F1454" s="42"/>
      <c r="G1454" s="42"/>
      <c r="H1454" s="42"/>
      <c r="I1454" s="42"/>
      <c r="J1454" s="42"/>
      <c r="K1454" s="42"/>
      <c r="L1454" s="42"/>
      <c r="M1454" s="42"/>
      <c r="N1454" s="42"/>
      <c r="O1454" s="42"/>
      <c r="P1454" s="42"/>
      <c r="Q1454" s="42"/>
      <c r="R1454" s="42"/>
      <c r="S1454" s="42"/>
      <c r="T1454" s="42"/>
      <c r="U1454" s="42"/>
      <c r="V1454" s="42"/>
      <c r="W1454" s="42"/>
      <c r="X1454" s="42"/>
      <c r="Y1454" s="42"/>
      <c r="Z1454" s="42"/>
      <c r="AA1454" s="42"/>
      <c r="AB1454" s="42"/>
      <c r="AC1454" s="42"/>
      <c r="AD1454" s="42"/>
      <c r="AE1454" s="42"/>
      <c r="AF1454" s="42"/>
      <c r="AG1454" s="42"/>
      <c r="AH1454" s="42"/>
    </row>
    <row r="1455" spans="1:34" x14ac:dyDescent="0.2">
      <c r="A1455" s="2"/>
      <c r="B1455" s="4" t="str">
        <f>"Working capital for " &amp;'Assumptions - General'!E23</f>
        <v xml:space="preserve">Working capital for Ruritania Railways </v>
      </c>
      <c r="C1455" s="2"/>
      <c r="D1455" s="2"/>
      <c r="E1455" s="2"/>
      <c r="F1455" s="2"/>
      <c r="G1455" s="2"/>
      <c r="H1455" s="2"/>
      <c r="I1455" s="2"/>
      <c r="J1455" s="2"/>
      <c r="K1455" s="2"/>
      <c r="L1455" s="2"/>
      <c r="M1455" s="2"/>
      <c r="N1455" s="2"/>
      <c r="O1455" s="2"/>
      <c r="P1455" s="2"/>
      <c r="Q1455" s="2"/>
      <c r="R1455" s="2"/>
      <c r="S1455" s="2"/>
      <c r="T1455" s="2"/>
      <c r="U1455" s="2"/>
      <c r="V1455" s="2"/>
      <c r="W1455" s="2"/>
      <c r="X1455" s="2"/>
      <c r="Y1455" s="2"/>
      <c r="Z1455" s="2"/>
      <c r="AA1455" s="2"/>
      <c r="AB1455" s="2"/>
      <c r="AC1455" s="2"/>
      <c r="AD1455" s="2"/>
      <c r="AE1455" s="2"/>
      <c r="AF1455" s="2"/>
      <c r="AG1455" s="2"/>
      <c r="AH1455" s="2"/>
    </row>
    <row r="1456" spans="1:34" s="20" customFormat="1" ht="14" x14ac:dyDescent="0.2">
      <c r="A1456" s="8"/>
      <c r="B1456" s="7"/>
      <c r="C1456" s="8"/>
      <c r="D1456" s="8"/>
      <c r="E1456" s="9"/>
      <c r="F1456" s="9"/>
      <c r="G1456" s="9"/>
      <c r="H1456" s="9"/>
      <c r="I1456" s="9"/>
      <c r="J1456" s="9"/>
      <c r="K1456" s="9"/>
      <c r="L1456" s="9"/>
      <c r="M1456" s="9"/>
      <c r="N1456" s="9"/>
      <c r="O1456" s="9"/>
      <c r="P1456" s="9"/>
      <c r="Q1456" s="9"/>
      <c r="R1456" s="9"/>
      <c r="S1456" s="9"/>
      <c r="T1456" s="9"/>
      <c r="U1456" s="9"/>
      <c r="V1456" s="9"/>
      <c r="W1456" s="9"/>
      <c r="X1456" s="9"/>
      <c r="Y1456" s="9"/>
      <c r="Z1456" s="9"/>
      <c r="AA1456" s="9"/>
      <c r="AB1456" s="9"/>
      <c r="AC1456" s="9"/>
      <c r="AD1456" s="9"/>
      <c r="AE1456" s="9"/>
      <c r="AF1456" s="9"/>
      <c r="AG1456" s="9"/>
      <c r="AH1456" s="9"/>
    </row>
    <row r="1457" spans="1:34" s="20" customFormat="1" ht="14" x14ac:dyDescent="0.2">
      <c r="A1457" s="8"/>
      <c r="B1457" s="21" t="s">
        <v>667</v>
      </c>
      <c r="C1457" s="8"/>
      <c r="D1457" s="8"/>
      <c r="E1457" s="9"/>
      <c r="F1457" s="9"/>
      <c r="G1457" s="9"/>
      <c r="H1457" s="9"/>
      <c r="I1457" s="9"/>
      <c r="J1457" s="9"/>
      <c r="K1457" s="9"/>
      <c r="L1457" s="9"/>
      <c r="M1457" s="9"/>
      <c r="N1457" s="9"/>
      <c r="O1457" s="9"/>
      <c r="P1457" s="9"/>
      <c r="Q1457" s="9"/>
      <c r="R1457" s="9"/>
      <c r="S1457" s="9"/>
      <c r="T1457" s="9"/>
      <c r="U1457" s="9"/>
      <c r="V1457" s="9"/>
      <c r="W1457" s="9"/>
      <c r="X1457" s="9"/>
      <c r="Y1457" s="9"/>
      <c r="Z1457" s="9"/>
      <c r="AA1457" s="9"/>
      <c r="AB1457" s="9"/>
      <c r="AC1457" s="9"/>
      <c r="AD1457" s="9"/>
      <c r="AE1457" s="9"/>
      <c r="AF1457" s="9"/>
      <c r="AG1457" s="9"/>
      <c r="AH1457" s="9"/>
    </row>
    <row r="1458" spans="1:34" s="20" customFormat="1" ht="14" x14ac:dyDescent="0.2">
      <c r="A1458" s="8"/>
      <c r="B1458" s="8" t="s">
        <v>289</v>
      </c>
      <c r="C1458" s="8"/>
      <c r="D1458" s="8" t="str">
        <f>'Assumptions - General'!$E$27 &amp;" millions"</f>
        <v>R$ millions</v>
      </c>
      <c r="E1458" s="474">
        <f>IF(AND((E16+E17+E19+E21)&lt;3,E21=1),'Assumptions - Consolidated'!E98,0)</f>
        <v>0</v>
      </c>
      <c r="F1458" s="41">
        <f>IF(AND((F16+F17+F19+F21)&lt;3,F21=1),('Assumptions - Consolidated'!F99*(F1401+F1403))/365,0)</f>
        <v>0</v>
      </c>
      <c r="G1458" s="41">
        <f>IF(AND((G16+G17+G19+G21)&lt;3,G21=1),('Assumptions - Consolidated'!G99*(G1401+G1403))/365,0)</f>
        <v>0</v>
      </c>
      <c r="H1458" s="41">
        <f>IF(AND((H16+H17+H19+H21)&lt;3,H21=1),('Assumptions - Consolidated'!H99*(H1401+H1403))/365,0)</f>
        <v>0</v>
      </c>
      <c r="I1458" s="41">
        <f>IF(AND((I16+I17+I19+I21)&lt;3,I21=1),('Assumptions - Consolidated'!I99*(I1401+I1403))/365,0)</f>
        <v>0</v>
      </c>
      <c r="J1458" s="41">
        <f>IF(AND((J16+J17+J19+J21)&lt;3,J21=1),('Assumptions - Consolidated'!J99*(J1401+J1403))/365,0)</f>
        <v>0</v>
      </c>
      <c r="K1458" s="41">
        <f>IF(AND((K16+K17+K19+K21)&lt;3,K21=1),('Assumptions - Consolidated'!K99*(K1401+K1403))/365,0)</f>
        <v>0</v>
      </c>
      <c r="L1458" s="41">
        <f>IF(AND((L16+L17+L19+L21)&lt;3,L21=1),('Assumptions - Consolidated'!L99*(L1401+L1403))/365,0)</f>
        <v>0</v>
      </c>
      <c r="M1458" s="41">
        <f>IF(AND((M16+M17+M19+M21)&lt;3,M21=1),('Assumptions - Consolidated'!M99*(M1401+M1403))/365,0)</f>
        <v>0</v>
      </c>
      <c r="N1458" s="41">
        <f>IF(AND((N16+N17+N19+N21)&lt;3,N21=1),('Assumptions - Consolidated'!N99*(N1401+N1403))/365,0)</f>
        <v>0</v>
      </c>
      <c r="O1458" s="41">
        <f>IF(AND((O16+O17+O19+O21)&lt;3,O21=1),('Assumptions - Consolidated'!O99*(O1401+O1403))/365,0)</f>
        <v>0</v>
      </c>
      <c r="P1458" s="41">
        <f>IF(AND((P16+P17+P19+P21)&lt;3,P21=1),('Assumptions - Consolidated'!P99*(P1401+P1403))/365,0)</f>
        <v>0</v>
      </c>
      <c r="Q1458" s="41">
        <f>IF(AND((Q16+Q17+Q19+Q21)&lt;3,Q21=1),('Assumptions - Consolidated'!Q99*(Q1401+Q1403))/365,0)</f>
        <v>0</v>
      </c>
      <c r="R1458" s="41">
        <f>IF(AND((R16+R17+R19+R21)&lt;3,R21=1),('Assumptions - Consolidated'!R99*(R1401+R1403))/365,0)</f>
        <v>0</v>
      </c>
      <c r="S1458" s="41">
        <f>IF(AND((S16+S17+S19+S21)&lt;3,S21=1),('Assumptions - Consolidated'!S99*(S1401+S1403))/365,0)</f>
        <v>0</v>
      </c>
      <c r="T1458" s="41">
        <f>IF(AND((T16+T17+T19+T21)&lt;3,T21=1),('Assumptions - Consolidated'!T99*(T1401+T1403))/365,0)</f>
        <v>0</v>
      </c>
      <c r="U1458" s="41">
        <f>IF(AND((U16+U17+U19+U21)&lt;3,U21=1),('Assumptions - Consolidated'!U99*(U1401+U1403))/365,0)</f>
        <v>0</v>
      </c>
      <c r="V1458" s="41">
        <f>IF(AND((V16+V17+V19+V21)&lt;3,V21=1),('Assumptions - Consolidated'!V99*(V1401+V1403))/365,0)</f>
        <v>0</v>
      </c>
      <c r="W1458" s="41">
        <f>IF(AND((W16+W17+W19+W21)&lt;3,W21=1),('Assumptions - Consolidated'!W99*(W1401+W1403))/365,0)</f>
        <v>0</v>
      </c>
      <c r="X1458" s="41">
        <f>IF(AND((X16+X17+X19+X21)&lt;3,X21=1),('Assumptions - Consolidated'!X99*(X1401+X1403))/365,0)</f>
        <v>0</v>
      </c>
      <c r="Y1458" s="41">
        <f>IF(AND((Y16+Y17+Y19+Y21)&lt;3,Y21=1),('Assumptions - Consolidated'!Y99*(Y1401+Y1403))/365,0)</f>
        <v>0</v>
      </c>
      <c r="Z1458" s="41">
        <f>IF(AND((Z16+Z17+Z19+Z21)&lt;3,Z21=1),('Assumptions - Consolidated'!Z99*(Z1401+Z1403))/365,0)</f>
        <v>0</v>
      </c>
      <c r="AA1458" s="41">
        <f>IF(AND((AA16+AA17+AA19+AA21)&lt;3,AA21=1),('Assumptions - Consolidated'!AA99*(AA1401+AA1403))/365,0)</f>
        <v>0</v>
      </c>
      <c r="AB1458" s="41">
        <f>IF(AND((AB16+AB17+AB19+AB21)&lt;3,AB21=1),('Assumptions - Consolidated'!AB99*(AB1401+AB1403))/365,0)</f>
        <v>0</v>
      </c>
      <c r="AC1458" s="41">
        <f>IF(AND((AC16+AC17+AC19+AC21)&lt;3,AC21=1),('Assumptions - Consolidated'!AC99*(AC1401+AC1403))/365,0)</f>
        <v>0</v>
      </c>
      <c r="AD1458" s="41">
        <f>IF(AND((AD16+AD17+AD19+AD21)&lt;3,AD21=1),('Assumptions - Consolidated'!AD99*(AD1401+AD1403))/365,0)</f>
        <v>0</v>
      </c>
      <c r="AE1458" s="41">
        <f>IF(AND((AE16+AE17+AE19+AE21)&lt;3,AE21=1),('Assumptions - Consolidated'!AE99*(AE1401+AE1403))/365,0)</f>
        <v>0</v>
      </c>
      <c r="AF1458" s="41">
        <f>IF(AND((AF16+AF17+AF19+AF21)&lt;3,AF21=1),('Assumptions - Consolidated'!AF99*(AF1401+AF1403))/365,0)</f>
        <v>0</v>
      </c>
      <c r="AG1458" s="41">
        <f>IF(AND((AG16+AG17+AG19+AG21)&lt;3,AG21=1),('Assumptions - Consolidated'!AG99*(AG1401+AG1403))/365,0)</f>
        <v>0</v>
      </c>
      <c r="AH1458" s="41">
        <f>IF(AND((AH16+AH17+AH19+AH21)&lt;3,AH21=1),('Assumptions - Consolidated'!AH99*(AH1401+AH1403))/365,0)</f>
        <v>0</v>
      </c>
    </row>
    <row r="1459" spans="1:34" s="20" customFormat="1" ht="14" x14ac:dyDescent="0.2">
      <c r="A1459" s="8"/>
      <c r="B1459" s="8" t="s">
        <v>290</v>
      </c>
      <c r="C1459" s="8"/>
      <c r="D1459" s="8" t="str">
        <f>'Assumptions - General'!$E$27 &amp;" millions"</f>
        <v>R$ millions</v>
      </c>
      <c r="E1459" s="474">
        <f>IF(AND((E16+E17+E19+E21)&lt;3,E21=1),'Assumptions - Consolidated'!E102,0)</f>
        <v>0</v>
      </c>
      <c r="F1459" s="41">
        <f>IF(AND((F16+F17+F19+F21)&lt;3,F21=1),'Assumptions - Consolidated'!F103*F1431/365,0)</f>
        <v>0</v>
      </c>
      <c r="G1459" s="41">
        <f>IF(AND((G16+G17+G19+G21)&lt;3,G21=1),'Assumptions - Consolidated'!G103*G1431/365,0)</f>
        <v>0</v>
      </c>
      <c r="H1459" s="41">
        <f>IF(AND((H16+H17+H19+H21)&lt;3,H21=1),'Assumptions - Consolidated'!H103*H1431/365,0)</f>
        <v>0</v>
      </c>
      <c r="I1459" s="41">
        <f>IF(AND((I16+I17+I19+I21)&lt;3,I21=1),'Assumptions - Consolidated'!I103*I1431/365,0)</f>
        <v>0</v>
      </c>
      <c r="J1459" s="41">
        <f>IF(AND((J16+J17+J19+J21)&lt;3,J21=1),'Assumptions - Consolidated'!J103*J1431/365,0)</f>
        <v>0</v>
      </c>
      <c r="K1459" s="41">
        <f>IF(AND((K16+K17+K19+K21)&lt;3,K21=1),'Assumptions - Consolidated'!K103*K1431/365,0)</f>
        <v>0</v>
      </c>
      <c r="L1459" s="41">
        <f>IF(AND((L16+L17+L19+L21)&lt;3,L21=1),'Assumptions - Consolidated'!L103*L1431/365,0)</f>
        <v>0</v>
      </c>
      <c r="M1459" s="41">
        <f>IF(AND((M16+M17+M19+M21)&lt;3,M21=1),'Assumptions - Consolidated'!M103*M1431/365,0)</f>
        <v>0</v>
      </c>
      <c r="N1459" s="41">
        <f>IF(AND((N16+N17+N19+N21)&lt;3,N21=1),'Assumptions - Consolidated'!N103*N1431/365,0)</f>
        <v>0</v>
      </c>
      <c r="O1459" s="41">
        <f>IF(AND((O16+O17+O19+O21)&lt;3,O21=1),'Assumptions - Consolidated'!O103*O1431/365,0)</f>
        <v>0</v>
      </c>
      <c r="P1459" s="41">
        <f>IF(AND((P16+P17+P19+P21)&lt;3,P21=1),'Assumptions - Consolidated'!P103*P1431/365,0)</f>
        <v>0</v>
      </c>
      <c r="Q1459" s="41">
        <f>IF(AND((Q16+Q17+Q19+Q21)&lt;3,Q21=1),'Assumptions - Consolidated'!Q103*Q1431/365,0)</f>
        <v>0</v>
      </c>
      <c r="R1459" s="41">
        <f>IF(AND((R16+R17+R19+R21)&lt;3,R21=1),'Assumptions - Consolidated'!R103*R1431/365,0)</f>
        <v>0</v>
      </c>
      <c r="S1459" s="41">
        <f>IF(AND((S16+S17+S19+S21)&lt;3,S21=1),'Assumptions - Consolidated'!S103*S1431/365,0)</f>
        <v>0</v>
      </c>
      <c r="T1459" s="41">
        <f>IF(AND((T16+T17+T19+T21)&lt;3,T21=1),'Assumptions - Consolidated'!T103*T1431/365,0)</f>
        <v>0</v>
      </c>
      <c r="U1459" s="41">
        <f>IF(AND((U16+U17+U19+U21)&lt;3,U21=1),'Assumptions - Consolidated'!U103*U1431/365,0)</f>
        <v>0</v>
      </c>
      <c r="V1459" s="41">
        <f>IF(AND((V16+V17+V19+V21)&lt;3,V21=1),'Assumptions - Consolidated'!V103*V1431/365,0)</f>
        <v>0</v>
      </c>
      <c r="W1459" s="41">
        <f>IF(AND((W16+W17+W19+W21)&lt;3,W21=1),'Assumptions - Consolidated'!W103*W1431/365,0)</f>
        <v>0</v>
      </c>
      <c r="X1459" s="41">
        <f>IF(AND((X16+X17+X19+X21)&lt;3,X21=1),'Assumptions - Consolidated'!X103*X1431/365,0)</f>
        <v>0</v>
      </c>
      <c r="Y1459" s="41">
        <f>IF(AND((Y16+Y17+Y19+Y21)&lt;3,Y21=1),'Assumptions - Consolidated'!Y103*Y1431/365,0)</f>
        <v>0</v>
      </c>
      <c r="Z1459" s="41">
        <f>IF(AND((Z16+Z17+Z19+Z21)&lt;3,Z21=1),'Assumptions - Consolidated'!Z103*Z1431/365,0)</f>
        <v>0</v>
      </c>
      <c r="AA1459" s="41">
        <f>IF(AND((AA16+AA17+AA19+AA21)&lt;3,AA21=1),'Assumptions - Consolidated'!AA103*AA1431/365,0)</f>
        <v>0</v>
      </c>
      <c r="AB1459" s="41">
        <f>IF(AND((AB16+AB17+AB19+AB21)&lt;3,AB21=1),'Assumptions - Consolidated'!AB103*AB1431/365,0)</f>
        <v>0</v>
      </c>
      <c r="AC1459" s="41">
        <f>IF(AND((AC16+AC17+AC19+AC21)&lt;3,AC21=1),'Assumptions - Consolidated'!AC103*AC1431/365,0)</f>
        <v>0</v>
      </c>
      <c r="AD1459" s="41">
        <f>IF(AND((AD16+AD17+AD19+AD21)&lt;3,AD21=1),'Assumptions - Consolidated'!AD103*AD1431/365,0)</f>
        <v>0</v>
      </c>
      <c r="AE1459" s="41">
        <f>IF(AND((AE16+AE17+AE19+AE21)&lt;3,AE21=1),'Assumptions - Consolidated'!AE103*AE1431/365,0)</f>
        <v>0</v>
      </c>
      <c r="AF1459" s="41">
        <f>IF(AND((AF16+AF17+AF19+AF21)&lt;3,AF21=1),'Assumptions - Consolidated'!AF103*AF1431/365,0)</f>
        <v>0</v>
      </c>
      <c r="AG1459" s="41">
        <f>IF(AND((AG16+AG17+AG19+AG21)&lt;3,AG21=1),'Assumptions - Consolidated'!AG103*AG1431/365,0)</f>
        <v>0</v>
      </c>
      <c r="AH1459" s="41">
        <f>IF(AND((AH16+AH17+AH19+AH21)&lt;3,AH21=1),'Assumptions - Consolidated'!AH103*AH1431/365,0)</f>
        <v>0</v>
      </c>
    </row>
    <row r="1460" spans="1:34" s="20" customFormat="1" ht="14" x14ac:dyDescent="0.2">
      <c r="A1460" s="8"/>
      <c r="B1460" s="8"/>
      <c r="C1460" s="8"/>
      <c r="D1460" s="8"/>
      <c r="E1460" s="41"/>
      <c r="F1460" s="41"/>
      <c r="G1460" s="41"/>
      <c r="H1460" s="41"/>
      <c r="I1460" s="41"/>
      <c r="J1460" s="41"/>
      <c r="K1460" s="41"/>
      <c r="L1460" s="41"/>
      <c r="M1460" s="41"/>
      <c r="N1460" s="41"/>
      <c r="O1460" s="41"/>
      <c r="P1460" s="41"/>
      <c r="Q1460" s="41"/>
      <c r="R1460" s="41"/>
      <c r="S1460" s="41"/>
      <c r="T1460" s="41"/>
      <c r="U1460" s="41"/>
      <c r="V1460" s="41"/>
      <c r="W1460" s="41"/>
      <c r="X1460" s="41"/>
      <c r="Y1460" s="41"/>
      <c r="Z1460" s="41"/>
      <c r="AA1460" s="41"/>
      <c r="AB1460" s="41"/>
      <c r="AC1460" s="41"/>
      <c r="AD1460" s="41"/>
      <c r="AE1460" s="41"/>
      <c r="AF1460" s="41"/>
      <c r="AG1460" s="41"/>
      <c r="AH1460" s="41"/>
    </row>
    <row r="1461" spans="1:34" s="20" customFormat="1" ht="14" x14ac:dyDescent="0.2">
      <c r="A1461" s="8"/>
      <c r="B1461" s="21" t="s">
        <v>666</v>
      </c>
      <c r="C1461" s="8"/>
      <c r="D1461" s="8"/>
      <c r="E1461" s="9"/>
      <c r="F1461" s="9"/>
      <c r="G1461" s="9"/>
      <c r="H1461" s="9"/>
      <c r="I1461" s="9"/>
      <c r="J1461" s="9"/>
      <c r="K1461" s="9"/>
      <c r="L1461" s="9"/>
      <c r="M1461" s="9"/>
      <c r="N1461" s="9"/>
      <c r="O1461" s="9"/>
      <c r="P1461" s="9"/>
      <c r="Q1461" s="9"/>
      <c r="R1461" s="9"/>
      <c r="S1461" s="9"/>
      <c r="T1461" s="9"/>
      <c r="U1461" s="9"/>
      <c r="V1461" s="9"/>
      <c r="W1461" s="9"/>
      <c r="X1461" s="9"/>
      <c r="Y1461" s="9"/>
      <c r="Z1461" s="9"/>
      <c r="AA1461" s="9"/>
      <c r="AB1461" s="9"/>
      <c r="AC1461" s="9"/>
      <c r="AD1461" s="9"/>
      <c r="AE1461" s="9"/>
      <c r="AF1461" s="9"/>
      <c r="AG1461" s="9"/>
      <c r="AH1461" s="9"/>
    </row>
    <row r="1462" spans="1:34" s="20" customFormat="1" ht="14" x14ac:dyDescent="0.2">
      <c r="A1462" s="8"/>
      <c r="B1462" s="8" t="s">
        <v>71</v>
      </c>
      <c r="C1462" s="8"/>
      <c r="D1462" s="8" t="str">
        <f>'Assumptions - General'!$E$27 &amp;" millions"</f>
        <v>R$ millions</v>
      </c>
      <c r="E1462" s="41">
        <f t="shared" ref="E1462:AH1462" si="575">IF(E21=1,E303+E721+IF(E19=1,E1190,0)+E1463," ")</f>
        <v>12500.457735733904</v>
      </c>
      <c r="F1462" s="41">
        <f t="shared" si="575"/>
        <v>13118.569683893793</v>
      </c>
      <c r="G1462" s="41">
        <f t="shared" si="575"/>
        <v>13499.961331835622</v>
      </c>
      <c r="H1462" s="41">
        <f t="shared" si="575"/>
        <v>14296.48091025563</v>
      </c>
      <c r="I1462" s="41">
        <f t="shared" si="575"/>
        <v>15544.810703841264</v>
      </c>
      <c r="J1462" s="41">
        <f t="shared" si="575"/>
        <v>16426.918996006993</v>
      </c>
      <c r="K1462" s="41">
        <f t="shared" si="575"/>
        <v>18294.856859047472</v>
      </c>
      <c r="L1462" s="41">
        <f t="shared" si="575"/>
        <v>19283.563478915581</v>
      </c>
      <c r="M1462" s="41">
        <f t="shared" si="575"/>
        <v>20315.357293451998</v>
      </c>
      <c r="N1462" s="41">
        <f t="shared" si="575"/>
        <v>21391.936247922797</v>
      </c>
      <c r="O1462" s="41">
        <f t="shared" si="575"/>
        <v>22515.06141619281</v>
      </c>
      <c r="P1462" s="41">
        <f t="shared" si="575"/>
        <v>23686.559260706708</v>
      </c>
      <c r="Q1462" s="41">
        <f t="shared" si="575"/>
        <v>24908.323971259953</v>
      </c>
      <c r="R1462" s="41">
        <f t="shared" si="575"/>
        <v>26182.319885253706</v>
      </c>
      <c r="S1462" s="41">
        <f t="shared" si="575"/>
        <v>27510.583992217478</v>
      </c>
      <c r="T1462" s="41">
        <f t="shared" si="575"/>
        <v>28895.2285254778</v>
      </c>
      <c r="U1462" s="41">
        <f t="shared" si="575"/>
        <v>30338.443643947809</v>
      </c>
      <c r="V1462" s="41">
        <f t="shared" si="575"/>
        <v>31842.500207112316</v>
      </c>
      <c r="W1462" s="41">
        <f t="shared" si="575"/>
        <v>33409.752646387024</v>
      </c>
      <c r="X1462" s="41">
        <f t="shared" si="575"/>
        <v>35042.641936136897</v>
      </c>
      <c r="Y1462" s="41">
        <f t="shared" si="575"/>
        <v>36743.698667748933</v>
      </c>
      <c r="Z1462" s="41">
        <f t="shared" si="575"/>
        <v>38515.546230269349</v>
      </c>
      <c r="AA1462" s="41">
        <f t="shared" si="575"/>
        <v>40360.904101232059</v>
      </c>
      <c r="AB1462" s="41">
        <f t="shared" si="575"/>
        <v>42282.591251427875</v>
      </c>
      <c r="AC1462" s="41">
        <f t="shared" si="575"/>
        <v>44283.529667489172</v>
      </c>
      <c r="AD1462" s="41">
        <f t="shared" si="575"/>
        <v>46366.747996294856</v>
      </c>
      <c r="AE1462" s="41">
        <f t="shared" si="575"/>
        <v>48535.38531533473</v>
      </c>
      <c r="AF1462" s="41">
        <f t="shared" si="575"/>
        <v>50792.695033311124</v>
      </c>
      <c r="AG1462" s="41">
        <f t="shared" si="575"/>
        <v>53142.048925398725</v>
      </c>
      <c r="AH1462" s="41">
        <f t="shared" si="575"/>
        <v>55586.941307732079</v>
      </c>
    </row>
    <row r="1463" spans="1:34" s="20" customFormat="1" ht="14" x14ac:dyDescent="0.2">
      <c r="B1463" s="230" t="s">
        <v>521</v>
      </c>
      <c r="D1463" s="20" t="str">
        <f>'Assumptions - General'!$E$27 &amp;" millions"</f>
        <v>R$ millions</v>
      </c>
      <c r="E1463" s="493">
        <f t="shared" ref="E1463:AH1463" si="576">IF((E16+E17+E19)=3,-E1191,IF(AND(E16=1,E19=1),-E1191*((E1117+E1118)/(E1117+E1118+E1125+E1126)),IF(AND(E17=1,E19=1),-E1191*((E1125+E1126)/(E1117+E1118+E1125+E1126)),0)))</f>
        <v>-2499.5422642660969</v>
      </c>
      <c r="F1463" s="493">
        <f t="shared" si="576"/>
        <v>-2594.8169801350136</v>
      </c>
      <c r="G1463" s="493">
        <f t="shared" si="576"/>
        <v>-2672.6614895390644</v>
      </c>
      <c r="H1463" s="493">
        <f t="shared" si="576"/>
        <v>-2815.3638586378088</v>
      </c>
      <c r="I1463" s="493">
        <f t="shared" si="576"/>
        <v>-3028.6211746868426</v>
      </c>
      <c r="J1463" s="493">
        <f t="shared" si="576"/>
        <v>-3185.8099560767459</v>
      </c>
      <c r="K1463" s="493">
        <f t="shared" si="576"/>
        <v>-3573.7051994331637</v>
      </c>
      <c r="L1463" s="493">
        <f t="shared" si="576"/>
        <v>-3751.2860074659488</v>
      </c>
      <c r="M1463" s="493">
        <f t="shared" si="576"/>
        <v>-3936.3053293012126</v>
      </c>
      <c r="N1463" s="493">
        <f t="shared" si="576"/>
        <v>-4129.0496530398705</v>
      </c>
      <c r="O1463" s="493">
        <f t="shared" si="576"/>
        <v>-4329.815961406478</v>
      </c>
      <c r="P1463" s="493">
        <f t="shared" si="576"/>
        <v>-4538.9121035873468</v>
      </c>
      <c r="Q1463" s="493">
        <f t="shared" si="576"/>
        <v>-4756.6571799338008</v>
      </c>
      <c r="R1463" s="493">
        <f t="shared" si="576"/>
        <v>-4983.3819399678141</v>
      </c>
      <c r="S1463" s="493">
        <f t="shared" si="576"/>
        <v>-5219.4291941419269</v>
      </c>
      <c r="T1463" s="493">
        <f t="shared" si="576"/>
        <v>-5465.1542398205165</v>
      </c>
      <c r="U1463" s="493">
        <f t="shared" si="576"/>
        <v>-5720.9253019650941</v>
      </c>
      <c r="V1463" s="493">
        <f t="shared" si="576"/>
        <v>-5987.1239890225061</v>
      </c>
      <c r="W1463" s="493">
        <f t="shared" si="576"/>
        <v>-6264.1457645315968</v>
      </c>
      <c r="X1463" s="493">
        <f t="shared" si="576"/>
        <v>-6552.4004349811103</v>
      </c>
      <c r="Y1463" s="493">
        <f t="shared" si="576"/>
        <v>-6852.3126544695178</v>
      </c>
      <c r="Z1463" s="493">
        <f t="shared" si="576"/>
        <v>-7164.322446735745</v>
      </c>
      <c r="AA1463" s="493">
        <f t="shared" si="576"/>
        <v>-7488.8857451489248</v>
      </c>
      <c r="AB1463" s="493">
        <f t="shared" si="576"/>
        <v>-7826.4749512648341</v>
      </c>
      <c r="AC1463" s="493">
        <f t="shared" si="576"/>
        <v>-8177.579512577061</v>
      </c>
      <c r="AD1463" s="493">
        <f t="shared" si="576"/>
        <v>-8542.7065201118858</v>
      </c>
      <c r="AE1463" s="493">
        <f t="shared" si="576"/>
        <v>-8922.3813265374793</v>
      </c>
      <c r="AF1463" s="493">
        <f t="shared" si="576"/>
        <v>-9317.1481854805079</v>
      </c>
      <c r="AG1463" s="493">
        <f t="shared" si="576"/>
        <v>-9727.570912766234</v>
      </c>
      <c r="AH1463" s="493">
        <f t="shared" si="576"/>
        <v>-10154.233570322174</v>
      </c>
    </row>
    <row r="1464" spans="1:34" s="20" customFormat="1" ht="14" x14ac:dyDescent="0.2">
      <c r="A1464" s="8"/>
      <c r="B1464" s="30" t="s">
        <v>48</v>
      </c>
      <c r="C1464" s="8"/>
      <c r="D1464" s="8" t="s">
        <v>461</v>
      </c>
      <c r="E1464" s="41">
        <f>IF(E21=1,(E1462*365)/('Income statement'!E17-'Income statement'!E16)," ")</f>
        <v>53.361406625844985</v>
      </c>
      <c r="F1464" s="41">
        <f>IF(F21=1,(F1462*365)/('Income statement'!F17-'Income statement'!F16)," ")</f>
        <v>53.819281561840135</v>
      </c>
      <c r="G1464" s="41">
        <f>IF(G21=1,(G1462*365)/('Income statement'!G17-'Income statement'!G16)," ")</f>
        <v>53.829438482686768</v>
      </c>
      <c r="H1464" s="41">
        <f>IF(H21=1,(H1462*365)/('Income statement'!H17-'Income statement'!H16)," ")</f>
        <v>54.167303175781804</v>
      </c>
      <c r="I1464" s="41">
        <f>IF(I21=1,(I1462*365)/('Income statement'!I17-'Income statement'!I16)," ")</f>
        <v>54.79112650900948</v>
      </c>
      <c r="J1464" s="41">
        <f>IF(J21=1,(J1462*365)/('Income statement'!J17-'Income statement'!J16)," ")</f>
        <v>55.088859999809621</v>
      </c>
      <c r="K1464" s="41">
        <f>IF(K21=1,(K1462*365)/('Income statement'!K17-'Income statement'!K16)," ")</f>
        <v>54.684329203857494</v>
      </c>
      <c r="L1464" s="41">
        <f>IF(L21=1,(L1462*365)/('Income statement'!L17-'Income statement'!L16)," ")</f>
        <v>54.955475785957951</v>
      </c>
      <c r="M1464" s="41">
        <f>IF(M21=1,(M1462*365)/('Income statement'!M17-'Income statement'!M16)," ")</f>
        <v>55.216901439888758</v>
      </c>
      <c r="N1464" s="41">
        <f>IF(N21=1,(N1462*365)/('Income statement'!N17-'Income statement'!N16)," ")</f>
        <v>55.469104231435395</v>
      </c>
      <c r="O1464" s="41">
        <f>IF(O21=1,(O1462*365)/('Income statement'!O17-'Income statement'!O16)," ")</f>
        <v>55.712549169706456</v>
      </c>
      <c r="P1464" s="41">
        <f>IF(P21=1,(P1462*365)/('Income statement'!P17-'Income statement'!P16)," ")</f>
        <v>55.94767089447987</v>
      </c>
      <c r="Q1464" s="41">
        <f>IF(Q21=1,(Q1462*365)/('Income statement'!Q17-'Income statement'!Q16)," ")</f>
        <v>56.174876105860179</v>
      </c>
      <c r="R1464" s="41">
        <f>IF(R21=1,(R1462*365)/('Income statement'!R17-'Income statement'!R16)," ")</f>
        <v>56.394545764614357</v>
      </c>
      <c r="S1464" s="41">
        <f>IF(S21=1,(S1462*365)/('Income statement'!S17-'Income statement'!S16)," ")</f>
        <v>56.607037088038282</v>
      </c>
      <c r="T1464" s="41">
        <f>IF(T21=1,(T1462*365)/('Income statement'!T17-'Income statement'!T16)," ")</f>
        <v>56.812685363176726</v>
      </c>
      <c r="U1464" s="41">
        <f>IF(U21=1,(U1462*365)/('Income statement'!U17-'Income statement'!U16)," ")</f>
        <v>57.011805596597355</v>
      </c>
      <c r="V1464" s="41">
        <f>IF(V21=1,(V1462*365)/('Income statement'!V17-'Income statement'!V16)," ")</f>
        <v>57.204694017646659</v>
      </c>
      <c r="W1464" s="41">
        <f>IF(W21=1,(W1462*365)/('Income statement'!W17-'Income statement'!W16)," ")</f>
        <v>57.391629450141814</v>
      </c>
      <c r="X1464" s="41">
        <f>IF(X21=1,(X1462*365)/('Income statement'!X17-'Income statement'!X16)," ")</f>
        <v>57.572874565733521</v>
      </c>
      <c r="Y1464" s="41">
        <f>IF(Y21=1,(Y1462*365)/('Income statement'!Y17-'Income statement'!Y16)," ")</f>
        <v>57.748677030674216</v>
      </c>
      <c r="Z1464" s="41">
        <f>IF(Z21=1,(Z1462*365)/('Income statement'!Z17-'Income statement'!Z16)," ")</f>
        <v>57.919270556416336</v>
      </c>
      <c r="AA1464" s="41">
        <f>IF(AA21=1,(AA1462*365)/('Income statement'!AA17-'Income statement'!AA16)," ")</f>
        <v>58.084875863314352</v>
      </c>
      <c r="AB1464" s="41">
        <f>IF(AB21=1,(AB1462*365)/('Income statement'!AB17-'Income statement'!AB16)," ")</f>
        <v>58.245701565698511</v>
      </c>
      <c r="AC1464" s="41">
        <f>IF(AC21=1,(AC1462*365)/('Income statement'!AC17-'Income statement'!AC16)," ")</f>
        <v>58.401944985699565</v>
      </c>
      <c r="AD1464" s="41">
        <f>IF(AD21=1,(AD1462*365)/('Income statement'!AD17-'Income statement'!AD16)," ")</f>
        <v>58.553792902423773</v>
      </c>
      <c r="AE1464" s="41">
        <f>IF(AE21=1,(AE1462*365)/('Income statement'!AE17-'Income statement'!AE16)," ")</f>
        <v>58.701422242387913</v>
      </c>
      <c r="AF1464" s="41">
        <f>IF(AF21=1,(AF1462*365)/('Income statement'!AF17-'Income statement'!AF16)," ")</f>
        <v>58.845000716515067</v>
      </c>
      <c r="AG1464" s="41">
        <f>IF(AG21=1,(AG1462*365)/('Income statement'!AG17-'Income statement'!AG16)," ")</f>
        <v>58.984687408451443</v>
      </c>
      <c r="AH1464" s="41">
        <f>IF(AH21=1,(AH1462*365)/('Income statement'!AH17-'Income statement'!AH16)," ")</f>
        <v>59.120633318486959</v>
      </c>
    </row>
    <row r="1465" spans="1:34" s="20" customFormat="1" ht="14" x14ac:dyDescent="0.2">
      <c r="A1465" s="8"/>
      <c r="B1465" s="8" t="s">
        <v>72</v>
      </c>
      <c r="C1465" s="8"/>
      <c r="D1465" s="8" t="str">
        <f>'Assumptions - General'!$E$27 &amp;" millions"</f>
        <v>R$ millions</v>
      </c>
      <c r="E1465" s="41">
        <f t="shared" ref="E1465:AH1465" si="577">IF(E21=1,E304+E722+E1194," ")</f>
        <v>300</v>
      </c>
      <c r="F1465" s="41">
        <f t="shared" si="577"/>
        <v>313.23540396341463</v>
      </c>
      <c r="G1465" s="41">
        <f t="shared" si="577"/>
        <v>321.27399657012199</v>
      </c>
      <c r="H1465" s="41">
        <f t="shared" si="577"/>
        <v>338.90361552591469</v>
      </c>
      <c r="I1465" s="41">
        <f t="shared" si="577"/>
        <v>366.97420635807936</v>
      </c>
      <c r="J1465" s="41">
        <f t="shared" si="577"/>
        <v>386.46150781018503</v>
      </c>
      <c r="K1465" s="41">
        <f t="shared" si="577"/>
        <v>429.41742784509222</v>
      </c>
      <c r="L1465" s="41">
        <f t="shared" si="577"/>
        <v>451.09748591444833</v>
      </c>
      <c r="M1465" s="41">
        <f t="shared" si="577"/>
        <v>473.6918717829052</v>
      </c>
      <c r="N1465" s="41">
        <f t="shared" si="577"/>
        <v>497.23593306614657</v>
      </c>
      <c r="O1465" s="41">
        <f t="shared" si="577"/>
        <v>521.76631534177773</v>
      </c>
      <c r="P1465" s="41">
        <f t="shared" si="577"/>
        <v>547.32100821418726</v>
      </c>
      <c r="Q1465" s="41">
        <f t="shared" si="577"/>
        <v>573.93939297513384</v>
      </c>
      <c r="R1465" s="41">
        <f t="shared" si="577"/>
        <v>601.66229191434434</v>
      </c>
      <c r="S1465" s="41">
        <f t="shared" si="577"/>
        <v>630.53201933623006</v>
      </c>
      <c r="T1465" s="41">
        <f t="shared" si="577"/>
        <v>660.59243434070572</v>
      </c>
      <c r="U1465" s="41">
        <f t="shared" si="577"/>
        <v>691.88899542804756</v>
      </c>
      <c r="V1465" s="41">
        <f t="shared" si="577"/>
        <v>724.46881698972311</v>
      </c>
      <c r="W1465" s="41">
        <f t="shared" si="577"/>
        <v>758.38072774921397</v>
      </c>
      <c r="X1465" s="41">
        <f t="shared" si="577"/>
        <v>793.67533121898362</v>
      </c>
      <c r="Y1465" s="41">
        <f t="shared" si="577"/>
        <v>830.40506824196495</v>
      </c>
      <c r="Z1465" s="41">
        <f t="shared" si="577"/>
        <v>868.62428168822817</v>
      </c>
      <c r="AA1465" s="41">
        <f t="shared" si="577"/>
        <v>908.38928337984953</v>
      </c>
      <c r="AB1465" s="41">
        <f t="shared" si="577"/>
        <v>949.75842331944864</v>
      </c>
      <c r="AC1465" s="41">
        <f t="shared" si="577"/>
        <v>992.79216130038185</v>
      </c>
      <c r="AD1465" s="41">
        <f t="shared" si="577"/>
        <v>1037.5531409791834</v>
      </c>
      <c r="AE1465" s="41">
        <f t="shared" si="577"/>
        <v>1084.106266493543</v>
      </c>
      <c r="AF1465" s="41">
        <f t="shared" si="577"/>
        <v>1132.5187817118826</v>
      </c>
      <c r="AG1465" s="41">
        <f t="shared" si="577"/>
        <v>1182.8603522034787</v>
      </c>
      <c r="AH1465" s="41">
        <f t="shared" si="577"/>
        <v>1235.2031500210298</v>
      </c>
    </row>
    <row r="1466" spans="1:34" s="20" customFormat="1" ht="14" x14ac:dyDescent="0.2">
      <c r="A1466" s="8"/>
      <c r="B1466" s="30" t="s">
        <v>49</v>
      </c>
      <c r="C1466" s="8"/>
      <c r="D1466" s="8" t="s">
        <v>461</v>
      </c>
      <c r="E1466" s="41">
        <f>IF(E21=1,(E1465*365)/('Income statement'!E22+'Income statement'!E23)," ")</f>
        <v>36.5</v>
      </c>
      <c r="F1466" s="41">
        <f>IF(F21=1,(F1465*365)/('Income statement'!F22+'Income statement'!F23)," ")</f>
        <v>36.5</v>
      </c>
      <c r="G1466" s="41">
        <f>IF(G21=1,(G1465*365)/('Income statement'!G22+'Income statement'!G23)," ")</f>
        <v>36.500000000000007</v>
      </c>
      <c r="H1466" s="41">
        <f>IF(H21=1,(H1465*365)/('Income statement'!H22+'Income statement'!H23)," ")</f>
        <v>36.500000000000007</v>
      </c>
      <c r="I1466" s="41">
        <f>IF(I21=1,(I1465*365)/('Income statement'!I22+'Income statement'!I23)," ")</f>
        <v>36.5</v>
      </c>
      <c r="J1466" s="41">
        <f>IF(J21=1,(J1465*365)/('Income statement'!J22+'Income statement'!J23)," ")</f>
        <v>36.5</v>
      </c>
      <c r="K1466" s="41">
        <f>IF(K21=1,(K1465*365)/('Income statement'!K22+'Income statement'!K23)," ")</f>
        <v>36.500000000000007</v>
      </c>
      <c r="L1466" s="41">
        <f>IF(L21=1,(L1465*365)/('Income statement'!L22+'Income statement'!L23)," ")</f>
        <v>36.500000000000007</v>
      </c>
      <c r="M1466" s="41">
        <f>IF(M21=1,(M1465*365)/('Income statement'!M22+'Income statement'!M23)," ")</f>
        <v>36.5</v>
      </c>
      <c r="N1466" s="41">
        <f>IF(N21=1,(N1465*365)/('Income statement'!N22+'Income statement'!N23)," ")</f>
        <v>36.5</v>
      </c>
      <c r="O1466" s="41">
        <f>IF(O21=1,(O1465*365)/('Income statement'!O22+'Income statement'!O23)," ")</f>
        <v>36.5</v>
      </c>
      <c r="P1466" s="41">
        <f>IF(P21=1,(P1465*365)/('Income statement'!P22+'Income statement'!P23)," ")</f>
        <v>36.499999999999993</v>
      </c>
      <c r="Q1466" s="41">
        <f>IF(Q21=1,(Q1465*365)/('Income statement'!Q22+'Income statement'!Q23)," ")</f>
        <v>36.500000000000007</v>
      </c>
      <c r="R1466" s="41">
        <f>IF(R21=1,(R1465*365)/('Income statement'!R22+'Income statement'!R23)," ")</f>
        <v>36.5</v>
      </c>
      <c r="S1466" s="41">
        <f>IF(S21=1,(S1465*365)/('Income statement'!S22+'Income statement'!S23)," ")</f>
        <v>36.500000000000007</v>
      </c>
      <c r="T1466" s="41">
        <f>IF(T21=1,(T1465*365)/('Income statement'!T22+'Income statement'!T23)," ")</f>
        <v>36.5</v>
      </c>
      <c r="U1466" s="41">
        <f>IF(U21=1,(U1465*365)/('Income statement'!U22+'Income statement'!U23)," ")</f>
        <v>36.5</v>
      </c>
      <c r="V1466" s="41">
        <f>IF(V21=1,(V1465*365)/('Income statement'!V22+'Income statement'!V23)," ")</f>
        <v>36.500000000000007</v>
      </c>
      <c r="W1466" s="41">
        <f>IF(W21=1,(W1465*365)/('Income statement'!W22+'Income statement'!W23)," ")</f>
        <v>36.5</v>
      </c>
      <c r="X1466" s="41">
        <f>IF(X21=1,(X1465*365)/('Income statement'!X22+'Income statement'!X23)," ")</f>
        <v>36.500000000000014</v>
      </c>
      <c r="Y1466" s="41">
        <f>IF(Y21=1,(Y1465*365)/('Income statement'!Y22+'Income statement'!Y23)," ")</f>
        <v>36.5</v>
      </c>
      <c r="Z1466" s="41">
        <f>IF(Z21=1,(Z1465*365)/('Income statement'!Z22+'Income statement'!Z23)," ")</f>
        <v>36.5</v>
      </c>
      <c r="AA1466" s="41">
        <f>IF(AA21=1,(AA1465*365)/('Income statement'!AA22+'Income statement'!AA23)," ")</f>
        <v>36.500000000000007</v>
      </c>
      <c r="AB1466" s="41">
        <f>IF(AB21=1,(AB1465*365)/('Income statement'!AB22+'Income statement'!AB23)," ")</f>
        <v>36.5</v>
      </c>
      <c r="AC1466" s="41">
        <f>IF(AC21=1,(AC1465*365)/('Income statement'!AC22+'Income statement'!AC23)," ")</f>
        <v>36.5</v>
      </c>
      <c r="AD1466" s="41">
        <f>IF(AD21=1,(AD1465*365)/('Income statement'!AD22+'Income statement'!AD23)," ")</f>
        <v>36.499999999999993</v>
      </c>
      <c r="AE1466" s="41">
        <f>IF(AE21=1,(AE1465*365)/('Income statement'!AE22+'Income statement'!AE23)," ")</f>
        <v>36.5</v>
      </c>
      <c r="AF1466" s="41">
        <f>IF(AF21=1,(AF1465*365)/('Income statement'!AF22+'Income statement'!AF23)," ")</f>
        <v>36.5</v>
      </c>
      <c r="AG1466" s="41">
        <f>IF(AG21=1,(AG1465*365)/('Income statement'!AG22+'Income statement'!AG23)," ")</f>
        <v>36.5</v>
      </c>
      <c r="AH1466" s="41">
        <f>IF(AH21=1,(AH1465*365)/('Income statement'!AH22+'Income statement'!AH23)," ")</f>
        <v>36.5</v>
      </c>
    </row>
    <row r="1467" spans="1:34" s="20" customFormat="1" ht="14" x14ac:dyDescent="0.2">
      <c r="A1467" s="8"/>
      <c r="B1467" s="8" t="s">
        <v>288</v>
      </c>
      <c r="C1467" s="8"/>
      <c r="D1467" s="8" t="str">
        <f>'Assumptions - General'!$E$27 &amp;" millions"</f>
        <v>R$ millions</v>
      </c>
      <c r="E1467" s="41">
        <f t="shared" ref="E1467:AH1467" si="578">IF(E21=1,E305+E723+E1195," ")</f>
        <v>300</v>
      </c>
      <c r="F1467" s="41">
        <f t="shared" si="578"/>
        <v>302.20238095238102</v>
      </c>
      <c r="G1467" s="41">
        <f t="shared" si="578"/>
        <v>304.47083333333336</v>
      </c>
      <c r="H1467" s="41">
        <f t="shared" si="578"/>
        <v>306.80733928571431</v>
      </c>
      <c r="I1467" s="41">
        <f t="shared" si="578"/>
        <v>309.21394041666667</v>
      </c>
      <c r="J1467" s="41">
        <f t="shared" si="578"/>
        <v>311.6927395815477</v>
      </c>
      <c r="K1467" s="41">
        <f t="shared" si="578"/>
        <v>314.24590272137505</v>
      </c>
      <c r="L1467" s="41">
        <f t="shared" si="578"/>
        <v>316.87566075539723</v>
      </c>
      <c r="M1467" s="41">
        <f t="shared" si="578"/>
        <v>319.58431153044012</v>
      </c>
      <c r="N1467" s="41">
        <f t="shared" si="578"/>
        <v>322.37422182873428</v>
      </c>
      <c r="O1467" s="41">
        <f t="shared" si="578"/>
        <v>325.24782943597722</v>
      </c>
      <c r="P1467" s="41">
        <f t="shared" si="578"/>
        <v>328.20764527143751</v>
      </c>
      <c r="Q1467" s="41">
        <f t="shared" si="578"/>
        <v>331.25625558196157</v>
      </c>
      <c r="R1467" s="41">
        <f t="shared" si="578"/>
        <v>334.39632420180141</v>
      </c>
      <c r="S1467" s="41">
        <f t="shared" si="578"/>
        <v>337.6305948802364</v>
      </c>
      <c r="T1467" s="41">
        <f t="shared" si="578"/>
        <v>340.9618936790244</v>
      </c>
      <c r="U1467" s="41">
        <f t="shared" si="578"/>
        <v>344.39313144177606</v>
      </c>
      <c r="V1467" s="41">
        <f t="shared" si="578"/>
        <v>347.92730633741036</v>
      </c>
      <c r="W1467" s="41">
        <f t="shared" si="578"/>
        <v>351.56750647991362</v>
      </c>
      <c r="X1467" s="41">
        <f t="shared" si="578"/>
        <v>355.31691262669199</v>
      </c>
      <c r="Y1467" s="41">
        <f t="shared" si="578"/>
        <v>359.1788009578737</v>
      </c>
      <c r="Z1467" s="41">
        <f t="shared" si="578"/>
        <v>363.15654593899086</v>
      </c>
      <c r="AA1467" s="41">
        <f t="shared" si="578"/>
        <v>367.25362326954155</v>
      </c>
      <c r="AB1467" s="41">
        <f t="shared" si="578"/>
        <v>371.47361292000875</v>
      </c>
      <c r="AC1467" s="41">
        <f t="shared" si="578"/>
        <v>375.82020225998997</v>
      </c>
      <c r="AD1467" s="41">
        <f t="shared" si="578"/>
        <v>380.29718928017058</v>
      </c>
      <c r="AE1467" s="41">
        <f t="shared" si="578"/>
        <v>384.9084859109567</v>
      </c>
      <c r="AF1467" s="41">
        <f t="shared" si="578"/>
        <v>389.65812144066638</v>
      </c>
      <c r="AG1467" s="41">
        <f t="shared" si="578"/>
        <v>394.55024603626731</v>
      </c>
      <c r="AH1467" s="41">
        <f t="shared" si="578"/>
        <v>399.58913436973631</v>
      </c>
    </row>
    <row r="1468" spans="1:34" s="20" customFormat="1" ht="14" x14ac:dyDescent="0.2">
      <c r="A1468" s="8"/>
      <c r="B1468" s="30" t="s">
        <v>273</v>
      </c>
      <c r="C1468" s="8"/>
      <c r="D1468" s="8" t="s">
        <v>461</v>
      </c>
      <c r="E1468" s="41">
        <f>IF(E21=1,(E1467*365)/('Income statement'!E16-E1143-E674-E256)," ")</f>
        <v>73</v>
      </c>
      <c r="F1468" s="41">
        <f>IF(F21=1,(F1467*365)/('Income statement'!F16-F1143-F674-F256)," ")</f>
        <v>73.535912698412716</v>
      </c>
      <c r="G1468" s="41">
        <f>IF(G21=1,(G1467*365)/('Income statement'!G16-G1143-G674-G256)," ")</f>
        <v>74.087902777777785</v>
      </c>
      <c r="H1468" s="41">
        <f>IF(H21=1,(H1467*365)/('Income statement'!H16-H1143-H674-H256)," ")</f>
        <v>74.656452559523814</v>
      </c>
      <c r="I1468" s="41">
        <f>IF(I21=1,(I1467*365)/('Income statement'!I16-I1143-I674-I256)," ")</f>
        <v>75.242058834722215</v>
      </c>
      <c r="J1468" s="41">
        <f>IF(J21=1,(J1467*365)/('Income statement'!J16-J1143-J674-J256)," ")</f>
        <v>75.845233298176609</v>
      </c>
      <c r="K1468" s="41">
        <f>IF(K21=1,(K1467*365)/('Income statement'!K16-K1143-K674-K256)," ")</f>
        <v>76.466502995534597</v>
      </c>
      <c r="L1468" s="41">
        <f>IF(L21=1,(L1467*365)/('Income statement'!L16-L1143-L674-L256)," ")</f>
        <v>77.106410783813331</v>
      </c>
      <c r="M1468" s="41">
        <f>IF(M21=1,(M1467*365)/('Income statement'!M16-M1143-M674-M256)," ")</f>
        <v>77.765515805740435</v>
      </c>
      <c r="N1468" s="41">
        <f>IF(N21=1,(N1467*365)/('Income statement'!N16-N1143-N674-N256)," ")</f>
        <v>78.444393978325337</v>
      </c>
      <c r="O1468" s="41">
        <f>IF(O21=1,(O1467*365)/('Income statement'!O16-O1143-O674-O256)," ")</f>
        <v>79.143638496087789</v>
      </c>
      <c r="P1468" s="41">
        <f>IF(P21=1,(P1467*365)/('Income statement'!P16-P1143-P674-P256)," ")</f>
        <v>79.863860349383131</v>
      </c>
      <c r="Q1468" s="41">
        <f>IF(Q21=1,(Q1467*365)/('Income statement'!Q16-Q1143-Q674-Q256)," ")</f>
        <v>80.605688858277304</v>
      </c>
      <c r="R1468" s="41">
        <f>IF(R21=1,(R1467*365)/('Income statement'!R16-R1143-R674-R256)," ")</f>
        <v>81.369772222438357</v>
      </c>
      <c r="S1468" s="41">
        <f>IF(S21=1,(S1467*365)/('Income statement'!S16-S1143-S674-S256)," ")</f>
        <v>82.156778087524188</v>
      </c>
      <c r="T1468" s="41">
        <f>IF(T21=1,(T1467*365)/('Income statement'!T16-T1143-T674-T256)," ")</f>
        <v>82.967394128562603</v>
      </c>
      <c r="U1468" s="41">
        <f>IF(U21=1,(U1467*365)/('Income statement'!U16-U1143-U674-U256)," ")</f>
        <v>83.802328650832166</v>
      </c>
      <c r="V1468" s="41">
        <f>IF(V21=1,(V1467*365)/('Income statement'!V16-V1143-V674-V256)," ")</f>
        <v>84.66231120876985</v>
      </c>
      <c r="W1468" s="41">
        <f>IF(W21=1,(W1467*365)/('Income statement'!W16-W1143-W674-W256)," ")</f>
        <v>85.548093243445635</v>
      </c>
      <c r="X1468" s="41">
        <f>IF(X21=1,(X1467*365)/('Income statement'!X16-X1143-X674-X256)," ")</f>
        <v>86.460448739161706</v>
      </c>
      <c r="Y1468" s="41">
        <f>IF(Y21=1,(Y1467*365)/('Income statement'!Y16-Y1143-Y674-Y256)," ")</f>
        <v>87.400174899749246</v>
      </c>
      <c r="Z1468" s="41">
        <f>IF(Z21=1,(Z1467*365)/('Income statement'!Z16-Z1143-Z674-Z256)," ")</f>
        <v>88.368092845154436</v>
      </c>
      <c r="AA1468" s="41">
        <f>IF(AA21=1,(AA1467*365)/('Income statement'!AA16-AA1143-AA674-AA256)," ")</f>
        <v>89.365048328921787</v>
      </c>
      <c r="AB1468" s="41">
        <f>IF(AB21=1,(AB1467*365)/('Income statement'!AB16-AB1143-AB674-AB256)," ")</f>
        <v>90.391912477202126</v>
      </c>
      <c r="AC1468" s="41">
        <f>IF(AC21=1,(AC1467*365)/('Income statement'!AC16-AC1143-AC674-AC256)," ")</f>
        <v>91.449582549930895</v>
      </c>
      <c r="AD1468" s="41">
        <f>IF(AD21=1,(AD1467*365)/('Income statement'!AD16-AD1143-AD674-AD256)," ")</f>
        <v>92.538982724841503</v>
      </c>
      <c r="AE1468" s="41">
        <f>IF(AE21=1,(AE1467*365)/('Income statement'!AE16-AE1143-AE674-AE256)," ")</f>
        <v>93.661064904999492</v>
      </c>
      <c r="AF1468" s="41">
        <f>IF(AF21=1,(AF1467*365)/('Income statement'!AF16-AF1143-AF674-AF256)," ")</f>
        <v>94.816809550562155</v>
      </c>
      <c r="AG1468" s="41">
        <f>IF(AG21=1,(AG1467*365)/('Income statement'!AG16-AG1143-AG674-AG256)," ")</f>
        <v>96.007226535491696</v>
      </c>
      <c r="AH1468" s="41">
        <f>IF(AH21=1,(AH1467*365)/('Income statement'!AH16-AH1143-AH674-AH256)," ")</f>
        <v>97.233356029969173</v>
      </c>
    </row>
    <row r="1469" spans="1:34" s="20" customFormat="1" ht="14" x14ac:dyDescent="0.2">
      <c r="A1469" s="8"/>
      <c r="B1469" s="8" t="s">
        <v>289</v>
      </c>
      <c r="C1469" s="8"/>
      <c r="D1469" s="8" t="str">
        <f>'Assumptions - General'!$E$27 &amp;" millions"</f>
        <v>R$ millions</v>
      </c>
      <c r="E1469" s="41">
        <f t="shared" ref="E1469:AH1469" si="579">IF(E21=1,E306+E724+E1196+E1458+E1470," ")</f>
        <v>1400.4577357339031</v>
      </c>
      <c r="F1469" s="41">
        <f t="shared" si="579"/>
        <v>1462.7875606360763</v>
      </c>
      <c r="G1469" s="41">
        <f t="shared" si="579"/>
        <v>1516.7749969789679</v>
      </c>
      <c r="H1469" s="41">
        <f t="shared" si="579"/>
        <v>1618.4452852259951</v>
      </c>
      <c r="I1469" s="41">
        <f t="shared" si="579"/>
        <v>1745.4245955555357</v>
      </c>
      <c r="J1469" s="41">
        <f t="shared" si="579"/>
        <v>1817.5368702109254</v>
      </c>
      <c r="K1469" s="41">
        <f t="shared" si="579"/>
        <v>1943.2100056870672</v>
      </c>
      <c r="L1469" s="41">
        <f t="shared" si="579"/>
        <v>2022.4585894368352</v>
      </c>
      <c r="M1469" s="41">
        <f t="shared" si="579"/>
        <v>2104.7131992064706</v>
      </c>
      <c r="N1469" s="41">
        <f t="shared" si="579"/>
        <v>2190.0828728317929</v>
      </c>
      <c r="O1469" s="41">
        <f t="shared" si="579"/>
        <v>2278.680484995346</v>
      </c>
      <c r="P1469" s="41">
        <f t="shared" si="579"/>
        <v>2370.6228793031651</v>
      </c>
      <c r="Q1469" s="41">
        <f t="shared" si="579"/>
        <v>2466.0310048329575</v>
      </c>
      <c r="R1469" s="41">
        <f t="shared" si="579"/>
        <v>2565.0300573031654</v>
      </c>
      <c r="S1469" s="41">
        <f t="shared" si="579"/>
        <v>2667.7496250172371</v>
      </c>
      <c r="T1469" s="41">
        <f t="shared" si="579"/>
        <v>2774.3238397425775</v>
      </c>
      <c r="U1469" s="41">
        <f t="shared" si="579"/>
        <v>2884.8915326889228</v>
      </c>
      <c r="V1469" s="41">
        <f t="shared" si="579"/>
        <v>2999.5963957562835</v>
      </c>
      <c r="W1469" s="41">
        <f t="shared" si="579"/>
        <v>3118.5871482282619</v>
      </c>
      <c r="X1469" s="41">
        <f t="shared" si="579"/>
        <v>3242.0177090923798</v>
      </c>
      <c r="Y1469" s="41">
        <f t="shared" si="579"/>
        <v>3370.0473751749405</v>
      </c>
      <c r="Z1469" s="41">
        <f t="shared" si="579"/>
        <v>3502.8410052842719</v>
      </c>
      <c r="AA1469" s="41">
        <f t="shared" si="579"/>
        <v>3640.5692105625067</v>
      </c>
      <c r="AB1469" s="41">
        <f t="shared" si="579"/>
        <v>3783.4085512526763</v>
      </c>
      <c r="AC1469" s="41">
        <f t="shared" si="579"/>
        <v>3931.5417400947508</v>
      </c>
      <c r="AD1469" s="41">
        <f t="shared" si="579"/>
        <v>4085.1578525712212</v>
      </c>
      <c r="AE1469" s="41">
        <f t="shared" si="579"/>
        <v>4244.4525442301965</v>
      </c>
      <c r="AF1469" s="41">
        <f t="shared" si="579"/>
        <v>4409.6282753213964</v>
      </c>
      <c r="AG1469" s="41">
        <f t="shared" si="579"/>
        <v>4580.8945429882588</v>
      </c>
      <c r="AH1469" s="41">
        <f t="shared" si="579"/>
        <v>4758.4681212673459</v>
      </c>
    </row>
    <row r="1470" spans="1:34" s="20" customFormat="1" ht="14" x14ac:dyDescent="0.2">
      <c r="B1470" s="230" t="s">
        <v>521</v>
      </c>
      <c r="D1470" s="20" t="str">
        <f>'Assumptions - General'!$E$27 &amp;" millions"</f>
        <v>R$ millions</v>
      </c>
      <c r="E1470" s="493">
        <f>E1463</f>
        <v>-2499.5422642660969</v>
      </c>
      <c r="F1470" s="493">
        <f t="shared" ref="F1470:AH1470" si="580">F1463</f>
        <v>-2594.8169801350136</v>
      </c>
      <c r="G1470" s="493">
        <f t="shared" si="580"/>
        <v>-2672.6614895390644</v>
      </c>
      <c r="H1470" s="493">
        <f t="shared" si="580"/>
        <v>-2815.3638586378088</v>
      </c>
      <c r="I1470" s="493">
        <f t="shared" si="580"/>
        <v>-3028.6211746868426</v>
      </c>
      <c r="J1470" s="493">
        <f t="shared" si="580"/>
        <v>-3185.8099560767459</v>
      </c>
      <c r="K1470" s="493">
        <f t="shared" si="580"/>
        <v>-3573.7051994331637</v>
      </c>
      <c r="L1470" s="493">
        <f t="shared" si="580"/>
        <v>-3751.2860074659488</v>
      </c>
      <c r="M1470" s="493">
        <f t="shared" si="580"/>
        <v>-3936.3053293012126</v>
      </c>
      <c r="N1470" s="493">
        <f t="shared" si="580"/>
        <v>-4129.0496530398705</v>
      </c>
      <c r="O1470" s="493">
        <f t="shared" si="580"/>
        <v>-4329.815961406478</v>
      </c>
      <c r="P1470" s="493">
        <f t="shared" si="580"/>
        <v>-4538.9121035873468</v>
      </c>
      <c r="Q1470" s="493">
        <f t="shared" si="580"/>
        <v>-4756.6571799338008</v>
      </c>
      <c r="R1470" s="493">
        <f t="shared" si="580"/>
        <v>-4983.3819399678141</v>
      </c>
      <c r="S1470" s="493">
        <f t="shared" si="580"/>
        <v>-5219.4291941419269</v>
      </c>
      <c r="T1470" s="493">
        <f t="shared" si="580"/>
        <v>-5465.1542398205165</v>
      </c>
      <c r="U1470" s="493">
        <f t="shared" si="580"/>
        <v>-5720.9253019650941</v>
      </c>
      <c r="V1470" s="493">
        <f t="shared" si="580"/>
        <v>-5987.1239890225061</v>
      </c>
      <c r="W1470" s="493">
        <f t="shared" si="580"/>
        <v>-6264.1457645315968</v>
      </c>
      <c r="X1470" s="493">
        <f t="shared" si="580"/>
        <v>-6552.4004349811103</v>
      </c>
      <c r="Y1470" s="493">
        <f t="shared" si="580"/>
        <v>-6852.3126544695178</v>
      </c>
      <c r="Z1470" s="493">
        <f t="shared" si="580"/>
        <v>-7164.322446735745</v>
      </c>
      <c r="AA1470" s="493">
        <f t="shared" si="580"/>
        <v>-7488.8857451489248</v>
      </c>
      <c r="AB1470" s="493">
        <f t="shared" si="580"/>
        <v>-7826.4749512648341</v>
      </c>
      <c r="AC1470" s="493">
        <f t="shared" si="580"/>
        <v>-8177.579512577061</v>
      </c>
      <c r="AD1470" s="493">
        <f t="shared" si="580"/>
        <v>-8542.7065201118858</v>
      </c>
      <c r="AE1470" s="493">
        <f t="shared" si="580"/>
        <v>-8922.3813265374793</v>
      </c>
      <c r="AF1470" s="493">
        <f t="shared" si="580"/>
        <v>-9317.1481854805079</v>
      </c>
      <c r="AG1470" s="493">
        <f t="shared" si="580"/>
        <v>-9727.570912766234</v>
      </c>
      <c r="AH1470" s="493">
        <f t="shared" si="580"/>
        <v>-10154.233570322174</v>
      </c>
    </row>
    <row r="1471" spans="1:34" s="20" customFormat="1" ht="14" x14ac:dyDescent="0.2">
      <c r="A1471" s="8"/>
      <c r="B1471" s="30" t="s">
        <v>50</v>
      </c>
      <c r="C1471" s="8"/>
      <c r="D1471" s="8" t="s">
        <v>461</v>
      </c>
      <c r="E1471" s="41">
        <f>IF(E21=1,(E1469*365)/('Income statement'!E21+'Income statement'!E22+'Income statement'!E23+'Income statement'!E24+'Income statement'!E25+'Income statement'!E26)," ")</f>
        <v>48.682578432654722</v>
      </c>
      <c r="F1471" s="41">
        <f>IF(F21=1,(F1469*365)/('Income statement'!F21+'Income statement'!F22+'Income statement'!F23+'Income statement'!F24+'Income statement'!F25+'Income statement'!F26)," ")</f>
        <v>48.684086061852405</v>
      </c>
      <c r="G1471" s="41">
        <f>IF(G21=1,(G1469*365)/('Income statement'!G21+'Income statement'!G22+'Income statement'!G23+'Income statement'!G24+'Income statement'!G25+'Income statement'!G26)," ")</f>
        <v>48.70560743353947</v>
      </c>
      <c r="H1471" s="41">
        <f>IF(H21=1,(H1469*365)/('Income statement'!H21+'Income statement'!H22+'Income statement'!H23+'Income statement'!H24+'Income statement'!H25+'Income statement'!H26)," ")</f>
        <v>48.660122485911188</v>
      </c>
      <c r="I1471" s="41">
        <f>IF(I21=1,(I1469*365)/('Income statement'!I21+'Income statement'!I22+'Income statement'!I23+'Income statement'!I24+'Income statement'!I25+'Income statement'!I26)," ")</f>
        <v>48.652570744325729</v>
      </c>
      <c r="J1471" s="41">
        <f>IF(J21=1,(J1469*365)/('Income statement'!J21+'Income statement'!J22+'Income statement'!J23+'Income statement'!J24+'Income statement'!J25+'Income statement'!J26)," ")</f>
        <v>48.648028161632787</v>
      </c>
      <c r="K1471" s="41">
        <f>IF(K21=1,(K1469*365)/('Income statement'!K21+'Income statement'!K22+'Income statement'!K23+'Income statement'!K24+'Income statement'!K25+'Income statement'!K26)," ")</f>
        <v>48.725698978918125</v>
      </c>
      <c r="L1471" s="41">
        <f>IF(L21=1,(L1469*365)/('Income statement'!L21+'Income statement'!L22+'Income statement'!L23+'Income statement'!L24+'Income statement'!L25+'Income statement'!L26)," ")</f>
        <v>48.720596418116997</v>
      </c>
      <c r="M1471" s="41">
        <f>IF(M21=1,(M1469*365)/('Income statement'!M21+'Income statement'!M22+'Income statement'!M23+'Income statement'!M24+'Income statement'!M25+'Income statement'!M26)," ")</f>
        <v>48.715599532306683</v>
      </c>
      <c r="N1471" s="41">
        <f>IF(N21=1,(N1469*365)/('Income statement'!N21+'Income statement'!N22+'Income statement'!N23+'Income statement'!N24+'Income statement'!N25+'Income statement'!N26)," ")</f>
        <v>48.710705072309494</v>
      </c>
      <c r="O1471" s="41">
        <f>IF(O21=1,(O1469*365)/('Income statement'!O21+'Income statement'!O22+'Income statement'!O23+'Income statement'!O24+'Income statement'!O25+'Income statement'!O26)," ")</f>
        <v>48.705909920799037</v>
      </c>
      <c r="P1471" s="41">
        <f>IF(P21=1,(P1469*365)/('Income statement'!P21+'Income statement'!P22+'Income statement'!P23+'Income statement'!P24+'Income statement'!P25+'Income statement'!P26)," ")</f>
        <v>48.701211085679617</v>
      </c>
      <c r="Q1471" s="41">
        <f>IF(Q21=1,(Q1469*365)/('Income statement'!Q21+'Income statement'!Q22+'Income statement'!Q23+'Income statement'!Q24+'Income statement'!Q25+'Income statement'!Q26)," ")</f>
        <v>48.696605693859972</v>
      </c>
      <c r="R1471" s="41">
        <f>IF(R21=1,(R1469*365)/('Income statement'!R21+'Income statement'!R22+'Income statement'!R23+'Income statement'!R24+'Income statement'!R25+'Income statement'!R26)," ")</f>
        <v>48.692090985395161</v>
      </c>
      <c r="S1471" s="41">
        <f>IF(S21=1,(S1469*365)/('Income statement'!S21+'Income statement'!S22+'Income statement'!S23+'Income statement'!S24+'Income statement'!S25+'Income statement'!S26)," ")</f>
        <v>48.687664307971033</v>
      </c>
      <c r="T1471" s="41">
        <f>IF(T21=1,(T1469*365)/('Income statement'!T21+'Income statement'!T22+'Income statement'!T23+'Income statement'!T24+'Income statement'!T25+'Income statement'!T26)," ")</f>
        <v>48.683323111708177</v>
      </c>
      <c r="U1471" s="41">
        <f>IF(U21=1,(U1469*365)/('Income statement'!U21+'Income statement'!U22+'Income statement'!U23+'Income statement'!U24+'Income statement'!U25+'Income statement'!U26)," ")</f>
        <v>48.679064944264205</v>
      </c>
      <c r="V1471" s="41">
        <f>IF(V21=1,(V1469*365)/('Income statement'!V21+'Income statement'!V22+'Income statement'!V23+'Income statement'!V24+'Income statement'!V25+'Income statement'!V26)," ")</f>
        <v>48.67488744621415</v>
      </c>
      <c r="W1471" s="41">
        <f>IF(W21=1,(W1469*365)/('Income statement'!W21+'Income statement'!W22+'Income statement'!W23+'Income statement'!W24+'Income statement'!W25+'Income statement'!W26)," ")</f>
        <v>48.670788346690934</v>
      </c>
      <c r="X1471" s="41">
        <f>IF(X21=1,(X1469*365)/('Income statement'!X21+'Income statement'!X22+'Income statement'!X23+'Income statement'!X24+'Income statement'!X25+'Income statement'!X26)," ")</f>
        <v>48.666765459269349</v>
      </c>
      <c r="Y1471" s="41">
        <f>IF(Y21=1,(Y1469*365)/('Income statement'!Y21+'Income statement'!Y22+'Income statement'!Y23+'Income statement'!Y24+'Income statement'!Y25+'Income statement'!Y26)," ")</f>
        <v>48.662816678077078</v>
      </c>
      <c r="Z1471" s="41">
        <f>IF(Z21=1,(Z1469*365)/('Income statement'!Z21+'Income statement'!Z22+'Income statement'!Z23+'Income statement'!Z24+'Income statement'!Z25+'Income statement'!Z26)," ")</f>
        <v>48.65893997411893</v>
      </c>
      <c r="AA1471" s="41">
        <f>IF(AA21=1,(AA1469*365)/('Income statement'!AA21+'Income statement'!AA22+'Income statement'!AA23+'Income statement'!AA24+'Income statement'!AA25+'Income statement'!AA26)," ")</f>
        <v>48.655133391800462</v>
      </c>
      <c r="AB1471" s="41">
        <f>IF(AB21=1,(AB1469*365)/('Income statement'!AB21+'Income statement'!AB22+'Income statement'!AB23+'Income statement'!AB24+'Income statement'!AB25+'Income statement'!AB26)," ")</f>
        <v>48.65139504563848</v>
      </c>
      <c r="AC1471" s="41">
        <f>IF(AC21=1,(AC1469*365)/('Income statement'!AC21+'Income statement'!AC22+'Income statement'!AC23+'Income statement'!AC24+'Income statement'!AC25+'Income statement'!AC26)," ")</f>
        <v>48.647723117147116</v>
      </c>
      <c r="AD1471" s="41">
        <f>IF(AD21=1,(AD1469*365)/('Income statement'!AD21+'Income statement'!AD22+'Income statement'!AD23+'Income statement'!AD24+'Income statement'!AD25+'Income statement'!AD26)," ")</f>
        <v>48.64411585188806</v>
      </c>
      <c r="AE1471" s="41">
        <f>IF(AE21=1,(AE1469*365)/('Income statement'!AE21+'Income statement'!AE22+'Income statement'!AE23+'Income statement'!AE24+'Income statement'!AE25+'Income statement'!AE26)," ")</f>
        <v>48.640571556675631</v>
      </c>
      <c r="AF1471" s="41">
        <f>IF(AF21=1,(AF1469*365)/('Income statement'!AF21+'Income statement'!AF22+'Income statement'!AF23+'Income statement'!AF24+'Income statement'!AF25+'Income statement'!AF26)," ")</f>
        <v>48.63708859692656</v>
      </c>
      <c r="AG1471" s="41">
        <f>IF(AG21=1,(AG1469*365)/('Income statement'!AG21+'Income statement'!AG22+'Income statement'!AG23+'Income statement'!AG24+'Income statement'!AG25+'Income statement'!AG26)," ")</f>
        <v>48.633665394146526</v>
      </c>
      <c r="AH1471" s="41">
        <f>IF(AH21=1,(AH1469*365)/('Income statement'!AH21+'Income statement'!AH22+'Income statement'!AH23+'Income statement'!AH24+'Income statement'!AH25+'Income statement'!AH26)," ")</f>
        <v>48.630300423544909</v>
      </c>
    </row>
    <row r="1472" spans="1:34" s="20" customFormat="1" ht="14" x14ac:dyDescent="0.2">
      <c r="A1472" s="8"/>
      <c r="B1472" s="8" t="s">
        <v>290</v>
      </c>
      <c r="C1472" s="8"/>
      <c r="D1472" s="8" t="str">
        <f>'Assumptions - General'!$E$27 &amp;" millions"</f>
        <v>R$ millions</v>
      </c>
      <c r="E1472" s="41">
        <f t="shared" ref="E1472:AH1472" si="581">IF(E21=1,E307+E725+E1197+E1459," ")</f>
        <v>300</v>
      </c>
      <c r="F1472" s="41">
        <f t="shared" si="581"/>
        <v>309</v>
      </c>
      <c r="G1472" s="41">
        <f t="shared" si="581"/>
        <v>318.27000000000004</v>
      </c>
      <c r="H1472" s="41">
        <f t="shared" si="581"/>
        <v>327.81810000000002</v>
      </c>
      <c r="I1472" s="41">
        <f t="shared" si="581"/>
        <v>337.65264300000001</v>
      </c>
      <c r="J1472" s="41">
        <f t="shared" si="581"/>
        <v>347.78222229000005</v>
      </c>
      <c r="K1472" s="41">
        <f t="shared" si="581"/>
        <v>358.21568895870001</v>
      </c>
      <c r="L1472" s="41">
        <f t="shared" si="581"/>
        <v>368.96215962746106</v>
      </c>
      <c r="M1472" s="41">
        <f t="shared" si="581"/>
        <v>380.03102441628488</v>
      </c>
      <c r="N1472" s="41">
        <f t="shared" si="581"/>
        <v>391.43195514877345</v>
      </c>
      <c r="O1472" s="41">
        <f t="shared" si="581"/>
        <v>403.17491380323668</v>
      </c>
      <c r="P1472" s="41">
        <f t="shared" si="581"/>
        <v>415.27016121733379</v>
      </c>
      <c r="Q1472" s="41">
        <f t="shared" si="581"/>
        <v>427.72826605385376</v>
      </c>
      <c r="R1472" s="41">
        <f t="shared" si="581"/>
        <v>440.56011403546944</v>
      </c>
      <c r="S1472" s="41">
        <f t="shared" si="581"/>
        <v>453.77691745653345</v>
      </c>
      <c r="T1472" s="41">
        <f t="shared" si="581"/>
        <v>467.39022498022945</v>
      </c>
      <c r="U1472" s="41">
        <f t="shared" si="581"/>
        <v>481.41193172963631</v>
      </c>
      <c r="V1472" s="41">
        <f t="shared" si="581"/>
        <v>495.85428968152536</v>
      </c>
      <c r="W1472" s="41">
        <f t="shared" si="581"/>
        <v>510.72991837197117</v>
      </c>
      <c r="X1472" s="41">
        <f t="shared" si="581"/>
        <v>526.05181592313033</v>
      </c>
      <c r="Y1472" s="41">
        <f t="shared" si="581"/>
        <v>541.83337040082438</v>
      </c>
      <c r="Z1472" s="41">
        <f t="shared" si="581"/>
        <v>558.08837151284911</v>
      </c>
      <c r="AA1472" s="41">
        <f t="shared" si="581"/>
        <v>574.83102265823459</v>
      </c>
      <c r="AB1472" s="41">
        <f t="shared" si="581"/>
        <v>592.07595333798167</v>
      </c>
      <c r="AC1472" s="41">
        <f t="shared" si="581"/>
        <v>609.83823193812111</v>
      </c>
      <c r="AD1472" s="41">
        <f t="shared" si="581"/>
        <v>628.13337889626473</v>
      </c>
      <c r="AE1472" s="41">
        <f t="shared" si="581"/>
        <v>646.97738026315244</v>
      </c>
      <c r="AF1472" s="41">
        <f t="shared" si="581"/>
        <v>666.38670167104715</v>
      </c>
      <c r="AG1472" s="41">
        <f t="shared" si="581"/>
        <v>686.37830272117867</v>
      </c>
      <c r="AH1472" s="41">
        <f t="shared" si="581"/>
        <v>706.96965180281404</v>
      </c>
    </row>
    <row r="1473" spans="1:34" s="20" customFormat="1" ht="14" x14ac:dyDescent="0.2">
      <c r="A1473" s="8"/>
      <c r="B1473" s="30" t="s">
        <v>275</v>
      </c>
      <c r="C1473" s="8"/>
      <c r="D1473" s="8" t="s">
        <v>461</v>
      </c>
      <c r="E1473" s="41">
        <f>IF(E21=1,(E1472*365)/-'Income statement'!E30," ")</f>
        <v>150</v>
      </c>
      <c r="F1473" s="41">
        <f>IF(F21=1,(F1472*365)/-'Income statement'!F30," ")</f>
        <v>149.40389455557028</v>
      </c>
      <c r="G1473" s="41">
        <f>IF(G21=1,(G1472*365)/-'Income statement'!G30," ")</f>
        <v>148.82966688745199</v>
      </c>
      <c r="H1473" s="41">
        <f>IF(H21=1,(H1472*365)/-'Income statement'!H30," ")</f>
        <v>148.27637166349339</v>
      </c>
      <c r="I1473" s="41">
        <f>IF(I21=1,(I1472*365)/-'Income statement'!I30," ")</f>
        <v>147.74311359626745</v>
      </c>
      <c r="J1473" s="41">
        <f>IF(J21=1,(J1472*365)/-'Income statement'!J30," ")</f>
        <v>147.22904419776864</v>
      </c>
      <c r="K1473" s="41">
        <f>IF(K21=1,(K1472*365)/-'Income statement'!K30," ")</f>
        <v>146.73335878463169</v>
      </c>
      <c r="L1473" s="41">
        <f>IF(L21=1,(L1472*365)/-'Income statement'!L30," ")</f>
        <v>146.25529371155335</v>
      </c>
      <c r="M1473" s="41">
        <f>IF(M21=1,(M1472*365)/-'Income statement'!M30," ")</f>
        <v>145.79412381283908</v>
      </c>
      <c r="N1473" s="41">
        <f>IF(N21=1,(N1472*365)/-'Income statement'!N30," ")</f>
        <v>145.34916003399331</v>
      </c>
      <c r="O1473" s="41">
        <f>IF(O21=1,(O1472*365)/-'Income statement'!O30," ")</f>
        <v>144.9197472370428</v>
      </c>
      <c r="P1473" s="41">
        <f>IF(P21=1,(P1472*365)/-'Income statement'!P30," ")</f>
        <v>144.50526216486517</v>
      </c>
      <c r="Q1473" s="41">
        <f>IF(Q21=1,(Q1472*365)/-'Income statement'!Q30," ")</f>
        <v>144.10511155120204</v>
      </c>
      <c r="R1473" s="41">
        <f>IF(R21=1,(R1472*365)/-'Income statement'!R30," ")</f>
        <v>143.71873036429977</v>
      </c>
      <c r="S1473" s="41">
        <f>IF(S21=1,(S1472*365)/-'Income statement'!S30," ")</f>
        <v>143.34558017324488</v>
      </c>
      <c r="T1473" s="41">
        <f>IF(T21=1,(T1472*365)/-'Income statement'!T30," ")</f>
        <v>142.98514762707484</v>
      </c>
      <c r="U1473" s="41">
        <f>IF(U21=1,(U1472*365)/-'Income statement'!U30," ")</f>
        <v>142.63694303764882</v>
      </c>
      <c r="V1473" s="41">
        <f>IF(V21=1,(V1472*365)/-'Income statement'!V30," ")</f>
        <v>142.30049905807905</v>
      </c>
      <c r="W1473" s="41">
        <f>IF(W21=1,(W1472*365)/-'Income statement'!W30," ")</f>
        <v>141.97536944925568</v>
      </c>
      <c r="X1473" s="41">
        <f>IF(X21=1,(X1472*365)/-'Income statement'!X30," ")</f>
        <v>141.66112792765779</v>
      </c>
      <c r="Y1473" s="41">
        <f>IF(Y21=1,(Y1472*365)/-'Income statement'!Y30," ")</f>
        <v>141.35736708823794</v>
      </c>
      <c r="Z1473" s="41">
        <f>IF(Z21=1,(Z1472*365)/-'Income statement'!Z30," ")</f>
        <v>141.06369739670532</v>
      </c>
      <c r="AA1473" s="41">
        <f>IF(AA21=1,(AA1472*365)/-'Income statement'!AA30," ")</f>
        <v>140.77974624601808</v>
      </c>
      <c r="AB1473" s="41">
        <f>IF(AB21=1,(AB1472*365)/-'Income statement'!AB30," ")</f>
        <v>140.5051570723337</v>
      </c>
      <c r="AC1473" s="41">
        <f>IF(AC21=1,(AC1472*365)/-'Income statement'!AC30," ")</f>
        <v>140.23958852606538</v>
      </c>
      <c r="AD1473" s="41">
        <f>IF(AD21=1,(AD1472*365)/-'Income statement'!AD30," ")</f>
        <v>139.98271369405305</v>
      </c>
      <c r="AE1473" s="41">
        <f>IF(AE21=1,(AE1472*365)/-'Income statement'!AE30," ")</f>
        <v>139.73421936918385</v>
      </c>
      <c r="AF1473" s="41">
        <f>IF(AF21=1,(AF1472*365)/-'Income statement'!AF30," ")</f>
        <v>139.49380536409691</v>
      </c>
      <c r="AG1473" s="41">
        <f>IF(AG21=1,(AG1472*365)/-'Income statement'!AG30," ")</f>
        <v>139.26118386587547</v>
      </c>
      <c r="AH1473" s="41">
        <f>IF(AH21=1,(AH1472*365)/-'Income statement'!AH30," ")</f>
        <v>139.03607882887741</v>
      </c>
    </row>
    <row r="1474" spans="1:34" s="20" customFormat="1" ht="14" x14ac:dyDescent="0.2">
      <c r="A1474" s="8"/>
      <c r="B1474" s="30"/>
      <c r="C1474" s="8"/>
      <c r="D1474" s="8"/>
      <c r="E1474" s="41"/>
      <c r="F1474" s="41"/>
      <c r="G1474" s="41"/>
      <c r="H1474" s="41"/>
      <c r="I1474" s="41"/>
      <c r="J1474" s="41"/>
      <c r="K1474" s="41"/>
      <c r="L1474" s="41"/>
      <c r="M1474" s="41"/>
      <c r="N1474" s="41"/>
      <c r="O1474" s="41"/>
      <c r="P1474" s="41"/>
      <c r="Q1474" s="41"/>
      <c r="R1474" s="41"/>
      <c r="S1474" s="41"/>
      <c r="T1474" s="41"/>
      <c r="U1474" s="41"/>
      <c r="V1474" s="41"/>
      <c r="W1474" s="41"/>
      <c r="X1474" s="41"/>
      <c r="Y1474" s="41"/>
      <c r="Z1474" s="41"/>
      <c r="AA1474" s="41"/>
      <c r="AB1474" s="41"/>
      <c r="AC1474" s="41"/>
      <c r="AD1474" s="41"/>
      <c r="AE1474" s="41"/>
      <c r="AF1474" s="41"/>
      <c r="AG1474" s="41"/>
      <c r="AH1474" s="41"/>
    </row>
    <row r="1475" spans="1:34" x14ac:dyDescent="0.2">
      <c r="A1475" s="2"/>
      <c r="B1475" s="4" t="str">
        <f>"Cash balance for " &amp;'Assumptions - General'!E23</f>
        <v xml:space="preserve">Cash balance for Ruritania Railways </v>
      </c>
      <c r="C1475" s="2"/>
      <c r="D1475" s="2"/>
      <c r="E1475" s="2"/>
      <c r="F1475" s="2"/>
      <c r="G1475" s="2"/>
      <c r="H1475" s="2"/>
      <c r="I1475" s="2"/>
      <c r="J1475" s="2"/>
      <c r="K1475" s="2"/>
      <c r="L1475" s="2"/>
      <c r="M1475" s="2"/>
      <c r="N1475" s="2"/>
      <c r="O1475" s="2"/>
      <c r="P1475" s="2"/>
      <c r="Q1475" s="2"/>
      <c r="R1475" s="2"/>
      <c r="S1475" s="2"/>
      <c r="T1475" s="2"/>
      <c r="U1475" s="2"/>
      <c r="V1475" s="2"/>
      <c r="W1475" s="2"/>
      <c r="X1475" s="2"/>
      <c r="Y1475" s="2"/>
      <c r="Z1475" s="2"/>
      <c r="AA1475" s="2"/>
      <c r="AB1475" s="2"/>
      <c r="AC1475" s="2"/>
      <c r="AD1475" s="2"/>
      <c r="AE1475" s="2"/>
      <c r="AF1475" s="2"/>
      <c r="AG1475" s="2"/>
      <c r="AH1475" s="2"/>
    </row>
    <row r="1476" spans="1:34" s="20" customFormat="1" ht="14" x14ac:dyDescent="0.2">
      <c r="A1476" s="8"/>
      <c r="B1476" s="7"/>
      <c r="C1476" s="8"/>
      <c r="D1476" s="8"/>
      <c r="E1476" s="9"/>
      <c r="F1476" s="9"/>
      <c r="G1476" s="9"/>
      <c r="H1476" s="9"/>
      <c r="I1476" s="9"/>
      <c r="J1476" s="9"/>
      <c r="K1476" s="9"/>
      <c r="L1476" s="9"/>
      <c r="M1476" s="9"/>
      <c r="N1476" s="9"/>
      <c r="O1476" s="9"/>
      <c r="P1476" s="9"/>
      <c r="Q1476" s="9"/>
      <c r="R1476" s="9"/>
      <c r="S1476" s="9"/>
      <c r="T1476" s="9"/>
      <c r="U1476" s="9"/>
      <c r="V1476" s="9"/>
      <c r="W1476" s="9"/>
      <c r="X1476" s="9"/>
      <c r="Y1476" s="9"/>
      <c r="Z1476" s="9"/>
      <c r="AA1476" s="9"/>
      <c r="AB1476" s="9"/>
      <c r="AC1476" s="9"/>
      <c r="AD1476" s="9"/>
      <c r="AE1476" s="9"/>
      <c r="AF1476" s="9"/>
      <c r="AG1476" s="9"/>
      <c r="AH1476" s="9"/>
    </row>
    <row r="1477" spans="1:34" s="20" customFormat="1" ht="14" x14ac:dyDescent="0.2">
      <c r="A1477" s="8"/>
      <c r="B1477" s="21" t="s">
        <v>687</v>
      </c>
      <c r="C1477" s="8"/>
      <c r="D1477" s="8" t="str">
        <f>'Assumptions - General'!$E$27 &amp;" millions"</f>
        <v>R$ millions</v>
      </c>
      <c r="E1477" s="41">
        <f>IF(AND((E16+E17+E19+E21)&lt;3,E21=1),'Assumptions - Consolidated'!E106,0)</f>
        <v>0</v>
      </c>
      <c r="F1477" s="9"/>
      <c r="G1477" s="9"/>
      <c r="H1477" s="9"/>
      <c r="I1477" s="9"/>
      <c r="J1477" s="9"/>
      <c r="K1477" s="9"/>
      <c r="L1477" s="9"/>
      <c r="M1477" s="9"/>
      <c r="N1477" s="9"/>
      <c r="O1477" s="9"/>
      <c r="P1477" s="9"/>
      <c r="Q1477" s="9"/>
      <c r="R1477" s="9"/>
      <c r="S1477" s="9"/>
      <c r="T1477" s="9"/>
      <c r="U1477" s="9"/>
      <c r="V1477" s="9"/>
      <c r="W1477" s="9"/>
      <c r="X1477" s="9"/>
      <c r="Y1477" s="9"/>
      <c r="Z1477" s="9"/>
      <c r="AA1477" s="9"/>
      <c r="AB1477" s="9"/>
      <c r="AC1477" s="9"/>
      <c r="AD1477" s="9"/>
      <c r="AE1477" s="9"/>
      <c r="AF1477" s="9"/>
      <c r="AG1477" s="9"/>
      <c r="AH1477" s="9"/>
    </row>
    <row r="1478" spans="1:34" s="20" customFormat="1" ht="14" x14ac:dyDescent="0.2">
      <c r="A1478" s="8"/>
      <c r="B1478" s="7"/>
      <c r="C1478" s="8"/>
      <c r="D1478" s="8"/>
      <c r="E1478" s="9"/>
      <c r="F1478" s="9"/>
      <c r="G1478" s="9"/>
      <c r="H1478" s="9"/>
      <c r="I1478" s="9"/>
      <c r="J1478" s="9"/>
      <c r="K1478" s="9"/>
      <c r="L1478" s="9"/>
      <c r="M1478" s="9"/>
      <c r="N1478" s="9"/>
      <c r="O1478" s="9"/>
      <c r="P1478" s="9"/>
      <c r="Q1478" s="9"/>
      <c r="R1478" s="9"/>
      <c r="S1478" s="9"/>
      <c r="T1478" s="9"/>
      <c r="U1478" s="9"/>
      <c r="V1478" s="9"/>
      <c r="W1478" s="9"/>
      <c r="X1478" s="9"/>
      <c r="Y1478" s="9"/>
      <c r="Z1478" s="9"/>
      <c r="AA1478" s="9"/>
      <c r="AB1478" s="9"/>
      <c r="AC1478" s="9"/>
      <c r="AD1478" s="9"/>
      <c r="AE1478" s="9"/>
      <c r="AF1478" s="9"/>
      <c r="AG1478" s="9"/>
      <c r="AH1478" s="9"/>
    </row>
    <row r="1479" spans="1:34" s="20" customFormat="1" ht="14" x14ac:dyDescent="0.2">
      <c r="A1479" s="8"/>
      <c r="B1479" s="21" t="s">
        <v>668</v>
      </c>
      <c r="C1479" s="8"/>
      <c r="D1479" s="8"/>
      <c r="E1479" s="9"/>
      <c r="F1479" s="9"/>
      <c r="G1479" s="9"/>
      <c r="H1479" s="9"/>
      <c r="I1479" s="9"/>
      <c r="J1479" s="9"/>
      <c r="K1479" s="9"/>
      <c r="L1479" s="9"/>
      <c r="M1479" s="9"/>
      <c r="N1479" s="9"/>
      <c r="O1479" s="9"/>
      <c r="P1479" s="9"/>
      <c r="Q1479" s="9"/>
      <c r="R1479" s="9"/>
      <c r="S1479" s="9"/>
      <c r="T1479" s="9"/>
      <c r="U1479" s="9"/>
      <c r="V1479" s="9"/>
      <c r="W1479" s="9"/>
      <c r="X1479" s="9"/>
      <c r="Y1479" s="9"/>
      <c r="Z1479" s="9"/>
      <c r="AA1479" s="9"/>
      <c r="AB1479" s="9"/>
      <c r="AC1479" s="9"/>
      <c r="AD1479" s="9"/>
      <c r="AE1479" s="9"/>
      <c r="AF1479" s="9"/>
      <c r="AG1479" s="9"/>
      <c r="AH1479" s="9"/>
    </row>
    <row r="1480" spans="1:34" s="20" customFormat="1" ht="14" x14ac:dyDescent="0.2">
      <c r="A1480" s="8"/>
      <c r="B1480" s="8" t="s">
        <v>146</v>
      </c>
      <c r="C1480" s="8"/>
      <c r="D1480" s="8" t="str">
        <f>'Assumptions - General'!$E$27 &amp;" millions"</f>
        <v>R$ millions</v>
      </c>
      <c r="E1480" s="474"/>
      <c r="F1480" s="41">
        <f t="shared" ref="F1480:AH1480" si="582">IF(F21=1,E1482," ")</f>
        <v>300</v>
      </c>
      <c r="G1480" s="41">
        <f t="shared" si="582"/>
        <v>15379.085777752065</v>
      </c>
      <c r="H1480" s="41">
        <f t="shared" si="582"/>
        <v>31031.225488348296</v>
      </c>
      <c r="I1480" s="41">
        <f t="shared" si="582"/>
        <v>47504.522072844818</v>
      </c>
      <c r="J1480" s="41">
        <f t="shared" si="582"/>
        <v>65307.95340041996</v>
      </c>
      <c r="K1480" s="41">
        <f t="shared" si="582"/>
        <v>84425.694227390777</v>
      </c>
      <c r="L1480" s="41">
        <f t="shared" si="582"/>
        <v>105796.33501384177</v>
      </c>
      <c r="M1480" s="41">
        <f t="shared" si="582"/>
        <v>128673.90574739751</v>
      </c>
      <c r="N1480" s="41">
        <f t="shared" si="582"/>
        <v>152924.27316086486</v>
      </c>
      <c r="O1480" s="41">
        <f t="shared" si="582"/>
        <v>178600.23950080865</v>
      </c>
      <c r="P1480" s="41">
        <f t="shared" si="582"/>
        <v>205569.20304697164</v>
      </c>
      <c r="Q1480" s="41">
        <f t="shared" si="582"/>
        <v>234047.93213994231</v>
      </c>
      <c r="R1480" s="41">
        <f t="shared" si="582"/>
        <v>264090.94124113204</v>
      </c>
      <c r="S1480" s="41">
        <f t="shared" si="582"/>
        <v>295761.83156434481</v>
      </c>
      <c r="T1480" s="41">
        <f t="shared" si="582"/>
        <v>329128.33648111107</v>
      </c>
      <c r="U1480" s="41">
        <f t="shared" si="582"/>
        <v>364257.44597444194</v>
      </c>
      <c r="V1480" s="41">
        <f t="shared" si="582"/>
        <v>401013.29421490786</v>
      </c>
      <c r="W1480" s="41">
        <f t="shared" si="582"/>
        <v>439897.7142348811</v>
      </c>
      <c r="X1480" s="41">
        <f t="shared" si="582"/>
        <v>480765.35109784035</v>
      </c>
      <c r="Y1480" s="41">
        <f t="shared" si="582"/>
        <v>523695.65465848614</v>
      </c>
      <c r="Z1480" s="41">
        <f t="shared" si="582"/>
        <v>568766.91478545743</v>
      </c>
      <c r="AA1480" s="41">
        <f t="shared" si="582"/>
        <v>616062.71483090555</v>
      </c>
      <c r="AB1480" s="41">
        <f t="shared" si="582"/>
        <v>665671.72428183153</v>
      </c>
      <c r="AC1480" s="41">
        <f t="shared" si="582"/>
        <v>717682.60788153624</v>
      </c>
      <c r="AD1480" s="41">
        <f t="shared" si="582"/>
        <v>772186.36791512999</v>
      </c>
      <c r="AE1480" s="41">
        <f t="shared" si="582"/>
        <v>829277.6742687365</v>
      </c>
      <c r="AF1480" s="41">
        <f t="shared" si="582"/>
        <v>889029.04476995312</v>
      </c>
      <c r="AG1480" s="41">
        <f t="shared" si="582"/>
        <v>951590.13092785887</v>
      </c>
      <c r="AH1480" s="41">
        <f t="shared" si="582"/>
        <v>1017038.5349699383</v>
      </c>
    </row>
    <row r="1481" spans="1:34" s="20" customFormat="1" ht="14" x14ac:dyDescent="0.2">
      <c r="A1481" s="8"/>
      <c r="B1481" s="8" t="s">
        <v>148</v>
      </c>
      <c r="C1481" s="8"/>
      <c r="D1481" s="8" t="str">
        <f>'Assumptions - General'!$E$27 &amp;" millions"</f>
        <v>R$ millions</v>
      </c>
      <c r="E1481" s="474"/>
      <c r="F1481" s="41">
        <f>IF(F21=1,'Cash flow statement'!F45," ")</f>
        <v>15079.085777752065</v>
      </c>
      <c r="G1481" s="41">
        <f>IF(G21=1,'Cash flow statement'!G45," ")</f>
        <v>15652.139710596231</v>
      </c>
      <c r="H1481" s="41">
        <f>IF(H21=1,'Cash flow statement'!H45," ")</f>
        <v>16473.296584496522</v>
      </c>
      <c r="I1481" s="41">
        <f>IF(I21=1,'Cash flow statement'!I45," ")</f>
        <v>17803.431327575141</v>
      </c>
      <c r="J1481" s="41">
        <f>IF(J21=1,'Cash flow statement'!J45," ")</f>
        <v>19117.740826970825</v>
      </c>
      <c r="K1481" s="41">
        <f>IF(K21=1,'Cash flow statement'!K45," ")</f>
        <v>21370.640786451004</v>
      </c>
      <c r="L1481" s="41">
        <f>IF(L21=1,'Cash flow statement'!L45," ")</f>
        <v>22877.570733555738</v>
      </c>
      <c r="M1481" s="41">
        <f>IF(M21=1,'Cash flow statement'!M45," ")</f>
        <v>24250.367413467357</v>
      </c>
      <c r="N1481" s="41">
        <f>IF(N21=1,'Cash flow statement'!N45," ")</f>
        <v>25675.96633994377</v>
      </c>
      <c r="O1481" s="41">
        <f>IF(O21=1,'Cash flow statement'!O45," ")</f>
        <v>26968.963546162988</v>
      </c>
      <c r="P1481" s="41">
        <f>IF(P21=1,'Cash flow statement'!P45," ")</f>
        <v>28478.729092970665</v>
      </c>
      <c r="Q1481" s="41">
        <f>IF(Q21=1,'Cash flow statement'!Q45," ")</f>
        <v>30043.009101189746</v>
      </c>
      <c r="R1481" s="41">
        <f>IF(R21=1,'Cash flow statement'!R45," ")</f>
        <v>31670.890323212749</v>
      </c>
      <c r="S1481" s="41">
        <f>IF(S21=1,'Cash flow statement'!S45," ")</f>
        <v>33366.504916766236</v>
      </c>
      <c r="T1481" s="41">
        <f>IF(T21=1,'Cash flow statement'!T45," ")</f>
        <v>35129.109493330907</v>
      </c>
      <c r="U1481" s="41">
        <f>IF(U21=1,'Cash flow statement'!U45," ")</f>
        <v>36755.848240465915</v>
      </c>
      <c r="V1481" s="41">
        <f>IF(V21=1,'Cash flow statement'!V45," ")</f>
        <v>38884.420019973215</v>
      </c>
      <c r="W1481" s="41">
        <f>IF(W21=1,'Cash flow statement'!W45," ")</f>
        <v>40867.636862959247</v>
      </c>
      <c r="X1481" s="41">
        <f>IF(X21=1,'Cash flow statement'!X45," ")</f>
        <v>42930.303560645814</v>
      </c>
      <c r="Y1481" s="41">
        <f>IF(Y21=1,'Cash flow statement'!Y45," ")</f>
        <v>45071.26012697132</v>
      </c>
      <c r="Z1481" s="41">
        <f>IF(Z21=1,'Cash flow statement'!Z45," ")</f>
        <v>47295.800045448093</v>
      </c>
      <c r="AA1481" s="41">
        <f>IF(AA21=1,'Cash flow statement'!AA45," ")</f>
        <v>49609.009450926023</v>
      </c>
      <c r="AB1481" s="41">
        <f>IF(AB21=1,'Cash flow statement'!AB45," ")</f>
        <v>52010.883599704699</v>
      </c>
      <c r="AC1481" s="41">
        <f>IF(AC21=1,'Cash flow statement'!AC45," ")</f>
        <v>54503.760033593717</v>
      </c>
      <c r="AD1481" s="41">
        <f>IF(AD21=1,'Cash flow statement'!AD45," ")</f>
        <v>57091.306353606458</v>
      </c>
      <c r="AE1481" s="41">
        <f>IF(AE21=1,'Cash flow statement'!AE45," ")</f>
        <v>59751.370501216647</v>
      </c>
      <c r="AF1481" s="41">
        <f>IF(AF21=1,'Cash flow statement'!AF45," ")</f>
        <v>62561.086157905782</v>
      </c>
      <c r="AG1481" s="41">
        <f>IF(AG21=1,'Cash flow statement'!AG45," ")</f>
        <v>65448.404042079434</v>
      </c>
      <c r="AH1481" s="41">
        <f>IF(AH21=1,'Cash flow statement'!AH45," ")</f>
        <v>68434.976138529222</v>
      </c>
    </row>
    <row r="1482" spans="1:34" s="20" customFormat="1" ht="14" x14ac:dyDescent="0.2">
      <c r="A1482" s="8"/>
      <c r="B1482" s="8" t="s">
        <v>147</v>
      </c>
      <c r="C1482" s="8"/>
      <c r="D1482" s="8" t="str">
        <f>'Assumptions - General'!$E$27 &amp;" millions"</f>
        <v>R$ millions</v>
      </c>
      <c r="E1482" s="474">
        <f>IF(E21=1,E319+E737+E1209+E1477,0)</f>
        <v>300</v>
      </c>
      <c r="F1482" s="41">
        <f t="shared" ref="F1482:AH1482" si="583">IF(F21=1,F1480+F1481," ")</f>
        <v>15379.085777752065</v>
      </c>
      <c r="G1482" s="41">
        <f t="shared" si="583"/>
        <v>31031.225488348296</v>
      </c>
      <c r="H1482" s="41">
        <f t="shared" si="583"/>
        <v>47504.522072844818</v>
      </c>
      <c r="I1482" s="41">
        <f t="shared" si="583"/>
        <v>65307.95340041996</v>
      </c>
      <c r="J1482" s="41">
        <f t="shared" si="583"/>
        <v>84425.694227390777</v>
      </c>
      <c r="K1482" s="41">
        <f t="shared" si="583"/>
        <v>105796.33501384177</v>
      </c>
      <c r="L1482" s="41">
        <f t="shared" si="583"/>
        <v>128673.90574739751</v>
      </c>
      <c r="M1482" s="41">
        <f t="shared" si="583"/>
        <v>152924.27316086486</v>
      </c>
      <c r="N1482" s="41">
        <f t="shared" si="583"/>
        <v>178600.23950080865</v>
      </c>
      <c r="O1482" s="41">
        <f t="shared" si="583"/>
        <v>205569.20304697164</v>
      </c>
      <c r="P1482" s="41">
        <f t="shared" si="583"/>
        <v>234047.93213994231</v>
      </c>
      <c r="Q1482" s="41">
        <f t="shared" si="583"/>
        <v>264090.94124113204</v>
      </c>
      <c r="R1482" s="41">
        <f t="shared" si="583"/>
        <v>295761.83156434481</v>
      </c>
      <c r="S1482" s="41">
        <f t="shared" si="583"/>
        <v>329128.33648111107</v>
      </c>
      <c r="T1482" s="41">
        <f t="shared" si="583"/>
        <v>364257.44597444194</v>
      </c>
      <c r="U1482" s="41">
        <f t="shared" si="583"/>
        <v>401013.29421490786</v>
      </c>
      <c r="V1482" s="41">
        <f t="shared" si="583"/>
        <v>439897.7142348811</v>
      </c>
      <c r="W1482" s="41">
        <f t="shared" si="583"/>
        <v>480765.35109784035</v>
      </c>
      <c r="X1482" s="41">
        <f t="shared" si="583"/>
        <v>523695.65465848614</v>
      </c>
      <c r="Y1482" s="41">
        <f t="shared" si="583"/>
        <v>568766.91478545743</v>
      </c>
      <c r="Z1482" s="41">
        <f t="shared" si="583"/>
        <v>616062.71483090555</v>
      </c>
      <c r="AA1482" s="41">
        <f t="shared" si="583"/>
        <v>665671.72428183153</v>
      </c>
      <c r="AB1482" s="41">
        <f t="shared" si="583"/>
        <v>717682.60788153624</v>
      </c>
      <c r="AC1482" s="41">
        <f t="shared" si="583"/>
        <v>772186.36791512999</v>
      </c>
      <c r="AD1482" s="41">
        <f t="shared" si="583"/>
        <v>829277.6742687365</v>
      </c>
      <c r="AE1482" s="41">
        <f t="shared" si="583"/>
        <v>889029.04476995312</v>
      </c>
      <c r="AF1482" s="41">
        <f t="shared" si="583"/>
        <v>951590.13092785887</v>
      </c>
      <c r="AG1482" s="41">
        <f t="shared" si="583"/>
        <v>1017038.5349699383</v>
      </c>
      <c r="AH1482" s="41">
        <f t="shared" si="583"/>
        <v>1085473.5111084676</v>
      </c>
    </row>
    <row r="1483" spans="1:34" s="20" customFormat="1" ht="14" x14ac:dyDescent="0.2">
      <c r="A1483" s="8"/>
      <c r="B1483" s="8" t="s">
        <v>419</v>
      </c>
      <c r="C1483" s="8"/>
      <c r="D1483" s="8" t="s">
        <v>15</v>
      </c>
      <c r="E1483" s="243" t="str">
        <f>IF(AND((E16+E17+E19+E21)&lt;3,E21=1,E1480&lt;&gt;0),'Assumptions - Consolidated'!$E$109+'Assumptions - General'!E38,IF(E16=1,E320,IF(E19=1,E1210,0)))</f>
        <v xml:space="preserve"> </v>
      </c>
      <c r="F1483" s="243">
        <f>IF(AND((F16+F17+F19+F21)&lt;3,F21=1,F1480&lt;&gt;0),'Assumptions - Consolidated'!$E$109+'Assumptions - General'!F38,IF(F16=1,F320,IF(F19=1,F1210,0)))</f>
        <v>2.6299999999999997E-2</v>
      </c>
      <c r="G1483" s="243">
        <f>IF(AND((G16+G17+G19+G21)&lt;3,G21=1,G1480&lt;&gt;0),'Assumptions - Consolidated'!$E$109+'Assumptions - General'!G38,IF(G16=1,G320,IF(G19=1,G1210,0)))</f>
        <v>3.9699999999999999E-2</v>
      </c>
      <c r="H1483" s="243">
        <f>IF(AND((H16+H17+H19+H21)&lt;3,H21=1,H1480&lt;&gt;0),'Assumptions - Consolidated'!$E$109+'Assumptions - General'!H38,IF(H16=1,H320,IF(H19=1,H1210,0)))</f>
        <v>4.9399999999999999E-2</v>
      </c>
      <c r="I1483" s="243">
        <f>IF(AND((I16+I17+I19+I21)&lt;3,I21=1,I1480&lt;&gt;0),'Assumptions - Consolidated'!$E$109+'Assumptions - General'!I38,IF(I16=1,I320,IF(I19=1,I1210,0)))</f>
        <v>5.6300000000000003E-2</v>
      </c>
      <c r="J1483" s="243">
        <f>IF(AND((J16+J17+J19+J21)&lt;3,J21=1,J1480&lt;&gt;0),'Assumptions - Consolidated'!$E$109+'Assumptions - General'!J38,IF(J16=1,J320,IF(J19=1,J1210,0)))</f>
        <v>6.08E-2</v>
      </c>
      <c r="K1483" s="243">
        <f>IF(AND((K16+K17+K19+K21)&lt;3,K21=1,K1480&lt;&gt;0),'Assumptions - Consolidated'!$E$109+'Assumptions - General'!K38,IF(K16=1,K320,IF(K19=1,K1210,0)))</f>
        <v>6.3799999999999996E-2</v>
      </c>
      <c r="L1483" s="243">
        <f>IF(AND((L16+L17+L19+L21)&lt;3,L21=1,L1480&lt;&gt;0),'Assumptions - Consolidated'!$E$109+'Assumptions - General'!L38,IF(L16=1,L320,IF(L19=1,L1210,0)))</f>
        <v>6.5699999999999995E-2</v>
      </c>
      <c r="M1483" s="243">
        <f>IF(AND((M16+M17+M19+M21)&lt;3,M21=1,M1480&lt;&gt;0),'Assumptions - Consolidated'!$E$109+'Assumptions - General'!M38,IF(M16=1,M320,IF(M19=1,M1210,0)))</f>
        <v>6.7699999999999996E-2</v>
      </c>
      <c r="N1483" s="243">
        <f>IF(AND((N16+N17+N19+N21)&lt;3,N21=1,N1480&lt;&gt;0),'Assumptions - Consolidated'!$E$109+'Assumptions - General'!N38,IF(N16=1,N320,IF(N19=1,N1210,0)))</f>
        <v>6.9099999999999995E-2</v>
      </c>
      <c r="O1483" s="243">
        <f>IF(AND((O16+O17+O19+O21)&lt;3,O21=1,O1480&lt;&gt;0),'Assumptions - Consolidated'!$E$109+'Assumptions - General'!O38,IF(O16=1,O320,IF(O19=1,O1210,0)))</f>
        <v>6.0600000000000001E-2</v>
      </c>
      <c r="P1483" s="243">
        <f>IF(AND((P16+P17+P19+P21)&lt;3,P21=1,P1480&lt;&gt;0),'Assumptions - Consolidated'!$E$109+'Assumptions - General'!P38,IF(P16=1,P320,IF(P19=1,P1210,0)))</f>
        <v>6.0000000000000005E-2</v>
      </c>
      <c r="Q1483" s="243">
        <f>IF(AND((Q16+Q17+Q19+Q21)&lt;3,Q21=1,Q1480&lt;&gt;0),'Assumptions - Consolidated'!$E$109+'Assumptions - General'!Q38,IF(Q16=1,Q320,IF(Q19=1,Q1210,0)))</f>
        <v>6.0000000000000005E-2</v>
      </c>
      <c r="R1483" s="243">
        <f>IF(AND((R16+R17+R19+R21)&lt;3,R21=1,R1480&lt;&gt;0),'Assumptions - Consolidated'!$E$109+'Assumptions - General'!R38,IF(R16=1,R320,IF(R19=1,R1210,0)))</f>
        <v>6.0000000000000005E-2</v>
      </c>
      <c r="S1483" s="243">
        <f>IF(AND((S16+S17+S19+S21)&lt;3,S21=1,S1480&lt;&gt;0),'Assumptions - Consolidated'!$E$109+'Assumptions - General'!S38,IF(S16=1,S320,IF(S19=1,S1210,0)))</f>
        <v>6.0000000000000005E-2</v>
      </c>
      <c r="T1483" s="243">
        <f>IF(AND((T16+T17+T19+T21)&lt;3,T21=1,T1480&lt;&gt;0),'Assumptions - Consolidated'!$E$109+'Assumptions - General'!T38,IF(T16=1,T320,IF(T19=1,T1210,0)))</f>
        <v>6.0000000000000005E-2</v>
      </c>
      <c r="U1483" s="243">
        <f>IF(AND((U16+U17+U19+U21)&lt;3,U21=1,U1480&lt;&gt;0),'Assumptions - Consolidated'!$E$109+'Assumptions - General'!U38,IF(U16=1,U320,IF(U19=1,U1210,0)))</f>
        <v>6.0000000000000005E-2</v>
      </c>
      <c r="V1483" s="243">
        <f>IF(AND((V16+V17+V19+V21)&lt;3,V21=1,V1480&lt;&gt;0),'Assumptions - Consolidated'!$E$109+'Assumptions - General'!V38,IF(V16=1,V320,IF(V19=1,V1210,0)))</f>
        <v>6.0000000000000005E-2</v>
      </c>
      <c r="W1483" s="243">
        <f>IF(AND((W16+W17+W19+W21)&lt;3,W21=1,W1480&lt;&gt;0),'Assumptions - Consolidated'!$E$109+'Assumptions - General'!W38,IF(W16=1,W320,IF(W19=1,W1210,0)))</f>
        <v>6.0000000000000005E-2</v>
      </c>
      <c r="X1483" s="243">
        <f>IF(AND((X16+X17+X19+X21)&lt;3,X21=1,X1480&lt;&gt;0),'Assumptions - Consolidated'!$E$109+'Assumptions - General'!X38,IF(X16=1,X320,IF(X19=1,X1210,0)))</f>
        <v>6.0000000000000005E-2</v>
      </c>
      <c r="Y1483" s="243">
        <f>IF(AND((Y16+Y17+Y19+Y21)&lt;3,Y21=1,Y1480&lt;&gt;0),'Assumptions - Consolidated'!$E$109+'Assumptions - General'!Y38,IF(Y16=1,Y320,IF(Y19=1,Y1210,0)))</f>
        <v>6.0000000000000005E-2</v>
      </c>
      <c r="Z1483" s="243">
        <f>IF(AND((Z16+Z17+Z19+Z21)&lt;3,Z21=1,Z1480&lt;&gt;0),'Assumptions - Consolidated'!$E$109+'Assumptions - General'!Z38,IF(Z16=1,Z320,IF(Z19=1,Z1210,0)))</f>
        <v>6.0000000000000005E-2</v>
      </c>
      <c r="AA1483" s="243">
        <f>IF(AND((AA16+AA17+AA19+AA21)&lt;3,AA21=1,AA1480&lt;&gt;0),'Assumptions - Consolidated'!$E$109+'Assumptions - General'!AA38,IF(AA16=1,AA320,IF(AA19=1,AA1210,0)))</f>
        <v>6.0000000000000005E-2</v>
      </c>
      <c r="AB1483" s="243">
        <f>IF(AND((AB16+AB17+AB19+AB21)&lt;3,AB21=1,AB1480&lt;&gt;0),'Assumptions - Consolidated'!$E$109+'Assumptions - General'!AB38,IF(AB16=1,AB320,IF(AB19=1,AB1210,0)))</f>
        <v>6.0000000000000005E-2</v>
      </c>
      <c r="AC1483" s="243">
        <f>IF(AND((AC16+AC17+AC19+AC21)&lt;3,AC21=1,AC1480&lt;&gt;0),'Assumptions - Consolidated'!$E$109+'Assumptions - General'!AC38,IF(AC16=1,AC320,IF(AC19=1,AC1210,0)))</f>
        <v>6.0000000000000005E-2</v>
      </c>
      <c r="AD1483" s="243">
        <f>IF(AND((AD16+AD17+AD19+AD21)&lt;3,AD21=1,AD1480&lt;&gt;0),'Assumptions - Consolidated'!$E$109+'Assumptions - General'!AD38,IF(AD16=1,AD320,IF(AD19=1,AD1210,0)))</f>
        <v>6.0000000000000005E-2</v>
      </c>
      <c r="AE1483" s="243">
        <f>IF(AND((AE16+AE17+AE19+AE21)&lt;3,AE21=1,AE1480&lt;&gt;0),'Assumptions - Consolidated'!$E$109+'Assumptions - General'!AE38,IF(AE16=1,AE320,IF(AE19=1,AE1210,0)))</f>
        <v>6.0000000000000005E-2</v>
      </c>
      <c r="AF1483" s="243">
        <f>IF(AND((AF16+AF17+AF19+AF21)&lt;3,AF21=1,AF1480&lt;&gt;0),'Assumptions - Consolidated'!$E$109+'Assumptions - General'!AF38,IF(AF16=1,AF320,IF(AF19=1,AF1210,0)))</f>
        <v>6.0000000000000005E-2</v>
      </c>
      <c r="AG1483" s="243">
        <f>IF(AND((AG16+AG17+AG19+AG21)&lt;3,AG21=1,AG1480&lt;&gt;0),'Assumptions - Consolidated'!$E$109+'Assumptions - General'!AG38,IF(AG16=1,AG320,IF(AG19=1,AG1210,0)))</f>
        <v>6.0000000000000005E-2</v>
      </c>
      <c r="AH1483" s="243">
        <f>IF(AND((AH16+AH17+AH19+AH21)&lt;3,AH21=1,AH1480&lt;&gt;0),'Assumptions - Consolidated'!$E$109+'Assumptions - General'!AH38,IF(AH16=1,AH320,IF(AH19=1,AH1210,0)))</f>
        <v>6.0000000000000005E-2</v>
      </c>
    </row>
    <row r="1484" spans="1:34" s="20" customFormat="1" ht="14" x14ac:dyDescent="0.2">
      <c r="A1484" s="8"/>
      <c r="B1484" s="8" t="s">
        <v>675</v>
      </c>
      <c r="C1484" s="8"/>
      <c r="D1484" s="8" t="str">
        <f>'Assumptions - General'!$E$27 &amp;" millions"</f>
        <v>R$ millions</v>
      </c>
      <c r="E1484" s="244">
        <f>IF(AND(E21=1,'Assumptions - Consolidated'!$E$107=1,E1483&gt;=0,E1483&lt;&gt;" "),E1483*E1480,0)</f>
        <v>0</v>
      </c>
      <c r="F1484" s="244">
        <f>IF(AND(F21=1,'Assumptions - Consolidated'!$E$107=1,F1483&gt;=0,F1483&lt;&gt;" "),F1483*F1480,0)</f>
        <v>7.8899999999999988</v>
      </c>
      <c r="G1484" s="244">
        <f>IF(AND(G21=1,'Assumptions - Consolidated'!$E$107=1,G1483&gt;=0,G1483&lt;&gt;" "),G1483*G1480,0)</f>
        <v>610.54970537675695</v>
      </c>
      <c r="H1484" s="244">
        <f>IF(AND(H21=1,'Assumptions - Consolidated'!$E$107=1,H1483&gt;=0,H1483&lt;&gt;" "),H1483*H1480,0)</f>
        <v>1532.9425391244058</v>
      </c>
      <c r="I1484" s="244">
        <f>IF(AND(I21=1,'Assumptions - Consolidated'!$E$107=1,I1483&gt;=0,I1483&lt;&gt;" "),I1483*I1480,0)</f>
        <v>2674.5045927011633</v>
      </c>
      <c r="J1484" s="244">
        <f>IF(AND(J21=1,'Assumptions - Consolidated'!$E$107=1,J1483&gt;=0,J1483&lt;&gt;" "),J1483*J1480,0)</f>
        <v>3970.7235667455334</v>
      </c>
      <c r="K1484" s="244">
        <f>IF(AND(K21=1,'Assumptions - Consolidated'!$E$107=1,K1483&gt;=0,K1483&lt;&gt;" "),K1483*K1480,0)</f>
        <v>5386.3592917075312</v>
      </c>
      <c r="L1484" s="244">
        <f>IF(AND(L21=1,'Assumptions - Consolidated'!$E$107=1,L1483&gt;=0,L1483&lt;&gt;" "),L1483*L1480,0)</f>
        <v>6950.8192104094041</v>
      </c>
      <c r="M1484" s="244">
        <f>IF(AND(M21=1,'Assumptions - Consolidated'!$E$107=1,M1483&gt;=0,M1483&lt;&gt;" "),M1483*M1480,0)</f>
        <v>8711.2234190988111</v>
      </c>
      <c r="N1484" s="244">
        <f>IF(AND(N21=1,'Assumptions - Consolidated'!$E$107=1,N1483&gt;=0,N1483&lt;&gt;" "),N1483*N1480,0)</f>
        <v>10567.06727541576</v>
      </c>
      <c r="O1484" s="244">
        <f>IF(AND(O21=1,'Assumptions - Consolidated'!$E$107=1,O1483&gt;=0,O1483&lt;&gt;" "),O1483*O1480,0)</f>
        <v>10823.174513749003</v>
      </c>
      <c r="P1484" s="244">
        <f>IF(AND(P21=1,'Assumptions - Consolidated'!$E$107=1,P1483&gt;=0,P1483&lt;&gt;" "),P1483*P1480,0)</f>
        <v>12334.152182818299</v>
      </c>
      <c r="Q1484" s="244">
        <f>IF(AND(Q21=1,'Assumptions - Consolidated'!$E$107=1,Q1483&gt;=0,Q1483&lt;&gt;" "),Q1483*Q1480,0)</f>
        <v>14042.875928396539</v>
      </c>
      <c r="R1484" s="244">
        <f>IF(AND(R21=1,'Assumptions - Consolidated'!$E$107=1,R1483&gt;=0,R1483&lt;&gt;" "),R1483*R1480,0)</f>
        <v>15845.456474467923</v>
      </c>
      <c r="S1484" s="244">
        <f>IF(AND(S21=1,'Assumptions - Consolidated'!$E$107=1,S1483&gt;=0,S1483&lt;&gt;" "),S1483*S1480,0)</f>
        <v>17745.70989386069</v>
      </c>
      <c r="T1484" s="244">
        <f>IF(AND(T21=1,'Assumptions - Consolidated'!$E$107=1,T1483&gt;=0,T1483&lt;&gt;" "),T1483*T1480,0)</f>
        <v>19747.700188866667</v>
      </c>
      <c r="U1484" s="244">
        <f>IF(AND(U21=1,'Assumptions - Consolidated'!$E$107=1,U1483&gt;=0,U1483&lt;&gt;" "),U1483*U1480,0)</f>
        <v>21855.446758466518</v>
      </c>
      <c r="V1484" s="244">
        <f>IF(AND(V21=1,'Assumptions - Consolidated'!$E$107=1,V1483&gt;=0,V1483&lt;&gt;" "),V1483*V1480,0)</f>
        <v>24060.797652894475</v>
      </c>
      <c r="W1484" s="244">
        <f>IF(AND(W21=1,'Assumptions - Consolidated'!$E$107=1,W1483&gt;=0,W1483&lt;&gt;" "),W1483*W1480,0)</f>
        <v>26393.862854092869</v>
      </c>
      <c r="X1484" s="244">
        <f>IF(AND(X21=1,'Assumptions - Consolidated'!$E$107=1,X1483&gt;=0,X1483&lt;&gt;" "),X1483*X1480,0)</f>
        <v>28845.921065870425</v>
      </c>
      <c r="Y1484" s="244">
        <f>IF(AND(Y21=1,'Assumptions - Consolidated'!$E$107=1,Y1483&gt;=0,Y1483&lt;&gt;" "),Y1483*Y1480,0)</f>
        <v>31421.739279509169</v>
      </c>
      <c r="Z1484" s="244">
        <f>IF(AND(Z21=1,'Assumptions - Consolidated'!$E$107=1,Z1483&gt;=0,Z1483&lt;&gt;" "),Z1483*Z1480,0)</f>
        <v>34126.01488712745</v>
      </c>
      <c r="AA1484" s="244">
        <f>IF(AND(AA21=1,'Assumptions - Consolidated'!$E$107=1,AA1483&gt;=0,AA1483&lt;&gt;" "),AA1483*AA1480,0)</f>
        <v>36963.762889854333</v>
      </c>
      <c r="AB1484" s="244">
        <f>IF(AND(AB21=1,'Assumptions - Consolidated'!$E$107=1,AB1483&gt;=0,AB1483&lt;&gt;" "),AB1483*AB1480,0)</f>
        <v>39940.303456909896</v>
      </c>
      <c r="AC1484" s="244">
        <f>IF(AND(AC21=1,'Assumptions - Consolidated'!$E$107=1,AC1483&gt;=0,AC1483&lt;&gt;" "),AC1483*AC1480,0)</f>
        <v>43060.956472892176</v>
      </c>
      <c r="AD1484" s="244">
        <f>IF(AND(AD21=1,'Assumptions - Consolidated'!$E$107=1,AD1483&gt;=0,AD1483&lt;&gt;" "),AD1483*AD1480,0)</f>
        <v>46331.182074907803</v>
      </c>
      <c r="AE1484" s="244">
        <f>IF(AND(AE21=1,'Assumptions - Consolidated'!$E$107=1,AE1483&gt;=0,AE1483&lt;&gt;" "),AE1483*AE1480,0)</f>
        <v>49756.660456124191</v>
      </c>
      <c r="AF1484" s="244">
        <f>IF(AND(AF21=1,'Assumptions - Consolidated'!$E$107=1,AF1483&gt;=0,AF1483&lt;&gt;" "),AF1483*AF1480,0)</f>
        <v>53341.742686197191</v>
      </c>
      <c r="AG1484" s="244">
        <f>IF(AND(AG21=1,'Assumptions - Consolidated'!$E$107=1,AG1483&gt;=0,AG1483&lt;&gt;" "),AG1483*AG1480,0)</f>
        <v>57095.407855671539</v>
      </c>
      <c r="AH1484" s="244">
        <f>IF(AND(AH21=1,'Assumptions - Consolidated'!$E$107=1,AH1483&gt;=0,AH1483&lt;&gt;" "),AH1483*AH1480,0)</f>
        <v>61022.312098196307</v>
      </c>
    </row>
    <row r="1485" spans="1:34" s="20" customFormat="1" ht="14" x14ac:dyDescent="0.2">
      <c r="A1485" s="8"/>
      <c r="B1485" s="8" t="s">
        <v>413</v>
      </c>
      <c r="C1485" s="8"/>
      <c r="D1485" s="8" t="s">
        <v>657</v>
      </c>
      <c r="E1485" s="28">
        <f>IF(E1482&gt;=0,1,0)</f>
        <v>1</v>
      </c>
      <c r="F1485" s="28">
        <f t="shared" ref="F1485:AH1485" si="584">IF(F1482&gt;=0,1,0)</f>
        <v>1</v>
      </c>
      <c r="G1485" s="28">
        <f t="shared" si="584"/>
        <v>1</v>
      </c>
      <c r="H1485" s="28">
        <f t="shared" si="584"/>
        <v>1</v>
      </c>
      <c r="I1485" s="28">
        <f t="shared" si="584"/>
        <v>1</v>
      </c>
      <c r="J1485" s="28">
        <f t="shared" si="584"/>
        <v>1</v>
      </c>
      <c r="K1485" s="28">
        <f t="shared" si="584"/>
        <v>1</v>
      </c>
      <c r="L1485" s="28">
        <f t="shared" si="584"/>
        <v>1</v>
      </c>
      <c r="M1485" s="28">
        <f t="shared" si="584"/>
        <v>1</v>
      </c>
      <c r="N1485" s="28">
        <f t="shared" si="584"/>
        <v>1</v>
      </c>
      <c r="O1485" s="28">
        <f t="shared" si="584"/>
        <v>1</v>
      </c>
      <c r="P1485" s="28">
        <f t="shared" si="584"/>
        <v>1</v>
      </c>
      <c r="Q1485" s="28">
        <f t="shared" si="584"/>
        <v>1</v>
      </c>
      <c r="R1485" s="28">
        <f t="shared" si="584"/>
        <v>1</v>
      </c>
      <c r="S1485" s="28">
        <f t="shared" si="584"/>
        <v>1</v>
      </c>
      <c r="T1485" s="28">
        <f t="shared" si="584"/>
        <v>1</v>
      </c>
      <c r="U1485" s="28">
        <f t="shared" si="584"/>
        <v>1</v>
      </c>
      <c r="V1485" s="28">
        <f t="shared" si="584"/>
        <v>1</v>
      </c>
      <c r="W1485" s="28">
        <f t="shared" si="584"/>
        <v>1</v>
      </c>
      <c r="X1485" s="28">
        <f t="shared" si="584"/>
        <v>1</v>
      </c>
      <c r="Y1485" s="28">
        <f t="shared" si="584"/>
        <v>1</v>
      </c>
      <c r="Z1485" s="28">
        <f t="shared" si="584"/>
        <v>1</v>
      </c>
      <c r="AA1485" s="28">
        <f t="shared" si="584"/>
        <v>1</v>
      </c>
      <c r="AB1485" s="28">
        <f t="shared" si="584"/>
        <v>1</v>
      </c>
      <c r="AC1485" s="28">
        <f t="shared" si="584"/>
        <v>1</v>
      </c>
      <c r="AD1485" s="28">
        <f t="shared" si="584"/>
        <v>1</v>
      </c>
      <c r="AE1485" s="28">
        <f t="shared" si="584"/>
        <v>1</v>
      </c>
      <c r="AF1485" s="28">
        <f t="shared" si="584"/>
        <v>1</v>
      </c>
      <c r="AG1485" s="28">
        <f t="shared" si="584"/>
        <v>1</v>
      </c>
      <c r="AH1485" s="28">
        <f t="shared" si="584"/>
        <v>1</v>
      </c>
    </row>
    <row r="1487" spans="1:34" x14ac:dyDescent="0.2">
      <c r="A1487" s="2"/>
      <c r="B1487" s="4" t="str">
        <f>"Financing sources for " &amp;'Assumptions - General'!E23</f>
        <v xml:space="preserve">Financing sources for Ruritania Railways </v>
      </c>
      <c r="C1487" s="2"/>
      <c r="D1487" s="2"/>
      <c r="E1487" s="2"/>
      <c r="F1487" s="2"/>
      <c r="G1487" s="2"/>
      <c r="H1487" s="2"/>
      <c r="I1487" s="2"/>
      <c r="J1487" s="2"/>
      <c r="K1487" s="2"/>
      <c r="L1487" s="2"/>
      <c r="M1487" s="2"/>
      <c r="N1487" s="2"/>
      <c r="O1487" s="2"/>
      <c r="P1487" s="2"/>
      <c r="Q1487" s="2"/>
      <c r="R1487" s="2"/>
      <c r="S1487" s="2"/>
      <c r="T1487" s="2"/>
      <c r="U1487" s="2"/>
      <c r="V1487" s="2"/>
      <c r="W1487" s="2"/>
      <c r="X1487" s="2"/>
      <c r="Y1487" s="2"/>
      <c r="Z1487" s="2"/>
      <c r="AA1487" s="2"/>
      <c r="AB1487" s="2"/>
      <c r="AC1487" s="2"/>
      <c r="AD1487" s="2"/>
      <c r="AE1487" s="2"/>
      <c r="AF1487" s="2"/>
      <c r="AG1487" s="2"/>
      <c r="AH1487" s="2"/>
    </row>
    <row r="1488" spans="1:34" x14ac:dyDescent="0.2">
      <c r="D1488" s="8"/>
    </row>
    <row r="1489" spans="1:34" s="20" customFormat="1" ht="14" x14ac:dyDescent="0.2">
      <c r="A1489" s="8"/>
      <c r="B1489" s="21" t="str">
        <f>B494</f>
        <v>Existing equity from Government</v>
      </c>
      <c r="C1489" s="8"/>
      <c r="D1489" s="8" t="str">
        <f>'Assumptions - General'!$E$27 &amp;" millions"</f>
        <v>R$ millions</v>
      </c>
      <c r="E1489" s="16"/>
      <c r="F1489" s="8"/>
      <c r="G1489" s="8"/>
      <c r="H1489" s="8"/>
      <c r="I1489" s="8"/>
      <c r="J1489" s="8"/>
      <c r="K1489" s="8"/>
      <c r="L1489" s="8"/>
      <c r="M1489" s="8"/>
      <c r="N1489" s="8"/>
      <c r="O1489" s="8"/>
      <c r="P1489" s="8"/>
      <c r="Q1489" s="8"/>
      <c r="R1489" s="8"/>
      <c r="S1489" s="8"/>
      <c r="T1489" s="8"/>
      <c r="U1489" s="8"/>
      <c r="V1489" s="8"/>
      <c r="W1489" s="8"/>
      <c r="X1489" s="8"/>
      <c r="Y1489" s="8"/>
      <c r="Z1489" s="8"/>
      <c r="AA1489" s="8"/>
      <c r="AB1489" s="8"/>
      <c r="AC1489" s="8"/>
      <c r="AD1489" s="8"/>
      <c r="AE1489" s="8"/>
      <c r="AF1489" s="8"/>
      <c r="AG1489" s="8"/>
      <c r="AH1489" s="8"/>
    </row>
    <row r="1490" spans="1:34" s="20" customFormat="1" ht="14" x14ac:dyDescent="0.2">
      <c r="A1490" s="8"/>
      <c r="B1490" s="8" t="s">
        <v>161</v>
      </c>
      <c r="C1490" s="8"/>
      <c r="D1490" s="8" t="str">
        <f>'Assumptions - General'!$E$27 &amp;" millions"</f>
        <v>R$ millions</v>
      </c>
      <c r="E1490" s="459">
        <f>IF(E21=1,E495+E913+E1385," ")</f>
        <v>0</v>
      </c>
      <c r="F1490" s="12">
        <f t="shared" ref="F1490:AH1490" si="585">IF(F21=1,E1492," ")</f>
        <v>13397.5</v>
      </c>
      <c r="G1490" s="12">
        <f t="shared" si="585"/>
        <v>13397.5</v>
      </c>
      <c r="H1490" s="12">
        <f t="shared" si="585"/>
        <v>13397.5</v>
      </c>
      <c r="I1490" s="12">
        <f t="shared" si="585"/>
        <v>13397.5</v>
      </c>
      <c r="J1490" s="12">
        <f t="shared" si="585"/>
        <v>13397.5</v>
      </c>
      <c r="K1490" s="12">
        <f t="shared" si="585"/>
        <v>13397.5</v>
      </c>
      <c r="L1490" s="12">
        <f t="shared" si="585"/>
        <v>13397.5</v>
      </c>
      <c r="M1490" s="12">
        <f t="shared" si="585"/>
        <v>13397.5</v>
      </c>
      <c r="N1490" s="12">
        <f t="shared" si="585"/>
        <v>13397.5</v>
      </c>
      <c r="O1490" s="12">
        <f t="shared" si="585"/>
        <v>13397.5</v>
      </c>
      <c r="P1490" s="12">
        <f t="shared" si="585"/>
        <v>13397.5</v>
      </c>
      <c r="Q1490" s="12">
        <f t="shared" si="585"/>
        <v>13397.5</v>
      </c>
      <c r="R1490" s="12">
        <f t="shared" si="585"/>
        <v>13397.5</v>
      </c>
      <c r="S1490" s="12">
        <f t="shared" si="585"/>
        <v>13397.5</v>
      </c>
      <c r="T1490" s="12">
        <f t="shared" si="585"/>
        <v>13397.5</v>
      </c>
      <c r="U1490" s="12">
        <f t="shared" si="585"/>
        <v>13397.5</v>
      </c>
      <c r="V1490" s="12">
        <f t="shared" si="585"/>
        <v>13397.5</v>
      </c>
      <c r="W1490" s="12">
        <f t="shared" si="585"/>
        <v>13397.5</v>
      </c>
      <c r="X1490" s="12">
        <f t="shared" si="585"/>
        <v>13397.5</v>
      </c>
      <c r="Y1490" s="12">
        <f t="shared" si="585"/>
        <v>13397.5</v>
      </c>
      <c r="Z1490" s="12">
        <f t="shared" si="585"/>
        <v>13397.5</v>
      </c>
      <c r="AA1490" s="12">
        <f t="shared" si="585"/>
        <v>13397.5</v>
      </c>
      <c r="AB1490" s="12">
        <f t="shared" si="585"/>
        <v>13397.5</v>
      </c>
      <c r="AC1490" s="12">
        <f t="shared" si="585"/>
        <v>13397.5</v>
      </c>
      <c r="AD1490" s="12">
        <f t="shared" si="585"/>
        <v>13397.5</v>
      </c>
      <c r="AE1490" s="12">
        <f t="shared" si="585"/>
        <v>13397.5</v>
      </c>
      <c r="AF1490" s="12">
        <f t="shared" si="585"/>
        <v>13397.5</v>
      </c>
      <c r="AG1490" s="12">
        <f t="shared" si="585"/>
        <v>13397.5</v>
      </c>
      <c r="AH1490" s="12">
        <f t="shared" si="585"/>
        <v>13397.5</v>
      </c>
    </row>
    <row r="1491" spans="1:34" s="20" customFormat="1" ht="14" x14ac:dyDescent="0.2">
      <c r="A1491" s="8"/>
      <c r="B1491" s="8" t="s">
        <v>116</v>
      </c>
      <c r="C1491" s="8"/>
      <c r="D1491" s="8" t="str">
        <f>'Assumptions - General'!$E$27 &amp;" millions"</f>
        <v>R$ millions</v>
      </c>
      <c r="E1491" s="28">
        <f t="shared" ref="E1491:AH1491" si="586">IF(E21=1,E496+E914+E1386," ")</f>
        <v>0</v>
      </c>
      <c r="F1491" s="28">
        <f t="shared" si="586"/>
        <v>0</v>
      </c>
      <c r="G1491" s="28">
        <f t="shared" si="586"/>
        <v>0</v>
      </c>
      <c r="H1491" s="28">
        <f t="shared" si="586"/>
        <v>0</v>
      </c>
      <c r="I1491" s="28">
        <f t="shared" si="586"/>
        <v>0</v>
      </c>
      <c r="J1491" s="28">
        <f t="shared" si="586"/>
        <v>0</v>
      </c>
      <c r="K1491" s="28">
        <f t="shared" si="586"/>
        <v>0</v>
      </c>
      <c r="L1491" s="28">
        <f t="shared" si="586"/>
        <v>0</v>
      </c>
      <c r="M1491" s="28">
        <f t="shared" si="586"/>
        <v>0</v>
      </c>
      <c r="N1491" s="28">
        <f t="shared" si="586"/>
        <v>0</v>
      </c>
      <c r="O1491" s="28">
        <f t="shared" si="586"/>
        <v>0</v>
      </c>
      <c r="P1491" s="28">
        <f t="shared" si="586"/>
        <v>0</v>
      </c>
      <c r="Q1491" s="28">
        <f t="shared" si="586"/>
        <v>0</v>
      </c>
      <c r="R1491" s="28">
        <f t="shared" si="586"/>
        <v>0</v>
      </c>
      <c r="S1491" s="28">
        <f t="shared" si="586"/>
        <v>0</v>
      </c>
      <c r="T1491" s="28">
        <f t="shared" si="586"/>
        <v>0</v>
      </c>
      <c r="U1491" s="28">
        <f t="shared" si="586"/>
        <v>0</v>
      </c>
      <c r="V1491" s="28">
        <f t="shared" si="586"/>
        <v>0</v>
      </c>
      <c r="W1491" s="28">
        <f t="shared" si="586"/>
        <v>0</v>
      </c>
      <c r="X1491" s="28">
        <f t="shared" si="586"/>
        <v>0</v>
      </c>
      <c r="Y1491" s="28">
        <f t="shared" si="586"/>
        <v>0</v>
      </c>
      <c r="Z1491" s="28">
        <f t="shared" si="586"/>
        <v>0</v>
      </c>
      <c r="AA1491" s="28">
        <f t="shared" si="586"/>
        <v>0</v>
      </c>
      <c r="AB1491" s="28">
        <f t="shared" si="586"/>
        <v>0</v>
      </c>
      <c r="AC1491" s="28">
        <f t="shared" si="586"/>
        <v>0</v>
      </c>
      <c r="AD1491" s="28">
        <f t="shared" si="586"/>
        <v>0</v>
      </c>
      <c r="AE1491" s="28">
        <f t="shared" si="586"/>
        <v>0</v>
      </c>
      <c r="AF1491" s="28">
        <f t="shared" si="586"/>
        <v>0</v>
      </c>
      <c r="AG1491" s="28">
        <f t="shared" si="586"/>
        <v>0</v>
      </c>
      <c r="AH1491" s="28">
        <f t="shared" si="586"/>
        <v>0</v>
      </c>
    </row>
    <row r="1492" spans="1:34" s="20" customFormat="1" ht="14" x14ac:dyDescent="0.2">
      <c r="A1492" s="8"/>
      <c r="B1492" s="8" t="s">
        <v>160</v>
      </c>
      <c r="C1492" s="8"/>
      <c r="D1492" s="8" t="str">
        <f>'Assumptions - General'!$E$27 &amp;" millions"</f>
        <v>R$ millions</v>
      </c>
      <c r="E1492" s="475">
        <f>IF(E21=1,E497+E915+E1387," ")</f>
        <v>13397.5</v>
      </c>
      <c r="F1492" s="12">
        <f t="shared" ref="F1492:AH1492" si="587">IF(F21=1,F1490+F1491," ")</f>
        <v>13397.5</v>
      </c>
      <c r="G1492" s="12">
        <f t="shared" si="587"/>
        <v>13397.5</v>
      </c>
      <c r="H1492" s="12">
        <f t="shared" si="587"/>
        <v>13397.5</v>
      </c>
      <c r="I1492" s="12">
        <f t="shared" si="587"/>
        <v>13397.5</v>
      </c>
      <c r="J1492" s="12">
        <f t="shared" si="587"/>
        <v>13397.5</v>
      </c>
      <c r="K1492" s="12">
        <f t="shared" si="587"/>
        <v>13397.5</v>
      </c>
      <c r="L1492" s="12">
        <f t="shared" si="587"/>
        <v>13397.5</v>
      </c>
      <c r="M1492" s="12">
        <f t="shared" si="587"/>
        <v>13397.5</v>
      </c>
      <c r="N1492" s="12">
        <f t="shared" si="587"/>
        <v>13397.5</v>
      </c>
      <c r="O1492" s="12">
        <f t="shared" si="587"/>
        <v>13397.5</v>
      </c>
      <c r="P1492" s="12">
        <f t="shared" si="587"/>
        <v>13397.5</v>
      </c>
      <c r="Q1492" s="12">
        <f t="shared" si="587"/>
        <v>13397.5</v>
      </c>
      <c r="R1492" s="12">
        <f t="shared" si="587"/>
        <v>13397.5</v>
      </c>
      <c r="S1492" s="12">
        <f t="shared" si="587"/>
        <v>13397.5</v>
      </c>
      <c r="T1492" s="12">
        <f t="shared" si="587"/>
        <v>13397.5</v>
      </c>
      <c r="U1492" s="12">
        <f t="shared" si="587"/>
        <v>13397.5</v>
      </c>
      <c r="V1492" s="12">
        <f t="shared" si="587"/>
        <v>13397.5</v>
      </c>
      <c r="W1492" s="12">
        <f t="shared" si="587"/>
        <v>13397.5</v>
      </c>
      <c r="X1492" s="12">
        <f t="shared" si="587"/>
        <v>13397.5</v>
      </c>
      <c r="Y1492" s="12">
        <f t="shared" si="587"/>
        <v>13397.5</v>
      </c>
      <c r="Z1492" s="12">
        <f t="shared" si="587"/>
        <v>13397.5</v>
      </c>
      <c r="AA1492" s="12">
        <f t="shared" si="587"/>
        <v>13397.5</v>
      </c>
      <c r="AB1492" s="12">
        <f t="shared" si="587"/>
        <v>13397.5</v>
      </c>
      <c r="AC1492" s="12">
        <f t="shared" si="587"/>
        <v>13397.5</v>
      </c>
      <c r="AD1492" s="12">
        <f t="shared" si="587"/>
        <v>13397.5</v>
      </c>
      <c r="AE1492" s="12">
        <f t="shared" si="587"/>
        <v>13397.5</v>
      </c>
      <c r="AF1492" s="12">
        <f t="shared" si="587"/>
        <v>13397.5</v>
      </c>
      <c r="AG1492" s="12">
        <f t="shared" si="587"/>
        <v>13397.5</v>
      </c>
      <c r="AH1492" s="12">
        <f t="shared" si="587"/>
        <v>13397.5</v>
      </c>
    </row>
    <row r="1493" spans="1:34" s="20" customFormat="1" ht="14" x14ac:dyDescent="0.2">
      <c r="A1493" s="8"/>
      <c r="B1493" s="8" t="s">
        <v>612</v>
      </c>
      <c r="C1493" s="8"/>
      <c r="D1493" s="8" t="str">
        <f>'Assumptions - General'!$E$27 &amp;" millions"</f>
        <v>R$ millions</v>
      </c>
      <c r="E1493" s="50">
        <f t="shared" ref="E1493:AH1493" si="588">IF(E21=1,E498+E916+E1388," ")</f>
        <v>0</v>
      </c>
      <c r="F1493" s="50">
        <f t="shared" si="588"/>
        <v>40</v>
      </c>
      <c r="G1493" s="50">
        <f t="shared" si="588"/>
        <v>75.082528542604763</v>
      </c>
      <c r="H1493" s="50">
        <f t="shared" si="588"/>
        <v>107.4482245897822</v>
      </c>
      <c r="I1493" s="50">
        <f t="shared" si="588"/>
        <v>139.6983185089513</v>
      </c>
      <c r="J1493" s="50">
        <f t="shared" si="588"/>
        <v>171.84453991907779</v>
      </c>
      <c r="K1493" s="50">
        <f t="shared" si="588"/>
        <v>203.88583607482815</v>
      </c>
      <c r="L1493" s="50">
        <f t="shared" si="588"/>
        <v>235.81756217026822</v>
      </c>
      <c r="M1493" s="50">
        <f t="shared" si="588"/>
        <v>268.23356241177584</v>
      </c>
      <c r="N1493" s="50">
        <f t="shared" si="588"/>
        <v>300.56760587259589</v>
      </c>
      <c r="O1493" s="50">
        <f t="shared" si="588"/>
        <v>332.7548707855737</v>
      </c>
      <c r="P1493" s="50">
        <f t="shared" si="588"/>
        <v>364.79825337068667</v>
      </c>
      <c r="Q1493" s="50">
        <f t="shared" si="588"/>
        <v>396.66264626136228</v>
      </c>
      <c r="R1493" s="50">
        <f t="shared" si="588"/>
        <v>428.49960691362423</v>
      </c>
      <c r="S1493" s="50">
        <f t="shared" si="588"/>
        <v>460.53479371799313</v>
      </c>
      <c r="T1493" s="50">
        <f t="shared" si="588"/>
        <v>492.40981677404994</v>
      </c>
      <c r="U1493" s="50">
        <f t="shared" si="588"/>
        <v>524.64871337944805</v>
      </c>
      <c r="V1493" s="50">
        <f t="shared" si="588"/>
        <v>556.66848508867702</v>
      </c>
      <c r="W1493" s="50">
        <f t="shared" si="588"/>
        <v>588.82752469985508</v>
      </c>
      <c r="X1493" s="50">
        <f t="shared" si="588"/>
        <v>621.46552429001963</v>
      </c>
      <c r="Y1493" s="50">
        <f t="shared" si="588"/>
        <v>653.98907480270623</v>
      </c>
      <c r="Z1493" s="50">
        <f t="shared" si="588"/>
        <v>686.96580344556378</v>
      </c>
      <c r="AA1493" s="50">
        <f t="shared" si="588"/>
        <v>719.77599899288782</v>
      </c>
      <c r="AB1493" s="50">
        <f t="shared" si="588"/>
        <v>752.31112742467315</v>
      </c>
      <c r="AC1493" s="50">
        <f t="shared" si="588"/>
        <v>784.56245243995829</v>
      </c>
      <c r="AD1493" s="50">
        <f t="shared" si="588"/>
        <v>816.62473308612994</v>
      </c>
      <c r="AE1493" s="50">
        <f t="shared" si="588"/>
        <v>848.39025092289376</v>
      </c>
      <c r="AF1493" s="50">
        <f t="shared" si="588"/>
        <v>879.84991941906765</v>
      </c>
      <c r="AG1493" s="50">
        <f t="shared" si="588"/>
        <v>910.99441244360469</v>
      </c>
      <c r="AH1493" s="50">
        <f t="shared" si="588"/>
        <v>941.99524072360646</v>
      </c>
    </row>
    <row r="1494" spans="1:34" s="20" customFormat="1" ht="14" x14ac:dyDescent="0.2">
      <c r="A1494" s="8"/>
      <c r="B1494" s="8" t="s">
        <v>613</v>
      </c>
      <c r="C1494" s="8"/>
      <c r="D1494" s="8" t="str">
        <f>'Assumptions - General'!$E$27 &amp;" millions"</f>
        <v>R$ millions</v>
      </c>
      <c r="E1494" s="50">
        <f t="shared" ref="E1494:AH1494" si="589">IF(E21=1,E499+E917+E1389," ")</f>
        <v>0</v>
      </c>
      <c r="F1494" s="50">
        <f t="shared" si="589"/>
        <v>35.082528542604763</v>
      </c>
      <c r="G1494" s="50">
        <f t="shared" si="589"/>
        <v>32.365696047177451</v>
      </c>
      <c r="H1494" s="50">
        <f t="shared" si="589"/>
        <v>32.250093919169103</v>
      </c>
      <c r="I1494" s="50">
        <f t="shared" si="589"/>
        <v>32.146221410126458</v>
      </c>
      <c r="J1494" s="50">
        <f t="shared" si="589"/>
        <v>32.041296155750373</v>
      </c>
      <c r="K1494" s="50">
        <f t="shared" si="589"/>
        <v>31.931726095440077</v>
      </c>
      <c r="L1494" s="50">
        <f t="shared" si="589"/>
        <v>32.416000241507625</v>
      </c>
      <c r="M1494" s="50">
        <f t="shared" si="589"/>
        <v>32.33404346082002</v>
      </c>
      <c r="N1494" s="50">
        <f t="shared" si="589"/>
        <v>32.187264912977838</v>
      </c>
      <c r="O1494" s="50">
        <f t="shared" si="589"/>
        <v>32.043382585112937</v>
      </c>
      <c r="P1494" s="50">
        <f t="shared" si="589"/>
        <v>31.864392890675663</v>
      </c>
      <c r="Q1494" s="50">
        <f t="shared" si="589"/>
        <v>31.836960652261943</v>
      </c>
      <c r="R1494" s="50">
        <f t="shared" si="589"/>
        <v>32.035186804368905</v>
      </c>
      <c r="S1494" s="50">
        <f t="shared" si="589"/>
        <v>31.875023056056818</v>
      </c>
      <c r="T1494" s="50">
        <f t="shared" si="589"/>
        <v>32.238896605398132</v>
      </c>
      <c r="U1494" s="50">
        <f t="shared" si="589"/>
        <v>32.019771709228934</v>
      </c>
      <c r="V1494" s="50">
        <f t="shared" si="589"/>
        <v>32.159039611178095</v>
      </c>
      <c r="W1494" s="50">
        <f t="shared" si="589"/>
        <v>32.637999590164611</v>
      </c>
      <c r="X1494" s="50">
        <f t="shared" si="589"/>
        <v>32.523550512686555</v>
      </c>
      <c r="Y1494" s="50">
        <f t="shared" si="589"/>
        <v>32.976728642857537</v>
      </c>
      <c r="Z1494" s="50">
        <f t="shared" si="589"/>
        <v>32.810195547324007</v>
      </c>
      <c r="AA1494" s="50">
        <f t="shared" si="589"/>
        <v>32.535128431785353</v>
      </c>
      <c r="AB1494" s="50">
        <f t="shared" si="589"/>
        <v>32.251325015285147</v>
      </c>
      <c r="AC1494" s="50">
        <f t="shared" si="589"/>
        <v>32.06228064617158</v>
      </c>
      <c r="AD1494" s="50">
        <f t="shared" si="589"/>
        <v>31.765517836763816</v>
      </c>
      <c r="AE1494" s="50">
        <f t="shared" si="589"/>
        <v>31.459668496173858</v>
      </c>
      <c r="AF1494" s="50">
        <f t="shared" si="589"/>
        <v>31.144493024537098</v>
      </c>
      <c r="AG1494" s="50">
        <f t="shared" si="589"/>
        <v>31.000828280001858</v>
      </c>
      <c r="AH1494" s="50">
        <f t="shared" si="589"/>
        <v>35.751596877439241</v>
      </c>
    </row>
    <row r="1495" spans="1:34" s="20" customFormat="1" ht="14" x14ac:dyDescent="0.2">
      <c r="A1495" s="8"/>
      <c r="B1495" s="8" t="s">
        <v>614</v>
      </c>
      <c r="C1495" s="8"/>
      <c r="D1495" s="8" t="str">
        <f>'Assumptions - General'!$E$27 &amp;" millions"</f>
        <v>R$ millions</v>
      </c>
      <c r="E1495" s="50">
        <f t="shared" ref="E1495:AH1495" si="590">IF(E21=1,E500+E918+E1390," ")</f>
        <v>40</v>
      </c>
      <c r="F1495" s="50">
        <f t="shared" si="590"/>
        <v>75.082528542604763</v>
      </c>
      <c r="G1495" s="50">
        <f t="shared" si="590"/>
        <v>107.4482245897822</v>
      </c>
      <c r="H1495" s="50">
        <f t="shared" si="590"/>
        <v>139.6983185089513</v>
      </c>
      <c r="I1495" s="50">
        <f t="shared" si="590"/>
        <v>171.84453991907779</v>
      </c>
      <c r="J1495" s="50">
        <f t="shared" si="590"/>
        <v>203.88583607482815</v>
      </c>
      <c r="K1495" s="50">
        <f t="shared" si="590"/>
        <v>235.81756217026822</v>
      </c>
      <c r="L1495" s="50">
        <f t="shared" si="590"/>
        <v>268.23356241177584</v>
      </c>
      <c r="M1495" s="50">
        <f t="shared" si="590"/>
        <v>300.56760587259589</v>
      </c>
      <c r="N1495" s="50">
        <f t="shared" si="590"/>
        <v>332.7548707855737</v>
      </c>
      <c r="O1495" s="50">
        <f t="shared" si="590"/>
        <v>364.79825337068667</v>
      </c>
      <c r="P1495" s="50">
        <f t="shared" si="590"/>
        <v>396.66264626136228</v>
      </c>
      <c r="Q1495" s="50">
        <f t="shared" si="590"/>
        <v>428.49960691362423</v>
      </c>
      <c r="R1495" s="50">
        <f t="shared" si="590"/>
        <v>460.53479371799313</v>
      </c>
      <c r="S1495" s="50">
        <f t="shared" si="590"/>
        <v>492.40981677404994</v>
      </c>
      <c r="T1495" s="50">
        <f t="shared" si="590"/>
        <v>524.64871337944805</v>
      </c>
      <c r="U1495" s="50">
        <f t="shared" si="590"/>
        <v>556.66848508867702</v>
      </c>
      <c r="V1495" s="50">
        <f t="shared" si="590"/>
        <v>588.82752469985508</v>
      </c>
      <c r="W1495" s="50">
        <f t="shared" si="590"/>
        <v>621.46552429001963</v>
      </c>
      <c r="X1495" s="50">
        <f t="shared" si="590"/>
        <v>653.98907480270623</v>
      </c>
      <c r="Y1495" s="50">
        <f t="shared" si="590"/>
        <v>686.96580344556378</v>
      </c>
      <c r="Z1495" s="50">
        <f t="shared" si="590"/>
        <v>719.77599899288782</v>
      </c>
      <c r="AA1495" s="50">
        <f t="shared" si="590"/>
        <v>752.31112742467315</v>
      </c>
      <c r="AB1495" s="50">
        <f t="shared" si="590"/>
        <v>784.56245243995829</v>
      </c>
      <c r="AC1495" s="50">
        <f t="shared" si="590"/>
        <v>816.62473308612994</v>
      </c>
      <c r="AD1495" s="50">
        <f t="shared" si="590"/>
        <v>848.39025092289376</v>
      </c>
      <c r="AE1495" s="50">
        <f t="shared" si="590"/>
        <v>879.84991941906765</v>
      </c>
      <c r="AF1495" s="50">
        <f t="shared" si="590"/>
        <v>910.99441244360469</v>
      </c>
      <c r="AG1495" s="50">
        <f t="shared" si="590"/>
        <v>941.99524072360646</v>
      </c>
      <c r="AH1495" s="50">
        <f t="shared" si="590"/>
        <v>977.74683760104574</v>
      </c>
    </row>
    <row r="1496" spans="1:34" s="20" customFormat="1" ht="14" x14ac:dyDescent="0.2">
      <c r="A1496" s="8"/>
      <c r="B1496" s="8" t="s">
        <v>158</v>
      </c>
      <c r="C1496" s="8"/>
      <c r="D1496" s="8" t="str">
        <f>'Assumptions - General'!$E$27 &amp;" millions"</f>
        <v>R$ millions</v>
      </c>
      <c r="E1496" s="459">
        <f>IF(E21=1,E501+E919+E1391," ")</f>
        <v>0</v>
      </c>
      <c r="F1496" s="12">
        <f t="shared" ref="F1496:AH1496" si="591">IF(F21=1,E1498," ")</f>
        <v>780</v>
      </c>
      <c r="G1496" s="12">
        <f t="shared" si="591"/>
        <v>16744.848155845117</v>
      </c>
      <c r="H1496" s="12">
        <f t="shared" si="591"/>
        <v>33205.154270031082</v>
      </c>
      <c r="I1496" s="12">
        <f t="shared" si="591"/>
        <v>50807.774291352449</v>
      </c>
      <c r="J1496" s="12">
        <f t="shared" si="591"/>
        <v>70156.574118012097</v>
      </c>
      <c r="K1496" s="12">
        <f t="shared" si="591"/>
        <v>90473.843148552463</v>
      </c>
      <c r="L1496" s="12">
        <f t="shared" si="591"/>
        <v>113973.84488647891</v>
      </c>
      <c r="M1496" s="12">
        <f t="shared" si="591"/>
        <v>138297.62821412605</v>
      </c>
      <c r="N1496" s="12">
        <f t="shared" si="591"/>
        <v>164010.58976769252</v>
      </c>
      <c r="O1496" s="12">
        <f t="shared" si="591"/>
        <v>191170.83749489684</v>
      </c>
      <c r="P1496" s="12">
        <f t="shared" si="591"/>
        <v>219620.5444766102</v>
      </c>
      <c r="Q1496" s="12">
        <f t="shared" si="591"/>
        <v>249549.92252475573</v>
      </c>
      <c r="R1496" s="12">
        <f t="shared" si="591"/>
        <v>281069.15091315593</v>
      </c>
      <c r="S1496" s="12">
        <f t="shared" si="591"/>
        <v>314249.28805086541</v>
      </c>
      <c r="T1496" s="12">
        <f t="shared" si="591"/>
        <v>349151.40495638968</v>
      </c>
      <c r="U1496" s="12">
        <f t="shared" si="591"/>
        <v>385857.22577607434</v>
      </c>
      <c r="V1496" s="12">
        <f t="shared" si="591"/>
        <v>424894.23293051543</v>
      </c>
      <c r="W1496" s="12">
        <f t="shared" si="591"/>
        <v>465411.5247704662</v>
      </c>
      <c r="X1496" s="12">
        <f t="shared" si="591"/>
        <v>507962.21263499529</v>
      </c>
      <c r="Y1496" s="12">
        <f t="shared" si="591"/>
        <v>552613.71110764565</v>
      </c>
      <c r="Z1496" s="12">
        <f t="shared" si="591"/>
        <v>599458.97922594112</v>
      </c>
      <c r="AA1496" s="12">
        <f t="shared" si="591"/>
        <v>648576.12411295495</v>
      </c>
      <c r="AB1496" s="12">
        <f t="shared" si="591"/>
        <v>700049.01824022271</v>
      </c>
      <c r="AC1496" s="12">
        <f t="shared" si="591"/>
        <v>753969.02479836601</v>
      </c>
      <c r="AD1496" s="12">
        <f t="shared" si="591"/>
        <v>810432.06958301459</v>
      </c>
      <c r="AE1496" s="12">
        <f t="shared" si="591"/>
        <v>869533.59077444102</v>
      </c>
      <c r="AF1496" s="12">
        <f t="shared" si="591"/>
        <v>931399.11153873289</v>
      </c>
      <c r="AG1496" s="12">
        <f t="shared" si="591"/>
        <v>996081.39846707741</v>
      </c>
      <c r="AH1496" s="12">
        <f t="shared" si="591"/>
        <v>1063715.4606781327</v>
      </c>
    </row>
    <row r="1497" spans="1:34" s="20" customFormat="1" ht="14" x14ac:dyDescent="0.2">
      <c r="A1497" s="8"/>
      <c r="B1497" s="8" t="s">
        <v>157</v>
      </c>
      <c r="C1497" s="8"/>
      <c r="D1497" s="8" t="str">
        <f>'Assumptions - General'!$E$27 &amp;" millions"</f>
        <v>R$ millions</v>
      </c>
      <c r="E1497" s="459">
        <f>IF(E21=1,E502+E920+E1392," ")</f>
        <v>0</v>
      </c>
      <c r="F1497" s="12">
        <f>IF(F21=1,'Income statement'!F41-'Cash flow statement'!F41," ")</f>
        <v>15964.848155845117</v>
      </c>
      <c r="G1497" s="12">
        <f>IF(G21=1,'Income statement'!G41-'Cash flow statement'!G41," ")</f>
        <v>16460.306114185965</v>
      </c>
      <c r="H1497" s="12">
        <f>IF(H21=1,'Income statement'!H41-'Cash flow statement'!H41," ")</f>
        <v>17602.620021321367</v>
      </c>
      <c r="I1497" s="12">
        <f>IF(I21=1,'Income statement'!I41-'Cash flow statement'!I41," ")</f>
        <v>19348.799826659641</v>
      </c>
      <c r="J1497" s="12">
        <f>IF(J21=1,'Income statement'!J41-'Cash flow statement'!J41," ")</f>
        <v>20317.269030540359</v>
      </c>
      <c r="K1497" s="12">
        <f>IF(K21=1,'Income statement'!K41-'Cash flow statement'!K41," ")</f>
        <v>23500.001737926446</v>
      </c>
      <c r="L1497" s="12">
        <f>IF(L21=1,'Income statement'!L41-'Cash flow statement'!L41," ")</f>
        <v>24323.78332764715</v>
      </c>
      <c r="M1497" s="12">
        <f>IF(M21=1,'Income statement'!M41-'Cash flow statement'!M41," ")</f>
        <v>25712.961553566478</v>
      </c>
      <c r="N1497" s="12">
        <f>IF(N21=1,'Income statement'!N41-'Cash flow statement'!N41," ")</f>
        <v>27160.247727204332</v>
      </c>
      <c r="O1497" s="12">
        <f>IF(O21=1,'Income statement'!O41-'Cash flow statement'!O41," ")</f>
        <v>28449.706981713345</v>
      </c>
      <c r="P1497" s="12">
        <f>IF(P21=1,'Income statement'!P41-'Cash flow statement'!P41," ")</f>
        <v>29929.378048145532</v>
      </c>
      <c r="Q1497" s="12">
        <f>IF(Q21=1,'Income statement'!Q41-'Cash flow statement'!Q41," ")</f>
        <v>31519.22838840021</v>
      </c>
      <c r="R1497" s="12">
        <f>IF(R21=1,'Income statement'!R41-'Cash flow statement'!R41," ")</f>
        <v>33180.137137709447</v>
      </c>
      <c r="S1497" s="12">
        <f>IF(S21=1,'Income statement'!S41-'Cash flow statement'!S41," ")</f>
        <v>34902.11690552425</v>
      </c>
      <c r="T1497" s="12">
        <f>IF(T21=1,'Income statement'!T41-'Cash flow statement'!T41," ")</f>
        <v>36705.820819684668</v>
      </c>
      <c r="U1497" s="12">
        <f>IF(U21=1,'Income statement'!U41-'Cash flow statement'!U41," ")</f>
        <v>39037.007154441104</v>
      </c>
      <c r="V1497" s="12">
        <f>IF(V21=1,'Income statement'!V41-'Cash flow statement'!V41," ")</f>
        <v>40517.291839950791</v>
      </c>
      <c r="W1497" s="12">
        <f>IF(W21=1,'Income statement'!W41-'Cash flow statement'!W41," ")</f>
        <v>42550.687864529071</v>
      </c>
      <c r="X1497" s="12">
        <f>IF(X21=1,'Income statement'!X41-'Cash flow statement'!X41," ")</f>
        <v>44651.498472650346</v>
      </c>
      <c r="Y1497" s="12">
        <f>IF(Y21=1,'Income statement'!Y41-'Cash flow statement'!Y41," ")</f>
        <v>46845.26811829544</v>
      </c>
      <c r="Z1497" s="12">
        <f>IF(Z21=1,'Income statement'!Z41-'Cash flow statement'!Z41," ")</f>
        <v>49117.144887013856</v>
      </c>
      <c r="AA1497" s="12">
        <f>IF(AA21=1,'Income statement'!AA41-'Cash flow statement'!AA41," ")</f>
        <v>51472.894127267762</v>
      </c>
      <c r="AB1497" s="12">
        <f>IF(AB21=1,'Income statement'!AB41-'Cash flow statement'!AB41," ")</f>
        <v>53920.006558143272</v>
      </c>
      <c r="AC1497" s="12">
        <f>IF(AC21=1,'Income statement'!AC41-'Cash flow statement'!AC41," ")</f>
        <v>56463.044784648606</v>
      </c>
      <c r="AD1497" s="12">
        <f>IF(AD21=1,'Income statement'!AD41-'Cash flow statement'!AD41," ")</f>
        <v>59101.521191426436</v>
      </c>
      <c r="AE1497" s="12">
        <f>IF(AE21=1,'Income statement'!AE41-'Cash flow statement'!AE41," ")</f>
        <v>61865.520764291927</v>
      </c>
      <c r="AF1497" s="12">
        <f>IF(AF21=1,'Income statement'!AF41-'Cash flow statement'!AF41," ")</f>
        <v>64682.286928344518</v>
      </c>
      <c r="AG1497" s="12">
        <f>IF(AG21=1,'Income statement'!AG41-'Cash flow statement'!AG41," ")</f>
        <v>67634.062211055338</v>
      </c>
      <c r="AH1497" s="12">
        <f>IF(AH21=1,'Income statement'!AH41-'Cash flow statement'!AH41," ")</f>
        <v>70737.927004422818</v>
      </c>
    </row>
    <row r="1498" spans="1:34" s="20" customFormat="1" ht="14" x14ac:dyDescent="0.2">
      <c r="A1498" s="8"/>
      <c r="B1498" s="8" t="s">
        <v>159</v>
      </c>
      <c r="C1498" s="8"/>
      <c r="D1498" s="8" t="str">
        <f>'Assumptions - General'!$E$27 &amp;" millions"</f>
        <v>R$ millions</v>
      </c>
      <c r="E1498" s="459">
        <f>IF(E21=1,E503+E921+E1393," ")</f>
        <v>780</v>
      </c>
      <c r="F1498" s="13">
        <f t="shared" ref="F1498:AH1498" si="592">IF(F21=1,F1497+F1496," ")</f>
        <v>16744.848155845117</v>
      </c>
      <c r="G1498" s="13">
        <f t="shared" si="592"/>
        <v>33205.154270031082</v>
      </c>
      <c r="H1498" s="13">
        <f t="shared" si="592"/>
        <v>50807.774291352449</v>
      </c>
      <c r="I1498" s="13">
        <f t="shared" si="592"/>
        <v>70156.574118012097</v>
      </c>
      <c r="J1498" s="13">
        <f t="shared" si="592"/>
        <v>90473.843148552463</v>
      </c>
      <c r="K1498" s="13">
        <f t="shared" si="592"/>
        <v>113973.84488647891</v>
      </c>
      <c r="L1498" s="13">
        <f t="shared" si="592"/>
        <v>138297.62821412605</v>
      </c>
      <c r="M1498" s="13">
        <f t="shared" si="592"/>
        <v>164010.58976769252</v>
      </c>
      <c r="N1498" s="13">
        <f t="shared" si="592"/>
        <v>191170.83749489684</v>
      </c>
      <c r="O1498" s="13">
        <f t="shared" si="592"/>
        <v>219620.5444766102</v>
      </c>
      <c r="P1498" s="13">
        <f t="shared" si="592"/>
        <v>249549.92252475573</v>
      </c>
      <c r="Q1498" s="13">
        <f t="shared" si="592"/>
        <v>281069.15091315593</v>
      </c>
      <c r="R1498" s="13">
        <f t="shared" si="592"/>
        <v>314249.28805086541</v>
      </c>
      <c r="S1498" s="13">
        <f t="shared" si="592"/>
        <v>349151.40495638968</v>
      </c>
      <c r="T1498" s="13">
        <f t="shared" si="592"/>
        <v>385857.22577607434</v>
      </c>
      <c r="U1498" s="13">
        <f t="shared" si="592"/>
        <v>424894.23293051543</v>
      </c>
      <c r="V1498" s="13">
        <f t="shared" si="592"/>
        <v>465411.5247704662</v>
      </c>
      <c r="W1498" s="13">
        <f t="shared" si="592"/>
        <v>507962.21263499529</v>
      </c>
      <c r="X1498" s="13">
        <f t="shared" si="592"/>
        <v>552613.71110764565</v>
      </c>
      <c r="Y1498" s="13">
        <f t="shared" si="592"/>
        <v>599458.97922594112</v>
      </c>
      <c r="Z1498" s="13">
        <f t="shared" si="592"/>
        <v>648576.12411295495</v>
      </c>
      <c r="AA1498" s="13">
        <f t="shared" si="592"/>
        <v>700049.01824022271</v>
      </c>
      <c r="AB1498" s="13">
        <f t="shared" si="592"/>
        <v>753969.02479836601</v>
      </c>
      <c r="AC1498" s="13">
        <f t="shared" si="592"/>
        <v>810432.06958301459</v>
      </c>
      <c r="AD1498" s="13">
        <f t="shared" si="592"/>
        <v>869533.59077444102</v>
      </c>
      <c r="AE1498" s="13">
        <f t="shared" si="592"/>
        <v>931399.11153873289</v>
      </c>
      <c r="AF1498" s="13">
        <f t="shared" si="592"/>
        <v>996081.39846707741</v>
      </c>
      <c r="AG1498" s="13">
        <f t="shared" si="592"/>
        <v>1063715.4606781327</v>
      </c>
      <c r="AH1498" s="13">
        <f t="shared" si="592"/>
        <v>1134453.3876825555</v>
      </c>
    </row>
    <row r="1499" spans="1:34" s="20" customFormat="1" ht="14" x14ac:dyDescent="0.2">
      <c r="B1499" s="20" t="s">
        <v>697</v>
      </c>
      <c r="D1499" s="20" t="str">
        <f>'Assumptions - General'!$E$27 &amp;" millions"</f>
        <v>R$ millions</v>
      </c>
      <c r="E1499" s="20">
        <f t="shared" ref="E1499:AH1499" si="593">IF(E21=1,E504+E922+E1394," ")</f>
        <v>0</v>
      </c>
      <c r="F1499" s="20">
        <f t="shared" si="593"/>
        <v>0</v>
      </c>
      <c r="G1499" s="20">
        <f t="shared" si="593"/>
        <v>0</v>
      </c>
      <c r="H1499" s="20">
        <f t="shared" si="593"/>
        <v>0</v>
      </c>
      <c r="I1499" s="20">
        <f t="shared" si="593"/>
        <v>0</v>
      </c>
      <c r="J1499" s="20">
        <f t="shared" si="593"/>
        <v>0</v>
      </c>
      <c r="K1499" s="20">
        <f t="shared" si="593"/>
        <v>0</v>
      </c>
      <c r="L1499" s="20">
        <f t="shared" si="593"/>
        <v>0</v>
      </c>
      <c r="M1499" s="20">
        <f t="shared" si="593"/>
        <v>0</v>
      </c>
      <c r="N1499" s="20">
        <f t="shared" si="593"/>
        <v>0</v>
      </c>
      <c r="O1499" s="20">
        <f t="shared" si="593"/>
        <v>0</v>
      </c>
      <c r="P1499" s="20">
        <f t="shared" si="593"/>
        <v>0</v>
      </c>
      <c r="Q1499" s="20">
        <f t="shared" si="593"/>
        <v>0</v>
      </c>
      <c r="R1499" s="20">
        <f t="shared" si="593"/>
        <v>0</v>
      </c>
      <c r="S1499" s="20">
        <f t="shared" si="593"/>
        <v>0</v>
      </c>
      <c r="T1499" s="20">
        <f t="shared" si="593"/>
        <v>0</v>
      </c>
      <c r="U1499" s="20">
        <f t="shared" si="593"/>
        <v>0</v>
      </c>
      <c r="V1499" s="20">
        <f t="shared" si="593"/>
        <v>0</v>
      </c>
      <c r="W1499" s="20">
        <f t="shared" si="593"/>
        <v>0</v>
      </c>
      <c r="X1499" s="20">
        <f t="shared" si="593"/>
        <v>0</v>
      </c>
      <c r="Y1499" s="20">
        <f t="shared" si="593"/>
        <v>0</v>
      </c>
      <c r="Z1499" s="20">
        <f t="shared" si="593"/>
        <v>0</v>
      </c>
      <c r="AA1499" s="20">
        <f t="shared" si="593"/>
        <v>0</v>
      </c>
      <c r="AB1499" s="20">
        <f t="shared" si="593"/>
        <v>0</v>
      </c>
      <c r="AC1499" s="20">
        <f t="shared" si="593"/>
        <v>0</v>
      </c>
      <c r="AD1499" s="20">
        <f t="shared" si="593"/>
        <v>0</v>
      </c>
      <c r="AE1499" s="20">
        <f t="shared" si="593"/>
        <v>0</v>
      </c>
      <c r="AF1499" s="20">
        <f t="shared" si="593"/>
        <v>0</v>
      </c>
      <c r="AG1499" s="20">
        <f t="shared" si="593"/>
        <v>0</v>
      </c>
      <c r="AH1499" s="20">
        <f t="shared" si="593"/>
        <v>0</v>
      </c>
    </row>
    <row r="1500" spans="1:34" s="20" customFormat="1" ht="14" x14ac:dyDescent="0.2">
      <c r="B1500" s="20" t="s">
        <v>691</v>
      </c>
      <c r="D1500" s="20" t="str">
        <f>'Assumptions - General'!$E$27 &amp;" millions"</f>
        <v>R$ millions</v>
      </c>
      <c r="E1500" s="38">
        <f t="shared" ref="E1500:AH1500" si="594">IF(E21=1,E505+E923+E1395," ")</f>
        <v>0</v>
      </c>
      <c r="F1500" s="38">
        <f t="shared" si="594"/>
        <v>0</v>
      </c>
      <c r="G1500" s="38">
        <f t="shared" si="594"/>
        <v>0</v>
      </c>
      <c r="H1500" s="38">
        <f t="shared" si="594"/>
        <v>0</v>
      </c>
      <c r="I1500" s="38">
        <f t="shared" si="594"/>
        <v>0</v>
      </c>
      <c r="J1500" s="38">
        <f t="shared" si="594"/>
        <v>0</v>
      </c>
      <c r="K1500" s="38">
        <f t="shared" si="594"/>
        <v>0</v>
      </c>
      <c r="L1500" s="38">
        <f t="shared" si="594"/>
        <v>0</v>
      </c>
      <c r="M1500" s="38">
        <f t="shared" si="594"/>
        <v>0</v>
      </c>
      <c r="N1500" s="38">
        <f t="shared" si="594"/>
        <v>0</v>
      </c>
      <c r="O1500" s="38">
        <f t="shared" si="594"/>
        <v>0</v>
      </c>
      <c r="P1500" s="38">
        <f t="shared" si="594"/>
        <v>0</v>
      </c>
      <c r="Q1500" s="38">
        <f t="shared" si="594"/>
        <v>0</v>
      </c>
      <c r="R1500" s="38">
        <f t="shared" si="594"/>
        <v>0</v>
      </c>
      <c r="S1500" s="38">
        <f t="shared" si="594"/>
        <v>0</v>
      </c>
      <c r="T1500" s="38">
        <f t="shared" si="594"/>
        <v>0</v>
      </c>
      <c r="U1500" s="38">
        <f t="shared" si="594"/>
        <v>0</v>
      </c>
      <c r="V1500" s="38">
        <f t="shared" si="594"/>
        <v>0</v>
      </c>
      <c r="W1500" s="38">
        <f t="shared" si="594"/>
        <v>0</v>
      </c>
      <c r="X1500" s="38">
        <f t="shared" si="594"/>
        <v>0</v>
      </c>
      <c r="Y1500" s="38">
        <f t="shared" si="594"/>
        <v>0</v>
      </c>
      <c r="Z1500" s="38">
        <f t="shared" si="594"/>
        <v>0</v>
      </c>
      <c r="AA1500" s="38">
        <f t="shared" si="594"/>
        <v>0</v>
      </c>
      <c r="AB1500" s="38">
        <f t="shared" si="594"/>
        <v>0</v>
      </c>
      <c r="AC1500" s="38">
        <f t="shared" si="594"/>
        <v>0</v>
      </c>
      <c r="AD1500" s="38">
        <f t="shared" si="594"/>
        <v>0</v>
      </c>
      <c r="AE1500" s="38">
        <f t="shared" si="594"/>
        <v>0</v>
      </c>
      <c r="AF1500" s="38">
        <f t="shared" si="594"/>
        <v>0</v>
      </c>
      <c r="AG1500" s="38">
        <f t="shared" si="594"/>
        <v>0</v>
      </c>
      <c r="AH1500" s="38">
        <f t="shared" si="594"/>
        <v>0</v>
      </c>
    </row>
    <row r="1501" spans="1:34" s="20" customFormat="1" ht="14" x14ac:dyDescent="0.2">
      <c r="B1501" s="20" t="s">
        <v>698</v>
      </c>
      <c r="D1501" s="20" t="str">
        <f>'Assumptions - General'!$E$27 &amp;" millions"</f>
        <v>R$ millions</v>
      </c>
      <c r="E1501" s="20">
        <f t="shared" ref="E1501:AH1501" si="595">IF(E21=1,E506+E924+E1396," ")</f>
        <v>0</v>
      </c>
      <c r="F1501" s="20">
        <f t="shared" si="595"/>
        <v>0</v>
      </c>
      <c r="G1501" s="20">
        <f t="shared" si="595"/>
        <v>0</v>
      </c>
      <c r="H1501" s="20">
        <f t="shared" si="595"/>
        <v>0</v>
      </c>
      <c r="I1501" s="20">
        <f t="shared" si="595"/>
        <v>0</v>
      </c>
      <c r="J1501" s="20">
        <f t="shared" si="595"/>
        <v>0</v>
      </c>
      <c r="K1501" s="20">
        <f t="shared" si="595"/>
        <v>0</v>
      </c>
      <c r="L1501" s="20">
        <f t="shared" si="595"/>
        <v>0</v>
      </c>
      <c r="M1501" s="20">
        <f t="shared" si="595"/>
        <v>0</v>
      </c>
      <c r="N1501" s="20">
        <f t="shared" si="595"/>
        <v>0</v>
      </c>
      <c r="O1501" s="20">
        <f t="shared" si="595"/>
        <v>0</v>
      </c>
      <c r="P1501" s="20">
        <f t="shared" si="595"/>
        <v>0</v>
      </c>
      <c r="Q1501" s="20">
        <f t="shared" si="595"/>
        <v>0</v>
      </c>
      <c r="R1501" s="20">
        <f t="shared" si="595"/>
        <v>0</v>
      </c>
      <c r="S1501" s="20">
        <f t="shared" si="595"/>
        <v>0</v>
      </c>
      <c r="T1501" s="20">
        <f t="shared" si="595"/>
        <v>0</v>
      </c>
      <c r="U1501" s="20">
        <f t="shared" si="595"/>
        <v>0</v>
      </c>
      <c r="V1501" s="20">
        <f t="shared" si="595"/>
        <v>0</v>
      </c>
      <c r="W1501" s="20">
        <f t="shared" si="595"/>
        <v>0</v>
      </c>
      <c r="X1501" s="20">
        <f t="shared" si="595"/>
        <v>0</v>
      </c>
      <c r="Y1501" s="20">
        <f t="shared" si="595"/>
        <v>0</v>
      </c>
      <c r="Z1501" s="20">
        <f t="shared" si="595"/>
        <v>0</v>
      </c>
      <c r="AA1501" s="20">
        <f t="shared" si="595"/>
        <v>0</v>
      </c>
      <c r="AB1501" s="20">
        <f t="shared" si="595"/>
        <v>0</v>
      </c>
      <c r="AC1501" s="20">
        <f t="shared" si="595"/>
        <v>0</v>
      </c>
      <c r="AD1501" s="20">
        <f t="shared" si="595"/>
        <v>0</v>
      </c>
      <c r="AE1501" s="20">
        <f t="shared" si="595"/>
        <v>0</v>
      </c>
      <c r="AF1501" s="20">
        <f t="shared" si="595"/>
        <v>0</v>
      </c>
      <c r="AG1501" s="20">
        <f t="shared" si="595"/>
        <v>0</v>
      </c>
      <c r="AH1501" s="20">
        <f t="shared" si="595"/>
        <v>0</v>
      </c>
    </row>
    <row r="1502" spans="1:34" s="20" customFormat="1" ht="14" x14ac:dyDescent="0.2">
      <c r="A1502" s="8"/>
      <c r="B1502" s="8"/>
      <c r="C1502" s="8"/>
      <c r="D1502" s="8"/>
      <c r="E1502" s="272"/>
      <c r="F1502" s="13"/>
      <c r="G1502" s="13"/>
      <c r="H1502" s="13"/>
      <c r="I1502" s="13"/>
      <c r="J1502" s="13"/>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row>
    <row r="1503" spans="1:34" collapsed="1" x14ac:dyDescent="0.2">
      <c r="A1503" s="18"/>
    </row>
  </sheetData>
  <conditionalFormatting sqref="G27:S27 G28:O28">
    <cfRule type="cellIs" dxfId="0" priority="8" stopIfTrue="1" operator="equal">
      <formula>TRUE</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AI186"/>
  <sheetViews>
    <sheetView tabSelected="1" zoomScale="75" zoomScaleNormal="75" workbookViewId="0">
      <pane xSplit="4" ySplit="6" topLeftCell="I10" activePane="bottomRight" state="frozen"/>
      <selection pane="topRight" activeCell="E1" sqref="E1"/>
      <selection pane="bottomLeft" activeCell="A7" sqref="A7"/>
      <selection pane="bottomRight" activeCell="D178" sqref="D178"/>
    </sheetView>
  </sheetViews>
  <sheetFormatPr baseColWidth="10" defaultColWidth="0" defaultRowHeight="15" x14ac:dyDescent="0.2"/>
  <cols>
    <col min="1" max="1" width="8" style="22" customWidth="1"/>
    <col min="2" max="2" width="11.5" style="22" customWidth="1"/>
    <col min="3" max="3" width="9.1640625" style="22" customWidth="1"/>
    <col min="4" max="4" width="13.1640625" style="22" customWidth="1"/>
    <col min="5" max="5" width="15.33203125" style="22" customWidth="1"/>
    <col min="6" max="6" width="10.6640625" style="22" customWidth="1"/>
    <col min="7" max="8" width="11.6640625" style="22" customWidth="1"/>
    <col min="9" max="11" width="12" style="22" bestFit="1" customWidth="1"/>
    <col min="12" max="12" width="10.6640625" style="22" customWidth="1"/>
    <col min="13" max="13" width="11.5" style="22" bestFit="1" customWidth="1"/>
    <col min="14" max="15" width="12" style="22" bestFit="1" customWidth="1"/>
    <col min="16" max="16" width="12.6640625" style="22" bestFit="1" customWidth="1"/>
    <col min="17" max="17" width="11.5" style="22" bestFit="1" customWidth="1"/>
    <col min="18" max="18" width="12.5" style="22" bestFit="1" customWidth="1"/>
    <col min="19" max="20" width="12.6640625" style="22" bestFit="1" customWidth="1"/>
    <col min="21" max="21" width="13" style="22" bestFit="1" customWidth="1"/>
    <col min="22" max="22" width="12.5" style="22" bestFit="1" customWidth="1"/>
    <col min="23" max="23" width="13" style="22" bestFit="1" customWidth="1"/>
    <col min="24" max="24" width="11" style="22" customWidth="1"/>
    <col min="25" max="27" width="10.5" style="22" bestFit="1" customWidth="1"/>
    <col min="28" max="30" width="11.5" style="22" bestFit="1" customWidth="1"/>
    <col min="31" max="31" width="10.5" style="22" bestFit="1" customWidth="1"/>
    <col min="32" max="34" width="11.5" style="22" bestFit="1" customWidth="1"/>
    <col min="35" max="35" width="9.1640625" style="22" customWidth="1"/>
    <col min="36" max="16384" width="9.1640625" style="22" hidden="1"/>
  </cols>
  <sheetData>
    <row r="1" spans="1:35" s="476" customFormat="1" x14ac:dyDescent="0.2">
      <c r="A1" s="477"/>
      <c r="B1" s="478" t="s">
        <v>67</v>
      </c>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row>
    <row r="2" spans="1:35" s="18" customFormat="1" x14ac:dyDescent="0.2">
      <c r="A2" s="479"/>
      <c r="B2" s="480"/>
      <c r="C2" s="479"/>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c r="AD2" s="479"/>
      <c r="AE2" s="479"/>
      <c r="AF2" s="479"/>
      <c r="AG2" s="479"/>
      <c r="AH2" s="479"/>
    </row>
    <row r="3" spans="1:35" s="18" customFormat="1" x14ac:dyDescent="0.2">
      <c r="A3" s="479"/>
      <c r="B3" s="480" t="str">
        <f>"All units in "  &amp;'Assumptions - General'!E27&amp;  " millions unless otherwise stated"</f>
        <v>All units in R$ millions unless otherwise stated</v>
      </c>
      <c r="C3" s="481"/>
      <c r="D3" s="479"/>
      <c r="E3" s="479"/>
      <c r="F3" s="479"/>
      <c r="G3" s="479"/>
      <c r="H3" s="479"/>
      <c r="I3" s="479"/>
      <c r="J3" s="479"/>
      <c r="K3" s="479"/>
      <c r="L3" s="479"/>
      <c r="M3" s="479"/>
      <c r="N3" s="479"/>
      <c r="O3" s="479"/>
      <c r="P3" s="479"/>
      <c r="Q3" s="479"/>
      <c r="R3" s="479"/>
      <c r="S3" s="479"/>
      <c r="T3" s="479"/>
      <c r="U3" s="479"/>
      <c r="V3" s="479"/>
      <c r="W3" s="479"/>
      <c r="X3" s="479"/>
      <c r="Y3" s="479"/>
      <c r="Z3" s="479"/>
      <c r="AA3" s="479"/>
      <c r="AB3" s="479"/>
      <c r="AC3" s="479"/>
      <c r="AD3" s="479"/>
      <c r="AE3" s="479"/>
      <c r="AF3" s="479"/>
      <c r="AG3" s="479"/>
      <c r="AH3" s="479"/>
    </row>
    <row r="4" spans="1:35" s="20" customFormat="1" x14ac:dyDescent="0.2">
      <c r="A4" s="18"/>
      <c r="B4" s="7" t="s">
        <v>99</v>
      </c>
      <c r="C4" s="8"/>
      <c r="D4" s="8"/>
      <c r="E4" s="8">
        <v>1</v>
      </c>
      <c r="F4" s="8">
        <v>2</v>
      </c>
      <c r="G4" s="8">
        <v>3</v>
      </c>
      <c r="H4" s="8">
        <v>4</v>
      </c>
      <c r="I4" s="8">
        <v>5</v>
      </c>
      <c r="J4" s="8">
        <v>6</v>
      </c>
      <c r="K4" s="8">
        <v>7</v>
      </c>
      <c r="L4" s="8">
        <v>8</v>
      </c>
      <c r="M4" s="8">
        <v>9</v>
      </c>
      <c r="N4" s="8">
        <v>10</v>
      </c>
      <c r="O4" s="8">
        <v>11</v>
      </c>
      <c r="P4" s="8">
        <v>12</v>
      </c>
      <c r="Q4" s="8">
        <v>13</v>
      </c>
      <c r="R4" s="8">
        <v>14</v>
      </c>
      <c r="S4" s="8">
        <v>15</v>
      </c>
      <c r="T4" s="8">
        <v>16</v>
      </c>
      <c r="U4" s="8">
        <v>17</v>
      </c>
      <c r="V4" s="8">
        <v>18</v>
      </c>
      <c r="W4" s="8">
        <v>19</v>
      </c>
      <c r="X4" s="8">
        <v>20</v>
      </c>
      <c r="Y4" s="8">
        <v>21</v>
      </c>
      <c r="Z4" s="8">
        <v>22</v>
      </c>
      <c r="AA4" s="8">
        <v>23</v>
      </c>
      <c r="AB4" s="8">
        <v>24</v>
      </c>
      <c r="AC4" s="8">
        <v>25</v>
      </c>
      <c r="AD4" s="8">
        <v>26</v>
      </c>
      <c r="AE4" s="8">
        <v>27</v>
      </c>
      <c r="AF4" s="8">
        <v>28</v>
      </c>
      <c r="AG4" s="8">
        <v>29</v>
      </c>
      <c r="AH4" s="8">
        <v>30</v>
      </c>
    </row>
    <row r="5" spans="1:35" s="20" customFormat="1" x14ac:dyDescent="0.2">
      <c r="A5" s="18"/>
      <c r="B5" s="7" t="s">
        <v>12</v>
      </c>
      <c r="C5" s="8"/>
      <c r="D5" s="8"/>
      <c r="E5" s="9">
        <f>'Assumptions - General'!$E$28</f>
        <v>40179</v>
      </c>
      <c r="F5" s="9">
        <f t="shared" ref="F5:AH5" si="0">E6+1</f>
        <v>40544</v>
      </c>
      <c r="G5" s="9">
        <f t="shared" si="0"/>
        <v>40909</v>
      </c>
      <c r="H5" s="9">
        <f t="shared" si="0"/>
        <v>41275</v>
      </c>
      <c r="I5" s="9">
        <f t="shared" si="0"/>
        <v>41640</v>
      </c>
      <c r="J5" s="9">
        <f t="shared" si="0"/>
        <v>42005</v>
      </c>
      <c r="K5" s="9">
        <f t="shared" si="0"/>
        <v>42370</v>
      </c>
      <c r="L5" s="9">
        <f t="shared" si="0"/>
        <v>42736</v>
      </c>
      <c r="M5" s="9">
        <f t="shared" si="0"/>
        <v>43101</v>
      </c>
      <c r="N5" s="9">
        <f t="shared" si="0"/>
        <v>43466</v>
      </c>
      <c r="O5" s="9">
        <f t="shared" si="0"/>
        <v>43831</v>
      </c>
      <c r="P5" s="9">
        <f t="shared" si="0"/>
        <v>44197</v>
      </c>
      <c r="Q5" s="9">
        <f t="shared" si="0"/>
        <v>44562</v>
      </c>
      <c r="R5" s="9">
        <f t="shared" si="0"/>
        <v>44927</v>
      </c>
      <c r="S5" s="9">
        <f t="shared" si="0"/>
        <v>45292</v>
      </c>
      <c r="T5" s="9">
        <f t="shared" si="0"/>
        <v>45658</v>
      </c>
      <c r="U5" s="9">
        <f t="shared" si="0"/>
        <v>46023</v>
      </c>
      <c r="V5" s="9">
        <f t="shared" si="0"/>
        <v>46388</v>
      </c>
      <c r="W5" s="9">
        <f t="shared" si="0"/>
        <v>46753</v>
      </c>
      <c r="X5" s="9">
        <f t="shared" si="0"/>
        <v>47119</v>
      </c>
      <c r="Y5" s="9">
        <f t="shared" si="0"/>
        <v>47484</v>
      </c>
      <c r="Z5" s="9">
        <f t="shared" si="0"/>
        <v>47849</v>
      </c>
      <c r="AA5" s="9">
        <f t="shared" si="0"/>
        <v>48214</v>
      </c>
      <c r="AB5" s="9">
        <f t="shared" si="0"/>
        <v>48580</v>
      </c>
      <c r="AC5" s="9">
        <f t="shared" si="0"/>
        <v>48945</v>
      </c>
      <c r="AD5" s="9">
        <f t="shared" si="0"/>
        <v>49310</v>
      </c>
      <c r="AE5" s="9">
        <f t="shared" si="0"/>
        <v>49675</v>
      </c>
      <c r="AF5" s="9">
        <f t="shared" si="0"/>
        <v>50041</v>
      </c>
      <c r="AG5" s="9">
        <f t="shared" si="0"/>
        <v>50406</v>
      </c>
      <c r="AH5" s="9">
        <f t="shared" si="0"/>
        <v>50771</v>
      </c>
    </row>
    <row r="6" spans="1:35" s="20" customFormat="1" x14ac:dyDescent="0.2">
      <c r="A6" s="18"/>
      <c r="B6" s="7" t="s">
        <v>345</v>
      </c>
      <c r="C6" s="8"/>
      <c r="D6" s="8"/>
      <c r="E6" s="9">
        <f>DATE(YEAR(E5)+1, MONTH(E5), DAY(E5)-1)</f>
        <v>40543</v>
      </c>
      <c r="F6" s="9">
        <f t="shared" ref="F6:AH6" si="1">DATE(YEAR(F5)+1, MONTH(F5), DAY(F5)-1)</f>
        <v>40908</v>
      </c>
      <c r="G6" s="9">
        <f t="shared" si="1"/>
        <v>41274</v>
      </c>
      <c r="H6" s="9">
        <f t="shared" si="1"/>
        <v>41639</v>
      </c>
      <c r="I6" s="9">
        <f t="shared" si="1"/>
        <v>42004</v>
      </c>
      <c r="J6" s="9">
        <f t="shared" si="1"/>
        <v>42369</v>
      </c>
      <c r="K6" s="9">
        <f t="shared" si="1"/>
        <v>42735</v>
      </c>
      <c r="L6" s="9">
        <f t="shared" si="1"/>
        <v>43100</v>
      </c>
      <c r="M6" s="9">
        <f t="shared" si="1"/>
        <v>43465</v>
      </c>
      <c r="N6" s="9">
        <f t="shared" si="1"/>
        <v>43830</v>
      </c>
      <c r="O6" s="9">
        <f t="shared" si="1"/>
        <v>44196</v>
      </c>
      <c r="P6" s="9">
        <f t="shared" si="1"/>
        <v>44561</v>
      </c>
      <c r="Q6" s="9">
        <f t="shared" si="1"/>
        <v>44926</v>
      </c>
      <c r="R6" s="9">
        <f t="shared" si="1"/>
        <v>45291</v>
      </c>
      <c r="S6" s="9">
        <f t="shared" si="1"/>
        <v>45657</v>
      </c>
      <c r="T6" s="9">
        <f t="shared" si="1"/>
        <v>46022</v>
      </c>
      <c r="U6" s="9">
        <f t="shared" si="1"/>
        <v>46387</v>
      </c>
      <c r="V6" s="9">
        <f t="shared" si="1"/>
        <v>46752</v>
      </c>
      <c r="W6" s="9">
        <f t="shared" si="1"/>
        <v>47118</v>
      </c>
      <c r="X6" s="9">
        <f t="shared" si="1"/>
        <v>47483</v>
      </c>
      <c r="Y6" s="9">
        <f t="shared" si="1"/>
        <v>47848</v>
      </c>
      <c r="Z6" s="9">
        <f t="shared" si="1"/>
        <v>48213</v>
      </c>
      <c r="AA6" s="9">
        <f t="shared" si="1"/>
        <v>48579</v>
      </c>
      <c r="AB6" s="9">
        <f t="shared" si="1"/>
        <v>48944</v>
      </c>
      <c r="AC6" s="9">
        <f t="shared" si="1"/>
        <v>49309</v>
      </c>
      <c r="AD6" s="9">
        <f t="shared" si="1"/>
        <v>49674</v>
      </c>
      <c r="AE6" s="9">
        <f t="shared" si="1"/>
        <v>50040</v>
      </c>
      <c r="AF6" s="9">
        <f t="shared" si="1"/>
        <v>50405</v>
      </c>
      <c r="AG6" s="9">
        <f t="shared" si="1"/>
        <v>50770</v>
      </c>
      <c r="AH6" s="9">
        <f t="shared" si="1"/>
        <v>51135</v>
      </c>
    </row>
    <row r="7" spans="1:35" s="18" customFormat="1" ht="19" x14ac:dyDescent="0.25">
      <c r="A7" s="2"/>
      <c r="B7" s="483" t="str">
        <f>'Assumptions - General'!$E$23</f>
        <v xml:space="preserve">Ruritania Railways </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row>
    <row r="8" spans="1:35" s="18" customFormat="1" x14ac:dyDescent="0.2">
      <c r="A8" s="2"/>
      <c r="B8" s="3"/>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row>
    <row r="9" spans="1:35" s="20" customFormat="1" hidden="1" x14ac:dyDescent="0.2">
      <c r="A9" s="2"/>
      <c r="B9" s="7" t="s">
        <v>226</v>
      </c>
      <c r="C9" s="8"/>
      <c r="D9" s="8"/>
      <c r="E9" s="29">
        <f>Calculations!E21</f>
        <v>1</v>
      </c>
      <c r="F9" s="29">
        <f>Calculations!F21</f>
        <v>1</v>
      </c>
      <c r="G9" s="29">
        <f>Calculations!G21</f>
        <v>1</v>
      </c>
      <c r="H9" s="29">
        <f>Calculations!H21</f>
        <v>1</v>
      </c>
      <c r="I9" s="29">
        <f>Calculations!I21</f>
        <v>1</v>
      </c>
      <c r="J9" s="29">
        <f>Calculations!J21</f>
        <v>1</v>
      </c>
      <c r="K9" s="29">
        <f>Calculations!K21</f>
        <v>1</v>
      </c>
      <c r="L9" s="29">
        <f>Calculations!L21</f>
        <v>1</v>
      </c>
      <c r="M9" s="29">
        <f>Calculations!M21</f>
        <v>1</v>
      </c>
      <c r="N9" s="29">
        <f>Calculations!N21</f>
        <v>1</v>
      </c>
      <c r="O9" s="29">
        <f>Calculations!O21</f>
        <v>1</v>
      </c>
      <c r="P9" s="29">
        <f>Calculations!P21</f>
        <v>1</v>
      </c>
      <c r="Q9" s="29">
        <f>Calculations!Q21</f>
        <v>1</v>
      </c>
      <c r="R9" s="29">
        <f>Calculations!R21</f>
        <v>1</v>
      </c>
      <c r="S9" s="29">
        <f>Calculations!S21</f>
        <v>1</v>
      </c>
      <c r="T9" s="29">
        <f>Calculations!T21</f>
        <v>1</v>
      </c>
      <c r="U9" s="29">
        <f>Calculations!U21</f>
        <v>1</v>
      </c>
      <c r="V9" s="29">
        <f>Calculations!V21</f>
        <v>1</v>
      </c>
      <c r="W9" s="29">
        <f>Calculations!W21</f>
        <v>1</v>
      </c>
      <c r="X9" s="29">
        <f>Calculations!X21</f>
        <v>1</v>
      </c>
      <c r="Y9" s="29">
        <f>Calculations!Y21</f>
        <v>1</v>
      </c>
      <c r="Z9" s="29">
        <f>Calculations!Z21</f>
        <v>1</v>
      </c>
      <c r="AA9" s="29">
        <f>Calculations!AA21</f>
        <v>1</v>
      </c>
      <c r="AB9" s="29">
        <f>Calculations!AB21</f>
        <v>1</v>
      </c>
      <c r="AC9" s="29">
        <f>Calculations!AC21</f>
        <v>1</v>
      </c>
      <c r="AD9" s="29">
        <f>Calculations!AD21</f>
        <v>1</v>
      </c>
      <c r="AE9" s="29">
        <f>Calculations!AE21</f>
        <v>1</v>
      </c>
      <c r="AF9" s="29">
        <f>Calculations!AF21</f>
        <v>1</v>
      </c>
      <c r="AG9" s="29">
        <f>Calculations!AG21</f>
        <v>1</v>
      </c>
      <c r="AH9" s="29">
        <f>Calculations!AH21</f>
        <v>1</v>
      </c>
    </row>
    <row r="10" spans="1:35" s="278" customFormat="1" x14ac:dyDescent="0.2">
      <c r="A10" s="2"/>
      <c r="B10" s="22"/>
      <c r="C10" s="22"/>
      <c r="D10" s="22"/>
      <c r="E10" s="22"/>
      <c r="F10" s="52"/>
      <c r="G10" s="52"/>
      <c r="H10" s="52"/>
      <c r="I10" s="52"/>
      <c r="J10" s="52"/>
      <c r="K10" s="52"/>
      <c r="L10" s="52"/>
      <c r="M10" s="52"/>
      <c r="N10" s="52"/>
      <c r="O10" s="52"/>
      <c r="P10" s="52"/>
      <c r="Q10" s="52"/>
      <c r="R10" s="52"/>
      <c r="S10" s="52"/>
      <c r="T10" s="52"/>
      <c r="U10" s="52"/>
      <c r="V10" s="52"/>
      <c r="W10" s="52"/>
      <c r="X10" s="52"/>
      <c r="Y10" s="52"/>
      <c r="Z10" s="52"/>
      <c r="AA10" s="52"/>
      <c r="AB10" s="52"/>
      <c r="AC10" s="52"/>
      <c r="AD10" s="52"/>
      <c r="AE10" s="52"/>
      <c r="AF10" s="52"/>
      <c r="AG10" s="52"/>
      <c r="AH10" s="52"/>
    </row>
    <row r="11" spans="1:35" s="20" customFormat="1" x14ac:dyDescent="0.2">
      <c r="A11" s="2"/>
      <c r="B11" s="19" t="s">
        <v>68</v>
      </c>
      <c r="E11" s="53"/>
    </row>
    <row r="12" spans="1:35" s="277" customFormat="1" x14ac:dyDescent="0.2">
      <c r="A12" s="2"/>
      <c r="B12" s="23" t="s">
        <v>69</v>
      </c>
      <c r="C12" s="24"/>
      <c r="D12" s="2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row>
    <row r="13" spans="1:35" s="277" customFormat="1" x14ac:dyDescent="0.2">
      <c r="A13" s="2"/>
      <c r="B13" s="25" t="s">
        <v>70</v>
      </c>
      <c r="C13" s="24"/>
      <c r="D13" s="24"/>
      <c r="E13" s="35">
        <f>IF(E9=1,Calculations!E1482,0)</f>
        <v>300</v>
      </c>
      <c r="F13" s="35">
        <f>IF(F9=1,E13+'Cash flow statement'!F45,0)</f>
        <v>15379.085777752065</v>
      </c>
      <c r="G13" s="35">
        <f>IF(G9=1,F13+'Cash flow statement'!G45,0)</f>
        <v>31031.225488348296</v>
      </c>
      <c r="H13" s="35">
        <f>IF(H9=1,G13+'Cash flow statement'!H45,0)</f>
        <v>47504.522072844818</v>
      </c>
      <c r="I13" s="35">
        <f>IF(I9=1,H13+'Cash flow statement'!I45,0)</f>
        <v>65307.95340041996</v>
      </c>
      <c r="J13" s="35">
        <f>IF(J9=1,I13+'Cash flow statement'!J45,0)</f>
        <v>84425.694227390777</v>
      </c>
      <c r="K13" s="35">
        <f>IF(K9=1,J13+'Cash flow statement'!K45,0)</f>
        <v>105796.33501384177</v>
      </c>
      <c r="L13" s="35">
        <f>IF(L9=1,K13+'Cash flow statement'!L45,0)</f>
        <v>128673.90574739751</v>
      </c>
      <c r="M13" s="35">
        <f>IF(M9=1,L13+'Cash flow statement'!M45,0)</f>
        <v>152924.27316086486</v>
      </c>
      <c r="N13" s="35">
        <f>IF(N9=1,M13+'Cash flow statement'!N45,0)</f>
        <v>178600.23950080865</v>
      </c>
      <c r="O13" s="35">
        <f>IF(O9=1,N13+'Cash flow statement'!O45,0)</f>
        <v>205569.20304697164</v>
      </c>
      <c r="P13" s="35">
        <f>IF(P9=1,O13+'Cash flow statement'!P45,0)</f>
        <v>234047.93213994231</v>
      </c>
      <c r="Q13" s="35">
        <f>IF(Q9=1,P13+'Cash flow statement'!Q45,0)</f>
        <v>264090.94124113204</v>
      </c>
      <c r="R13" s="35">
        <f>IF(R9=1,Q13+'Cash flow statement'!R45,0)</f>
        <v>295761.83156434481</v>
      </c>
      <c r="S13" s="35">
        <f>IF(S9=1,R13+'Cash flow statement'!S45,0)</f>
        <v>329128.33648111107</v>
      </c>
      <c r="T13" s="35">
        <f>IF(T9=1,S13+'Cash flow statement'!T45,0)</f>
        <v>364257.44597444194</v>
      </c>
      <c r="U13" s="35">
        <f>IF(U9=1,T13+'Cash flow statement'!U45,0)</f>
        <v>401013.29421490786</v>
      </c>
      <c r="V13" s="35">
        <f>IF(V9=1,U13+'Cash flow statement'!V45,0)</f>
        <v>439897.7142348811</v>
      </c>
      <c r="W13" s="35">
        <f>IF(W9=1,V13+'Cash flow statement'!W45,0)</f>
        <v>480765.35109784035</v>
      </c>
      <c r="X13" s="35">
        <f>IF(X9=1,W13+'Cash flow statement'!X45,0)</f>
        <v>523695.65465848614</v>
      </c>
      <c r="Y13" s="35">
        <f>IF(Y9=1,X13+'Cash flow statement'!Y45,0)</f>
        <v>568766.91478545743</v>
      </c>
      <c r="Z13" s="35">
        <f>IF(Z9=1,Y13+'Cash flow statement'!Z45,0)</f>
        <v>616062.71483090555</v>
      </c>
      <c r="AA13" s="35">
        <f>IF(AA9=1,Z13+'Cash flow statement'!AA45,0)</f>
        <v>665671.72428183153</v>
      </c>
      <c r="AB13" s="35">
        <f>IF(AB9=1,AA13+'Cash flow statement'!AB45,0)</f>
        <v>717682.60788153624</v>
      </c>
      <c r="AC13" s="35">
        <f>IF(AC9=1,AB13+'Cash flow statement'!AC45,0)</f>
        <v>772186.36791512999</v>
      </c>
      <c r="AD13" s="35">
        <f>IF(AD9=1,AC13+'Cash flow statement'!AD45,0)</f>
        <v>829277.6742687365</v>
      </c>
      <c r="AE13" s="35">
        <f>IF(AE9=1,AD13+'Cash flow statement'!AE45,0)</f>
        <v>889029.04476995312</v>
      </c>
      <c r="AF13" s="35">
        <f>IF(AF9=1,AE13+'Cash flow statement'!AF45,0)</f>
        <v>951590.13092785887</v>
      </c>
      <c r="AG13" s="35">
        <f>IF(AG9=1,AF13+'Cash flow statement'!AG45,0)</f>
        <v>1017038.5349699383</v>
      </c>
      <c r="AH13" s="35">
        <f>IF(AH9=1,AG13+'Cash flow statement'!AH45,0)</f>
        <v>1085473.5111084676</v>
      </c>
      <c r="AI13" s="404"/>
    </row>
    <row r="14" spans="1:35" s="277" customFormat="1" x14ac:dyDescent="0.2">
      <c r="A14" s="2"/>
      <c r="B14" s="25" t="s">
        <v>71</v>
      </c>
      <c r="C14" s="24"/>
      <c r="D14" s="24"/>
      <c r="E14" s="35">
        <f>IF(E9=1,Calculations!E1462,0)</f>
        <v>12500.457735733904</v>
      </c>
      <c r="F14" s="35">
        <f>IF(F9=1,Calculations!F1462,0)</f>
        <v>13118.569683893793</v>
      </c>
      <c r="G14" s="35">
        <f>IF(G9=1,Calculations!G1462,0)</f>
        <v>13499.961331835622</v>
      </c>
      <c r="H14" s="35">
        <f>IF(H9=1,Calculations!H1462,0)</f>
        <v>14296.48091025563</v>
      </c>
      <c r="I14" s="35">
        <f>IF(I9=1,Calculations!I1462,0)</f>
        <v>15544.810703841264</v>
      </c>
      <c r="J14" s="35">
        <f>IF(J9=1,Calculations!J1462,0)</f>
        <v>16426.918996006993</v>
      </c>
      <c r="K14" s="35">
        <f>IF(K9=1,Calculations!K1462,0)</f>
        <v>18294.856859047472</v>
      </c>
      <c r="L14" s="35">
        <f>IF(L9=1,Calculations!L1462,0)</f>
        <v>19283.563478915581</v>
      </c>
      <c r="M14" s="35">
        <f>IF(M9=1,Calculations!M1462,0)</f>
        <v>20315.357293451998</v>
      </c>
      <c r="N14" s="35">
        <f>IF(N9=1,Calculations!N1462,0)</f>
        <v>21391.936247922797</v>
      </c>
      <c r="O14" s="35">
        <f>IF(O9=1,Calculations!O1462,0)</f>
        <v>22515.06141619281</v>
      </c>
      <c r="P14" s="35">
        <f>IF(P9=1,Calculations!P1462,0)</f>
        <v>23686.559260706708</v>
      </c>
      <c r="Q14" s="35">
        <f>IF(Q9=1,Calculations!Q1462,0)</f>
        <v>24908.323971259953</v>
      </c>
      <c r="R14" s="35">
        <f>IF(R9=1,Calculations!R1462,0)</f>
        <v>26182.319885253706</v>
      </c>
      <c r="S14" s="35">
        <f>IF(S9=1,Calculations!S1462,0)</f>
        <v>27510.583992217478</v>
      </c>
      <c r="T14" s="35">
        <f>IF(T9=1,Calculations!T1462,0)</f>
        <v>28895.2285254778</v>
      </c>
      <c r="U14" s="35">
        <f>IF(U9=1,Calculations!U1462,0)</f>
        <v>30338.443643947809</v>
      </c>
      <c r="V14" s="35">
        <f>IF(V9=1,Calculations!V1462,0)</f>
        <v>31842.500207112316</v>
      </c>
      <c r="W14" s="35">
        <f>IF(W9=1,Calculations!W1462,0)</f>
        <v>33409.752646387024</v>
      </c>
      <c r="X14" s="35">
        <f>IF(X9=1,Calculations!X1462,0)</f>
        <v>35042.641936136897</v>
      </c>
      <c r="Y14" s="35">
        <f>IF(Y9=1,Calculations!Y1462,0)</f>
        <v>36743.698667748933</v>
      </c>
      <c r="Z14" s="35">
        <f>IF(Z9=1,Calculations!Z1462,0)</f>
        <v>38515.546230269349</v>
      </c>
      <c r="AA14" s="35">
        <f>IF(AA9=1,Calculations!AA1462,0)</f>
        <v>40360.904101232059</v>
      </c>
      <c r="AB14" s="35">
        <f>IF(AB9=1,Calculations!AB1462,0)</f>
        <v>42282.591251427875</v>
      </c>
      <c r="AC14" s="35">
        <f>IF(AC9=1,Calculations!AC1462,0)</f>
        <v>44283.529667489172</v>
      </c>
      <c r="AD14" s="35">
        <f>IF(AD9=1,Calculations!AD1462,0)</f>
        <v>46366.747996294856</v>
      </c>
      <c r="AE14" s="35">
        <f>IF(AE9=1,Calculations!AE1462,0)</f>
        <v>48535.38531533473</v>
      </c>
      <c r="AF14" s="35">
        <f>IF(AF9=1,Calculations!AF1462,0)</f>
        <v>50792.695033311124</v>
      </c>
      <c r="AG14" s="35">
        <f>IF(AG9=1,Calculations!AG1462,0)</f>
        <v>53142.048925398725</v>
      </c>
      <c r="AH14" s="35">
        <f>IF(AH9=1,Calculations!AH1462,0)</f>
        <v>55586.941307732079</v>
      </c>
      <c r="AI14" s="404"/>
    </row>
    <row r="15" spans="1:35" s="277" customFormat="1" x14ac:dyDescent="0.2">
      <c r="A15" s="2"/>
      <c r="B15" s="25" t="s">
        <v>72</v>
      </c>
      <c r="C15" s="24"/>
      <c r="D15" s="24"/>
      <c r="E15" s="35">
        <f>IF(E9=1,Calculations!E1465,0)</f>
        <v>300</v>
      </c>
      <c r="F15" s="35">
        <f>IF(F9=1,Calculations!F1465,0)</f>
        <v>313.23540396341463</v>
      </c>
      <c r="G15" s="35">
        <f>IF(G9=1,Calculations!G1465,0)</f>
        <v>321.27399657012199</v>
      </c>
      <c r="H15" s="35">
        <f>IF(H9=1,Calculations!H1465,0)</f>
        <v>338.90361552591469</v>
      </c>
      <c r="I15" s="35">
        <f>IF(I9=1,Calculations!I1465,0)</f>
        <v>366.97420635807936</v>
      </c>
      <c r="J15" s="35">
        <f>IF(J9=1,Calculations!J1465,0)</f>
        <v>386.46150781018503</v>
      </c>
      <c r="K15" s="35">
        <f>IF(K9=1,Calculations!K1465,0)</f>
        <v>429.41742784509222</v>
      </c>
      <c r="L15" s="35">
        <f>IF(L9=1,Calculations!L1465,0)</f>
        <v>451.09748591444833</v>
      </c>
      <c r="M15" s="35">
        <f>IF(M9=1,Calculations!M1465,0)</f>
        <v>473.6918717829052</v>
      </c>
      <c r="N15" s="35">
        <f>IF(N9=1,Calculations!N1465,0)</f>
        <v>497.23593306614657</v>
      </c>
      <c r="O15" s="35">
        <f>IF(O9=1,Calculations!O1465,0)</f>
        <v>521.76631534177773</v>
      </c>
      <c r="P15" s="35">
        <f>IF(P9=1,Calculations!P1465,0)</f>
        <v>547.32100821418726</v>
      </c>
      <c r="Q15" s="35">
        <f>IF(Q9=1,Calculations!Q1465,0)</f>
        <v>573.93939297513384</v>
      </c>
      <c r="R15" s="35">
        <f>IF(R9=1,Calculations!R1465,0)</f>
        <v>601.66229191434434</v>
      </c>
      <c r="S15" s="35">
        <f>IF(S9=1,Calculations!S1465,0)</f>
        <v>630.53201933623006</v>
      </c>
      <c r="T15" s="35">
        <f>IF(T9=1,Calculations!T1465,0)</f>
        <v>660.59243434070572</v>
      </c>
      <c r="U15" s="35">
        <f>IF(U9=1,Calculations!U1465,0)</f>
        <v>691.88899542804756</v>
      </c>
      <c r="V15" s="35">
        <f>IF(V9=1,Calculations!V1465,0)</f>
        <v>724.46881698972311</v>
      </c>
      <c r="W15" s="35">
        <f>IF(W9=1,Calculations!W1465,0)</f>
        <v>758.38072774921397</v>
      </c>
      <c r="X15" s="35">
        <f>IF(X9=1,Calculations!X1465,0)</f>
        <v>793.67533121898362</v>
      </c>
      <c r="Y15" s="35">
        <f>IF(Y9=1,Calculations!Y1465,0)</f>
        <v>830.40506824196495</v>
      </c>
      <c r="Z15" s="35">
        <f>IF(Z9=1,Calculations!Z1465,0)</f>
        <v>868.62428168822817</v>
      </c>
      <c r="AA15" s="35">
        <f>IF(AA9=1,Calculations!AA1465,0)</f>
        <v>908.38928337984953</v>
      </c>
      <c r="AB15" s="35">
        <f>IF(AB9=1,Calculations!AB1465,0)</f>
        <v>949.75842331944864</v>
      </c>
      <c r="AC15" s="35">
        <f>IF(AC9=1,Calculations!AC1465,0)</f>
        <v>992.79216130038185</v>
      </c>
      <c r="AD15" s="35">
        <f>IF(AD9=1,Calculations!AD1465,0)</f>
        <v>1037.5531409791834</v>
      </c>
      <c r="AE15" s="35">
        <f>IF(AE9=1,Calculations!AE1465,0)</f>
        <v>1084.106266493543</v>
      </c>
      <c r="AF15" s="35">
        <f>IF(AF9=1,Calculations!AF1465,0)</f>
        <v>1132.5187817118826</v>
      </c>
      <c r="AG15" s="35">
        <f>IF(AG9=1,Calculations!AG1465,0)</f>
        <v>1182.8603522034787</v>
      </c>
      <c r="AH15" s="35">
        <f>IF(AH9=1,Calculations!AH1465,0)</f>
        <v>1235.2031500210298</v>
      </c>
      <c r="AI15" s="404"/>
    </row>
    <row r="16" spans="1:35" s="277" customFormat="1" x14ac:dyDescent="0.2">
      <c r="A16" s="2"/>
      <c r="B16" s="25" t="s">
        <v>288</v>
      </c>
      <c r="C16" s="24"/>
      <c r="D16" s="24"/>
      <c r="E16" s="35">
        <f>IF(E9=1,Calculations!E1467,0)</f>
        <v>300</v>
      </c>
      <c r="F16" s="35">
        <f>IF(F9=1,Calculations!F1467,0)</f>
        <v>302.20238095238102</v>
      </c>
      <c r="G16" s="35">
        <f>IF(G9=1,Calculations!G1467,0)</f>
        <v>304.47083333333336</v>
      </c>
      <c r="H16" s="35">
        <f>IF(H9=1,Calculations!H1467,0)</f>
        <v>306.80733928571431</v>
      </c>
      <c r="I16" s="35">
        <f>IF(I9=1,Calculations!I1467,0)</f>
        <v>309.21394041666667</v>
      </c>
      <c r="J16" s="35">
        <f>IF(J9=1,Calculations!J1467,0)</f>
        <v>311.6927395815477</v>
      </c>
      <c r="K16" s="35">
        <f>IF(K9=1,Calculations!K1467,0)</f>
        <v>314.24590272137505</v>
      </c>
      <c r="L16" s="35">
        <f>IF(L9=1,Calculations!L1467,0)</f>
        <v>316.87566075539723</v>
      </c>
      <c r="M16" s="35">
        <f>IF(M9=1,Calculations!M1467,0)</f>
        <v>319.58431153044012</v>
      </c>
      <c r="N16" s="35">
        <f>IF(N9=1,Calculations!N1467,0)</f>
        <v>322.37422182873428</v>
      </c>
      <c r="O16" s="35">
        <f>IF(O9=1,Calculations!O1467,0)</f>
        <v>325.24782943597722</v>
      </c>
      <c r="P16" s="35">
        <f>IF(P9=1,Calculations!P1467,0)</f>
        <v>328.20764527143751</v>
      </c>
      <c r="Q16" s="35">
        <f>IF(Q9=1,Calculations!Q1467,0)</f>
        <v>331.25625558196157</v>
      </c>
      <c r="R16" s="35">
        <f>IF(R9=1,Calculations!R1467,0)</f>
        <v>334.39632420180141</v>
      </c>
      <c r="S16" s="35">
        <f>IF(S9=1,Calculations!S1467,0)</f>
        <v>337.6305948802364</v>
      </c>
      <c r="T16" s="35">
        <f>IF(T9=1,Calculations!T1467,0)</f>
        <v>340.9618936790244</v>
      </c>
      <c r="U16" s="35">
        <f>IF(U9=1,Calculations!U1467,0)</f>
        <v>344.39313144177606</v>
      </c>
      <c r="V16" s="35">
        <f>IF(V9=1,Calculations!V1467,0)</f>
        <v>347.92730633741036</v>
      </c>
      <c r="W16" s="35">
        <f>IF(W9=1,Calculations!W1467,0)</f>
        <v>351.56750647991362</v>
      </c>
      <c r="X16" s="35">
        <f>IF(X9=1,Calculations!X1467,0)</f>
        <v>355.31691262669199</v>
      </c>
      <c r="Y16" s="35">
        <f>IF(Y9=1,Calculations!Y1467,0)</f>
        <v>359.1788009578737</v>
      </c>
      <c r="Z16" s="35">
        <f>IF(Z9=1,Calculations!Z1467,0)</f>
        <v>363.15654593899086</v>
      </c>
      <c r="AA16" s="35">
        <f>IF(AA9=1,Calculations!AA1467,0)</f>
        <v>367.25362326954155</v>
      </c>
      <c r="AB16" s="35">
        <f>IF(AB9=1,Calculations!AB1467,0)</f>
        <v>371.47361292000875</v>
      </c>
      <c r="AC16" s="35">
        <f>IF(AC9=1,Calculations!AC1467,0)</f>
        <v>375.82020225998997</v>
      </c>
      <c r="AD16" s="35">
        <f>IF(AD9=1,Calculations!AD1467,0)</f>
        <v>380.29718928017058</v>
      </c>
      <c r="AE16" s="35">
        <f>IF(AE9=1,Calculations!AE1467,0)</f>
        <v>384.9084859109567</v>
      </c>
      <c r="AF16" s="35">
        <f>IF(AF9=1,Calculations!AF1467,0)</f>
        <v>389.65812144066638</v>
      </c>
      <c r="AG16" s="35">
        <f>IF(AG9=1,Calculations!AG1467,0)</f>
        <v>394.55024603626731</v>
      </c>
      <c r="AH16" s="35">
        <f>IF(AH9=1,Calculations!AH1467,0)</f>
        <v>399.58913436973631</v>
      </c>
      <c r="AI16" s="404"/>
    </row>
    <row r="17" spans="1:35" s="277" customFormat="1" x14ac:dyDescent="0.2">
      <c r="A17" s="2"/>
      <c r="B17" s="24"/>
      <c r="C17" s="24"/>
      <c r="D17" s="24"/>
      <c r="E17" s="43">
        <f t="shared" ref="E17:AH17" si="2">IF(E9=1,SUM(E13:E16),0)</f>
        <v>13400.457735733904</v>
      </c>
      <c r="F17" s="43">
        <f t="shared" si="2"/>
        <v>29113.093246561657</v>
      </c>
      <c r="G17" s="43">
        <f t="shared" si="2"/>
        <v>45156.931650087368</v>
      </c>
      <c r="H17" s="43">
        <f t="shared" si="2"/>
        <v>62446.713937912078</v>
      </c>
      <c r="I17" s="43">
        <f t="shared" si="2"/>
        <v>81528.952251035967</v>
      </c>
      <c r="J17" s="43">
        <f t="shared" si="2"/>
        <v>101550.76747078949</v>
      </c>
      <c r="K17" s="43">
        <f t="shared" si="2"/>
        <v>124834.85520345572</v>
      </c>
      <c r="L17" s="43">
        <f t="shared" si="2"/>
        <v>148725.44237298294</v>
      </c>
      <c r="M17" s="43">
        <f t="shared" si="2"/>
        <v>174032.90663763019</v>
      </c>
      <c r="N17" s="43">
        <f t="shared" si="2"/>
        <v>200811.78590362633</v>
      </c>
      <c r="O17" s="43">
        <f t="shared" si="2"/>
        <v>228931.27860794219</v>
      </c>
      <c r="P17" s="43">
        <f t="shared" si="2"/>
        <v>258610.02005413463</v>
      </c>
      <c r="Q17" s="43">
        <f t="shared" si="2"/>
        <v>289904.46086094907</v>
      </c>
      <c r="R17" s="43">
        <f t="shared" si="2"/>
        <v>322880.21006571467</v>
      </c>
      <c r="S17" s="43">
        <f t="shared" si="2"/>
        <v>357607.08308754506</v>
      </c>
      <c r="T17" s="43">
        <f t="shared" si="2"/>
        <v>394154.22882793949</v>
      </c>
      <c r="U17" s="43">
        <f t="shared" si="2"/>
        <v>432388.01998572552</v>
      </c>
      <c r="V17" s="43">
        <f t="shared" si="2"/>
        <v>472812.61056532053</v>
      </c>
      <c r="W17" s="43">
        <f t="shared" si="2"/>
        <v>515285.0519784565</v>
      </c>
      <c r="X17" s="43">
        <f t="shared" si="2"/>
        <v>559887.28883846872</v>
      </c>
      <c r="Y17" s="43">
        <f t="shared" si="2"/>
        <v>606700.19732240622</v>
      </c>
      <c r="Z17" s="43">
        <f t="shared" si="2"/>
        <v>655810.0418888022</v>
      </c>
      <c r="AA17" s="43">
        <f t="shared" si="2"/>
        <v>707308.27128971298</v>
      </c>
      <c r="AB17" s="43">
        <f t="shared" si="2"/>
        <v>761286.4311692036</v>
      </c>
      <c r="AC17" s="43">
        <f t="shared" si="2"/>
        <v>817838.50994617969</v>
      </c>
      <c r="AD17" s="43">
        <f t="shared" si="2"/>
        <v>877062.27259529068</v>
      </c>
      <c r="AE17" s="43">
        <f t="shared" si="2"/>
        <v>939033.44483769243</v>
      </c>
      <c r="AF17" s="43">
        <f t="shared" si="2"/>
        <v>1003905.0028643226</v>
      </c>
      <c r="AG17" s="43">
        <f t="shared" si="2"/>
        <v>1071757.9944935769</v>
      </c>
      <c r="AH17" s="43">
        <f t="shared" si="2"/>
        <v>1142695.2447005906</v>
      </c>
      <c r="AI17" s="404"/>
    </row>
    <row r="18" spans="1:35" s="277" customFormat="1" x14ac:dyDescent="0.2">
      <c r="A18" s="2"/>
      <c r="B18" s="23" t="s">
        <v>145</v>
      </c>
      <c r="C18" s="24"/>
      <c r="D18" s="24"/>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404"/>
    </row>
    <row r="19" spans="1:35" s="277" customFormat="1" x14ac:dyDescent="0.2">
      <c r="A19" s="2"/>
      <c r="B19" s="25" t="s">
        <v>74</v>
      </c>
      <c r="C19" s="24"/>
      <c r="D19" s="24"/>
      <c r="E19" s="35">
        <f t="shared" ref="E19:AH19" si="3">IF(E9=1,E64+E109+E154,0)</f>
        <v>3300</v>
      </c>
      <c r="F19" s="35">
        <f t="shared" si="3"/>
        <v>3611.1249984621445</v>
      </c>
      <c r="G19" s="35">
        <f t="shared" si="3"/>
        <v>4190.7158415124504</v>
      </c>
      <c r="H19" s="35">
        <f t="shared" si="3"/>
        <v>4744.5220571753052</v>
      </c>
      <c r="I19" s="35">
        <f t="shared" si="3"/>
        <v>5277.5436454507098</v>
      </c>
      <c r="J19" s="35">
        <f t="shared" si="3"/>
        <v>5784.7806063386633</v>
      </c>
      <c r="K19" s="35">
        <f t="shared" si="3"/>
        <v>6266.2329398391666</v>
      </c>
      <c r="L19" s="35">
        <f t="shared" si="3"/>
        <v>6736.9006459522179</v>
      </c>
      <c r="M19" s="35">
        <f t="shared" si="3"/>
        <v>7182.7480103921043</v>
      </c>
      <c r="N19" s="35">
        <f t="shared" si="3"/>
        <v>7607.3359427961723</v>
      </c>
      <c r="O19" s="35">
        <f t="shared" si="3"/>
        <v>8005.8397587324453</v>
      </c>
      <c r="P19" s="35">
        <f t="shared" si="3"/>
        <v>8382.7159799400524</v>
      </c>
      <c r="Q19" s="35">
        <f t="shared" si="3"/>
        <v>8736.9646064189947</v>
      </c>
      <c r="R19" s="35">
        <f t="shared" si="3"/>
        <v>9074.3610004881139</v>
      </c>
      <c r="S19" s="35">
        <f t="shared" si="3"/>
        <v>9385.9051621474064</v>
      </c>
      <c r="T19" s="35">
        <f t="shared" si="3"/>
        <v>9684.8016368514218</v>
      </c>
      <c r="U19" s="35">
        <f t="shared" si="3"/>
        <v>9956.6848942971264</v>
      </c>
      <c r="V19" s="35">
        <f t="shared" si="3"/>
        <v>10210.692415283293</v>
      </c>
      <c r="W19" s="35">
        <f t="shared" si="3"/>
        <v>10455.443247428968</v>
      </c>
      <c r="X19" s="35">
        <f t="shared" si="3"/>
        <v>10675.980868995022</v>
      </c>
      <c r="Y19" s="35">
        <f t="shared" si="3"/>
        <v>10885.128452556044</v>
      </c>
      <c r="Z19" s="35">
        <f t="shared" si="3"/>
        <v>11074.287599942694</v>
      </c>
      <c r="AA19" s="35">
        <f t="shared" si="3"/>
        <v>11235.958311154973</v>
      </c>
      <c r="AB19" s="35">
        <f t="shared" si="3"/>
        <v>11370.140586192882</v>
      </c>
      <c r="AC19" s="35">
        <f t="shared" si="3"/>
        <v>11479.064341953925</v>
      </c>
      <c r="AD19" s="35">
        <f t="shared" si="3"/>
        <v>11560.499661540598</v>
      </c>
      <c r="AE19" s="35">
        <f t="shared" si="3"/>
        <v>11614.446544952898</v>
      </c>
      <c r="AF19" s="35">
        <f t="shared" si="3"/>
        <v>11640.90499219083</v>
      </c>
      <c r="AG19" s="35">
        <f t="shared" si="3"/>
        <v>11644.234270988942</v>
      </c>
      <c r="AH19" s="35">
        <f t="shared" si="3"/>
        <v>11678.827592636333</v>
      </c>
      <c r="AI19" s="404"/>
    </row>
    <row r="20" spans="1:35" s="277" customFormat="1" x14ac:dyDescent="0.2">
      <c r="A20" s="2"/>
      <c r="B20" s="25" t="s">
        <v>328</v>
      </c>
      <c r="C20" s="24"/>
      <c r="D20" s="24"/>
      <c r="E20" s="35">
        <f t="shared" ref="E20:AH20" si="4">IF(E9=1,E65+E110+E155,0)</f>
        <v>30</v>
      </c>
      <c r="F20" s="35">
        <f t="shared" si="4"/>
        <v>30</v>
      </c>
      <c r="G20" s="35">
        <f t="shared" si="4"/>
        <v>30</v>
      </c>
      <c r="H20" s="35">
        <f t="shared" si="4"/>
        <v>30</v>
      </c>
      <c r="I20" s="35">
        <f t="shared" si="4"/>
        <v>30</v>
      </c>
      <c r="J20" s="35">
        <f t="shared" si="4"/>
        <v>30</v>
      </c>
      <c r="K20" s="35">
        <f t="shared" si="4"/>
        <v>30</v>
      </c>
      <c r="L20" s="35">
        <f t="shared" si="4"/>
        <v>30</v>
      </c>
      <c r="M20" s="35">
        <f t="shared" si="4"/>
        <v>30</v>
      </c>
      <c r="N20" s="35">
        <f t="shared" si="4"/>
        <v>30</v>
      </c>
      <c r="O20" s="35">
        <f t="shared" si="4"/>
        <v>30</v>
      </c>
      <c r="P20" s="35">
        <f t="shared" si="4"/>
        <v>30</v>
      </c>
      <c r="Q20" s="35">
        <f t="shared" si="4"/>
        <v>30</v>
      </c>
      <c r="R20" s="35">
        <f t="shared" si="4"/>
        <v>30</v>
      </c>
      <c r="S20" s="35">
        <f t="shared" si="4"/>
        <v>30</v>
      </c>
      <c r="T20" s="35">
        <f t="shared" si="4"/>
        <v>30</v>
      </c>
      <c r="U20" s="35">
        <f t="shared" si="4"/>
        <v>30</v>
      </c>
      <c r="V20" s="35">
        <f t="shared" si="4"/>
        <v>30</v>
      </c>
      <c r="W20" s="35">
        <f t="shared" si="4"/>
        <v>30</v>
      </c>
      <c r="X20" s="35">
        <f t="shared" si="4"/>
        <v>30</v>
      </c>
      <c r="Y20" s="35">
        <f t="shared" si="4"/>
        <v>30</v>
      </c>
      <c r="Z20" s="35">
        <f t="shared" si="4"/>
        <v>30</v>
      </c>
      <c r="AA20" s="35">
        <f t="shared" si="4"/>
        <v>30</v>
      </c>
      <c r="AB20" s="35">
        <f t="shared" si="4"/>
        <v>30</v>
      </c>
      <c r="AC20" s="35">
        <f t="shared" si="4"/>
        <v>30</v>
      </c>
      <c r="AD20" s="35">
        <f t="shared" si="4"/>
        <v>30</v>
      </c>
      <c r="AE20" s="35">
        <f t="shared" si="4"/>
        <v>30</v>
      </c>
      <c r="AF20" s="35">
        <f t="shared" si="4"/>
        <v>30</v>
      </c>
      <c r="AG20" s="35">
        <f t="shared" si="4"/>
        <v>30</v>
      </c>
      <c r="AH20" s="35">
        <f t="shared" si="4"/>
        <v>30</v>
      </c>
      <c r="AI20" s="404"/>
    </row>
    <row r="21" spans="1:35" s="277" customFormat="1" x14ac:dyDescent="0.2">
      <c r="A21" s="2"/>
      <c r="B21" s="24"/>
      <c r="C21" s="24"/>
      <c r="D21" s="24"/>
      <c r="E21" s="43">
        <f t="shared" ref="E21:AH21" si="5">IF(E9=1,SUM(E19:E20),0)</f>
        <v>3330</v>
      </c>
      <c r="F21" s="43">
        <f t="shared" si="5"/>
        <v>3641.1249984621445</v>
      </c>
      <c r="G21" s="43">
        <f t="shared" si="5"/>
        <v>4220.7158415124504</v>
      </c>
      <c r="H21" s="43">
        <f t="shared" si="5"/>
        <v>4774.5220571753052</v>
      </c>
      <c r="I21" s="43">
        <f t="shared" si="5"/>
        <v>5307.5436454507098</v>
      </c>
      <c r="J21" s="43">
        <f t="shared" si="5"/>
        <v>5814.7806063386633</v>
      </c>
      <c r="K21" s="43">
        <f t="shared" si="5"/>
        <v>6296.2329398391666</v>
      </c>
      <c r="L21" s="43">
        <f t="shared" si="5"/>
        <v>6766.9006459522179</v>
      </c>
      <c r="M21" s="43">
        <f t="shared" si="5"/>
        <v>7212.7480103921043</v>
      </c>
      <c r="N21" s="43">
        <f t="shared" si="5"/>
        <v>7637.3359427961723</v>
      </c>
      <c r="O21" s="43">
        <f t="shared" si="5"/>
        <v>8035.8397587324453</v>
      </c>
      <c r="P21" s="43">
        <f t="shared" si="5"/>
        <v>8412.7159799400524</v>
      </c>
      <c r="Q21" s="43">
        <f t="shared" si="5"/>
        <v>8766.9646064189947</v>
      </c>
      <c r="R21" s="43">
        <f t="shared" si="5"/>
        <v>9104.3610004881139</v>
      </c>
      <c r="S21" s="43">
        <f t="shared" si="5"/>
        <v>9415.9051621474064</v>
      </c>
      <c r="T21" s="43">
        <f t="shared" si="5"/>
        <v>9714.8016368514218</v>
      </c>
      <c r="U21" s="43">
        <f t="shared" si="5"/>
        <v>9986.6848942971264</v>
      </c>
      <c r="V21" s="43">
        <f t="shared" si="5"/>
        <v>10240.692415283293</v>
      </c>
      <c r="W21" s="43">
        <f t="shared" si="5"/>
        <v>10485.443247428968</v>
      </c>
      <c r="X21" s="43">
        <f t="shared" si="5"/>
        <v>10705.980868995022</v>
      </c>
      <c r="Y21" s="43">
        <f t="shared" si="5"/>
        <v>10915.128452556044</v>
      </c>
      <c r="Z21" s="43">
        <f t="shared" si="5"/>
        <v>11104.287599942694</v>
      </c>
      <c r="AA21" s="43">
        <f t="shared" si="5"/>
        <v>11265.958311154973</v>
      </c>
      <c r="AB21" s="43">
        <f t="shared" si="5"/>
        <v>11400.140586192882</v>
      </c>
      <c r="AC21" s="43">
        <f t="shared" si="5"/>
        <v>11509.064341953925</v>
      </c>
      <c r="AD21" s="43">
        <f t="shared" si="5"/>
        <v>11590.499661540598</v>
      </c>
      <c r="AE21" s="43">
        <f t="shared" si="5"/>
        <v>11644.446544952898</v>
      </c>
      <c r="AF21" s="43">
        <f t="shared" si="5"/>
        <v>11670.90499219083</v>
      </c>
      <c r="AG21" s="43">
        <f t="shared" si="5"/>
        <v>11674.234270988942</v>
      </c>
      <c r="AH21" s="43">
        <f t="shared" si="5"/>
        <v>11708.827592636333</v>
      </c>
      <c r="AI21" s="404"/>
    </row>
    <row r="22" spans="1:35" s="277" customFormat="1" ht="16" thickBot="1" x14ac:dyDescent="0.25">
      <c r="A22" s="2"/>
      <c r="B22" s="26" t="s">
        <v>75</v>
      </c>
      <c r="C22" s="24"/>
      <c r="D22" s="24"/>
      <c r="E22" s="40">
        <f t="shared" ref="E22:AH22" si="6">IF(E9=1,E17+E21,0)</f>
        <v>16730.457735733904</v>
      </c>
      <c r="F22" s="40">
        <f t="shared" si="6"/>
        <v>32754.218245023803</v>
      </c>
      <c r="G22" s="40">
        <f t="shared" si="6"/>
        <v>49377.647491599819</v>
      </c>
      <c r="H22" s="40">
        <f t="shared" si="6"/>
        <v>67221.23599508738</v>
      </c>
      <c r="I22" s="40">
        <f t="shared" si="6"/>
        <v>86836.495896486682</v>
      </c>
      <c r="J22" s="40">
        <f t="shared" si="6"/>
        <v>107365.54807712816</v>
      </c>
      <c r="K22" s="40">
        <f t="shared" si="6"/>
        <v>131131.08814329488</v>
      </c>
      <c r="L22" s="40">
        <f t="shared" si="6"/>
        <v>155492.34301893515</v>
      </c>
      <c r="M22" s="40">
        <f t="shared" si="6"/>
        <v>181245.65464802229</v>
      </c>
      <c r="N22" s="40">
        <f t="shared" si="6"/>
        <v>208449.12184642249</v>
      </c>
      <c r="O22" s="40">
        <f t="shared" si="6"/>
        <v>236967.11836667464</v>
      </c>
      <c r="P22" s="40">
        <f t="shared" si="6"/>
        <v>267022.73603407468</v>
      </c>
      <c r="Q22" s="40">
        <f t="shared" si="6"/>
        <v>298671.42546736804</v>
      </c>
      <c r="R22" s="40">
        <f t="shared" si="6"/>
        <v>331984.57106620277</v>
      </c>
      <c r="S22" s="40">
        <f t="shared" si="6"/>
        <v>367022.98824969248</v>
      </c>
      <c r="T22" s="40">
        <f t="shared" si="6"/>
        <v>403869.03046479088</v>
      </c>
      <c r="U22" s="40">
        <f t="shared" si="6"/>
        <v>442374.70488002268</v>
      </c>
      <c r="V22" s="40">
        <f t="shared" si="6"/>
        <v>483053.30298060382</v>
      </c>
      <c r="W22" s="40">
        <f t="shared" si="6"/>
        <v>525770.49522588542</v>
      </c>
      <c r="X22" s="40">
        <f t="shared" si="6"/>
        <v>570593.2697074638</v>
      </c>
      <c r="Y22" s="40">
        <f t="shared" si="6"/>
        <v>617615.32577496232</v>
      </c>
      <c r="Z22" s="40">
        <f t="shared" si="6"/>
        <v>666914.32948874484</v>
      </c>
      <c r="AA22" s="40">
        <f t="shared" si="6"/>
        <v>718574.22960086796</v>
      </c>
      <c r="AB22" s="40">
        <f t="shared" si="6"/>
        <v>772686.57175539644</v>
      </c>
      <c r="AC22" s="40">
        <f t="shared" si="6"/>
        <v>829347.57428813365</v>
      </c>
      <c r="AD22" s="40">
        <f t="shared" si="6"/>
        <v>888652.77225683129</v>
      </c>
      <c r="AE22" s="40">
        <f t="shared" si="6"/>
        <v>950677.89138264535</v>
      </c>
      <c r="AF22" s="40">
        <f t="shared" si="6"/>
        <v>1015575.9078565135</v>
      </c>
      <c r="AG22" s="40">
        <f t="shared" si="6"/>
        <v>1083432.2287645659</v>
      </c>
      <c r="AH22" s="40">
        <f t="shared" si="6"/>
        <v>1154404.0722932268</v>
      </c>
      <c r="AI22" s="404"/>
    </row>
    <row r="23" spans="1:35" s="277" customFormat="1" x14ac:dyDescent="0.2">
      <c r="A23" s="2"/>
      <c r="B23" s="24"/>
      <c r="C23" s="24"/>
      <c r="D23" s="24"/>
      <c r="E23" s="453"/>
      <c r="F23" s="453"/>
      <c r="G23" s="453"/>
      <c r="H23" s="453"/>
      <c r="I23" s="343"/>
      <c r="J23" s="343"/>
      <c r="K23" s="343"/>
      <c r="L23" s="343"/>
      <c r="M23" s="343"/>
      <c r="N23" s="343"/>
      <c r="O23" s="343"/>
      <c r="P23" s="343"/>
      <c r="Q23" s="343"/>
      <c r="R23" s="343"/>
      <c r="S23" s="343"/>
      <c r="T23" s="343"/>
      <c r="U23" s="343"/>
      <c r="V23" s="343"/>
      <c r="W23" s="343"/>
      <c r="X23" s="343"/>
      <c r="Y23" s="343"/>
      <c r="Z23" s="343"/>
      <c r="AA23" s="343"/>
      <c r="AB23" s="343"/>
      <c r="AC23" s="343"/>
      <c r="AD23" s="343"/>
      <c r="AE23" s="343"/>
      <c r="AF23" s="343"/>
      <c r="AG23" s="343"/>
      <c r="AH23" s="343"/>
    </row>
    <row r="24" spans="1:35" s="277" customFormat="1" x14ac:dyDescent="0.2">
      <c r="A24" s="2"/>
      <c r="B24" s="24"/>
      <c r="C24" s="24"/>
      <c r="D24" s="24"/>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row>
    <row r="25" spans="1:35" s="20" customFormat="1" x14ac:dyDescent="0.2">
      <c r="A25" s="2"/>
      <c r="B25" s="19" t="s">
        <v>76</v>
      </c>
      <c r="E25" s="53"/>
      <c r="G25" s="53"/>
      <c r="H25" s="53"/>
      <c r="I25" s="53"/>
      <c r="J25" s="53"/>
      <c r="K25" s="53"/>
      <c r="L25" s="53"/>
      <c r="M25" s="53"/>
      <c r="N25" s="53"/>
    </row>
    <row r="26" spans="1:35" s="277" customFormat="1" x14ac:dyDescent="0.2">
      <c r="A26" s="2"/>
      <c r="B26" s="23" t="s">
        <v>77</v>
      </c>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row>
    <row r="27" spans="1:35" s="277" customFormat="1" x14ac:dyDescent="0.2">
      <c r="A27" s="2"/>
      <c r="B27" s="25" t="s">
        <v>78</v>
      </c>
      <c r="C27" s="24"/>
      <c r="D27" s="24"/>
      <c r="E27" s="35">
        <f>IF(E9=1,Calculations!E1469,0)</f>
        <v>1400.4577357339031</v>
      </c>
      <c r="F27" s="35">
        <f>IF(F9=1,Calculations!F1469,0)</f>
        <v>1462.7875606360763</v>
      </c>
      <c r="G27" s="35">
        <f>IF(G9=1,Calculations!G1469,0)</f>
        <v>1516.7749969789679</v>
      </c>
      <c r="H27" s="35">
        <f>IF(H9=1,Calculations!H1469,0)</f>
        <v>1618.4452852259951</v>
      </c>
      <c r="I27" s="35">
        <f>IF(I9=1,Calculations!I1469,0)</f>
        <v>1745.4245955555357</v>
      </c>
      <c r="J27" s="35">
        <f>IF(J9=1,Calculations!J1469,0)</f>
        <v>1817.5368702109254</v>
      </c>
      <c r="K27" s="35">
        <f>IF(K9=1,Calculations!K1469,0)</f>
        <v>1943.2100056870672</v>
      </c>
      <c r="L27" s="35">
        <f>IF(L9=1,Calculations!L1469,0)</f>
        <v>2022.4585894368352</v>
      </c>
      <c r="M27" s="35">
        <f>IF(M9=1,Calculations!M1469,0)</f>
        <v>2104.7131992064706</v>
      </c>
      <c r="N27" s="35">
        <f>IF(N9=1,Calculations!N1469,0)</f>
        <v>2190.0828728317929</v>
      </c>
      <c r="O27" s="35">
        <f>IF(O9=1,Calculations!O1469,0)</f>
        <v>2278.680484995346</v>
      </c>
      <c r="P27" s="35">
        <f>IF(P9=1,Calculations!P1469,0)</f>
        <v>2370.6228793031651</v>
      </c>
      <c r="Q27" s="35">
        <f>IF(Q9=1,Calculations!Q1469,0)</f>
        <v>2466.0310048329575</v>
      </c>
      <c r="R27" s="35">
        <f>IF(R9=1,Calculations!R1469,0)</f>
        <v>2565.0300573031654</v>
      </c>
      <c r="S27" s="35">
        <f>IF(S9=1,Calculations!S1469,0)</f>
        <v>2667.7496250172371</v>
      </c>
      <c r="T27" s="35">
        <f>IF(T9=1,Calculations!T1469,0)</f>
        <v>2774.3238397425775</v>
      </c>
      <c r="U27" s="35">
        <f>IF(U9=1,Calculations!U1469,0)</f>
        <v>2884.8915326889228</v>
      </c>
      <c r="V27" s="35">
        <f>IF(V9=1,Calculations!V1469,0)</f>
        <v>2999.5963957562835</v>
      </c>
      <c r="W27" s="35">
        <f>IF(W9=1,Calculations!W1469,0)</f>
        <v>3118.5871482282619</v>
      </c>
      <c r="X27" s="35">
        <f>IF(X9=1,Calculations!X1469,0)</f>
        <v>3242.0177090923798</v>
      </c>
      <c r="Y27" s="35">
        <f>IF(Y9=1,Calculations!Y1469,0)</f>
        <v>3370.0473751749405</v>
      </c>
      <c r="Z27" s="35">
        <f>IF(Z9=1,Calculations!Z1469,0)</f>
        <v>3502.8410052842719</v>
      </c>
      <c r="AA27" s="35">
        <f>IF(AA9=1,Calculations!AA1469,0)</f>
        <v>3640.5692105625067</v>
      </c>
      <c r="AB27" s="35">
        <f>IF(AB9=1,Calculations!AB1469,0)</f>
        <v>3783.4085512526763</v>
      </c>
      <c r="AC27" s="35">
        <f>IF(AC9=1,Calculations!AC1469,0)</f>
        <v>3931.5417400947508</v>
      </c>
      <c r="AD27" s="35">
        <f>IF(AD9=1,Calculations!AD1469,0)</f>
        <v>4085.1578525712212</v>
      </c>
      <c r="AE27" s="35">
        <f>IF(AE9=1,Calculations!AE1469,0)</f>
        <v>4244.4525442301965</v>
      </c>
      <c r="AF27" s="35">
        <f>IF(AF9=1,Calculations!AF1469,0)</f>
        <v>4409.6282753213964</v>
      </c>
      <c r="AG27" s="35">
        <f>IF(AG9=1,Calculations!AG1469,0)</f>
        <v>4580.8945429882588</v>
      </c>
      <c r="AH27" s="35">
        <f>IF(AH9=1,Calculations!AH1469,0)</f>
        <v>4758.4681212673459</v>
      </c>
    </row>
    <row r="28" spans="1:35" s="277" customFormat="1" x14ac:dyDescent="0.2">
      <c r="A28" s="2"/>
      <c r="B28" s="25" t="s">
        <v>290</v>
      </c>
      <c r="C28" s="24"/>
      <c r="D28" s="24"/>
      <c r="E28" s="35">
        <f>IF(E9=1,Calculations!E1472,0)</f>
        <v>300</v>
      </c>
      <c r="F28" s="35">
        <f>IF(F9=1,Calculations!F1472,0)</f>
        <v>309</v>
      </c>
      <c r="G28" s="35">
        <f>IF(G9=1,Calculations!G1472,0)</f>
        <v>318.27000000000004</v>
      </c>
      <c r="H28" s="35">
        <f>IF(H9=1,Calculations!H1472,0)</f>
        <v>327.81810000000002</v>
      </c>
      <c r="I28" s="35">
        <f>IF(I9=1,Calculations!I1472,0)</f>
        <v>337.65264300000001</v>
      </c>
      <c r="J28" s="35">
        <f>IF(J9=1,Calculations!J1472,0)</f>
        <v>347.78222229000005</v>
      </c>
      <c r="K28" s="35">
        <f>IF(K9=1,Calculations!K1472,0)</f>
        <v>358.21568895870001</v>
      </c>
      <c r="L28" s="35">
        <f>IF(L9=1,Calculations!L1472,0)</f>
        <v>368.96215962746106</v>
      </c>
      <c r="M28" s="35">
        <f>IF(M9=1,Calculations!M1472,0)</f>
        <v>380.03102441628488</v>
      </c>
      <c r="N28" s="35">
        <f>IF(N9=1,Calculations!N1472,0)</f>
        <v>391.43195514877345</v>
      </c>
      <c r="O28" s="35">
        <f>IF(O9=1,Calculations!O1472,0)</f>
        <v>403.17491380323668</v>
      </c>
      <c r="P28" s="35">
        <f>IF(P9=1,Calculations!P1472,0)</f>
        <v>415.27016121733379</v>
      </c>
      <c r="Q28" s="35">
        <f>IF(Q9=1,Calculations!Q1472,0)</f>
        <v>427.72826605385376</v>
      </c>
      <c r="R28" s="35">
        <f>IF(R9=1,Calculations!R1472,0)</f>
        <v>440.56011403546944</v>
      </c>
      <c r="S28" s="35">
        <f>IF(S9=1,Calculations!S1472,0)</f>
        <v>453.77691745653345</v>
      </c>
      <c r="T28" s="35">
        <f>IF(T9=1,Calculations!T1472,0)</f>
        <v>467.39022498022945</v>
      </c>
      <c r="U28" s="35">
        <f>IF(U9=1,Calculations!U1472,0)</f>
        <v>481.41193172963631</v>
      </c>
      <c r="V28" s="35">
        <f>IF(V9=1,Calculations!V1472,0)</f>
        <v>495.85428968152536</v>
      </c>
      <c r="W28" s="35">
        <f>IF(W9=1,Calculations!W1472,0)</f>
        <v>510.72991837197117</v>
      </c>
      <c r="X28" s="35">
        <f>IF(X9=1,Calculations!X1472,0)</f>
        <v>526.05181592313033</v>
      </c>
      <c r="Y28" s="35">
        <f>IF(Y9=1,Calculations!Y1472,0)</f>
        <v>541.83337040082438</v>
      </c>
      <c r="Z28" s="35">
        <f>IF(Z9=1,Calculations!Z1472,0)</f>
        <v>558.08837151284911</v>
      </c>
      <c r="AA28" s="35">
        <f>IF(AA9=1,Calculations!AA1472,0)</f>
        <v>574.83102265823459</v>
      </c>
      <c r="AB28" s="35">
        <f>IF(AB9=1,Calculations!AB1472,0)</f>
        <v>592.07595333798167</v>
      </c>
      <c r="AC28" s="35">
        <f>IF(AC9=1,Calculations!AC1472,0)</f>
        <v>609.83823193812111</v>
      </c>
      <c r="AD28" s="35">
        <f>IF(AD9=1,Calculations!AD1472,0)</f>
        <v>628.13337889626473</v>
      </c>
      <c r="AE28" s="35">
        <f>IF(AE9=1,Calculations!AE1472,0)</f>
        <v>646.97738026315244</v>
      </c>
      <c r="AF28" s="35">
        <f>IF(AF9=1,Calculations!AF1472,0)</f>
        <v>666.38670167104715</v>
      </c>
      <c r="AG28" s="35">
        <f>IF(AG9=1,Calculations!AG1472,0)</f>
        <v>686.37830272117867</v>
      </c>
      <c r="AH28" s="35">
        <f>IF(AH9=1,Calculations!AH1472,0)</f>
        <v>706.96965180281404</v>
      </c>
    </row>
    <row r="29" spans="1:35" s="277" customFormat="1" x14ac:dyDescent="0.2">
      <c r="A29" s="2"/>
      <c r="B29" s="25" t="s">
        <v>418</v>
      </c>
      <c r="C29" s="24"/>
      <c r="D29" s="24"/>
      <c r="E29" s="35">
        <f t="shared" ref="E29:AH29" si="7">IF(E9=1,E74+E119+E164,0)</f>
        <v>47.5</v>
      </c>
      <c r="F29" s="35">
        <f t="shared" si="7"/>
        <v>107.5</v>
      </c>
      <c r="G29" s="35">
        <f t="shared" si="7"/>
        <v>77.5</v>
      </c>
      <c r="H29" s="35">
        <f t="shared" si="7"/>
        <v>77.5</v>
      </c>
      <c r="I29" s="35">
        <f t="shared" si="7"/>
        <v>77.5</v>
      </c>
      <c r="J29" s="35">
        <f t="shared" si="7"/>
        <v>77.5</v>
      </c>
      <c r="K29" s="35">
        <f t="shared" si="7"/>
        <v>84.939506666915292</v>
      </c>
      <c r="L29" s="35">
        <f t="shared" si="7"/>
        <v>85.307442498607458</v>
      </c>
      <c r="M29" s="35">
        <f t="shared" si="7"/>
        <v>85.738398074929933</v>
      </c>
      <c r="N29" s="35">
        <f t="shared" si="7"/>
        <v>64.094414864335292</v>
      </c>
      <c r="O29" s="35">
        <f t="shared" si="7"/>
        <v>9.6624153580774621</v>
      </c>
      <c r="P29" s="35">
        <f t="shared" si="7"/>
        <v>10.24214612536878</v>
      </c>
      <c r="Q29" s="35">
        <f t="shared" si="7"/>
        <v>10.857626130981783</v>
      </c>
      <c r="R29" s="35">
        <f t="shared" si="7"/>
        <v>11.511116225829554</v>
      </c>
      <c r="S29" s="35">
        <f t="shared" si="7"/>
        <v>12.205023440600621</v>
      </c>
      <c r="T29" s="35">
        <f t="shared" si="7"/>
        <v>687.94191061435379</v>
      </c>
      <c r="U29" s="35">
        <f t="shared" si="7"/>
        <v>0</v>
      </c>
      <c r="V29" s="35">
        <f t="shared" si="7"/>
        <v>0</v>
      </c>
      <c r="W29" s="35">
        <f t="shared" si="7"/>
        <v>0</v>
      </c>
      <c r="X29" s="35">
        <f t="shared" si="7"/>
        <v>0</v>
      </c>
      <c r="Y29" s="35">
        <f t="shared" si="7"/>
        <v>0</v>
      </c>
      <c r="Z29" s="35">
        <f t="shared" si="7"/>
        <v>0</v>
      </c>
      <c r="AA29" s="35">
        <f t="shared" si="7"/>
        <v>0</v>
      </c>
      <c r="AB29" s="35">
        <f t="shared" si="7"/>
        <v>0</v>
      </c>
      <c r="AC29" s="35">
        <f t="shared" si="7"/>
        <v>0</v>
      </c>
      <c r="AD29" s="35">
        <f t="shared" si="7"/>
        <v>50</v>
      </c>
      <c r="AE29" s="35">
        <f t="shared" si="7"/>
        <v>0</v>
      </c>
      <c r="AF29" s="35">
        <f t="shared" si="7"/>
        <v>0</v>
      </c>
      <c r="AG29" s="35">
        <f t="shared" si="7"/>
        <v>0</v>
      </c>
      <c r="AH29" s="35">
        <f t="shared" si="7"/>
        <v>0</v>
      </c>
    </row>
    <row r="30" spans="1:35" s="277" customFormat="1" x14ac:dyDescent="0.2">
      <c r="A30" s="2"/>
      <c r="B30" s="24"/>
      <c r="C30" s="24"/>
      <c r="D30" s="24"/>
      <c r="E30" s="43">
        <f t="shared" ref="E30:AH30" si="8">IF(E9=1,SUM(E27:E29),0)</f>
        <v>1747.9577357339031</v>
      </c>
      <c r="F30" s="43">
        <f t="shared" si="8"/>
        <v>1879.2875606360763</v>
      </c>
      <c r="G30" s="43">
        <f t="shared" si="8"/>
        <v>1912.5449969789679</v>
      </c>
      <c r="H30" s="43">
        <f t="shared" si="8"/>
        <v>2023.7633852259951</v>
      </c>
      <c r="I30" s="43">
        <f t="shared" si="8"/>
        <v>2160.5772385555356</v>
      </c>
      <c r="J30" s="43">
        <f t="shared" si="8"/>
        <v>2242.8190925009253</v>
      </c>
      <c r="K30" s="43">
        <f t="shared" si="8"/>
        <v>2386.3652013126825</v>
      </c>
      <c r="L30" s="43">
        <f t="shared" si="8"/>
        <v>2476.7281915629037</v>
      </c>
      <c r="M30" s="43">
        <f t="shared" si="8"/>
        <v>2570.4826216976853</v>
      </c>
      <c r="N30" s="43">
        <f t="shared" si="8"/>
        <v>2645.6092428449015</v>
      </c>
      <c r="O30" s="43">
        <f t="shared" si="8"/>
        <v>2691.5178141566598</v>
      </c>
      <c r="P30" s="43">
        <f t="shared" si="8"/>
        <v>2796.1351866458676</v>
      </c>
      <c r="Q30" s="43">
        <f t="shared" si="8"/>
        <v>2904.6168970177932</v>
      </c>
      <c r="R30" s="43">
        <f t="shared" si="8"/>
        <v>3017.1012875644642</v>
      </c>
      <c r="S30" s="43">
        <f t="shared" si="8"/>
        <v>3133.731565914371</v>
      </c>
      <c r="T30" s="43">
        <f t="shared" si="8"/>
        <v>3929.6559753371607</v>
      </c>
      <c r="U30" s="43">
        <f t="shared" si="8"/>
        <v>3366.3034644185591</v>
      </c>
      <c r="V30" s="43">
        <f t="shared" si="8"/>
        <v>3495.4506854378087</v>
      </c>
      <c r="W30" s="43">
        <f t="shared" si="8"/>
        <v>3629.3170666002329</v>
      </c>
      <c r="X30" s="43">
        <f t="shared" si="8"/>
        <v>3768.0695250155104</v>
      </c>
      <c r="Y30" s="43">
        <f t="shared" si="8"/>
        <v>3911.8807455757651</v>
      </c>
      <c r="Z30" s="43">
        <f t="shared" si="8"/>
        <v>4060.9293767971212</v>
      </c>
      <c r="AA30" s="43">
        <f t="shared" si="8"/>
        <v>4215.400233220741</v>
      </c>
      <c r="AB30" s="43">
        <f t="shared" si="8"/>
        <v>4375.4845045906577</v>
      </c>
      <c r="AC30" s="43">
        <f t="shared" si="8"/>
        <v>4541.3799720328716</v>
      </c>
      <c r="AD30" s="43">
        <f t="shared" si="8"/>
        <v>4763.2912314674859</v>
      </c>
      <c r="AE30" s="43">
        <f t="shared" si="8"/>
        <v>4891.4299244933491</v>
      </c>
      <c r="AF30" s="43">
        <f t="shared" si="8"/>
        <v>5076.0149769924437</v>
      </c>
      <c r="AG30" s="43">
        <f t="shared" si="8"/>
        <v>5267.2728457094372</v>
      </c>
      <c r="AH30" s="43">
        <f t="shared" si="8"/>
        <v>5465.4377730701599</v>
      </c>
    </row>
    <row r="31" spans="1:35" s="277" customFormat="1" x14ac:dyDescent="0.2">
      <c r="A31" s="2"/>
      <c r="B31" s="23" t="s">
        <v>144</v>
      </c>
      <c r="C31" s="24"/>
      <c r="D31" s="24"/>
      <c r="E31" s="35"/>
      <c r="F31" s="35"/>
      <c r="G31" s="35"/>
      <c r="H31" s="35"/>
      <c r="I31" s="35"/>
      <c r="J31" s="35"/>
      <c r="K31" s="35"/>
      <c r="L31" s="35"/>
      <c r="M31" s="35"/>
      <c r="N31" s="35"/>
      <c r="O31" s="35"/>
      <c r="P31" s="35"/>
      <c r="Q31" s="35"/>
      <c r="R31" s="35"/>
      <c r="S31" s="35"/>
      <c r="T31" s="35"/>
      <c r="U31" s="35"/>
      <c r="V31" s="35"/>
      <c r="W31" s="35"/>
      <c r="X31" s="35"/>
      <c r="Y31" s="35"/>
      <c r="Z31" s="35"/>
      <c r="AA31" s="35"/>
      <c r="AB31" s="35"/>
      <c r="AC31" s="35"/>
      <c r="AD31" s="35"/>
      <c r="AE31" s="35"/>
      <c r="AF31" s="35"/>
      <c r="AG31" s="35"/>
      <c r="AH31" s="35"/>
    </row>
    <row r="32" spans="1:35" s="277" customFormat="1" x14ac:dyDescent="0.2">
      <c r="A32" s="2"/>
      <c r="B32" s="25" t="s">
        <v>79</v>
      </c>
      <c r="C32" s="24"/>
      <c r="D32" s="24"/>
      <c r="E32" s="35">
        <f t="shared" ref="E32:AH32" si="9">IF(E$9=1,E77+E122+E167,0)</f>
        <v>705</v>
      </c>
      <c r="F32" s="35">
        <f t="shared" si="9"/>
        <v>597.5</v>
      </c>
      <c r="G32" s="35">
        <f t="shared" si="9"/>
        <v>695</v>
      </c>
      <c r="H32" s="35">
        <f t="shared" si="9"/>
        <v>792.5</v>
      </c>
      <c r="I32" s="35">
        <f t="shared" si="9"/>
        <v>890</v>
      </c>
      <c r="J32" s="35">
        <f t="shared" si="9"/>
        <v>987.5</v>
      </c>
      <c r="K32" s="35">
        <f t="shared" si="9"/>
        <v>1077.5604933330847</v>
      </c>
      <c r="L32" s="35">
        <f t="shared" si="9"/>
        <v>992.25305083447722</v>
      </c>
      <c r="M32" s="35">
        <f t="shared" si="9"/>
        <v>906.51465275954729</v>
      </c>
      <c r="N32" s="35">
        <f t="shared" si="9"/>
        <v>842.42023789521204</v>
      </c>
      <c r="O32" s="35">
        <f t="shared" si="9"/>
        <v>832.75782253713453</v>
      </c>
      <c r="P32" s="35">
        <f t="shared" si="9"/>
        <v>822.51567641176575</v>
      </c>
      <c r="Q32" s="35">
        <f t="shared" si="9"/>
        <v>811.65805028078398</v>
      </c>
      <c r="R32" s="35">
        <f t="shared" si="9"/>
        <v>800.14693405495439</v>
      </c>
      <c r="S32" s="35">
        <f t="shared" si="9"/>
        <v>787.94191061435379</v>
      </c>
      <c r="T32" s="35">
        <f t="shared" si="9"/>
        <v>100</v>
      </c>
      <c r="U32" s="35">
        <f t="shared" si="9"/>
        <v>100</v>
      </c>
      <c r="V32" s="35">
        <f t="shared" si="9"/>
        <v>100</v>
      </c>
      <c r="W32" s="35">
        <f t="shared" si="9"/>
        <v>100</v>
      </c>
      <c r="X32" s="35">
        <f t="shared" si="9"/>
        <v>100</v>
      </c>
      <c r="Y32" s="35">
        <f t="shared" si="9"/>
        <v>100</v>
      </c>
      <c r="Z32" s="35">
        <f t="shared" si="9"/>
        <v>100</v>
      </c>
      <c r="AA32" s="35">
        <f t="shared" si="9"/>
        <v>100</v>
      </c>
      <c r="AB32" s="35">
        <f t="shared" si="9"/>
        <v>100</v>
      </c>
      <c r="AC32" s="35">
        <f t="shared" si="9"/>
        <v>100</v>
      </c>
      <c r="AD32" s="35">
        <f t="shared" si="9"/>
        <v>50</v>
      </c>
      <c r="AE32" s="35">
        <f t="shared" si="9"/>
        <v>50</v>
      </c>
      <c r="AF32" s="35">
        <f t="shared" si="9"/>
        <v>50</v>
      </c>
      <c r="AG32" s="35">
        <f t="shared" si="9"/>
        <v>50</v>
      </c>
      <c r="AH32" s="35">
        <f t="shared" si="9"/>
        <v>50</v>
      </c>
    </row>
    <row r="33" spans="1:34" s="277" customFormat="1" x14ac:dyDescent="0.2">
      <c r="A33" s="2"/>
      <c r="B33" s="25" t="s">
        <v>327</v>
      </c>
      <c r="C33" s="24"/>
      <c r="D33" s="24"/>
      <c r="E33" s="35">
        <f t="shared" ref="E33:AH33" si="10">IF(E$9=1,E78+E123+E168,0)</f>
        <v>60</v>
      </c>
      <c r="F33" s="35">
        <f t="shared" si="10"/>
        <v>60</v>
      </c>
      <c r="G33" s="35">
        <f t="shared" si="10"/>
        <v>60</v>
      </c>
      <c r="H33" s="35">
        <f t="shared" si="10"/>
        <v>60</v>
      </c>
      <c r="I33" s="35">
        <f t="shared" si="10"/>
        <v>60</v>
      </c>
      <c r="J33" s="35">
        <f t="shared" si="10"/>
        <v>60</v>
      </c>
      <c r="K33" s="35">
        <f t="shared" si="10"/>
        <v>60</v>
      </c>
      <c r="L33" s="35">
        <f t="shared" si="10"/>
        <v>60</v>
      </c>
      <c r="M33" s="35">
        <f t="shared" si="10"/>
        <v>60</v>
      </c>
      <c r="N33" s="35">
        <f t="shared" si="10"/>
        <v>60</v>
      </c>
      <c r="O33" s="35">
        <f t="shared" si="10"/>
        <v>60</v>
      </c>
      <c r="P33" s="35">
        <f t="shared" si="10"/>
        <v>60</v>
      </c>
      <c r="Q33" s="35">
        <f t="shared" si="10"/>
        <v>60</v>
      </c>
      <c r="R33" s="35">
        <f t="shared" si="10"/>
        <v>60</v>
      </c>
      <c r="S33" s="35">
        <f t="shared" si="10"/>
        <v>60</v>
      </c>
      <c r="T33" s="35">
        <f t="shared" si="10"/>
        <v>60</v>
      </c>
      <c r="U33" s="35">
        <f t="shared" si="10"/>
        <v>60</v>
      </c>
      <c r="V33" s="35">
        <f t="shared" si="10"/>
        <v>60</v>
      </c>
      <c r="W33" s="35">
        <f t="shared" si="10"/>
        <v>60</v>
      </c>
      <c r="X33" s="35">
        <f t="shared" si="10"/>
        <v>60</v>
      </c>
      <c r="Y33" s="35">
        <f t="shared" si="10"/>
        <v>60</v>
      </c>
      <c r="Z33" s="35">
        <f t="shared" si="10"/>
        <v>60</v>
      </c>
      <c r="AA33" s="35">
        <f t="shared" si="10"/>
        <v>60</v>
      </c>
      <c r="AB33" s="35">
        <f t="shared" si="10"/>
        <v>60</v>
      </c>
      <c r="AC33" s="35">
        <f t="shared" si="10"/>
        <v>60</v>
      </c>
      <c r="AD33" s="35">
        <f t="shared" si="10"/>
        <v>60</v>
      </c>
      <c r="AE33" s="35">
        <f t="shared" si="10"/>
        <v>60</v>
      </c>
      <c r="AF33" s="35">
        <f t="shared" si="10"/>
        <v>60</v>
      </c>
      <c r="AG33" s="35">
        <f t="shared" si="10"/>
        <v>60</v>
      </c>
      <c r="AH33" s="35">
        <f t="shared" si="10"/>
        <v>60</v>
      </c>
    </row>
    <row r="34" spans="1:34" s="277" customFormat="1" x14ac:dyDescent="0.2">
      <c r="A34" s="2"/>
      <c r="B34" s="24"/>
      <c r="C34" s="24"/>
      <c r="D34" s="24"/>
      <c r="E34" s="43">
        <f t="shared" ref="E34:AH34" si="11">IF(E9=1,SUM(E32:E33),0)</f>
        <v>765</v>
      </c>
      <c r="F34" s="43">
        <f t="shared" si="11"/>
        <v>657.5</v>
      </c>
      <c r="G34" s="43">
        <f t="shared" si="11"/>
        <v>755</v>
      </c>
      <c r="H34" s="43">
        <f t="shared" si="11"/>
        <v>852.5</v>
      </c>
      <c r="I34" s="43">
        <f t="shared" si="11"/>
        <v>950</v>
      </c>
      <c r="J34" s="43">
        <f t="shared" si="11"/>
        <v>1047.5</v>
      </c>
      <c r="K34" s="43">
        <f t="shared" si="11"/>
        <v>1137.5604933330847</v>
      </c>
      <c r="L34" s="43">
        <f t="shared" si="11"/>
        <v>1052.2530508344771</v>
      </c>
      <c r="M34" s="43">
        <f t="shared" si="11"/>
        <v>966.51465275954729</v>
      </c>
      <c r="N34" s="43">
        <f t="shared" si="11"/>
        <v>902.42023789521204</v>
      </c>
      <c r="O34" s="43">
        <f t="shared" si="11"/>
        <v>892.75782253713453</v>
      </c>
      <c r="P34" s="43">
        <f t="shared" si="11"/>
        <v>882.51567641176575</v>
      </c>
      <c r="Q34" s="43">
        <f t="shared" si="11"/>
        <v>871.65805028078398</v>
      </c>
      <c r="R34" s="43">
        <f t="shared" si="11"/>
        <v>860.14693405495439</v>
      </c>
      <c r="S34" s="43">
        <f t="shared" si="11"/>
        <v>847.94191061435379</v>
      </c>
      <c r="T34" s="43">
        <f t="shared" si="11"/>
        <v>160</v>
      </c>
      <c r="U34" s="43">
        <f t="shared" si="11"/>
        <v>160</v>
      </c>
      <c r="V34" s="43">
        <f t="shared" si="11"/>
        <v>160</v>
      </c>
      <c r="W34" s="43">
        <f t="shared" si="11"/>
        <v>160</v>
      </c>
      <c r="X34" s="43">
        <f t="shared" si="11"/>
        <v>160</v>
      </c>
      <c r="Y34" s="43">
        <f t="shared" si="11"/>
        <v>160</v>
      </c>
      <c r="Z34" s="43">
        <f t="shared" si="11"/>
        <v>160</v>
      </c>
      <c r="AA34" s="43">
        <f t="shared" si="11"/>
        <v>160</v>
      </c>
      <c r="AB34" s="43">
        <f t="shared" si="11"/>
        <v>160</v>
      </c>
      <c r="AC34" s="43">
        <f t="shared" si="11"/>
        <v>160</v>
      </c>
      <c r="AD34" s="43">
        <f t="shared" si="11"/>
        <v>110</v>
      </c>
      <c r="AE34" s="43">
        <f t="shared" si="11"/>
        <v>110</v>
      </c>
      <c r="AF34" s="43">
        <f t="shared" si="11"/>
        <v>110</v>
      </c>
      <c r="AG34" s="43">
        <f t="shared" si="11"/>
        <v>110</v>
      </c>
      <c r="AH34" s="43">
        <f t="shared" si="11"/>
        <v>110</v>
      </c>
    </row>
    <row r="35" spans="1:34" s="277" customFormat="1" x14ac:dyDescent="0.2">
      <c r="A35" s="2"/>
      <c r="B35" s="23" t="s">
        <v>80</v>
      </c>
      <c r="C35" s="24"/>
      <c r="D35" s="24"/>
      <c r="E35" s="43">
        <f t="shared" ref="E35:AH35" si="12">IF(E9=1,E30+E34,0)</f>
        <v>2512.9577357339031</v>
      </c>
      <c r="F35" s="43">
        <f t="shared" si="12"/>
        <v>2536.7875606360763</v>
      </c>
      <c r="G35" s="43">
        <f t="shared" si="12"/>
        <v>2667.5449969789679</v>
      </c>
      <c r="H35" s="43">
        <f t="shared" si="12"/>
        <v>2876.2633852259951</v>
      </c>
      <c r="I35" s="43">
        <f t="shared" si="12"/>
        <v>3110.5772385555356</v>
      </c>
      <c r="J35" s="43">
        <f t="shared" si="12"/>
        <v>3290.3190925009253</v>
      </c>
      <c r="K35" s="43">
        <f t="shared" si="12"/>
        <v>3523.9256946457672</v>
      </c>
      <c r="L35" s="43">
        <f t="shared" si="12"/>
        <v>3528.9812423973808</v>
      </c>
      <c r="M35" s="43">
        <f t="shared" si="12"/>
        <v>3536.9972744572324</v>
      </c>
      <c r="N35" s="43">
        <f t="shared" si="12"/>
        <v>3548.0294807401133</v>
      </c>
      <c r="O35" s="43">
        <f t="shared" si="12"/>
        <v>3584.2756366937942</v>
      </c>
      <c r="P35" s="43">
        <f t="shared" si="12"/>
        <v>3678.6508630576336</v>
      </c>
      <c r="Q35" s="43">
        <f t="shared" si="12"/>
        <v>3776.274947298577</v>
      </c>
      <c r="R35" s="43">
        <f t="shared" si="12"/>
        <v>3877.2482216194185</v>
      </c>
      <c r="S35" s="43">
        <f t="shared" si="12"/>
        <v>3981.6734765287247</v>
      </c>
      <c r="T35" s="43">
        <f t="shared" si="12"/>
        <v>4089.6559753371607</v>
      </c>
      <c r="U35" s="43">
        <f t="shared" si="12"/>
        <v>3526.3034644185591</v>
      </c>
      <c r="V35" s="43">
        <f t="shared" si="12"/>
        <v>3655.4506854378087</v>
      </c>
      <c r="W35" s="43">
        <f t="shared" si="12"/>
        <v>3789.3170666002329</v>
      </c>
      <c r="X35" s="43">
        <f t="shared" si="12"/>
        <v>3928.0695250155104</v>
      </c>
      <c r="Y35" s="43">
        <f t="shared" si="12"/>
        <v>4071.8807455757651</v>
      </c>
      <c r="Z35" s="43">
        <f t="shared" si="12"/>
        <v>4220.9293767971212</v>
      </c>
      <c r="AA35" s="43">
        <f t="shared" si="12"/>
        <v>4375.400233220741</v>
      </c>
      <c r="AB35" s="43">
        <f t="shared" si="12"/>
        <v>4535.4845045906577</v>
      </c>
      <c r="AC35" s="43">
        <f t="shared" si="12"/>
        <v>4701.3799720328716</v>
      </c>
      <c r="AD35" s="43">
        <f t="shared" si="12"/>
        <v>4873.2912314674859</v>
      </c>
      <c r="AE35" s="43">
        <f t="shared" si="12"/>
        <v>5001.4299244933491</v>
      </c>
      <c r="AF35" s="43">
        <f t="shared" si="12"/>
        <v>5186.0149769924437</v>
      </c>
      <c r="AG35" s="43">
        <f t="shared" si="12"/>
        <v>5377.2728457094372</v>
      </c>
      <c r="AH35" s="43">
        <f t="shared" si="12"/>
        <v>5575.4377730701599</v>
      </c>
    </row>
    <row r="36" spans="1:34" s="277" customFormat="1" x14ac:dyDescent="0.2">
      <c r="A36" s="2"/>
      <c r="B36" s="26"/>
      <c r="C36" s="24"/>
      <c r="D36" s="24"/>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row>
    <row r="37" spans="1:34" s="277" customFormat="1" x14ac:dyDescent="0.2">
      <c r="A37" s="2"/>
      <c r="B37" s="23" t="s">
        <v>81</v>
      </c>
      <c r="C37" s="24"/>
      <c r="D37" s="24"/>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row>
    <row r="38" spans="1:34" s="277" customFormat="1" x14ac:dyDescent="0.2">
      <c r="A38" s="2"/>
      <c r="B38" s="25" t="s">
        <v>82</v>
      </c>
      <c r="C38" s="24"/>
      <c r="D38" s="24"/>
      <c r="E38" s="35">
        <f>IF(E$9=1,Calculations!E1492,0)</f>
        <v>13397.5</v>
      </c>
      <c r="F38" s="35">
        <f>IF(F$9=1,Calculations!F1492,0)</f>
        <v>13397.5</v>
      </c>
      <c r="G38" s="35">
        <f>IF(G$9=1,Calculations!G1492,0)</f>
        <v>13397.5</v>
      </c>
      <c r="H38" s="35">
        <f>IF(H$9=1,Calculations!H1492,0)</f>
        <v>13397.5</v>
      </c>
      <c r="I38" s="35">
        <f>IF(I$9=1,Calculations!I1492,0)</f>
        <v>13397.5</v>
      </c>
      <c r="J38" s="35">
        <f>IF(J$9=1,Calculations!J1492,0)</f>
        <v>13397.5</v>
      </c>
      <c r="K38" s="35">
        <f>IF(K$9=1,Calculations!K1492,0)</f>
        <v>13397.5</v>
      </c>
      <c r="L38" s="35">
        <f>IF(L$9=1,Calculations!L1492,0)</f>
        <v>13397.5</v>
      </c>
      <c r="M38" s="35">
        <f>IF(M$9=1,Calculations!M1492,0)</f>
        <v>13397.5</v>
      </c>
      <c r="N38" s="35">
        <f>IF(N$9=1,Calculations!N1492,0)</f>
        <v>13397.5</v>
      </c>
      <c r="O38" s="35">
        <f>IF(O$9=1,Calculations!O1492,0)</f>
        <v>13397.5</v>
      </c>
      <c r="P38" s="35">
        <f>IF(P$9=1,Calculations!P1492,0)</f>
        <v>13397.5</v>
      </c>
      <c r="Q38" s="35">
        <f>IF(Q$9=1,Calculations!Q1492,0)</f>
        <v>13397.5</v>
      </c>
      <c r="R38" s="35">
        <f>IF(R$9=1,Calculations!R1492,0)</f>
        <v>13397.5</v>
      </c>
      <c r="S38" s="35">
        <f>IF(S$9=1,Calculations!S1492,0)</f>
        <v>13397.5</v>
      </c>
      <c r="T38" s="35">
        <f>IF(T$9=1,Calculations!T1492,0)</f>
        <v>13397.5</v>
      </c>
      <c r="U38" s="35">
        <f>IF(U$9=1,Calculations!U1492,0)</f>
        <v>13397.5</v>
      </c>
      <c r="V38" s="35">
        <f>IF(V$9=1,Calculations!V1492,0)</f>
        <v>13397.5</v>
      </c>
      <c r="W38" s="35">
        <f>IF(W$9=1,Calculations!W1492,0)</f>
        <v>13397.5</v>
      </c>
      <c r="X38" s="35">
        <f>IF(X$9=1,Calculations!X1492,0)</f>
        <v>13397.5</v>
      </c>
      <c r="Y38" s="35">
        <f>IF(Y$9=1,Calculations!Y1492,0)</f>
        <v>13397.5</v>
      </c>
      <c r="Z38" s="35">
        <f>IF(Z$9=1,Calculations!Z1492,0)</f>
        <v>13397.5</v>
      </c>
      <c r="AA38" s="35">
        <f>IF(AA$9=1,Calculations!AA1492,0)</f>
        <v>13397.5</v>
      </c>
      <c r="AB38" s="35">
        <f>IF(AB$9=1,Calculations!AB1492,0)</f>
        <v>13397.5</v>
      </c>
      <c r="AC38" s="35">
        <f>IF(AC$9=1,Calculations!AC1492,0)</f>
        <v>13397.5</v>
      </c>
      <c r="AD38" s="35">
        <f>IF(AD$9=1,Calculations!AD1492,0)</f>
        <v>13397.5</v>
      </c>
      <c r="AE38" s="35">
        <f>IF(AE$9=1,Calculations!AE1492,0)</f>
        <v>13397.5</v>
      </c>
      <c r="AF38" s="35">
        <f>IF(AF$9=1,Calculations!AF1492,0)</f>
        <v>13397.5</v>
      </c>
      <c r="AG38" s="35">
        <f>IF(AG$9=1,Calculations!AG1492,0)</f>
        <v>13397.5</v>
      </c>
      <c r="AH38" s="35">
        <f>IF(AH$9=1,Calculations!AH1492,0)</f>
        <v>13397.5</v>
      </c>
    </row>
    <row r="39" spans="1:34" s="277" customFormat="1" x14ac:dyDescent="0.2">
      <c r="A39" s="2"/>
      <c r="B39" s="25" t="s">
        <v>609</v>
      </c>
      <c r="C39" s="24"/>
      <c r="D39" s="24"/>
      <c r="E39" s="35">
        <f>IF(E$9=1,Calculations!E1495,0)</f>
        <v>40</v>
      </c>
      <c r="F39" s="35">
        <f>IF(F$9=1,Calculations!F1495,0)</f>
        <v>75.082528542604763</v>
      </c>
      <c r="G39" s="35">
        <f>IF(G$9=1,Calculations!G1495,0)</f>
        <v>107.4482245897822</v>
      </c>
      <c r="H39" s="35">
        <f>IF(H$9=1,Calculations!H1495,0)</f>
        <v>139.6983185089513</v>
      </c>
      <c r="I39" s="35">
        <f>IF(I$9=1,Calculations!I1495,0)</f>
        <v>171.84453991907779</v>
      </c>
      <c r="J39" s="35">
        <f>IF(J$9=1,Calculations!J1495,0)</f>
        <v>203.88583607482815</v>
      </c>
      <c r="K39" s="35">
        <f>IF(K$9=1,Calculations!K1495,0)</f>
        <v>235.81756217026822</v>
      </c>
      <c r="L39" s="35">
        <f>IF(L$9=1,Calculations!L1495,0)</f>
        <v>268.23356241177584</v>
      </c>
      <c r="M39" s="35">
        <f>IF(M$9=1,Calculations!M1495,0)</f>
        <v>300.56760587259589</v>
      </c>
      <c r="N39" s="35">
        <f>IF(N$9=1,Calculations!N1495,0)</f>
        <v>332.7548707855737</v>
      </c>
      <c r="O39" s="35">
        <f>IF(O$9=1,Calculations!O1495,0)</f>
        <v>364.79825337068667</v>
      </c>
      <c r="P39" s="35">
        <f>IF(P$9=1,Calculations!P1495,0)</f>
        <v>396.66264626136228</v>
      </c>
      <c r="Q39" s="35">
        <f>IF(Q$9=1,Calculations!Q1495,0)</f>
        <v>428.49960691362423</v>
      </c>
      <c r="R39" s="35">
        <f>IF(R$9=1,Calculations!R1495,0)</f>
        <v>460.53479371799313</v>
      </c>
      <c r="S39" s="35">
        <f>IF(S$9=1,Calculations!S1495,0)</f>
        <v>492.40981677404994</v>
      </c>
      <c r="T39" s="35">
        <f>IF(T$9=1,Calculations!T1495,0)</f>
        <v>524.64871337944805</v>
      </c>
      <c r="U39" s="35">
        <f>IF(U$9=1,Calculations!U1495,0)</f>
        <v>556.66848508867702</v>
      </c>
      <c r="V39" s="35">
        <f>IF(V$9=1,Calculations!V1495,0)</f>
        <v>588.82752469985508</v>
      </c>
      <c r="W39" s="35">
        <f>IF(W$9=1,Calculations!W1495,0)</f>
        <v>621.46552429001963</v>
      </c>
      <c r="X39" s="35">
        <f>IF(X$9=1,Calculations!X1495,0)</f>
        <v>653.98907480270623</v>
      </c>
      <c r="Y39" s="35">
        <f>IF(Y$9=1,Calculations!Y1495,0)</f>
        <v>686.96580344556378</v>
      </c>
      <c r="Z39" s="35">
        <f>IF(Z$9=1,Calculations!Z1495,0)</f>
        <v>719.77599899288782</v>
      </c>
      <c r="AA39" s="35">
        <f>IF(AA$9=1,Calculations!AA1495,0)</f>
        <v>752.31112742467315</v>
      </c>
      <c r="AB39" s="35">
        <f>IF(AB$9=1,Calculations!AB1495,0)</f>
        <v>784.56245243995829</v>
      </c>
      <c r="AC39" s="35">
        <f>IF(AC$9=1,Calculations!AC1495,0)</f>
        <v>816.62473308612994</v>
      </c>
      <c r="AD39" s="35">
        <f>IF(AD$9=1,Calculations!AD1495,0)</f>
        <v>848.39025092289376</v>
      </c>
      <c r="AE39" s="35">
        <f>IF(AE$9=1,Calculations!AE1495,0)</f>
        <v>879.84991941906765</v>
      </c>
      <c r="AF39" s="35">
        <f>IF(AF$9=1,Calculations!AF1495,0)</f>
        <v>910.99441244360469</v>
      </c>
      <c r="AG39" s="35">
        <f>IF(AG$9=1,Calculations!AG1495,0)</f>
        <v>941.99524072360646</v>
      </c>
      <c r="AH39" s="35">
        <f>IF(AH$9=1,Calculations!AH1495,0)</f>
        <v>977.74683760104574</v>
      </c>
    </row>
    <row r="40" spans="1:34" s="277" customFormat="1" x14ac:dyDescent="0.2">
      <c r="A40" s="2"/>
      <c r="B40" s="25" t="s">
        <v>83</v>
      </c>
      <c r="C40" s="24"/>
      <c r="D40" s="24"/>
      <c r="E40" s="35">
        <f>IF(E$9=1,Calculations!E1498,0)</f>
        <v>780</v>
      </c>
      <c r="F40" s="35">
        <f>IF(F$9=1,Calculations!F1498,0)</f>
        <v>16744.848155845117</v>
      </c>
      <c r="G40" s="35">
        <f>IF(G$9=1,Calculations!G1498,0)</f>
        <v>33205.154270031082</v>
      </c>
      <c r="H40" s="35">
        <f>IF(H$9=1,Calculations!H1498,0)</f>
        <v>50807.774291352449</v>
      </c>
      <c r="I40" s="35">
        <f>IF(I$9=1,Calculations!I1498,0)</f>
        <v>70156.574118012097</v>
      </c>
      <c r="J40" s="35">
        <f>IF(J$9=1,Calculations!J1498,0)</f>
        <v>90473.843148552463</v>
      </c>
      <c r="K40" s="35">
        <f>IF(K$9=1,Calculations!K1498,0)</f>
        <v>113973.84488647891</v>
      </c>
      <c r="L40" s="35">
        <f>IF(L$9=1,Calculations!L1498,0)</f>
        <v>138297.62821412605</v>
      </c>
      <c r="M40" s="35">
        <f>IF(M$9=1,Calculations!M1498,0)</f>
        <v>164010.58976769252</v>
      </c>
      <c r="N40" s="35">
        <f>IF(N$9=1,Calculations!N1498,0)</f>
        <v>191170.83749489684</v>
      </c>
      <c r="O40" s="35">
        <f>IF(O$9=1,Calculations!O1498,0)</f>
        <v>219620.5444766102</v>
      </c>
      <c r="P40" s="35">
        <f>IF(P$9=1,Calculations!P1498,0)</f>
        <v>249549.92252475573</v>
      </c>
      <c r="Q40" s="35">
        <f>IF(Q$9=1,Calculations!Q1498,0)</f>
        <v>281069.15091315593</v>
      </c>
      <c r="R40" s="35">
        <f>IF(R$9=1,Calculations!R1498,0)</f>
        <v>314249.28805086541</v>
      </c>
      <c r="S40" s="35">
        <f>IF(S$9=1,Calculations!S1498,0)</f>
        <v>349151.40495638968</v>
      </c>
      <c r="T40" s="35">
        <f>IF(T$9=1,Calculations!T1498,0)</f>
        <v>385857.22577607434</v>
      </c>
      <c r="U40" s="35">
        <f>IF(U$9=1,Calculations!U1498,0)</f>
        <v>424894.23293051543</v>
      </c>
      <c r="V40" s="35">
        <f>IF(V$9=1,Calculations!V1498,0)</f>
        <v>465411.5247704662</v>
      </c>
      <c r="W40" s="35">
        <f>IF(W$9=1,Calculations!W1498,0)</f>
        <v>507962.21263499529</v>
      </c>
      <c r="X40" s="35">
        <f>IF(X$9=1,Calculations!X1498,0)</f>
        <v>552613.71110764565</v>
      </c>
      <c r="Y40" s="35">
        <f>IF(Y$9=1,Calculations!Y1498,0)</f>
        <v>599458.97922594112</v>
      </c>
      <c r="Z40" s="35">
        <f>IF(Z$9=1,Calculations!Z1498,0)</f>
        <v>648576.12411295495</v>
      </c>
      <c r="AA40" s="35">
        <f>IF(AA$9=1,Calculations!AA1498,0)</f>
        <v>700049.01824022271</v>
      </c>
      <c r="AB40" s="35">
        <f>IF(AB$9=1,Calculations!AB1498,0)</f>
        <v>753969.02479836601</v>
      </c>
      <c r="AC40" s="35">
        <f>IF(AC$9=1,Calculations!AC1498,0)</f>
        <v>810432.06958301459</v>
      </c>
      <c r="AD40" s="35">
        <f>IF(AD$9=1,Calculations!AD1498,0)</f>
        <v>869533.59077444102</v>
      </c>
      <c r="AE40" s="35">
        <f>IF(AE$9=1,Calculations!AE1498,0)</f>
        <v>931399.11153873289</v>
      </c>
      <c r="AF40" s="35">
        <f>IF(AF$9=1,Calculations!AF1498,0)</f>
        <v>996081.39846707741</v>
      </c>
      <c r="AG40" s="35">
        <f>IF(AG$9=1,Calculations!AG1498,0)</f>
        <v>1063715.4606781327</v>
      </c>
      <c r="AH40" s="35">
        <f>IF(AH$9=1,Calculations!AH1498,0)</f>
        <v>1134453.3876825555</v>
      </c>
    </row>
    <row r="41" spans="1:34" s="277" customFormat="1" x14ac:dyDescent="0.2">
      <c r="A41" s="2"/>
      <c r="B41" s="504" t="s">
        <v>696</v>
      </c>
      <c r="E41" s="405">
        <f>IF(E$9=1,Calculations!E1501,0)</f>
        <v>0</v>
      </c>
      <c r="F41" s="405">
        <f>IF(F$9=1,Calculations!F1501,0)</f>
        <v>0</v>
      </c>
      <c r="G41" s="405">
        <f>IF(G$9=1,Calculations!G1501,0)</f>
        <v>0</v>
      </c>
      <c r="H41" s="405">
        <f>IF(H$9=1,Calculations!H1501,0)</f>
        <v>0</v>
      </c>
      <c r="I41" s="405">
        <f>IF(I$9=1,Calculations!I1501,0)</f>
        <v>0</v>
      </c>
      <c r="J41" s="405">
        <f>IF(J$9=1,Calculations!J1501,0)</f>
        <v>0</v>
      </c>
      <c r="K41" s="405">
        <f>IF(K$9=1,Calculations!K1501,0)</f>
        <v>0</v>
      </c>
      <c r="L41" s="405">
        <f>IF(L$9=1,Calculations!L1501,0)</f>
        <v>0</v>
      </c>
      <c r="M41" s="405">
        <f>IF(M$9=1,Calculations!M1501,0)</f>
        <v>0</v>
      </c>
      <c r="N41" s="405">
        <f>IF(N$9=1,Calculations!N1501,0)</f>
        <v>0</v>
      </c>
      <c r="O41" s="405">
        <f>IF(O$9=1,Calculations!O1501,0)</f>
        <v>0</v>
      </c>
      <c r="P41" s="405">
        <f>IF(P$9=1,Calculations!P1501,0)</f>
        <v>0</v>
      </c>
      <c r="Q41" s="405">
        <f>IF(Q$9=1,Calculations!Q1501,0)</f>
        <v>0</v>
      </c>
      <c r="R41" s="405">
        <f>IF(R$9=1,Calculations!R1501,0)</f>
        <v>0</v>
      </c>
      <c r="S41" s="405">
        <f>IF(S$9=1,Calculations!S1501,0)</f>
        <v>0</v>
      </c>
      <c r="T41" s="405">
        <f>IF(T$9=1,Calculations!T1501,0)</f>
        <v>0</v>
      </c>
      <c r="U41" s="405">
        <f>IF(U$9=1,Calculations!U1501,0)</f>
        <v>0</v>
      </c>
      <c r="V41" s="405">
        <f>IF(V$9=1,Calculations!V1501,0)</f>
        <v>0</v>
      </c>
      <c r="W41" s="405">
        <f>IF(W$9=1,Calculations!W1501,0)</f>
        <v>0</v>
      </c>
      <c r="X41" s="405">
        <f>IF(X$9=1,Calculations!X1501,0)</f>
        <v>0</v>
      </c>
      <c r="Y41" s="405">
        <f>IF(Y$9=1,Calculations!Y1501,0)</f>
        <v>0</v>
      </c>
      <c r="Z41" s="405">
        <f>IF(Z$9=1,Calculations!Z1501,0)</f>
        <v>0</v>
      </c>
      <c r="AA41" s="405">
        <f>IF(AA$9=1,Calculations!AA1501,0)</f>
        <v>0</v>
      </c>
      <c r="AB41" s="405">
        <f>IF(AB$9=1,Calculations!AB1501,0)</f>
        <v>0</v>
      </c>
      <c r="AC41" s="405">
        <f>IF(AC$9=1,Calculations!AC1501,0)</f>
        <v>0</v>
      </c>
      <c r="AD41" s="405">
        <f>IF(AD$9=1,Calculations!AD1501,0)</f>
        <v>0</v>
      </c>
      <c r="AE41" s="405">
        <f>IF(AE$9=1,Calculations!AE1501,0)</f>
        <v>0</v>
      </c>
      <c r="AF41" s="405">
        <f>IF(AF$9=1,Calculations!AF1501,0)</f>
        <v>0</v>
      </c>
      <c r="AG41" s="405">
        <f>IF(AG$9=1,Calculations!AG1501,0)</f>
        <v>0</v>
      </c>
      <c r="AH41" s="405">
        <f>IF(AH$9=1,Calculations!AH1501,0)</f>
        <v>0</v>
      </c>
    </row>
    <row r="42" spans="1:34" s="277" customFormat="1" x14ac:dyDescent="0.2">
      <c r="A42" s="2"/>
      <c r="B42" s="24"/>
      <c r="C42" s="24"/>
      <c r="D42" s="24"/>
      <c r="E42" s="43">
        <f>IF(E9=1,SUM(E38:E41),0)</f>
        <v>14217.5</v>
      </c>
      <c r="F42" s="43">
        <f t="shared" ref="F42:AH42" si="13">IF(F9=1,SUM(F38:F41),0)</f>
        <v>30217.43068438772</v>
      </c>
      <c r="G42" s="43">
        <f t="shared" si="13"/>
        <v>46710.102494620864</v>
      </c>
      <c r="H42" s="43">
        <f t="shared" si="13"/>
        <v>64344.972609861405</v>
      </c>
      <c r="I42" s="43">
        <f t="shared" si="13"/>
        <v>83725.918657931179</v>
      </c>
      <c r="J42" s="43">
        <f t="shared" si="13"/>
        <v>104075.22898462729</v>
      </c>
      <c r="K42" s="43">
        <f t="shared" si="13"/>
        <v>127607.16244864918</v>
      </c>
      <c r="L42" s="43">
        <f t="shared" si="13"/>
        <v>151963.36177653781</v>
      </c>
      <c r="M42" s="43">
        <f t="shared" si="13"/>
        <v>177708.65737356513</v>
      </c>
      <c r="N42" s="43">
        <f t="shared" si="13"/>
        <v>204901.09236568242</v>
      </c>
      <c r="O42" s="43">
        <f t="shared" si="13"/>
        <v>233382.84272998088</v>
      </c>
      <c r="P42" s="43">
        <f t="shared" si="13"/>
        <v>263344.0851710171</v>
      </c>
      <c r="Q42" s="43">
        <f t="shared" si="13"/>
        <v>294895.15052006952</v>
      </c>
      <c r="R42" s="43">
        <f t="shared" si="13"/>
        <v>328107.32284458342</v>
      </c>
      <c r="S42" s="43">
        <f t="shared" si="13"/>
        <v>363041.31477316376</v>
      </c>
      <c r="T42" s="43">
        <f t="shared" si="13"/>
        <v>399779.3744894538</v>
      </c>
      <c r="U42" s="43">
        <f t="shared" si="13"/>
        <v>438848.40141560411</v>
      </c>
      <c r="V42" s="43">
        <f t="shared" si="13"/>
        <v>479397.85229516606</v>
      </c>
      <c r="W42" s="43">
        <f t="shared" si="13"/>
        <v>521981.17815928534</v>
      </c>
      <c r="X42" s="43">
        <f t="shared" si="13"/>
        <v>566665.20018244837</v>
      </c>
      <c r="Y42" s="43">
        <f t="shared" si="13"/>
        <v>613543.44502938667</v>
      </c>
      <c r="Z42" s="43">
        <f t="shared" si="13"/>
        <v>662693.40011194779</v>
      </c>
      <c r="AA42" s="43">
        <f t="shared" si="13"/>
        <v>714198.82936764741</v>
      </c>
      <c r="AB42" s="43">
        <f t="shared" si="13"/>
        <v>768151.08725080593</v>
      </c>
      <c r="AC42" s="43">
        <f t="shared" si="13"/>
        <v>824646.19431610068</v>
      </c>
      <c r="AD42" s="43">
        <f t="shared" si="13"/>
        <v>883779.4810253639</v>
      </c>
      <c r="AE42" s="43">
        <f t="shared" si="13"/>
        <v>945676.46145815193</v>
      </c>
      <c r="AF42" s="43">
        <f t="shared" si="13"/>
        <v>1010389.892879521</v>
      </c>
      <c r="AG42" s="43">
        <f t="shared" si="13"/>
        <v>1078054.9559188564</v>
      </c>
      <c r="AH42" s="43">
        <f t="shared" si="13"/>
        <v>1148828.6345201565</v>
      </c>
    </row>
    <row r="43" spans="1:34" s="277" customFormat="1" ht="16" thickBot="1" x14ac:dyDescent="0.25">
      <c r="A43" s="2"/>
      <c r="B43" s="26" t="s">
        <v>84</v>
      </c>
      <c r="C43" s="24"/>
      <c r="D43" s="24"/>
      <c r="E43" s="40">
        <f t="shared" ref="E43:AH43" si="14">IF(E9=1,E35+E42,0)</f>
        <v>16730.457735733904</v>
      </c>
      <c r="F43" s="40">
        <f t="shared" si="14"/>
        <v>32754.218245023796</v>
      </c>
      <c r="G43" s="40">
        <f t="shared" si="14"/>
        <v>49377.647491599833</v>
      </c>
      <c r="H43" s="40">
        <f t="shared" si="14"/>
        <v>67221.235995087394</v>
      </c>
      <c r="I43" s="40">
        <f t="shared" si="14"/>
        <v>86836.495896486711</v>
      </c>
      <c r="J43" s="40">
        <f t="shared" si="14"/>
        <v>107365.54807712822</v>
      </c>
      <c r="K43" s="40">
        <f t="shared" si="14"/>
        <v>131131.08814329494</v>
      </c>
      <c r="L43" s="40">
        <f t="shared" si="14"/>
        <v>155492.34301893521</v>
      </c>
      <c r="M43" s="40">
        <f t="shared" si="14"/>
        <v>181245.65464802238</v>
      </c>
      <c r="N43" s="40">
        <f t="shared" si="14"/>
        <v>208449.12184642252</v>
      </c>
      <c r="O43" s="40">
        <f t="shared" si="14"/>
        <v>236967.11836667467</v>
      </c>
      <c r="P43" s="40">
        <f t="shared" si="14"/>
        <v>267022.73603407474</v>
      </c>
      <c r="Q43" s="40">
        <f t="shared" si="14"/>
        <v>298671.4254673681</v>
      </c>
      <c r="R43" s="40">
        <f t="shared" si="14"/>
        <v>331984.57106620283</v>
      </c>
      <c r="S43" s="40">
        <f t="shared" si="14"/>
        <v>367022.98824969248</v>
      </c>
      <c r="T43" s="40">
        <f t="shared" si="14"/>
        <v>403869.03046479094</v>
      </c>
      <c r="U43" s="40">
        <f t="shared" si="14"/>
        <v>442374.70488002268</v>
      </c>
      <c r="V43" s="40">
        <f t="shared" si="14"/>
        <v>483053.30298060388</v>
      </c>
      <c r="W43" s="40">
        <f t="shared" si="14"/>
        <v>525770.49522588553</v>
      </c>
      <c r="X43" s="40">
        <f t="shared" si="14"/>
        <v>570593.26970746391</v>
      </c>
      <c r="Y43" s="40">
        <f t="shared" si="14"/>
        <v>617615.32577496243</v>
      </c>
      <c r="Z43" s="40">
        <f t="shared" si="14"/>
        <v>666914.32948874496</v>
      </c>
      <c r="AA43" s="40">
        <f t="shared" si="14"/>
        <v>718574.22960086819</v>
      </c>
      <c r="AB43" s="40">
        <f t="shared" si="14"/>
        <v>772686.57175539655</v>
      </c>
      <c r="AC43" s="40">
        <f t="shared" si="14"/>
        <v>829347.57428813353</v>
      </c>
      <c r="AD43" s="40">
        <f t="shared" si="14"/>
        <v>888652.77225683141</v>
      </c>
      <c r="AE43" s="40">
        <f t="shared" si="14"/>
        <v>950677.89138264523</v>
      </c>
      <c r="AF43" s="40">
        <f t="shared" si="14"/>
        <v>1015575.9078565134</v>
      </c>
      <c r="AG43" s="40">
        <f t="shared" si="14"/>
        <v>1083432.2287645659</v>
      </c>
      <c r="AH43" s="40">
        <f t="shared" si="14"/>
        <v>1154404.0722932266</v>
      </c>
    </row>
    <row r="44" spans="1:34" s="278" customFormat="1" x14ac:dyDescent="0.2">
      <c r="A44" s="2"/>
      <c r="B44" s="22"/>
      <c r="C44" s="22"/>
      <c r="D44" s="22"/>
      <c r="E44" s="309">
        <f t="shared" ref="E44:AH44" si="15">IF(E9=1,E13-D13,0)</f>
        <v>300</v>
      </c>
      <c r="F44" s="309">
        <f t="shared" si="15"/>
        <v>15079.085777752065</v>
      </c>
      <c r="G44" s="309">
        <f t="shared" si="15"/>
        <v>15652.139710596231</v>
      </c>
      <c r="H44" s="309">
        <f t="shared" si="15"/>
        <v>16473.296584496522</v>
      </c>
      <c r="I44" s="309">
        <f t="shared" si="15"/>
        <v>17803.431327575141</v>
      </c>
      <c r="J44" s="309">
        <f t="shared" si="15"/>
        <v>19117.740826970818</v>
      </c>
      <c r="K44" s="309">
        <f t="shared" si="15"/>
        <v>21370.640786450997</v>
      </c>
      <c r="L44" s="309">
        <f t="shared" si="15"/>
        <v>22877.570733555738</v>
      </c>
      <c r="M44" s="309">
        <f t="shared" si="15"/>
        <v>24250.367413467349</v>
      </c>
      <c r="N44" s="309">
        <f t="shared" si="15"/>
        <v>25675.966339943785</v>
      </c>
      <c r="O44" s="309">
        <f t="shared" si="15"/>
        <v>26968.963546162995</v>
      </c>
      <c r="P44" s="309">
        <f t="shared" si="15"/>
        <v>28478.729092970665</v>
      </c>
      <c r="Q44" s="309">
        <f t="shared" si="15"/>
        <v>30043.009101189731</v>
      </c>
      <c r="R44" s="309">
        <f t="shared" si="15"/>
        <v>31670.890323212778</v>
      </c>
      <c r="S44" s="309">
        <f t="shared" si="15"/>
        <v>33366.504916766251</v>
      </c>
      <c r="T44" s="309">
        <f t="shared" si="15"/>
        <v>35129.109493330878</v>
      </c>
      <c r="U44" s="309">
        <f t="shared" si="15"/>
        <v>36755.848240465915</v>
      </c>
      <c r="V44" s="309">
        <f t="shared" si="15"/>
        <v>38884.420019973244</v>
      </c>
      <c r="W44" s="309">
        <f t="shared" si="15"/>
        <v>40867.636862959247</v>
      </c>
      <c r="X44" s="309">
        <f t="shared" si="15"/>
        <v>42930.303560645785</v>
      </c>
      <c r="Y44" s="309">
        <f t="shared" si="15"/>
        <v>45071.26012697129</v>
      </c>
      <c r="Z44" s="309">
        <f t="shared" si="15"/>
        <v>47295.800045448123</v>
      </c>
      <c r="AA44" s="309">
        <f t="shared" si="15"/>
        <v>49609.00945092598</v>
      </c>
      <c r="AB44" s="309">
        <f t="shared" si="15"/>
        <v>52010.883599704714</v>
      </c>
      <c r="AC44" s="309">
        <f t="shared" si="15"/>
        <v>54503.760033593746</v>
      </c>
      <c r="AD44" s="309">
        <f t="shared" si="15"/>
        <v>57091.306353606516</v>
      </c>
      <c r="AE44" s="309">
        <f t="shared" si="15"/>
        <v>59751.370501216617</v>
      </c>
      <c r="AF44" s="309">
        <f t="shared" si="15"/>
        <v>62561.086157905753</v>
      </c>
      <c r="AG44" s="309">
        <f t="shared" si="15"/>
        <v>65448.404042079463</v>
      </c>
      <c r="AH44" s="309">
        <f t="shared" si="15"/>
        <v>68434.976138529251</v>
      </c>
    </row>
    <row r="45" spans="1:34" s="278" customFormat="1" x14ac:dyDescent="0.2">
      <c r="A45" s="2"/>
      <c r="B45" s="22"/>
      <c r="C45" s="22"/>
      <c r="D45" s="22"/>
      <c r="E45" s="307">
        <f>IF(E13&gt;=0,1,0)</f>
        <v>1</v>
      </c>
      <c r="F45" s="307">
        <f t="shared" ref="F45:AH45" si="16">IF(F13&gt;=0,1,0)</f>
        <v>1</v>
      </c>
      <c r="G45" s="307">
        <f t="shared" si="16"/>
        <v>1</v>
      </c>
      <c r="H45" s="307">
        <f t="shared" si="16"/>
        <v>1</v>
      </c>
      <c r="I45" s="307">
        <f t="shared" si="16"/>
        <v>1</v>
      </c>
      <c r="J45" s="307">
        <f t="shared" si="16"/>
        <v>1</v>
      </c>
      <c r="K45" s="307">
        <f t="shared" si="16"/>
        <v>1</v>
      </c>
      <c r="L45" s="307">
        <f t="shared" si="16"/>
        <v>1</v>
      </c>
      <c r="M45" s="307">
        <f t="shared" si="16"/>
        <v>1</v>
      </c>
      <c r="N45" s="307">
        <f t="shared" si="16"/>
        <v>1</v>
      </c>
      <c r="O45" s="307">
        <f t="shared" si="16"/>
        <v>1</v>
      </c>
      <c r="P45" s="307">
        <f t="shared" si="16"/>
        <v>1</v>
      </c>
      <c r="Q45" s="307">
        <f t="shared" si="16"/>
        <v>1</v>
      </c>
      <c r="R45" s="307">
        <f t="shared" si="16"/>
        <v>1</v>
      </c>
      <c r="S45" s="307">
        <f t="shared" si="16"/>
        <v>1</v>
      </c>
      <c r="T45" s="307">
        <f t="shared" si="16"/>
        <v>1</v>
      </c>
      <c r="U45" s="307">
        <f t="shared" si="16"/>
        <v>1</v>
      </c>
      <c r="V45" s="307">
        <f t="shared" si="16"/>
        <v>1</v>
      </c>
      <c r="W45" s="307">
        <f t="shared" si="16"/>
        <v>1</v>
      </c>
      <c r="X45" s="307">
        <f t="shared" si="16"/>
        <v>1</v>
      </c>
      <c r="Y45" s="307">
        <f t="shared" si="16"/>
        <v>1</v>
      </c>
      <c r="Z45" s="307">
        <f t="shared" si="16"/>
        <v>1</v>
      </c>
      <c r="AA45" s="307">
        <f t="shared" si="16"/>
        <v>1</v>
      </c>
      <c r="AB45" s="307">
        <f t="shared" si="16"/>
        <v>1</v>
      </c>
      <c r="AC45" s="307">
        <f t="shared" si="16"/>
        <v>1</v>
      </c>
      <c r="AD45" s="307">
        <f>IF(AD13&gt;=0,1,0)</f>
        <v>1</v>
      </c>
      <c r="AE45" s="307">
        <f t="shared" si="16"/>
        <v>1</v>
      </c>
      <c r="AF45" s="307">
        <f t="shared" si="16"/>
        <v>1</v>
      </c>
      <c r="AG45" s="307">
        <f t="shared" si="16"/>
        <v>1</v>
      </c>
      <c r="AH45" s="307">
        <f t="shared" si="16"/>
        <v>1</v>
      </c>
    </row>
    <row r="46" spans="1:34" s="278" customFormat="1" x14ac:dyDescent="0.2">
      <c r="A46" s="2"/>
      <c r="B46" s="22"/>
      <c r="C46" s="22"/>
      <c r="D46" s="22"/>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row>
    <row r="47" spans="1:34" s="278" customFormat="1" x14ac:dyDescent="0.2">
      <c r="A47" s="2"/>
      <c r="B47" s="22"/>
      <c r="C47" s="22"/>
      <c r="D47" s="22"/>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row>
    <row r="48" spans="1:34" s="278" customFormat="1" x14ac:dyDescent="0.2">
      <c r="A48" s="2"/>
      <c r="B48" s="22"/>
      <c r="C48" s="22"/>
      <c r="D48" s="22"/>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row>
    <row r="49" spans="1:35" s="278" customFormat="1" x14ac:dyDescent="0.2">
      <c r="A49" s="2"/>
      <c r="B49" s="22"/>
      <c r="C49" s="22"/>
      <c r="D49" s="22"/>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row>
    <row r="50" spans="1:35" s="278" customFormat="1" x14ac:dyDescent="0.2">
      <c r="A50" s="2"/>
      <c r="B50" s="22"/>
      <c r="C50" s="22"/>
      <c r="D50" s="22"/>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row>
    <row r="51" spans="1:35" s="278" customFormat="1" x14ac:dyDescent="0.2">
      <c r="A51" s="2"/>
      <c r="B51" s="22"/>
      <c r="C51" s="22"/>
      <c r="D51" s="22"/>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row>
    <row r="52" spans="1:35" s="18" customFormat="1" ht="19" x14ac:dyDescent="0.25">
      <c r="A52" s="320"/>
      <c r="B52" s="482" t="str">
        <f>'Assumptions - General'!$E$24</f>
        <v>Ruritania Freight Rail Company</v>
      </c>
      <c r="C52" s="320"/>
      <c r="D52" s="320"/>
      <c r="E52" s="320"/>
      <c r="F52" s="320"/>
      <c r="G52" s="320"/>
      <c r="H52" s="320"/>
      <c r="I52" s="320"/>
      <c r="J52" s="320"/>
      <c r="K52" s="320"/>
      <c r="L52" s="320"/>
      <c r="M52" s="320"/>
      <c r="N52" s="320"/>
      <c r="O52" s="320"/>
      <c r="P52" s="320"/>
      <c r="Q52" s="320"/>
      <c r="R52" s="320"/>
      <c r="S52" s="320"/>
      <c r="T52" s="320"/>
      <c r="U52" s="320"/>
      <c r="V52" s="320"/>
      <c r="W52" s="320"/>
      <c r="X52" s="320"/>
      <c r="Y52" s="320"/>
      <c r="Z52" s="320"/>
      <c r="AA52" s="320"/>
      <c r="AB52" s="320"/>
      <c r="AC52" s="320"/>
      <c r="AD52" s="320"/>
      <c r="AE52" s="320"/>
      <c r="AF52" s="320"/>
      <c r="AG52" s="320"/>
      <c r="AH52" s="320"/>
    </row>
    <row r="53" spans="1:35" s="18" customFormat="1" x14ac:dyDescent="0.2">
      <c r="A53" s="320"/>
      <c r="B53" s="319"/>
      <c r="C53" s="320"/>
      <c r="D53" s="320"/>
      <c r="E53" s="320"/>
      <c r="F53" s="320"/>
      <c r="G53" s="320"/>
      <c r="H53" s="320"/>
      <c r="I53" s="320"/>
      <c r="J53" s="320"/>
      <c r="K53" s="320"/>
      <c r="L53" s="320"/>
      <c r="M53" s="320"/>
      <c r="N53" s="320"/>
      <c r="O53" s="320"/>
      <c r="P53" s="320"/>
      <c r="Q53" s="320"/>
      <c r="R53" s="320"/>
      <c r="S53" s="320"/>
      <c r="T53" s="320"/>
      <c r="U53" s="320"/>
      <c r="V53" s="320"/>
      <c r="W53" s="320"/>
      <c r="X53" s="320"/>
      <c r="Y53" s="320"/>
      <c r="Z53" s="320"/>
      <c r="AA53" s="320"/>
      <c r="AB53" s="320"/>
      <c r="AC53" s="320"/>
      <c r="AD53" s="320"/>
      <c r="AE53" s="320"/>
      <c r="AF53" s="320"/>
      <c r="AG53" s="320"/>
      <c r="AH53" s="320"/>
    </row>
    <row r="54" spans="1:35" s="20" customFormat="1" hidden="1" x14ac:dyDescent="0.2">
      <c r="A54" s="320"/>
      <c r="B54" s="7" t="s">
        <v>226</v>
      </c>
      <c r="C54" s="8"/>
      <c r="D54" s="8"/>
      <c r="E54" s="29">
        <f>Calculations!E16</f>
        <v>1</v>
      </c>
      <c r="F54" s="29">
        <f>Calculations!F16</f>
        <v>1</v>
      </c>
      <c r="G54" s="29">
        <f>Calculations!G16</f>
        <v>1</v>
      </c>
      <c r="H54" s="29">
        <f>Calculations!H16</f>
        <v>1</v>
      </c>
      <c r="I54" s="29">
        <f>Calculations!I16</f>
        <v>1</v>
      </c>
      <c r="J54" s="29">
        <f>Calculations!J16</f>
        <v>1</v>
      </c>
      <c r="K54" s="29">
        <f>Calculations!K16</f>
        <v>1</v>
      </c>
      <c r="L54" s="29">
        <f>Calculations!L16</f>
        <v>1</v>
      </c>
      <c r="M54" s="29">
        <f>Calculations!M16</f>
        <v>1</v>
      </c>
      <c r="N54" s="29">
        <f>Calculations!N16</f>
        <v>1</v>
      </c>
      <c r="O54" s="29">
        <f>Calculations!O16</f>
        <v>1</v>
      </c>
      <c r="P54" s="29">
        <f>Calculations!P16</f>
        <v>1</v>
      </c>
      <c r="Q54" s="29">
        <f>Calculations!Q16</f>
        <v>1</v>
      </c>
      <c r="R54" s="29">
        <f>Calculations!R16</f>
        <v>1</v>
      </c>
      <c r="S54" s="29">
        <f>Calculations!S16</f>
        <v>1</v>
      </c>
      <c r="T54" s="29">
        <f>Calculations!T16</f>
        <v>1</v>
      </c>
      <c r="U54" s="29">
        <f>Calculations!U16</f>
        <v>1</v>
      </c>
      <c r="V54" s="29">
        <f>Calculations!V16</f>
        <v>1</v>
      </c>
      <c r="W54" s="29">
        <f>Calculations!W16</f>
        <v>1</v>
      </c>
      <c r="X54" s="29">
        <f>Calculations!X16</f>
        <v>1</v>
      </c>
      <c r="Y54" s="29">
        <f>Calculations!Y16</f>
        <v>1</v>
      </c>
      <c r="Z54" s="29">
        <f>Calculations!Z16</f>
        <v>1</v>
      </c>
      <c r="AA54" s="29">
        <f>Calculations!AA16</f>
        <v>1</v>
      </c>
      <c r="AB54" s="29">
        <f>Calculations!AB16</f>
        <v>1</v>
      </c>
      <c r="AC54" s="29">
        <f>Calculations!AC16</f>
        <v>1</v>
      </c>
      <c r="AD54" s="29">
        <f>Calculations!AD16</f>
        <v>1</v>
      </c>
      <c r="AE54" s="29">
        <f>Calculations!AE16</f>
        <v>1</v>
      </c>
      <c r="AF54" s="29">
        <f>Calculations!AF16</f>
        <v>1</v>
      </c>
      <c r="AG54" s="29">
        <f>Calculations!AG16</f>
        <v>1</v>
      </c>
      <c r="AH54" s="29">
        <f>Calculations!AH16</f>
        <v>1</v>
      </c>
    </row>
    <row r="55" spans="1:35" s="278" customFormat="1" x14ac:dyDescent="0.2">
      <c r="A55" s="320"/>
      <c r="B55" s="22"/>
      <c r="C55" s="22"/>
      <c r="D55" s="22"/>
      <c r="E55" s="2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row>
    <row r="56" spans="1:35" s="20" customFormat="1" x14ac:dyDescent="0.2">
      <c r="A56" s="320"/>
      <c r="B56" s="19" t="s">
        <v>68</v>
      </c>
    </row>
    <row r="57" spans="1:35" s="277" customFormat="1" x14ac:dyDescent="0.2">
      <c r="A57" s="320"/>
      <c r="B57" s="23" t="s">
        <v>69</v>
      </c>
      <c r="C57" s="24"/>
      <c r="D57" s="2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row>
    <row r="58" spans="1:35" s="277" customFormat="1" x14ac:dyDescent="0.2">
      <c r="A58" s="320"/>
      <c r="B58" s="25" t="s">
        <v>70</v>
      </c>
      <c r="C58" s="24"/>
      <c r="D58" s="24"/>
      <c r="E58" s="35">
        <f>IF(E54=1,Calculations!E319,0)</f>
        <v>100</v>
      </c>
      <c r="F58" s="35">
        <f>IF(F54=1,Calculations!F319,0)</f>
        <v>5005.599091188953</v>
      </c>
      <c r="G58" s="35">
        <f>IF(G54=1,Calculations!G319,0)</f>
        <v>10025.072598088243</v>
      </c>
      <c r="H58" s="35">
        <f>IF(H54=1,Calculations!H319,0)</f>
        <v>15200.496896913775</v>
      </c>
      <c r="I58" s="35">
        <f>IF(I54=1,Calculations!I319,0)</f>
        <v>20545.537369598438</v>
      </c>
      <c r="J58" s="35">
        <f>IF(J54=1,Calculations!J319,0)</f>
        <v>26095.548466989076</v>
      </c>
      <c r="K58" s="35">
        <f>IF(K54=1,Calculations!K319,0)</f>
        <v>32468.820195622291</v>
      </c>
      <c r="L58" s="35">
        <f>IF(L54=1,Calculations!L319,0)</f>
        <v>39204.2119710673</v>
      </c>
      <c r="M58" s="35">
        <f>IF(M54=1,Calculations!M319,0)</f>
        <v>46207.603890697501</v>
      </c>
      <c r="N58" s="35">
        <f>IF(N54=1,Calculations!N319,0)</f>
        <v>53487.279113867466</v>
      </c>
      <c r="O58" s="35">
        <f>IF(O54=1,Calculations!O319,0)</f>
        <v>60952.663298322004</v>
      </c>
      <c r="P58" s="35">
        <f>IF(P54=1,Calculations!P319,0)</f>
        <v>68688.863762680325</v>
      </c>
      <c r="Q58" s="35">
        <f>IF(Q54=1,Calculations!Q319,0)</f>
        <v>76701.147110148202</v>
      </c>
      <c r="R58" s="35">
        <f>IF(R54=1,Calculations!R319,0)</f>
        <v>84997.916806745547</v>
      </c>
      <c r="S58" s="35">
        <f>IF(S54=1,Calculations!S319,0)</f>
        <v>93587.823172323377</v>
      </c>
      <c r="T58" s="35">
        <f>IF(T54=1,Calculations!T319,0)</f>
        <v>102479.7705755028</v>
      </c>
      <c r="U58" s="35">
        <f>IF(U54=1,Calculations!U319,0)</f>
        <v>111557.78921359946</v>
      </c>
      <c r="V58" s="35">
        <f>IF(V54=1,Calculations!V319,0)</f>
        <v>121083.92902234613</v>
      </c>
      <c r="W58" s="35">
        <f>IF(W54=1,Calculations!W319,0)</f>
        <v>130938.66056948928</v>
      </c>
      <c r="X58" s="35">
        <f>IF(X54=1,Calculations!X319,0)</f>
        <v>141133.7745096359</v>
      </c>
      <c r="Y58" s="35">
        <f>IF(Y54=1,Calculations!Y319,0)</f>
        <v>151679.56138746743</v>
      </c>
      <c r="Z58" s="35">
        <f>IF(Z54=1,Calculations!Z319,0)</f>
        <v>162586.36160375198</v>
      </c>
      <c r="AA58" s="35">
        <f>IF(AA54=1,Calculations!AA319,0)</f>
        <v>173865.32726528731</v>
      </c>
      <c r="AB58" s="35">
        <f>IF(AB54=1,Calculations!AB319,0)</f>
        <v>185527.68110213368</v>
      </c>
      <c r="AC58" s="35">
        <f>IF(AC54=1,Calculations!AC319,0)</f>
        <v>197584.97487228073</v>
      </c>
      <c r="AD58" s="35">
        <f>IF(AD54=1,Calculations!AD319,0)</f>
        <v>210049.09895234814</v>
      </c>
      <c r="AE58" s="35">
        <f>IF(AE54=1,Calculations!AE319,0)</f>
        <v>222932.29220793332</v>
      </c>
      <c r="AF58" s="35">
        <f>IF(AF54=1,Calculations!AF319,0)</f>
        <v>236247.15215175902</v>
      </c>
      <c r="AG58" s="35">
        <f>IF(AG54=1,Calculations!AG319,0)</f>
        <v>250006.64539801379</v>
      </c>
      <c r="AH58" s="35">
        <f>IF(AH54=1,Calculations!AH319,0)</f>
        <v>264224.11842152697</v>
      </c>
      <c r="AI58" s="404"/>
    </row>
    <row r="59" spans="1:35" s="277" customFormat="1" x14ac:dyDescent="0.2">
      <c r="A59" s="320"/>
      <c r="B59" s="25" t="s">
        <v>71</v>
      </c>
      <c r="C59" s="24"/>
      <c r="D59" s="24"/>
      <c r="E59" s="35">
        <f>IF(E54=1,Calculations!E303,0)</f>
        <v>5000</v>
      </c>
      <c r="F59" s="35">
        <f>IF(F54=1,Calculations!F303,0)</f>
        <v>5012.4237990733973</v>
      </c>
      <c r="G59" s="35">
        <f>IF(G54=1,Calculations!G303,0)</f>
        <v>5150.6310704706166</v>
      </c>
      <c r="H59" s="35">
        <f>IF(H54=1,Calculations!H303,0)</f>
        <v>5292.8132520390145</v>
      </c>
      <c r="I59" s="35">
        <f>IF(I54=1,Calculations!I303,0)</f>
        <v>5439.0865885161975</v>
      </c>
      <c r="J59" s="35">
        <f>IF(J54=1,Calculations!J303,0)</f>
        <v>5589.5707471307669</v>
      </c>
      <c r="K59" s="35">
        <f>IF(K54=1,Calculations!K303,0)</f>
        <v>6462.255557723016</v>
      </c>
      <c r="L59" s="35">
        <f>IF(L54=1,Calculations!L303,0)</f>
        <v>6641.4389766854174</v>
      </c>
      <c r="M59" s="35">
        <f>IF(M54=1,Calculations!M303,0)</f>
        <v>6825.7875394329776</v>
      </c>
      <c r="N59" s="35">
        <f>IF(N54=1,Calculations!N303,0)</f>
        <v>7015.4524390595916</v>
      </c>
      <c r="O59" s="35">
        <f>IF(O54=1,Calculations!O303,0)</f>
        <v>7210.5893219734025</v>
      </c>
      <c r="P59" s="35">
        <f>IF(P54=1,Calculations!P303,0)</f>
        <v>7411.3584194376808</v>
      </c>
      <c r="Q59" s="35">
        <f>IF(Q54=1,Calculations!Q303,0)</f>
        <v>7617.9246830031416</v>
      </c>
      <c r="R59" s="35">
        <f>IF(R54=1,Calculations!R303,0)</f>
        <v>7830.4579239469767</v>
      </c>
      <c r="S59" s="35">
        <f>IF(S54=1,Calculations!S303,0)</f>
        <v>8049.1329568372603</v>
      </c>
      <c r="T59" s="35">
        <f>IF(T54=1,Calculations!T303,0)</f>
        <v>8274.1297473448776</v>
      </c>
      <c r="U59" s="35">
        <f>IF(U54=1,Calculations!U303,0)</f>
        <v>8505.633564428852</v>
      </c>
      <c r="V59" s="35">
        <f>IF(V54=1,Calculations!V303,0)</f>
        <v>8743.8351370244782</v>
      </c>
      <c r="W59" s="35">
        <f>IF(W54=1,Calculations!W303,0)</f>
        <v>8988.9308153677575</v>
      </c>
      <c r="X59" s="35">
        <f>IF(X54=1,Calculations!X303,0)</f>
        <v>9241.1227370933757</v>
      </c>
      <c r="Y59" s="35">
        <f>IF(Y54=1,Calculations!Y303,0)</f>
        <v>9500.618998247628</v>
      </c>
      <c r="Z59" s="35">
        <f>IF(Z54=1,Calculations!Z303,0)</f>
        <v>9767.6338293619265</v>
      </c>
      <c r="AA59" s="35">
        <f>IF(AA54=1,Calculations!AA303,0)</f>
        <v>10042.387776736705</v>
      </c>
      <c r="AB59" s="35">
        <f>IF(AB54=1,Calculations!AB303,0)</f>
        <v>10325.107889090134</v>
      </c>
      <c r="AC59" s="35">
        <f>IF(AC54=1,Calculations!AC303,0)</f>
        <v>10616.027909730548</v>
      </c>
      <c r="AD59" s="35">
        <f>IF(AD54=1,Calculations!AD303,0)</f>
        <v>10915.388474416197</v>
      </c>
      <c r="AE59" s="35">
        <f>IF(AE54=1,Calculations!AE303,0)</f>
        <v>11223.437315070827</v>
      </c>
      <c r="AF59" s="35">
        <f>IF(AF54=1,Calculations!AF303,0)</f>
        <v>11540.429469528535</v>
      </c>
      <c r="AG59" s="35">
        <f>IF(AG54=1,Calculations!AG303,0)</f>
        <v>11866.627497486579</v>
      </c>
      <c r="AH59" s="35">
        <f>IF(AH54=1,Calculations!AH303,0)</f>
        <v>12202.301702849996</v>
      </c>
      <c r="AI59" s="404"/>
    </row>
    <row r="60" spans="1:35" s="277" customFormat="1" x14ac:dyDescent="0.2">
      <c r="A60" s="320"/>
      <c r="B60" s="25" t="s">
        <v>72</v>
      </c>
      <c r="C60" s="24"/>
      <c r="D60" s="24"/>
      <c r="E60" s="35">
        <f>IF(E$54=1,Calculations!E304,0)</f>
        <v>100</v>
      </c>
      <c r="F60" s="35">
        <f>IF(F$54=1,Calculations!F304,0)</f>
        <v>99.482926829268308</v>
      </c>
      <c r="G60" s="35">
        <f>IF(G$54=1,Calculations!G304,0)</f>
        <v>101.43239024390245</v>
      </c>
      <c r="H60" s="35">
        <f>IF(H$54=1,Calculations!H304,0)</f>
        <v>103.4092868292683</v>
      </c>
      <c r="I60" s="35">
        <f>IF(I$54=1,Calculations!I304,0)</f>
        <v>105.41350805853659</v>
      </c>
      <c r="J60" s="35">
        <f>IF(J$54=1,Calculations!J304,0)</f>
        <v>107.44491420341465</v>
      </c>
      <c r="K60" s="35">
        <f>IF(K$54=1,Calculations!K304,0)</f>
        <v>123.19124912969929</v>
      </c>
      <c r="L60" s="35">
        <f>IF(L$54=1,Calculations!L304,0)</f>
        <v>125.5371250439776</v>
      </c>
      <c r="M60" s="35">
        <f>IF(M$54=1,Calculations!M304,0)</f>
        <v>127.91288138889587</v>
      </c>
      <c r="N60" s="35">
        <f>IF(N$54=1,Calculations!N304,0)</f>
        <v>130.31819970196966</v>
      </c>
      <c r="O60" s="35">
        <f>IF(O$54=1,Calculations!O304,0)</f>
        <v>132.75271552057788</v>
      </c>
      <c r="P60" s="35">
        <f>IF(P$54=1,Calculations!P304,0)</f>
        <v>135.21601590857082</v>
      </c>
      <c r="Q60" s="35">
        <f>IF(Q$54=1,Calculations!Q304,0)</f>
        <v>137.70763687587484</v>
      </c>
      <c r="R60" s="35">
        <f>IF(R$54=1,Calculations!R304,0)</f>
        <v>140.22706068689936</v>
      </c>
      <c r="S60" s="35">
        <f>IF(S$54=1,Calculations!S304,0)</f>
        <v>142.77371305339713</v>
      </c>
      <c r="T60" s="35">
        <f>IF(T$54=1,Calculations!T304,0)</f>
        <v>145.34696020726645</v>
      </c>
      <c r="U60" s="35">
        <f>IF(U$54=1,Calculations!U304,0)</f>
        <v>147.94610584861991</v>
      </c>
      <c r="V60" s="35">
        <f>IF(V$54=1,Calculations!V304,0)</f>
        <v>150.57038796426809</v>
      </c>
      <c r="W60" s="35">
        <f>IF(W$54=1,Calculations!W304,0)</f>
        <v>153.21897551159137</v>
      </c>
      <c r="X60" s="35">
        <f>IF(X$54=1,Calculations!X304,0)</f>
        <v>155.89096496258617</v>
      </c>
      <c r="Y60" s="35">
        <f>IF(Y$54=1,Calculations!Y304,0)</f>
        <v>158.58537670268026</v>
      </c>
      <c r="Z60" s="35">
        <f>IF(Z$54=1,Calculations!Z304,0)</f>
        <v>161.30115127871363</v>
      </c>
      <c r="AA60" s="35">
        <f>IF(AA$54=1,Calculations!AA304,0)</f>
        <v>164.03714549027666</v>
      </c>
      <c r="AB60" s="35">
        <f>IF(AB$54=1,Calculations!AB304,0)</f>
        <v>166.79212831838254</v>
      </c>
      <c r="AC60" s="35">
        <f>IF(AC$54=1,Calculations!AC304,0)</f>
        <v>169.5647766852336</v>
      </c>
      <c r="AD60" s="35">
        <f>IF(AD$54=1,Calculations!AD304,0)</f>
        <v>172.35367103860915</v>
      </c>
      <c r="AE60" s="35">
        <f>IF(AE$54=1,Calculations!AE304,0)</f>
        <v>175.15729075417053</v>
      </c>
      <c r="AF60" s="35">
        <f>IF(AF$54=1,Calculations!AF304,0)</f>
        <v>177.97400934873082</v>
      </c>
      <c r="AG60" s="35">
        <f>IF(AG$54=1,Calculations!AG304,0)</f>
        <v>180.802089497286</v>
      </c>
      <c r="AH60" s="35">
        <f>IF(AH$54=1,Calculations!AH304,0)</f>
        <v>183.63967784634065</v>
      </c>
      <c r="AI60" s="404"/>
    </row>
    <row r="61" spans="1:35" s="277" customFormat="1" x14ac:dyDescent="0.2">
      <c r="A61" s="320"/>
      <c r="B61" s="25" t="s">
        <v>288</v>
      </c>
      <c r="C61" s="24"/>
      <c r="D61" s="24"/>
      <c r="E61" s="35">
        <f>IF(E$54=1,Calculations!E305,0)</f>
        <v>100</v>
      </c>
      <c r="F61" s="35">
        <f>IF(F$54=1,Calculations!F305,0)</f>
        <v>100.91666666666667</v>
      </c>
      <c r="G61" s="35">
        <f>IF(G$54=1,Calculations!G305,0)</f>
        <v>101.86083333333335</v>
      </c>
      <c r="H61" s="35">
        <f>IF(H$54=1,Calculations!H305,0)</f>
        <v>102.833325</v>
      </c>
      <c r="I61" s="35">
        <f>IF(I$54=1,Calculations!I305,0)</f>
        <v>103.83499141666667</v>
      </c>
      <c r="J61" s="35">
        <f>IF(J$54=1,Calculations!J305,0)</f>
        <v>104.86670782583333</v>
      </c>
      <c r="K61" s="35">
        <f>IF(K$54=1,Calculations!K305,0)</f>
        <v>105.929375727275</v>
      </c>
      <c r="L61" s="35">
        <f>IF(L$54=1,Calculations!L305,0)</f>
        <v>107.02392366575992</v>
      </c>
      <c r="M61" s="35">
        <f>IF(M$54=1,Calculations!M305,0)</f>
        <v>108.15130804239939</v>
      </c>
      <c r="N61" s="35">
        <f>IF(N$54=1,Calculations!N305,0)</f>
        <v>109.31251395033804</v>
      </c>
      <c r="O61" s="35">
        <f>IF(O$54=1,Calculations!O305,0)</f>
        <v>110.50855603551484</v>
      </c>
      <c r="P61" s="35">
        <f>IF(P$54=1,Calculations!P305,0)</f>
        <v>111.74047938324696</v>
      </c>
      <c r="Q61" s="35">
        <f>IF(Q$54=1,Calculations!Q305,0)</f>
        <v>113.00936043141103</v>
      </c>
      <c r="R61" s="35">
        <f>IF(R$54=1,Calculations!R305,0)</f>
        <v>114.31630791102003</v>
      </c>
      <c r="S61" s="35">
        <f>IF(S$54=1,Calculations!S305,0)</f>
        <v>115.66246381501732</v>
      </c>
      <c r="T61" s="35">
        <f>IF(T$54=1,Calculations!T305,0)</f>
        <v>117.04900439613448</v>
      </c>
      <c r="U61" s="35">
        <f>IF(U$54=1,Calculations!U305,0)</f>
        <v>118.47714119468517</v>
      </c>
      <c r="V61" s="35">
        <f>IF(V$54=1,Calculations!V305,0)</f>
        <v>119.94812209719241</v>
      </c>
      <c r="W61" s="35">
        <f>IF(W$54=1,Calculations!W305,0)</f>
        <v>121.46323242677487</v>
      </c>
      <c r="X61" s="35">
        <f>IF(X$54=1,Calculations!X305,0)</f>
        <v>123.02379606624477</v>
      </c>
      <c r="Y61" s="35">
        <f>IF(Y$54=1,Calculations!Y305,0)</f>
        <v>124.63117661489878</v>
      </c>
      <c r="Z61" s="35">
        <f>IF(Z$54=1,Calculations!Z305,0)</f>
        <v>126.28677858001242</v>
      </c>
      <c r="AA61" s="35">
        <f>IF(AA$54=1,Calculations!AA305,0)</f>
        <v>127.99204860407946</v>
      </c>
      <c r="AB61" s="35">
        <f>IF(AB$54=1,Calculations!AB305,0)</f>
        <v>129.7484767288685</v>
      </c>
      <c r="AC61" s="35">
        <f>IF(AC$54=1,Calculations!AC305,0)</f>
        <v>131.55759769740121</v>
      </c>
      <c r="AD61" s="35">
        <f>IF(AD$54=1,Calculations!AD305,0)</f>
        <v>133.4209922949899</v>
      </c>
      <c r="AE61" s="35">
        <f>IF(AE$54=1,Calculations!AE305,0)</f>
        <v>135.3402887305063</v>
      </c>
      <c r="AF61" s="35">
        <f>IF(AF$54=1,Calculations!AF305,0)</f>
        <v>137.31716405908816</v>
      </c>
      <c r="AG61" s="35">
        <f>IF(AG$54=1,Calculations!AG305,0)</f>
        <v>139.35334564752748</v>
      </c>
      <c r="AH61" s="35">
        <f>IF(AH$54=1,Calculations!AH305,0)</f>
        <v>141.45061268361997</v>
      </c>
      <c r="AI61" s="404"/>
    </row>
    <row r="62" spans="1:35" s="277" customFormat="1" x14ac:dyDescent="0.2">
      <c r="A62" s="320"/>
      <c r="B62" s="24"/>
      <c r="C62" s="24"/>
      <c r="D62" s="24"/>
      <c r="E62" s="43">
        <f>IF(E54=1,SUM(E58:E61),0)</f>
        <v>5300</v>
      </c>
      <c r="F62" s="43">
        <f t="shared" ref="F62:AH62" si="17">IF(F54=1,SUM(F58:F61),0)</f>
        <v>10218.422483758284</v>
      </c>
      <c r="G62" s="43">
        <f t="shared" si="17"/>
        <v>15378.996892136098</v>
      </c>
      <c r="H62" s="43">
        <f t="shared" si="17"/>
        <v>20699.552760782059</v>
      </c>
      <c r="I62" s="43">
        <f t="shared" si="17"/>
        <v>26193.872457589841</v>
      </c>
      <c r="J62" s="43">
        <f t="shared" si="17"/>
        <v>31897.430836149088</v>
      </c>
      <c r="K62" s="43">
        <f t="shared" si="17"/>
        <v>39160.196378202279</v>
      </c>
      <c r="L62" s="43">
        <f t="shared" si="17"/>
        <v>46078.211996462451</v>
      </c>
      <c r="M62" s="43">
        <f t="shared" si="17"/>
        <v>53269.45561956177</v>
      </c>
      <c r="N62" s="43">
        <f t="shared" si="17"/>
        <v>60742.362266579366</v>
      </c>
      <c r="O62" s="43">
        <f t="shared" si="17"/>
        <v>68406.5138918515</v>
      </c>
      <c r="P62" s="43">
        <f t="shared" si="17"/>
        <v>76347.178677409829</v>
      </c>
      <c r="Q62" s="43">
        <f t="shared" si="17"/>
        <v>84569.788790458639</v>
      </c>
      <c r="R62" s="43">
        <f t="shared" si="17"/>
        <v>93082.918099290444</v>
      </c>
      <c r="S62" s="43">
        <f t="shared" si="17"/>
        <v>101895.39230602905</v>
      </c>
      <c r="T62" s="43">
        <f t="shared" si="17"/>
        <v>111016.29628745108</v>
      </c>
      <c r="U62" s="43">
        <f t="shared" si="17"/>
        <v>120329.84602507162</v>
      </c>
      <c r="V62" s="43">
        <f t="shared" si="17"/>
        <v>130098.28266943207</v>
      </c>
      <c r="W62" s="43">
        <f t="shared" si="17"/>
        <v>140202.27359279542</v>
      </c>
      <c r="X62" s="43">
        <f t="shared" si="17"/>
        <v>150653.8120077581</v>
      </c>
      <c r="Y62" s="43">
        <f t="shared" si="17"/>
        <v>161463.39693903265</v>
      </c>
      <c r="Z62" s="43">
        <f t="shared" si="17"/>
        <v>172641.58336297265</v>
      </c>
      <c r="AA62" s="43">
        <f t="shared" si="17"/>
        <v>184199.74423611836</v>
      </c>
      <c r="AB62" s="43">
        <f t="shared" si="17"/>
        <v>196149.32959627107</v>
      </c>
      <c r="AC62" s="43">
        <f t="shared" si="17"/>
        <v>208502.12515639391</v>
      </c>
      <c r="AD62" s="43">
        <f t="shared" si="17"/>
        <v>221270.26209009794</v>
      </c>
      <c r="AE62" s="43">
        <f t="shared" si="17"/>
        <v>234466.22710248883</v>
      </c>
      <c r="AF62" s="43">
        <f t="shared" si="17"/>
        <v>248102.87279469537</v>
      </c>
      <c r="AG62" s="43">
        <f t="shared" si="17"/>
        <v>262193.42833064514</v>
      </c>
      <c r="AH62" s="43">
        <f t="shared" si="17"/>
        <v>276751.51041490689</v>
      </c>
      <c r="AI62" s="404"/>
    </row>
    <row r="63" spans="1:35" s="277" customFormat="1" x14ac:dyDescent="0.2">
      <c r="A63" s="320"/>
      <c r="B63" s="23" t="s">
        <v>145</v>
      </c>
      <c r="C63" s="24"/>
      <c r="D63" s="24"/>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404"/>
    </row>
    <row r="64" spans="1:35" s="277" customFormat="1" x14ac:dyDescent="0.2">
      <c r="A64" s="320"/>
      <c r="B64" s="25" t="s">
        <v>74</v>
      </c>
      <c r="C64" s="24"/>
      <c r="D64" s="24"/>
      <c r="E64" s="35">
        <f>IF(E54=1,Calculations!E43+Calculations!E59+Calculations!E75+Calculations!E91+Calculations!E107+Calculations!E123,0)</f>
        <v>1100</v>
      </c>
      <c r="F64" s="35">
        <f>IF(F54=1,Calculations!F43+Calculations!F59+Calculations!F75+Calculations!F91+Calculations!F107+Calculations!F123,0)</f>
        <v>1143</v>
      </c>
      <c r="G64" s="35">
        <f>IF(G54=1,Calculations!G43+Calculations!G59+Calculations!G75+Calculations!G91+Calculations!G107+Calculations!G123,0)</f>
        <v>1328.1351766513058</v>
      </c>
      <c r="H64" s="35">
        <f>IF(H54=1,Calculations!H43+Calculations!H59+Calculations!H75+Calculations!H91+Calculations!H107+Calculations!H123,0)</f>
        <v>1505.0238095238096</v>
      </c>
      <c r="I64" s="35">
        <f>IF(I54=1,Calculations!I43+Calculations!I59+Calculations!I75+Calculations!I91+Calculations!I107+Calculations!I123,0)</f>
        <v>1673.6658986175114</v>
      </c>
      <c r="J64" s="35">
        <f>IF(J54=1,Calculations!J43+Calculations!J59+Calculations!J75+Calculations!J91+Calculations!J107+Calculations!J123,0)</f>
        <v>1834.0614439324115</v>
      </c>
      <c r="K64" s="35">
        <f>IF(K54=1,Calculations!K43+Calculations!K59+Calculations!K75+Calculations!K91+Calculations!K107+Calculations!K123,0)</f>
        <v>1986.21044546851</v>
      </c>
      <c r="L64" s="35">
        <f>IF(L54=1,Calculations!L43+Calculations!L59+Calculations!L75+Calculations!L91+Calculations!L107+Calculations!L123,0)</f>
        <v>2145.1129032258063</v>
      </c>
      <c r="M64" s="35">
        <f>IF(M54=1,Calculations!M43+Calculations!M59+Calculations!M75+Calculations!M91+Calculations!M107+Calculations!M123,0)</f>
        <v>2296.7331029185871</v>
      </c>
      <c r="N64" s="35">
        <f>IF(N54=1,Calculations!N43+Calculations!N59+Calculations!N75+Calculations!N91+Calculations!N107+Calculations!N123,0)</f>
        <v>2439.6424731182792</v>
      </c>
      <c r="O64" s="35">
        <f>IF(O54=1,Calculations!O43+Calculations!O59+Calculations!O75+Calculations!O91+Calculations!O107+Calculations!O123,0)</f>
        <v>2573.8410138248846</v>
      </c>
      <c r="P64" s="35">
        <f>IF(P54=1,Calculations!P43+Calculations!P59+Calculations!P75+Calculations!P91+Calculations!P107+Calculations!P123,0)</f>
        <v>2699.3287250384028</v>
      </c>
      <c r="Q64" s="35">
        <f>IF(Q54=1,Calculations!Q43+Calculations!Q59+Calculations!Q75+Calculations!Q91+Calculations!Q107+Calculations!Q123,0)</f>
        <v>2816.1056067588329</v>
      </c>
      <c r="R64" s="35">
        <f>IF(R54=1,Calculations!R43+Calculations!R59+Calculations!R75+Calculations!R91+Calculations!R107+Calculations!R123,0)</f>
        <v>2924.1716589861753</v>
      </c>
      <c r="S64" s="35">
        <f>IF(S54=1,Calculations!S43+Calculations!S59+Calculations!S75+Calculations!S91+Calculations!S107+Calculations!S123,0)</f>
        <v>3023.5268817204301</v>
      </c>
      <c r="T64" s="35">
        <f>IF(T54=1,Calculations!T43+Calculations!T59+Calculations!T75+Calculations!T91+Calculations!T107+Calculations!T123,0)</f>
        <v>3114.1712749615976</v>
      </c>
      <c r="U64" s="35">
        <f>IF(U54=1,Calculations!U43+Calculations!U59+Calculations!U75+Calculations!U91+Calculations!U107+Calculations!U123,0)</f>
        <v>3196.1048387096776</v>
      </c>
      <c r="V64" s="35">
        <f>IF(V54=1,Calculations!V43+Calculations!V59+Calculations!V75+Calculations!V91+Calculations!V107+Calculations!V123,0)</f>
        <v>3278.4650537634416</v>
      </c>
      <c r="W64" s="35">
        <f>IF(W54=1,Calculations!W43+Calculations!W59+Calculations!W75+Calculations!W91+Calculations!W107+Calculations!W123,0)</f>
        <v>3369.8709677419356</v>
      </c>
      <c r="X64" s="35">
        <f>IF(X54=1,Calculations!X43+Calculations!X59+Calculations!X75+Calculations!X91+Calculations!X107+Calculations!X123,0)</f>
        <v>3452.3225806451615</v>
      </c>
      <c r="Y64" s="35">
        <f>IF(Y54=1,Calculations!Y43+Calculations!Y59+Calculations!Y75+Calculations!Y91+Calculations!Y107+Calculations!Y123,0)</f>
        <v>3525.8198924731187</v>
      </c>
      <c r="Z64" s="35">
        <f>IF(Z54=1,Calculations!Z43+Calculations!Z59+Calculations!Z75+Calculations!Z91+Calculations!Z107+Calculations!Z123,0)</f>
        <v>3592.8629032258068</v>
      </c>
      <c r="AA64" s="35">
        <f>IF(AA54=1,Calculations!AA43+Calculations!AA59+Calculations!AA75+Calculations!AA91+Calculations!AA107+Calculations!AA123,0)</f>
        <v>3650.9516129032263</v>
      </c>
      <c r="AB64" s="35">
        <f>IF(AB54=1,Calculations!AB43+Calculations!AB59+Calculations!AB75+Calculations!AB91+Calculations!AB107+Calculations!AB123,0)</f>
        <v>3700.0860215053767</v>
      </c>
      <c r="AC64" s="35">
        <f>IF(AC54=1,Calculations!AC43+Calculations!AC59+Calculations!AC75+Calculations!AC91+Calculations!AC107+Calculations!AC123,0)</f>
        <v>3740.2661290322585</v>
      </c>
      <c r="AD64" s="35">
        <f>IF(AD54=1,Calculations!AD43+Calculations!AD59+Calculations!AD75+Calculations!AD91+Calculations!AD107+Calculations!AD123,0)</f>
        <v>3771.4919354838712</v>
      </c>
      <c r="AE64" s="35">
        <f>IF(AE54=1,Calculations!AE43+Calculations!AE59+Calculations!AE75+Calculations!AE91+Calculations!AE107+Calculations!AE123,0)</f>
        <v>3793.7634408602153</v>
      </c>
      <c r="AF64" s="35">
        <f>IF(AF54=1,Calculations!AF43+Calculations!AF59+Calculations!AF75+Calculations!AF91+Calculations!AF107+Calculations!AF123,0)</f>
        <v>3807.0806451612907</v>
      </c>
      <c r="AG64" s="35">
        <f>IF(AG54=1,Calculations!AG43+Calculations!AG59+Calculations!AG75+Calculations!AG91+Calculations!AG107+Calculations!AG123,0)</f>
        <v>3811.4435483870971</v>
      </c>
      <c r="AH64" s="35">
        <f>IF(AH54=1,Calculations!AH43+Calculations!AH59+Calculations!AH75+Calculations!AH91+Calculations!AH107+Calculations!AH123,0)</f>
        <v>3806.8521505376348</v>
      </c>
      <c r="AI64" s="404"/>
    </row>
    <row r="65" spans="1:35" s="277" customFormat="1" x14ac:dyDescent="0.2">
      <c r="A65" s="320"/>
      <c r="B65" s="25" t="s">
        <v>328</v>
      </c>
      <c r="C65" s="24"/>
      <c r="D65" s="24"/>
      <c r="E65" s="35">
        <f>IF(E54=1,'Assumptions - Freight'!E107,0)</f>
        <v>10</v>
      </c>
      <c r="F65" s="35">
        <f>IF(F54=1,'Assumptions - Freight'!F107,0)</f>
        <v>10</v>
      </c>
      <c r="G65" s="35">
        <f>IF(G54=1,'Assumptions - Freight'!G107,0)</f>
        <v>10</v>
      </c>
      <c r="H65" s="35">
        <f>IF(H54=1,'Assumptions - Freight'!H107,0)</f>
        <v>10</v>
      </c>
      <c r="I65" s="35">
        <f>IF(I54=1,'Assumptions - Freight'!I107,0)</f>
        <v>10</v>
      </c>
      <c r="J65" s="35">
        <f>IF(J54=1,'Assumptions - Freight'!J107,0)</f>
        <v>10</v>
      </c>
      <c r="K65" s="35">
        <f>IF(K54=1,'Assumptions - Freight'!K107,0)</f>
        <v>10</v>
      </c>
      <c r="L65" s="35">
        <f>IF(L54=1,'Assumptions - Freight'!L107,0)</f>
        <v>10</v>
      </c>
      <c r="M65" s="35">
        <f>IF(M54=1,'Assumptions - Freight'!M107,0)</f>
        <v>10</v>
      </c>
      <c r="N65" s="35">
        <f>IF(N54=1,'Assumptions - Freight'!N107,0)</f>
        <v>10</v>
      </c>
      <c r="O65" s="35">
        <f>IF(O54=1,'Assumptions - Freight'!O107,0)</f>
        <v>10</v>
      </c>
      <c r="P65" s="35">
        <f>IF(P54=1,'Assumptions - Freight'!P107,0)</f>
        <v>10</v>
      </c>
      <c r="Q65" s="35">
        <f>IF(Q54=1,'Assumptions - Freight'!Q107,0)</f>
        <v>10</v>
      </c>
      <c r="R65" s="35">
        <f>IF(R54=1,'Assumptions - Freight'!R107,0)</f>
        <v>10</v>
      </c>
      <c r="S65" s="35">
        <f>IF(S54=1,'Assumptions - Freight'!S107,0)</f>
        <v>10</v>
      </c>
      <c r="T65" s="35">
        <f>IF(T54=1,'Assumptions - Freight'!T107,0)</f>
        <v>10</v>
      </c>
      <c r="U65" s="35">
        <f>IF(U54=1,'Assumptions - Freight'!U107,0)</f>
        <v>10</v>
      </c>
      <c r="V65" s="35">
        <f>IF(V54=1,'Assumptions - Freight'!V107,0)</f>
        <v>10</v>
      </c>
      <c r="W65" s="35">
        <f>IF(W54=1,'Assumptions - Freight'!W107,0)</f>
        <v>10</v>
      </c>
      <c r="X65" s="35">
        <f>IF(X54=1,'Assumptions - Freight'!X107,0)</f>
        <v>10</v>
      </c>
      <c r="Y65" s="35">
        <f>IF(Y54=1,'Assumptions - Freight'!Y107,0)</f>
        <v>10</v>
      </c>
      <c r="Z65" s="35">
        <f>IF(Z54=1,'Assumptions - Freight'!Z107,0)</f>
        <v>10</v>
      </c>
      <c r="AA65" s="35">
        <f>IF(AA54=1,'Assumptions - Freight'!AA107,0)</f>
        <v>10</v>
      </c>
      <c r="AB65" s="35">
        <f>IF(AB54=1,'Assumptions - Freight'!AB107,0)</f>
        <v>10</v>
      </c>
      <c r="AC65" s="35">
        <f>IF(AC54=1,'Assumptions - Freight'!AC107,0)</f>
        <v>10</v>
      </c>
      <c r="AD65" s="35">
        <f>IF(AD54=1,'Assumptions - Freight'!AD107,0)</f>
        <v>10</v>
      </c>
      <c r="AE65" s="35">
        <f>IF(AE54=1,'Assumptions - Freight'!AE107,0)</f>
        <v>10</v>
      </c>
      <c r="AF65" s="35">
        <f>IF(AF54=1,'Assumptions - Freight'!AF107,0)</f>
        <v>10</v>
      </c>
      <c r="AG65" s="35">
        <f>IF(AG54=1,'Assumptions - Freight'!AG107,0)</f>
        <v>10</v>
      </c>
      <c r="AH65" s="35">
        <f>IF(AH54=1,'Assumptions - Freight'!AH107,0)</f>
        <v>10</v>
      </c>
      <c r="AI65" s="404"/>
    </row>
    <row r="66" spans="1:35" s="277" customFormat="1" x14ac:dyDescent="0.2">
      <c r="A66" s="320"/>
      <c r="B66" s="24"/>
      <c r="C66" s="24"/>
      <c r="D66" s="24"/>
      <c r="E66" s="43">
        <f>IF(E54=1,SUM(E64:E65),0)</f>
        <v>1110</v>
      </c>
      <c r="F66" s="43">
        <f t="shared" ref="F66:AH66" si="18">IF(F54=1,SUM(F64:F65),0)</f>
        <v>1153</v>
      </c>
      <c r="G66" s="43">
        <f t="shared" si="18"/>
        <v>1338.1351766513058</v>
      </c>
      <c r="H66" s="43">
        <f t="shared" si="18"/>
        <v>1515.0238095238096</v>
      </c>
      <c r="I66" s="43">
        <f t="shared" si="18"/>
        <v>1683.6658986175114</v>
      </c>
      <c r="J66" s="43">
        <f t="shared" si="18"/>
        <v>1844.0614439324115</v>
      </c>
      <c r="K66" s="43">
        <f t="shared" si="18"/>
        <v>1996.21044546851</v>
      </c>
      <c r="L66" s="43">
        <f t="shared" si="18"/>
        <v>2155.1129032258063</v>
      </c>
      <c r="M66" s="43">
        <f t="shared" si="18"/>
        <v>2306.7331029185871</v>
      </c>
      <c r="N66" s="43">
        <f t="shared" si="18"/>
        <v>2449.6424731182792</v>
      </c>
      <c r="O66" s="43">
        <f t="shared" si="18"/>
        <v>2583.8410138248846</v>
      </c>
      <c r="P66" s="43">
        <f t="shared" si="18"/>
        <v>2709.3287250384028</v>
      </c>
      <c r="Q66" s="43">
        <f t="shared" si="18"/>
        <v>2826.1056067588329</v>
      </c>
      <c r="R66" s="43">
        <f t="shared" si="18"/>
        <v>2934.1716589861753</v>
      </c>
      <c r="S66" s="43">
        <f t="shared" si="18"/>
        <v>3033.5268817204301</v>
      </c>
      <c r="T66" s="43">
        <f t="shared" si="18"/>
        <v>3124.1712749615976</v>
      </c>
      <c r="U66" s="43">
        <f t="shared" si="18"/>
        <v>3206.1048387096776</v>
      </c>
      <c r="V66" s="43">
        <f t="shared" si="18"/>
        <v>3288.4650537634416</v>
      </c>
      <c r="W66" s="43">
        <f t="shared" si="18"/>
        <v>3379.8709677419356</v>
      </c>
      <c r="X66" s="43">
        <f t="shared" si="18"/>
        <v>3462.3225806451615</v>
      </c>
      <c r="Y66" s="43">
        <f t="shared" si="18"/>
        <v>3535.8198924731187</v>
      </c>
      <c r="Z66" s="43">
        <f t="shared" si="18"/>
        <v>3602.8629032258068</v>
      </c>
      <c r="AA66" s="43">
        <f t="shared" si="18"/>
        <v>3660.9516129032263</v>
      </c>
      <c r="AB66" s="43">
        <f t="shared" si="18"/>
        <v>3710.0860215053767</v>
      </c>
      <c r="AC66" s="43">
        <f t="shared" si="18"/>
        <v>3750.2661290322585</v>
      </c>
      <c r="AD66" s="43">
        <f t="shared" si="18"/>
        <v>3781.4919354838712</v>
      </c>
      <c r="AE66" s="43">
        <f t="shared" si="18"/>
        <v>3803.7634408602153</v>
      </c>
      <c r="AF66" s="43">
        <f t="shared" si="18"/>
        <v>3817.0806451612907</v>
      </c>
      <c r="AG66" s="43">
        <f t="shared" si="18"/>
        <v>3821.4435483870971</v>
      </c>
      <c r="AH66" s="43">
        <f t="shared" si="18"/>
        <v>3816.8521505376348</v>
      </c>
      <c r="AI66" s="404"/>
    </row>
    <row r="67" spans="1:35" s="277" customFormat="1" ht="16" thickBot="1" x14ac:dyDescent="0.25">
      <c r="A67" s="320"/>
      <c r="B67" s="26" t="s">
        <v>75</v>
      </c>
      <c r="C67" s="24"/>
      <c r="D67" s="24"/>
      <c r="E67" s="40">
        <f>IF(E54=1,E62+E66,0)</f>
        <v>6410</v>
      </c>
      <c r="F67" s="40">
        <f t="shared" ref="F67:AH67" si="19">IF(F54=1,F62+F66,0)</f>
        <v>11371.422483758284</v>
      </c>
      <c r="G67" s="40">
        <f t="shared" si="19"/>
        <v>16717.132068787403</v>
      </c>
      <c r="H67" s="40">
        <f t="shared" si="19"/>
        <v>22214.576570305868</v>
      </c>
      <c r="I67" s="40">
        <f t="shared" si="19"/>
        <v>27877.538356207351</v>
      </c>
      <c r="J67" s="40">
        <f t="shared" si="19"/>
        <v>33741.492280081497</v>
      </c>
      <c r="K67" s="40">
        <f t="shared" si="19"/>
        <v>41156.40682367079</v>
      </c>
      <c r="L67" s="40">
        <f t="shared" si="19"/>
        <v>48233.324899688254</v>
      </c>
      <c r="M67" s="40">
        <f t="shared" si="19"/>
        <v>55576.188722480358</v>
      </c>
      <c r="N67" s="40">
        <f t="shared" si="19"/>
        <v>63192.004739697644</v>
      </c>
      <c r="O67" s="40">
        <f t="shared" si="19"/>
        <v>70990.354905676388</v>
      </c>
      <c r="P67" s="40">
        <f t="shared" si="19"/>
        <v>79056.507402448231</v>
      </c>
      <c r="Q67" s="40">
        <f t="shared" si="19"/>
        <v>87395.894397217475</v>
      </c>
      <c r="R67" s="40">
        <f t="shared" si="19"/>
        <v>96017.089758276619</v>
      </c>
      <c r="S67" s="40">
        <f t="shared" si="19"/>
        <v>104928.91918774949</v>
      </c>
      <c r="T67" s="40">
        <f t="shared" si="19"/>
        <v>114140.46756241268</v>
      </c>
      <c r="U67" s="40">
        <f t="shared" si="19"/>
        <v>123535.9508637813</v>
      </c>
      <c r="V67" s="40">
        <f t="shared" si="19"/>
        <v>133386.7477231955</v>
      </c>
      <c r="W67" s="40">
        <f t="shared" si="19"/>
        <v>143582.14456053736</v>
      </c>
      <c r="X67" s="40">
        <f t="shared" si="19"/>
        <v>154116.13458840325</v>
      </c>
      <c r="Y67" s="40">
        <f t="shared" si="19"/>
        <v>164999.21683150576</v>
      </c>
      <c r="Z67" s="40">
        <f t="shared" si="19"/>
        <v>176244.44626619847</v>
      </c>
      <c r="AA67" s="40">
        <f t="shared" si="19"/>
        <v>187860.69584902158</v>
      </c>
      <c r="AB67" s="40">
        <f t="shared" si="19"/>
        <v>199859.41561777645</v>
      </c>
      <c r="AC67" s="40">
        <f t="shared" si="19"/>
        <v>212252.39128542619</v>
      </c>
      <c r="AD67" s="40">
        <f t="shared" si="19"/>
        <v>225051.75402558182</v>
      </c>
      <c r="AE67" s="40">
        <f t="shared" si="19"/>
        <v>238269.99054334903</v>
      </c>
      <c r="AF67" s="40">
        <f t="shared" si="19"/>
        <v>251919.95343985668</v>
      </c>
      <c r="AG67" s="40">
        <f t="shared" si="19"/>
        <v>266014.87187903223</v>
      </c>
      <c r="AH67" s="40">
        <f t="shared" si="19"/>
        <v>280568.36256544455</v>
      </c>
      <c r="AI67" s="404"/>
    </row>
    <row r="68" spans="1:35" s="277" customFormat="1" x14ac:dyDescent="0.2">
      <c r="A68" s="320"/>
      <c r="B68" s="24"/>
      <c r="C68" s="24"/>
      <c r="D68" s="24"/>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row>
    <row r="69" spans="1:35" s="277" customFormat="1" x14ac:dyDescent="0.2">
      <c r="A69" s="320"/>
      <c r="B69" s="24"/>
      <c r="C69" s="24"/>
      <c r="D69" s="24"/>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row>
    <row r="70" spans="1:35" s="20" customFormat="1" x14ac:dyDescent="0.2">
      <c r="A70" s="320"/>
      <c r="B70" s="19" t="s">
        <v>76</v>
      </c>
    </row>
    <row r="71" spans="1:35" s="277" customFormat="1" x14ac:dyDescent="0.2">
      <c r="A71" s="320"/>
      <c r="B71" s="23" t="s">
        <v>77</v>
      </c>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row>
    <row r="72" spans="1:35" s="277" customFormat="1" x14ac:dyDescent="0.2">
      <c r="A72" s="320"/>
      <c r="B72" s="25" t="s">
        <v>78</v>
      </c>
      <c r="C72" s="24"/>
      <c r="D72" s="24"/>
      <c r="E72" s="35">
        <f>IF(E$54=1,Calculations!E306,0)</f>
        <v>2000</v>
      </c>
      <c r="F72" s="35">
        <f>IF(F$54=1,Calculations!F306,0)</f>
        <v>2015.9966071016092</v>
      </c>
      <c r="G72" s="35">
        <f>IF(G$54=1,Calculations!G306,0)</f>
        <v>2076.4765053146571</v>
      </c>
      <c r="H72" s="35">
        <f>IF(H$54=1,Calculations!H306,0)</f>
        <v>2165.9150824178951</v>
      </c>
      <c r="I72" s="35">
        <f>IF(I$54=1,Calculations!I306,0)</f>
        <v>2249.5316084918391</v>
      </c>
      <c r="J72" s="35">
        <f>IF(J$54=1,Calculations!J306,0)</f>
        <v>2317.0175567465944</v>
      </c>
      <c r="K72" s="35">
        <f>IF(K$54=1,Calculations!K306,0)</f>
        <v>2641.5880462906994</v>
      </c>
      <c r="L72" s="35">
        <f>IF(L$54=1,Calculations!L306,0)</f>
        <v>2720.8356876794205</v>
      </c>
      <c r="M72" s="35">
        <f>IF(M$54=1,Calculations!M306,0)</f>
        <v>2802.4607583098032</v>
      </c>
      <c r="N72" s="35">
        <f>IF(N$54=1,Calculations!N306,0)</f>
        <v>2886.534581059097</v>
      </c>
      <c r="O72" s="35">
        <f>IF(O$54=1,Calculations!O306,0)</f>
        <v>2973.1306184908699</v>
      </c>
      <c r="P72" s="35">
        <f>IF(P$54=1,Calculations!P306,0)</f>
        <v>3062.3245370455961</v>
      </c>
      <c r="Q72" s="35">
        <f>IF(Q$54=1,Calculations!Q306,0)</f>
        <v>3154.1942731569638</v>
      </c>
      <c r="R72" s="35">
        <f>IF(R$54=1,Calculations!R306,0)</f>
        <v>3248.8201013516737</v>
      </c>
      <c r="S72" s="35">
        <f>IF(S$54=1,Calculations!S306,0)</f>
        <v>3346.2847043922238</v>
      </c>
      <c r="T72" s="35">
        <f>IF(T$54=1,Calculations!T306,0)</f>
        <v>3446.6732455239903</v>
      </c>
      <c r="U72" s="35">
        <f>IF(U$54=1,Calculations!U306,0)</f>
        <v>3550.0734428897103</v>
      </c>
      <c r="V72" s="35">
        <f>IF(V$54=1,Calculations!V306,0)</f>
        <v>3656.5756461764017</v>
      </c>
      <c r="W72" s="35">
        <f>IF(W$54=1,Calculations!W306,0)</f>
        <v>3766.2729155616939</v>
      </c>
      <c r="X72" s="35">
        <f>IF(X$54=1,Calculations!X306,0)</f>
        <v>3879.2611030285448</v>
      </c>
      <c r="Y72" s="35">
        <f>IF(Y$54=1,Calculations!Y306,0)</f>
        <v>3995.6389361194015</v>
      </c>
      <c r="Z72" s="35">
        <f>IF(Z$54=1,Calculations!Z306,0)</f>
        <v>4115.5081042029842</v>
      </c>
      <c r="AA72" s="35">
        <f>IF(AA$54=1,Calculations!AA306,0)</f>
        <v>4238.9733473290735</v>
      </c>
      <c r="AB72" s="35">
        <f>IF(AB$54=1,Calculations!AB306,0)</f>
        <v>4366.1425477489465</v>
      </c>
      <c r="AC72" s="35">
        <f>IF(AC$54=1,Calculations!AC306,0)</f>
        <v>4497.126824181415</v>
      </c>
      <c r="AD72" s="35">
        <f>IF(AD$54=1,Calculations!AD306,0)</f>
        <v>4632.0406289068569</v>
      </c>
      <c r="AE72" s="35">
        <f>IF(AE$54=1,Calculations!AE306,0)</f>
        <v>4771.0018477740623</v>
      </c>
      <c r="AF72" s="35">
        <f>IF(AF$54=1,Calculations!AF306,0)</f>
        <v>4914.1319032072843</v>
      </c>
      <c r="AG72" s="35">
        <f>IF(AG$54=1,Calculations!AG306,0)</f>
        <v>5061.5558603035024</v>
      </c>
      <c r="AH72" s="35">
        <f>IF(AH$54=1,Calculations!AH306,0)</f>
        <v>5213.4025361126087</v>
      </c>
    </row>
    <row r="73" spans="1:35" s="277" customFormat="1" x14ac:dyDescent="0.2">
      <c r="A73" s="320"/>
      <c r="B73" s="25" t="s">
        <v>290</v>
      </c>
      <c r="C73" s="24"/>
      <c r="D73" s="24"/>
      <c r="E73" s="35">
        <f>IF(E$54=1,Calculations!E307,0)</f>
        <v>100</v>
      </c>
      <c r="F73" s="35">
        <f>IF(F$54=1,Calculations!F307,0)</f>
        <v>103.00000000000001</v>
      </c>
      <c r="G73" s="35">
        <f>IF(G$54=1,Calculations!G307,0)</f>
        <v>106.09000000000002</v>
      </c>
      <c r="H73" s="35">
        <f>IF(H$54=1,Calculations!H307,0)</f>
        <v>109.27270000000001</v>
      </c>
      <c r="I73" s="35">
        <f>IF(I$54=1,Calculations!I307,0)</f>
        <v>112.55088100000002</v>
      </c>
      <c r="J73" s="35">
        <f>IF(J$54=1,Calculations!J307,0)</f>
        <v>115.92740743000002</v>
      </c>
      <c r="K73" s="35">
        <f>IF(K$54=1,Calculations!K307,0)</f>
        <v>119.4052296529</v>
      </c>
      <c r="L73" s="35">
        <f>IF(L$54=1,Calculations!L307,0)</f>
        <v>122.98738654248703</v>
      </c>
      <c r="M73" s="35">
        <f>IF(M$54=1,Calculations!M307,0)</f>
        <v>126.67700813876164</v>
      </c>
      <c r="N73" s="35">
        <f>IF(N$54=1,Calculations!N307,0)</f>
        <v>130.47731838292449</v>
      </c>
      <c r="O73" s="35">
        <f>IF(O$54=1,Calculations!O307,0)</f>
        <v>134.39163793441222</v>
      </c>
      <c r="P73" s="35">
        <f>IF(P$54=1,Calculations!P307,0)</f>
        <v>138.4233870724446</v>
      </c>
      <c r="Q73" s="35">
        <f>IF(Q$54=1,Calculations!Q307,0)</f>
        <v>142.5760886846179</v>
      </c>
      <c r="R73" s="35">
        <f>IF(R$54=1,Calculations!R307,0)</f>
        <v>146.85337134515649</v>
      </c>
      <c r="S73" s="35">
        <f>IF(S$54=1,Calculations!S307,0)</f>
        <v>151.25897248551115</v>
      </c>
      <c r="T73" s="35">
        <f>IF(T$54=1,Calculations!T307,0)</f>
        <v>155.79674166007649</v>
      </c>
      <c r="U73" s="35">
        <f>IF(U$54=1,Calculations!U307,0)</f>
        <v>160.47064390987876</v>
      </c>
      <c r="V73" s="35">
        <f>IF(V$54=1,Calculations!V307,0)</f>
        <v>165.28476322717512</v>
      </c>
      <c r="W73" s="35">
        <f>IF(W$54=1,Calculations!W307,0)</f>
        <v>170.24330612399038</v>
      </c>
      <c r="X73" s="35">
        <f>IF(X$54=1,Calculations!X307,0)</f>
        <v>175.35060530771014</v>
      </c>
      <c r="Y73" s="35">
        <f>IF(Y$54=1,Calculations!Y307,0)</f>
        <v>180.61112346694145</v>
      </c>
      <c r="Z73" s="35">
        <f>IF(Z$54=1,Calculations!Z307,0)</f>
        <v>186.02945717094968</v>
      </c>
      <c r="AA73" s="35">
        <f>IF(AA$54=1,Calculations!AA307,0)</f>
        <v>191.61034088607818</v>
      </c>
      <c r="AB73" s="35">
        <f>IF(AB$54=1,Calculations!AB307,0)</f>
        <v>197.35865111266054</v>
      </c>
      <c r="AC73" s="35">
        <f>IF(AC$54=1,Calculations!AC307,0)</f>
        <v>203.27941064604036</v>
      </c>
      <c r="AD73" s="35">
        <f>IF(AD$54=1,Calculations!AD307,0)</f>
        <v>209.37779296542155</v>
      </c>
      <c r="AE73" s="35">
        <f>IF(AE$54=1,Calculations!AE307,0)</f>
        <v>215.65912675438415</v>
      </c>
      <c r="AF73" s="35">
        <f>IF(AF$54=1,Calculations!AF307,0)</f>
        <v>222.1289005570157</v>
      </c>
      <c r="AG73" s="35">
        <f>IF(AG$54=1,Calculations!AG307,0)</f>
        <v>228.79276757372622</v>
      </c>
      <c r="AH73" s="35">
        <f>IF(AH$54=1,Calculations!AH307,0)</f>
        <v>235.65655060093803</v>
      </c>
    </row>
    <row r="74" spans="1:35" s="277" customFormat="1" x14ac:dyDescent="0.2">
      <c r="A74" s="320"/>
      <c r="B74" s="25" t="s">
        <v>418</v>
      </c>
      <c r="C74" s="24"/>
      <c r="D74" s="24"/>
      <c r="E74" s="35">
        <f>IF(E54=1,Calculations!F337+Calculations!F353+Calculations!F369+Calculations!F395+Calculations!F425+Calculations!F455+Calculations!F485,0)</f>
        <v>17.5</v>
      </c>
      <c r="F74" s="35">
        <f>IF(F54=1,Calculations!G337+Calculations!G353+Calculations!G369+Calculations!G395+Calculations!G425+Calculations!G455+Calculations!G485,0)</f>
        <v>42.5</v>
      </c>
      <c r="G74" s="35">
        <f>IF(G54=1,Calculations!H337+Calculations!H353+Calculations!H369+Calculations!H395+Calculations!H425+Calculations!H455+Calculations!H485,0)</f>
        <v>30</v>
      </c>
      <c r="H74" s="35">
        <f>IF(H54=1,Calculations!I337+Calculations!I353+Calculations!I369+Calculations!I395+Calculations!I425+Calculations!I455+Calculations!I485,0)</f>
        <v>30</v>
      </c>
      <c r="I74" s="35">
        <f>IF(I54=1,Calculations!J337+Calculations!J353+Calculations!J369+Calculations!J395+Calculations!J425+Calculations!J455+Calculations!J485,0)</f>
        <v>30</v>
      </c>
      <c r="J74" s="35">
        <f>IF(J54=1,Calculations!K337+Calculations!K353+Calculations!K369+Calculations!K395+Calculations!K425+Calculations!K455+Calculations!K485,0)</f>
        <v>30</v>
      </c>
      <c r="K74" s="35">
        <f>IF(K54=1,Calculations!L337+Calculations!L353+Calculations!L369+Calculations!L395+Calculations!L425+Calculations!L455+Calculations!L485,0)</f>
        <v>30</v>
      </c>
      <c r="L74" s="35">
        <f>IF(L54=1,Calculations!M337+Calculations!M353+Calculations!M369+Calculations!M395+Calculations!M425+Calculations!M455+Calculations!M485,0)</f>
        <v>30</v>
      </c>
      <c r="M74" s="35">
        <f>IF(M54=1,Calculations!N337+Calculations!N353+Calculations!N369+Calculations!N395+Calculations!N425+Calculations!N455+Calculations!N485,0)</f>
        <v>30</v>
      </c>
      <c r="N74" s="35">
        <f>IF(N54=1,Calculations!O337+Calculations!O353+Calculations!O369+Calculations!O395+Calculations!O425+Calculations!O455+Calculations!O485,0)</f>
        <v>30</v>
      </c>
      <c r="O74" s="35">
        <f>IF(O54=1,Calculations!P337+Calculations!P353+Calculations!P369+Calculations!P395+Calculations!P425+Calculations!P455+Calculations!P485,0)</f>
        <v>0</v>
      </c>
      <c r="P74" s="35">
        <f>IF(P54=1,Calculations!Q337+Calculations!Q353+Calculations!Q369+Calculations!Q395+Calculations!Q425+Calculations!Q455+Calculations!Q485,0)</f>
        <v>0</v>
      </c>
      <c r="Q74" s="35">
        <f>IF(Q54=1,Calculations!R337+Calculations!R353+Calculations!R369+Calculations!R395+Calculations!R425+Calculations!R455+Calculations!R485,0)</f>
        <v>0</v>
      </c>
      <c r="R74" s="35">
        <f>IF(R54=1,Calculations!S337+Calculations!S353+Calculations!S369+Calculations!S395+Calculations!S425+Calculations!S455+Calculations!S485,0)</f>
        <v>0</v>
      </c>
      <c r="S74" s="35">
        <f>IF(S54=1,Calculations!T337+Calculations!T353+Calculations!T369+Calculations!T395+Calculations!T425+Calculations!T455+Calculations!T485,0)</f>
        <v>0</v>
      </c>
      <c r="T74" s="35">
        <f>IF(T54=1,Calculations!U337+Calculations!U353+Calculations!U369+Calculations!U395+Calculations!U425+Calculations!U455+Calculations!U485,0)</f>
        <v>425</v>
      </c>
      <c r="U74" s="35">
        <f>IF(U54=1,Calculations!V337+Calculations!V353+Calculations!V369+Calculations!V395+Calculations!V425+Calculations!V455+Calculations!V485,0)</f>
        <v>0</v>
      </c>
      <c r="V74" s="35">
        <f>IF(V54=1,Calculations!W337+Calculations!W353+Calculations!W369+Calculations!W395+Calculations!W425+Calculations!W455+Calculations!W485,0)</f>
        <v>0</v>
      </c>
      <c r="W74" s="35">
        <f>IF(W54=1,Calculations!X337+Calculations!X353+Calculations!X369+Calculations!X395+Calculations!X425+Calculations!X455+Calculations!X485,0)</f>
        <v>0</v>
      </c>
      <c r="X74" s="35">
        <f>IF(X54=1,Calculations!Y337+Calculations!Y353+Calculations!Y369+Calculations!Y395+Calculations!Y425+Calculations!Y455+Calculations!Y485,0)</f>
        <v>0</v>
      </c>
      <c r="Y74" s="35">
        <f>IF(Y54=1,Calculations!Z337+Calculations!Z353+Calculations!Z369+Calculations!Z395+Calculations!Z425+Calculations!Z455+Calculations!Z485,0)</f>
        <v>0</v>
      </c>
      <c r="Z74" s="35">
        <f>IF(Z54=1,Calculations!AA337+Calculations!AA353+Calculations!AA369+Calculations!AA395+Calculations!AA425+Calculations!AA455+Calculations!AA485,0)</f>
        <v>0</v>
      </c>
      <c r="AA74" s="35">
        <f>IF(AA54=1,Calculations!AB337+Calculations!AB353+Calculations!AB369+Calculations!AB395+Calculations!AB425+Calculations!AB455+Calculations!AB485,0)</f>
        <v>0</v>
      </c>
      <c r="AB74" s="35">
        <f>IF(AB54=1,Calculations!AC337+Calculations!AC353+Calculations!AC369+Calculations!AC395+Calculations!AC425+Calculations!AC455+Calculations!AC485,0)</f>
        <v>0</v>
      </c>
      <c r="AC74" s="35">
        <f>IF(AC54=1,Calculations!AD337+Calculations!AD353+Calculations!AD369+Calculations!AD395+Calculations!AD425+Calculations!AD455+Calculations!AD485,0)</f>
        <v>0</v>
      </c>
      <c r="AD74" s="35">
        <f>IF(AD54=1,Calculations!AE337+Calculations!AE353+Calculations!AE369+Calculations!AE395+Calculations!AE425+Calculations!AE455+Calculations!AE485,0)</f>
        <v>0</v>
      </c>
      <c r="AE74" s="35">
        <f>IF(AE54=1,Calculations!AF337+Calculations!AF353+Calculations!AF369+Calculations!AF395+Calculations!AF425+Calculations!AF455+Calculations!AF485,0)</f>
        <v>0</v>
      </c>
      <c r="AF74" s="35">
        <f>IF(AF54=1,Calculations!AG337+Calculations!AG353+Calculations!AG369+Calculations!AG395+Calculations!AG425+Calculations!AG455+Calculations!AG485,0)</f>
        <v>0</v>
      </c>
      <c r="AG74" s="35">
        <f>IF(AG54=1,Calculations!AH337+Calculations!AH353+Calculations!AH369+Calculations!AH395+Calculations!AH425+Calculations!AH455+Calculations!AH485,0)</f>
        <v>0</v>
      </c>
      <c r="AH74" s="35">
        <f>IF(AH54=1,Calculations!AI337+Calculations!AI353+Calculations!AI369+Calculations!AI395+Calculations!AI425+Calculations!AI455+Calculations!AI485,0)</f>
        <v>0</v>
      </c>
    </row>
    <row r="75" spans="1:35" s="277" customFormat="1" x14ac:dyDescent="0.2">
      <c r="A75" s="320"/>
      <c r="B75" s="24"/>
      <c r="C75" s="24"/>
      <c r="D75" s="24"/>
      <c r="E75" s="43">
        <f>IF(E54=1,SUM(E72:E74),0)</f>
        <v>2117.5</v>
      </c>
      <c r="F75" s="43">
        <f t="shared" ref="F75:AH75" si="20">IF(F54=1,SUM(F72:F74),0)</f>
        <v>2161.4966071016092</v>
      </c>
      <c r="G75" s="43">
        <f t="shared" si="20"/>
        <v>2212.5665053146572</v>
      </c>
      <c r="H75" s="43">
        <f t="shared" si="20"/>
        <v>2305.1877824178951</v>
      </c>
      <c r="I75" s="43">
        <f t="shared" si="20"/>
        <v>2392.0824894918392</v>
      </c>
      <c r="J75" s="43">
        <f t="shared" si="20"/>
        <v>2462.9449641765946</v>
      </c>
      <c r="K75" s="43">
        <f t="shared" si="20"/>
        <v>2790.9932759435992</v>
      </c>
      <c r="L75" s="43">
        <f t="shared" si="20"/>
        <v>2873.8230742219075</v>
      </c>
      <c r="M75" s="43">
        <f t="shared" si="20"/>
        <v>2959.1377664485649</v>
      </c>
      <c r="N75" s="43">
        <f t="shared" si="20"/>
        <v>3047.0118994420213</v>
      </c>
      <c r="O75" s="43">
        <f t="shared" si="20"/>
        <v>3107.5222564252822</v>
      </c>
      <c r="P75" s="43">
        <f t="shared" si="20"/>
        <v>3200.7479241180408</v>
      </c>
      <c r="Q75" s="43">
        <f t="shared" si="20"/>
        <v>3296.7703618415817</v>
      </c>
      <c r="R75" s="43">
        <f t="shared" si="20"/>
        <v>3395.6734726968302</v>
      </c>
      <c r="S75" s="43">
        <f t="shared" si="20"/>
        <v>3497.5436768777349</v>
      </c>
      <c r="T75" s="43">
        <f t="shared" si="20"/>
        <v>4027.4699871840667</v>
      </c>
      <c r="U75" s="43">
        <f t="shared" si="20"/>
        <v>3710.544086799589</v>
      </c>
      <c r="V75" s="43">
        <f t="shared" si="20"/>
        <v>3821.8604094035768</v>
      </c>
      <c r="W75" s="43">
        <f t="shared" si="20"/>
        <v>3936.5162216856843</v>
      </c>
      <c r="X75" s="43">
        <f t="shared" si="20"/>
        <v>4054.6117083362551</v>
      </c>
      <c r="Y75" s="43">
        <f t="shared" si="20"/>
        <v>4176.250059586343</v>
      </c>
      <c r="Z75" s="43">
        <f t="shared" si="20"/>
        <v>4301.5375613739343</v>
      </c>
      <c r="AA75" s="43">
        <f t="shared" si="20"/>
        <v>4430.5836882151516</v>
      </c>
      <c r="AB75" s="43">
        <f t="shared" si="20"/>
        <v>4563.501198861607</v>
      </c>
      <c r="AC75" s="43">
        <f t="shared" si="20"/>
        <v>4700.4062348274556</v>
      </c>
      <c r="AD75" s="43">
        <f t="shared" si="20"/>
        <v>4841.4184218722785</v>
      </c>
      <c r="AE75" s="43">
        <f t="shared" si="20"/>
        <v>4986.6609745284468</v>
      </c>
      <c r="AF75" s="43">
        <f t="shared" si="20"/>
        <v>5136.2608037643004</v>
      </c>
      <c r="AG75" s="43">
        <f t="shared" si="20"/>
        <v>5290.3486278772289</v>
      </c>
      <c r="AH75" s="43">
        <f t="shared" si="20"/>
        <v>5449.059086713547</v>
      </c>
    </row>
    <row r="76" spans="1:35" s="277" customFormat="1" x14ac:dyDescent="0.2">
      <c r="A76" s="320"/>
      <c r="B76" s="23" t="s">
        <v>144</v>
      </c>
      <c r="C76" s="24"/>
      <c r="D76" s="24"/>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row>
    <row r="77" spans="1:35" s="277" customFormat="1" x14ac:dyDescent="0.2">
      <c r="A77" s="320"/>
      <c r="B77" s="25" t="s">
        <v>79</v>
      </c>
      <c r="C77" s="24"/>
      <c r="D77" s="24"/>
      <c r="E77" s="35">
        <f>IF(E54=1,Calculations!E338+Calculations!E354+Calculations!E370+Calculations!E397+Calculations!E427+Calculations!E457+Calculations!E487-E74,0)</f>
        <v>282.5</v>
      </c>
      <c r="F77" s="35">
        <f>IF(F54=1,Calculations!F338+Calculations!F354+Calculations!F370+Calculations!F397+Calculations!F427+Calculations!F457+Calculations!F487-F74,0)</f>
        <v>240</v>
      </c>
      <c r="G77" s="35">
        <f>IF(G54=1,Calculations!G338+Calculations!G354+Calculations!G370+Calculations!G397+Calculations!G427+Calculations!G457+Calculations!G487-G74,0)</f>
        <v>305</v>
      </c>
      <c r="H77" s="35">
        <f>IF(H54=1,Calculations!H338+Calculations!H354+Calculations!H370+Calculations!H397+Calculations!H427+Calculations!H457+Calculations!H487-H74,0)</f>
        <v>370</v>
      </c>
      <c r="I77" s="35">
        <f>IF(I54=1,Calculations!I338+Calculations!I354+Calculations!I370+Calculations!I397+Calculations!I427+Calculations!I457+Calculations!I487-I74,0)</f>
        <v>435</v>
      </c>
      <c r="J77" s="35">
        <f>IF(J54=1,Calculations!J338+Calculations!J354+Calculations!J370+Calculations!J397+Calculations!J427+Calculations!J457+Calculations!J487-J74,0)</f>
        <v>500</v>
      </c>
      <c r="K77" s="35">
        <f>IF(K54=1,Calculations!K338+Calculations!K354+Calculations!K370+Calculations!K397+Calculations!K427+Calculations!K457+Calculations!K487-K74,0)</f>
        <v>565</v>
      </c>
      <c r="L77" s="35">
        <f>IF(L54=1,Calculations!L338+Calculations!L354+Calculations!L370+Calculations!L397+Calculations!L427+Calculations!L457+Calculations!L487-L74,0)</f>
        <v>535</v>
      </c>
      <c r="M77" s="35">
        <f>IF(M54=1,Calculations!M338+Calculations!M354+Calculations!M370+Calculations!M397+Calculations!M427+Calculations!M457+Calculations!M487-M74,0)</f>
        <v>505</v>
      </c>
      <c r="N77" s="35">
        <f>IF(N54=1,Calculations!N338+Calculations!N354+Calculations!N370+Calculations!N397+Calculations!N427+Calculations!N457+Calculations!N487-N74,0)</f>
        <v>475</v>
      </c>
      <c r="O77" s="35">
        <f>IF(O54=1,Calculations!O338+Calculations!O354+Calculations!O370+Calculations!O397+Calculations!O427+Calculations!O457+Calculations!O487-O74,0)</f>
        <v>475</v>
      </c>
      <c r="P77" s="35">
        <f>IF(P54=1,Calculations!P338+Calculations!P354+Calculations!P370+Calculations!P397+Calculations!P427+Calculations!P457+Calculations!P487-P74,0)</f>
        <v>475</v>
      </c>
      <c r="Q77" s="35">
        <f>IF(Q54=1,Calculations!Q338+Calculations!Q354+Calculations!Q370+Calculations!Q397+Calculations!Q427+Calculations!Q457+Calculations!Q487-Q74,0)</f>
        <v>475</v>
      </c>
      <c r="R77" s="35">
        <f>IF(R54=1,Calculations!R338+Calculations!R354+Calculations!R370+Calculations!R397+Calculations!R427+Calculations!R457+Calculations!R487-R74,0)</f>
        <v>475</v>
      </c>
      <c r="S77" s="35">
        <f>IF(S54=1,Calculations!S338+Calculations!S354+Calculations!S370+Calculations!S397+Calculations!S427+Calculations!S457+Calculations!S487-S74,0)</f>
        <v>475</v>
      </c>
      <c r="T77" s="35">
        <f>IF(T54=1,Calculations!T338+Calculations!T354+Calculations!T370+Calculations!T397+Calculations!T427+Calculations!T457+Calculations!T487-T74,0)</f>
        <v>50</v>
      </c>
      <c r="U77" s="35">
        <f>IF(U54=1,Calculations!U338+Calculations!U354+Calculations!U370+Calculations!U397+Calculations!U427+Calculations!U457+Calculations!U487-U74,0)</f>
        <v>50</v>
      </c>
      <c r="V77" s="35">
        <f>IF(V54=1,Calculations!V338+Calculations!V354+Calculations!V370+Calculations!V397+Calculations!V427+Calculations!V457+Calculations!V487-V74,0)</f>
        <v>50</v>
      </c>
      <c r="W77" s="35">
        <f>IF(W54=1,Calculations!W338+Calculations!W354+Calculations!W370+Calculations!W397+Calculations!W427+Calculations!W457+Calculations!W487-W74,0)</f>
        <v>50</v>
      </c>
      <c r="X77" s="35">
        <f>IF(X54=1,Calculations!X338+Calculations!X354+Calculations!X370+Calculations!X397+Calculations!X427+Calculations!X457+Calculations!X487-X74,0)</f>
        <v>50</v>
      </c>
      <c r="Y77" s="35">
        <f>IF(Y54=1,Calculations!Y338+Calculations!Y354+Calculations!Y370+Calculations!Y397+Calculations!Y427+Calculations!Y457+Calculations!Y487-Y74,0)</f>
        <v>50</v>
      </c>
      <c r="Z77" s="35">
        <f>IF(Z54=1,Calculations!Z338+Calculations!Z354+Calculations!Z370+Calculations!Z397+Calculations!Z427+Calculations!Z457+Calculations!Z487-Z74,0)</f>
        <v>50</v>
      </c>
      <c r="AA77" s="35">
        <f>IF(AA54=1,Calculations!AA338+Calculations!AA354+Calculations!AA370+Calculations!AA397+Calculations!AA427+Calculations!AA457+Calculations!AA487-AA74,0)</f>
        <v>50</v>
      </c>
      <c r="AB77" s="35">
        <f>IF(AB54=1,Calculations!AB338+Calculations!AB354+Calculations!AB370+Calculations!AB397+Calculations!AB427+Calculations!AB457+Calculations!AB487-AB74,0)</f>
        <v>50</v>
      </c>
      <c r="AC77" s="35">
        <f>IF(AC54=1,Calculations!AC338+Calculations!AC354+Calculations!AC370+Calculations!AC397+Calculations!AC427+Calculations!AC457+Calculations!AC487-AC74,0)</f>
        <v>50</v>
      </c>
      <c r="AD77" s="35">
        <f>IF(AD54=1,Calculations!AD338+Calculations!AD354+Calculations!AD370+Calculations!AD397+Calculations!AD427+Calculations!AD457+Calculations!AD487-AD74,0)</f>
        <v>50</v>
      </c>
      <c r="AE77" s="35">
        <f>IF(AE54=1,Calculations!AE338+Calculations!AE354+Calculations!AE370+Calculations!AE397+Calculations!AE427+Calculations!AE457+Calculations!AE487-AE74,0)</f>
        <v>50</v>
      </c>
      <c r="AF77" s="35">
        <f>IF(AF54=1,Calculations!AF338+Calculations!AF354+Calculations!AF370+Calculations!AF397+Calculations!AF427+Calculations!AF457+Calculations!AF487-AF74,0)</f>
        <v>50</v>
      </c>
      <c r="AG77" s="35">
        <f>IF(AG54=1,Calculations!AG338+Calculations!AG354+Calculations!AG370+Calculations!AG397+Calculations!AG427+Calculations!AG457+Calculations!AG487-AG74,0)</f>
        <v>50</v>
      </c>
      <c r="AH77" s="35">
        <f>IF(AH54=1,Calculations!AH338+Calculations!AH354+Calculations!AH370+Calculations!AH397+Calculations!AH427+Calculations!AH457+Calculations!AH487-AH74,0)</f>
        <v>50</v>
      </c>
    </row>
    <row r="78" spans="1:35" s="277" customFormat="1" x14ac:dyDescent="0.2">
      <c r="A78" s="320"/>
      <c r="B78" s="25" t="s">
        <v>327</v>
      </c>
      <c r="C78" s="24"/>
      <c r="D78" s="24"/>
      <c r="E78" s="35">
        <f>IF(E54=1,'Assumptions - Freight'!E558,0)</f>
        <v>20</v>
      </c>
      <c r="F78" s="35">
        <f>IF(F54=1,'Assumptions - Freight'!F558,0)</f>
        <v>20</v>
      </c>
      <c r="G78" s="35">
        <f>IF(G54=1,'Assumptions - Freight'!G558,0)</f>
        <v>20</v>
      </c>
      <c r="H78" s="35">
        <f>IF(H54=1,'Assumptions - Freight'!H558,0)</f>
        <v>20</v>
      </c>
      <c r="I78" s="35">
        <f>IF(I54=1,'Assumptions - Freight'!I558,0)</f>
        <v>20</v>
      </c>
      <c r="J78" s="35">
        <f>IF(J54=1,'Assumptions - Freight'!J558,0)</f>
        <v>20</v>
      </c>
      <c r="K78" s="35">
        <f>IF(K54=1,'Assumptions - Freight'!K558,0)</f>
        <v>20</v>
      </c>
      <c r="L78" s="35">
        <f>IF(L54=1,'Assumptions - Freight'!L558,0)</f>
        <v>20</v>
      </c>
      <c r="M78" s="35">
        <f>IF(M54=1,'Assumptions - Freight'!M558,0)</f>
        <v>20</v>
      </c>
      <c r="N78" s="35">
        <f>IF(N54=1,'Assumptions - Freight'!N558,0)</f>
        <v>20</v>
      </c>
      <c r="O78" s="35">
        <f>IF(O54=1,'Assumptions - Freight'!O558,0)</f>
        <v>20</v>
      </c>
      <c r="P78" s="35">
        <f>IF(P54=1,'Assumptions - Freight'!P558,0)</f>
        <v>20</v>
      </c>
      <c r="Q78" s="35">
        <f>IF(Q54=1,'Assumptions - Freight'!Q558,0)</f>
        <v>20</v>
      </c>
      <c r="R78" s="35">
        <f>IF(R54=1,'Assumptions - Freight'!R558,0)</f>
        <v>20</v>
      </c>
      <c r="S78" s="35">
        <f>IF(S54=1,'Assumptions - Freight'!S558,0)</f>
        <v>20</v>
      </c>
      <c r="T78" s="35">
        <f>IF(T54=1,'Assumptions - Freight'!T558,0)</f>
        <v>20</v>
      </c>
      <c r="U78" s="35">
        <f>IF(U54=1,'Assumptions - Freight'!U558,0)</f>
        <v>20</v>
      </c>
      <c r="V78" s="35">
        <f>IF(V54=1,'Assumptions - Freight'!V558,0)</f>
        <v>20</v>
      </c>
      <c r="W78" s="35">
        <f>IF(W54=1,'Assumptions - Freight'!W558,0)</f>
        <v>20</v>
      </c>
      <c r="X78" s="35">
        <f>IF(X54=1,'Assumptions - Freight'!X558,0)</f>
        <v>20</v>
      </c>
      <c r="Y78" s="35">
        <f>IF(Y54=1,'Assumptions - Freight'!Y558,0)</f>
        <v>20</v>
      </c>
      <c r="Z78" s="35">
        <f>IF(Z54=1,'Assumptions - Freight'!Z558,0)</f>
        <v>20</v>
      </c>
      <c r="AA78" s="35">
        <f>IF(AA54=1,'Assumptions - Freight'!AA558,0)</f>
        <v>20</v>
      </c>
      <c r="AB78" s="35">
        <f>IF(AB54=1,'Assumptions - Freight'!AB558,0)</f>
        <v>20</v>
      </c>
      <c r="AC78" s="35">
        <f>IF(AC54=1,'Assumptions - Freight'!AC558,0)</f>
        <v>20</v>
      </c>
      <c r="AD78" s="35">
        <f>IF(AD54=1,'Assumptions - Freight'!AD558,0)</f>
        <v>20</v>
      </c>
      <c r="AE78" s="35">
        <f>IF(AE54=1,'Assumptions - Freight'!AE558,0)</f>
        <v>20</v>
      </c>
      <c r="AF78" s="35">
        <f>IF(AF54=1,'Assumptions - Freight'!AF558,0)</f>
        <v>20</v>
      </c>
      <c r="AG78" s="35">
        <f>IF(AG54=1,'Assumptions - Freight'!AG558,0)</f>
        <v>20</v>
      </c>
      <c r="AH78" s="35">
        <f>IF(AH54=1,'Assumptions - Freight'!AH558,0)</f>
        <v>20</v>
      </c>
    </row>
    <row r="79" spans="1:35" s="277" customFormat="1" x14ac:dyDescent="0.2">
      <c r="A79" s="320"/>
      <c r="B79" s="24"/>
      <c r="C79" s="24"/>
      <c r="D79" s="24"/>
      <c r="E79" s="43">
        <f>IF(E54=1,SUM(E77:E78),0)</f>
        <v>302.5</v>
      </c>
      <c r="F79" s="43">
        <f t="shared" ref="F79:AH79" si="21">IF(F54=1,SUM(F77:F78),0)</f>
        <v>260</v>
      </c>
      <c r="G79" s="43">
        <f t="shared" si="21"/>
        <v>325</v>
      </c>
      <c r="H79" s="43">
        <f t="shared" si="21"/>
        <v>390</v>
      </c>
      <c r="I79" s="43">
        <f t="shared" si="21"/>
        <v>455</v>
      </c>
      <c r="J79" s="43">
        <f t="shared" si="21"/>
        <v>520</v>
      </c>
      <c r="K79" s="43">
        <f t="shared" si="21"/>
        <v>585</v>
      </c>
      <c r="L79" s="43">
        <f t="shared" si="21"/>
        <v>555</v>
      </c>
      <c r="M79" s="43">
        <f t="shared" si="21"/>
        <v>525</v>
      </c>
      <c r="N79" s="43">
        <f t="shared" si="21"/>
        <v>495</v>
      </c>
      <c r="O79" s="43">
        <f t="shared" si="21"/>
        <v>495</v>
      </c>
      <c r="P79" s="43">
        <f t="shared" si="21"/>
        <v>495</v>
      </c>
      <c r="Q79" s="43">
        <f t="shared" si="21"/>
        <v>495</v>
      </c>
      <c r="R79" s="43">
        <f t="shared" si="21"/>
        <v>495</v>
      </c>
      <c r="S79" s="43">
        <f t="shared" si="21"/>
        <v>495</v>
      </c>
      <c r="T79" s="43">
        <f t="shared" si="21"/>
        <v>70</v>
      </c>
      <c r="U79" s="43">
        <f t="shared" si="21"/>
        <v>70</v>
      </c>
      <c r="V79" s="43">
        <f t="shared" si="21"/>
        <v>70</v>
      </c>
      <c r="W79" s="43">
        <f t="shared" si="21"/>
        <v>70</v>
      </c>
      <c r="X79" s="43">
        <f t="shared" si="21"/>
        <v>70</v>
      </c>
      <c r="Y79" s="43">
        <f t="shared" si="21"/>
        <v>70</v>
      </c>
      <c r="Z79" s="43">
        <f t="shared" si="21"/>
        <v>70</v>
      </c>
      <c r="AA79" s="43">
        <f t="shared" si="21"/>
        <v>70</v>
      </c>
      <c r="AB79" s="43">
        <f t="shared" si="21"/>
        <v>70</v>
      </c>
      <c r="AC79" s="43">
        <f t="shared" si="21"/>
        <v>70</v>
      </c>
      <c r="AD79" s="43">
        <f t="shared" si="21"/>
        <v>70</v>
      </c>
      <c r="AE79" s="43">
        <f t="shared" si="21"/>
        <v>70</v>
      </c>
      <c r="AF79" s="43">
        <f t="shared" si="21"/>
        <v>70</v>
      </c>
      <c r="AG79" s="43">
        <f t="shared" si="21"/>
        <v>70</v>
      </c>
      <c r="AH79" s="43">
        <f t="shared" si="21"/>
        <v>70</v>
      </c>
    </row>
    <row r="80" spans="1:35" s="277" customFormat="1" x14ac:dyDescent="0.2">
      <c r="A80" s="320"/>
      <c r="B80" s="23" t="s">
        <v>80</v>
      </c>
      <c r="C80" s="24"/>
      <c r="D80" s="24"/>
      <c r="E80" s="43">
        <f>IF(E54=1,E75+E79,0)</f>
        <v>2420</v>
      </c>
      <c r="F80" s="43">
        <f t="shared" ref="F80:AH80" si="22">IF(F54=1,F75+F79,0)</f>
        <v>2421.4966071016092</v>
      </c>
      <c r="G80" s="43">
        <f t="shared" si="22"/>
        <v>2537.5665053146572</v>
      </c>
      <c r="H80" s="43">
        <f t="shared" si="22"/>
        <v>2695.1877824178951</v>
      </c>
      <c r="I80" s="43">
        <f t="shared" si="22"/>
        <v>2847.0824894918392</v>
      </c>
      <c r="J80" s="43">
        <f t="shared" si="22"/>
        <v>2982.9449641765946</v>
      </c>
      <c r="K80" s="43">
        <f t="shared" si="22"/>
        <v>3375.9932759435992</v>
      </c>
      <c r="L80" s="43">
        <f t="shared" si="22"/>
        <v>3428.8230742219075</v>
      </c>
      <c r="M80" s="43">
        <f t="shared" si="22"/>
        <v>3484.1377664485649</v>
      </c>
      <c r="N80" s="43">
        <f t="shared" si="22"/>
        <v>3542.0118994420213</v>
      </c>
      <c r="O80" s="43">
        <f t="shared" si="22"/>
        <v>3602.5222564252822</v>
      </c>
      <c r="P80" s="43">
        <f t="shared" si="22"/>
        <v>3695.7479241180408</v>
      </c>
      <c r="Q80" s="43">
        <f t="shared" si="22"/>
        <v>3791.7703618415817</v>
      </c>
      <c r="R80" s="43">
        <f t="shared" si="22"/>
        <v>3890.6734726968302</v>
      </c>
      <c r="S80" s="43">
        <f t="shared" si="22"/>
        <v>3992.5436768777349</v>
      </c>
      <c r="T80" s="43">
        <f t="shared" si="22"/>
        <v>4097.4699871840667</v>
      </c>
      <c r="U80" s="43">
        <f t="shared" si="22"/>
        <v>3780.544086799589</v>
      </c>
      <c r="V80" s="43">
        <f t="shared" si="22"/>
        <v>3891.8604094035768</v>
      </c>
      <c r="W80" s="43">
        <f t="shared" si="22"/>
        <v>4006.5162216856843</v>
      </c>
      <c r="X80" s="43">
        <f t="shared" si="22"/>
        <v>4124.6117083362551</v>
      </c>
      <c r="Y80" s="43">
        <f t="shared" si="22"/>
        <v>4246.250059586343</v>
      </c>
      <c r="Z80" s="43">
        <f t="shared" si="22"/>
        <v>4371.5375613739343</v>
      </c>
      <c r="AA80" s="43">
        <f t="shared" si="22"/>
        <v>4500.5836882151516</v>
      </c>
      <c r="AB80" s="43">
        <f t="shared" si="22"/>
        <v>4633.501198861607</v>
      </c>
      <c r="AC80" s="43">
        <f t="shared" si="22"/>
        <v>4770.4062348274556</v>
      </c>
      <c r="AD80" s="43">
        <f t="shared" si="22"/>
        <v>4911.4184218722785</v>
      </c>
      <c r="AE80" s="43">
        <f t="shared" si="22"/>
        <v>5056.6609745284468</v>
      </c>
      <c r="AF80" s="43">
        <f t="shared" si="22"/>
        <v>5206.2608037643004</v>
      </c>
      <c r="AG80" s="43">
        <f t="shared" si="22"/>
        <v>5360.3486278772289</v>
      </c>
      <c r="AH80" s="43">
        <f t="shared" si="22"/>
        <v>5519.059086713547</v>
      </c>
    </row>
    <row r="81" spans="1:34" s="277" customFormat="1" x14ac:dyDescent="0.2">
      <c r="A81" s="320"/>
      <c r="B81" s="26"/>
      <c r="C81" s="24"/>
      <c r="D81" s="24"/>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row>
    <row r="82" spans="1:34" s="277" customFormat="1" x14ac:dyDescent="0.2">
      <c r="A82" s="320"/>
      <c r="B82" s="23" t="s">
        <v>81</v>
      </c>
      <c r="C82" s="24"/>
      <c r="D82" s="24"/>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row>
    <row r="83" spans="1:34" s="277" customFormat="1" x14ac:dyDescent="0.2">
      <c r="A83" s="320"/>
      <c r="B83" s="25" t="s">
        <v>82</v>
      </c>
      <c r="C83" s="24"/>
      <c r="D83" s="24"/>
      <c r="E83" s="35">
        <f>IF(E54=1,Calculations!E497,0)</f>
        <v>3800</v>
      </c>
      <c r="F83" s="35">
        <f>IF(F54=1,Calculations!F497,0)</f>
        <v>3800</v>
      </c>
      <c r="G83" s="35">
        <f>IF(G54=1,Calculations!G497,0)</f>
        <v>3800</v>
      </c>
      <c r="H83" s="35">
        <f>IF(H54=1,Calculations!H497,0)</f>
        <v>3800</v>
      </c>
      <c r="I83" s="35">
        <f>IF(I54=1,Calculations!I497,0)</f>
        <v>3800</v>
      </c>
      <c r="J83" s="35">
        <f>IF(J54=1,Calculations!J497,0)</f>
        <v>3800</v>
      </c>
      <c r="K83" s="35">
        <f>IF(K54=1,Calculations!K497,0)</f>
        <v>3800</v>
      </c>
      <c r="L83" s="35">
        <f>IF(L54=1,Calculations!L497,0)</f>
        <v>3800</v>
      </c>
      <c r="M83" s="35">
        <f>IF(M54=1,Calculations!M497,0)</f>
        <v>3800</v>
      </c>
      <c r="N83" s="35">
        <f>IF(N54=1,Calculations!N497,0)</f>
        <v>3800</v>
      </c>
      <c r="O83" s="35">
        <f>IF(O54=1,Calculations!O497,0)</f>
        <v>3800</v>
      </c>
      <c r="P83" s="35">
        <f>IF(P54=1,Calculations!P497,0)</f>
        <v>3800</v>
      </c>
      <c r="Q83" s="35">
        <f>IF(Q54=1,Calculations!Q497,0)</f>
        <v>3800</v>
      </c>
      <c r="R83" s="35">
        <f>IF(R54=1,Calculations!R497,0)</f>
        <v>3800</v>
      </c>
      <c r="S83" s="35">
        <f>IF(S54=1,Calculations!S497,0)</f>
        <v>3800</v>
      </c>
      <c r="T83" s="35">
        <f>IF(T54=1,Calculations!T497,0)</f>
        <v>3800</v>
      </c>
      <c r="U83" s="35">
        <f>IF(U54=1,Calculations!U497,0)</f>
        <v>3800</v>
      </c>
      <c r="V83" s="35">
        <f>IF(V54=1,Calculations!V497,0)</f>
        <v>3800</v>
      </c>
      <c r="W83" s="35">
        <f>IF(W54=1,Calculations!W497,0)</f>
        <v>3800</v>
      </c>
      <c r="X83" s="35">
        <f>IF(X54=1,Calculations!X497,0)</f>
        <v>3800</v>
      </c>
      <c r="Y83" s="35">
        <f>IF(Y54=1,Calculations!Y497,0)</f>
        <v>3800</v>
      </c>
      <c r="Z83" s="35">
        <f>IF(Z54=1,Calculations!Z497,0)</f>
        <v>3800</v>
      </c>
      <c r="AA83" s="35">
        <f>IF(AA54=1,Calculations!AA497,0)</f>
        <v>3800</v>
      </c>
      <c r="AB83" s="35">
        <f>IF(AB54=1,Calculations!AB497,0)</f>
        <v>3800</v>
      </c>
      <c r="AC83" s="35">
        <f>IF(AC54=1,Calculations!AC497,0)</f>
        <v>3800</v>
      </c>
      <c r="AD83" s="35">
        <f>IF(AD54=1,Calculations!AD497,0)</f>
        <v>3800</v>
      </c>
      <c r="AE83" s="35">
        <f>IF(AE54=1,Calculations!AE497,0)</f>
        <v>3800</v>
      </c>
      <c r="AF83" s="35">
        <f>IF(AF54=1,Calculations!AF497,0)</f>
        <v>3800</v>
      </c>
      <c r="AG83" s="35">
        <f>IF(AG54=1,Calculations!AG497,0)</f>
        <v>3800</v>
      </c>
      <c r="AH83" s="35">
        <f>IF(AH54=1,Calculations!AH497,0)</f>
        <v>3800</v>
      </c>
    </row>
    <row r="84" spans="1:34" s="277" customFormat="1" x14ac:dyDescent="0.2">
      <c r="A84" s="320"/>
      <c r="B84" s="25" t="s">
        <v>609</v>
      </c>
      <c r="C84" s="24"/>
      <c r="D84" s="24"/>
      <c r="E84" s="35">
        <f>IF(E54=1,Calculations!E500,0)</f>
        <v>10</v>
      </c>
      <c r="F84" s="35">
        <f>IF(F54=1,Calculations!F500,0)</f>
        <v>17.82</v>
      </c>
      <c r="G84" s="35">
        <f>IF(G54=1,Calculations!G500,0)</f>
        <v>24.914427416510215</v>
      </c>
      <c r="H84" s="35">
        <f>IF(H54=1,Calculations!H500,0)</f>
        <v>32.011106493359982</v>
      </c>
      <c r="I84" s="35">
        <f>IF(I54=1,Calculations!I500,0)</f>
        <v>39.105580833329022</v>
      </c>
      <c r="J84" s="35">
        <f>IF(J54=1,Calculations!J500,0)</f>
        <v>46.195124957533977</v>
      </c>
      <c r="K84" s="35">
        <f>IF(K54=1,Calculations!K500,0)</f>
        <v>53.277431573747563</v>
      </c>
      <c r="L84" s="35">
        <f>IF(L54=1,Calculations!L500,0)</f>
        <v>60.950315718212948</v>
      </c>
      <c r="M84" s="35">
        <f>IF(M54=1,Calculations!M500,0)</f>
        <v>68.65236898980973</v>
      </c>
      <c r="N84" s="35">
        <f>IF(N54=1,Calculations!N500,0)</f>
        <v>76.324144422019728</v>
      </c>
      <c r="O84" s="35">
        <f>IF(O54=1,Calculations!O500,0)</f>
        <v>83.963451200807683</v>
      </c>
      <c r="P84" s="35">
        <f>IF(P54=1,Calculations!P500,0)</f>
        <v>91.56814645538735</v>
      </c>
      <c r="Q84" s="35">
        <f>IF(Q54=1,Calculations!Q500,0)</f>
        <v>99.136097709340987</v>
      </c>
      <c r="R84" s="35">
        <f>IF(R54=1,Calculations!R500,0)</f>
        <v>106.66515970752472</v>
      </c>
      <c r="S84" s="35">
        <f>IF(S54=1,Calculations!S500,0)</f>
        <v>114.15315918065467</v>
      </c>
      <c r="T84" s="35">
        <f>IF(T54=1,Calculations!T500,0)</f>
        <v>121.5978842282865</v>
      </c>
      <c r="U84" s="35">
        <f>IF(U54=1,Calculations!U500,0)</f>
        <v>128.99707650439998</v>
      </c>
      <c r="V84" s="35">
        <f>IF(V54=1,Calculations!V500,0)</f>
        <v>136.71567369701506</v>
      </c>
      <c r="W84" s="35">
        <f>IF(W54=1,Calculations!W500,0)</f>
        <v>145.10005895305019</v>
      </c>
      <c r="X84" s="35">
        <f>IF(X54=1,Calculations!X500,0)</f>
        <v>153.4284094838554</v>
      </c>
      <c r="Y84" s="35">
        <f>IF(Y54=1,Calculations!Y500,0)</f>
        <v>161.69888737604305</v>
      </c>
      <c r="Z84" s="35">
        <f>IF(Z54=1,Calculations!Z500,0)</f>
        <v>170.00963189296476</v>
      </c>
      <c r="AA84" s="35">
        <f>IF(AA54=1,Calculations!AA500,0)</f>
        <v>178.2587532032083</v>
      </c>
      <c r="AB84" s="35">
        <f>IF(AB54=1,Calculations!AB500,0)</f>
        <v>186.44432714231914</v>
      </c>
      <c r="AC84" s="35">
        <f>IF(AC54=1,Calculations!AC500,0)</f>
        <v>194.56439073111412</v>
      </c>
      <c r="AD84" s="35">
        <f>IF(AD54=1,Calculations!AD500,0)</f>
        <v>202.61693825276222</v>
      </c>
      <c r="AE84" s="35">
        <f>IF(AE54=1,Calculations!AE500,0)</f>
        <v>210.59991774482683</v>
      </c>
      <c r="AF84" s="35">
        <f>IF(AF54=1,Calculations!AF500,0)</f>
        <v>218.51122780012841</v>
      </c>
      <c r="AG84" s="35">
        <f>IF(AG54=1,Calculations!AG500,0)</f>
        <v>226.34871459696092</v>
      </c>
      <c r="AH84" s="35">
        <f>IF(AH54=1,Calculations!AH500,0)</f>
        <v>234.11016909835413</v>
      </c>
    </row>
    <row r="85" spans="1:34" s="277" customFormat="1" x14ac:dyDescent="0.2">
      <c r="A85" s="320"/>
      <c r="B85" s="25" t="s">
        <v>83</v>
      </c>
      <c r="C85" s="24"/>
      <c r="D85" s="24"/>
      <c r="E85" s="35">
        <f>IF(E54=1,Calculations!E503,0)</f>
        <v>180</v>
      </c>
      <c r="F85" s="35">
        <f>IF(F54=1,Calculations!F503,0)</f>
        <v>5132.1058766566748</v>
      </c>
      <c r="G85" s="35">
        <f>IF(G54=1,Calculations!G503,0)</f>
        <v>10354.651136056231</v>
      </c>
      <c r="H85" s="35">
        <f>IF(H54=1,Calculations!H503,0)</f>
        <v>15687.377681394608</v>
      </c>
      <c r="I85" s="35">
        <f>IF(I54=1,Calculations!I503,0)</f>
        <v>21191.350285882174</v>
      </c>
      <c r="J85" s="35">
        <f>IF(J54=1,Calculations!J503,0)</f>
        <v>26912.352190947367</v>
      </c>
      <c r="K85" s="35">
        <f>IF(K54=1,Calculations!K503,0)</f>
        <v>33927.136116153437</v>
      </c>
      <c r="L85" s="35">
        <f>IF(L54=1,Calculations!L503,0)</f>
        <v>40943.551509748133</v>
      </c>
      <c r="M85" s="35">
        <f>IF(M54=1,Calculations!M503,0)</f>
        <v>48223.398587041978</v>
      </c>
      <c r="N85" s="35">
        <f>IF(N54=1,Calculations!N503,0)</f>
        <v>55773.668695833592</v>
      </c>
      <c r="O85" s="35">
        <f>IF(O54=1,Calculations!O503,0)</f>
        <v>63503.869198050284</v>
      </c>
      <c r="P85" s="35">
        <f>IF(P54=1,Calculations!P503,0)</f>
        <v>71469.191331874783</v>
      </c>
      <c r="Q85" s="35">
        <f>IF(Q54=1,Calculations!Q503,0)</f>
        <v>79704.987937666534</v>
      </c>
      <c r="R85" s="35">
        <f>IF(R54=1,Calculations!R503,0)</f>
        <v>88219.751125872266</v>
      </c>
      <c r="S85" s="35">
        <f>IF(S54=1,Calculations!S503,0)</f>
        <v>97022.222351691089</v>
      </c>
      <c r="T85" s="35">
        <f>IF(T54=1,Calculations!T503,0)</f>
        <v>106121.39969100032</v>
      </c>
      <c r="U85" s="35">
        <f>IF(U54=1,Calculations!U503,0)</f>
        <v>115826.40970047729</v>
      </c>
      <c r="V85" s="35">
        <f>IF(V54=1,Calculations!V503,0)</f>
        <v>125558.17164009489</v>
      </c>
      <c r="W85" s="35">
        <f>IF(W54=1,Calculations!W503,0)</f>
        <v>135630.52827989857</v>
      </c>
      <c r="X85" s="35">
        <f>IF(X54=1,Calculations!X503,0)</f>
        <v>146038.09447058314</v>
      </c>
      <c r="Y85" s="35">
        <f>IF(Y54=1,Calculations!Y503,0)</f>
        <v>156791.26788454334</v>
      </c>
      <c r="Z85" s="35">
        <f>IF(Z54=1,Calculations!Z503,0)</f>
        <v>167902.89907293153</v>
      </c>
      <c r="AA85" s="35">
        <f>IF(AA54=1,Calculations!AA503,0)</f>
        <v>179381.85340760322</v>
      </c>
      <c r="AB85" s="35">
        <f>IF(AB54=1,Calculations!AB503,0)</f>
        <v>191239.47009177247</v>
      </c>
      <c r="AC85" s="35">
        <f>IF(AC54=1,Calculations!AC503,0)</f>
        <v>203487.42065986758</v>
      </c>
      <c r="AD85" s="35">
        <f>IF(AD54=1,Calculations!AD503,0)</f>
        <v>216137.71866545675</v>
      </c>
      <c r="AE85" s="35">
        <f>IF(AE54=1,Calculations!AE503,0)</f>
        <v>229202.72965107576</v>
      </c>
      <c r="AF85" s="35">
        <f>IF(AF54=1,Calculations!AF503,0)</f>
        <v>242695.18140829221</v>
      </c>
      <c r="AG85" s="35">
        <f>IF(AG54=1,Calculations!AG503,0)</f>
        <v>256628.17453655807</v>
      </c>
      <c r="AH85" s="35">
        <f>IF(AH54=1,Calculations!AH503,0)</f>
        <v>271015.19330963265</v>
      </c>
    </row>
    <row r="86" spans="1:34" s="277" customFormat="1" x14ac:dyDescent="0.2">
      <c r="A86" s="320"/>
      <c r="B86" s="504" t="s">
        <v>696</v>
      </c>
      <c r="E86" s="405">
        <f>IF(E54=1,Calculations!E506,0)</f>
        <v>0</v>
      </c>
      <c r="F86" s="405">
        <f>IF(F54=1,Calculations!F506,0)</f>
        <v>0</v>
      </c>
      <c r="G86" s="405">
        <f>IF(G54=1,Calculations!G506,0)</f>
        <v>0</v>
      </c>
      <c r="H86" s="405">
        <f>IF(H54=1,Calculations!H506,0)</f>
        <v>0</v>
      </c>
      <c r="I86" s="405">
        <f>IF(I54=1,Calculations!I506,0)</f>
        <v>0</v>
      </c>
      <c r="J86" s="405">
        <f>IF(J54=1,Calculations!J506,0)</f>
        <v>0</v>
      </c>
      <c r="K86" s="405">
        <f>IF(K54=1,Calculations!K506,0)</f>
        <v>0</v>
      </c>
      <c r="L86" s="405">
        <f>IF(L54=1,Calculations!L506,0)</f>
        <v>0</v>
      </c>
      <c r="M86" s="405">
        <f>IF(M54=1,Calculations!M506,0)</f>
        <v>0</v>
      </c>
      <c r="N86" s="405">
        <f>IF(N54=1,Calculations!N506,0)</f>
        <v>0</v>
      </c>
      <c r="O86" s="405">
        <f>IF(O54=1,Calculations!O506,0)</f>
        <v>0</v>
      </c>
      <c r="P86" s="405">
        <f>IF(P54=1,Calculations!P506,0)</f>
        <v>0</v>
      </c>
      <c r="Q86" s="405">
        <f>IF(Q54=1,Calculations!Q506,0)</f>
        <v>0</v>
      </c>
      <c r="R86" s="405">
        <f>IF(R54=1,Calculations!R506,0)</f>
        <v>0</v>
      </c>
      <c r="S86" s="405">
        <f>IF(S54=1,Calculations!S506,0)</f>
        <v>0</v>
      </c>
      <c r="T86" s="405">
        <f>IF(T54=1,Calculations!T506,0)</f>
        <v>0</v>
      </c>
      <c r="U86" s="405">
        <f>IF(U54=1,Calculations!U506,0)</f>
        <v>0</v>
      </c>
      <c r="V86" s="405">
        <f>IF(V54=1,Calculations!V506,0)</f>
        <v>0</v>
      </c>
      <c r="W86" s="405">
        <f>IF(W54=1,Calculations!W506,0)</f>
        <v>0</v>
      </c>
      <c r="X86" s="405">
        <f>IF(X54=1,Calculations!X506,0)</f>
        <v>0</v>
      </c>
      <c r="Y86" s="405">
        <f>IF(Y54=1,Calculations!Y506,0)</f>
        <v>0</v>
      </c>
      <c r="Z86" s="405">
        <f>IF(Z54=1,Calculations!Z506,0)</f>
        <v>0</v>
      </c>
      <c r="AA86" s="405">
        <f>IF(AA54=1,Calculations!AA506,0)</f>
        <v>0</v>
      </c>
      <c r="AB86" s="405">
        <f>IF(AB54=1,Calculations!AB506,0)</f>
        <v>0</v>
      </c>
      <c r="AC86" s="405">
        <f>IF(AC54=1,Calculations!AC506,0)</f>
        <v>0</v>
      </c>
      <c r="AD86" s="405">
        <f>IF(AD54=1,Calculations!AD506,0)</f>
        <v>0</v>
      </c>
      <c r="AE86" s="405">
        <f>IF(AE54=1,Calculations!AE506,0)</f>
        <v>0</v>
      </c>
      <c r="AF86" s="405">
        <f>IF(AF54=1,Calculations!AF506,0)</f>
        <v>0</v>
      </c>
      <c r="AG86" s="405">
        <f>IF(AG54=1,Calculations!AG506,0)</f>
        <v>0</v>
      </c>
      <c r="AH86" s="405">
        <f>IF(AH54=1,Calculations!AH506,0)</f>
        <v>0</v>
      </c>
    </row>
    <row r="87" spans="1:34" s="277" customFormat="1" x14ac:dyDescent="0.2">
      <c r="A87" s="320"/>
      <c r="B87" s="24"/>
      <c r="C87" s="24"/>
      <c r="D87" s="24"/>
      <c r="E87" s="43">
        <f>IF(E54=1,SUM(E83:E86),0)</f>
        <v>3990</v>
      </c>
      <c r="F87" s="43">
        <f t="shared" ref="F87:AH87" si="23">IF(F54=1,SUM(F83:F86),0)</f>
        <v>8949.9258766566745</v>
      </c>
      <c r="G87" s="43">
        <f t="shared" si="23"/>
        <v>14179.565563472741</v>
      </c>
      <c r="H87" s="43">
        <f t="shared" si="23"/>
        <v>19519.388787887969</v>
      </c>
      <c r="I87" s="43">
        <f t="shared" si="23"/>
        <v>25030.455866715503</v>
      </c>
      <c r="J87" s="43">
        <f t="shared" si="23"/>
        <v>30758.5473159049</v>
      </c>
      <c r="K87" s="43">
        <f t="shared" si="23"/>
        <v>37780.413547727185</v>
      </c>
      <c r="L87" s="43">
        <f t="shared" si="23"/>
        <v>44804.501825466345</v>
      </c>
      <c r="M87" s="43">
        <f t="shared" si="23"/>
        <v>52092.050956031788</v>
      </c>
      <c r="N87" s="43">
        <f t="shared" si="23"/>
        <v>59649.992840255611</v>
      </c>
      <c r="O87" s="43">
        <f t="shared" si="23"/>
        <v>67387.832649251097</v>
      </c>
      <c r="P87" s="43">
        <f t="shared" si="23"/>
        <v>75360.759478330176</v>
      </c>
      <c r="Q87" s="43">
        <f t="shared" si="23"/>
        <v>83604.124035375877</v>
      </c>
      <c r="R87" s="43">
        <f t="shared" si="23"/>
        <v>92126.416285579791</v>
      </c>
      <c r="S87" s="43">
        <f t="shared" si="23"/>
        <v>100936.37551087175</v>
      </c>
      <c r="T87" s="43">
        <f t="shared" si="23"/>
        <v>110042.99757522861</v>
      </c>
      <c r="U87" s="43">
        <f t="shared" si="23"/>
        <v>119755.40677698169</v>
      </c>
      <c r="V87" s="43">
        <f t="shared" si="23"/>
        <v>129494.88731379191</v>
      </c>
      <c r="W87" s="43">
        <f t="shared" si="23"/>
        <v>139575.62833885162</v>
      </c>
      <c r="X87" s="43">
        <f t="shared" si="23"/>
        <v>149991.522880067</v>
      </c>
      <c r="Y87" s="43">
        <f t="shared" si="23"/>
        <v>160752.9667719194</v>
      </c>
      <c r="Z87" s="43">
        <f t="shared" si="23"/>
        <v>171872.90870482448</v>
      </c>
      <c r="AA87" s="43">
        <f t="shared" si="23"/>
        <v>183360.11216080643</v>
      </c>
      <c r="AB87" s="43">
        <f t="shared" si="23"/>
        <v>195225.91441891479</v>
      </c>
      <c r="AC87" s="43">
        <f t="shared" si="23"/>
        <v>207481.98505059868</v>
      </c>
      <c r="AD87" s="43">
        <f t="shared" si="23"/>
        <v>220140.33560370951</v>
      </c>
      <c r="AE87" s="43">
        <f t="shared" si="23"/>
        <v>233213.3295688206</v>
      </c>
      <c r="AF87" s="43">
        <f t="shared" si="23"/>
        <v>246713.69263609234</v>
      </c>
      <c r="AG87" s="43">
        <f t="shared" si="23"/>
        <v>260654.52325115504</v>
      </c>
      <c r="AH87" s="43">
        <f t="shared" si="23"/>
        <v>275049.30347873102</v>
      </c>
    </row>
    <row r="88" spans="1:34" s="277" customFormat="1" ht="16" thickBot="1" x14ac:dyDescent="0.25">
      <c r="A88" s="320"/>
      <c r="B88" s="26" t="s">
        <v>84</v>
      </c>
      <c r="C88" s="24"/>
      <c r="D88" s="24"/>
      <c r="E88" s="40">
        <f>IF(E54=1,E80+E87,0)</f>
        <v>6410</v>
      </c>
      <c r="F88" s="40">
        <f t="shared" ref="F88:AH88" si="24">IF(F54=1,F80+F87,0)</f>
        <v>11371.422483758284</v>
      </c>
      <c r="G88" s="40">
        <f t="shared" si="24"/>
        <v>16717.132068787399</v>
      </c>
      <c r="H88" s="40">
        <f t="shared" si="24"/>
        <v>22214.576570305864</v>
      </c>
      <c r="I88" s="40">
        <f t="shared" si="24"/>
        <v>27877.538356207344</v>
      </c>
      <c r="J88" s="40">
        <f t="shared" si="24"/>
        <v>33741.492280081497</v>
      </c>
      <c r="K88" s="40">
        <f t="shared" si="24"/>
        <v>41156.406823670783</v>
      </c>
      <c r="L88" s="40">
        <f t="shared" si="24"/>
        <v>48233.324899688254</v>
      </c>
      <c r="M88" s="40">
        <f t="shared" si="24"/>
        <v>55576.18872248035</v>
      </c>
      <c r="N88" s="40">
        <f t="shared" si="24"/>
        <v>63192.00473969763</v>
      </c>
      <c r="O88" s="40">
        <f t="shared" si="24"/>
        <v>70990.354905676373</v>
      </c>
      <c r="P88" s="40">
        <f t="shared" si="24"/>
        <v>79056.507402448216</v>
      </c>
      <c r="Q88" s="40">
        <f t="shared" si="24"/>
        <v>87395.89439721746</v>
      </c>
      <c r="R88" s="40">
        <f t="shared" si="24"/>
        <v>96017.089758276619</v>
      </c>
      <c r="S88" s="40">
        <f t="shared" si="24"/>
        <v>104928.91918774947</v>
      </c>
      <c r="T88" s="40">
        <f t="shared" si="24"/>
        <v>114140.46756241268</v>
      </c>
      <c r="U88" s="40">
        <f t="shared" si="24"/>
        <v>123535.95086378128</v>
      </c>
      <c r="V88" s="40">
        <f t="shared" si="24"/>
        <v>133386.7477231955</v>
      </c>
      <c r="W88" s="40">
        <f t="shared" si="24"/>
        <v>143582.1445605373</v>
      </c>
      <c r="X88" s="40">
        <f t="shared" si="24"/>
        <v>154116.13458840325</v>
      </c>
      <c r="Y88" s="40">
        <f t="shared" si="24"/>
        <v>164999.21683150574</v>
      </c>
      <c r="Z88" s="40">
        <f t="shared" si="24"/>
        <v>176244.44626619841</v>
      </c>
      <c r="AA88" s="40">
        <f t="shared" si="24"/>
        <v>187860.69584902158</v>
      </c>
      <c r="AB88" s="40">
        <f t="shared" si="24"/>
        <v>199859.41561777639</v>
      </c>
      <c r="AC88" s="40">
        <f t="shared" si="24"/>
        <v>212252.39128542613</v>
      </c>
      <c r="AD88" s="40">
        <f t="shared" si="24"/>
        <v>225051.75402558179</v>
      </c>
      <c r="AE88" s="40">
        <f t="shared" si="24"/>
        <v>238269.99054334903</v>
      </c>
      <c r="AF88" s="40">
        <f t="shared" si="24"/>
        <v>251919.95343985665</v>
      </c>
      <c r="AG88" s="40">
        <f t="shared" si="24"/>
        <v>266014.87187903229</v>
      </c>
      <c r="AH88" s="40">
        <f t="shared" si="24"/>
        <v>280568.36256544455</v>
      </c>
    </row>
    <row r="89" spans="1:34" s="278" customFormat="1" x14ac:dyDescent="0.2">
      <c r="A89" s="320"/>
      <c r="B89" s="22"/>
      <c r="C89" s="22"/>
      <c r="D89" s="22"/>
      <c r="E89" s="113">
        <f t="shared" ref="E89:K89" si="25">IF(E54=1,E58-D58," ")</f>
        <v>100</v>
      </c>
      <c r="F89" s="113">
        <f t="shared" si="25"/>
        <v>4905.599091188953</v>
      </c>
      <c r="G89" s="113">
        <f t="shared" si="25"/>
        <v>5019.4735068992904</v>
      </c>
      <c r="H89" s="113">
        <f t="shared" si="25"/>
        <v>5175.4242988255319</v>
      </c>
      <c r="I89" s="113">
        <f t="shared" si="25"/>
        <v>5345.0404726846627</v>
      </c>
      <c r="J89" s="113">
        <f t="shared" si="25"/>
        <v>5550.0110973906376</v>
      </c>
      <c r="K89" s="113">
        <f t="shared" si="25"/>
        <v>6373.2717286332154</v>
      </c>
      <c r="L89" s="113">
        <f t="shared" ref="L89:AH89" si="26">IF(L54=1,L58-K58," ")</f>
        <v>6735.3917754450085</v>
      </c>
      <c r="M89" s="113">
        <f t="shared" si="26"/>
        <v>7003.3919196302013</v>
      </c>
      <c r="N89" s="113">
        <f t="shared" si="26"/>
        <v>7279.6752231699647</v>
      </c>
      <c r="O89" s="113">
        <f t="shared" si="26"/>
        <v>7465.3841844545386</v>
      </c>
      <c r="P89" s="113">
        <f t="shared" si="26"/>
        <v>7736.2004643583205</v>
      </c>
      <c r="Q89" s="113">
        <f t="shared" si="26"/>
        <v>8012.2833474678773</v>
      </c>
      <c r="R89" s="113">
        <f t="shared" si="26"/>
        <v>8296.7696965973446</v>
      </c>
      <c r="S89" s="113">
        <f t="shared" si="26"/>
        <v>8589.90636557783</v>
      </c>
      <c r="T89" s="113">
        <f t="shared" si="26"/>
        <v>8891.9474031794234</v>
      </c>
      <c r="U89" s="113">
        <f t="shared" si="26"/>
        <v>9078.0186380966625</v>
      </c>
      <c r="V89" s="113">
        <f t="shared" si="26"/>
        <v>9526.1398087466659</v>
      </c>
      <c r="W89" s="113">
        <f t="shared" si="26"/>
        <v>9854.7315471431502</v>
      </c>
      <c r="X89" s="113">
        <f t="shared" si="26"/>
        <v>10195.113940146621</v>
      </c>
      <c r="Y89" s="113">
        <f t="shared" si="26"/>
        <v>10545.786877831531</v>
      </c>
      <c r="Z89" s="113">
        <f t="shared" si="26"/>
        <v>10906.800216284551</v>
      </c>
      <c r="AA89" s="113">
        <f t="shared" si="26"/>
        <v>11278.965661535331</v>
      </c>
      <c r="AB89" s="113">
        <f t="shared" si="26"/>
        <v>11662.353836846363</v>
      </c>
      <c r="AC89" s="113">
        <f t="shared" si="26"/>
        <v>12057.293770147051</v>
      </c>
      <c r="AD89" s="113">
        <f t="shared" si="26"/>
        <v>12464.124080067413</v>
      </c>
      <c r="AE89" s="113">
        <f t="shared" si="26"/>
        <v>12883.193255585182</v>
      </c>
      <c r="AF89" s="113">
        <f t="shared" si="26"/>
        <v>13314.859943825693</v>
      </c>
      <c r="AG89" s="113">
        <f t="shared" si="26"/>
        <v>13759.493246254773</v>
      </c>
      <c r="AH89" s="113">
        <f t="shared" si="26"/>
        <v>14217.473023513186</v>
      </c>
    </row>
    <row r="90" spans="1:34" s="278" customFormat="1" x14ac:dyDescent="0.2">
      <c r="A90" s="320"/>
      <c r="B90" s="22"/>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s="278" customFormat="1" x14ac:dyDescent="0.2">
      <c r="A91" s="320"/>
      <c r="B91" s="22"/>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s="278" customFormat="1" x14ac:dyDescent="0.2">
      <c r="A92" s="320"/>
      <c r="B92" s="22"/>
      <c r="C92" s="22"/>
      <c r="D92" s="22"/>
      <c r="E92" s="5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s="278" customFormat="1" x14ac:dyDescent="0.2">
      <c r="A93" s="320"/>
      <c r="B93" s="22"/>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s="278" customFormat="1" x14ac:dyDescent="0.2">
      <c r="A94" s="320"/>
      <c r="B94" s="22"/>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s="278" customFormat="1" x14ac:dyDescent="0.2">
      <c r="A95" s="320"/>
      <c r="B95" s="22"/>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s="278" customFormat="1" x14ac:dyDescent="0.2">
      <c r="A96" s="320"/>
      <c r="B96" s="22"/>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5" s="18" customFormat="1" ht="19" x14ac:dyDescent="0.25">
      <c r="A97" s="324"/>
      <c r="B97" s="484" t="str">
        <f>'Assumptions - General'!$E$25</f>
        <v>Ruritania Passenger Rail Company</v>
      </c>
      <c r="C97" s="324"/>
      <c r="D97" s="324"/>
      <c r="E97" s="324"/>
      <c r="F97" s="324"/>
      <c r="G97" s="324"/>
      <c r="H97" s="324"/>
      <c r="I97" s="324"/>
      <c r="J97" s="324"/>
      <c r="K97" s="324"/>
      <c r="L97" s="324"/>
      <c r="M97" s="324"/>
      <c r="N97" s="324"/>
      <c r="O97" s="324"/>
      <c r="P97" s="324"/>
      <c r="Q97" s="324"/>
      <c r="R97" s="324"/>
      <c r="S97" s="324"/>
      <c r="T97" s="324"/>
      <c r="U97" s="324"/>
      <c r="V97" s="324"/>
      <c r="W97" s="324"/>
      <c r="X97" s="324"/>
      <c r="Y97" s="324"/>
      <c r="Z97" s="324"/>
      <c r="AA97" s="324"/>
      <c r="AB97" s="324"/>
      <c r="AC97" s="324"/>
      <c r="AD97" s="324"/>
      <c r="AE97" s="324"/>
      <c r="AF97" s="324"/>
      <c r="AG97" s="324"/>
      <c r="AH97" s="324"/>
    </row>
    <row r="98" spans="1:35" s="18" customFormat="1" x14ac:dyDescent="0.2">
      <c r="A98" s="324"/>
      <c r="B98" s="323"/>
      <c r="C98" s="324"/>
      <c r="D98" s="324"/>
      <c r="E98" s="324"/>
      <c r="F98" s="324"/>
      <c r="G98" s="324"/>
      <c r="H98" s="324"/>
      <c r="I98" s="324"/>
      <c r="J98" s="324"/>
      <c r="K98" s="324"/>
      <c r="L98" s="324"/>
      <c r="M98" s="324"/>
      <c r="N98" s="324"/>
      <c r="O98" s="324"/>
      <c r="P98" s="324"/>
      <c r="Q98" s="324"/>
      <c r="R98" s="324"/>
      <c r="S98" s="324"/>
      <c r="T98" s="324"/>
      <c r="U98" s="324"/>
      <c r="V98" s="324"/>
      <c r="W98" s="324"/>
      <c r="X98" s="324"/>
      <c r="Y98" s="324"/>
      <c r="Z98" s="324"/>
      <c r="AA98" s="324"/>
      <c r="AB98" s="324"/>
      <c r="AC98" s="324"/>
      <c r="AD98" s="324"/>
      <c r="AE98" s="324"/>
      <c r="AF98" s="324"/>
      <c r="AG98" s="324"/>
      <c r="AH98" s="324"/>
    </row>
    <row r="99" spans="1:35" s="20" customFormat="1" hidden="1" x14ac:dyDescent="0.2">
      <c r="A99" s="324"/>
      <c r="B99" s="7" t="s">
        <v>226</v>
      </c>
      <c r="C99" s="8"/>
      <c r="D99" s="8"/>
      <c r="E99" s="29">
        <f>Calculations!E17</f>
        <v>1</v>
      </c>
      <c r="F99" s="29">
        <f>Calculations!F17</f>
        <v>1</v>
      </c>
      <c r="G99" s="29">
        <f>Calculations!G17</f>
        <v>1</v>
      </c>
      <c r="H99" s="29">
        <f>Calculations!H17</f>
        <v>1</v>
      </c>
      <c r="I99" s="29">
        <f>Calculations!I17</f>
        <v>1</v>
      </c>
      <c r="J99" s="29">
        <f>Calculations!J17</f>
        <v>1</v>
      </c>
      <c r="K99" s="29">
        <f>Calculations!K17</f>
        <v>1</v>
      </c>
      <c r="L99" s="29">
        <f>Calculations!L17</f>
        <v>1</v>
      </c>
      <c r="M99" s="29">
        <f>Calculations!M17</f>
        <v>1</v>
      </c>
      <c r="N99" s="29">
        <f>Calculations!N17</f>
        <v>1</v>
      </c>
      <c r="O99" s="29">
        <f>Calculations!O17</f>
        <v>1</v>
      </c>
      <c r="P99" s="29">
        <f>Calculations!P17</f>
        <v>1</v>
      </c>
      <c r="Q99" s="29">
        <f>Calculations!Q17</f>
        <v>1</v>
      </c>
      <c r="R99" s="29">
        <f>Calculations!R17</f>
        <v>1</v>
      </c>
      <c r="S99" s="29">
        <f>Calculations!S17</f>
        <v>1</v>
      </c>
      <c r="T99" s="29">
        <f>Calculations!T17</f>
        <v>1</v>
      </c>
      <c r="U99" s="29">
        <f>Calculations!U17</f>
        <v>1</v>
      </c>
      <c r="V99" s="29">
        <f>Calculations!V17</f>
        <v>1</v>
      </c>
      <c r="W99" s="29">
        <f>Calculations!W17</f>
        <v>1</v>
      </c>
      <c r="X99" s="29">
        <f>Calculations!X17</f>
        <v>1</v>
      </c>
      <c r="Y99" s="29">
        <f>Calculations!Y17</f>
        <v>1</v>
      </c>
      <c r="Z99" s="29">
        <f>Calculations!Z17</f>
        <v>1</v>
      </c>
      <c r="AA99" s="29">
        <f>Calculations!AA17</f>
        <v>1</v>
      </c>
      <c r="AB99" s="29">
        <f>Calculations!AB17</f>
        <v>1</v>
      </c>
      <c r="AC99" s="29">
        <f>Calculations!AC17</f>
        <v>1</v>
      </c>
      <c r="AD99" s="29">
        <f>Calculations!AD17</f>
        <v>1</v>
      </c>
      <c r="AE99" s="29">
        <f>Calculations!AE17</f>
        <v>1</v>
      </c>
      <c r="AF99" s="29">
        <f>Calculations!AF17</f>
        <v>1</v>
      </c>
      <c r="AG99" s="29">
        <f>Calculations!AG17</f>
        <v>1</v>
      </c>
      <c r="AH99" s="29">
        <f>Calculations!AH17</f>
        <v>1</v>
      </c>
    </row>
    <row r="100" spans="1:35" s="278" customFormat="1" x14ac:dyDescent="0.2">
      <c r="A100" s="324"/>
      <c r="B100" s="22"/>
      <c r="C100" s="22"/>
      <c r="D100" s="22"/>
      <c r="E100" s="2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row>
    <row r="101" spans="1:35" s="20" customFormat="1" x14ac:dyDescent="0.2">
      <c r="A101" s="324"/>
      <c r="B101" s="19" t="s">
        <v>68</v>
      </c>
    </row>
    <row r="102" spans="1:35" s="277" customFormat="1" x14ac:dyDescent="0.2">
      <c r="A102" s="324"/>
      <c r="B102" s="23" t="s">
        <v>69</v>
      </c>
      <c r="C102" s="24"/>
      <c r="D102" s="2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row>
    <row r="103" spans="1:35" s="277" customFormat="1" x14ac:dyDescent="0.2">
      <c r="A103" s="324"/>
      <c r="B103" s="25" t="s">
        <v>70</v>
      </c>
      <c r="C103" s="24"/>
      <c r="D103" s="24"/>
      <c r="E103" s="35">
        <f>IF(E99=1,Calculations!E737,0)</f>
        <v>100</v>
      </c>
      <c r="F103" s="35">
        <f>IF(F99=1,Calculations!F737,0)</f>
        <v>4823.0495548194867</v>
      </c>
      <c r="G103" s="35">
        <f>IF(G99=1,Calculations!G737,0)</f>
        <v>9896.4288917163103</v>
      </c>
      <c r="H103" s="35">
        <f>IF(H99=1,Calculations!H737,0)</f>
        <v>15446.70946999306</v>
      </c>
      <c r="I103" s="35">
        <f>IF(I99=1,Calculations!I737,0)</f>
        <v>21883.348136139841</v>
      </c>
      <c r="J103" s="35">
        <f>IF(J99=1,Calculations!J737,0)</f>
        <v>29179.322624664492</v>
      </c>
      <c r="K103" s="35">
        <f>IF(K99=1,Calculations!K737,0)</f>
        <v>37251.115702379662</v>
      </c>
      <c r="L103" s="35">
        <f>IF(L99=1,Calculations!L737,0)</f>
        <v>46123.844561638121</v>
      </c>
      <c r="M103" s="35">
        <f>IF(M99=1,Calculations!M737,0)</f>
        <v>55883.438787693987</v>
      </c>
      <c r="N103" s="35">
        <f>IF(N99=1,Calculations!N737,0)</f>
        <v>66581.559186280327</v>
      </c>
      <c r="O103" s="35">
        <f>IF(O99=1,Calculations!O737,0)</f>
        <v>78055.744047057262</v>
      </c>
      <c r="P103" s="35">
        <f>IF(P99=1,Calculations!P737,0)</f>
        <v>90519.17007940363</v>
      </c>
      <c r="Q103" s="35">
        <f>IF(Q99=1,Calculations!Q737,0)</f>
        <v>104029.79110020136</v>
      </c>
      <c r="R103" s="35">
        <f>IF(R99=1,Calculations!R737,0)</f>
        <v>118647.01134292586</v>
      </c>
      <c r="S103" s="35">
        <f>IF(S99=1,Calculations!S737,0)</f>
        <v>134433.02113050004</v>
      </c>
      <c r="T103" s="35">
        <f>IF(T99=1,Calculations!T737,0)</f>
        <v>151452.91402097495</v>
      </c>
      <c r="U103" s="35">
        <f>IF(U99=1,Calculations!U737,0)</f>
        <v>169750.24604636375</v>
      </c>
      <c r="V103" s="35">
        <f>IF(V99=1,Calculations!V737,0)</f>
        <v>189452.6336571002</v>
      </c>
      <c r="W103" s="35">
        <f>IF(W99=1,Calculations!W737,0)</f>
        <v>210603.12217767743</v>
      </c>
      <c r="X103" s="35">
        <f>IF(X99=1,Calculations!X737,0)</f>
        <v>233279.26136599516</v>
      </c>
      <c r="Y103" s="35">
        <f>IF(Y99=1,Calculations!Y737,0)</f>
        <v>257560.7532156026</v>
      </c>
      <c r="Z103" s="35">
        <f>IF(Z99=1,Calculations!Z737,0)</f>
        <v>283532.61573840282</v>
      </c>
      <c r="AA103" s="35">
        <f>IF(AA99=1,Calculations!AA737,0)</f>
        <v>311286.41666183132</v>
      </c>
      <c r="AB103" s="35">
        <f>IF(AB99=1,Calculations!AB737,0)</f>
        <v>340915.29702339123</v>
      </c>
      <c r="AC103" s="35">
        <f>IF(AC99=1,Calculations!AC737,0)</f>
        <v>372516.26608938153</v>
      </c>
      <c r="AD103" s="35">
        <f>IF(AD99=1,Calculations!AD737,0)</f>
        <v>406191.32387962099</v>
      </c>
      <c r="AE103" s="35">
        <f>IF(AE99=1,Calculations!AE737,0)</f>
        <v>442022.13191755844</v>
      </c>
      <c r="AF103" s="35">
        <f>IF(AF99=1,Calculations!AF737,0)</f>
        <v>480169.12063997646</v>
      </c>
      <c r="AG103" s="35">
        <f>IF(AG99=1,Calculations!AG737,0)</f>
        <v>520723.23663387459</v>
      </c>
      <c r="AH103" s="35">
        <f>IF(AH99=1,Calculations!AH737,0)</f>
        <v>563805.45490837749</v>
      </c>
      <c r="AI103" s="404"/>
    </row>
    <row r="104" spans="1:35" s="277" customFormat="1" x14ac:dyDescent="0.2">
      <c r="A104" s="324"/>
      <c r="B104" s="25" t="s">
        <v>71</v>
      </c>
      <c r="C104" s="24"/>
      <c r="D104" s="24"/>
      <c r="E104" s="35">
        <f>IF(E99=1,Calculations!E721,0)</f>
        <v>5000</v>
      </c>
      <c r="F104" s="35">
        <f>IF(F99=1,Calculations!F721,0)</f>
        <v>5471.7409412744692</v>
      </c>
      <c r="G104" s="35">
        <f>IF(G99=1,Calculations!G721,0)</f>
        <v>5635.893169512703</v>
      </c>
      <c r="H104" s="35">
        <f>IF(H99=1,Calculations!H721,0)</f>
        <v>6146.3049291961688</v>
      </c>
      <c r="I104" s="35">
        <f>IF(I99=1,Calculations!I721,0)</f>
        <v>7033.8441041441074</v>
      </c>
      <c r="J104" s="35">
        <f>IF(J99=1,Calculations!J721,0)</f>
        <v>7606.981691210538</v>
      </c>
      <c r="K104" s="35">
        <f>IF(K99=1,Calculations!K721,0)</f>
        <v>8208.1770738072264</v>
      </c>
      <c r="L104" s="35">
        <f>IF(L99=1,Calculations!L721,0)</f>
        <v>8838.5978958376236</v>
      </c>
      <c r="M104" s="35">
        <f>IF(M99=1,Calculations!M721,0)</f>
        <v>9499.4566078234202</v>
      </c>
      <c r="N104" s="35">
        <f>IF(N99=1,Calculations!N721,0)</f>
        <v>10192.012104422112</v>
      </c>
      <c r="O104" s="35">
        <f>IF(O99=1,Calculations!O721,0)</f>
        <v>10917.571419869679</v>
      </c>
      <c r="P104" s="35">
        <f>IF(P99=1,Calculations!P721,0)</f>
        <v>11677.491483350128</v>
      </c>
      <c r="Q104" s="35">
        <f>IF(Q99=1,Calculations!Q721,0)</f>
        <v>12473.180936361514</v>
      </c>
      <c r="R104" s="35">
        <f>IF(R99=1,Calculations!R721,0)</f>
        <v>13306.102014218573</v>
      </c>
      <c r="S104" s="35">
        <f>IF(S99=1,Calculations!S721,0)</f>
        <v>14177.772493904331</v>
      </c>
      <c r="T104" s="35">
        <f>IF(T99=1,Calculations!T721,0)</f>
        <v>15089.76771055843</v>
      </c>
      <c r="U104" s="35">
        <f>IF(U99=1,Calculations!U721,0)</f>
        <v>16043.722644967271</v>
      </c>
      <c r="V104" s="35">
        <f>IF(V99=1,Calculations!V721,0)</f>
        <v>17041.334084501137</v>
      </c>
      <c r="W104" s="35">
        <f>IF(W99=1,Calculations!W721,0)</f>
        <v>18084.362860026558</v>
      </c>
      <c r="X104" s="35">
        <f>IF(X99=1,Calculations!X721,0)</f>
        <v>19174.636161407459</v>
      </c>
      <c r="Y104" s="35">
        <f>IF(Y99=1,Calculations!Y721,0)</f>
        <v>20314.049934297189</v>
      </c>
      <c r="Z104" s="35">
        <f>IF(Z99=1,Calculations!Z721,0)</f>
        <v>21504.571361015038</v>
      </c>
      <c r="AA104" s="35">
        <f>IF(AA99=1,Calculations!AA721,0)</f>
        <v>22748.241428395089</v>
      </c>
      <c r="AB104" s="35">
        <f>IF(AB99=1,Calculations!AB721,0)</f>
        <v>24047.177585593032</v>
      </c>
      <c r="AC104" s="35">
        <f>IF(AC99=1,Calculations!AC721,0)</f>
        <v>25403.57649493729</v>
      </c>
      <c r="AD104" s="35">
        <f>IF(AD99=1,Calculations!AD721,0)</f>
        <v>26819.71687901517</v>
      </c>
      <c r="AE104" s="35">
        <f>IF(AE99=1,Calculations!AE721,0)</f>
        <v>28297.962467292284</v>
      </c>
      <c r="AF104" s="35">
        <f>IF(AF99=1,Calculations!AF721,0)</f>
        <v>29840.765045674914</v>
      </c>
      <c r="AG104" s="35">
        <f>IF(AG99=1,Calculations!AG721,0)</f>
        <v>31450.667612539924</v>
      </c>
      <c r="AH104" s="35">
        <f>IF(AH99=1,Calculations!AH721,0)</f>
        <v>33130.307644875749</v>
      </c>
      <c r="AI104" s="404"/>
    </row>
    <row r="105" spans="1:35" s="277" customFormat="1" x14ac:dyDescent="0.2">
      <c r="A105" s="324"/>
      <c r="B105" s="25" t="s">
        <v>72</v>
      </c>
      <c r="C105" s="24"/>
      <c r="D105" s="24"/>
      <c r="E105" s="35">
        <f>IF(E$99=1,Calculations!E722,0)</f>
        <v>100</v>
      </c>
      <c r="F105" s="35">
        <f>IF(F$99=1,Calculations!F722,0)</f>
        <v>109.4375</v>
      </c>
      <c r="G105" s="35">
        <f>IF(G$99=1,Calculations!G722,0)</f>
        <v>112.720625</v>
      </c>
      <c r="H105" s="35">
        <f>IF(H$99=1,Calculations!H722,0)</f>
        <v>122.93178750000003</v>
      </c>
      <c r="I105" s="35">
        <f>IF(I$99=1,Calculations!I722,0)</f>
        <v>140.68860125000003</v>
      </c>
      <c r="J105" s="35">
        <f>IF(J$99=1,Calculations!J722,0)</f>
        <v>152.15472225187509</v>
      </c>
      <c r="K105" s="35">
        <f>IF(K$99=1,Calculations!K722,0)</f>
        <v>164.18219077273761</v>
      </c>
      <c r="L105" s="35">
        <f>IF(L$99=1,Calculations!L722,0)</f>
        <v>176.79436815482518</v>
      </c>
      <c r="M105" s="35">
        <f>IF(M$99=1,Calculations!M722,0)</f>
        <v>190.01551220814252</v>
      </c>
      <c r="N105" s="35">
        <f>IF(N$99=1,Calculations!N722,0)</f>
        <v>203.87080997331961</v>
      </c>
      <c r="O105" s="35">
        <f>IF(O$99=1,Calculations!O722,0)</f>
        <v>218.38641164341993</v>
      </c>
      <c r="P105" s="35">
        <f>IF(P$99=1,Calculations!P722,0)</f>
        <v>233.58946568475037</v>
      </c>
      <c r="Q105" s="35">
        <f>IF(Q$99=1,Calculations!Q722,0)</f>
        <v>249.50815519808148</v>
      </c>
      <c r="R105" s="35">
        <f>IF(R$99=1,Calculations!R722,0)</f>
        <v>266.17173556309621</v>
      </c>
      <c r="S105" s="35">
        <f>IF(S$99=1,Calculations!S722,0)</f>
        <v>283.61057341033359</v>
      </c>
      <c r="T105" s="35">
        <f>IF(T$99=1,Calculations!T722,0)</f>
        <v>301.85618696639841</v>
      </c>
      <c r="U105" s="35">
        <f>IF(U$99=1,Calculations!U722,0)</f>
        <v>320.94128781975786</v>
      </c>
      <c r="V105" s="35">
        <f>IF(V$99=1,Calculations!V722,0)</f>
        <v>340.89982415604902</v>
      </c>
      <c r="W105" s="35">
        <f>IF(W$99=1,Calculations!W722,0)</f>
        <v>361.76702551347989</v>
      </c>
      <c r="X105" s="35">
        <f>IF(X$99=1,Calculations!X722,0)</f>
        <v>383.57944911061617</v>
      </c>
      <c r="Y105" s="35">
        <f>IF(Y$99=1,Calculations!Y722,0)</f>
        <v>406.37502780061845</v>
      </c>
      <c r="Z105" s="35">
        <f>IF(Z$99=1,Calculations!Z722,0)</f>
        <v>430.19311970782132</v>
      </c>
      <c r="AA105" s="35">
        <f>IF(AA$99=1,Calculations!AA722,0)</f>
        <v>455.07455960443588</v>
      </c>
      <c r="AB105" s="35">
        <f>IF(AB$99=1,Calculations!AB722,0)</f>
        <v>481.06171208711021</v>
      </c>
      <c r="AC105" s="35">
        <f>IF(AC$99=1,Calculations!AC722,0)</f>
        <v>508.19852661510106</v>
      </c>
      <c r="AD105" s="35">
        <f>IF(AD$99=1,Calculations!AD722,0)</f>
        <v>536.53059447389285</v>
      </c>
      <c r="AE105" s="35">
        <f>IF(AE$99=1,Calculations!AE722,0)</f>
        <v>566.10520773025871</v>
      </c>
      <c r="AF105" s="35">
        <f>IF(AF$99=1,Calculations!AF722,0)</f>
        <v>596.97142024697985</v>
      </c>
      <c r="AG105" s="35">
        <f>IF(AG$99=1,Calculations!AG722,0)</f>
        <v>629.18011082774728</v>
      </c>
      <c r="AH105" s="35">
        <f>IF(AH$99=1,Calculations!AH722,0)</f>
        <v>662.78404856513828</v>
      </c>
      <c r="AI105" s="404"/>
    </row>
    <row r="106" spans="1:35" s="277" customFormat="1" x14ac:dyDescent="0.2">
      <c r="A106" s="324"/>
      <c r="B106" s="25" t="s">
        <v>288</v>
      </c>
      <c r="C106" s="24"/>
      <c r="D106" s="24"/>
      <c r="E106" s="35">
        <f>IF(E$99=1,Calculations!E723,0)</f>
        <v>100</v>
      </c>
      <c r="F106" s="35">
        <f>IF(F$99=1,Calculations!F723,0)</f>
        <v>100.42857142857144</v>
      </c>
      <c r="G106" s="35">
        <f>IF(G$99=1,Calculations!G723,0)</f>
        <v>100.87000000000002</v>
      </c>
      <c r="H106" s="35">
        <f>IF(H$99=1,Calculations!H723,0)</f>
        <v>101.32467142857143</v>
      </c>
      <c r="I106" s="35">
        <f>IF(I$99=1,Calculations!I723,0)</f>
        <v>101.79298300000002</v>
      </c>
      <c r="J106" s="35">
        <f>IF(J$99=1,Calculations!J723,0)</f>
        <v>102.27534391857145</v>
      </c>
      <c r="K106" s="35">
        <f>IF(K$99=1,Calculations!K723,0)</f>
        <v>102.77217566470003</v>
      </c>
      <c r="L106" s="35">
        <f>IF(L$99=1,Calculations!L723,0)</f>
        <v>103.28391236321244</v>
      </c>
      <c r="M106" s="35">
        <f>IF(M$99=1,Calculations!M723,0)</f>
        <v>103.81100116268024</v>
      </c>
      <c r="N106" s="35">
        <f>IF(N$99=1,Calculations!N723,0)</f>
        <v>104.35390262613208</v>
      </c>
      <c r="O106" s="35">
        <f>IF(O$99=1,Calculations!O723,0)</f>
        <v>104.91309113348747</v>
      </c>
      <c r="P106" s="35">
        <f>IF(P$99=1,Calculations!P723,0)</f>
        <v>105.48905529606353</v>
      </c>
      <c r="Q106" s="35">
        <f>IF(Q$99=1,Calculations!Q723,0)</f>
        <v>106.08229838351684</v>
      </c>
      <c r="R106" s="35">
        <f>IF(R$99=1,Calculations!R723,0)</f>
        <v>106.6933387635938</v>
      </c>
      <c r="S106" s="35">
        <f>IF(S$99=1,Calculations!S723,0)</f>
        <v>107.32271035507303</v>
      </c>
      <c r="T106" s="35">
        <f>IF(T$99=1,Calculations!T723,0)</f>
        <v>107.97096309429665</v>
      </c>
      <c r="U106" s="35">
        <f>IF(U$99=1,Calculations!U723,0)</f>
        <v>108.63866341569698</v>
      </c>
      <c r="V106" s="35">
        <f>IF(V$99=1,Calculations!V723,0)</f>
        <v>109.32639474673931</v>
      </c>
      <c r="W106" s="35">
        <f>IF(W$99=1,Calculations!W723,0)</f>
        <v>110.03475801771292</v>
      </c>
      <c r="X106" s="35">
        <f>IF(X$99=1,Calculations!X723,0)</f>
        <v>110.76437218681575</v>
      </c>
      <c r="Y106" s="35">
        <f>IF(Y$99=1,Calculations!Y723,0)</f>
        <v>111.51587478099165</v>
      </c>
      <c r="Z106" s="35">
        <f>IF(Z$99=1,Calculations!Z723,0)</f>
        <v>112.28992245299283</v>
      </c>
      <c r="AA106" s="35">
        <f>IF(AA$99=1,Calculations!AA723,0)</f>
        <v>113.08719155515404</v>
      </c>
      <c r="AB106" s="35">
        <f>IF(AB$99=1,Calculations!AB723,0)</f>
        <v>113.90837873038008</v>
      </c>
      <c r="AC106" s="35">
        <f>IF(AC$99=1,Calculations!AC723,0)</f>
        <v>114.75420152086292</v>
      </c>
      <c r="AD106" s="35">
        <f>IF(AD$99=1,Calculations!AD723,0)</f>
        <v>115.62539899506024</v>
      </c>
      <c r="AE106" s="35">
        <f>IF(AE$99=1,Calculations!AE723,0)</f>
        <v>116.52273239348347</v>
      </c>
      <c r="AF106" s="35">
        <f>IF(AF$99=1,Calculations!AF723,0)</f>
        <v>117.44698579385941</v>
      </c>
      <c r="AG106" s="35">
        <f>IF(AG$99=1,Calculations!AG723,0)</f>
        <v>118.39896679624663</v>
      </c>
      <c r="AH106" s="35">
        <f>IF(AH$99=1,Calculations!AH723,0)</f>
        <v>119.37950722870544</v>
      </c>
      <c r="AI106" s="404"/>
    </row>
    <row r="107" spans="1:35" s="277" customFormat="1" x14ac:dyDescent="0.2">
      <c r="A107" s="324"/>
      <c r="B107" s="24"/>
      <c r="C107" s="24"/>
      <c r="D107" s="24"/>
      <c r="E107" s="43">
        <f>IF(E99=1,SUM(E103:E106),0)</f>
        <v>5300</v>
      </c>
      <c r="F107" s="43">
        <f t="shared" ref="F107:AH107" si="27">IF(F99=1,SUM(F103:F106),0)</f>
        <v>10504.656567522527</v>
      </c>
      <c r="G107" s="43">
        <f t="shared" si="27"/>
        <v>15745.912686229014</v>
      </c>
      <c r="H107" s="43">
        <f t="shared" si="27"/>
        <v>21817.270858117801</v>
      </c>
      <c r="I107" s="43">
        <f t="shared" si="27"/>
        <v>29159.673824533947</v>
      </c>
      <c r="J107" s="43">
        <f t="shared" si="27"/>
        <v>37040.734382045477</v>
      </c>
      <c r="K107" s="43">
        <f t="shared" si="27"/>
        <v>45726.247142624328</v>
      </c>
      <c r="L107" s="43">
        <f t="shared" si="27"/>
        <v>55242.520737993786</v>
      </c>
      <c r="M107" s="43">
        <f t="shared" si="27"/>
        <v>65676.721908888241</v>
      </c>
      <c r="N107" s="43">
        <f t="shared" si="27"/>
        <v>77081.79600330189</v>
      </c>
      <c r="O107" s="43">
        <f t="shared" si="27"/>
        <v>89296.614969703864</v>
      </c>
      <c r="P107" s="43">
        <f t="shared" si="27"/>
        <v>102535.74008373456</v>
      </c>
      <c r="Q107" s="43">
        <f t="shared" si="27"/>
        <v>116858.56249014447</v>
      </c>
      <c r="R107" s="43">
        <f t="shared" si="27"/>
        <v>132325.9784314711</v>
      </c>
      <c r="S107" s="43">
        <f t="shared" si="27"/>
        <v>149001.7269081698</v>
      </c>
      <c r="T107" s="43">
        <f t="shared" si="27"/>
        <v>166952.50888159408</v>
      </c>
      <c r="U107" s="43">
        <f t="shared" si="27"/>
        <v>186223.54864256649</v>
      </c>
      <c r="V107" s="43">
        <f t="shared" si="27"/>
        <v>206944.19396050414</v>
      </c>
      <c r="W107" s="43">
        <f t="shared" si="27"/>
        <v>229159.2868212352</v>
      </c>
      <c r="X107" s="43">
        <f t="shared" si="27"/>
        <v>252948.24134870004</v>
      </c>
      <c r="Y107" s="43">
        <f t="shared" si="27"/>
        <v>278392.69405248144</v>
      </c>
      <c r="Z107" s="43">
        <f t="shared" si="27"/>
        <v>305579.67014157865</v>
      </c>
      <c r="AA107" s="43">
        <f t="shared" si="27"/>
        <v>334602.81984138599</v>
      </c>
      <c r="AB107" s="43">
        <f t="shared" si="27"/>
        <v>365557.44469980174</v>
      </c>
      <c r="AC107" s="43">
        <f t="shared" si="27"/>
        <v>398542.79531245481</v>
      </c>
      <c r="AD107" s="43">
        <f t="shared" si="27"/>
        <v>433663.19675210508</v>
      </c>
      <c r="AE107" s="43">
        <f t="shared" si="27"/>
        <v>471002.72232497443</v>
      </c>
      <c r="AF107" s="43">
        <f t="shared" si="27"/>
        <v>510724.30409169226</v>
      </c>
      <c r="AG107" s="43">
        <f t="shared" si="27"/>
        <v>552921.48332403856</v>
      </c>
      <c r="AH107" s="43">
        <f t="shared" si="27"/>
        <v>597717.92610904702</v>
      </c>
      <c r="AI107" s="404"/>
    </row>
    <row r="108" spans="1:35" s="277" customFormat="1" x14ac:dyDescent="0.2">
      <c r="A108" s="324"/>
      <c r="B108" s="23" t="s">
        <v>145</v>
      </c>
      <c r="C108" s="24"/>
      <c r="D108" s="24"/>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404"/>
    </row>
    <row r="109" spans="1:35" s="277" customFormat="1" x14ac:dyDescent="0.2">
      <c r="A109" s="324"/>
      <c r="B109" s="25" t="s">
        <v>74</v>
      </c>
      <c r="C109" s="24"/>
      <c r="D109" s="24"/>
      <c r="E109" s="35">
        <f>IF(E99=1,Calculations!E528+Calculations!E544+Calculations!E560+Calculations!E576+Calculations!E592+Calculations!E608,0)</f>
        <v>1100</v>
      </c>
      <c r="F109" s="35">
        <f>IF(F99=1,Calculations!F528+Calculations!F544+Calculations!F560+Calculations!F576+Calculations!F592+Calculations!F608,0)</f>
        <v>1313.4439359267733</v>
      </c>
      <c r="G109" s="35">
        <f>IF(G99=1,Calculations!G528+Calculations!G544+Calculations!G560+Calculations!G576+Calculations!G592+Calculations!G608,0)</f>
        <v>1514.2529597167654</v>
      </c>
      <c r="H109" s="35">
        <f>IF(H99=1,Calculations!H528+Calculations!H544+Calculations!H560+Calculations!H576+Calculations!H592+Calculations!H608,0)</f>
        <v>1709.2021933422561</v>
      </c>
      <c r="I109" s="35">
        <f>IF(I99=1,Calculations!I528+Calculations!I544+Calculations!I560+Calculations!I576+Calculations!I592+Calculations!I608,0)</f>
        <v>1898.2916368032465</v>
      </c>
      <c r="J109" s="35">
        <f>IF(J99=1,Calculations!J528+Calculations!J544+Calculations!J560+Calculations!J576+Calculations!J592+Calculations!J608,0)</f>
        <v>2081.5212900997367</v>
      </c>
      <c r="K109" s="35">
        <f>IF(K99=1,Calculations!K528+Calculations!K544+Calculations!K560+Calculations!K576+Calculations!K592+Calculations!K608,0)</f>
        <v>2258.8911532317252</v>
      </c>
      <c r="L109" s="35">
        <f>IF(L99=1,Calculations!L528+Calculations!L544+Calculations!L560+Calculations!L576+Calculations!L592+Calculations!L608,0)</f>
        <v>2430.4012261992143</v>
      </c>
      <c r="M109" s="35">
        <f>IF(M99=1,Calculations!M528+Calculations!M544+Calculations!M560+Calculations!M576+Calculations!M592+Calculations!M608,0)</f>
        <v>2596.0515090022018</v>
      </c>
      <c r="N109" s="35">
        <f>IF(N99=1,Calculations!N528+Calculations!N544+Calculations!N560+Calculations!N576+Calculations!N592+Calculations!N608,0)</f>
        <v>2760.6246103363414</v>
      </c>
      <c r="O109" s="35">
        <f>IF(O99=1,Calculations!O528+Calculations!O544+Calculations!O560+Calculations!O576+Calculations!O592+Calculations!O608,0)</f>
        <v>2919.5553128103275</v>
      </c>
      <c r="P109" s="35">
        <f>IF(P99=1,Calculations!P528+Calculations!P544+Calculations!P560+Calculations!P576+Calculations!P592+Calculations!P608,0)</f>
        <v>3072.4088338154652</v>
      </c>
      <c r="Q109" s="35">
        <f>IF(Q99=1,Calculations!Q528+Calculations!Q544+Calculations!Q560+Calculations!Q576+Calculations!Q592+Calculations!Q608,0)</f>
        <v>3219.1851733517551</v>
      </c>
      <c r="R109" s="35">
        <f>IF(R99=1,Calculations!R528+Calculations!R544+Calculations!R560+Calculations!R576+Calculations!R592+Calculations!R608,0)</f>
        <v>3359.8843314191959</v>
      </c>
      <c r="S109" s="35">
        <f>IF(S99=1,Calculations!S528+Calculations!S544+Calculations!S560+Calculations!S576+Calculations!S592+Calculations!S608,0)</f>
        <v>3494.5063080177883</v>
      </c>
      <c r="T109" s="35">
        <f>IF(T99=1,Calculations!T528+Calculations!T544+Calculations!T560+Calculations!T576+Calculations!T592+Calculations!T608,0)</f>
        <v>3623.0511031475321</v>
      </c>
      <c r="U109" s="35">
        <f>IF(U99=1,Calculations!U528+Calculations!U544+Calculations!U560+Calculations!U576+Calculations!U592+Calculations!U608,0)</f>
        <v>3745.5187168084281</v>
      </c>
      <c r="V109" s="35">
        <f>IF(V99=1,Calculations!V528+Calculations!V544+Calculations!V560+Calculations!V576+Calculations!V592+Calculations!V608,0)</f>
        <v>3861.9091490004744</v>
      </c>
      <c r="W109" s="35">
        <f>IF(W99=1,Calculations!W528+Calculations!W544+Calculations!W560+Calculations!W576+Calculations!W592+Calculations!W608,0)</f>
        <v>3972.2223997236733</v>
      </c>
      <c r="X109" s="35">
        <f>IF(X99=1,Calculations!X528+Calculations!X544+Calculations!X560+Calculations!X576+Calculations!X592+Calculations!X608,0)</f>
        <v>4079.5019472388922</v>
      </c>
      <c r="Y109" s="35">
        <f>IF(Y99=1,Calculations!Y528+Calculations!Y544+Calculations!Y560+Calculations!Y576+Calculations!Y592+Calculations!Y608,0)</f>
        <v>4196.5709641207195</v>
      </c>
      <c r="Z109" s="35">
        <f>IF(Z99=1,Calculations!Z528+Calculations!Z544+Calculations!Z560+Calculations!Z576+Calculations!Z592+Calculations!Z608,0)</f>
        <v>4312.3310521998183</v>
      </c>
      <c r="AA109" s="35">
        <f>IF(AA99=1,Calculations!AA528+Calculations!AA544+Calculations!AA560+Calculations!AA576+Calculations!AA592+Calculations!AA608,0)</f>
        <v>4421.7822114761884</v>
      </c>
      <c r="AB109" s="35">
        <f>IF(AB99=1,Calculations!AB528+Calculations!AB544+Calculations!AB560+Calculations!AB576+Calculations!AB592+Calculations!AB608,0)</f>
        <v>4524.9244419498291</v>
      </c>
      <c r="AC109" s="35">
        <f>IF(AC99=1,Calculations!AC528+Calculations!AC544+Calculations!AC560+Calculations!AC576+Calculations!AC592+Calculations!AC608,0)</f>
        <v>4623.987660518248</v>
      </c>
      <c r="AD109" s="35">
        <f>IF(AD99=1,Calculations!AD528+Calculations!AD544+Calculations!AD560+Calculations!AD576+Calculations!AD592+Calculations!AD608,0)</f>
        <v>4716.7419502839393</v>
      </c>
      <c r="AE109" s="35">
        <f>IF(AE99=1,Calculations!AE528+Calculations!AE544+Calculations!AE560+Calculations!AE576+Calculations!AE592+Calculations!AE608,0)</f>
        <v>4803.1873112469002</v>
      </c>
      <c r="AF109" s="35">
        <f>IF(AF99=1,Calculations!AF528+Calculations!AF544+Calculations!AF560+Calculations!AF576+Calculations!AF592+Calculations!AF608,0)</f>
        <v>4883.3237434071334</v>
      </c>
      <c r="AG109" s="35">
        <f>IF(AG99=1,Calculations!AG528+Calculations!AG544+Calculations!AG560+Calculations!AG576+Calculations!AG592+Calculations!AG608,0)</f>
        <v>4957.1512467646371</v>
      </c>
      <c r="AH109" s="35">
        <f>IF(AH99=1,Calculations!AH528+Calculations!AH544+Calculations!AH560+Calculations!AH576+Calculations!AH592+Calculations!AH608,0)</f>
        <v>5024.6698213194131</v>
      </c>
      <c r="AI109" s="404"/>
    </row>
    <row r="110" spans="1:35" s="277" customFormat="1" x14ac:dyDescent="0.2">
      <c r="A110" s="324"/>
      <c r="B110" s="25" t="s">
        <v>328</v>
      </c>
      <c r="C110" s="24"/>
      <c r="D110" s="24"/>
      <c r="E110" s="35">
        <f>IF(E99=1,'Assumptions - Passenger'!E107,0)</f>
        <v>10</v>
      </c>
      <c r="F110" s="35">
        <f>IF(F99=1,'Assumptions - Passenger'!F107,0)</f>
        <v>10</v>
      </c>
      <c r="G110" s="35">
        <f>IF(G99=1,'Assumptions - Passenger'!G107,0)</f>
        <v>10</v>
      </c>
      <c r="H110" s="35">
        <f>IF(H99=1,'Assumptions - Passenger'!H107,0)</f>
        <v>10</v>
      </c>
      <c r="I110" s="35">
        <f>IF(I99=1,'Assumptions - Passenger'!I107,0)</f>
        <v>10</v>
      </c>
      <c r="J110" s="35">
        <f>IF(J99=1,'Assumptions - Passenger'!J107,0)</f>
        <v>10</v>
      </c>
      <c r="K110" s="35">
        <f>IF(K99=1,'Assumptions - Passenger'!K107,0)</f>
        <v>10</v>
      </c>
      <c r="L110" s="35">
        <f>IF(L99=1,'Assumptions - Passenger'!L107,0)</f>
        <v>10</v>
      </c>
      <c r="M110" s="35">
        <f>IF(M99=1,'Assumptions - Passenger'!M107,0)</f>
        <v>10</v>
      </c>
      <c r="N110" s="35">
        <f>IF(N99=1,'Assumptions - Passenger'!N107,0)</f>
        <v>10</v>
      </c>
      <c r="O110" s="35">
        <f>IF(O99=1,'Assumptions - Passenger'!O107,0)</f>
        <v>10</v>
      </c>
      <c r="P110" s="35">
        <f>IF(P99=1,'Assumptions - Passenger'!P107,0)</f>
        <v>10</v>
      </c>
      <c r="Q110" s="35">
        <f>IF(Q99=1,'Assumptions - Passenger'!Q107,0)</f>
        <v>10</v>
      </c>
      <c r="R110" s="35">
        <f>IF(R99=1,'Assumptions - Passenger'!R107,0)</f>
        <v>10</v>
      </c>
      <c r="S110" s="35">
        <f>IF(S99=1,'Assumptions - Passenger'!S107,0)</f>
        <v>10</v>
      </c>
      <c r="T110" s="35">
        <f>IF(T99=1,'Assumptions - Passenger'!T107,0)</f>
        <v>10</v>
      </c>
      <c r="U110" s="35">
        <f>IF(U99=1,'Assumptions - Passenger'!U107,0)</f>
        <v>10</v>
      </c>
      <c r="V110" s="35">
        <f>IF(V99=1,'Assumptions - Passenger'!V107,0)</f>
        <v>10</v>
      </c>
      <c r="W110" s="35">
        <f>IF(W99=1,'Assumptions - Passenger'!W107,0)</f>
        <v>10</v>
      </c>
      <c r="X110" s="35">
        <f>IF(X99=1,'Assumptions - Passenger'!X107,0)</f>
        <v>10</v>
      </c>
      <c r="Y110" s="35">
        <f>IF(Y99=1,'Assumptions - Passenger'!Y107,0)</f>
        <v>10</v>
      </c>
      <c r="Z110" s="35">
        <f>IF(Z99=1,'Assumptions - Passenger'!Z107,0)</f>
        <v>10</v>
      </c>
      <c r="AA110" s="35">
        <f>IF(AA99=1,'Assumptions - Passenger'!AA107,0)</f>
        <v>10</v>
      </c>
      <c r="AB110" s="35">
        <f>IF(AB99=1,'Assumptions - Passenger'!AB107,0)</f>
        <v>10</v>
      </c>
      <c r="AC110" s="35">
        <f>IF(AC99=1,'Assumptions - Passenger'!AC107,0)</f>
        <v>10</v>
      </c>
      <c r="AD110" s="35">
        <f>IF(AD99=1,'Assumptions - Passenger'!AD107,0)</f>
        <v>10</v>
      </c>
      <c r="AE110" s="35">
        <f>IF(AE99=1,'Assumptions - Passenger'!AE107,0)</f>
        <v>10</v>
      </c>
      <c r="AF110" s="35">
        <f>IF(AF99=1,'Assumptions - Passenger'!AF107,0)</f>
        <v>10</v>
      </c>
      <c r="AG110" s="35">
        <f>IF(AG99=1,'Assumptions - Passenger'!AG107,0)</f>
        <v>10</v>
      </c>
      <c r="AH110" s="35">
        <f>IF(AH99=1,'Assumptions - Passenger'!AH107,0)</f>
        <v>10</v>
      </c>
      <c r="AI110" s="404"/>
    </row>
    <row r="111" spans="1:35" s="277" customFormat="1" x14ac:dyDescent="0.2">
      <c r="A111" s="324"/>
      <c r="B111" s="24"/>
      <c r="C111" s="24"/>
      <c r="D111" s="24"/>
      <c r="E111" s="43">
        <f>IF(E99=1,SUM(E109:E110),0)</f>
        <v>1110</v>
      </c>
      <c r="F111" s="43">
        <f t="shared" ref="F111:AH111" si="28">IF(F99=1,SUM(F109:F110),0)</f>
        <v>1323.4439359267733</v>
      </c>
      <c r="G111" s="43">
        <f t="shared" si="28"/>
        <v>1524.2529597167654</v>
      </c>
      <c r="H111" s="43">
        <f t="shared" si="28"/>
        <v>1719.2021933422561</v>
      </c>
      <c r="I111" s="43">
        <f t="shared" si="28"/>
        <v>1908.2916368032465</v>
      </c>
      <c r="J111" s="43">
        <f t="shared" si="28"/>
        <v>2091.5212900997367</v>
      </c>
      <c r="K111" s="43">
        <f t="shared" si="28"/>
        <v>2268.8911532317252</v>
      </c>
      <c r="L111" s="43">
        <f t="shared" si="28"/>
        <v>2440.4012261992143</v>
      </c>
      <c r="M111" s="43">
        <f t="shared" si="28"/>
        <v>2606.0515090022018</v>
      </c>
      <c r="N111" s="43">
        <f t="shared" si="28"/>
        <v>2770.6246103363414</v>
      </c>
      <c r="O111" s="43">
        <f t="shared" si="28"/>
        <v>2929.5553128103275</v>
      </c>
      <c r="P111" s="43">
        <f t="shared" si="28"/>
        <v>3082.4088338154652</v>
      </c>
      <c r="Q111" s="43">
        <f t="shared" si="28"/>
        <v>3229.1851733517551</v>
      </c>
      <c r="R111" s="43">
        <f t="shared" si="28"/>
        <v>3369.8843314191959</v>
      </c>
      <c r="S111" s="43">
        <f t="shared" si="28"/>
        <v>3504.5063080177883</v>
      </c>
      <c r="T111" s="43">
        <f t="shared" si="28"/>
        <v>3633.0511031475321</v>
      </c>
      <c r="U111" s="43">
        <f t="shared" si="28"/>
        <v>3755.5187168084281</v>
      </c>
      <c r="V111" s="43">
        <f t="shared" si="28"/>
        <v>3871.9091490004744</v>
      </c>
      <c r="W111" s="43">
        <f t="shared" si="28"/>
        <v>3982.2223997236733</v>
      </c>
      <c r="X111" s="43">
        <f t="shared" si="28"/>
        <v>4089.5019472388922</v>
      </c>
      <c r="Y111" s="43">
        <f t="shared" si="28"/>
        <v>4206.5709641207195</v>
      </c>
      <c r="Z111" s="43">
        <f t="shared" si="28"/>
        <v>4322.3310521998183</v>
      </c>
      <c r="AA111" s="43">
        <f t="shared" si="28"/>
        <v>4431.7822114761884</v>
      </c>
      <c r="AB111" s="43">
        <f t="shared" si="28"/>
        <v>4534.9244419498291</v>
      </c>
      <c r="AC111" s="43">
        <f t="shared" si="28"/>
        <v>4633.987660518248</v>
      </c>
      <c r="AD111" s="43">
        <f t="shared" si="28"/>
        <v>4726.7419502839393</v>
      </c>
      <c r="AE111" s="43">
        <f t="shared" si="28"/>
        <v>4813.1873112469002</v>
      </c>
      <c r="AF111" s="43">
        <f t="shared" si="28"/>
        <v>4893.3237434071334</v>
      </c>
      <c r="AG111" s="43">
        <f t="shared" si="28"/>
        <v>4967.1512467646371</v>
      </c>
      <c r="AH111" s="43">
        <f t="shared" si="28"/>
        <v>5034.6698213194131</v>
      </c>
      <c r="AI111" s="404"/>
    </row>
    <row r="112" spans="1:35" s="277" customFormat="1" ht="16" thickBot="1" x14ac:dyDescent="0.25">
      <c r="A112" s="324"/>
      <c r="B112" s="26" t="s">
        <v>75</v>
      </c>
      <c r="C112" s="24"/>
      <c r="D112" s="24"/>
      <c r="E112" s="40">
        <f>IF(E99=1,E107+E111,0)</f>
        <v>6410</v>
      </c>
      <c r="F112" s="40">
        <f t="shared" ref="F112:AH112" si="29">IF(F99=1,F107+F111,0)</f>
        <v>11828.100503449299</v>
      </c>
      <c r="G112" s="40">
        <f t="shared" si="29"/>
        <v>17270.165645945781</v>
      </c>
      <c r="H112" s="40">
        <f t="shared" si="29"/>
        <v>23536.473051460056</v>
      </c>
      <c r="I112" s="40">
        <f t="shared" si="29"/>
        <v>31067.965461337193</v>
      </c>
      <c r="J112" s="40">
        <f t="shared" si="29"/>
        <v>39132.255672145213</v>
      </c>
      <c r="K112" s="40">
        <f t="shared" si="29"/>
        <v>47995.138295856057</v>
      </c>
      <c r="L112" s="40">
        <f t="shared" si="29"/>
        <v>57682.921964193003</v>
      </c>
      <c r="M112" s="40">
        <f t="shared" si="29"/>
        <v>68282.77341789045</v>
      </c>
      <c r="N112" s="40">
        <f t="shared" si="29"/>
        <v>79852.420613638227</v>
      </c>
      <c r="O112" s="40">
        <f t="shared" si="29"/>
        <v>92226.170282514184</v>
      </c>
      <c r="P112" s="40">
        <f t="shared" si="29"/>
        <v>105618.14891755003</v>
      </c>
      <c r="Q112" s="40">
        <f t="shared" si="29"/>
        <v>120087.74766349622</v>
      </c>
      <c r="R112" s="40">
        <f t="shared" si="29"/>
        <v>135695.86276289029</v>
      </c>
      <c r="S112" s="40">
        <f t="shared" si="29"/>
        <v>152506.2332161876</v>
      </c>
      <c r="T112" s="40">
        <f t="shared" si="29"/>
        <v>170585.55998474162</v>
      </c>
      <c r="U112" s="40">
        <f t="shared" si="29"/>
        <v>189979.06735937492</v>
      </c>
      <c r="V112" s="40">
        <f t="shared" si="29"/>
        <v>210816.10310950462</v>
      </c>
      <c r="W112" s="40">
        <f t="shared" si="29"/>
        <v>233141.50922095889</v>
      </c>
      <c r="X112" s="40">
        <f t="shared" si="29"/>
        <v>257037.74329593894</v>
      </c>
      <c r="Y112" s="40">
        <f t="shared" si="29"/>
        <v>282599.26501660218</v>
      </c>
      <c r="Z112" s="40">
        <f t="shared" si="29"/>
        <v>309902.00119377847</v>
      </c>
      <c r="AA112" s="40">
        <f t="shared" si="29"/>
        <v>339034.60205286217</v>
      </c>
      <c r="AB112" s="40">
        <f t="shared" si="29"/>
        <v>370092.36914175155</v>
      </c>
      <c r="AC112" s="40">
        <f t="shared" si="29"/>
        <v>403176.78297297307</v>
      </c>
      <c r="AD112" s="40">
        <f t="shared" si="29"/>
        <v>438389.93870238902</v>
      </c>
      <c r="AE112" s="40">
        <f t="shared" si="29"/>
        <v>475815.9096362213</v>
      </c>
      <c r="AF112" s="40">
        <f t="shared" si="29"/>
        <v>515617.62783509941</v>
      </c>
      <c r="AG112" s="40">
        <f t="shared" si="29"/>
        <v>557888.63457080314</v>
      </c>
      <c r="AH112" s="40">
        <f t="shared" si="29"/>
        <v>602752.59593036643</v>
      </c>
      <c r="AI112" s="404"/>
    </row>
    <row r="113" spans="1:34" s="277" customFormat="1" x14ac:dyDescent="0.2">
      <c r="A113" s="324"/>
      <c r="B113" s="24"/>
      <c r="C113" s="24"/>
      <c r="D113" s="24"/>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row>
    <row r="114" spans="1:34" s="277" customFormat="1" x14ac:dyDescent="0.2">
      <c r="A114" s="324"/>
      <c r="B114" s="24"/>
      <c r="C114" s="24"/>
      <c r="D114" s="24"/>
      <c r="E114" s="433"/>
      <c r="F114" s="433"/>
      <c r="G114" s="433"/>
      <c r="H114" s="433"/>
      <c r="I114" s="433"/>
      <c r="J114" s="433"/>
      <c r="K114" s="433"/>
      <c r="L114" s="433"/>
      <c r="M114" s="433"/>
      <c r="N114" s="433"/>
      <c r="O114" s="433"/>
      <c r="P114" s="433"/>
      <c r="Q114" s="433"/>
      <c r="R114" s="433"/>
      <c r="S114" s="433"/>
      <c r="T114" s="433"/>
      <c r="U114" s="433"/>
      <c r="V114" s="433"/>
      <c r="W114" s="433"/>
      <c r="X114" s="433"/>
      <c r="Y114" s="433"/>
      <c r="Z114" s="433"/>
      <c r="AA114" s="433"/>
      <c r="AB114" s="433"/>
      <c r="AC114" s="433"/>
      <c r="AD114" s="433"/>
      <c r="AE114" s="433"/>
      <c r="AF114" s="433"/>
      <c r="AG114" s="433"/>
      <c r="AH114" s="433"/>
    </row>
    <row r="115" spans="1:34" s="20" customFormat="1" x14ac:dyDescent="0.2">
      <c r="A115" s="324"/>
      <c r="B115" s="19" t="s">
        <v>76</v>
      </c>
      <c r="G115" s="53"/>
      <c r="H115" s="53"/>
      <c r="I115" s="53"/>
      <c r="J115" s="53"/>
      <c r="K115" s="53"/>
      <c r="L115" s="53"/>
      <c r="M115" s="53"/>
      <c r="N115" s="53"/>
    </row>
    <row r="116" spans="1:34" s="277" customFormat="1" x14ac:dyDescent="0.2">
      <c r="A116" s="324"/>
      <c r="B116" s="23" t="s">
        <v>77</v>
      </c>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row>
    <row r="117" spans="1:34" s="277" customFormat="1" x14ac:dyDescent="0.2">
      <c r="A117" s="324"/>
      <c r="B117" s="25" t="s">
        <v>78</v>
      </c>
      <c r="C117" s="24"/>
      <c r="D117" s="24"/>
      <c r="E117" s="35">
        <f>IF(E$99=1,Calculations!E724,0)</f>
        <v>1400</v>
      </c>
      <c r="F117" s="35">
        <f>IF(F$99=1,Calculations!F724,0)</f>
        <v>1513.3076923076922</v>
      </c>
      <c r="G117" s="35">
        <f>IF(G$99=1,Calculations!G724,0)</f>
        <v>1558.706923076923</v>
      </c>
      <c r="H117" s="35">
        <f>IF(H$99=1,Calculations!H724,0)</f>
        <v>1681.1184615384614</v>
      </c>
      <c r="I117" s="35">
        <f>IF(I$99=1,Calculations!I724,0)</f>
        <v>1887.391696769231</v>
      </c>
      <c r="J117" s="35">
        <f>IF(J$99=1,Calculations!J724,0)</f>
        <v>2024.2708835853848</v>
      </c>
      <c r="K117" s="35">
        <f>IF(K$99=1,Calculations!K724,0)</f>
        <v>2167.6641690834153</v>
      </c>
      <c r="L117" s="35">
        <f>IF(L$99=1,Calculations!L724,0)</f>
        <v>2317.8392079161013</v>
      </c>
      <c r="M117" s="35">
        <f>IF(M$99=1,Calculations!M724,0)</f>
        <v>2475.0738513265733</v>
      </c>
      <c r="N117" s="35">
        <f>IF(N$99=1,Calculations!N724,0)</f>
        <v>2639.656518054549</v>
      </c>
      <c r="O117" s="35">
        <f>IF(O$99=1,Calculations!O724,0)</f>
        <v>2811.8865783200094</v>
      </c>
      <c r="P117" s="35">
        <f>IF(P$99=1,Calculations!P724,0)</f>
        <v>2992.0747513351484</v>
      </c>
      <c r="Q117" s="35">
        <f>IF(Q$99=1,Calculations!Q724,0)</f>
        <v>3180.5435168107074</v>
      </c>
      <c r="R117" s="35">
        <f>IF(R$99=1,Calculations!R724,0)</f>
        <v>3377.6275409385989</v>
      </c>
      <c r="S117" s="35">
        <f>IF(S$99=1,Calculations!S724,0)</f>
        <v>3583.6741173490341</v>
      </c>
      <c r="T117" s="35">
        <f>IF(T$99=1,Calculations!T724,0)</f>
        <v>3799.0436235572506</v>
      </c>
      <c r="U117" s="35">
        <f>IF(U$99=1,Calculations!U724,0)</f>
        <v>4024.1099934323461</v>
      </c>
      <c r="V117" s="35">
        <f>IF(V$99=1,Calculations!V724,0)</f>
        <v>4259.2612062387461</v>
      </c>
      <c r="W117" s="35">
        <f>IF(W$99=1,Calculations!W724,0)</f>
        <v>4504.8997928194403</v>
      </c>
      <c r="X117" s="35">
        <f>IF(X$99=1,Calculations!X724,0)</f>
        <v>4761.4433595093606</v>
      </c>
      <c r="Y117" s="35">
        <f>IF(Y$99=1,Calculations!Y724,0)</f>
        <v>5029.3251303871402</v>
      </c>
      <c r="Z117" s="35">
        <f>IF(Z$99=1,Calculations!Z724,0)</f>
        <v>5308.9945084940273</v>
      </c>
      <c r="AA117" s="35">
        <f>IF(AA$99=1,Calculations!AA724,0)</f>
        <v>5600.9176566699807</v>
      </c>
      <c r="AB117" s="35">
        <f>IF(AB$99=1,Calculations!AB724,0)</f>
        <v>5905.578098678845</v>
      </c>
      <c r="AC117" s="35">
        <f>IF(AC$99=1,Calculations!AC724,0)</f>
        <v>6223.4773413172379</v>
      </c>
      <c r="AD117" s="35">
        <f>IF(AD$99=1,Calculations!AD724,0)</f>
        <v>6555.1355182251236</v>
      </c>
      <c r="AE117" s="35">
        <f>IF(AE$99=1,Calculations!AE724,0)</f>
        <v>6901.0920561402982</v>
      </c>
      <c r="AF117" s="35">
        <f>IF(AF$99=1,Calculations!AF724,0)</f>
        <v>7261.9063643639793</v>
      </c>
      <c r="AG117" s="35">
        <f>IF(AG$99=1,Calculations!AG724,0)</f>
        <v>7638.1585482305545</v>
      </c>
      <c r="AH117" s="35">
        <f>IF(AH$99=1,Calculations!AH724,0)</f>
        <v>8030.4501474011977</v>
      </c>
    </row>
    <row r="118" spans="1:34" s="277" customFormat="1" x14ac:dyDescent="0.2">
      <c r="A118" s="324"/>
      <c r="B118" s="25" t="s">
        <v>290</v>
      </c>
      <c r="C118" s="24"/>
      <c r="D118" s="24"/>
      <c r="E118" s="35">
        <f>IF(E$99=1,Calculations!E725,0)</f>
        <v>100</v>
      </c>
      <c r="F118" s="35">
        <f>IF(F$99=1,Calculations!F725,0)</f>
        <v>103.00000000000001</v>
      </c>
      <c r="G118" s="35">
        <f>IF(G$99=1,Calculations!G725,0)</f>
        <v>106.09000000000002</v>
      </c>
      <c r="H118" s="35">
        <f>IF(H$99=1,Calculations!H725,0)</f>
        <v>109.27270000000001</v>
      </c>
      <c r="I118" s="35">
        <f>IF(I$99=1,Calculations!I725,0)</f>
        <v>112.55088100000002</v>
      </c>
      <c r="J118" s="35">
        <f>IF(J$99=1,Calculations!J725,0)</f>
        <v>115.92740743000002</v>
      </c>
      <c r="K118" s="35">
        <f>IF(K$99=1,Calculations!K725,0)</f>
        <v>119.4052296529</v>
      </c>
      <c r="L118" s="35">
        <f>IF(L$99=1,Calculations!L725,0)</f>
        <v>122.98738654248703</v>
      </c>
      <c r="M118" s="35">
        <f>IF(M$99=1,Calculations!M725,0)</f>
        <v>126.67700813876164</v>
      </c>
      <c r="N118" s="35">
        <f>IF(N$99=1,Calculations!N725,0)</f>
        <v>130.47731838292449</v>
      </c>
      <c r="O118" s="35">
        <f>IF(O$99=1,Calculations!O725,0)</f>
        <v>134.39163793441222</v>
      </c>
      <c r="P118" s="35">
        <f>IF(P$99=1,Calculations!P725,0)</f>
        <v>138.4233870724446</v>
      </c>
      <c r="Q118" s="35">
        <f>IF(Q$99=1,Calculations!Q725,0)</f>
        <v>142.5760886846179</v>
      </c>
      <c r="R118" s="35">
        <f>IF(R$99=1,Calculations!R725,0)</f>
        <v>146.85337134515649</v>
      </c>
      <c r="S118" s="35">
        <f>IF(S$99=1,Calculations!S725,0)</f>
        <v>151.25897248551115</v>
      </c>
      <c r="T118" s="35">
        <f>IF(T$99=1,Calculations!T725,0)</f>
        <v>155.79674166007649</v>
      </c>
      <c r="U118" s="35">
        <f>IF(U$99=1,Calculations!U725,0)</f>
        <v>160.47064390987876</v>
      </c>
      <c r="V118" s="35">
        <f>IF(V$99=1,Calculations!V725,0)</f>
        <v>165.28476322717512</v>
      </c>
      <c r="W118" s="35">
        <f>IF(W$99=1,Calculations!W725,0)</f>
        <v>170.24330612399038</v>
      </c>
      <c r="X118" s="35">
        <f>IF(X$99=1,Calculations!X725,0)</f>
        <v>175.35060530771014</v>
      </c>
      <c r="Y118" s="35">
        <f>IF(Y$99=1,Calculations!Y725,0)</f>
        <v>180.61112346694145</v>
      </c>
      <c r="Z118" s="35">
        <f>IF(Z$99=1,Calculations!Z725,0)</f>
        <v>186.02945717094968</v>
      </c>
      <c r="AA118" s="35">
        <f>IF(AA$99=1,Calculations!AA725,0)</f>
        <v>191.61034088607818</v>
      </c>
      <c r="AB118" s="35">
        <f>IF(AB$99=1,Calculations!AB725,0)</f>
        <v>197.35865111266054</v>
      </c>
      <c r="AC118" s="35">
        <f>IF(AC$99=1,Calculations!AC725,0)</f>
        <v>203.27941064604036</v>
      </c>
      <c r="AD118" s="35">
        <f>IF(AD$99=1,Calculations!AD725,0)</f>
        <v>209.37779296542155</v>
      </c>
      <c r="AE118" s="35">
        <f>IF(AE$99=1,Calculations!AE725,0)</f>
        <v>215.65912675438415</v>
      </c>
      <c r="AF118" s="35">
        <f>IF(AF$99=1,Calculations!AF725,0)</f>
        <v>222.1289005570157</v>
      </c>
      <c r="AG118" s="35">
        <f>IF(AG$99=1,Calculations!AG725,0)</f>
        <v>228.79276757372622</v>
      </c>
      <c r="AH118" s="35">
        <f>IF(AH$99=1,Calculations!AH725,0)</f>
        <v>235.65655060093803</v>
      </c>
    </row>
    <row r="119" spans="1:34" s="277" customFormat="1" x14ac:dyDescent="0.2">
      <c r="A119" s="324"/>
      <c r="B119" s="25" t="s">
        <v>418</v>
      </c>
      <c r="C119" s="24"/>
      <c r="D119" s="24"/>
      <c r="E119" s="35">
        <f>IF(E99=1,Calculations!F755+Calculations!F771+Calculations!F787+Calculations!F813+Calculations!F843+Calculations!F873+Calculations!F903,0)</f>
        <v>20</v>
      </c>
      <c r="F119" s="35">
        <f>IF(F99=1,Calculations!G755+Calculations!G771+Calculations!G787+Calculations!G813+Calculations!G843+Calculations!G873+Calculations!G903,0)</f>
        <v>30</v>
      </c>
      <c r="G119" s="35">
        <f>IF(G99=1,Calculations!H755+Calculations!H771+Calculations!H787+Calculations!H813+Calculations!H843+Calculations!H873+Calculations!H903,0)</f>
        <v>25</v>
      </c>
      <c r="H119" s="35">
        <f>IF(H99=1,Calculations!I755+Calculations!I771+Calculations!I787+Calculations!I813+Calculations!I843+Calculations!I873+Calculations!I903,0)</f>
        <v>25</v>
      </c>
      <c r="I119" s="35">
        <f>IF(I99=1,Calculations!J755+Calculations!J771+Calculations!J787+Calculations!J813+Calculations!J843+Calculations!J873+Calculations!J903,0)</f>
        <v>25</v>
      </c>
      <c r="J119" s="35">
        <f>IF(J99=1,Calculations!K755+Calculations!K771+Calculations!K787+Calculations!K813+Calculations!K843+Calculations!K873+Calculations!K903,0)</f>
        <v>25</v>
      </c>
      <c r="K119" s="35">
        <f>IF(K99=1,Calculations!L755+Calculations!L771+Calculations!L787+Calculations!L813+Calculations!L843+Calculations!L873+Calculations!L903,0)</f>
        <v>32.4395066669153</v>
      </c>
      <c r="L119" s="35">
        <f>IF(L99=1,Calculations!M755+Calculations!M771+Calculations!M787+Calculations!M813+Calculations!M843+Calculations!M873+Calculations!M903,0)</f>
        <v>32.807442498607458</v>
      </c>
      <c r="M119" s="35">
        <f>IF(M99=1,Calculations!N755+Calculations!N771+Calculations!N787+Calculations!N813+Calculations!N843+Calculations!N873+Calculations!N903,0)</f>
        <v>33.238398074929925</v>
      </c>
      <c r="N119" s="35">
        <f>IF(N99=1,Calculations!O755+Calculations!O771+Calculations!O787+Calculations!O813+Calculations!O843+Calculations!O873+Calculations!O903,0)</f>
        <v>34.094414864335292</v>
      </c>
      <c r="O119" s="35">
        <f>IF(O99=1,Calculations!P755+Calculations!P771+Calculations!P787+Calculations!P813+Calculations!P843+Calculations!P873+Calculations!P903,0)</f>
        <v>9.6624153580774621</v>
      </c>
      <c r="P119" s="35">
        <f>IF(P99=1,Calculations!Q755+Calculations!Q771+Calculations!Q787+Calculations!Q813+Calculations!Q843+Calculations!Q873+Calculations!Q903,0)</f>
        <v>10.24214612536878</v>
      </c>
      <c r="Q119" s="35">
        <f>IF(Q99=1,Calculations!R755+Calculations!R771+Calculations!R787+Calculations!R813+Calculations!R843+Calculations!R873+Calculations!R903,0)</f>
        <v>10.857626130981783</v>
      </c>
      <c r="R119" s="35">
        <f>IF(R99=1,Calculations!S755+Calculations!S771+Calculations!S787+Calculations!S813+Calculations!S843+Calculations!S873+Calculations!S903,0)</f>
        <v>11.511116225829554</v>
      </c>
      <c r="S119" s="35">
        <f>IF(S99=1,Calculations!T755+Calculations!T771+Calculations!T787+Calculations!T813+Calculations!T843+Calculations!T873+Calculations!T903,0)</f>
        <v>12.205023440600621</v>
      </c>
      <c r="T119" s="35">
        <f>IF(T99=1,Calculations!U755+Calculations!U771+Calculations!U787+Calculations!U813+Calculations!U843+Calculations!U873+Calculations!U903,0)</f>
        <v>62.941910614353816</v>
      </c>
      <c r="U119" s="35">
        <f>IF(U99=1,Calculations!V755+Calculations!V771+Calculations!V787+Calculations!V813+Calculations!V843+Calculations!V873+Calculations!V903,0)</f>
        <v>0</v>
      </c>
      <c r="V119" s="35">
        <f>IF(V99=1,Calculations!W755+Calculations!W771+Calculations!W787+Calculations!W813+Calculations!W843+Calculations!W873+Calculations!W903,0)</f>
        <v>0</v>
      </c>
      <c r="W119" s="35">
        <f>IF(W99=1,Calculations!X755+Calculations!X771+Calculations!X787+Calculations!X813+Calculations!X843+Calculations!X873+Calculations!X903,0)</f>
        <v>0</v>
      </c>
      <c r="X119" s="35">
        <f>IF(X99=1,Calculations!Y755+Calculations!Y771+Calculations!Y787+Calculations!Y813+Calculations!Y843+Calculations!Y873+Calculations!Y903,0)</f>
        <v>0</v>
      </c>
      <c r="Y119" s="35">
        <f>IF(Y99=1,Calculations!Z755+Calculations!Z771+Calculations!Z787+Calculations!Z813+Calculations!Z843+Calculations!Z873+Calculations!Z903,0)</f>
        <v>0</v>
      </c>
      <c r="Z119" s="35">
        <f>IF(Z99=1,Calculations!AA755+Calculations!AA771+Calculations!AA787+Calculations!AA813+Calculations!AA843+Calculations!AA873+Calculations!AA903,0)</f>
        <v>0</v>
      </c>
      <c r="AA119" s="35">
        <f>IF(AA99=1,Calculations!AB755+Calculations!AB771+Calculations!AB787+Calculations!AB813+Calculations!AB843+Calculations!AB873+Calculations!AB903,0)</f>
        <v>0</v>
      </c>
      <c r="AB119" s="35">
        <f>IF(AB99=1,Calculations!AC755+Calculations!AC771+Calculations!AC787+Calculations!AC813+Calculations!AC843+Calculations!AC873+Calculations!AC903,0)</f>
        <v>0</v>
      </c>
      <c r="AC119" s="35">
        <f>IF(AC99=1,Calculations!AD755+Calculations!AD771+Calculations!AD787+Calculations!AD813+Calculations!AD843+Calculations!AD873+Calculations!AD903,0)</f>
        <v>0</v>
      </c>
      <c r="AD119" s="35">
        <f>IF(AD99=1,Calculations!AE755+Calculations!AE771+Calculations!AE787+Calculations!AE813+Calculations!AE843+Calculations!AE873+Calculations!AE903,0)</f>
        <v>50</v>
      </c>
      <c r="AE119" s="35">
        <f>IF(AE99=1,Calculations!AF755+Calculations!AF771+Calculations!AF787+Calculations!AF813+Calculations!AF843+Calculations!AF873+Calculations!AF903,0)</f>
        <v>0</v>
      </c>
      <c r="AF119" s="35">
        <f>IF(AF99=1,Calculations!AG755+Calculations!AG771+Calculations!AG787+Calculations!AG813+Calculations!AG843+Calculations!AG873+Calculations!AG903,0)</f>
        <v>0</v>
      </c>
      <c r="AG119" s="35">
        <f>IF(AG99=1,Calculations!AH755+Calculations!AH771+Calculations!AH787+Calculations!AH813+Calculations!AH843+Calculations!AH873+Calculations!AH903,0)</f>
        <v>0</v>
      </c>
      <c r="AH119" s="35">
        <f>IF(AH99=1,Calculations!AI755+Calculations!AI771+Calculations!AI787+Calculations!AI813+Calculations!AI843+Calculations!AI873+Calculations!AI903,0)</f>
        <v>0</v>
      </c>
    </row>
    <row r="120" spans="1:34" s="277" customFormat="1" x14ac:dyDescent="0.2">
      <c r="A120" s="324"/>
      <c r="B120" s="24"/>
      <c r="C120" s="24"/>
      <c r="D120" s="24"/>
      <c r="E120" s="43">
        <f>IF(E99=1,SUM(E117:E119),0)</f>
        <v>1520</v>
      </c>
      <c r="F120" s="43">
        <f t="shared" ref="F120:AH120" si="30">IF(F99=1,SUM(F117:F119),0)</f>
        <v>1646.3076923076922</v>
      </c>
      <c r="G120" s="43">
        <f t="shared" si="30"/>
        <v>1689.7969230769229</v>
      </c>
      <c r="H120" s="43">
        <f t="shared" si="30"/>
        <v>1815.3911615384613</v>
      </c>
      <c r="I120" s="43">
        <f t="shared" si="30"/>
        <v>2024.9425777692311</v>
      </c>
      <c r="J120" s="43">
        <f t="shared" si="30"/>
        <v>2165.1982910153847</v>
      </c>
      <c r="K120" s="43">
        <f t="shared" si="30"/>
        <v>2319.5089054032305</v>
      </c>
      <c r="L120" s="43">
        <f t="shared" si="30"/>
        <v>2473.6340369571958</v>
      </c>
      <c r="M120" s="43">
        <f t="shared" si="30"/>
        <v>2634.989257540265</v>
      </c>
      <c r="N120" s="43">
        <f t="shared" si="30"/>
        <v>2804.2282513018085</v>
      </c>
      <c r="O120" s="43">
        <f t="shared" si="30"/>
        <v>2955.9406316124991</v>
      </c>
      <c r="P120" s="43">
        <f t="shared" si="30"/>
        <v>3140.7402845329621</v>
      </c>
      <c r="Q120" s="43">
        <f t="shared" si="30"/>
        <v>3333.977231626307</v>
      </c>
      <c r="R120" s="43">
        <f t="shared" si="30"/>
        <v>3535.992028509585</v>
      </c>
      <c r="S120" s="43">
        <f t="shared" si="30"/>
        <v>3747.1381132751458</v>
      </c>
      <c r="T120" s="43">
        <f t="shared" si="30"/>
        <v>4017.7822758316806</v>
      </c>
      <c r="U120" s="43">
        <f t="shared" si="30"/>
        <v>4184.5806373422247</v>
      </c>
      <c r="V120" s="43">
        <f t="shared" si="30"/>
        <v>4424.5459694659212</v>
      </c>
      <c r="W120" s="43">
        <f t="shared" si="30"/>
        <v>4675.1430989434311</v>
      </c>
      <c r="X120" s="43">
        <f t="shared" si="30"/>
        <v>4936.7939648170704</v>
      </c>
      <c r="Y120" s="43">
        <f t="shared" si="30"/>
        <v>5209.9362538540818</v>
      </c>
      <c r="Z120" s="43">
        <f t="shared" si="30"/>
        <v>5495.0239656649774</v>
      </c>
      <c r="AA120" s="43">
        <f t="shared" si="30"/>
        <v>5792.5279975560588</v>
      </c>
      <c r="AB120" s="43">
        <f t="shared" si="30"/>
        <v>6102.9367497915055</v>
      </c>
      <c r="AC120" s="43">
        <f t="shared" si="30"/>
        <v>6426.7567519632785</v>
      </c>
      <c r="AD120" s="43">
        <f t="shared" si="30"/>
        <v>6814.5133111905452</v>
      </c>
      <c r="AE120" s="43">
        <f t="shared" si="30"/>
        <v>7116.7511828946826</v>
      </c>
      <c r="AF120" s="43">
        <f t="shared" si="30"/>
        <v>7484.0352649209954</v>
      </c>
      <c r="AG120" s="43">
        <f t="shared" si="30"/>
        <v>7866.951315804281</v>
      </c>
      <c r="AH120" s="43">
        <f t="shared" si="30"/>
        <v>8266.1066980021351</v>
      </c>
    </row>
    <row r="121" spans="1:34" s="277" customFormat="1" x14ac:dyDescent="0.2">
      <c r="A121" s="324"/>
      <c r="B121" s="23" t="s">
        <v>144</v>
      </c>
      <c r="C121" s="24"/>
      <c r="D121" s="24"/>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row>
    <row r="122" spans="1:34" s="277" customFormat="1" x14ac:dyDescent="0.2">
      <c r="A122" s="324"/>
      <c r="B122" s="25" t="s">
        <v>79</v>
      </c>
      <c r="C122" s="24"/>
      <c r="D122" s="24"/>
      <c r="E122" s="35">
        <f>IF(E99=1,Calculations!E756+Calculations!E772+Calculations!E788+Calculations!E815+Calculations!E845+Calculations!E875+Calculations!E905-E119,0)</f>
        <v>230</v>
      </c>
      <c r="F122" s="35">
        <f>IF(F99=1,Calculations!F756+Calculations!F772+Calculations!F788+Calculations!F815+Calculations!F845+Calculations!F875+Calculations!F905-F119,0)</f>
        <v>200</v>
      </c>
      <c r="G122" s="35">
        <f>IF(G99=1,Calculations!G756+Calculations!G772+Calculations!G788+Calculations!G815+Calculations!G845+Calculations!G875+Calculations!G905-G119,0)</f>
        <v>215</v>
      </c>
      <c r="H122" s="35">
        <f>IF(H99=1,Calculations!H756+Calculations!H772+Calculations!H788+Calculations!H815+Calculations!H845+Calculations!H875+Calculations!H905-H119,0)</f>
        <v>230</v>
      </c>
      <c r="I122" s="35">
        <f>IF(I99=1,Calculations!I756+Calculations!I772+Calculations!I788+Calculations!I815+Calculations!I845+Calculations!I875+Calculations!I905-I119,0)</f>
        <v>245</v>
      </c>
      <c r="J122" s="35">
        <f>IF(J99=1,Calculations!J756+Calculations!J772+Calculations!J788+Calculations!J815+Calculations!J845+Calculations!J875+Calculations!J905-J119,0)</f>
        <v>260</v>
      </c>
      <c r="K122" s="35">
        <f>IF(K99=1,Calculations!K756+Calculations!K772+Calculations!K788+Calculations!K815+Calculations!K845+Calculations!K875+Calculations!K905-K119,0)</f>
        <v>267.56049333308471</v>
      </c>
      <c r="L122" s="35">
        <f>IF(L99=1,Calculations!L756+Calculations!L772+Calculations!L788+Calculations!L815+Calculations!L845+Calculations!L875+Calculations!L905-L119,0)</f>
        <v>234.75305083447725</v>
      </c>
      <c r="M122" s="35">
        <f>IF(M99=1,Calculations!M756+Calculations!M772+Calculations!M788+Calculations!M815+Calculations!M845+Calculations!M875+Calculations!M905-M119,0)</f>
        <v>201.51465275954729</v>
      </c>
      <c r="N122" s="35">
        <f>IF(N99=1,Calculations!N756+Calculations!N772+Calculations!N788+Calculations!N815+Calculations!N845+Calculations!N875+Calculations!N905-N119,0)</f>
        <v>167.42023789521204</v>
      </c>
      <c r="O122" s="35">
        <f>IF(O99=1,Calculations!O756+Calculations!O772+Calculations!O788+Calculations!O815+Calculations!O845+Calculations!O875+Calculations!O905-O119,0)</f>
        <v>157.75782253713456</v>
      </c>
      <c r="P122" s="35">
        <f>IF(P99=1,Calculations!P756+Calculations!P772+Calculations!P788+Calculations!P815+Calculations!P845+Calculations!P875+Calculations!P905-P119,0)</f>
        <v>147.51567641176578</v>
      </c>
      <c r="Q122" s="35">
        <f>IF(Q99=1,Calculations!Q756+Calculations!Q772+Calculations!Q788+Calculations!Q815+Calculations!Q845+Calculations!Q875+Calculations!Q905-Q119,0)</f>
        <v>136.65805028078398</v>
      </c>
      <c r="R122" s="35">
        <f>IF(R99=1,Calculations!R756+Calculations!R772+Calculations!R788+Calculations!R815+Calculations!R845+Calculations!R875+Calculations!R905-R119,0)</f>
        <v>125.14693405495443</v>
      </c>
      <c r="S122" s="35">
        <f>IF(S99=1,Calculations!S756+Calculations!S772+Calculations!S788+Calculations!S815+Calculations!S845+Calculations!S875+Calculations!S905-S119,0)</f>
        <v>112.94191061435382</v>
      </c>
      <c r="T122" s="35">
        <f>IF(T99=1,Calculations!T756+Calculations!T772+Calculations!T788+Calculations!T815+Calculations!T845+Calculations!T875+Calculations!T905-T119,0)</f>
        <v>50</v>
      </c>
      <c r="U122" s="35">
        <f>IF(U99=1,Calculations!U756+Calculations!U772+Calculations!U788+Calculations!U815+Calculations!U845+Calculations!U875+Calculations!U905-U119,0)</f>
        <v>50</v>
      </c>
      <c r="V122" s="35">
        <f>IF(V99=1,Calculations!V756+Calculations!V772+Calculations!V788+Calculations!V815+Calculations!V845+Calculations!V875+Calculations!V905-V119,0)</f>
        <v>50</v>
      </c>
      <c r="W122" s="35">
        <f>IF(W99=1,Calculations!W756+Calculations!W772+Calculations!W788+Calculations!W815+Calculations!W845+Calculations!W875+Calculations!W905-W119,0)</f>
        <v>50</v>
      </c>
      <c r="X122" s="35">
        <f>IF(X99=1,Calculations!X756+Calculations!X772+Calculations!X788+Calculations!X815+Calculations!X845+Calculations!X875+Calculations!X905-X119,0)</f>
        <v>50</v>
      </c>
      <c r="Y122" s="35">
        <f>IF(Y99=1,Calculations!Y756+Calculations!Y772+Calculations!Y788+Calculations!Y815+Calculations!Y845+Calculations!Y875+Calculations!Y905-Y119,0)</f>
        <v>50</v>
      </c>
      <c r="Z122" s="35">
        <f>IF(Z99=1,Calculations!Z756+Calculations!Z772+Calculations!Z788+Calculations!Z815+Calculations!Z845+Calculations!Z875+Calculations!Z905-Z119,0)</f>
        <v>50</v>
      </c>
      <c r="AA122" s="35">
        <f>IF(AA99=1,Calculations!AA756+Calculations!AA772+Calculations!AA788+Calculations!AA815+Calculations!AA845+Calculations!AA875+Calculations!AA905-AA119,0)</f>
        <v>50</v>
      </c>
      <c r="AB122" s="35">
        <f>IF(AB99=1,Calculations!AB756+Calculations!AB772+Calculations!AB788+Calculations!AB815+Calculations!AB845+Calculations!AB875+Calculations!AB905-AB119,0)</f>
        <v>50</v>
      </c>
      <c r="AC122" s="35">
        <f>IF(AC99=1,Calculations!AC756+Calculations!AC772+Calculations!AC788+Calculations!AC815+Calculations!AC845+Calculations!AC875+Calculations!AC905-AC119,0)</f>
        <v>50</v>
      </c>
      <c r="AD122" s="35">
        <f>IF(AD99=1,Calculations!AD756+Calculations!AD772+Calculations!AD788+Calculations!AD815+Calculations!AD845+Calculations!AD875+Calculations!AD905-AD119,0)</f>
        <v>0</v>
      </c>
      <c r="AE122" s="35">
        <f>IF(AE99=1,Calculations!AE756+Calculations!AE772+Calculations!AE788+Calculations!AE815+Calculations!AE845+Calculations!AE875+Calculations!AE905-AE119,0)</f>
        <v>0</v>
      </c>
      <c r="AF122" s="35">
        <f>IF(AF99=1,Calculations!AF756+Calculations!AF772+Calculations!AF788+Calculations!AF815+Calculations!AF845+Calculations!AF875+Calculations!AF905-AF119,0)</f>
        <v>0</v>
      </c>
      <c r="AG122" s="35">
        <f>IF(AG99=1,Calculations!AG756+Calculations!AG772+Calculations!AG788+Calculations!AG815+Calculations!AG845+Calculations!AG875+Calculations!AG905-AG119,0)</f>
        <v>0</v>
      </c>
      <c r="AH122" s="35">
        <f>IF(AH99=1,Calculations!AH756+Calculations!AH772+Calculations!AH788+Calculations!AH815+Calculations!AH845+Calculations!AH875+Calculations!AH905-AH119,0)</f>
        <v>0</v>
      </c>
    </row>
    <row r="123" spans="1:34" s="277" customFormat="1" x14ac:dyDescent="0.2">
      <c r="A123" s="324"/>
      <c r="B123" s="25" t="s">
        <v>327</v>
      </c>
      <c r="C123" s="24"/>
      <c r="D123" s="24"/>
      <c r="E123" s="35">
        <f>IF(E99=1,'Assumptions - Passenger'!E507,0)</f>
        <v>20</v>
      </c>
      <c r="F123" s="35">
        <f>IF(F99=1,'Assumptions - Passenger'!F507,0)</f>
        <v>20</v>
      </c>
      <c r="G123" s="35">
        <f>IF(G99=1,'Assumptions - Passenger'!G507,0)</f>
        <v>20</v>
      </c>
      <c r="H123" s="35">
        <f>IF(H99=1,'Assumptions - Passenger'!H507,0)</f>
        <v>20</v>
      </c>
      <c r="I123" s="35">
        <f>IF(I99=1,'Assumptions - Passenger'!I507,0)</f>
        <v>20</v>
      </c>
      <c r="J123" s="35">
        <f>IF(J99=1,'Assumptions - Passenger'!J507,0)</f>
        <v>20</v>
      </c>
      <c r="K123" s="35">
        <f>IF(K99=1,'Assumptions - Passenger'!K507,0)</f>
        <v>20</v>
      </c>
      <c r="L123" s="35">
        <f>IF(L99=1,'Assumptions - Passenger'!L507,0)</f>
        <v>20</v>
      </c>
      <c r="M123" s="35">
        <f>IF(M99=1,'Assumptions - Passenger'!M507,0)</f>
        <v>20</v>
      </c>
      <c r="N123" s="35">
        <f>IF(N99=1,'Assumptions - Passenger'!N507,0)</f>
        <v>20</v>
      </c>
      <c r="O123" s="35">
        <f>IF(O99=1,'Assumptions - Passenger'!O507,0)</f>
        <v>20</v>
      </c>
      <c r="P123" s="35">
        <f>IF(P99=1,'Assumptions - Passenger'!P507,0)</f>
        <v>20</v>
      </c>
      <c r="Q123" s="35">
        <f>IF(Q99=1,'Assumptions - Passenger'!Q507,0)</f>
        <v>20</v>
      </c>
      <c r="R123" s="35">
        <f>IF(R99=1,'Assumptions - Passenger'!R507,0)</f>
        <v>20</v>
      </c>
      <c r="S123" s="35">
        <f>IF(S99=1,'Assumptions - Passenger'!S507,0)</f>
        <v>20</v>
      </c>
      <c r="T123" s="35">
        <f>IF(T99=1,'Assumptions - Passenger'!T507,0)</f>
        <v>20</v>
      </c>
      <c r="U123" s="35">
        <f>IF(U99=1,'Assumptions - Passenger'!U507,0)</f>
        <v>20</v>
      </c>
      <c r="V123" s="35">
        <f>IF(V99=1,'Assumptions - Passenger'!V507,0)</f>
        <v>20</v>
      </c>
      <c r="W123" s="35">
        <f>IF(W99=1,'Assumptions - Passenger'!W507,0)</f>
        <v>20</v>
      </c>
      <c r="X123" s="35">
        <f>IF(X99=1,'Assumptions - Passenger'!X507,0)</f>
        <v>20</v>
      </c>
      <c r="Y123" s="35">
        <f>IF(Y99=1,'Assumptions - Passenger'!Y507,0)</f>
        <v>20</v>
      </c>
      <c r="Z123" s="35">
        <f>IF(Z99=1,'Assumptions - Passenger'!Z507,0)</f>
        <v>20</v>
      </c>
      <c r="AA123" s="35">
        <f>IF(AA99=1,'Assumptions - Passenger'!AA507,0)</f>
        <v>20</v>
      </c>
      <c r="AB123" s="35">
        <f>IF(AB99=1,'Assumptions - Passenger'!AB507,0)</f>
        <v>20</v>
      </c>
      <c r="AC123" s="35">
        <f>IF(AC99=1,'Assumptions - Passenger'!AC507,0)</f>
        <v>20</v>
      </c>
      <c r="AD123" s="35">
        <f>IF(AD99=1,'Assumptions - Passenger'!AD507,0)</f>
        <v>20</v>
      </c>
      <c r="AE123" s="35">
        <f>IF(AE99=1,'Assumptions - Passenger'!AE507,0)</f>
        <v>20</v>
      </c>
      <c r="AF123" s="35">
        <f>IF(AF99=1,'Assumptions - Passenger'!AF507,0)</f>
        <v>20</v>
      </c>
      <c r="AG123" s="35">
        <f>IF(AG99=1,'Assumptions - Passenger'!AG507,0)</f>
        <v>20</v>
      </c>
      <c r="AH123" s="35">
        <f>IF(AH99=1,'Assumptions - Passenger'!AH507,0)</f>
        <v>20</v>
      </c>
    </row>
    <row r="124" spans="1:34" s="277" customFormat="1" x14ac:dyDescent="0.2">
      <c r="A124" s="324"/>
      <c r="B124" s="24"/>
      <c r="C124" s="24"/>
      <c r="D124" s="24"/>
      <c r="E124" s="43">
        <f>IF(E99=1,SUM(E122:E123),0)</f>
        <v>250</v>
      </c>
      <c r="F124" s="43">
        <f t="shared" ref="F124:AH124" si="31">IF(F99=1,SUM(F122:F123),0)</f>
        <v>220</v>
      </c>
      <c r="G124" s="43">
        <f t="shared" si="31"/>
        <v>235</v>
      </c>
      <c r="H124" s="43">
        <f t="shared" si="31"/>
        <v>250</v>
      </c>
      <c r="I124" s="43">
        <f t="shared" si="31"/>
        <v>265</v>
      </c>
      <c r="J124" s="43">
        <f t="shared" si="31"/>
        <v>280</v>
      </c>
      <c r="K124" s="43">
        <f t="shared" si="31"/>
        <v>287.56049333308471</v>
      </c>
      <c r="L124" s="43">
        <f t="shared" si="31"/>
        <v>254.75305083447725</v>
      </c>
      <c r="M124" s="43">
        <f t="shared" si="31"/>
        <v>221.51465275954729</v>
      </c>
      <c r="N124" s="43">
        <f t="shared" si="31"/>
        <v>187.42023789521204</v>
      </c>
      <c r="O124" s="43">
        <f t="shared" si="31"/>
        <v>177.75782253713456</v>
      </c>
      <c r="P124" s="43">
        <f t="shared" si="31"/>
        <v>167.51567641176578</v>
      </c>
      <c r="Q124" s="43">
        <f t="shared" si="31"/>
        <v>156.65805028078398</v>
      </c>
      <c r="R124" s="43">
        <f t="shared" si="31"/>
        <v>145.14693405495444</v>
      </c>
      <c r="S124" s="43">
        <f t="shared" si="31"/>
        <v>132.94191061435382</v>
      </c>
      <c r="T124" s="43">
        <f t="shared" si="31"/>
        <v>70</v>
      </c>
      <c r="U124" s="43">
        <f t="shared" si="31"/>
        <v>70</v>
      </c>
      <c r="V124" s="43">
        <f t="shared" si="31"/>
        <v>70</v>
      </c>
      <c r="W124" s="43">
        <f t="shared" si="31"/>
        <v>70</v>
      </c>
      <c r="X124" s="43">
        <f t="shared" si="31"/>
        <v>70</v>
      </c>
      <c r="Y124" s="43">
        <f t="shared" si="31"/>
        <v>70</v>
      </c>
      <c r="Z124" s="43">
        <f t="shared" si="31"/>
        <v>70</v>
      </c>
      <c r="AA124" s="43">
        <f t="shared" si="31"/>
        <v>70</v>
      </c>
      <c r="AB124" s="43">
        <f t="shared" si="31"/>
        <v>70</v>
      </c>
      <c r="AC124" s="43">
        <f t="shared" si="31"/>
        <v>70</v>
      </c>
      <c r="AD124" s="43">
        <f t="shared" si="31"/>
        <v>20</v>
      </c>
      <c r="AE124" s="43">
        <f t="shared" si="31"/>
        <v>20</v>
      </c>
      <c r="AF124" s="43">
        <f t="shared" si="31"/>
        <v>20</v>
      </c>
      <c r="AG124" s="43">
        <f t="shared" si="31"/>
        <v>20</v>
      </c>
      <c r="AH124" s="43">
        <f t="shared" si="31"/>
        <v>20</v>
      </c>
    </row>
    <row r="125" spans="1:34" s="277" customFormat="1" x14ac:dyDescent="0.2">
      <c r="A125" s="324"/>
      <c r="B125" s="23" t="s">
        <v>80</v>
      </c>
      <c r="C125" s="24"/>
      <c r="D125" s="24"/>
      <c r="E125" s="43">
        <f>IF(E99=1,E120+E124,0)</f>
        <v>1770</v>
      </c>
      <c r="F125" s="43">
        <f t="shared" ref="F125:AH125" si="32">IF(F99=1,F120+F124,0)</f>
        <v>1866.3076923076922</v>
      </c>
      <c r="G125" s="43">
        <f t="shared" si="32"/>
        <v>1924.7969230769229</v>
      </c>
      <c r="H125" s="43">
        <f t="shared" si="32"/>
        <v>2065.3911615384613</v>
      </c>
      <c r="I125" s="43">
        <f t="shared" si="32"/>
        <v>2289.9425777692313</v>
      </c>
      <c r="J125" s="43">
        <f t="shared" si="32"/>
        <v>2445.1982910153847</v>
      </c>
      <c r="K125" s="43">
        <f t="shared" si="32"/>
        <v>2607.0693987363152</v>
      </c>
      <c r="L125" s="43">
        <f t="shared" si="32"/>
        <v>2728.3870877916729</v>
      </c>
      <c r="M125" s="43">
        <f t="shared" si="32"/>
        <v>2856.5039102998126</v>
      </c>
      <c r="N125" s="43">
        <f t="shared" si="32"/>
        <v>2991.6484891970204</v>
      </c>
      <c r="O125" s="43">
        <f t="shared" si="32"/>
        <v>3133.6984541496336</v>
      </c>
      <c r="P125" s="43">
        <f t="shared" si="32"/>
        <v>3308.255960944728</v>
      </c>
      <c r="Q125" s="43">
        <f t="shared" si="32"/>
        <v>3490.6352819070908</v>
      </c>
      <c r="R125" s="43">
        <f t="shared" si="32"/>
        <v>3681.1389625645393</v>
      </c>
      <c r="S125" s="43">
        <f t="shared" si="32"/>
        <v>3880.0800238894994</v>
      </c>
      <c r="T125" s="43">
        <f t="shared" si="32"/>
        <v>4087.7822758316806</v>
      </c>
      <c r="U125" s="43">
        <f t="shared" si="32"/>
        <v>4254.5806373422247</v>
      </c>
      <c r="V125" s="43">
        <f t="shared" si="32"/>
        <v>4494.5459694659212</v>
      </c>
      <c r="W125" s="43">
        <f t="shared" si="32"/>
        <v>4745.1430989434311</v>
      </c>
      <c r="X125" s="43">
        <f t="shared" si="32"/>
        <v>5006.7939648170704</v>
      </c>
      <c r="Y125" s="43">
        <f t="shared" si="32"/>
        <v>5279.9362538540818</v>
      </c>
      <c r="Z125" s="43">
        <f t="shared" si="32"/>
        <v>5565.0239656649774</v>
      </c>
      <c r="AA125" s="43">
        <f t="shared" si="32"/>
        <v>5862.5279975560588</v>
      </c>
      <c r="AB125" s="43">
        <f t="shared" si="32"/>
        <v>6172.9367497915055</v>
      </c>
      <c r="AC125" s="43">
        <f t="shared" si="32"/>
        <v>6496.7567519632785</v>
      </c>
      <c r="AD125" s="43">
        <f t="shared" si="32"/>
        <v>6834.5133111905452</v>
      </c>
      <c r="AE125" s="43">
        <f t="shared" si="32"/>
        <v>7136.7511828946826</v>
      </c>
      <c r="AF125" s="43">
        <f t="shared" si="32"/>
        <v>7504.0352649209954</v>
      </c>
      <c r="AG125" s="43">
        <f t="shared" si="32"/>
        <v>7886.951315804281</v>
      </c>
      <c r="AH125" s="43">
        <f t="shared" si="32"/>
        <v>8286.1066980021351</v>
      </c>
    </row>
    <row r="126" spans="1:34" s="277" customFormat="1" x14ac:dyDescent="0.2">
      <c r="A126" s="324"/>
      <c r="B126" s="26"/>
      <c r="C126" s="24"/>
      <c r="D126" s="24"/>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row>
    <row r="127" spans="1:34" s="277" customFormat="1" x14ac:dyDescent="0.2">
      <c r="A127" s="324"/>
      <c r="B127" s="23" t="s">
        <v>81</v>
      </c>
      <c r="C127" s="24"/>
      <c r="D127" s="24"/>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row>
    <row r="128" spans="1:34" s="277" customFormat="1" x14ac:dyDescent="0.2">
      <c r="A128" s="324"/>
      <c r="B128" s="25" t="s">
        <v>82</v>
      </c>
      <c r="C128" s="24"/>
      <c r="D128" s="24"/>
      <c r="E128" s="35">
        <f>IF(E99=1,Calculations!E915,0)</f>
        <v>4225</v>
      </c>
      <c r="F128" s="35">
        <f>IF(F99=1,Calculations!F915,0)</f>
        <v>4225</v>
      </c>
      <c r="G128" s="35">
        <f>IF(G99=1,Calculations!G915,0)</f>
        <v>4225</v>
      </c>
      <c r="H128" s="35">
        <f>IF(H99=1,Calculations!H915,0)</f>
        <v>4225</v>
      </c>
      <c r="I128" s="35">
        <f>IF(I99=1,Calculations!I915,0)</f>
        <v>4225</v>
      </c>
      <c r="J128" s="35">
        <f>IF(J99=1,Calculations!J915,0)</f>
        <v>4225</v>
      </c>
      <c r="K128" s="35">
        <f>IF(K99=1,Calculations!K915,0)</f>
        <v>4225</v>
      </c>
      <c r="L128" s="35">
        <f>IF(L99=1,Calculations!L915,0)</f>
        <v>4225</v>
      </c>
      <c r="M128" s="35">
        <f>IF(M99=1,Calculations!M915,0)</f>
        <v>4225</v>
      </c>
      <c r="N128" s="35">
        <f>IF(N99=1,Calculations!N915,0)</f>
        <v>4225</v>
      </c>
      <c r="O128" s="35">
        <f>IF(O99=1,Calculations!O915,0)</f>
        <v>4225</v>
      </c>
      <c r="P128" s="35">
        <f>IF(P99=1,Calculations!P915,0)</f>
        <v>4225</v>
      </c>
      <c r="Q128" s="35">
        <f>IF(Q99=1,Calculations!Q915,0)</f>
        <v>4225</v>
      </c>
      <c r="R128" s="35">
        <f>IF(R99=1,Calculations!R915,0)</f>
        <v>4225</v>
      </c>
      <c r="S128" s="35">
        <f>IF(S99=1,Calculations!S915,0)</f>
        <v>4225</v>
      </c>
      <c r="T128" s="35">
        <f>IF(T99=1,Calculations!T915,0)</f>
        <v>4225</v>
      </c>
      <c r="U128" s="35">
        <f>IF(U99=1,Calculations!U915,0)</f>
        <v>4225</v>
      </c>
      <c r="V128" s="35">
        <f>IF(V99=1,Calculations!V915,0)</f>
        <v>4225</v>
      </c>
      <c r="W128" s="35">
        <f>IF(W99=1,Calculations!W915,0)</f>
        <v>4225</v>
      </c>
      <c r="X128" s="35">
        <f>IF(X99=1,Calculations!X915,0)</f>
        <v>4225</v>
      </c>
      <c r="Y128" s="35">
        <f>IF(Y99=1,Calculations!Y915,0)</f>
        <v>4225</v>
      </c>
      <c r="Z128" s="35">
        <f>IF(Z99=1,Calculations!Z915,0)</f>
        <v>4225</v>
      </c>
      <c r="AA128" s="35">
        <f>IF(AA99=1,Calculations!AA915,0)</f>
        <v>4225</v>
      </c>
      <c r="AB128" s="35">
        <f>IF(AB99=1,Calculations!AB915,0)</f>
        <v>4225</v>
      </c>
      <c r="AC128" s="35">
        <f>IF(AC99=1,Calculations!AC915,0)</f>
        <v>4225</v>
      </c>
      <c r="AD128" s="35">
        <f>IF(AD99=1,Calculations!AD915,0)</f>
        <v>4225</v>
      </c>
      <c r="AE128" s="35">
        <f>IF(AE99=1,Calculations!AE915,0)</f>
        <v>4225</v>
      </c>
      <c r="AF128" s="35">
        <f>IF(AF99=1,Calculations!AF915,0)</f>
        <v>4225</v>
      </c>
      <c r="AG128" s="35">
        <f>IF(AG99=1,Calculations!AG915,0)</f>
        <v>4225</v>
      </c>
      <c r="AH128" s="35">
        <f>IF(AH99=1,Calculations!AH915,0)</f>
        <v>4225</v>
      </c>
    </row>
    <row r="129" spans="1:34" s="277" customFormat="1" x14ac:dyDescent="0.2">
      <c r="A129" s="324"/>
      <c r="B129" s="25" t="s">
        <v>609</v>
      </c>
      <c r="C129" s="24"/>
      <c r="D129" s="24"/>
      <c r="E129" s="35">
        <f>IF(E99=1,Calculations!E918,0)</f>
        <v>15</v>
      </c>
      <c r="F129" s="35">
        <f>IF(F99=1,Calculations!F918,0)</f>
        <v>28.825286041189933</v>
      </c>
      <c r="G129" s="35">
        <f>IF(G99=1,Calculations!G918,0)</f>
        <v>42.032902183338095</v>
      </c>
      <c r="H129" s="35">
        <f>IF(H99=1,Calculations!H918,0)</f>
        <v>55.361996236982989</v>
      </c>
      <c r="I129" s="35">
        <f>IF(I99=1,Calculations!I918,0)</f>
        <v>68.814992097059147</v>
      </c>
      <c r="J129" s="35">
        <f>IF(J99=1,Calculations!J918,0)</f>
        <v>82.394386375349129</v>
      </c>
      <c r="K129" s="35">
        <f>IF(K99=1,Calculations!K918,0)</f>
        <v>96.102750581988971</v>
      </c>
      <c r="L129" s="35">
        <f>IF(L99=1,Calculations!L918,0)</f>
        <v>109.9427333724188</v>
      </c>
      <c r="M129" s="35">
        <f>IF(M99=1,Calculations!M918,0)</f>
        <v>123.91706286174195</v>
      </c>
      <c r="N129" s="35">
        <f>IF(N99=1,Calculations!N918,0)</f>
        <v>138.01888717276606</v>
      </c>
      <c r="O129" s="35">
        <f>IF(O99=1,Calculations!O918,0)</f>
        <v>152.2704242343018</v>
      </c>
      <c r="P129" s="35">
        <f>IF(P99=1,Calculations!P918,0)</f>
        <v>166.65533145988411</v>
      </c>
      <c r="Q129" s="35">
        <f>IF(Q99=1,Calculations!Q918,0)</f>
        <v>181.17667936709648</v>
      </c>
      <c r="R129" s="35">
        <f>IF(R99=1,Calculations!R918,0)</f>
        <v>195.83763058904992</v>
      </c>
      <c r="S129" s="35">
        <f>IF(S99=1,Calculations!S918,0)</f>
        <v>210.64144263784874</v>
      </c>
      <c r="T129" s="35">
        <f>IF(T99=1,Calculations!T918,0)</f>
        <v>225.59147075096038</v>
      </c>
      <c r="U129" s="35">
        <f>IF(U99=1,Calculations!U918,0)</f>
        <v>240.69117082297635</v>
      </c>
      <c r="V129" s="35">
        <f>IF(V99=1,Calculations!V918,0)</f>
        <v>255.94410242532581</v>
      </c>
      <c r="W129" s="35">
        <f>IF(W99=1,Calculations!W918,0)</f>
        <v>271.3539319165809</v>
      </c>
      <c r="X129" s="35">
        <f>IF(X99=1,Calculations!X918,0)</f>
        <v>287.05970134655399</v>
      </c>
      <c r="Y129" s="35">
        <f>IF(Y99=1,Calculations!Y918,0)</f>
        <v>303.641790894797</v>
      </c>
      <c r="Z129" s="35">
        <f>IF(Z99=1,Calculations!Z918,0)</f>
        <v>320.39356634552183</v>
      </c>
      <c r="AA129" s="35">
        <f>IF(AA99=1,Calculations!AA918,0)</f>
        <v>337.31991456365864</v>
      </c>
      <c r="AB129" s="35">
        <f>IF(AB99=1,Calculations!AB918,0)</f>
        <v>354.42588222961001</v>
      </c>
      <c r="AC129" s="35">
        <f>IF(AC99=1,Calculations!AC918,0)</f>
        <v>371.82039058250956</v>
      </c>
      <c r="AD129" s="35">
        <f>IF(AD99=1,Calculations!AD918,0)</f>
        <v>389.41027895652496</v>
      </c>
      <c r="AE129" s="35">
        <f>IF(AE99=1,Calculations!AE918,0)</f>
        <v>407.20143007671339</v>
      </c>
      <c r="AF129" s="35">
        <f>IF(AF99=1,Calculations!AF918,0)</f>
        <v>425.19991417629205</v>
      </c>
      <c r="AG129" s="35">
        <f>IF(AG99=1,Calculations!AG918,0)</f>
        <v>443.41199339954125</v>
      </c>
      <c r="AH129" s="35">
        <f>IF(AH99=1,Calculations!AH918,0)</f>
        <v>461.84412654762167</v>
      </c>
    </row>
    <row r="130" spans="1:34" s="277" customFormat="1" x14ac:dyDescent="0.2">
      <c r="A130" s="324"/>
      <c r="B130" s="25" t="s">
        <v>83</v>
      </c>
      <c r="C130" s="24"/>
      <c r="D130" s="24"/>
      <c r="E130" s="35">
        <f>IF(E99=1,Calculations!E921,0)</f>
        <v>400</v>
      </c>
      <c r="F130" s="35">
        <f>IF(F99=1,Calculations!F921,0)</f>
        <v>5707.9675251004192</v>
      </c>
      <c r="G130" s="35">
        <f>IF(G99=1,Calculations!G921,0)</f>
        <v>11078.335820685519</v>
      </c>
      <c r="H130" s="35">
        <f>IF(H99=1,Calculations!H921,0)</f>
        <v>17190.719893684614</v>
      </c>
      <c r="I130" s="35">
        <f>IF(I99=1,Calculations!I921,0)</f>
        <v>24484.207891470905</v>
      </c>
      <c r="J130" s="35">
        <f>IF(J99=1,Calculations!J921,0)</f>
        <v>32379.662994754479</v>
      </c>
      <c r="K130" s="35">
        <f>IF(K99=1,Calculations!K921,0)</f>
        <v>41066.966146537743</v>
      </c>
      <c r="L130" s="35">
        <f>IF(L99=1,Calculations!L921,0)</f>
        <v>50619.592143028902</v>
      </c>
      <c r="M130" s="35">
        <f>IF(M99=1,Calculations!M921,0)</f>
        <v>61077.35244472888</v>
      </c>
      <c r="N130" s="35">
        <f>IF(N99=1,Calculations!N921,0)</f>
        <v>72497.753237268451</v>
      </c>
      <c r="O130" s="35">
        <f>IF(O99=1,Calculations!O921,0)</f>
        <v>84715.201404130246</v>
      </c>
      <c r="P130" s="35">
        <f>IF(P99=1,Calculations!P921,0)</f>
        <v>97918.237625145426</v>
      </c>
      <c r="Q130" s="35">
        <f>IF(Q99=1,Calculations!Q921,0)</f>
        <v>112190.93570222204</v>
      </c>
      <c r="R130" s="35">
        <f>IF(R99=1,Calculations!R921,0)</f>
        <v>127593.88616973672</v>
      </c>
      <c r="S130" s="35">
        <f>IF(S99=1,Calculations!S921,0)</f>
        <v>144190.51174966019</v>
      </c>
      <c r="T130" s="35">
        <f>IF(T99=1,Calculations!T921,0)</f>
        <v>162047.18623815893</v>
      </c>
      <c r="U130" s="35">
        <f>IF(U99=1,Calculations!U921,0)</f>
        <v>181258.79555120971</v>
      </c>
      <c r="V130" s="35">
        <f>IF(V99=1,Calculations!V921,0)</f>
        <v>201840.61303761337</v>
      </c>
      <c r="W130" s="35">
        <f>IF(W99=1,Calculations!W921,0)</f>
        <v>223900.01219009885</v>
      </c>
      <c r="X130" s="35">
        <f>IF(X99=1,Calculations!X921,0)</f>
        <v>247518.88962977531</v>
      </c>
      <c r="Y130" s="35">
        <f>IF(Y99=1,Calculations!Y921,0)</f>
        <v>272790.6869718532</v>
      </c>
      <c r="Z130" s="35">
        <f>IF(Z99=1,Calculations!Z921,0)</f>
        <v>299791.58366176795</v>
      </c>
      <c r="AA130" s="35">
        <f>IF(AA99=1,Calculations!AA921,0)</f>
        <v>328609.75414074241</v>
      </c>
      <c r="AB130" s="35">
        <f>IF(AB99=1,Calculations!AB921,0)</f>
        <v>359340.00650973042</v>
      </c>
      <c r="AC130" s="35">
        <f>IF(AC99=1,Calculations!AC921,0)</f>
        <v>392083.20583042718</v>
      </c>
      <c r="AD130" s="35">
        <f>IF(AD99=1,Calculations!AD921,0)</f>
        <v>426941.0151122419</v>
      </c>
      <c r="AE130" s="35">
        <f>IF(AE99=1,Calculations!AE921,0)</f>
        <v>464046.95702324988</v>
      </c>
      <c r="AF130" s="35">
        <f>IF(AF99=1,Calculations!AF921,0)</f>
        <v>503463.39265600196</v>
      </c>
      <c r="AG130" s="35">
        <f>IF(AG99=1,Calculations!AG921,0)</f>
        <v>545333.27126159926</v>
      </c>
      <c r="AH130" s="35">
        <f>IF(AH99=1,Calculations!AH921,0)</f>
        <v>589779.64510581666</v>
      </c>
    </row>
    <row r="131" spans="1:34" s="277" customFormat="1" x14ac:dyDescent="0.2">
      <c r="A131" s="324"/>
      <c r="B131" s="504" t="s">
        <v>696</v>
      </c>
      <c r="E131" s="405">
        <f>IF(E99=1,Calculations!E924,0)</f>
        <v>0</v>
      </c>
      <c r="F131" s="405">
        <f>IF(F99=1,Calculations!F924,0)</f>
        <v>0</v>
      </c>
      <c r="G131" s="405">
        <f>IF(G99=1,Calculations!G924,0)</f>
        <v>0</v>
      </c>
      <c r="H131" s="405">
        <f>IF(H99=1,Calculations!H924,0)</f>
        <v>0</v>
      </c>
      <c r="I131" s="405">
        <f>IF(I99=1,Calculations!I924,0)</f>
        <v>0</v>
      </c>
      <c r="J131" s="405">
        <f>IF(J99=1,Calculations!J924,0)</f>
        <v>0</v>
      </c>
      <c r="K131" s="405">
        <f>IF(K99=1,Calculations!K924,0)</f>
        <v>0</v>
      </c>
      <c r="L131" s="405">
        <f>IF(L99=1,Calculations!L924,0)</f>
        <v>0</v>
      </c>
      <c r="M131" s="405">
        <f>IF(M99=1,Calculations!M924,0)</f>
        <v>0</v>
      </c>
      <c r="N131" s="405">
        <f>IF(N99=1,Calculations!N924,0)</f>
        <v>0</v>
      </c>
      <c r="O131" s="405">
        <f>IF(O99=1,Calculations!O924,0)</f>
        <v>0</v>
      </c>
      <c r="P131" s="405">
        <f>IF(P99=1,Calculations!P924,0)</f>
        <v>0</v>
      </c>
      <c r="Q131" s="405">
        <f>IF(Q99=1,Calculations!Q924,0)</f>
        <v>0</v>
      </c>
      <c r="R131" s="405">
        <f>IF(R99=1,Calculations!R924,0)</f>
        <v>0</v>
      </c>
      <c r="S131" s="405">
        <f>IF(S99=1,Calculations!S924,0)</f>
        <v>0</v>
      </c>
      <c r="T131" s="405">
        <f>IF(T99=1,Calculations!T924,0)</f>
        <v>0</v>
      </c>
      <c r="U131" s="405">
        <f>IF(U99=1,Calculations!U924,0)</f>
        <v>0</v>
      </c>
      <c r="V131" s="405">
        <f>IF(V99=1,Calculations!V924,0)</f>
        <v>0</v>
      </c>
      <c r="W131" s="405">
        <f>IF(W99=1,Calculations!W924,0)</f>
        <v>0</v>
      </c>
      <c r="X131" s="405">
        <f>IF(X99=1,Calculations!X924,0)</f>
        <v>0</v>
      </c>
      <c r="Y131" s="405">
        <f>IF(Y99=1,Calculations!Y924,0)</f>
        <v>0</v>
      </c>
      <c r="Z131" s="405">
        <f>IF(Z99=1,Calculations!Z924,0)</f>
        <v>0</v>
      </c>
      <c r="AA131" s="405">
        <f>IF(AA99=1,Calculations!AA924,0)</f>
        <v>0</v>
      </c>
      <c r="AB131" s="405">
        <f>IF(AB99=1,Calculations!AB924,0)</f>
        <v>0</v>
      </c>
      <c r="AC131" s="405">
        <f>IF(AC99=1,Calculations!AC924,0)</f>
        <v>0</v>
      </c>
      <c r="AD131" s="405">
        <f>IF(AD99=1,Calculations!AD924,0)</f>
        <v>0</v>
      </c>
      <c r="AE131" s="405">
        <f>IF(AE99=1,Calculations!AE924,0)</f>
        <v>0</v>
      </c>
      <c r="AF131" s="405">
        <f>IF(AF99=1,Calculations!AF924,0)</f>
        <v>0</v>
      </c>
      <c r="AG131" s="405">
        <f>IF(AG99=1,Calculations!AG924,0)</f>
        <v>0</v>
      </c>
      <c r="AH131" s="405">
        <f>IF(AH99=1,Calculations!AH924,0)</f>
        <v>0</v>
      </c>
    </row>
    <row r="132" spans="1:34" s="277" customFormat="1" x14ac:dyDescent="0.2">
      <c r="A132" s="324"/>
      <c r="B132" s="24"/>
      <c r="C132" s="24"/>
      <c r="D132" s="24"/>
      <c r="E132" s="43">
        <f>IF(E99=1,SUM(E128:E131),0)</f>
        <v>4640</v>
      </c>
      <c r="F132" s="43">
        <f t="shared" ref="F132:AH132" si="33">IF(F99=1,SUM(F128:F131),0)</f>
        <v>9961.7928111416095</v>
      </c>
      <c r="G132" s="43">
        <f t="shared" si="33"/>
        <v>15345.368722868858</v>
      </c>
      <c r="H132" s="43">
        <f t="shared" si="33"/>
        <v>21471.081889921596</v>
      </c>
      <c r="I132" s="43">
        <f t="shared" si="33"/>
        <v>28778.022883567966</v>
      </c>
      <c r="J132" s="43">
        <f t="shared" si="33"/>
        <v>36687.057381129831</v>
      </c>
      <c r="K132" s="43">
        <f t="shared" si="33"/>
        <v>45388.068897119731</v>
      </c>
      <c r="L132" s="43">
        <f t="shared" si="33"/>
        <v>54954.534876401318</v>
      </c>
      <c r="M132" s="43">
        <f t="shared" si="33"/>
        <v>65426.269507590623</v>
      </c>
      <c r="N132" s="43">
        <f t="shared" si="33"/>
        <v>76860.772124441224</v>
      </c>
      <c r="O132" s="43">
        <f t="shared" si="33"/>
        <v>89092.471828364549</v>
      </c>
      <c r="P132" s="43">
        <f t="shared" si="33"/>
        <v>102309.89295660531</v>
      </c>
      <c r="Q132" s="43">
        <f t="shared" si="33"/>
        <v>116597.11238158913</v>
      </c>
      <c r="R132" s="43">
        <f t="shared" si="33"/>
        <v>132014.72380032577</v>
      </c>
      <c r="S132" s="43">
        <f t="shared" si="33"/>
        <v>148626.15319229805</v>
      </c>
      <c r="T132" s="43">
        <f t="shared" si="33"/>
        <v>166497.77770890988</v>
      </c>
      <c r="U132" s="43">
        <f t="shared" si="33"/>
        <v>185724.48672203269</v>
      </c>
      <c r="V132" s="43">
        <f t="shared" si="33"/>
        <v>206321.5571400387</v>
      </c>
      <c r="W132" s="43">
        <f t="shared" si="33"/>
        <v>228396.36612201543</v>
      </c>
      <c r="X132" s="43">
        <f t="shared" si="33"/>
        <v>252030.94933112187</v>
      </c>
      <c r="Y132" s="43">
        <f t="shared" si="33"/>
        <v>277319.32876274799</v>
      </c>
      <c r="Z132" s="43">
        <f t="shared" si="33"/>
        <v>304336.97722811345</v>
      </c>
      <c r="AA132" s="43">
        <f t="shared" si="33"/>
        <v>333172.07405530609</v>
      </c>
      <c r="AB132" s="43">
        <f t="shared" si="33"/>
        <v>363919.43239196</v>
      </c>
      <c r="AC132" s="43">
        <f t="shared" si="33"/>
        <v>396680.02622100967</v>
      </c>
      <c r="AD132" s="43">
        <f t="shared" si="33"/>
        <v>431555.42539119843</v>
      </c>
      <c r="AE132" s="43">
        <f t="shared" si="33"/>
        <v>468679.15845332661</v>
      </c>
      <c r="AF132" s="43">
        <f t="shared" si="33"/>
        <v>508113.59257017827</v>
      </c>
      <c r="AG132" s="43">
        <f t="shared" si="33"/>
        <v>550001.68325499876</v>
      </c>
      <c r="AH132" s="43">
        <f t="shared" si="33"/>
        <v>594466.48923236423</v>
      </c>
    </row>
    <row r="133" spans="1:34" s="277" customFormat="1" ht="16" thickBot="1" x14ac:dyDescent="0.25">
      <c r="A133" s="324"/>
      <c r="B133" s="26" t="s">
        <v>84</v>
      </c>
      <c r="C133" s="24"/>
      <c r="D133" s="24"/>
      <c r="E133" s="40">
        <f t="shared" ref="E133:AH133" si="34">IF(E99=1,E125+E132,0)</f>
        <v>6410</v>
      </c>
      <c r="F133" s="40">
        <f t="shared" si="34"/>
        <v>11828.100503449301</v>
      </c>
      <c r="G133" s="40">
        <f t="shared" si="34"/>
        <v>17270.165645945781</v>
      </c>
      <c r="H133" s="40">
        <f t="shared" si="34"/>
        <v>23536.473051460056</v>
      </c>
      <c r="I133" s="40">
        <f t="shared" si="34"/>
        <v>31067.965461337197</v>
      </c>
      <c r="J133" s="40">
        <f t="shared" si="34"/>
        <v>39132.255672145213</v>
      </c>
      <c r="K133" s="40">
        <f t="shared" si="34"/>
        <v>47995.138295856043</v>
      </c>
      <c r="L133" s="40">
        <f t="shared" si="34"/>
        <v>57682.921964192989</v>
      </c>
      <c r="M133" s="40">
        <f t="shared" si="34"/>
        <v>68282.773417890436</v>
      </c>
      <c r="N133" s="40">
        <f t="shared" si="34"/>
        <v>79852.420613638242</v>
      </c>
      <c r="O133" s="40">
        <f t="shared" si="34"/>
        <v>92226.170282514184</v>
      </c>
      <c r="P133" s="40">
        <f t="shared" si="34"/>
        <v>105618.14891755005</v>
      </c>
      <c r="Q133" s="40">
        <f t="shared" si="34"/>
        <v>120087.74766349622</v>
      </c>
      <c r="R133" s="40">
        <f t="shared" si="34"/>
        <v>135695.86276289032</v>
      </c>
      <c r="S133" s="40">
        <f t="shared" si="34"/>
        <v>152506.23321618754</v>
      </c>
      <c r="T133" s="40">
        <f t="shared" si="34"/>
        <v>170585.55998474156</v>
      </c>
      <c r="U133" s="40">
        <f t="shared" si="34"/>
        <v>189979.06735937492</v>
      </c>
      <c r="V133" s="40">
        <f t="shared" si="34"/>
        <v>210816.10310950462</v>
      </c>
      <c r="W133" s="40">
        <f t="shared" si="34"/>
        <v>233141.50922095886</v>
      </c>
      <c r="X133" s="40">
        <f t="shared" si="34"/>
        <v>257037.74329593894</v>
      </c>
      <c r="Y133" s="40">
        <f t="shared" si="34"/>
        <v>282599.26501660206</v>
      </c>
      <c r="Z133" s="40">
        <f t="shared" si="34"/>
        <v>309902.00119377841</v>
      </c>
      <c r="AA133" s="40">
        <f t="shared" si="34"/>
        <v>339034.60205286217</v>
      </c>
      <c r="AB133" s="40">
        <f t="shared" si="34"/>
        <v>370092.36914175149</v>
      </c>
      <c r="AC133" s="40">
        <f t="shared" si="34"/>
        <v>403176.78297297296</v>
      </c>
      <c r="AD133" s="40">
        <f t="shared" si="34"/>
        <v>438389.93870238896</v>
      </c>
      <c r="AE133" s="40">
        <f t="shared" si="34"/>
        <v>475815.9096362213</v>
      </c>
      <c r="AF133" s="40">
        <f t="shared" si="34"/>
        <v>515617.62783509924</v>
      </c>
      <c r="AG133" s="40">
        <f t="shared" si="34"/>
        <v>557888.63457080303</v>
      </c>
      <c r="AH133" s="40">
        <f t="shared" si="34"/>
        <v>602752.59593036631</v>
      </c>
    </row>
    <row r="134" spans="1:34" s="278" customFormat="1" x14ac:dyDescent="0.2">
      <c r="A134" s="324"/>
      <c r="B134" s="22"/>
      <c r="C134" s="22"/>
      <c r="D134" s="22"/>
      <c r="E134" s="442"/>
      <c r="F134" s="113">
        <f>IF(F99=1,F103-E103," ")</f>
        <v>4723.0495548194867</v>
      </c>
      <c r="G134" s="113">
        <f t="shared" ref="G134:AH134" si="35">IF(G99=1,G103-F103," ")</f>
        <v>5073.3793368968236</v>
      </c>
      <c r="H134" s="113">
        <f t="shared" si="35"/>
        <v>5550.28057827675</v>
      </c>
      <c r="I134" s="113">
        <f t="shared" si="35"/>
        <v>6436.6386661467805</v>
      </c>
      <c r="J134" s="113">
        <f t="shared" si="35"/>
        <v>7295.974488524651</v>
      </c>
      <c r="K134" s="113">
        <f t="shared" si="35"/>
        <v>8071.7930777151705</v>
      </c>
      <c r="L134" s="113">
        <f t="shared" si="35"/>
        <v>8872.7288592584591</v>
      </c>
      <c r="M134" s="113">
        <f t="shared" si="35"/>
        <v>9759.5942260558659</v>
      </c>
      <c r="N134" s="113">
        <f t="shared" si="35"/>
        <v>10698.120398586339</v>
      </c>
      <c r="O134" s="113">
        <f t="shared" si="35"/>
        <v>11474.184860776935</v>
      </c>
      <c r="P134" s="113">
        <f t="shared" si="35"/>
        <v>12463.426032346368</v>
      </c>
      <c r="Q134" s="113">
        <f t="shared" si="35"/>
        <v>13510.621020797727</v>
      </c>
      <c r="R134" s="113">
        <f t="shared" si="35"/>
        <v>14617.220242724507</v>
      </c>
      <c r="S134" s="113">
        <f t="shared" si="35"/>
        <v>15786.009787574178</v>
      </c>
      <c r="T134" s="113">
        <f t="shared" si="35"/>
        <v>17019.892890474905</v>
      </c>
      <c r="U134" s="113">
        <f t="shared" si="35"/>
        <v>18297.332025388809</v>
      </c>
      <c r="V134" s="113">
        <f t="shared" si="35"/>
        <v>19702.387610736449</v>
      </c>
      <c r="W134" s="113">
        <f t="shared" si="35"/>
        <v>21150.48852057723</v>
      </c>
      <c r="X134" s="113">
        <f t="shared" si="35"/>
        <v>22676.139188317728</v>
      </c>
      <c r="Y134" s="113">
        <f t="shared" si="35"/>
        <v>24281.491849607439</v>
      </c>
      <c r="Z134" s="113">
        <f t="shared" si="35"/>
        <v>25971.86252280022</v>
      </c>
      <c r="AA134" s="113">
        <f t="shared" si="35"/>
        <v>27753.800923428498</v>
      </c>
      <c r="AB134" s="113">
        <f t="shared" si="35"/>
        <v>29628.880361559917</v>
      </c>
      <c r="AC134" s="113">
        <f t="shared" si="35"/>
        <v>31600.969065990299</v>
      </c>
      <c r="AD134" s="113">
        <f t="shared" si="35"/>
        <v>33675.057790239458</v>
      </c>
      <c r="AE134" s="113">
        <f t="shared" si="35"/>
        <v>35830.808037937444</v>
      </c>
      <c r="AF134" s="113">
        <f t="shared" si="35"/>
        <v>38146.988722418027</v>
      </c>
      <c r="AG134" s="113">
        <f t="shared" si="35"/>
        <v>40554.115993898129</v>
      </c>
      <c r="AH134" s="113">
        <f t="shared" si="35"/>
        <v>43082.218274502899</v>
      </c>
    </row>
    <row r="135" spans="1:34" s="278" customFormat="1" x14ac:dyDescent="0.2">
      <c r="A135" s="324"/>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s="278" customFormat="1" x14ac:dyDescent="0.2">
      <c r="A136" s="324"/>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s="278" customFormat="1" x14ac:dyDescent="0.2">
      <c r="A137" s="324"/>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s="278" customFormat="1" x14ac:dyDescent="0.2">
      <c r="A138" s="324"/>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s="278" customFormat="1" x14ac:dyDescent="0.2">
      <c r="A139" s="324"/>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s="278" customFormat="1" x14ac:dyDescent="0.2">
      <c r="A140" s="324"/>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s="278" customFormat="1" x14ac:dyDescent="0.2">
      <c r="A141" s="324"/>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s="18" customFormat="1" ht="19" x14ac:dyDescent="0.25">
      <c r="A142" s="316"/>
      <c r="B142" s="485" t="str">
        <f>'Assumptions - General'!$E$26</f>
        <v>Ruritania Railway Infrastructure Company</v>
      </c>
      <c r="C142" s="316"/>
      <c r="D142" s="316"/>
      <c r="E142" s="316"/>
      <c r="F142" s="316"/>
      <c r="G142" s="316"/>
      <c r="H142" s="316"/>
      <c r="I142" s="316"/>
      <c r="J142" s="316"/>
      <c r="K142" s="316"/>
      <c r="L142" s="316"/>
      <c r="M142" s="316"/>
      <c r="N142" s="316"/>
      <c r="O142" s="316"/>
      <c r="P142" s="316"/>
      <c r="Q142" s="316"/>
      <c r="R142" s="316"/>
      <c r="S142" s="316"/>
      <c r="T142" s="316"/>
      <c r="U142" s="316"/>
      <c r="V142" s="316"/>
      <c r="W142" s="316"/>
      <c r="X142" s="316"/>
      <c r="Y142" s="316"/>
      <c r="Z142" s="316"/>
      <c r="AA142" s="316"/>
      <c r="AB142" s="316"/>
      <c r="AC142" s="316"/>
      <c r="AD142" s="316"/>
      <c r="AE142" s="316"/>
      <c r="AF142" s="316"/>
      <c r="AG142" s="316"/>
      <c r="AH142" s="316"/>
    </row>
    <row r="143" spans="1:34" s="18" customFormat="1" x14ac:dyDescent="0.2">
      <c r="A143" s="316"/>
      <c r="B143" s="315"/>
      <c r="C143" s="316"/>
      <c r="D143" s="316"/>
      <c r="E143" s="316"/>
      <c r="F143" s="316"/>
      <c r="G143" s="316"/>
      <c r="H143" s="316"/>
      <c r="I143" s="316"/>
      <c r="J143" s="316"/>
      <c r="K143" s="316"/>
      <c r="L143" s="316"/>
      <c r="M143" s="316"/>
      <c r="N143" s="316"/>
      <c r="O143" s="316"/>
      <c r="P143" s="316"/>
      <c r="Q143" s="316"/>
      <c r="R143" s="316"/>
      <c r="S143" s="316"/>
      <c r="T143" s="316"/>
      <c r="U143" s="316"/>
      <c r="V143" s="316"/>
      <c r="W143" s="316"/>
      <c r="X143" s="316"/>
      <c r="Y143" s="316"/>
      <c r="Z143" s="316"/>
      <c r="AA143" s="316"/>
      <c r="AB143" s="316"/>
      <c r="AC143" s="316"/>
      <c r="AD143" s="316"/>
      <c r="AE143" s="316"/>
      <c r="AF143" s="316"/>
      <c r="AG143" s="316"/>
      <c r="AH143" s="316"/>
    </row>
    <row r="144" spans="1:34" s="20" customFormat="1" hidden="1" x14ac:dyDescent="0.2">
      <c r="A144" s="316"/>
      <c r="B144" s="7" t="s">
        <v>226</v>
      </c>
      <c r="C144" s="8"/>
      <c r="D144" s="8"/>
      <c r="E144" s="29">
        <f>Calculations!E19</f>
        <v>1</v>
      </c>
      <c r="F144" s="29">
        <f>Calculations!F19</f>
        <v>1</v>
      </c>
      <c r="G144" s="29">
        <f>Calculations!G19</f>
        <v>1</v>
      </c>
      <c r="H144" s="29">
        <f>Calculations!H19</f>
        <v>1</v>
      </c>
      <c r="I144" s="29">
        <f>Calculations!I19</f>
        <v>1</v>
      </c>
      <c r="J144" s="29">
        <f>Calculations!J19</f>
        <v>1</v>
      </c>
      <c r="K144" s="29">
        <f>Calculations!K19</f>
        <v>1</v>
      </c>
      <c r="L144" s="29">
        <f>Calculations!L19</f>
        <v>1</v>
      </c>
      <c r="M144" s="29">
        <f>Calculations!M19</f>
        <v>1</v>
      </c>
      <c r="N144" s="29">
        <f>Calculations!N19</f>
        <v>1</v>
      </c>
      <c r="O144" s="29">
        <f>Calculations!O19</f>
        <v>1</v>
      </c>
      <c r="P144" s="29">
        <f>Calculations!P19</f>
        <v>1</v>
      </c>
      <c r="Q144" s="29">
        <f>Calculations!Q19</f>
        <v>1</v>
      </c>
      <c r="R144" s="29">
        <f>Calculations!R19</f>
        <v>1</v>
      </c>
      <c r="S144" s="29">
        <f>Calculations!S19</f>
        <v>1</v>
      </c>
      <c r="T144" s="29">
        <f>Calculations!T19</f>
        <v>1</v>
      </c>
      <c r="U144" s="29">
        <f>Calculations!U19</f>
        <v>1</v>
      </c>
      <c r="V144" s="29">
        <f>Calculations!V19</f>
        <v>1</v>
      </c>
      <c r="W144" s="29">
        <f>Calculations!W19</f>
        <v>1</v>
      </c>
      <c r="X144" s="29">
        <f>Calculations!X19</f>
        <v>1</v>
      </c>
      <c r="Y144" s="29">
        <f>Calculations!Y19</f>
        <v>1</v>
      </c>
      <c r="Z144" s="29">
        <f>Calculations!Z19</f>
        <v>1</v>
      </c>
      <c r="AA144" s="29">
        <f>Calculations!AA19</f>
        <v>1</v>
      </c>
      <c r="AB144" s="29">
        <f>Calculations!AB19</f>
        <v>1</v>
      </c>
      <c r="AC144" s="29">
        <f>Calculations!AC19</f>
        <v>1</v>
      </c>
      <c r="AD144" s="29">
        <f>Calculations!AD19</f>
        <v>1</v>
      </c>
      <c r="AE144" s="29">
        <f>Calculations!AE19</f>
        <v>1</v>
      </c>
      <c r="AF144" s="29">
        <f>Calculations!AF19</f>
        <v>1</v>
      </c>
      <c r="AG144" s="29">
        <f>Calculations!AG19</f>
        <v>1</v>
      </c>
      <c r="AH144" s="29">
        <f>Calculations!AH19</f>
        <v>1</v>
      </c>
    </row>
    <row r="145" spans="1:35" s="278" customFormat="1" x14ac:dyDescent="0.2">
      <c r="A145" s="316"/>
      <c r="B145" s="22"/>
      <c r="C145" s="22"/>
      <c r="D145" s="22"/>
      <c r="E145" s="2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row>
    <row r="146" spans="1:35" s="20" customFormat="1" x14ac:dyDescent="0.2">
      <c r="A146" s="316"/>
      <c r="B146" s="19" t="s">
        <v>68</v>
      </c>
    </row>
    <row r="147" spans="1:35" s="277" customFormat="1" x14ac:dyDescent="0.2">
      <c r="A147" s="316"/>
      <c r="B147" s="23" t="s">
        <v>69</v>
      </c>
      <c r="C147" s="24"/>
      <c r="D147" s="2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row>
    <row r="148" spans="1:35" s="277" customFormat="1" x14ac:dyDescent="0.2">
      <c r="A148" s="316"/>
      <c r="B148" s="25" t="s">
        <v>70</v>
      </c>
      <c r="C148" s="24"/>
      <c r="D148" s="24"/>
      <c r="E148" s="35">
        <f>IF(E144=1,Calculations!E1209,0)</f>
        <v>100</v>
      </c>
      <c r="F148" s="35">
        <f>IF(F144=1,Calculations!F1209,0)</f>
        <v>8217.9507387507656</v>
      </c>
      <c r="G148" s="35">
        <f>IF(G144=1,Calculations!G1209,0)</f>
        <v>16612.847185709041</v>
      </c>
      <c r="H148" s="35">
        <f>IF(H144=1,Calculations!H1209,0)</f>
        <v>25520.291583953698</v>
      </c>
      <c r="I148" s="35">
        <f>IF(I144=1,Calculations!I1209,0)</f>
        <v>35176.780343975981</v>
      </c>
      <c r="J148" s="35">
        <f>IF(J144=1,Calculations!J1209,0)</f>
        <v>45510.7620400698</v>
      </c>
      <c r="K148" s="35">
        <f>IF(K144=1,Calculations!K1209,0)</f>
        <v>57143.988786399175</v>
      </c>
      <c r="L148" s="35">
        <f>IF(L144=1,Calculations!L1209,0)</f>
        <v>69638.860153404894</v>
      </c>
      <c r="M148" s="35">
        <f>IF(M144=1,Calculations!M1209,0)</f>
        <v>82925.766443951608</v>
      </c>
      <c r="N148" s="35">
        <f>IF(N144=1,Calculations!N1209,0)</f>
        <v>97041.181277517899</v>
      </c>
      <c r="O148" s="35">
        <f>IF(O144=1,Calculations!O1209,0)</f>
        <v>111836.09595003974</v>
      </c>
      <c r="P148" s="35">
        <f>IF(P144=1,Calculations!P1209,0)</f>
        <v>127471.3581032064</v>
      </c>
      <c r="Q148" s="35">
        <f>IF(Q144=1,Calculations!Q1209,0)</f>
        <v>143998.75104556329</v>
      </c>
      <c r="R148" s="35">
        <f>IF(R144=1,Calculations!R1209,0)</f>
        <v>161457.91250795822</v>
      </c>
      <c r="S148" s="35">
        <f>IF(S144=1,Calculations!S1209,0)</f>
        <v>179891.36566663304</v>
      </c>
      <c r="T148" s="35">
        <f>IF(T144=1,Calculations!T1209,0)</f>
        <v>199341.3998126908</v>
      </c>
      <c r="U148" s="35">
        <f>IF(U144=1,Calculations!U1209,0)</f>
        <v>219795.67002423387</v>
      </c>
      <c r="V148" s="35">
        <f>IF(V144=1,Calculations!V1209,0)</f>
        <v>241420.40931435322</v>
      </c>
      <c r="W148" s="35">
        <f>IF(W144=1,Calculations!W1209,0)</f>
        <v>264203.9648912074</v>
      </c>
      <c r="X148" s="35">
        <f>IF(X144=1,Calculations!X1209,0)</f>
        <v>288197.12335368624</v>
      </c>
      <c r="Y148" s="35">
        <f>IF(Y144=1,Calculations!Y1209,0)</f>
        <v>313452.68562651786</v>
      </c>
      <c r="Z148" s="35">
        <f>IF(Z144=1,Calculations!Z1209,0)</f>
        <v>340025.54223807831</v>
      </c>
      <c r="AA148" s="35">
        <f>IF(AA144=1,Calculations!AA1209,0)</f>
        <v>367972.75130370329</v>
      </c>
      <c r="AB148" s="35">
        <f>IF(AB144=1,Calculations!AB1209,0)</f>
        <v>397353.61930906842</v>
      </c>
      <c r="AC148" s="35">
        <f>IF(AC144=1,Calculations!AC1209,0)</f>
        <v>428229.78479145386</v>
      </c>
      <c r="AD148" s="35">
        <f>IF(AD144=1,Calculations!AD1209,0)</f>
        <v>460665.30502006435</v>
      </c>
      <c r="AE148" s="35">
        <f>IF(AE144=1,Calculations!AE1209,0)</f>
        <v>494726.74578004365</v>
      </c>
      <c r="AF148" s="35">
        <f>IF(AF144=1,Calculations!AF1209,0)</f>
        <v>530483.27436840441</v>
      </c>
      <c r="AG148" s="35">
        <f>IF(AG144=1,Calculations!AG1209,0)</f>
        <v>568006.37987758161</v>
      </c>
      <c r="AH148" s="35">
        <f>IF(AH144=1,Calculations!AH1209,0)</f>
        <v>607366.2662845978</v>
      </c>
      <c r="AI148" s="404"/>
    </row>
    <row r="149" spans="1:35" s="277" customFormat="1" x14ac:dyDescent="0.2">
      <c r="A149" s="316"/>
      <c r="B149" s="25" t="s">
        <v>71</v>
      </c>
      <c r="C149" s="24"/>
      <c r="D149" s="24"/>
      <c r="E149" s="35">
        <f>IF(E144=1,Calculations!E1190,0)</f>
        <v>5000</v>
      </c>
      <c r="F149" s="35">
        <f>IF(F144=1,Calculations!F1190,0)</f>
        <v>5229.2219236809406</v>
      </c>
      <c r="G149" s="35">
        <f>IF(G144=1,Calculations!G1190,0)</f>
        <v>5386.0985813913676</v>
      </c>
      <c r="H149" s="35">
        <f>IF(H144=1,Calculations!H1190,0)</f>
        <v>5672.7265876582551</v>
      </c>
      <c r="I149" s="35">
        <f>IF(I144=1,Calculations!I1190,0)</f>
        <v>6100.5011858678017</v>
      </c>
      <c r="J149" s="35">
        <f>IF(J144=1,Calculations!J1190,0)</f>
        <v>6416.1765137424318</v>
      </c>
      <c r="K149" s="35">
        <f>IF(K144=1,Calculations!K1190,0)</f>
        <v>7198.1294269503933</v>
      </c>
      <c r="L149" s="35">
        <f>IF(L144=1,Calculations!L1190,0)</f>
        <v>7554.8126138584867</v>
      </c>
      <c r="M149" s="35">
        <f>IF(M144=1,Calculations!M1190,0)</f>
        <v>7926.4184754968119</v>
      </c>
      <c r="N149" s="35">
        <f>IF(N144=1,Calculations!N1190,0)</f>
        <v>8313.5213574809623</v>
      </c>
      <c r="O149" s="35">
        <f>IF(O144=1,Calculations!O1190,0)</f>
        <v>8716.716635756211</v>
      </c>
      <c r="P149" s="35">
        <f>IF(P144=1,Calculations!P1190,0)</f>
        <v>9136.6214615062472</v>
      </c>
      <c r="Q149" s="35">
        <f>IF(Q144=1,Calculations!Q1190,0)</f>
        <v>9573.8755318291005</v>
      </c>
      <c r="R149" s="35">
        <f>IF(R144=1,Calculations!R1190,0)</f>
        <v>10029.141887055972</v>
      </c>
      <c r="S149" s="35">
        <f>IF(S144=1,Calculations!S1190,0)</f>
        <v>10503.10773561781</v>
      </c>
      <c r="T149" s="35">
        <f>IF(T144=1,Calculations!T1190,0)</f>
        <v>10996.485307395005</v>
      </c>
      <c r="U149" s="35">
        <f>IF(U144=1,Calculations!U1190,0)</f>
        <v>11510.012736516779</v>
      </c>
      <c r="V149" s="35">
        <f>IF(V144=1,Calculations!V1190,0)</f>
        <v>12044.454974609205</v>
      </c>
      <c r="W149" s="35">
        <f>IF(W144=1,Calculations!W1190,0)</f>
        <v>12600.604735524308</v>
      </c>
      <c r="X149" s="35">
        <f>IF(X144=1,Calculations!X1190,0)</f>
        <v>13179.283472617168</v>
      </c>
      <c r="Y149" s="35">
        <f>IF(Y144=1,Calculations!Y1190,0)</f>
        <v>13781.342389673635</v>
      </c>
      <c r="Z149" s="35">
        <f>IF(Z144=1,Calculations!Z1190,0)</f>
        <v>14407.663486628127</v>
      </c>
      <c r="AA149" s="35">
        <f>IF(AA144=1,Calculations!AA1190,0)</f>
        <v>15059.160641249186</v>
      </c>
      <c r="AB149" s="35">
        <f>IF(AB144=1,Calculations!AB1190,0)</f>
        <v>15736.780728009542</v>
      </c>
      <c r="AC149" s="35">
        <f>IF(AC144=1,Calculations!AC1190,0)</f>
        <v>16441.504775398396</v>
      </c>
      <c r="AD149" s="35">
        <f>IF(AD144=1,Calculations!AD1190,0)</f>
        <v>17174.34916297537</v>
      </c>
      <c r="AE149" s="35">
        <f>IF(AE144=1,Calculations!AE1190,0)</f>
        <v>17936.366859509104</v>
      </c>
      <c r="AF149" s="35">
        <f>IF(AF144=1,Calculations!AF1190,0)</f>
        <v>18728.648703588184</v>
      </c>
      <c r="AG149" s="35">
        <f>IF(AG144=1,Calculations!AG1190,0)</f>
        <v>19552.324728138457</v>
      </c>
      <c r="AH149" s="35">
        <f>IF(AH144=1,Calculations!AH1190,0)</f>
        <v>20408.565530328513</v>
      </c>
      <c r="AI149" s="404"/>
    </row>
    <row r="150" spans="1:35" s="277" customFormat="1" x14ac:dyDescent="0.2">
      <c r="A150" s="316"/>
      <c r="B150" s="25" t="s">
        <v>72</v>
      </c>
      <c r="C150" s="24"/>
      <c r="D150" s="24"/>
      <c r="E150" s="35">
        <f>IF(E$144=1,Calculations!E1194,0)</f>
        <v>100</v>
      </c>
      <c r="F150" s="35">
        <f>IF(F$144=1,Calculations!F1194,0)</f>
        <v>104.31497713414633</v>
      </c>
      <c r="G150" s="35">
        <f>IF(G$144=1,Calculations!G1194,0)</f>
        <v>107.12098132621952</v>
      </c>
      <c r="H150" s="35">
        <f>IF(H$144=1,Calculations!H1194,0)</f>
        <v>112.56254119664636</v>
      </c>
      <c r="I150" s="35">
        <f>IF(I$144=1,Calculations!I1194,0)</f>
        <v>120.87209704954272</v>
      </c>
      <c r="J150" s="35">
        <f>IF(J$144=1,Calculations!J1194,0)</f>
        <v>126.86187135489527</v>
      </c>
      <c r="K150" s="35">
        <f>IF(K$144=1,Calculations!K1194,0)</f>
        <v>142.04398794265532</v>
      </c>
      <c r="L150" s="35">
        <f>IF(L$144=1,Calculations!L1194,0)</f>
        <v>148.76599271564555</v>
      </c>
      <c r="M150" s="35">
        <f>IF(M$144=1,Calculations!M1194,0)</f>
        <v>155.76347818586683</v>
      </c>
      <c r="N150" s="35">
        <f>IF(N$144=1,Calculations!N1194,0)</f>
        <v>163.0469233908573</v>
      </c>
      <c r="O150" s="35">
        <f>IF(O$144=1,Calculations!O1194,0)</f>
        <v>170.62718817777991</v>
      </c>
      <c r="P150" s="35">
        <f>IF(P$144=1,Calculations!P1194,0)</f>
        <v>178.51552662086613</v>
      </c>
      <c r="Q150" s="35">
        <f>IF(Q$144=1,Calculations!Q1194,0)</f>
        <v>186.72360090117749</v>
      </c>
      <c r="R150" s="35">
        <f>IF(R$144=1,Calculations!R1194,0)</f>
        <v>195.26349566434874</v>
      </c>
      <c r="S150" s="35">
        <f>IF(S$144=1,Calculations!S1194,0)</f>
        <v>204.14773287249929</v>
      </c>
      <c r="T150" s="35">
        <f>IF(T$144=1,Calculations!T1194,0)</f>
        <v>213.38928716704086</v>
      </c>
      <c r="U150" s="35">
        <f>IF(U$144=1,Calculations!U1194,0)</f>
        <v>223.00160175966977</v>
      </c>
      <c r="V150" s="35">
        <f>IF(V$144=1,Calculations!V1194,0)</f>
        <v>232.99860486940599</v>
      </c>
      <c r="W150" s="35">
        <f>IF(W$144=1,Calculations!W1194,0)</f>
        <v>243.39472672414269</v>
      </c>
      <c r="X150" s="35">
        <f>IF(X$144=1,Calculations!X1194,0)</f>
        <v>254.20491714578122</v>
      </c>
      <c r="Y150" s="35">
        <f>IF(Y$144=1,Calculations!Y1194,0)</f>
        <v>265.44466373866624</v>
      </c>
      <c r="Z150" s="35">
        <f>IF(Z$144=1,Calculations!Z1194,0)</f>
        <v>277.13001070169315</v>
      </c>
      <c r="AA150" s="35">
        <f>IF(AA$144=1,Calculations!AA1194,0)</f>
        <v>289.27757828513694</v>
      </c>
      <c r="AB150" s="35">
        <f>IF(AB$144=1,Calculations!AB1194,0)</f>
        <v>301.90458291395584</v>
      </c>
      <c r="AC150" s="35">
        <f>IF(AC$144=1,Calculations!AC1194,0)</f>
        <v>315.02885800004719</v>
      </c>
      <c r="AD150" s="35">
        <f>IF(AD$144=1,Calculations!AD1194,0)</f>
        <v>328.66887546668141</v>
      </c>
      <c r="AE150" s="35">
        <f>IF(AE$144=1,Calculations!AE1194,0)</f>
        <v>342.84376800911377</v>
      </c>
      <c r="AF150" s="35">
        <f>IF(AF$144=1,Calculations!AF1194,0)</f>
        <v>357.57335211617192</v>
      </c>
      <c r="AG150" s="35">
        <f>IF(AG$144=1,Calculations!AG1194,0)</f>
        <v>372.87815187844546</v>
      </c>
      <c r="AH150" s="35">
        <f>IF(AH$144=1,Calculations!AH1194,0)</f>
        <v>388.77942360955086</v>
      </c>
      <c r="AI150" s="404"/>
    </row>
    <row r="151" spans="1:35" s="277" customFormat="1" x14ac:dyDescent="0.2">
      <c r="A151" s="316"/>
      <c r="B151" s="25" t="s">
        <v>288</v>
      </c>
      <c r="C151" s="24"/>
      <c r="D151" s="24"/>
      <c r="E151" s="35">
        <f>IF(E$144=1,Calculations!E1195,0)</f>
        <v>100</v>
      </c>
      <c r="F151" s="35">
        <f>IF(F$144=1,Calculations!F1195,0)</f>
        <v>100.85714285714288</v>
      </c>
      <c r="G151" s="35">
        <f>IF(G$144=1,Calculations!G1195,0)</f>
        <v>101.74000000000002</v>
      </c>
      <c r="H151" s="35">
        <f>IF(H$144=1,Calculations!H1195,0)</f>
        <v>102.64934285714287</v>
      </c>
      <c r="I151" s="35">
        <f>IF(I$144=1,Calculations!I1195,0)</f>
        <v>103.58596600000001</v>
      </c>
      <c r="J151" s="35">
        <f>IF(J$144=1,Calculations!J1195,0)</f>
        <v>104.55068783714287</v>
      </c>
      <c r="K151" s="35">
        <f>IF(K$144=1,Calculations!K1195,0)</f>
        <v>105.54435132940002</v>
      </c>
      <c r="L151" s="35">
        <f>IF(L$144=1,Calculations!L1195,0)</f>
        <v>106.56782472642487</v>
      </c>
      <c r="M151" s="35">
        <f>IF(M$144=1,Calculations!M1195,0)</f>
        <v>107.62200232536047</v>
      </c>
      <c r="N151" s="35">
        <f>IF(N$144=1,Calculations!N1195,0)</f>
        <v>108.70780525226415</v>
      </c>
      <c r="O151" s="35">
        <f>IF(O$144=1,Calculations!O1195,0)</f>
        <v>109.82618226697493</v>
      </c>
      <c r="P151" s="35">
        <f>IF(P$144=1,Calculations!P1195,0)</f>
        <v>110.97811059212704</v>
      </c>
      <c r="Q151" s="35">
        <f>IF(Q$144=1,Calculations!Q1195,0)</f>
        <v>112.1645967670337</v>
      </c>
      <c r="R151" s="35">
        <f>IF(R$144=1,Calculations!R1195,0)</f>
        <v>113.38667752718757</v>
      </c>
      <c r="S151" s="35">
        <f>IF(S$144=1,Calculations!S1195,0)</f>
        <v>114.64542071014604</v>
      </c>
      <c r="T151" s="35">
        <f>IF(T$144=1,Calculations!T1195,0)</f>
        <v>115.94192618859329</v>
      </c>
      <c r="U151" s="35">
        <f>IF(U$144=1,Calculations!U1195,0)</f>
        <v>117.27732683139394</v>
      </c>
      <c r="V151" s="35">
        <f>IF(V$144=1,Calculations!V1195,0)</f>
        <v>118.65278949347862</v>
      </c>
      <c r="W151" s="35">
        <f>IF(W$144=1,Calculations!W1195,0)</f>
        <v>120.06951603542583</v>
      </c>
      <c r="X151" s="35">
        <f>IF(X$144=1,Calculations!X1195,0)</f>
        <v>121.52874437363148</v>
      </c>
      <c r="Y151" s="35">
        <f>IF(Y$144=1,Calculations!Y1195,0)</f>
        <v>123.03174956198328</v>
      </c>
      <c r="Z151" s="35">
        <f>IF(Z$144=1,Calculations!Z1195,0)</f>
        <v>124.57984490598564</v>
      </c>
      <c r="AA151" s="35">
        <f>IF(AA$144=1,Calculations!AA1195,0)</f>
        <v>126.17438311030807</v>
      </c>
      <c r="AB151" s="35">
        <f>IF(AB$144=1,Calculations!AB1195,0)</f>
        <v>127.81675746076017</v>
      </c>
      <c r="AC151" s="35">
        <f>IF(AC$144=1,Calculations!AC1195,0)</f>
        <v>129.50840304172581</v>
      </c>
      <c r="AD151" s="35">
        <f>IF(AD$144=1,Calculations!AD1195,0)</f>
        <v>131.25079799012045</v>
      </c>
      <c r="AE151" s="35">
        <f>IF(AE$144=1,Calculations!AE1195,0)</f>
        <v>133.04546478696693</v>
      </c>
      <c r="AF151" s="35">
        <f>IF(AF$144=1,Calculations!AF1195,0)</f>
        <v>134.89397158771877</v>
      </c>
      <c r="AG151" s="35">
        <f>IF(AG$144=1,Calculations!AG1195,0)</f>
        <v>136.79793359249322</v>
      </c>
      <c r="AH151" s="35">
        <f>IF(AH$144=1,Calculations!AH1195,0)</f>
        <v>138.7590144574109</v>
      </c>
      <c r="AI151" s="404"/>
    </row>
    <row r="152" spans="1:35" s="277" customFormat="1" x14ac:dyDescent="0.2">
      <c r="A152" s="316"/>
      <c r="B152" s="24"/>
      <c r="C152" s="24"/>
      <c r="D152" s="24"/>
      <c r="E152" s="43">
        <f>IF(E144=1,SUM(E148:E151),0)</f>
        <v>5300</v>
      </c>
      <c r="F152" s="43">
        <f t="shared" ref="F152:AH152" si="36">IF(F144=1,SUM(F148:F151),0)</f>
        <v>13652.344782422995</v>
      </c>
      <c r="G152" s="43">
        <f t="shared" si="36"/>
        <v>22207.806748426632</v>
      </c>
      <c r="H152" s="43">
        <f t="shared" si="36"/>
        <v>31408.230055665743</v>
      </c>
      <c r="I152" s="43">
        <f t="shared" si="36"/>
        <v>41501.739592893326</v>
      </c>
      <c r="J152" s="43">
        <f t="shared" si="36"/>
        <v>52158.351113004268</v>
      </c>
      <c r="K152" s="43">
        <f t="shared" si="36"/>
        <v>64589.706552621625</v>
      </c>
      <c r="L152" s="43">
        <f t="shared" si="36"/>
        <v>77449.006584705465</v>
      </c>
      <c r="M152" s="43">
        <f t="shared" si="36"/>
        <v>91115.570399959644</v>
      </c>
      <c r="N152" s="43">
        <f t="shared" si="36"/>
        <v>105626.45736364198</v>
      </c>
      <c r="O152" s="43">
        <f t="shared" si="36"/>
        <v>120833.26595624071</v>
      </c>
      <c r="P152" s="43">
        <f t="shared" si="36"/>
        <v>136897.47320192563</v>
      </c>
      <c r="Q152" s="43">
        <f t="shared" si="36"/>
        <v>153871.51477506058</v>
      </c>
      <c r="R152" s="43">
        <f t="shared" si="36"/>
        <v>171795.70456820572</v>
      </c>
      <c r="S152" s="43">
        <f t="shared" si="36"/>
        <v>190713.26655583348</v>
      </c>
      <c r="T152" s="43">
        <f t="shared" si="36"/>
        <v>210667.21633344144</v>
      </c>
      <c r="U152" s="43">
        <f t="shared" si="36"/>
        <v>231645.9616893417</v>
      </c>
      <c r="V152" s="43">
        <f t="shared" si="36"/>
        <v>253816.5156833253</v>
      </c>
      <c r="W152" s="43">
        <f t="shared" si="36"/>
        <v>277168.03386949131</v>
      </c>
      <c r="X152" s="43">
        <f t="shared" si="36"/>
        <v>301752.14048782282</v>
      </c>
      <c r="Y152" s="43">
        <f t="shared" si="36"/>
        <v>327622.50442949217</v>
      </c>
      <c r="Z152" s="43">
        <f t="shared" si="36"/>
        <v>354834.91558031418</v>
      </c>
      <c r="AA152" s="43">
        <f t="shared" si="36"/>
        <v>383447.36390634795</v>
      </c>
      <c r="AB152" s="43">
        <f t="shared" si="36"/>
        <v>413520.12137745268</v>
      </c>
      <c r="AC152" s="43">
        <f t="shared" si="36"/>
        <v>445115.82682789408</v>
      </c>
      <c r="AD152" s="43">
        <f t="shared" si="36"/>
        <v>478299.57385649654</v>
      </c>
      <c r="AE152" s="43">
        <f t="shared" si="36"/>
        <v>513139.00187234883</v>
      </c>
      <c r="AF152" s="43">
        <f t="shared" si="36"/>
        <v>549704.39039569651</v>
      </c>
      <c r="AG152" s="43">
        <f t="shared" si="36"/>
        <v>588068.38069119107</v>
      </c>
      <c r="AH152" s="43">
        <f t="shared" si="36"/>
        <v>628302.37025299342</v>
      </c>
      <c r="AI152" s="404"/>
    </row>
    <row r="153" spans="1:35" s="277" customFormat="1" x14ac:dyDescent="0.2">
      <c r="A153" s="316"/>
      <c r="B153" s="23" t="s">
        <v>145</v>
      </c>
      <c r="C153" s="24"/>
      <c r="D153" s="24"/>
      <c r="E153" s="35"/>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404"/>
    </row>
    <row r="154" spans="1:35" s="277" customFormat="1" x14ac:dyDescent="0.2">
      <c r="A154" s="316"/>
      <c r="B154" s="25" t="s">
        <v>74</v>
      </c>
      <c r="C154" s="24"/>
      <c r="D154" s="24"/>
      <c r="E154" s="35">
        <f>IF(E144=1,Calculations!E946+Calculations!E962+Calculations!E978+Calculations!E994+Calculations!E1010+Calculations!E1026,0)</f>
        <v>1100</v>
      </c>
      <c r="F154" s="35">
        <f>IF(F144=1,Calculations!F946+Calculations!F962+Calculations!F978+Calculations!F994+Calculations!F1010+Calculations!F1026,0)</f>
        <v>1154.6810625353708</v>
      </c>
      <c r="G154" s="35">
        <f>IF(G144=1,Calculations!G946+Calculations!G962+Calculations!G978+Calculations!G994+Calculations!G1010+Calculations!G1026,0)</f>
        <v>1348.3277051443797</v>
      </c>
      <c r="H154" s="35">
        <f>IF(H144=1,Calculations!H946+Calculations!H962+Calculations!H978+Calculations!H994+Calculations!H1010+Calculations!H1026,0)</f>
        <v>1530.2960543092399</v>
      </c>
      <c r="I154" s="35">
        <f>IF(I144=1,Calculations!I946+Calculations!I962+Calculations!I978+Calculations!I994+Calculations!I1010+Calculations!I1026,0)</f>
        <v>1705.5861100299519</v>
      </c>
      <c r="J154" s="35">
        <f>IF(J144=1,Calculations!J946+Calculations!J962+Calculations!J978+Calculations!J994+Calculations!J1010+Calculations!J1026,0)</f>
        <v>1869.1978723065154</v>
      </c>
      <c r="K154" s="35">
        <f>IF(K144=1,Calculations!K946+Calculations!K962+Calculations!K978+Calculations!K994+Calculations!K1010+Calculations!K1026,0)</f>
        <v>2021.1313411389306</v>
      </c>
      <c r="L154" s="35">
        <f>IF(L144=1,Calculations!L946+Calculations!L962+Calculations!L978+Calculations!L994+Calculations!L1010+Calculations!L1026,0)</f>
        <v>2161.3865165271973</v>
      </c>
      <c r="M154" s="35">
        <f>IF(M144=1,Calculations!M946+Calculations!M962+Calculations!M978+Calculations!M994+Calculations!M1010+Calculations!M1026,0)</f>
        <v>2289.9633984713155</v>
      </c>
      <c r="N154" s="35">
        <f>IF(N144=1,Calculations!N946+Calculations!N962+Calculations!N978+Calculations!N994+Calculations!N1010+Calculations!N1026,0)</f>
        <v>2407.0688593415516</v>
      </c>
      <c r="O154" s="35">
        <f>IF(O144=1,Calculations!O946+Calculations!O962+Calculations!O978+Calculations!O994+Calculations!O1010+Calculations!O1026,0)</f>
        <v>2512.4434320972327</v>
      </c>
      <c r="P154" s="35">
        <f>IF(P144=1,Calculations!P946+Calculations!P962+Calculations!P978+Calculations!P994+Calculations!P1010+Calculations!P1026,0)</f>
        <v>2610.9784210861844</v>
      </c>
      <c r="Q154" s="35">
        <f>IF(Q144=1,Calculations!Q946+Calculations!Q962+Calculations!Q978+Calculations!Q994+Calculations!Q1010+Calculations!Q1026,0)</f>
        <v>2701.6738263084071</v>
      </c>
      <c r="R154" s="35">
        <f>IF(R144=1,Calculations!R946+Calculations!R962+Calculations!R978+Calculations!R994+Calculations!R1010+Calculations!R1026,0)</f>
        <v>2790.3050100827422</v>
      </c>
      <c r="S154" s="35">
        <f>IF(S144=1,Calculations!S946+Calculations!S962+Calculations!S978+Calculations!S994+Calculations!S1010+Calculations!S1026,0)</f>
        <v>2867.8719724091879</v>
      </c>
      <c r="T154" s="35">
        <f>IF(T144=1,Calculations!T946+Calculations!T962+Calculations!T978+Calculations!T994+Calculations!T1010+Calculations!T1026,0)</f>
        <v>2947.5792587422911</v>
      </c>
      <c r="U154" s="35">
        <f>IF(U144=1,Calculations!U946+Calculations!U962+Calculations!U978+Calculations!U994+Calculations!U1010+Calculations!U1026,0)</f>
        <v>3015.0613387790213</v>
      </c>
      <c r="V154" s="35">
        <f>IF(V144=1,Calculations!V946+Calculations!V962+Calculations!V978+Calculations!V994+Calculations!V1010+Calculations!V1026,0)</f>
        <v>3070.3182125193766</v>
      </c>
      <c r="W154" s="35">
        <f>IF(W144=1,Calculations!W946+Calculations!W962+Calculations!W978+Calculations!W994+Calculations!W1010+Calculations!W1026,0)</f>
        <v>3113.3498799633599</v>
      </c>
      <c r="X154" s="35">
        <f>IF(X144=1,Calculations!X946+Calculations!X962+Calculations!X978+Calculations!X994+Calculations!X1010+Calculations!X1026,0)</f>
        <v>3144.1563411109696</v>
      </c>
      <c r="Y154" s="35">
        <f>IF(Y144=1,Calculations!Y946+Calculations!Y962+Calculations!Y978+Calculations!Y994+Calculations!Y1010+Calculations!Y1026,0)</f>
        <v>3162.7375959622054</v>
      </c>
      <c r="Z154" s="35">
        <f>IF(Z144=1,Calculations!Z946+Calculations!Z962+Calculations!Z978+Calculations!Z994+Calculations!Z1010+Calculations!Z1026,0)</f>
        <v>3169.0936445170682</v>
      </c>
      <c r="AA154" s="35">
        <f>IF(AA144=1,Calculations!AA946+Calculations!AA962+Calculations!AA978+Calculations!AA994+Calculations!AA1010+Calculations!AA1026,0)</f>
        <v>3163.224486775558</v>
      </c>
      <c r="AB154" s="35">
        <f>IF(AB144=1,Calculations!AB946+Calculations!AB962+Calculations!AB978+Calculations!AB994+Calculations!AB1010+Calculations!AB1026,0)</f>
        <v>3145.1301227376748</v>
      </c>
      <c r="AC154" s="35">
        <f>IF(AC144=1,Calculations!AC946+Calculations!AC962+Calculations!AC978+Calculations!AC994+Calculations!AC1010+Calculations!AC1026,0)</f>
        <v>3114.8105524034177</v>
      </c>
      <c r="AD154" s="35">
        <f>IF(AD144=1,Calculations!AD946+Calculations!AD962+Calculations!AD978+Calculations!AD994+Calculations!AD1010+Calculations!AD1026,0)</f>
        <v>3072.265775772787</v>
      </c>
      <c r="AE154" s="35">
        <f>IF(AE144=1,Calculations!AE946+Calculations!AE962+Calculations!AE978+Calculations!AE994+Calculations!AE1010+Calculations!AE1026,0)</f>
        <v>3017.4957928457829</v>
      </c>
      <c r="AF154" s="35">
        <f>IF(AF144=1,Calculations!AF946+Calculations!AF962+Calculations!AF978+Calculations!AF994+Calculations!AF1010+Calculations!AF1026,0)</f>
        <v>2950.5006036224058</v>
      </c>
      <c r="AG154" s="35">
        <f>IF(AG144=1,Calculations!AG946+Calculations!AG962+Calculations!AG978+Calculations!AG994+Calculations!AG1010+Calculations!AG1026,0)</f>
        <v>2875.6394758372089</v>
      </c>
      <c r="AH154" s="35">
        <f>IF(AH144=1,Calculations!AH946+Calculations!AH962+Calculations!AH978+Calculations!AH994+Calculations!AH1010+Calculations!AH1026,0)</f>
        <v>2847.3056207792852</v>
      </c>
      <c r="AI154" s="404"/>
    </row>
    <row r="155" spans="1:35" s="277" customFormat="1" x14ac:dyDescent="0.2">
      <c r="A155" s="316"/>
      <c r="B155" s="25" t="s">
        <v>328</v>
      </c>
      <c r="C155" s="24"/>
      <c r="D155" s="24"/>
      <c r="E155" s="35">
        <f>IF(E144=1,'Assumptions - Infrastructure'!E111,0)</f>
        <v>10</v>
      </c>
      <c r="F155" s="35">
        <f>IF(F144=1,'Assumptions - Infrastructure'!F111,0)</f>
        <v>10</v>
      </c>
      <c r="G155" s="35">
        <f>IF(G144=1,'Assumptions - Infrastructure'!G111,0)</f>
        <v>10</v>
      </c>
      <c r="H155" s="35">
        <f>IF(H144=1,'Assumptions - Infrastructure'!H111,0)</f>
        <v>10</v>
      </c>
      <c r="I155" s="35">
        <f>IF(I144=1,'Assumptions - Infrastructure'!I111,0)</f>
        <v>10</v>
      </c>
      <c r="J155" s="35">
        <f>IF(J144=1,'Assumptions - Infrastructure'!J111,0)</f>
        <v>10</v>
      </c>
      <c r="K155" s="35">
        <f>IF(K144=1,'Assumptions - Infrastructure'!K111,0)</f>
        <v>10</v>
      </c>
      <c r="L155" s="35">
        <f>IF(L144=1,'Assumptions - Infrastructure'!L111,0)</f>
        <v>10</v>
      </c>
      <c r="M155" s="35">
        <f>IF(M144=1,'Assumptions - Infrastructure'!M111,0)</f>
        <v>10</v>
      </c>
      <c r="N155" s="35">
        <f>IF(N144=1,'Assumptions - Infrastructure'!N111,0)</f>
        <v>10</v>
      </c>
      <c r="O155" s="35">
        <f>IF(O144=1,'Assumptions - Infrastructure'!O111,0)</f>
        <v>10</v>
      </c>
      <c r="P155" s="35">
        <f>IF(P144=1,'Assumptions - Infrastructure'!P111,0)</f>
        <v>10</v>
      </c>
      <c r="Q155" s="35">
        <f>IF(Q144=1,'Assumptions - Infrastructure'!Q111,0)</f>
        <v>10</v>
      </c>
      <c r="R155" s="35">
        <f>IF(R144=1,'Assumptions - Infrastructure'!R111,0)</f>
        <v>10</v>
      </c>
      <c r="S155" s="35">
        <f>IF(S144=1,'Assumptions - Infrastructure'!S111,0)</f>
        <v>10</v>
      </c>
      <c r="T155" s="35">
        <f>IF(T144=1,'Assumptions - Infrastructure'!T111,0)</f>
        <v>10</v>
      </c>
      <c r="U155" s="35">
        <f>IF(U144=1,'Assumptions - Infrastructure'!U111,0)</f>
        <v>10</v>
      </c>
      <c r="V155" s="35">
        <f>IF(V144=1,'Assumptions - Infrastructure'!V111,0)</f>
        <v>10</v>
      </c>
      <c r="W155" s="35">
        <f>IF(W144=1,'Assumptions - Infrastructure'!W111,0)</f>
        <v>10</v>
      </c>
      <c r="X155" s="35">
        <f>IF(X144=1,'Assumptions - Infrastructure'!X111,0)</f>
        <v>10</v>
      </c>
      <c r="Y155" s="35">
        <f>IF(Y144=1,'Assumptions - Infrastructure'!Y111,0)</f>
        <v>10</v>
      </c>
      <c r="Z155" s="35">
        <f>IF(Z144=1,'Assumptions - Infrastructure'!Z111,0)</f>
        <v>10</v>
      </c>
      <c r="AA155" s="35">
        <f>IF(AA144=1,'Assumptions - Infrastructure'!AA111,0)</f>
        <v>10</v>
      </c>
      <c r="AB155" s="35">
        <f>IF(AB144=1,'Assumptions - Infrastructure'!AB111,0)</f>
        <v>10</v>
      </c>
      <c r="AC155" s="35">
        <f>IF(AC144=1,'Assumptions - Infrastructure'!AC111,0)</f>
        <v>10</v>
      </c>
      <c r="AD155" s="35">
        <f>IF(AD144=1,'Assumptions - Infrastructure'!AD111,0)</f>
        <v>10</v>
      </c>
      <c r="AE155" s="35">
        <f>IF(AE144=1,'Assumptions - Infrastructure'!AE111,0)</f>
        <v>10</v>
      </c>
      <c r="AF155" s="35">
        <f>IF(AF144=1,'Assumptions - Infrastructure'!AF111,0)</f>
        <v>10</v>
      </c>
      <c r="AG155" s="35">
        <f>IF(AG144=1,'Assumptions - Infrastructure'!AG111,0)</f>
        <v>10</v>
      </c>
      <c r="AH155" s="35">
        <f>IF(AH144=1,'Assumptions - Infrastructure'!AH111,0)</f>
        <v>10</v>
      </c>
      <c r="AI155" s="404"/>
    </row>
    <row r="156" spans="1:35" s="277" customFormat="1" x14ac:dyDescent="0.2">
      <c r="A156" s="316"/>
      <c r="B156" s="24"/>
      <c r="C156" s="24"/>
      <c r="D156" s="24"/>
      <c r="E156" s="43">
        <f>IF(E144=1,SUM(E154:E155),0)</f>
        <v>1110</v>
      </c>
      <c r="F156" s="43">
        <f t="shared" ref="F156:AH156" si="37">IF(F144=1,SUM(F154:F155),0)</f>
        <v>1164.6810625353708</v>
      </c>
      <c r="G156" s="43">
        <f t="shared" si="37"/>
        <v>1358.3277051443797</v>
      </c>
      <c r="H156" s="43">
        <f t="shared" si="37"/>
        <v>1540.2960543092399</v>
      </c>
      <c r="I156" s="43">
        <f t="shared" si="37"/>
        <v>1715.5861100299519</v>
      </c>
      <c r="J156" s="43">
        <f t="shared" si="37"/>
        <v>1879.1978723065154</v>
      </c>
      <c r="K156" s="43">
        <f t="shared" si="37"/>
        <v>2031.1313411389306</v>
      </c>
      <c r="L156" s="43">
        <f t="shared" si="37"/>
        <v>2171.3865165271973</v>
      </c>
      <c r="M156" s="43">
        <f t="shared" si="37"/>
        <v>2299.9633984713155</v>
      </c>
      <c r="N156" s="43">
        <f t="shared" si="37"/>
        <v>2417.0688593415516</v>
      </c>
      <c r="O156" s="43">
        <f t="shared" si="37"/>
        <v>2522.4434320972327</v>
      </c>
      <c r="P156" s="43">
        <f t="shared" si="37"/>
        <v>2620.9784210861844</v>
      </c>
      <c r="Q156" s="43">
        <f t="shared" si="37"/>
        <v>2711.6738263084071</v>
      </c>
      <c r="R156" s="43">
        <f t="shared" si="37"/>
        <v>2800.3050100827422</v>
      </c>
      <c r="S156" s="43">
        <f t="shared" si="37"/>
        <v>2877.8719724091879</v>
      </c>
      <c r="T156" s="43">
        <f t="shared" si="37"/>
        <v>2957.5792587422911</v>
      </c>
      <c r="U156" s="43">
        <f t="shared" si="37"/>
        <v>3025.0613387790213</v>
      </c>
      <c r="V156" s="43">
        <f t="shared" si="37"/>
        <v>3080.3182125193766</v>
      </c>
      <c r="W156" s="43">
        <f t="shared" si="37"/>
        <v>3123.3498799633599</v>
      </c>
      <c r="X156" s="43">
        <f t="shared" si="37"/>
        <v>3154.1563411109696</v>
      </c>
      <c r="Y156" s="43">
        <f t="shared" si="37"/>
        <v>3172.7375959622054</v>
      </c>
      <c r="Z156" s="43">
        <f t="shared" si="37"/>
        <v>3179.0936445170682</v>
      </c>
      <c r="AA156" s="43">
        <f t="shared" si="37"/>
        <v>3173.224486775558</v>
      </c>
      <c r="AB156" s="43">
        <f t="shared" si="37"/>
        <v>3155.1301227376748</v>
      </c>
      <c r="AC156" s="43">
        <f t="shared" si="37"/>
        <v>3124.8105524034177</v>
      </c>
      <c r="AD156" s="43">
        <f t="shared" si="37"/>
        <v>3082.265775772787</v>
      </c>
      <c r="AE156" s="43">
        <f t="shared" si="37"/>
        <v>3027.4957928457829</v>
      </c>
      <c r="AF156" s="43">
        <f t="shared" si="37"/>
        <v>2960.5006036224058</v>
      </c>
      <c r="AG156" s="43">
        <f t="shared" si="37"/>
        <v>2885.6394758372089</v>
      </c>
      <c r="AH156" s="43">
        <f t="shared" si="37"/>
        <v>2857.3056207792852</v>
      </c>
      <c r="AI156" s="404"/>
    </row>
    <row r="157" spans="1:35" s="277" customFormat="1" ht="16" thickBot="1" x14ac:dyDescent="0.25">
      <c r="A157" s="316"/>
      <c r="B157" s="26" t="s">
        <v>75</v>
      </c>
      <c r="C157" s="24"/>
      <c r="D157" s="24"/>
      <c r="E157" s="40">
        <f>IF(E144=1,E152+E156,0)</f>
        <v>6410</v>
      </c>
      <c r="F157" s="40">
        <f t="shared" ref="F157:AH157" si="38">IF(F144=1,F152+F156,0)</f>
        <v>14817.025844958365</v>
      </c>
      <c r="G157" s="40">
        <f t="shared" si="38"/>
        <v>23566.134453571012</v>
      </c>
      <c r="H157" s="40">
        <f t="shared" si="38"/>
        <v>32948.526109974984</v>
      </c>
      <c r="I157" s="40">
        <f t="shared" si="38"/>
        <v>43217.325702923277</v>
      </c>
      <c r="J157" s="40">
        <f t="shared" si="38"/>
        <v>54037.548985310787</v>
      </c>
      <c r="K157" s="40">
        <f t="shared" si="38"/>
        <v>66620.837893760559</v>
      </c>
      <c r="L157" s="40">
        <f t="shared" si="38"/>
        <v>79620.393101232665</v>
      </c>
      <c r="M157" s="40">
        <f t="shared" si="38"/>
        <v>93415.533798430959</v>
      </c>
      <c r="N157" s="40">
        <f t="shared" si="38"/>
        <v>108043.52622298354</v>
      </c>
      <c r="O157" s="40">
        <f t="shared" si="38"/>
        <v>123355.70938833794</v>
      </c>
      <c r="P157" s="40">
        <f t="shared" si="38"/>
        <v>139518.45162301182</v>
      </c>
      <c r="Q157" s="40">
        <f t="shared" si="38"/>
        <v>156583.18860136898</v>
      </c>
      <c r="R157" s="40">
        <f t="shared" si="38"/>
        <v>174596.00957828847</v>
      </c>
      <c r="S157" s="40">
        <f t="shared" si="38"/>
        <v>193591.13852824268</v>
      </c>
      <c r="T157" s="40">
        <f t="shared" si="38"/>
        <v>213624.79559218371</v>
      </c>
      <c r="U157" s="40">
        <f t="shared" si="38"/>
        <v>234671.02302812072</v>
      </c>
      <c r="V157" s="40">
        <f t="shared" si="38"/>
        <v>256896.83389584467</v>
      </c>
      <c r="W157" s="40">
        <f t="shared" si="38"/>
        <v>280291.38374945469</v>
      </c>
      <c r="X157" s="40">
        <f t="shared" si="38"/>
        <v>304906.29682893382</v>
      </c>
      <c r="Y157" s="40">
        <f t="shared" si="38"/>
        <v>330795.24202545435</v>
      </c>
      <c r="Z157" s="40">
        <f t="shared" si="38"/>
        <v>358014.00922483124</v>
      </c>
      <c r="AA157" s="40">
        <f t="shared" si="38"/>
        <v>386620.58839312353</v>
      </c>
      <c r="AB157" s="40">
        <f t="shared" si="38"/>
        <v>416675.25150019035</v>
      </c>
      <c r="AC157" s="40">
        <f t="shared" si="38"/>
        <v>448240.63738029747</v>
      </c>
      <c r="AD157" s="40">
        <f t="shared" si="38"/>
        <v>481381.83963226934</v>
      </c>
      <c r="AE157" s="40">
        <f t="shared" si="38"/>
        <v>516166.49766519462</v>
      </c>
      <c r="AF157" s="40">
        <f t="shared" si="38"/>
        <v>552664.89099931892</v>
      </c>
      <c r="AG157" s="40">
        <f t="shared" si="38"/>
        <v>590954.0201670283</v>
      </c>
      <c r="AH157" s="40">
        <f t="shared" si="38"/>
        <v>631159.67587377271</v>
      </c>
      <c r="AI157" s="404"/>
    </row>
    <row r="158" spans="1:35" s="277" customFormat="1" x14ac:dyDescent="0.2">
      <c r="A158" s="316"/>
      <c r="B158" s="24"/>
      <c r="C158" s="24"/>
      <c r="D158" s="24"/>
      <c r="E158" s="432"/>
      <c r="F158" s="51"/>
      <c r="G158" s="51"/>
      <c r="H158" s="51"/>
      <c r="I158" s="51"/>
      <c r="J158" s="51"/>
      <c r="K158" s="51"/>
      <c r="L158" s="51"/>
      <c r="M158" s="51"/>
      <c r="N158" s="51"/>
      <c r="O158" s="51"/>
      <c r="P158" s="51"/>
      <c r="Q158" s="51"/>
      <c r="R158" s="51"/>
      <c r="S158" s="51"/>
      <c r="T158" s="51"/>
      <c r="U158" s="51"/>
      <c r="V158" s="51"/>
      <c r="W158" s="51"/>
      <c r="X158" s="51"/>
      <c r="Y158" s="51"/>
      <c r="Z158" s="342"/>
      <c r="AA158" s="342"/>
      <c r="AB158" s="342"/>
      <c r="AC158" s="342"/>
      <c r="AD158" s="342"/>
      <c r="AE158" s="342"/>
      <c r="AF158" s="342"/>
      <c r="AG158" s="342"/>
      <c r="AH158" s="342"/>
    </row>
    <row r="159" spans="1:35" s="277" customFormat="1" x14ac:dyDescent="0.2">
      <c r="A159" s="316"/>
      <c r="B159" s="24"/>
      <c r="C159" s="24"/>
      <c r="D159" s="24"/>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row>
    <row r="160" spans="1:35" s="20" customFormat="1" x14ac:dyDescent="0.2">
      <c r="A160" s="316"/>
      <c r="B160" s="19" t="s">
        <v>76</v>
      </c>
      <c r="G160" s="53"/>
      <c r="H160" s="53"/>
      <c r="I160" s="53"/>
      <c r="J160" s="53"/>
      <c r="K160" s="53"/>
      <c r="L160" s="53"/>
      <c r="M160" s="53"/>
      <c r="N160" s="53"/>
    </row>
    <row r="161" spans="1:34" s="277" customFormat="1" x14ac:dyDescent="0.2">
      <c r="A161" s="316"/>
      <c r="B161" s="23" t="s">
        <v>77</v>
      </c>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row>
    <row r="162" spans="1:34" s="277" customFormat="1" x14ac:dyDescent="0.2">
      <c r="A162" s="316"/>
      <c r="B162" s="25" t="s">
        <v>78</v>
      </c>
      <c r="C162" s="24"/>
      <c r="D162" s="24"/>
      <c r="E162" s="35">
        <f>IF(E$144=1,Calculations!E1196,0)</f>
        <v>500</v>
      </c>
      <c r="F162" s="35">
        <f>IF(F$144=1,Calculations!F1196,0)</f>
        <v>528.30024136178872</v>
      </c>
      <c r="G162" s="35">
        <f>IF(G$144=1,Calculations!G1196,0)</f>
        <v>554.25305812645195</v>
      </c>
      <c r="H162" s="35">
        <f>IF(H$144=1,Calculations!H1196,0)</f>
        <v>586.77559990744794</v>
      </c>
      <c r="I162" s="35">
        <f>IF(I$144=1,Calculations!I1196,0)</f>
        <v>637.12246498130821</v>
      </c>
      <c r="J162" s="35">
        <f>IF(J$144=1,Calculations!J1196,0)</f>
        <v>662.05838595569185</v>
      </c>
      <c r="K162" s="35">
        <f>IF(K$144=1,Calculations!K1196,0)</f>
        <v>707.66298974611573</v>
      </c>
      <c r="L162" s="35">
        <f>IF(L$144=1,Calculations!L1196,0)</f>
        <v>735.06970130726256</v>
      </c>
      <c r="M162" s="35">
        <f>IF(M$144=1,Calculations!M1196,0)</f>
        <v>763.48391887130674</v>
      </c>
      <c r="N162" s="35">
        <f>IF(N$144=1,Calculations!N1196,0)</f>
        <v>792.94142675801686</v>
      </c>
      <c r="O162" s="35">
        <f>IF(O$144=1,Calculations!O1196,0)</f>
        <v>823.47924959094541</v>
      </c>
      <c r="P162" s="35">
        <f>IF(P$144=1,Calculations!P1196,0)</f>
        <v>855.13569450976763</v>
      </c>
      <c r="Q162" s="35">
        <f>IF(Q$144=1,Calculations!Q1196,0)</f>
        <v>887.95039479908735</v>
      </c>
      <c r="R162" s="35">
        <f>IF(R$144=1,Calculations!R1196,0)</f>
        <v>921.9643549807073</v>
      </c>
      <c r="S162" s="35">
        <f>IF(S$144=1,Calculations!S1196,0)</f>
        <v>957.21999741790535</v>
      </c>
      <c r="T162" s="35">
        <f>IF(T$144=1,Calculations!T1196,0)</f>
        <v>993.76121048185257</v>
      </c>
      <c r="U162" s="35">
        <f>IF(U$144=1,Calculations!U1196,0)</f>
        <v>1031.6333983319605</v>
      </c>
      <c r="V162" s="35">
        <f>IF(V$144=1,Calculations!V1196,0)</f>
        <v>1070.8835323636415</v>
      </c>
      <c r="W162" s="35">
        <f>IF(W$144=1,Calculations!W1196,0)</f>
        <v>1111.5602043787244</v>
      </c>
      <c r="X162" s="35">
        <f>IF(X$144=1,Calculations!X1196,0)</f>
        <v>1153.7136815355848</v>
      </c>
      <c r="Y162" s="35">
        <f>IF(Y$144=1,Calculations!Y1196,0)</f>
        <v>1197.3959631379162</v>
      </c>
      <c r="Z162" s="35">
        <f>IF(Z$144=1,Calculations!Z1196,0)</f>
        <v>1242.6608393230056</v>
      </c>
      <c r="AA162" s="35">
        <f>IF(AA$144=1,Calculations!AA1196,0)</f>
        <v>1289.5639517123761</v>
      </c>
      <c r="AB162" s="35">
        <f>IF(AB$144=1,Calculations!AB1196,0)</f>
        <v>1338.1628560897186</v>
      </c>
      <c r="AC162" s="35">
        <f>IF(AC$144=1,Calculations!AC1196,0)</f>
        <v>1388.5170871731593</v>
      </c>
      <c r="AD162" s="35">
        <f>IF(AD$144=1,Calculations!AD1196,0)</f>
        <v>1440.6882255511266</v>
      </c>
      <c r="AE162" s="35">
        <f>IF(AE$144=1,Calculations!AE1196,0)</f>
        <v>1494.7399668533155</v>
      </c>
      <c r="AF162" s="35">
        <f>IF(AF$144=1,Calculations!AF1196,0)</f>
        <v>1550.7381932306405</v>
      </c>
      <c r="AG162" s="35">
        <f>IF(AG$144=1,Calculations!AG1196,0)</f>
        <v>1608.7510472204367</v>
      </c>
      <c r="AH162" s="35">
        <f>IF(AH$144=1,Calculations!AH1196,0)</f>
        <v>1668.8490080757131</v>
      </c>
    </row>
    <row r="163" spans="1:34" s="277" customFormat="1" x14ac:dyDescent="0.2">
      <c r="A163" s="316"/>
      <c r="B163" s="25" t="s">
        <v>290</v>
      </c>
      <c r="C163" s="24"/>
      <c r="D163" s="24"/>
      <c r="E163" s="35">
        <f>IF(E$144=1,Calculations!E1197,0)</f>
        <v>100</v>
      </c>
      <c r="F163" s="35">
        <f>IF(F$144=1,Calculations!F1197,0)</f>
        <v>103</v>
      </c>
      <c r="G163" s="35">
        <f>IF(G$144=1,Calculations!G1197,0)</f>
        <v>106.09</v>
      </c>
      <c r="H163" s="35">
        <f>IF(H$144=1,Calculations!H1197,0)</f>
        <v>109.2727</v>
      </c>
      <c r="I163" s="35">
        <f>IF(I$144=1,Calculations!I1197,0)</f>
        <v>112.55088099999999</v>
      </c>
      <c r="J163" s="35">
        <f>IF(J$144=1,Calculations!J1197,0)</f>
        <v>115.92740742999999</v>
      </c>
      <c r="K163" s="35">
        <f>IF(K$144=1,Calculations!K1197,0)</f>
        <v>119.4052296529</v>
      </c>
      <c r="L163" s="35">
        <f>IF(L$144=1,Calculations!L1197,0)</f>
        <v>122.98738654248702</v>
      </c>
      <c r="M163" s="35">
        <f>IF(M$144=1,Calculations!M1197,0)</f>
        <v>126.67700813876162</v>
      </c>
      <c r="N163" s="35">
        <f>IF(N$144=1,Calculations!N1197,0)</f>
        <v>130.47731838292447</v>
      </c>
      <c r="O163" s="35">
        <f>IF(O$144=1,Calculations!O1197,0)</f>
        <v>134.39163793441222</v>
      </c>
      <c r="P163" s="35">
        <f>IF(P$144=1,Calculations!P1197,0)</f>
        <v>138.4233870724446</v>
      </c>
      <c r="Q163" s="35">
        <f>IF(Q$144=1,Calculations!Q1197,0)</f>
        <v>142.57608868461793</v>
      </c>
      <c r="R163" s="35">
        <f>IF(R$144=1,Calculations!R1197,0)</f>
        <v>146.85337134515646</v>
      </c>
      <c r="S163" s="35">
        <f>IF(S$144=1,Calculations!S1197,0)</f>
        <v>151.25897248551115</v>
      </c>
      <c r="T163" s="35">
        <f>IF(T$144=1,Calculations!T1197,0)</f>
        <v>155.79674166007646</v>
      </c>
      <c r="U163" s="35">
        <f>IF(U$144=1,Calculations!U1197,0)</f>
        <v>160.47064390987876</v>
      </c>
      <c r="V163" s="35">
        <f>IF(V$144=1,Calculations!V1197,0)</f>
        <v>165.28476322717512</v>
      </c>
      <c r="W163" s="35">
        <f>IF(W$144=1,Calculations!W1197,0)</f>
        <v>170.24330612399041</v>
      </c>
      <c r="X163" s="35">
        <f>IF(X$144=1,Calculations!X1197,0)</f>
        <v>175.35060530771011</v>
      </c>
      <c r="Y163" s="35">
        <f>IF(Y$144=1,Calculations!Y1197,0)</f>
        <v>180.61112346694145</v>
      </c>
      <c r="Z163" s="35">
        <f>IF(Z$144=1,Calculations!Z1197,0)</f>
        <v>186.02945717094968</v>
      </c>
      <c r="AA163" s="35">
        <f>IF(AA$144=1,Calculations!AA1197,0)</f>
        <v>191.61034088607818</v>
      </c>
      <c r="AB163" s="35">
        <f>IF(AB$144=1,Calculations!AB1197,0)</f>
        <v>197.35865111266054</v>
      </c>
      <c r="AC163" s="35">
        <f>IF(AC$144=1,Calculations!AC1197,0)</f>
        <v>203.27941064604039</v>
      </c>
      <c r="AD163" s="35">
        <f>IF(AD$144=1,Calculations!AD1197,0)</f>
        <v>209.37779296542158</v>
      </c>
      <c r="AE163" s="35">
        <f>IF(AE$144=1,Calculations!AE1197,0)</f>
        <v>215.65912675438418</v>
      </c>
      <c r="AF163" s="35">
        <f>IF(AF$144=1,Calculations!AF1197,0)</f>
        <v>222.1289005570157</v>
      </c>
      <c r="AG163" s="35">
        <f>IF(AG$144=1,Calculations!AG1197,0)</f>
        <v>228.79276757372622</v>
      </c>
      <c r="AH163" s="35">
        <f>IF(AH$144=1,Calculations!AH1197,0)</f>
        <v>235.656550600938</v>
      </c>
    </row>
    <row r="164" spans="1:34" s="277" customFormat="1" x14ac:dyDescent="0.2">
      <c r="A164" s="316"/>
      <c r="B164" s="25" t="s">
        <v>418</v>
      </c>
      <c r="C164" s="24"/>
      <c r="D164" s="24"/>
      <c r="E164" s="35">
        <f>IF(E144=1,Calculations!F1227+Calculations!F1243+Calculations!F1259+Calculations!F1285+Calculations!F1315+Calculations!F1345+Calculations!F1375,0)</f>
        <v>10</v>
      </c>
      <c r="F164" s="35">
        <f>IF(F144=1,Calculations!G1227+Calculations!G1243+Calculations!G1259+Calculations!G1285+Calculations!G1315+Calculations!G1345+Calculations!G1375,0)</f>
        <v>35</v>
      </c>
      <c r="G164" s="35">
        <f>IF(G144=1,Calculations!H1227+Calculations!H1243+Calculations!H1259+Calculations!H1285+Calculations!H1315+Calculations!H1345+Calculations!H1375,0)</f>
        <v>22.5</v>
      </c>
      <c r="H164" s="35">
        <f>IF(H144=1,Calculations!I1227+Calculations!I1243+Calculations!I1259+Calculations!I1285+Calculations!I1315+Calculations!I1345+Calculations!I1375,0)</f>
        <v>22.5</v>
      </c>
      <c r="I164" s="35">
        <f>IF(I144=1,Calculations!J1227+Calculations!J1243+Calculations!J1259+Calculations!J1285+Calculations!J1315+Calculations!J1345+Calculations!J1375,0)</f>
        <v>22.5</v>
      </c>
      <c r="J164" s="35">
        <f>IF(J144=1,Calculations!K1227+Calculations!K1243+Calculations!K1259+Calculations!K1285+Calculations!K1315+Calculations!K1345+Calculations!K1375,0)</f>
        <v>22.5</v>
      </c>
      <c r="K164" s="35">
        <f>IF(K144=1,Calculations!L1227+Calculations!L1243+Calculations!L1259+Calculations!L1285+Calculations!L1315+Calculations!L1345+Calculations!L1375,0)</f>
        <v>22.5</v>
      </c>
      <c r="L164" s="35">
        <f>IF(L144=1,Calculations!M1227+Calculations!M1243+Calculations!M1259+Calculations!M1285+Calculations!M1315+Calculations!M1345+Calculations!M1375,0)</f>
        <v>22.5</v>
      </c>
      <c r="M164" s="35">
        <f>IF(M144=1,Calculations!N1227+Calculations!N1243+Calculations!N1259+Calculations!N1285+Calculations!N1315+Calculations!N1345+Calculations!N1375,0)</f>
        <v>22.5</v>
      </c>
      <c r="N164" s="35">
        <f>IF(N144=1,Calculations!O1227+Calculations!O1243+Calculations!O1259+Calculations!O1285+Calculations!O1315+Calculations!O1345+Calculations!O1375,0)</f>
        <v>0</v>
      </c>
      <c r="O164" s="35">
        <f>IF(O144=1,Calculations!P1227+Calculations!P1243+Calculations!P1259+Calculations!P1285+Calculations!P1315+Calculations!P1345+Calculations!P1375,0)</f>
        <v>0</v>
      </c>
      <c r="P164" s="35">
        <f>IF(P144=1,Calculations!Q1227+Calculations!Q1243+Calculations!Q1259+Calculations!Q1285+Calculations!Q1315+Calculations!Q1345+Calculations!Q1375,0)</f>
        <v>0</v>
      </c>
      <c r="Q164" s="35">
        <f>IF(Q144=1,Calculations!R1227+Calculations!R1243+Calculations!R1259+Calculations!R1285+Calculations!R1315+Calculations!R1345+Calculations!R1375,0)</f>
        <v>0</v>
      </c>
      <c r="R164" s="35">
        <f>IF(R144=1,Calculations!S1227+Calculations!S1243+Calculations!S1259+Calculations!S1285+Calculations!S1315+Calculations!S1345+Calculations!S1375,0)</f>
        <v>0</v>
      </c>
      <c r="S164" s="35">
        <f>IF(S144=1,Calculations!T1227+Calculations!T1243+Calculations!T1259+Calculations!T1285+Calculations!T1315+Calculations!T1345+Calculations!T1375,0)</f>
        <v>0</v>
      </c>
      <c r="T164" s="35">
        <f>IF(T144=1,Calculations!U1227+Calculations!U1243+Calculations!U1259+Calculations!U1285+Calculations!U1315+Calculations!U1345+Calculations!U1375,0)</f>
        <v>200</v>
      </c>
      <c r="U164" s="35">
        <f>IF(U144=1,Calculations!V1227+Calculations!V1243+Calculations!V1259+Calculations!V1285+Calculations!V1315+Calculations!V1345+Calculations!V1375,0)</f>
        <v>0</v>
      </c>
      <c r="V164" s="35">
        <f>IF(V144=1,Calculations!W1227+Calculations!W1243+Calculations!W1259+Calculations!W1285+Calculations!W1315+Calculations!W1345+Calculations!W1375,0)</f>
        <v>0</v>
      </c>
      <c r="W164" s="35">
        <f>IF(W144=1,Calculations!X1227+Calculations!X1243+Calculations!X1259+Calculations!X1285+Calculations!X1315+Calculations!X1345+Calculations!X1375,0)</f>
        <v>0</v>
      </c>
      <c r="X164" s="35">
        <f>IF(X144=1,Calculations!Y1227+Calculations!Y1243+Calculations!Y1259+Calculations!Y1285+Calculations!Y1315+Calculations!Y1345+Calculations!Y1375,0)</f>
        <v>0</v>
      </c>
      <c r="Y164" s="35">
        <f>IF(Y144=1,Calculations!Z1227+Calculations!Z1243+Calculations!Z1259+Calculations!Z1285+Calculations!Z1315+Calculations!Z1345+Calculations!Z1375,0)</f>
        <v>0</v>
      </c>
      <c r="Z164" s="35">
        <f>IF(Z144=1,Calculations!AA1227+Calculations!AA1243+Calculations!AA1259+Calculations!AA1285+Calculations!AA1315+Calculations!AA1345+Calculations!AA1375,0)</f>
        <v>0</v>
      </c>
      <c r="AA164" s="35">
        <f>IF(AA144=1,Calculations!AB1227+Calculations!AB1243+Calculations!AB1259+Calculations!AB1285+Calculations!AB1315+Calculations!AB1345+Calculations!AB1375,0)</f>
        <v>0</v>
      </c>
      <c r="AB164" s="35">
        <f>IF(AB144=1,Calculations!AC1227+Calculations!AC1243+Calculations!AC1259+Calculations!AC1285+Calculations!AC1315+Calculations!AC1345+Calculations!AC1375,0)</f>
        <v>0</v>
      </c>
      <c r="AC164" s="35">
        <f>IF(AC144=1,Calculations!AD1227+Calculations!AD1243+Calculations!AD1259+Calculations!AD1285+Calculations!AD1315+Calculations!AD1345+Calculations!AD1375,0)</f>
        <v>0</v>
      </c>
      <c r="AD164" s="35">
        <f>IF(AD144=1,Calculations!AE1227+Calculations!AE1243+Calculations!AE1259+Calculations!AE1285+Calculations!AE1315+Calculations!AE1345+Calculations!AE1375,0)</f>
        <v>0</v>
      </c>
      <c r="AE164" s="35">
        <f>IF(AE144=1,Calculations!AF1227+Calculations!AF1243+Calculations!AF1259+Calculations!AF1285+Calculations!AF1315+Calculations!AF1345+Calculations!AF1375,0)</f>
        <v>0</v>
      </c>
      <c r="AF164" s="35">
        <f>IF(AF144=1,Calculations!AG1227+Calculations!AG1243+Calculations!AG1259+Calculations!AG1285+Calculations!AG1315+Calculations!AG1345+Calculations!AG1375,0)</f>
        <v>0</v>
      </c>
      <c r="AG164" s="35">
        <f>IF(AG144=1,Calculations!AH1227+Calculations!AH1243+Calculations!AH1259+Calculations!AH1285+Calculations!AH1315+Calculations!AH1345+Calculations!AH1375,0)</f>
        <v>0</v>
      </c>
      <c r="AH164" s="35">
        <f>IF(AH144=1,Calculations!AI1227+Calculations!AI1243+Calculations!AI1259+Calculations!AI1285+Calculations!AI1315+Calculations!AI1345+Calculations!AI1375,0)</f>
        <v>0</v>
      </c>
    </row>
    <row r="165" spans="1:34" s="277" customFormat="1" x14ac:dyDescent="0.2">
      <c r="A165" s="316"/>
      <c r="B165" s="24"/>
      <c r="C165" s="24"/>
      <c r="D165" s="24"/>
      <c r="E165" s="43">
        <f>IF(E144=1,SUM(E162:E164),0)</f>
        <v>610</v>
      </c>
      <c r="F165" s="43">
        <f t="shared" ref="F165:AH165" si="39">IF(F144=1,SUM(F162:F164),0)</f>
        <v>666.30024136178872</v>
      </c>
      <c r="G165" s="43">
        <f t="shared" si="39"/>
        <v>682.84305812645198</v>
      </c>
      <c r="H165" s="43">
        <f t="shared" si="39"/>
        <v>718.54829990744793</v>
      </c>
      <c r="I165" s="43">
        <f t="shared" si="39"/>
        <v>772.17334598130822</v>
      </c>
      <c r="J165" s="43">
        <f t="shared" si="39"/>
        <v>800.48579338569186</v>
      </c>
      <c r="K165" s="43">
        <f t="shared" si="39"/>
        <v>849.56821939901579</v>
      </c>
      <c r="L165" s="43">
        <f t="shared" si="39"/>
        <v>880.55708784974956</v>
      </c>
      <c r="M165" s="43">
        <f t="shared" si="39"/>
        <v>912.66092701006835</v>
      </c>
      <c r="N165" s="43">
        <f t="shared" si="39"/>
        <v>923.41874514094138</v>
      </c>
      <c r="O165" s="43">
        <f t="shared" si="39"/>
        <v>957.8708875253576</v>
      </c>
      <c r="P165" s="43">
        <f t="shared" si="39"/>
        <v>993.55908158221223</v>
      </c>
      <c r="Q165" s="43">
        <f t="shared" si="39"/>
        <v>1030.5264834837053</v>
      </c>
      <c r="R165" s="43">
        <f t="shared" si="39"/>
        <v>1068.8177263258638</v>
      </c>
      <c r="S165" s="43">
        <f t="shared" si="39"/>
        <v>1108.4789699034166</v>
      </c>
      <c r="T165" s="43">
        <f t="shared" si="39"/>
        <v>1349.557952141929</v>
      </c>
      <c r="U165" s="43">
        <f t="shared" si="39"/>
        <v>1192.1040422418394</v>
      </c>
      <c r="V165" s="43">
        <f t="shared" si="39"/>
        <v>1236.1682955908166</v>
      </c>
      <c r="W165" s="43">
        <f t="shared" si="39"/>
        <v>1281.8035105027147</v>
      </c>
      <c r="X165" s="43">
        <f t="shared" si="39"/>
        <v>1329.0642868432949</v>
      </c>
      <c r="Y165" s="43">
        <f t="shared" si="39"/>
        <v>1378.0070866048577</v>
      </c>
      <c r="Z165" s="43">
        <f t="shared" si="39"/>
        <v>1428.6902964939552</v>
      </c>
      <c r="AA165" s="43">
        <f t="shared" si="39"/>
        <v>1481.1742925984543</v>
      </c>
      <c r="AB165" s="43">
        <f t="shared" si="39"/>
        <v>1535.5215072023791</v>
      </c>
      <c r="AC165" s="43">
        <f t="shared" si="39"/>
        <v>1591.7964978191997</v>
      </c>
      <c r="AD165" s="43">
        <f t="shared" si="39"/>
        <v>1650.0660185165482</v>
      </c>
      <c r="AE165" s="43">
        <f t="shared" si="39"/>
        <v>1710.3990936076998</v>
      </c>
      <c r="AF165" s="43">
        <f t="shared" si="39"/>
        <v>1772.8670937876561</v>
      </c>
      <c r="AG165" s="43">
        <f t="shared" si="39"/>
        <v>1837.5438147941629</v>
      </c>
      <c r="AH165" s="43">
        <f t="shared" si="39"/>
        <v>1904.5055586766512</v>
      </c>
    </row>
    <row r="166" spans="1:34" s="277" customFormat="1" x14ac:dyDescent="0.2">
      <c r="A166" s="316"/>
      <c r="B166" s="23" t="s">
        <v>144</v>
      </c>
      <c r="C166" s="24"/>
      <c r="D166" s="24"/>
      <c r="E166" s="35"/>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row>
    <row r="167" spans="1:34" s="277" customFormat="1" x14ac:dyDescent="0.2">
      <c r="A167" s="316"/>
      <c r="B167" s="25" t="s">
        <v>79</v>
      </c>
      <c r="C167" s="24"/>
      <c r="D167" s="24"/>
      <c r="E167" s="35">
        <f>IF(E144=1,Calculations!E1228+Calculations!E1244+Calculations!E1260+Calculations!E1287+Calculations!E1317+Calculations!E1347+Calculations!E1377-E164,0)</f>
        <v>192.5</v>
      </c>
      <c r="F167" s="35">
        <f>IF(F144=1,Calculations!F1228+Calculations!F1244+Calculations!F1260+Calculations!F1287+Calculations!F1317+Calculations!F1347+Calculations!F1377-F164,0)</f>
        <v>157.5</v>
      </c>
      <c r="G167" s="35">
        <f>IF(G144=1,Calculations!G1228+Calculations!G1244+Calculations!G1260+Calculations!G1287+Calculations!G1317+Calculations!G1347+Calculations!G1377-G164,0)</f>
        <v>175</v>
      </c>
      <c r="H167" s="35">
        <f>IF(H144=1,Calculations!H1228+Calculations!H1244+Calculations!H1260+Calculations!H1287+Calculations!H1317+Calculations!H1347+Calculations!H1377-H164,0)</f>
        <v>192.5</v>
      </c>
      <c r="I167" s="35">
        <f>IF(I144=1,Calculations!I1228+Calculations!I1244+Calculations!I1260+Calculations!I1287+Calculations!I1317+Calculations!I1347+Calculations!I1377-I164,0)</f>
        <v>210</v>
      </c>
      <c r="J167" s="35">
        <f>IF(J144=1,Calculations!J1228+Calculations!J1244+Calculations!J1260+Calculations!J1287+Calculations!J1317+Calculations!J1347+Calculations!J1377-J164,0)</f>
        <v>227.5</v>
      </c>
      <c r="K167" s="35">
        <f>IF(K144=1,Calculations!K1228+Calculations!K1244+Calculations!K1260+Calculations!K1287+Calculations!K1317+Calculations!K1347+Calculations!K1377-K164,0)</f>
        <v>245</v>
      </c>
      <c r="L167" s="35">
        <f>IF(L144=1,Calculations!L1228+Calculations!L1244+Calculations!L1260+Calculations!L1287+Calculations!L1317+Calculations!L1347+Calculations!L1377-L164,0)</f>
        <v>222.5</v>
      </c>
      <c r="M167" s="35">
        <f>IF(M144=1,Calculations!M1228+Calculations!M1244+Calculations!M1260+Calculations!M1287+Calculations!M1317+Calculations!M1347+Calculations!M1377-M164,0)</f>
        <v>200</v>
      </c>
      <c r="N167" s="35">
        <f>IF(N144=1,Calculations!N1228+Calculations!N1244+Calculations!N1260+Calculations!N1287+Calculations!N1317+Calculations!N1347+Calculations!N1377-N164,0)</f>
        <v>200</v>
      </c>
      <c r="O167" s="35">
        <f>IF(O144=1,Calculations!O1228+Calculations!O1244+Calculations!O1260+Calculations!O1287+Calculations!O1317+Calculations!O1347+Calculations!O1377-O164,0)</f>
        <v>200</v>
      </c>
      <c r="P167" s="35">
        <f>IF(P144=1,Calculations!P1228+Calculations!P1244+Calculations!P1260+Calculations!P1287+Calculations!P1317+Calculations!P1347+Calculations!P1377-P164,0)</f>
        <v>200</v>
      </c>
      <c r="Q167" s="35">
        <f>IF(Q144=1,Calculations!Q1228+Calculations!Q1244+Calculations!Q1260+Calculations!Q1287+Calculations!Q1317+Calculations!Q1347+Calculations!Q1377-Q164,0)</f>
        <v>200</v>
      </c>
      <c r="R167" s="35">
        <f>IF(R144=1,Calculations!R1228+Calculations!R1244+Calculations!R1260+Calculations!R1287+Calculations!R1317+Calculations!R1347+Calculations!R1377-R164,0)</f>
        <v>200</v>
      </c>
      <c r="S167" s="35">
        <f>IF(S144=1,Calculations!S1228+Calculations!S1244+Calculations!S1260+Calculations!S1287+Calculations!S1317+Calculations!S1347+Calculations!S1377-S164,0)</f>
        <v>200</v>
      </c>
      <c r="T167" s="35">
        <f>IF(T144=1,Calculations!T1228+Calculations!T1244+Calculations!T1260+Calculations!T1287+Calculations!T1317+Calculations!T1347+Calculations!T1377-T164,0)</f>
        <v>0</v>
      </c>
      <c r="U167" s="35">
        <f>IF(U144=1,Calculations!U1228+Calculations!U1244+Calculations!U1260+Calculations!U1287+Calculations!U1317+Calculations!U1347+Calculations!U1377-U164,0)</f>
        <v>0</v>
      </c>
      <c r="V167" s="35">
        <f>IF(V144=1,Calculations!V1228+Calculations!V1244+Calculations!V1260+Calculations!V1287+Calculations!V1317+Calculations!V1347+Calculations!V1377-V164,0)</f>
        <v>0</v>
      </c>
      <c r="W167" s="35">
        <f>IF(W144=1,Calculations!W1228+Calculations!W1244+Calculations!W1260+Calculations!W1287+Calculations!W1317+Calculations!W1347+Calculations!W1377-W164,0)</f>
        <v>0</v>
      </c>
      <c r="X167" s="35">
        <f>IF(X144=1,Calculations!X1228+Calculations!X1244+Calculations!X1260+Calculations!X1287+Calculations!X1317+Calculations!X1347+Calculations!X1377-X164,0)</f>
        <v>0</v>
      </c>
      <c r="Y167" s="35">
        <f>IF(Y144=1,Calculations!Y1228+Calculations!Y1244+Calculations!Y1260+Calculations!Y1287+Calculations!Y1317+Calculations!Y1347+Calculations!Y1377-Y164,0)</f>
        <v>0</v>
      </c>
      <c r="Z167" s="35">
        <f>IF(Z144=1,Calculations!Z1228+Calculations!Z1244+Calculations!Z1260+Calculations!Z1287+Calculations!Z1317+Calculations!Z1347+Calculations!Z1377-Z164,0)</f>
        <v>0</v>
      </c>
      <c r="AA167" s="35">
        <f>IF(AA144=1,Calculations!AA1228+Calculations!AA1244+Calculations!AA1260+Calculations!AA1287+Calculations!AA1317+Calculations!AA1347+Calculations!AA1377-AA164,0)</f>
        <v>0</v>
      </c>
      <c r="AB167" s="35">
        <f>IF(AB144=1,Calculations!AB1228+Calculations!AB1244+Calculations!AB1260+Calculations!AB1287+Calculations!AB1317+Calculations!AB1347+Calculations!AB1377-AB164,0)</f>
        <v>0</v>
      </c>
      <c r="AC167" s="35">
        <f>IF(AC144=1,Calculations!AC1228+Calculations!AC1244+Calculations!AC1260+Calculations!AC1287+Calculations!AC1317+Calculations!AC1347+Calculations!AC1377-AC164,0)</f>
        <v>0</v>
      </c>
      <c r="AD167" s="35">
        <f>IF(AD144=1,Calculations!AD1228+Calculations!AD1244+Calculations!AD1260+Calculations!AD1287+Calculations!AD1317+Calculations!AD1347+Calculations!AD1377-AD164,0)</f>
        <v>0</v>
      </c>
      <c r="AE167" s="35">
        <f>IF(AE144=1,Calculations!AE1228+Calculations!AE1244+Calculations!AE1260+Calculations!AE1287+Calculations!AE1317+Calculations!AE1347+Calculations!AE1377-AE164,0)</f>
        <v>0</v>
      </c>
      <c r="AF167" s="35">
        <f>IF(AF144=1,Calculations!AF1228+Calculations!AF1244+Calculations!AF1260+Calculations!AF1287+Calculations!AF1317+Calculations!AF1347+Calculations!AF1377-AF164,0)</f>
        <v>0</v>
      </c>
      <c r="AG167" s="35">
        <f>IF(AG144=1,Calculations!AG1228+Calculations!AG1244+Calculations!AG1260+Calculations!AG1287+Calculations!AG1317+Calculations!AG1347+Calculations!AG1377-AG164,0)</f>
        <v>0</v>
      </c>
      <c r="AH167" s="35">
        <f>IF(AH144=1,Calculations!AH1228+Calculations!AH1244+Calculations!AH1260+Calculations!AH1287+Calculations!AH1317+Calculations!AH1347+Calculations!AH1377-AH164,0)</f>
        <v>0</v>
      </c>
    </row>
    <row r="168" spans="1:34" s="277" customFormat="1" x14ac:dyDescent="0.2">
      <c r="A168" s="316"/>
      <c r="B168" s="25" t="s">
        <v>327</v>
      </c>
      <c r="C168" s="24"/>
      <c r="D168" s="24"/>
      <c r="E168" s="35">
        <f>IF(E144=1,'Assumptions - Infrastructure'!E493,0)</f>
        <v>20</v>
      </c>
      <c r="F168" s="35">
        <f>IF(F144=1,'Assumptions - Infrastructure'!F493,0)</f>
        <v>20</v>
      </c>
      <c r="G168" s="35">
        <f>IF(G144=1,'Assumptions - Infrastructure'!G493,0)</f>
        <v>20</v>
      </c>
      <c r="H168" s="35">
        <f>IF(H144=1,'Assumptions - Infrastructure'!H493,0)</f>
        <v>20</v>
      </c>
      <c r="I168" s="35">
        <f>IF(I144=1,'Assumptions - Infrastructure'!I493,0)</f>
        <v>20</v>
      </c>
      <c r="J168" s="35">
        <f>IF(J144=1,'Assumptions - Infrastructure'!J493,0)</f>
        <v>20</v>
      </c>
      <c r="K168" s="35">
        <f>IF(K144=1,'Assumptions - Infrastructure'!K493,0)</f>
        <v>20</v>
      </c>
      <c r="L168" s="35">
        <f>IF(L144=1,'Assumptions - Infrastructure'!L493,0)</f>
        <v>20</v>
      </c>
      <c r="M168" s="35">
        <f>IF(M144=1,'Assumptions - Infrastructure'!M493,0)</f>
        <v>20</v>
      </c>
      <c r="N168" s="35">
        <f>IF(N144=1,'Assumptions - Infrastructure'!N493,0)</f>
        <v>20</v>
      </c>
      <c r="O168" s="35">
        <f>IF(O144=1,'Assumptions - Infrastructure'!O493,0)</f>
        <v>20</v>
      </c>
      <c r="P168" s="35">
        <f>IF(P144=1,'Assumptions - Infrastructure'!P493,0)</f>
        <v>20</v>
      </c>
      <c r="Q168" s="35">
        <f>IF(Q144=1,'Assumptions - Infrastructure'!Q493,0)</f>
        <v>20</v>
      </c>
      <c r="R168" s="35">
        <f>IF(R144=1,'Assumptions - Infrastructure'!R493,0)</f>
        <v>20</v>
      </c>
      <c r="S168" s="35">
        <f>IF(S144=1,'Assumptions - Infrastructure'!S493,0)</f>
        <v>20</v>
      </c>
      <c r="T168" s="35">
        <f>IF(T144=1,'Assumptions - Infrastructure'!T493,0)</f>
        <v>20</v>
      </c>
      <c r="U168" s="35">
        <f>IF(U144=1,'Assumptions - Infrastructure'!U493,0)</f>
        <v>20</v>
      </c>
      <c r="V168" s="35">
        <f>IF(V144=1,'Assumptions - Infrastructure'!V493,0)</f>
        <v>20</v>
      </c>
      <c r="W168" s="35">
        <f>IF(W144=1,'Assumptions - Infrastructure'!W493,0)</f>
        <v>20</v>
      </c>
      <c r="X168" s="35">
        <f>IF(X144=1,'Assumptions - Infrastructure'!X493,0)</f>
        <v>20</v>
      </c>
      <c r="Y168" s="35">
        <f>IF(Y144=1,'Assumptions - Infrastructure'!Y493,0)</f>
        <v>20</v>
      </c>
      <c r="Z168" s="35">
        <f>IF(Z144=1,'Assumptions - Infrastructure'!Z493,0)</f>
        <v>20</v>
      </c>
      <c r="AA168" s="35">
        <f>IF(AA144=1,'Assumptions - Infrastructure'!AA493,0)</f>
        <v>20</v>
      </c>
      <c r="AB168" s="35">
        <f>IF(AB144=1,'Assumptions - Infrastructure'!AB493,0)</f>
        <v>20</v>
      </c>
      <c r="AC168" s="35">
        <f>IF(AC144=1,'Assumptions - Infrastructure'!AC493,0)</f>
        <v>20</v>
      </c>
      <c r="AD168" s="35">
        <f>IF(AD144=1,'Assumptions - Infrastructure'!AD493,0)</f>
        <v>20</v>
      </c>
      <c r="AE168" s="35">
        <f>IF(AE144=1,'Assumptions - Infrastructure'!AE493,0)</f>
        <v>20</v>
      </c>
      <c r="AF168" s="35">
        <f>IF(AF144=1,'Assumptions - Infrastructure'!AF493,0)</f>
        <v>20</v>
      </c>
      <c r="AG168" s="35">
        <f>IF(AG144=1,'Assumptions - Infrastructure'!AG493,0)</f>
        <v>20</v>
      </c>
      <c r="AH168" s="35">
        <f>IF(AH144=1,'Assumptions - Infrastructure'!AH493,0)</f>
        <v>20</v>
      </c>
    </row>
    <row r="169" spans="1:34" s="277" customFormat="1" x14ac:dyDescent="0.2">
      <c r="A169" s="316"/>
      <c r="B169" s="24"/>
      <c r="C169" s="24"/>
      <c r="D169" s="24"/>
      <c r="E169" s="43">
        <f>IF(E144=1,SUM(E167:E168),0)</f>
        <v>212.5</v>
      </c>
      <c r="F169" s="43">
        <f t="shared" ref="F169:AH169" si="40">IF(F144=1,SUM(F167:F168),0)</f>
        <v>177.5</v>
      </c>
      <c r="G169" s="43">
        <f t="shared" si="40"/>
        <v>195</v>
      </c>
      <c r="H169" s="43">
        <f t="shared" si="40"/>
        <v>212.5</v>
      </c>
      <c r="I169" s="43">
        <f t="shared" si="40"/>
        <v>230</v>
      </c>
      <c r="J169" s="43">
        <f t="shared" si="40"/>
        <v>247.5</v>
      </c>
      <c r="K169" s="43">
        <f t="shared" si="40"/>
        <v>265</v>
      </c>
      <c r="L169" s="43">
        <f t="shared" si="40"/>
        <v>242.5</v>
      </c>
      <c r="M169" s="43">
        <f t="shared" si="40"/>
        <v>220</v>
      </c>
      <c r="N169" s="43">
        <f t="shared" si="40"/>
        <v>220</v>
      </c>
      <c r="O169" s="43">
        <f t="shared" si="40"/>
        <v>220</v>
      </c>
      <c r="P169" s="43">
        <f t="shared" si="40"/>
        <v>220</v>
      </c>
      <c r="Q169" s="43">
        <f t="shared" si="40"/>
        <v>220</v>
      </c>
      <c r="R169" s="43">
        <f t="shared" si="40"/>
        <v>220</v>
      </c>
      <c r="S169" s="43">
        <f t="shared" si="40"/>
        <v>220</v>
      </c>
      <c r="T169" s="43">
        <f t="shared" si="40"/>
        <v>20</v>
      </c>
      <c r="U169" s="43">
        <f t="shared" si="40"/>
        <v>20</v>
      </c>
      <c r="V169" s="43">
        <f t="shared" si="40"/>
        <v>20</v>
      </c>
      <c r="W169" s="43">
        <f t="shared" si="40"/>
        <v>20</v>
      </c>
      <c r="X169" s="43">
        <f t="shared" si="40"/>
        <v>20</v>
      </c>
      <c r="Y169" s="43">
        <f t="shared" si="40"/>
        <v>20</v>
      </c>
      <c r="Z169" s="43">
        <f t="shared" si="40"/>
        <v>20</v>
      </c>
      <c r="AA169" s="43">
        <f t="shared" si="40"/>
        <v>20</v>
      </c>
      <c r="AB169" s="43">
        <f t="shared" si="40"/>
        <v>20</v>
      </c>
      <c r="AC169" s="43">
        <f t="shared" si="40"/>
        <v>20</v>
      </c>
      <c r="AD169" s="43">
        <f t="shared" si="40"/>
        <v>20</v>
      </c>
      <c r="AE169" s="43">
        <f t="shared" si="40"/>
        <v>20</v>
      </c>
      <c r="AF169" s="43">
        <f t="shared" si="40"/>
        <v>20</v>
      </c>
      <c r="AG169" s="43">
        <f t="shared" si="40"/>
        <v>20</v>
      </c>
      <c r="AH169" s="43">
        <f t="shared" si="40"/>
        <v>20</v>
      </c>
    </row>
    <row r="170" spans="1:34" s="277" customFormat="1" x14ac:dyDescent="0.2">
      <c r="A170" s="316"/>
      <c r="B170" s="23" t="s">
        <v>80</v>
      </c>
      <c r="C170" s="24"/>
      <c r="D170" s="24"/>
      <c r="E170" s="43">
        <f>IF(E144=1,E165+E169,0)</f>
        <v>822.5</v>
      </c>
      <c r="F170" s="43">
        <f t="shared" ref="F170:AH170" si="41">IF(F144=1,F165+F169,0)</f>
        <v>843.80024136178872</v>
      </c>
      <c r="G170" s="43">
        <f t="shared" si="41"/>
        <v>877.84305812645198</v>
      </c>
      <c r="H170" s="43">
        <f t="shared" si="41"/>
        <v>931.04829990744793</v>
      </c>
      <c r="I170" s="43">
        <f t="shared" si="41"/>
        <v>1002.1733459813082</v>
      </c>
      <c r="J170" s="43">
        <f t="shared" si="41"/>
        <v>1047.985793385692</v>
      </c>
      <c r="K170" s="43">
        <f t="shared" si="41"/>
        <v>1114.5682193990158</v>
      </c>
      <c r="L170" s="43">
        <f t="shared" si="41"/>
        <v>1123.0570878497497</v>
      </c>
      <c r="M170" s="43">
        <f t="shared" si="41"/>
        <v>1132.6609270100685</v>
      </c>
      <c r="N170" s="43">
        <f t="shared" si="41"/>
        <v>1143.4187451409414</v>
      </c>
      <c r="O170" s="43">
        <f t="shared" si="41"/>
        <v>1177.8708875253576</v>
      </c>
      <c r="P170" s="43">
        <f t="shared" si="41"/>
        <v>1213.5590815822122</v>
      </c>
      <c r="Q170" s="43">
        <f t="shared" si="41"/>
        <v>1250.5264834837053</v>
      </c>
      <c r="R170" s="43">
        <f t="shared" si="41"/>
        <v>1288.8177263258638</v>
      </c>
      <c r="S170" s="43">
        <f t="shared" si="41"/>
        <v>1328.4789699034166</v>
      </c>
      <c r="T170" s="43">
        <f t="shared" si="41"/>
        <v>1369.557952141929</v>
      </c>
      <c r="U170" s="43">
        <f t="shared" si="41"/>
        <v>1212.1040422418394</v>
      </c>
      <c r="V170" s="43">
        <f t="shared" si="41"/>
        <v>1256.1682955908166</v>
      </c>
      <c r="W170" s="43">
        <f t="shared" si="41"/>
        <v>1301.8035105027147</v>
      </c>
      <c r="X170" s="43">
        <f t="shared" si="41"/>
        <v>1349.0642868432949</v>
      </c>
      <c r="Y170" s="43">
        <f t="shared" si="41"/>
        <v>1398.0070866048577</v>
      </c>
      <c r="Z170" s="43">
        <f t="shared" si="41"/>
        <v>1448.6902964939552</v>
      </c>
      <c r="AA170" s="43">
        <f t="shared" si="41"/>
        <v>1501.1742925984543</v>
      </c>
      <c r="AB170" s="43">
        <f t="shared" si="41"/>
        <v>1555.5215072023791</v>
      </c>
      <c r="AC170" s="43">
        <f t="shared" si="41"/>
        <v>1611.7964978191997</v>
      </c>
      <c r="AD170" s="43">
        <f t="shared" si="41"/>
        <v>1670.0660185165482</v>
      </c>
      <c r="AE170" s="43">
        <f t="shared" si="41"/>
        <v>1730.3990936076998</v>
      </c>
      <c r="AF170" s="43">
        <f t="shared" si="41"/>
        <v>1792.8670937876561</v>
      </c>
      <c r="AG170" s="43">
        <f t="shared" si="41"/>
        <v>1857.5438147941629</v>
      </c>
      <c r="AH170" s="43">
        <f t="shared" si="41"/>
        <v>1924.5055586766512</v>
      </c>
    </row>
    <row r="171" spans="1:34" s="277" customFormat="1" x14ac:dyDescent="0.2">
      <c r="A171" s="316"/>
      <c r="B171" s="26"/>
      <c r="C171" s="24"/>
      <c r="D171" s="24"/>
      <c r="E171" s="35"/>
      <c r="F171" s="35"/>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row>
    <row r="172" spans="1:34" s="277" customFormat="1" x14ac:dyDescent="0.2">
      <c r="A172" s="316"/>
      <c r="B172" s="23" t="s">
        <v>81</v>
      </c>
      <c r="C172" s="24"/>
      <c r="D172" s="24"/>
      <c r="E172" s="35"/>
      <c r="F172" s="35"/>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row>
    <row r="173" spans="1:34" s="277" customFormat="1" x14ac:dyDescent="0.2">
      <c r="A173" s="316"/>
      <c r="B173" s="25" t="s">
        <v>82</v>
      </c>
      <c r="C173" s="24"/>
      <c r="D173" s="24"/>
      <c r="E173" s="35">
        <f>IF(E144=1,Calculations!E1387,0)</f>
        <v>5372.5</v>
      </c>
      <c r="F173" s="35">
        <f>IF(F144=1,Calculations!F1387,0)</f>
        <v>5372.5</v>
      </c>
      <c r="G173" s="35">
        <f>IF(G144=1,Calculations!G1387,0)</f>
        <v>5372.5</v>
      </c>
      <c r="H173" s="35">
        <f>IF(H144=1,Calculations!H1387,0)</f>
        <v>5372.5</v>
      </c>
      <c r="I173" s="35">
        <f>IF(I144=1,Calculations!I1387,0)</f>
        <v>5372.5</v>
      </c>
      <c r="J173" s="35">
        <f>IF(J144=1,Calculations!J1387,0)</f>
        <v>5372.5</v>
      </c>
      <c r="K173" s="35">
        <f>IF(K144=1,Calculations!K1387,0)</f>
        <v>5372.5</v>
      </c>
      <c r="L173" s="35">
        <f>IF(L144=1,Calculations!L1387,0)</f>
        <v>5372.5</v>
      </c>
      <c r="M173" s="35">
        <f>IF(M144=1,Calculations!M1387,0)</f>
        <v>5372.5</v>
      </c>
      <c r="N173" s="35">
        <f>IF(N144=1,Calculations!N1387,0)</f>
        <v>5372.5</v>
      </c>
      <c r="O173" s="35">
        <f>IF(O144=1,Calculations!O1387,0)</f>
        <v>5372.5</v>
      </c>
      <c r="P173" s="35">
        <f>IF(P144=1,Calculations!P1387,0)</f>
        <v>5372.5</v>
      </c>
      <c r="Q173" s="35">
        <f>IF(Q144=1,Calculations!Q1387,0)</f>
        <v>5372.5</v>
      </c>
      <c r="R173" s="35">
        <f>IF(R144=1,Calculations!R1387,0)</f>
        <v>5372.5</v>
      </c>
      <c r="S173" s="35">
        <f>IF(S144=1,Calculations!S1387,0)</f>
        <v>5372.5</v>
      </c>
      <c r="T173" s="35">
        <f>IF(T144=1,Calculations!T1387,0)</f>
        <v>5372.5</v>
      </c>
      <c r="U173" s="35">
        <f>IF(U144=1,Calculations!U1387,0)</f>
        <v>5372.5</v>
      </c>
      <c r="V173" s="35">
        <f>IF(V144=1,Calculations!V1387,0)</f>
        <v>5372.5</v>
      </c>
      <c r="W173" s="35">
        <f>IF(W144=1,Calculations!W1387,0)</f>
        <v>5372.5</v>
      </c>
      <c r="X173" s="35">
        <f>IF(X144=1,Calculations!X1387,0)</f>
        <v>5372.5</v>
      </c>
      <c r="Y173" s="35">
        <f>IF(Y144=1,Calculations!Y1387,0)</f>
        <v>5372.5</v>
      </c>
      <c r="Z173" s="35">
        <f>IF(Z144=1,Calculations!Z1387,0)</f>
        <v>5372.5</v>
      </c>
      <c r="AA173" s="35">
        <f>IF(AA144=1,Calculations!AA1387,0)</f>
        <v>5372.5</v>
      </c>
      <c r="AB173" s="35">
        <f>IF(AB144=1,Calculations!AB1387,0)</f>
        <v>5372.5</v>
      </c>
      <c r="AC173" s="35">
        <f>IF(AC144=1,Calculations!AC1387,0)</f>
        <v>5372.5</v>
      </c>
      <c r="AD173" s="35">
        <f>IF(AD144=1,Calculations!AD1387,0)</f>
        <v>5372.5</v>
      </c>
      <c r="AE173" s="35">
        <f>IF(AE144=1,Calculations!AE1387,0)</f>
        <v>5372.5</v>
      </c>
      <c r="AF173" s="35">
        <f>IF(AF144=1,Calculations!AF1387,0)</f>
        <v>5372.5</v>
      </c>
      <c r="AG173" s="35">
        <f>IF(AG144=1,Calculations!AG1387,0)</f>
        <v>5372.5</v>
      </c>
      <c r="AH173" s="35">
        <f>IF(AH144=1,Calculations!AH1387,0)</f>
        <v>5372.5</v>
      </c>
    </row>
    <row r="174" spans="1:34" s="277" customFormat="1" x14ac:dyDescent="0.2">
      <c r="A174" s="316"/>
      <c r="B174" s="25" t="s">
        <v>609</v>
      </c>
      <c r="C174" s="24"/>
      <c r="D174" s="24"/>
      <c r="E174" s="35">
        <f>IF(E144=1,Calculations!E1390,0)</f>
        <v>15</v>
      </c>
      <c r="F174" s="35">
        <f>IF(F144=1,Calculations!F1390,0)</f>
        <v>28.437242501414829</v>
      </c>
      <c r="G174" s="35">
        <f>IF(G144=1,Calculations!G1390,0)</f>
        <v>40.500894989933904</v>
      </c>
      <c r="H174" s="35">
        <f>IF(H144=1,Calculations!H1390,0)</f>
        <v>52.325215778608346</v>
      </c>
      <c r="I174" s="35">
        <f>IF(I144=1,Calculations!I1390,0)</f>
        <v>63.923966988689614</v>
      </c>
      <c r="J174" s="35">
        <f>IF(J144=1,Calculations!J1390,0)</f>
        <v>75.296324741945057</v>
      </c>
      <c r="K174" s="35">
        <f>IF(K144=1,Calculations!K1390,0)</f>
        <v>86.437380014531712</v>
      </c>
      <c r="L174" s="35">
        <f>IF(L144=1,Calculations!L1390,0)</f>
        <v>97.340513321144115</v>
      </c>
      <c r="M174" s="35">
        <f>IF(M144=1,Calculations!M1390,0)</f>
        <v>107.99817402104421</v>
      </c>
      <c r="N174" s="35">
        <f>IF(N144=1,Calculations!N1390,0)</f>
        <v>118.41183919078794</v>
      </c>
      <c r="O174" s="35">
        <f>IF(O144=1,Calculations!O1390,0)</f>
        <v>128.56437793557717</v>
      </c>
      <c r="P174" s="35">
        <f>IF(P144=1,Calculations!P1390,0)</f>
        <v>138.43916834609084</v>
      </c>
      <c r="Q174" s="35">
        <f>IF(Q144=1,Calculations!Q1390,0)</f>
        <v>148.18682983718676</v>
      </c>
      <c r="R174" s="35">
        <f>IF(R144=1,Calculations!R1390,0)</f>
        <v>158.03200342141849</v>
      </c>
      <c r="S174" s="35">
        <f>IF(S144=1,Calculations!S1390,0)</f>
        <v>167.61521495554655</v>
      </c>
      <c r="T174" s="35">
        <f>IF(T144=1,Calculations!T1390,0)</f>
        <v>177.45935840020121</v>
      </c>
      <c r="U174" s="35">
        <f>IF(U144=1,Calculations!U1390,0)</f>
        <v>186.98023776130071</v>
      </c>
      <c r="V174" s="35">
        <f>IF(V144=1,Calculations!V1390,0)</f>
        <v>196.16774857751423</v>
      </c>
      <c r="W174" s="35">
        <f>IF(W144=1,Calculations!W1390,0)</f>
        <v>205.01153342038862</v>
      </c>
      <c r="X174" s="35">
        <f>IF(X144=1,Calculations!X1390,0)</f>
        <v>213.50096397229689</v>
      </c>
      <c r="Y174" s="35">
        <f>IF(Y144=1,Calculations!Y1390,0)</f>
        <v>221.62512517472379</v>
      </c>
      <c r="Z174" s="35">
        <f>IF(Z144=1,Calculations!Z1390,0)</f>
        <v>229.37280075440125</v>
      </c>
      <c r="AA174" s="35">
        <f>IF(AA144=1,Calculations!AA1390,0)</f>
        <v>236.73245965780623</v>
      </c>
      <c r="AB174" s="35">
        <f>IF(AB144=1,Calculations!AB1390,0)</f>
        <v>243.69224306802917</v>
      </c>
      <c r="AC174" s="35">
        <f>IF(AC144=1,Calculations!AC1390,0)</f>
        <v>250.23995177250623</v>
      </c>
      <c r="AD174" s="35">
        <f>IF(AD144=1,Calculations!AD1390,0)</f>
        <v>256.36303371360657</v>
      </c>
      <c r="AE174" s="35">
        <f>IF(AE144=1,Calculations!AE1390,0)</f>
        <v>262.04857159752737</v>
      </c>
      <c r="AF174" s="35">
        <f>IF(AF144=1,Calculations!AF1390,0)</f>
        <v>267.2832704671842</v>
      </c>
      <c r="AG174" s="35">
        <f>IF(AG144=1,Calculations!AG1390,0)</f>
        <v>272.23453272710435</v>
      </c>
      <c r="AH174" s="35">
        <f>IF(AH144=1,Calculations!AH1390,0)</f>
        <v>281.79254195506996</v>
      </c>
    </row>
    <row r="175" spans="1:34" s="277" customFormat="1" x14ac:dyDescent="0.2">
      <c r="A175" s="316"/>
      <c r="B175" s="25" t="s">
        <v>83</v>
      </c>
      <c r="C175" s="24"/>
      <c r="D175" s="24"/>
      <c r="E175" s="35">
        <f>IF(E144=1,Calculations!E1393,0)</f>
        <v>200</v>
      </c>
      <c r="F175" s="35">
        <f>IF(F144=1,Calculations!F1393,0)</f>
        <v>8572.2883610951649</v>
      </c>
      <c r="G175" s="35">
        <f>IF(G144=1,Calculations!G1393,0)</f>
        <v>17275.290500454623</v>
      </c>
      <c r="H175" s="35">
        <f>IF(H144=1,Calculations!H1393,0)</f>
        <v>26592.652594288928</v>
      </c>
      <c r="I175" s="35">
        <f>IF(I144=1,Calculations!I1393,0)</f>
        <v>36778.728389953285</v>
      </c>
      <c r="J175" s="35">
        <f>IF(J144=1,Calculations!J1393,0)</f>
        <v>47541.766867183163</v>
      </c>
      <c r="K175" s="35">
        <f>IF(K144=1,Calculations!K1393,0)</f>
        <v>60047.332294347027</v>
      </c>
      <c r="L175" s="35">
        <f>IF(L144=1,Calculations!L1393,0)</f>
        <v>73027.495500061777</v>
      </c>
      <c r="M175" s="35">
        <f>IF(M144=1,Calculations!M1393,0)</f>
        <v>86802.374697399879</v>
      </c>
      <c r="N175" s="35">
        <f>IF(N144=1,Calculations!N1393,0)</f>
        <v>101409.19563865181</v>
      </c>
      <c r="O175" s="35">
        <f>IF(O144=1,Calculations!O1393,0)</f>
        <v>116676.77412287702</v>
      </c>
      <c r="P175" s="35">
        <f>IF(P144=1,Calculations!P1393,0)</f>
        <v>132793.95337308352</v>
      </c>
      <c r="Q175" s="35">
        <f>IF(Q144=1,Calculations!Q1393,0)</f>
        <v>149811.9752880481</v>
      </c>
      <c r="R175" s="35">
        <f>IF(R144=1,Calculations!R1393,0)</f>
        <v>167776.65984854117</v>
      </c>
      <c r="S175" s="35">
        <f>IF(S144=1,Calculations!S1393,0)</f>
        <v>186722.54434338369</v>
      </c>
      <c r="T175" s="35">
        <f>IF(T144=1,Calculations!T1393,0)</f>
        <v>206705.27828164154</v>
      </c>
      <c r="U175" s="35">
        <f>IF(U144=1,Calculations!U1393,0)</f>
        <v>227899.43874811754</v>
      </c>
      <c r="V175" s="35">
        <f>IF(V144=1,Calculations!V1393,0)</f>
        <v>250071.99785167631</v>
      </c>
      <c r="W175" s="35">
        <f>IF(W144=1,Calculations!W1393,0)</f>
        <v>273412.06870553148</v>
      </c>
      <c r="X175" s="35">
        <f>IF(X144=1,Calculations!X1393,0)</f>
        <v>297971.23157811817</v>
      </c>
      <c r="Y175" s="35">
        <f>IF(Y144=1,Calculations!Y1393,0)</f>
        <v>323803.10981367476</v>
      </c>
      <c r="Z175" s="35">
        <f>IF(Z144=1,Calculations!Z1393,0)</f>
        <v>350963.44612758287</v>
      </c>
      <c r="AA175" s="35">
        <f>IF(AA144=1,Calculations!AA1393,0)</f>
        <v>379510.18164086726</v>
      </c>
      <c r="AB175" s="35">
        <f>IF(AB144=1,Calculations!AB1393,0)</f>
        <v>409503.53774991998</v>
      </c>
      <c r="AC175" s="35">
        <f>IF(AC144=1,Calculations!AC1393,0)</f>
        <v>441006.10093070578</v>
      </c>
      <c r="AD175" s="35">
        <f>IF(AD144=1,Calculations!AD1393,0)</f>
        <v>474082.9105800392</v>
      </c>
      <c r="AE175" s="35">
        <f>IF(AE144=1,Calculations!AE1393,0)</f>
        <v>508801.54999998939</v>
      </c>
      <c r="AF175" s="35">
        <f>IF(AF144=1,Calculations!AF1393,0)</f>
        <v>545232.24063506396</v>
      </c>
      <c r="AG175" s="35">
        <f>IF(AG144=1,Calculations!AG1393,0)</f>
        <v>583451.74181950686</v>
      </c>
      <c r="AH175" s="35">
        <f>IF(AH144=1,Calculations!AH1393,0)</f>
        <v>623580.87777314079</v>
      </c>
    </row>
    <row r="176" spans="1:34" s="277" customFormat="1" x14ac:dyDescent="0.2">
      <c r="A176" s="316"/>
      <c r="B176" s="504" t="s">
        <v>696</v>
      </c>
      <c r="E176" s="405">
        <f>IF(E144=1,Calculations!E1396,0)</f>
        <v>0</v>
      </c>
      <c r="F176" s="405">
        <f>IF(F144=1,Calculations!F1396,0)</f>
        <v>0</v>
      </c>
      <c r="G176" s="405">
        <f>IF(G144=1,Calculations!G1396,0)</f>
        <v>0</v>
      </c>
      <c r="H176" s="405">
        <f>IF(H144=1,Calculations!H1396,0)</f>
        <v>0</v>
      </c>
      <c r="I176" s="405">
        <f>IF(I144=1,Calculations!I1396,0)</f>
        <v>0</v>
      </c>
      <c r="J176" s="405">
        <f>IF(J144=1,Calculations!J1396,0)</f>
        <v>0</v>
      </c>
      <c r="K176" s="405">
        <f>IF(K144=1,Calculations!K1396,0)</f>
        <v>0</v>
      </c>
      <c r="L176" s="405">
        <f>IF(L144=1,Calculations!L1396,0)</f>
        <v>0</v>
      </c>
      <c r="M176" s="405">
        <f>IF(M144=1,Calculations!M1396,0)</f>
        <v>0</v>
      </c>
      <c r="N176" s="405">
        <f>IF(N144=1,Calculations!N1396,0)</f>
        <v>0</v>
      </c>
      <c r="O176" s="405">
        <f>IF(O144=1,Calculations!O1396,0)</f>
        <v>0</v>
      </c>
      <c r="P176" s="405">
        <f>IF(P144=1,Calculations!P1396,0)</f>
        <v>0</v>
      </c>
      <c r="Q176" s="405">
        <f>IF(Q144=1,Calculations!Q1396,0)</f>
        <v>0</v>
      </c>
      <c r="R176" s="405">
        <f>IF(R144=1,Calculations!R1396,0)</f>
        <v>0</v>
      </c>
      <c r="S176" s="405">
        <f>IF(S144=1,Calculations!S1396,0)</f>
        <v>0</v>
      </c>
      <c r="T176" s="405">
        <f>IF(T144=1,Calculations!T1396,0)</f>
        <v>0</v>
      </c>
      <c r="U176" s="405">
        <f>IF(U144=1,Calculations!U1396,0)</f>
        <v>0</v>
      </c>
      <c r="V176" s="405">
        <f>IF(V144=1,Calculations!V1396,0)</f>
        <v>0</v>
      </c>
      <c r="W176" s="405">
        <f>IF(W144=1,Calculations!W1396,0)</f>
        <v>0</v>
      </c>
      <c r="X176" s="405">
        <f>IF(X144=1,Calculations!X1396,0)</f>
        <v>0</v>
      </c>
      <c r="Y176" s="405">
        <f>IF(Y144=1,Calculations!Y1396,0)</f>
        <v>0</v>
      </c>
      <c r="Z176" s="405">
        <f>IF(Z144=1,Calculations!Z1396,0)</f>
        <v>0</v>
      </c>
      <c r="AA176" s="405">
        <f>IF(AA144=1,Calculations!AA1396,0)</f>
        <v>0</v>
      </c>
      <c r="AB176" s="405">
        <f>IF(AB144=1,Calculations!AB1396,0)</f>
        <v>0</v>
      </c>
      <c r="AC176" s="405">
        <f>IF(AC144=1,Calculations!AC1396,0)</f>
        <v>0</v>
      </c>
      <c r="AD176" s="405">
        <f>IF(AD144=1,Calculations!AD1396,0)</f>
        <v>0</v>
      </c>
      <c r="AE176" s="405">
        <f>IF(AE144=1,Calculations!AE1396,0)</f>
        <v>0</v>
      </c>
      <c r="AF176" s="405">
        <f>IF(AF144=1,Calculations!AF1396,0)</f>
        <v>0</v>
      </c>
      <c r="AG176" s="405">
        <f>IF(AG144=1,Calculations!AG1396,0)</f>
        <v>0</v>
      </c>
      <c r="AH176" s="405">
        <f>IF(AH144=1,Calculations!AH1396,0)</f>
        <v>0</v>
      </c>
    </row>
    <row r="177" spans="1:34" s="277" customFormat="1" x14ac:dyDescent="0.2">
      <c r="A177" s="316"/>
      <c r="B177" s="24"/>
      <c r="C177" s="24"/>
      <c r="D177" s="24"/>
      <c r="E177" s="43">
        <f>IF(E144=1,SUM(E173:E176),0)</f>
        <v>5587.5</v>
      </c>
      <c r="F177" s="43">
        <f t="shared" ref="F177:AH177" si="42">IF(F144=1,SUM(F173:F176),0)</f>
        <v>13973.22560359658</v>
      </c>
      <c r="G177" s="43">
        <f t="shared" si="42"/>
        <v>22688.291395444558</v>
      </c>
      <c r="H177" s="43">
        <f t="shared" si="42"/>
        <v>32017.477810067536</v>
      </c>
      <c r="I177" s="43">
        <f t="shared" si="42"/>
        <v>42215.152356941973</v>
      </c>
      <c r="J177" s="43">
        <f t="shared" si="42"/>
        <v>52989.56319192511</v>
      </c>
      <c r="K177" s="43">
        <f t="shared" si="42"/>
        <v>65506.26967436156</v>
      </c>
      <c r="L177" s="43">
        <f t="shared" si="42"/>
        <v>78497.336013382926</v>
      </c>
      <c r="M177" s="43">
        <f t="shared" si="42"/>
        <v>92282.872871420928</v>
      </c>
      <c r="N177" s="43">
        <f t="shared" si="42"/>
        <v>106900.1074778426</v>
      </c>
      <c r="O177" s="43">
        <f t="shared" si="42"/>
        <v>122177.83850081259</v>
      </c>
      <c r="P177" s="43">
        <f t="shared" si="42"/>
        <v>138304.89254142961</v>
      </c>
      <c r="Q177" s="43">
        <f t="shared" si="42"/>
        <v>155332.66211788528</v>
      </c>
      <c r="R177" s="43">
        <f t="shared" si="42"/>
        <v>173307.19185196259</v>
      </c>
      <c r="S177" s="43">
        <f t="shared" si="42"/>
        <v>192262.65955833925</v>
      </c>
      <c r="T177" s="43">
        <f t="shared" si="42"/>
        <v>212255.23764004174</v>
      </c>
      <c r="U177" s="43">
        <f t="shared" si="42"/>
        <v>233458.91898587884</v>
      </c>
      <c r="V177" s="43">
        <f t="shared" si="42"/>
        <v>255640.66560025382</v>
      </c>
      <c r="W177" s="43">
        <f t="shared" si="42"/>
        <v>278989.58023895189</v>
      </c>
      <c r="X177" s="43">
        <f t="shared" si="42"/>
        <v>303557.23254209047</v>
      </c>
      <c r="Y177" s="43">
        <f t="shared" si="42"/>
        <v>329397.23493884946</v>
      </c>
      <c r="Z177" s="43">
        <f t="shared" si="42"/>
        <v>356565.31892833725</v>
      </c>
      <c r="AA177" s="43">
        <f t="shared" si="42"/>
        <v>385119.41410052509</v>
      </c>
      <c r="AB177" s="43">
        <f t="shared" si="42"/>
        <v>415119.729992988</v>
      </c>
      <c r="AC177" s="43">
        <f t="shared" si="42"/>
        <v>446628.84088247828</v>
      </c>
      <c r="AD177" s="43">
        <f t="shared" si="42"/>
        <v>479711.7736137528</v>
      </c>
      <c r="AE177" s="43">
        <f t="shared" si="42"/>
        <v>514436.09857158695</v>
      </c>
      <c r="AF177" s="43">
        <f t="shared" si="42"/>
        <v>550872.02390553115</v>
      </c>
      <c r="AG177" s="43">
        <f t="shared" si="42"/>
        <v>589096.47635223402</v>
      </c>
      <c r="AH177" s="43">
        <f t="shared" si="42"/>
        <v>629235.17031509581</v>
      </c>
    </row>
    <row r="178" spans="1:34" s="277" customFormat="1" ht="16" thickBot="1" x14ac:dyDescent="0.25">
      <c r="A178" s="316"/>
      <c r="B178" s="26" t="s">
        <v>84</v>
      </c>
      <c r="C178" s="24"/>
      <c r="D178" s="24"/>
      <c r="E178" s="40">
        <f>IF(E144=1,E170+E177,0)</f>
        <v>6410</v>
      </c>
      <c r="F178" s="40">
        <f t="shared" ref="F178:AH178" si="43">IF(F144=1,F170+F177,0)</f>
        <v>14817.025844958369</v>
      </c>
      <c r="G178" s="40">
        <f t="shared" si="43"/>
        <v>23566.134453571009</v>
      </c>
      <c r="H178" s="40">
        <f t="shared" si="43"/>
        <v>32948.526109974984</v>
      </c>
      <c r="I178" s="40">
        <f t="shared" si="43"/>
        <v>43217.325702923285</v>
      </c>
      <c r="J178" s="40">
        <f t="shared" si="43"/>
        <v>54037.548985310801</v>
      </c>
      <c r="K178" s="40">
        <f t="shared" si="43"/>
        <v>66620.837893760574</v>
      </c>
      <c r="L178" s="40">
        <f t="shared" si="43"/>
        <v>79620.393101232679</v>
      </c>
      <c r="M178" s="40">
        <f t="shared" si="43"/>
        <v>93415.533798431003</v>
      </c>
      <c r="N178" s="40">
        <f t="shared" si="43"/>
        <v>108043.52622298354</v>
      </c>
      <c r="O178" s="40">
        <f t="shared" si="43"/>
        <v>123355.70938833794</v>
      </c>
      <c r="P178" s="40">
        <f t="shared" si="43"/>
        <v>139518.45162301182</v>
      </c>
      <c r="Q178" s="40">
        <f t="shared" si="43"/>
        <v>156583.18860136898</v>
      </c>
      <c r="R178" s="40">
        <f t="shared" si="43"/>
        <v>174596.00957828845</v>
      </c>
      <c r="S178" s="40">
        <f t="shared" si="43"/>
        <v>193591.13852824268</v>
      </c>
      <c r="T178" s="40">
        <f t="shared" si="43"/>
        <v>213624.79559218368</v>
      </c>
      <c r="U178" s="40">
        <f t="shared" si="43"/>
        <v>234671.02302812069</v>
      </c>
      <c r="V178" s="40">
        <f t="shared" si="43"/>
        <v>256896.83389584464</v>
      </c>
      <c r="W178" s="40">
        <f t="shared" si="43"/>
        <v>280291.38374945463</v>
      </c>
      <c r="X178" s="40">
        <f t="shared" si="43"/>
        <v>304906.29682893376</v>
      </c>
      <c r="Y178" s="40">
        <f t="shared" si="43"/>
        <v>330795.2420254543</v>
      </c>
      <c r="Z178" s="40">
        <f t="shared" si="43"/>
        <v>358014.00922483118</v>
      </c>
      <c r="AA178" s="40">
        <f t="shared" si="43"/>
        <v>386620.58839312353</v>
      </c>
      <c r="AB178" s="40">
        <f t="shared" si="43"/>
        <v>416675.25150019035</v>
      </c>
      <c r="AC178" s="40">
        <f t="shared" si="43"/>
        <v>448240.63738029747</v>
      </c>
      <c r="AD178" s="40">
        <f t="shared" si="43"/>
        <v>481381.83963226934</v>
      </c>
      <c r="AE178" s="40">
        <f t="shared" si="43"/>
        <v>516166.49766519462</v>
      </c>
      <c r="AF178" s="40">
        <f t="shared" si="43"/>
        <v>552664.8909993188</v>
      </c>
      <c r="AG178" s="40">
        <f t="shared" si="43"/>
        <v>590954.02016702818</v>
      </c>
      <c r="AH178" s="40">
        <f t="shared" si="43"/>
        <v>631159.67587377247</v>
      </c>
    </row>
    <row r="179" spans="1:34" s="278" customFormat="1" x14ac:dyDescent="0.2">
      <c r="A179" s="316"/>
      <c r="B179" s="22"/>
      <c r="C179" s="22"/>
      <c r="D179" s="22"/>
      <c r="E179" s="113">
        <f t="shared" ref="E179:AH179" si="44">IF(E144=1,E148-D148," ")</f>
        <v>100</v>
      </c>
      <c r="F179" s="113">
        <f t="shared" si="44"/>
        <v>8117.9507387507656</v>
      </c>
      <c r="G179" s="113">
        <f t="shared" si="44"/>
        <v>8394.8964469582752</v>
      </c>
      <c r="H179" s="113">
        <f t="shared" si="44"/>
        <v>8907.4443982446574</v>
      </c>
      <c r="I179" s="113">
        <f t="shared" si="44"/>
        <v>9656.4887600222828</v>
      </c>
      <c r="J179" s="113">
        <f t="shared" si="44"/>
        <v>10333.981696093819</v>
      </c>
      <c r="K179" s="113">
        <f t="shared" si="44"/>
        <v>11633.226746329376</v>
      </c>
      <c r="L179" s="113">
        <f t="shared" si="44"/>
        <v>12494.871367005719</v>
      </c>
      <c r="M179" s="113">
        <f t="shared" si="44"/>
        <v>13286.906290546714</v>
      </c>
      <c r="N179" s="113">
        <f t="shared" si="44"/>
        <v>14115.41483356629</v>
      </c>
      <c r="O179" s="113">
        <f t="shared" si="44"/>
        <v>14794.914672521845</v>
      </c>
      <c r="P179" s="113">
        <f t="shared" si="44"/>
        <v>15635.262153166652</v>
      </c>
      <c r="Q179" s="113">
        <f t="shared" si="44"/>
        <v>16527.392942356892</v>
      </c>
      <c r="R179" s="113">
        <f t="shared" si="44"/>
        <v>17459.161462394928</v>
      </c>
      <c r="S179" s="113">
        <f t="shared" si="44"/>
        <v>18433.45315867482</v>
      </c>
      <c r="T179" s="113">
        <f t="shared" si="44"/>
        <v>19450.034146057762</v>
      </c>
      <c r="U179" s="113">
        <f t="shared" si="44"/>
        <v>20454.270211543073</v>
      </c>
      <c r="V179" s="113">
        <f t="shared" si="44"/>
        <v>21624.739290119353</v>
      </c>
      <c r="W179" s="113">
        <f t="shared" si="44"/>
        <v>22783.555576854182</v>
      </c>
      <c r="X179" s="113">
        <f t="shared" si="44"/>
        <v>23993.158462478837</v>
      </c>
      <c r="Y179" s="113">
        <f t="shared" si="44"/>
        <v>25255.562272831623</v>
      </c>
      <c r="Z179" s="113">
        <f t="shared" si="44"/>
        <v>26572.856611560448</v>
      </c>
      <c r="AA179" s="113">
        <f t="shared" si="44"/>
        <v>27947.209065624978</v>
      </c>
      <c r="AB179" s="113">
        <f t="shared" si="44"/>
        <v>29380.868005365133</v>
      </c>
      <c r="AC179" s="113">
        <f t="shared" si="44"/>
        <v>30876.165482385433</v>
      </c>
      <c r="AD179" s="113">
        <f t="shared" si="44"/>
        <v>32435.52022861049</v>
      </c>
      <c r="AE179" s="113">
        <f t="shared" si="44"/>
        <v>34061.440759979305</v>
      </c>
      <c r="AF179" s="113">
        <f t="shared" si="44"/>
        <v>35756.528588360758</v>
      </c>
      <c r="AG179" s="113">
        <f t="shared" si="44"/>
        <v>37523.1055091772</v>
      </c>
      <c r="AH179" s="113">
        <f t="shared" si="44"/>
        <v>39359.886407016194</v>
      </c>
    </row>
    <row r="180" spans="1:34" x14ac:dyDescent="0.2">
      <c r="A180" s="316"/>
    </row>
    <row r="181" spans="1:34" x14ac:dyDescent="0.2">
      <c r="A181" s="316"/>
    </row>
    <row r="182" spans="1:34" x14ac:dyDescent="0.2">
      <c r="A182" s="316"/>
      <c r="E182" s="52"/>
    </row>
    <row r="183" spans="1:34" x14ac:dyDescent="0.2">
      <c r="A183" s="316"/>
    </row>
    <row r="184" spans="1:34" x14ac:dyDescent="0.2">
      <c r="A184" s="316"/>
    </row>
    <row r="185" spans="1:34" x14ac:dyDescent="0.2">
      <c r="A185" s="316"/>
    </row>
    <row r="186" spans="1:34" x14ac:dyDescent="0.2">
      <c r="A186" s="316"/>
    </row>
  </sheetData>
  <pageMargins left="0.70866141732283472" right="0.70866141732283472" top="0.74803149606299213" bottom="0.74803149606299213" header="0.31496062992125984" footer="0.31496062992125984"/>
  <pageSetup paperSize="8"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AI182"/>
  <sheetViews>
    <sheetView zoomScale="75" zoomScaleNormal="75" workbookViewId="0">
      <pane xSplit="4" ySplit="6" topLeftCell="E7" activePane="bottomRight" state="frozen"/>
      <selection pane="topRight" activeCell="E1" sqref="E1"/>
      <selection pane="bottomLeft" activeCell="A7" sqref="A7"/>
      <selection pane="bottomRight" activeCell="A159" sqref="A159"/>
    </sheetView>
  </sheetViews>
  <sheetFormatPr baseColWidth="10" defaultColWidth="0" defaultRowHeight="15" x14ac:dyDescent="0.2"/>
  <cols>
    <col min="1" max="1" width="8" style="22" customWidth="1"/>
    <col min="2" max="2" width="11.5" style="22" customWidth="1"/>
    <col min="3" max="3" width="9.1640625" style="22" customWidth="1"/>
    <col min="4" max="4" width="14.1640625" style="22" customWidth="1"/>
    <col min="5" max="16" width="10.5" style="22" bestFit="1" customWidth="1"/>
    <col min="17" max="17" width="11.1640625" style="22" bestFit="1" customWidth="1"/>
    <col min="18" max="18" width="12.1640625" style="22" bestFit="1" customWidth="1"/>
    <col min="19" max="19" width="11.1640625" style="22" bestFit="1" customWidth="1"/>
    <col min="20" max="21" width="12.1640625" style="22" bestFit="1" customWidth="1"/>
    <col min="22" max="22" width="11.1640625" style="22" bestFit="1" customWidth="1"/>
    <col min="23" max="23" width="12.1640625" style="22" bestFit="1" customWidth="1"/>
    <col min="24" max="24" width="12" style="22" customWidth="1"/>
    <col min="25" max="25" width="13.5" style="22" customWidth="1"/>
    <col min="26" max="29" width="11" style="22" bestFit="1" customWidth="1"/>
    <col min="30" max="34" width="12.1640625" style="22" bestFit="1" customWidth="1"/>
    <col min="35" max="35" width="9.1640625" style="22" customWidth="1"/>
    <col min="36" max="16384" width="9.1640625" style="22" hidden="1"/>
  </cols>
  <sheetData>
    <row r="1" spans="1:34" s="476" customFormat="1" x14ac:dyDescent="0.2">
      <c r="A1" s="477"/>
      <c r="B1" s="478" t="s">
        <v>85</v>
      </c>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row>
    <row r="2" spans="1:34" s="18" customFormat="1" x14ac:dyDescent="0.2">
      <c r="A2" s="479"/>
      <c r="B2" s="480"/>
      <c r="C2" s="479"/>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c r="AD2" s="479"/>
      <c r="AE2" s="479"/>
      <c r="AF2" s="479"/>
      <c r="AG2" s="479"/>
      <c r="AH2" s="479"/>
    </row>
    <row r="3" spans="1:34" s="18" customFormat="1" x14ac:dyDescent="0.2">
      <c r="A3" s="479"/>
      <c r="B3" s="480" t="str">
        <f>"All units in "  &amp;'Assumptions - General'!E27&amp;  " millions unless otherwise stated"</f>
        <v>All units in R$ millions unless otherwise stated</v>
      </c>
      <c r="C3" s="481"/>
      <c r="D3" s="479"/>
      <c r="E3" s="479"/>
      <c r="F3" s="479"/>
      <c r="G3" s="479"/>
      <c r="H3" s="479"/>
      <c r="I3" s="479"/>
      <c r="J3" s="479"/>
      <c r="K3" s="479"/>
      <c r="L3" s="479"/>
      <c r="M3" s="479"/>
      <c r="N3" s="479"/>
      <c r="O3" s="479"/>
      <c r="P3" s="479"/>
      <c r="Q3" s="479"/>
      <c r="R3" s="479"/>
      <c r="S3" s="479"/>
      <c r="T3" s="479"/>
      <c r="U3" s="479"/>
      <c r="V3" s="479"/>
      <c r="W3" s="479"/>
      <c r="X3" s="479"/>
      <c r="Y3" s="479"/>
      <c r="Z3" s="479"/>
      <c r="AA3" s="479"/>
      <c r="AB3" s="479"/>
      <c r="AC3" s="479"/>
      <c r="AD3" s="479"/>
      <c r="AE3" s="479"/>
      <c r="AF3" s="479"/>
      <c r="AG3" s="479"/>
      <c r="AH3" s="479"/>
    </row>
    <row r="4" spans="1:34" s="20" customFormat="1" x14ac:dyDescent="0.2">
      <c r="A4" s="18"/>
      <c r="B4" s="7" t="s">
        <v>99</v>
      </c>
      <c r="C4" s="8"/>
      <c r="D4" s="8"/>
      <c r="E4" s="8">
        <v>1</v>
      </c>
      <c r="F4" s="8">
        <v>2</v>
      </c>
      <c r="G4" s="8">
        <v>3</v>
      </c>
      <c r="H4" s="8">
        <v>4</v>
      </c>
      <c r="I4" s="8">
        <v>5</v>
      </c>
      <c r="J4" s="8">
        <v>6</v>
      </c>
      <c r="K4" s="8">
        <v>7</v>
      </c>
      <c r="L4" s="8">
        <v>8</v>
      </c>
      <c r="M4" s="8">
        <v>9</v>
      </c>
      <c r="N4" s="8">
        <v>10</v>
      </c>
      <c r="O4" s="8">
        <v>11</v>
      </c>
      <c r="P4" s="8">
        <v>12</v>
      </c>
      <c r="Q4" s="8">
        <v>13</v>
      </c>
      <c r="R4" s="8">
        <v>14</v>
      </c>
      <c r="S4" s="8">
        <v>15</v>
      </c>
      <c r="T4" s="8">
        <v>16</v>
      </c>
      <c r="U4" s="8">
        <v>17</v>
      </c>
      <c r="V4" s="8">
        <v>18</v>
      </c>
      <c r="W4" s="8">
        <v>19</v>
      </c>
      <c r="X4" s="8">
        <v>20</v>
      </c>
      <c r="Y4" s="8">
        <v>21</v>
      </c>
      <c r="Z4" s="8">
        <v>22</v>
      </c>
      <c r="AA4" s="8">
        <v>23</v>
      </c>
      <c r="AB4" s="8">
        <v>24</v>
      </c>
      <c r="AC4" s="8">
        <v>25</v>
      </c>
      <c r="AD4" s="8">
        <v>26</v>
      </c>
      <c r="AE4" s="8">
        <v>27</v>
      </c>
      <c r="AF4" s="8">
        <v>28</v>
      </c>
      <c r="AG4" s="8">
        <v>29</v>
      </c>
      <c r="AH4" s="8">
        <v>30</v>
      </c>
    </row>
    <row r="5" spans="1:34" s="20" customFormat="1" x14ac:dyDescent="0.2">
      <c r="A5" s="18"/>
      <c r="B5" s="7" t="s">
        <v>12</v>
      </c>
      <c r="C5" s="8"/>
      <c r="D5" s="8"/>
      <c r="E5" s="9">
        <f>'Assumptions - General'!$E$28</f>
        <v>40179</v>
      </c>
      <c r="F5" s="9">
        <f t="shared" ref="F5:AH5" si="0">E6+1</f>
        <v>40544</v>
      </c>
      <c r="G5" s="9">
        <f t="shared" si="0"/>
        <v>40909</v>
      </c>
      <c r="H5" s="9">
        <f t="shared" si="0"/>
        <v>41275</v>
      </c>
      <c r="I5" s="9">
        <f t="shared" si="0"/>
        <v>41640</v>
      </c>
      <c r="J5" s="9">
        <f t="shared" si="0"/>
        <v>42005</v>
      </c>
      <c r="K5" s="9">
        <f t="shared" si="0"/>
        <v>42370</v>
      </c>
      <c r="L5" s="9">
        <f t="shared" si="0"/>
        <v>42736</v>
      </c>
      <c r="M5" s="9">
        <f t="shared" si="0"/>
        <v>43101</v>
      </c>
      <c r="N5" s="9">
        <f t="shared" si="0"/>
        <v>43466</v>
      </c>
      <c r="O5" s="9">
        <f t="shared" si="0"/>
        <v>43831</v>
      </c>
      <c r="P5" s="9">
        <f t="shared" si="0"/>
        <v>44197</v>
      </c>
      <c r="Q5" s="9">
        <f t="shared" si="0"/>
        <v>44562</v>
      </c>
      <c r="R5" s="9">
        <f t="shared" si="0"/>
        <v>44927</v>
      </c>
      <c r="S5" s="9">
        <f t="shared" si="0"/>
        <v>45292</v>
      </c>
      <c r="T5" s="9">
        <f t="shared" si="0"/>
        <v>45658</v>
      </c>
      <c r="U5" s="9">
        <f t="shared" si="0"/>
        <v>46023</v>
      </c>
      <c r="V5" s="9">
        <f t="shared" si="0"/>
        <v>46388</v>
      </c>
      <c r="W5" s="9">
        <f t="shared" si="0"/>
        <v>46753</v>
      </c>
      <c r="X5" s="9">
        <f t="shared" si="0"/>
        <v>47119</v>
      </c>
      <c r="Y5" s="9">
        <f t="shared" si="0"/>
        <v>47484</v>
      </c>
      <c r="Z5" s="9">
        <f t="shared" si="0"/>
        <v>47849</v>
      </c>
      <c r="AA5" s="9">
        <f t="shared" si="0"/>
        <v>48214</v>
      </c>
      <c r="AB5" s="9">
        <f t="shared" si="0"/>
        <v>48580</v>
      </c>
      <c r="AC5" s="9">
        <f t="shared" si="0"/>
        <v>48945</v>
      </c>
      <c r="AD5" s="9">
        <f t="shared" si="0"/>
        <v>49310</v>
      </c>
      <c r="AE5" s="9">
        <f t="shared" si="0"/>
        <v>49675</v>
      </c>
      <c r="AF5" s="9">
        <f t="shared" si="0"/>
        <v>50041</v>
      </c>
      <c r="AG5" s="9">
        <f t="shared" si="0"/>
        <v>50406</v>
      </c>
      <c r="AH5" s="9">
        <f t="shared" si="0"/>
        <v>50771</v>
      </c>
    </row>
    <row r="6" spans="1:34" s="20" customFormat="1" x14ac:dyDescent="0.2">
      <c r="A6" s="18"/>
      <c r="B6" s="7" t="s">
        <v>13</v>
      </c>
      <c r="C6" s="8"/>
      <c r="D6" s="8"/>
      <c r="E6" s="9">
        <f>DATE(YEAR(E5)+1, MONTH(E5), DAY(E5)-1)</f>
        <v>40543</v>
      </c>
      <c r="F6" s="9">
        <f t="shared" ref="F6:AH6" si="1">DATE(YEAR(F5)+1, MONTH(F5), DAY(F5)-1)</f>
        <v>40908</v>
      </c>
      <c r="G6" s="9">
        <f t="shared" si="1"/>
        <v>41274</v>
      </c>
      <c r="H6" s="9">
        <f t="shared" si="1"/>
        <v>41639</v>
      </c>
      <c r="I6" s="9">
        <f t="shared" si="1"/>
        <v>42004</v>
      </c>
      <c r="J6" s="9">
        <f t="shared" si="1"/>
        <v>42369</v>
      </c>
      <c r="K6" s="9">
        <f t="shared" si="1"/>
        <v>42735</v>
      </c>
      <c r="L6" s="9">
        <f t="shared" si="1"/>
        <v>43100</v>
      </c>
      <c r="M6" s="9">
        <f t="shared" si="1"/>
        <v>43465</v>
      </c>
      <c r="N6" s="9">
        <f t="shared" si="1"/>
        <v>43830</v>
      </c>
      <c r="O6" s="9">
        <f t="shared" si="1"/>
        <v>44196</v>
      </c>
      <c r="P6" s="9">
        <f t="shared" si="1"/>
        <v>44561</v>
      </c>
      <c r="Q6" s="9">
        <f t="shared" si="1"/>
        <v>44926</v>
      </c>
      <c r="R6" s="9">
        <f t="shared" si="1"/>
        <v>45291</v>
      </c>
      <c r="S6" s="9">
        <f t="shared" si="1"/>
        <v>45657</v>
      </c>
      <c r="T6" s="9">
        <f t="shared" si="1"/>
        <v>46022</v>
      </c>
      <c r="U6" s="9">
        <f t="shared" si="1"/>
        <v>46387</v>
      </c>
      <c r="V6" s="9">
        <f t="shared" si="1"/>
        <v>46752</v>
      </c>
      <c r="W6" s="9">
        <f t="shared" si="1"/>
        <v>47118</v>
      </c>
      <c r="X6" s="9">
        <f t="shared" si="1"/>
        <v>47483</v>
      </c>
      <c r="Y6" s="9">
        <f t="shared" si="1"/>
        <v>47848</v>
      </c>
      <c r="Z6" s="9">
        <f t="shared" si="1"/>
        <v>48213</v>
      </c>
      <c r="AA6" s="9">
        <f t="shared" si="1"/>
        <v>48579</v>
      </c>
      <c r="AB6" s="9">
        <f t="shared" si="1"/>
        <v>48944</v>
      </c>
      <c r="AC6" s="9">
        <f t="shared" si="1"/>
        <v>49309</v>
      </c>
      <c r="AD6" s="9">
        <f t="shared" si="1"/>
        <v>49674</v>
      </c>
      <c r="AE6" s="9">
        <f t="shared" si="1"/>
        <v>50040</v>
      </c>
      <c r="AF6" s="9">
        <f t="shared" si="1"/>
        <v>50405</v>
      </c>
      <c r="AG6" s="9">
        <f t="shared" si="1"/>
        <v>50770</v>
      </c>
      <c r="AH6" s="9">
        <f t="shared" si="1"/>
        <v>51135</v>
      </c>
    </row>
    <row r="7" spans="1:34" s="18" customFormat="1" ht="19" x14ac:dyDescent="0.25">
      <c r="A7" s="2"/>
      <c r="B7" s="483" t="str">
        <f>'Assumptions - General'!$E$23</f>
        <v xml:space="preserve">Ruritania Railways </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row>
    <row r="8" spans="1:34" s="18" customFormat="1" x14ac:dyDescent="0.2">
      <c r="A8" s="2"/>
      <c r="B8" s="3"/>
      <c r="C8" s="6"/>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row>
    <row r="9" spans="1:34" s="20" customFormat="1" hidden="1" x14ac:dyDescent="0.2">
      <c r="A9" s="2"/>
      <c r="B9" s="7" t="s">
        <v>226</v>
      </c>
      <c r="C9" s="8"/>
      <c r="D9" s="8"/>
      <c r="E9" s="29">
        <f>Calculations!E21</f>
        <v>1</v>
      </c>
      <c r="F9" s="29">
        <f>Calculations!F21</f>
        <v>1</v>
      </c>
      <c r="G9" s="29">
        <f>Calculations!G21</f>
        <v>1</v>
      </c>
      <c r="H9" s="29">
        <f>Calculations!H21</f>
        <v>1</v>
      </c>
      <c r="I9" s="29">
        <f>Calculations!I21</f>
        <v>1</v>
      </c>
      <c r="J9" s="29">
        <f>Calculations!J21</f>
        <v>1</v>
      </c>
      <c r="K9" s="29">
        <f>Calculations!K21</f>
        <v>1</v>
      </c>
      <c r="L9" s="29">
        <f>Calculations!L21</f>
        <v>1</v>
      </c>
      <c r="M9" s="29">
        <f>Calculations!M21</f>
        <v>1</v>
      </c>
      <c r="N9" s="29">
        <f>Calculations!N21</f>
        <v>1</v>
      </c>
      <c r="O9" s="29">
        <f>Calculations!O21</f>
        <v>1</v>
      </c>
      <c r="P9" s="29">
        <f>Calculations!P21</f>
        <v>1</v>
      </c>
      <c r="Q9" s="29">
        <f>Calculations!Q21</f>
        <v>1</v>
      </c>
      <c r="R9" s="29">
        <f>Calculations!R21</f>
        <v>1</v>
      </c>
      <c r="S9" s="29">
        <f>Calculations!S21</f>
        <v>1</v>
      </c>
      <c r="T9" s="29">
        <f>Calculations!T21</f>
        <v>1</v>
      </c>
      <c r="U9" s="29">
        <f>Calculations!U21</f>
        <v>1</v>
      </c>
      <c r="V9" s="29">
        <f>Calculations!V21</f>
        <v>1</v>
      </c>
      <c r="W9" s="29">
        <f>Calculations!W21</f>
        <v>1</v>
      </c>
      <c r="X9" s="29">
        <f>Calculations!X21</f>
        <v>1</v>
      </c>
      <c r="Y9" s="29">
        <f>Calculations!Y21</f>
        <v>1</v>
      </c>
      <c r="Z9" s="29">
        <f>Calculations!Z21</f>
        <v>1</v>
      </c>
      <c r="AA9" s="29">
        <f>Calculations!AA21</f>
        <v>1</v>
      </c>
      <c r="AB9" s="29">
        <f>Calculations!AB21</f>
        <v>1</v>
      </c>
      <c r="AC9" s="29">
        <f>Calculations!AC21</f>
        <v>1</v>
      </c>
      <c r="AD9" s="29">
        <f>Calculations!AD21</f>
        <v>1</v>
      </c>
      <c r="AE9" s="29">
        <f>Calculations!AE21</f>
        <v>1</v>
      </c>
      <c r="AF9" s="29">
        <f>Calculations!AF21</f>
        <v>1</v>
      </c>
      <c r="AG9" s="29">
        <f>Calculations!AG21</f>
        <v>1</v>
      </c>
      <c r="AH9" s="29">
        <f>Calculations!AH21</f>
        <v>1</v>
      </c>
    </row>
    <row r="10" spans="1:34" s="278" customFormat="1" x14ac:dyDescent="0.2">
      <c r="A10" s="2"/>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row>
    <row r="11" spans="1:34" s="20" customFormat="1" x14ac:dyDescent="0.2">
      <c r="A11" s="2"/>
      <c r="B11" s="19" t="s">
        <v>86</v>
      </c>
    </row>
    <row r="12" spans="1:34" s="277" customFormat="1" x14ac:dyDescent="0.2">
      <c r="A12" s="2"/>
      <c r="B12" s="25" t="s">
        <v>87</v>
      </c>
      <c r="C12" s="24"/>
      <c r="D12" s="24"/>
      <c r="E12" s="35">
        <f t="shared" ref="E12:AH12" si="2">IF(E$9=1,E56," ")</f>
        <v>41000</v>
      </c>
      <c r="F12" s="35">
        <f t="shared" si="2"/>
        <v>41101.599999999999</v>
      </c>
      <c r="G12" s="35">
        <f t="shared" si="2"/>
        <v>42234.867039999997</v>
      </c>
      <c r="H12" s="35">
        <f t="shared" si="2"/>
        <v>43400.727023223997</v>
      </c>
      <c r="I12" s="35">
        <f t="shared" si="2"/>
        <v>44600.133110909854</v>
      </c>
      <c r="J12" s="35">
        <f t="shared" si="2"/>
        <v>45834.066527223549</v>
      </c>
      <c r="K12" s="35">
        <f t="shared" si="2"/>
        <v>52991.479561478882</v>
      </c>
      <c r="L12" s="35">
        <f t="shared" si="2"/>
        <v>54460.783748119538</v>
      </c>
      <c r="M12" s="35">
        <f t="shared" si="2"/>
        <v>55972.441697615403</v>
      </c>
      <c r="N12" s="35">
        <f t="shared" si="2"/>
        <v>57527.693173328473</v>
      </c>
      <c r="O12" s="35">
        <f t="shared" si="2"/>
        <v>59127.814455032407</v>
      </c>
      <c r="P12" s="35">
        <f t="shared" si="2"/>
        <v>60774.119417520604</v>
      </c>
      <c r="Q12" s="35">
        <f t="shared" si="2"/>
        <v>62467.960641123304</v>
      </c>
      <c r="R12" s="35">
        <f t="shared" si="2"/>
        <v>64210.730555078582</v>
      </c>
      <c r="S12" s="35">
        <f t="shared" si="2"/>
        <v>66003.86261473065</v>
      </c>
      <c r="T12" s="35">
        <f t="shared" si="2"/>
        <v>67848.832513556685</v>
      </c>
      <c r="U12" s="35">
        <f t="shared" si="2"/>
        <v>69747.159431054446</v>
      </c>
      <c r="V12" s="35">
        <f t="shared" si="2"/>
        <v>71700.407317552046</v>
      </c>
      <c r="W12" s="35">
        <f t="shared" si="2"/>
        <v>73710.186217033945</v>
      </c>
      <c r="X12" s="35">
        <f t="shared" si="2"/>
        <v>75778.153629109089</v>
      </c>
      <c r="Y12" s="35">
        <f t="shared" si="2"/>
        <v>77906.015911280352</v>
      </c>
      <c r="Z12" s="35">
        <f t="shared" si="2"/>
        <v>80095.529722709427</v>
      </c>
      <c r="AA12" s="35">
        <f t="shared" si="2"/>
        <v>82348.503510705836</v>
      </c>
      <c r="AB12" s="35">
        <f t="shared" si="2"/>
        <v>84666.799041206017</v>
      </c>
      <c r="AC12" s="35">
        <f t="shared" si="2"/>
        <v>87052.332974545352</v>
      </c>
      <c r="AD12" s="35">
        <f t="shared" si="2"/>
        <v>89507.078487865103</v>
      </c>
      <c r="AE12" s="35">
        <f t="shared" si="2"/>
        <v>92033.066945535495</v>
      </c>
      <c r="AF12" s="35">
        <f t="shared" si="2"/>
        <v>94632.38961901734</v>
      </c>
      <c r="AG12" s="35">
        <f t="shared" si="2"/>
        <v>97307.199457627547</v>
      </c>
      <c r="AH12" s="35">
        <f t="shared" si="2"/>
        <v>100059.71291171557</v>
      </c>
    </row>
    <row r="13" spans="1:34" s="277" customFormat="1" x14ac:dyDescent="0.2">
      <c r="A13" s="2"/>
      <c r="B13" s="25" t="s">
        <v>250</v>
      </c>
      <c r="C13" s="24"/>
      <c r="D13" s="24"/>
      <c r="E13" s="35">
        <f t="shared" ref="E13:AH13" si="3">IF(E$9=1,E100," ")</f>
        <v>24000</v>
      </c>
      <c r="F13" s="35">
        <f t="shared" si="3"/>
        <v>26265</v>
      </c>
      <c r="G13" s="35">
        <f t="shared" si="3"/>
        <v>27052.949999999997</v>
      </c>
      <c r="H13" s="35">
        <f t="shared" si="3"/>
        <v>29503.629000000001</v>
      </c>
      <c r="I13" s="35">
        <f t="shared" si="3"/>
        <v>33765.264300000003</v>
      </c>
      <c r="J13" s="35">
        <f t="shared" si="3"/>
        <v>36517.133340450004</v>
      </c>
      <c r="K13" s="35">
        <f t="shared" si="3"/>
        <v>39403.725785457005</v>
      </c>
      <c r="L13" s="35">
        <f t="shared" si="3"/>
        <v>42430.648357158017</v>
      </c>
      <c r="M13" s="35">
        <f t="shared" si="3"/>
        <v>45603.722929954187</v>
      </c>
      <c r="N13" s="35">
        <f t="shared" si="3"/>
        <v>48928.994393596688</v>
      </c>
      <c r="O13" s="35">
        <f t="shared" si="3"/>
        <v>52412.738794420758</v>
      </c>
      <c r="P13" s="35">
        <f t="shared" si="3"/>
        <v>56061.471764340065</v>
      </c>
      <c r="Q13" s="35">
        <f t="shared" si="3"/>
        <v>59881.957247539533</v>
      </c>
      <c r="R13" s="35">
        <f t="shared" si="3"/>
        <v>63881.216535143074</v>
      </c>
      <c r="S13" s="35">
        <f t="shared" si="3"/>
        <v>68066.537618480041</v>
      </c>
      <c r="T13" s="35">
        <f t="shared" si="3"/>
        <v>72445.48487193558</v>
      </c>
      <c r="U13" s="35">
        <f t="shared" si="3"/>
        <v>77025.909076741838</v>
      </c>
      <c r="V13" s="35">
        <f t="shared" si="3"/>
        <v>81815.957797451731</v>
      </c>
      <c r="W13" s="35">
        <f t="shared" si="3"/>
        <v>86824.086123235131</v>
      </c>
      <c r="X13" s="35">
        <f t="shared" si="3"/>
        <v>92059.06778654785</v>
      </c>
      <c r="Y13" s="35">
        <f t="shared" si="3"/>
        <v>97530.006672148404</v>
      </c>
      <c r="Z13" s="35">
        <f t="shared" si="3"/>
        <v>103246.34872987712</v>
      </c>
      <c r="AA13" s="35">
        <f t="shared" si="3"/>
        <v>109217.8943050646</v>
      </c>
      <c r="AB13" s="35">
        <f t="shared" si="3"/>
        <v>115454.81090090648</v>
      </c>
      <c r="AC13" s="35">
        <f t="shared" si="3"/>
        <v>121967.64638762426</v>
      </c>
      <c r="AD13" s="35">
        <f t="shared" si="3"/>
        <v>128767.34267373431</v>
      </c>
      <c r="AE13" s="35">
        <f t="shared" si="3"/>
        <v>135865.24985526211</v>
      </c>
      <c r="AF13" s="35">
        <f t="shared" si="3"/>
        <v>143273.14085927524</v>
      </c>
      <c r="AG13" s="35">
        <f t="shared" si="3"/>
        <v>151003.22659865936</v>
      </c>
      <c r="AH13" s="35">
        <f t="shared" si="3"/>
        <v>159068.17165563325</v>
      </c>
    </row>
    <row r="14" spans="1:34" s="277" customFormat="1" x14ac:dyDescent="0.2">
      <c r="A14" s="2"/>
      <c r="B14" s="25" t="s">
        <v>689</v>
      </c>
      <c r="C14" s="24"/>
      <c r="D14" s="24"/>
      <c r="E14" s="35">
        <f>IF(E$9=1,Calculations!E1121+Calculations!E1129-E62-E106," ")</f>
        <v>20435</v>
      </c>
      <c r="F14" s="35">
        <f>IF(F$9=1,Calculations!F1121+Calculations!F1129-F62-F106," ")</f>
        <v>21530.862500000007</v>
      </c>
      <c r="G14" s="35">
        <f>IF(G$9=1,Calculations!G1121+Calculations!G1129-G62-G106," ")</f>
        <v>22176.788374999996</v>
      </c>
      <c r="H14" s="35">
        <f>IF(H$9=1,Calculations!H1121+Calculations!H1129-H62-H106," ")</f>
        <v>23354.307807500008</v>
      </c>
      <c r="I14" s="35">
        <f>IF(I$9=1,Calculations!I1121+Calculations!I1129-I62-I106," ")</f>
        <v>25110.101551100008</v>
      </c>
      <c r="J14" s="35">
        <f>IF(J$9=1,Calculations!J1121+Calculations!J1129-J62-J106," ")</f>
        <v>26406.81431996113</v>
      </c>
      <c r="K14" s="35">
        <f>IF(K$9=1,Calculations!K1121+Calculations!K1129-K62-K106," ")</f>
        <v>29633.392869108455</v>
      </c>
      <c r="L14" s="35">
        <f>IF(L$9=1,Calculations!L1121+Calculations!L1129-L62-L106," ")</f>
        <v>31098.898029599623</v>
      </c>
      <c r="M14" s="35">
        <f>IF(M$9=1,Calculations!M1121+Calculations!M1129-M62-M106," ")</f>
        <v>32625.663446138075</v>
      </c>
      <c r="N14" s="35">
        <f>IF(N$9=1,Calculations!N1121+Calculations!N1129-N62-N106," ")</f>
        <v>34216.045779442167</v>
      </c>
      <c r="O14" s="35">
        <f>IF(O$9=1,Calculations!O1121+Calculations!O1129-O62-O106," ")</f>
        <v>35872.487955642981</v>
      </c>
      <c r="P14" s="35">
        <f>IF(P$9=1,Calculations!P1121+Calculations!P1129-P62-P106," ")</f>
        <v>37597.522221214356</v>
      </c>
      <c r="Q14" s="35">
        <f>IF(Q$9=1,Calculations!Q1121+Calculations!Q1129-Q62-Q106," ")</f>
        <v>39393.773303559938</v>
      </c>
      <c r="R14" s="35">
        <f>IF(R$9=1,Calculations!R1121+Calculations!R1129-R62-R106," ")</f>
        <v>41263.961680847155</v>
      </c>
      <c r="S14" s="35">
        <f>IF(S$9=1,Calculations!S1121+Calculations!S1129-S62-S106," ")</f>
        <v>43210.906964798407</v>
      </c>
      <c r="T14" s="35">
        <f>IF(T$9=1,Calculations!T1121+Calculations!T1129-T62-T106," ")</f>
        <v>45237.531400273961</v>
      </c>
      <c r="U14" s="35">
        <f>IF(U$9=1,Calculations!U1121+Calculations!U1129-U62-U106," ")</f>
        <v>47346.863485609749</v>
      </c>
      <c r="V14" s="35">
        <f>IF(V$9=1,Calculations!V1121+Calculations!V1129-V62-V106," ")</f>
        <v>49542.041717805434</v>
      </c>
      <c r="W14" s="35">
        <f>IF(W$9=1,Calculations!W1121+Calculations!W1129-W62-W106," ")</f>
        <v>51826.318466795798</v>
      </c>
      <c r="X14" s="35">
        <f>IF(X$9=1,Calculations!X1121+Calculations!X1129-X62-X106," ")</f>
        <v>54203.063983179556</v>
      </c>
      <c r="Y14" s="35">
        <f>IF(Y$9=1,Calculations!Y1121+Calculations!Y1129-Y62-Y106," ")</f>
        <v>56675.77054392625</v>
      </c>
      <c r="Z14" s="35">
        <f>IF(Z$9=1,Calculations!Z1121+Calculations!Z1129-Z62-Z106," ")</f>
        <v>59248.056740732856</v>
      </c>
      <c r="AA14" s="35">
        <f>IF(AA$9=1,Calculations!AA1121+Calculations!AA1129-AA62-AA106," ")</f>
        <v>61923.671915858344</v>
      </c>
      <c r="AB14" s="35">
        <f>IF(AB$9=1,Calculations!AB1121+Calculations!AB1129-AB62-AB106," ")</f>
        <v>64706.500750424704</v>
      </c>
      <c r="AC14" s="35">
        <f>IF(AC$9=1,Calculations!AC1121+Calculations!AC1129-AC62-AC106," ")</f>
        <v>67600.568010340765</v>
      </c>
      <c r="AD14" s="35">
        <f>IF(AD$9=1,Calculations!AD1121+Calculations!AD1129-AD62-AD106," ")</f>
        <v>70610.04345517639</v>
      </c>
      <c r="AE14" s="35">
        <f>IF(AE$9=1,Calculations!AE1121+Calculations!AE1129-AE62-AE106," ")</f>
        <v>73739.24691549284</v>
      </c>
      <c r="AF14" s="35">
        <f>IF(AF$9=1,Calculations!AF1121+Calculations!AF1129-AF62-AF106," ")</f>
        <v>76992.653544318629</v>
      </c>
      <c r="AG14" s="35">
        <f>IF(AG$9=1,Calculations!AG1121+Calculations!AG1129-AG62-AG106," ")</f>
        <v>80374.899248650065</v>
      </c>
      <c r="AH14" s="35">
        <f>IF(AH$9=1,Calculations!AH1121+Calculations!AH1129-AH62-AH106," ")</f>
        <v>83890.786307051458</v>
      </c>
    </row>
    <row r="15" spans="1:34" s="277" customFormat="1" x14ac:dyDescent="0.2">
      <c r="A15" s="2"/>
      <c r="B15" s="25" t="s">
        <v>642</v>
      </c>
      <c r="C15" s="24"/>
      <c r="D15" s="24"/>
      <c r="E15" s="35">
        <f t="shared" ref="E15:AH15" si="4">IF(E$9=1,E57+E101+E145," ")</f>
        <v>70</v>
      </c>
      <c r="F15" s="35">
        <f t="shared" si="4"/>
        <v>72.099999999999994</v>
      </c>
      <c r="G15" s="35">
        <f t="shared" si="4"/>
        <v>74.263000000000005</v>
      </c>
      <c r="H15" s="35">
        <f t="shared" si="4"/>
        <v>76.490890000000007</v>
      </c>
      <c r="I15" s="35">
        <f t="shared" si="4"/>
        <v>78.785616700000006</v>
      </c>
      <c r="J15" s="35">
        <f t="shared" si="4"/>
        <v>81.149185201000009</v>
      </c>
      <c r="K15" s="35">
        <f t="shared" si="4"/>
        <v>83.583660757030003</v>
      </c>
      <c r="L15" s="35">
        <f t="shared" si="4"/>
        <v>86.091170579740904</v>
      </c>
      <c r="M15" s="35">
        <f t="shared" si="4"/>
        <v>88.673905697133137</v>
      </c>
      <c r="N15" s="35">
        <f t="shared" si="4"/>
        <v>91.334122868047132</v>
      </c>
      <c r="O15" s="35">
        <f t="shared" si="4"/>
        <v>94.074146554088557</v>
      </c>
      <c r="P15" s="35">
        <f t="shared" si="4"/>
        <v>96.896370950711216</v>
      </c>
      <c r="Q15" s="35">
        <f t="shared" si="4"/>
        <v>99.803262079232553</v>
      </c>
      <c r="R15" s="35">
        <f t="shared" si="4"/>
        <v>102.79735994160953</v>
      </c>
      <c r="S15" s="35">
        <f t="shared" si="4"/>
        <v>105.88128073985781</v>
      </c>
      <c r="T15" s="35">
        <f t="shared" si="4"/>
        <v>109.05771916205356</v>
      </c>
      <c r="U15" s="35">
        <f t="shared" si="4"/>
        <v>112.32945073691516</v>
      </c>
      <c r="V15" s="35">
        <f t="shared" si="4"/>
        <v>115.69933425902261</v>
      </c>
      <c r="W15" s="35">
        <f t="shared" si="4"/>
        <v>119.17031428679329</v>
      </c>
      <c r="X15" s="35">
        <f t="shared" si="4"/>
        <v>122.7454237153971</v>
      </c>
      <c r="Y15" s="35">
        <f t="shared" si="4"/>
        <v>126.427786426859</v>
      </c>
      <c r="Z15" s="35">
        <f t="shared" si="4"/>
        <v>130.22062001966478</v>
      </c>
      <c r="AA15" s="35">
        <f t="shared" si="4"/>
        <v>134.12723862025473</v>
      </c>
      <c r="AB15" s="35">
        <f t="shared" si="4"/>
        <v>138.15105577886237</v>
      </c>
      <c r="AC15" s="35">
        <f t="shared" si="4"/>
        <v>142.29558745222823</v>
      </c>
      <c r="AD15" s="35">
        <f t="shared" si="4"/>
        <v>146.56445507579508</v>
      </c>
      <c r="AE15" s="35">
        <f t="shared" si="4"/>
        <v>150.96138872806895</v>
      </c>
      <c r="AF15" s="35">
        <f t="shared" si="4"/>
        <v>155.49023038991101</v>
      </c>
      <c r="AG15" s="35">
        <f t="shared" si="4"/>
        <v>160.15493730160836</v>
      </c>
      <c r="AH15" s="35">
        <f t="shared" si="4"/>
        <v>164.95958542065659</v>
      </c>
    </row>
    <row r="16" spans="1:34" s="277" customFormat="1" x14ac:dyDescent="0.2">
      <c r="A16" s="2"/>
      <c r="B16" s="25" t="s">
        <v>331</v>
      </c>
      <c r="C16" s="24"/>
      <c r="D16" s="24"/>
      <c r="E16" s="35">
        <f t="shared" ref="E16:AH16" si="5">IF(E$9=1,E58+E102+E146," ")</f>
        <v>1506</v>
      </c>
      <c r="F16" s="35">
        <f t="shared" si="5"/>
        <v>1506.1174714573954</v>
      </c>
      <c r="G16" s="35">
        <f t="shared" si="5"/>
        <v>1510.0703039528225</v>
      </c>
      <c r="H16" s="35">
        <f t="shared" si="5"/>
        <v>1511.458986080831</v>
      </c>
      <c r="I16" s="35">
        <f t="shared" si="5"/>
        <v>1512.8741309898737</v>
      </c>
      <c r="J16" s="35">
        <f t="shared" si="5"/>
        <v>1514.3296668162498</v>
      </c>
      <c r="K16" s="35">
        <f t="shared" si="5"/>
        <v>1515.83036576572</v>
      </c>
      <c r="L16" s="35">
        <f t="shared" si="5"/>
        <v>1516.778954375487</v>
      </c>
      <c r="M16" s="35">
        <f t="shared" si="5"/>
        <v>1518.3367597946847</v>
      </c>
      <c r="N16" s="35">
        <f t="shared" si="5"/>
        <v>1520.0036624401919</v>
      </c>
      <c r="O16" s="35">
        <f t="shared" si="5"/>
        <v>1521.713272588652</v>
      </c>
      <c r="P16" s="35">
        <f t="shared" si="5"/>
        <v>1523.5049619383021</v>
      </c>
      <c r="Q16" s="35">
        <f t="shared" si="5"/>
        <v>1525.1934748215854</v>
      </c>
      <c r="R16" s="35">
        <f t="shared" si="5"/>
        <v>1526.7061617336935</v>
      </c>
      <c r="S16" s="35">
        <f t="shared" si="5"/>
        <v>1528.6285659381476</v>
      </c>
      <c r="T16" s="35">
        <f t="shared" si="5"/>
        <v>1530.0798000586324</v>
      </c>
      <c r="U16" s="35">
        <f t="shared" si="5"/>
        <v>1532.1684858547228</v>
      </c>
      <c r="V16" s="35">
        <f t="shared" si="5"/>
        <v>1533.9548656796919</v>
      </c>
      <c r="W16" s="35">
        <f t="shared" si="5"/>
        <v>1535.4593228594317</v>
      </c>
      <c r="X16" s="35">
        <f t="shared" si="5"/>
        <v>1537.6166916103975</v>
      </c>
      <c r="Y16" s="35">
        <f t="shared" si="5"/>
        <v>1539.2677207439192</v>
      </c>
      <c r="Z16" s="35">
        <f t="shared" si="5"/>
        <v>1541.6015873210558</v>
      </c>
      <c r="AA16" s="35">
        <f t="shared" si="5"/>
        <v>1544.109007922646</v>
      </c>
      <c r="AB16" s="35">
        <f t="shared" si="5"/>
        <v>1546.6921354297792</v>
      </c>
      <c r="AC16" s="35">
        <f t="shared" si="5"/>
        <v>1549.2494836122446</v>
      </c>
      <c r="AD16" s="35">
        <f t="shared" si="5"/>
        <v>1551.9855993494048</v>
      </c>
      <c r="AE16" s="35">
        <f t="shared" si="5"/>
        <v>1554.8039822055798</v>
      </c>
      <c r="AF16" s="35">
        <f t="shared" si="5"/>
        <v>1557.7070671982692</v>
      </c>
      <c r="AG16" s="35">
        <f t="shared" si="5"/>
        <v>1560.5162787494887</v>
      </c>
      <c r="AH16" s="35">
        <f t="shared" si="5"/>
        <v>1558.5110233629359</v>
      </c>
    </row>
    <row r="17" spans="1:34" s="277" customFormat="1" x14ac:dyDescent="0.2">
      <c r="A17" s="2"/>
      <c r="B17" s="23" t="s">
        <v>88</v>
      </c>
      <c r="C17" s="24"/>
      <c r="D17" s="24"/>
      <c r="E17" s="36">
        <f t="shared" ref="E17:AH17" si="6">IF(E9=1,SUM(E12:E16)," ")</f>
        <v>87011</v>
      </c>
      <c r="F17" s="36">
        <f t="shared" si="6"/>
        <v>90475.679971457415</v>
      </c>
      <c r="G17" s="36">
        <f t="shared" si="6"/>
        <v>93048.938718952821</v>
      </c>
      <c r="H17" s="36">
        <f t="shared" si="6"/>
        <v>97846.613706804841</v>
      </c>
      <c r="I17" s="36">
        <f t="shared" si="6"/>
        <v>105067.15870969972</v>
      </c>
      <c r="J17" s="36">
        <f t="shared" si="6"/>
        <v>110353.49303965193</v>
      </c>
      <c r="K17" s="36">
        <f t="shared" si="6"/>
        <v>123628.0122425671</v>
      </c>
      <c r="L17" s="36">
        <f t="shared" si="6"/>
        <v>129593.20025983242</v>
      </c>
      <c r="M17" s="36">
        <f t="shared" si="6"/>
        <v>135808.83873919945</v>
      </c>
      <c r="N17" s="36">
        <f t="shared" si="6"/>
        <v>142284.07113167556</v>
      </c>
      <c r="O17" s="36">
        <f t="shared" si="6"/>
        <v>149028.82862423887</v>
      </c>
      <c r="P17" s="36">
        <f t="shared" si="6"/>
        <v>156053.51473596404</v>
      </c>
      <c r="Q17" s="36">
        <f t="shared" si="6"/>
        <v>163368.68792912355</v>
      </c>
      <c r="R17" s="36">
        <f t="shared" si="6"/>
        <v>170985.41229274412</v>
      </c>
      <c r="S17" s="36">
        <f t="shared" si="6"/>
        <v>178915.81704468711</v>
      </c>
      <c r="T17" s="36">
        <f t="shared" si="6"/>
        <v>187170.9863049869</v>
      </c>
      <c r="U17" s="36">
        <f t="shared" si="6"/>
        <v>195764.42992999768</v>
      </c>
      <c r="V17" s="36">
        <f t="shared" si="6"/>
        <v>204708.06103274794</v>
      </c>
      <c r="W17" s="36">
        <f t="shared" si="6"/>
        <v>214015.2204442111</v>
      </c>
      <c r="X17" s="36">
        <f t="shared" si="6"/>
        <v>223700.64751416226</v>
      </c>
      <c r="Y17" s="36">
        <f t="shared" si="6"/>
        <v>233777.4886345258</v>
      </c>
      <c r="Z17" s="36">
        <f t="shared" si="6"/>
        <v>244261.75740066011</v>
      </c>
      <c r="AA17" s="36">
        <f t="shared" si="6"/>
        <v>255168.30597817167</v>
      </c>
      <c r="AB17" s="36">
        <f t="shared" si="6"/>
        <v>266512.95388374582</v>
      </c>
      <c r="AC17" s="36">
        <f t="shared" si="6"/>
        <v>278312.09244357492</v>
      </c>
      <c r="AD17" s="36">
        <f t="shared" si="6"/>
        <v>290583.014671201</v>
      </c>
      <c r="AE17" s="36">
        <f t="shared" si="6"/>
        <v>303343.32908722403</v>
      </c>
      <c r="AF17" s="36">
        <f t="shared" si="6"/>
        <v>316611.38132019946</v>
      </c>
      <c r="AG17" s="36">
        <f t="shared" si="6"/>
        <v>330405.99652098806</v>
      </c>
      <c r="AH17" s="36">
        <f t="shared" si="6"/>
        <v>344742.14148318389</v>
      </c>
    </row>
    <row r="18" spans="1:34" s="277" customFormat="1" x14ac:dyDescent="0.2">
      <c r="A18" s="2"/>
      <c r="B18" s="24"/>
      <c r="C18" s="24"/>
      <c r="D18" s="24"/>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35"/>
    </row>
    <row r="19" spans="1:34" s="20" customFormat="1" x14ac:dyDescent="0.2">
      <c r="A19" s="2"/>
      <c r="B19" s="19" t="s">
        <v>89</v>
      </c>
      <c r="E19" s="37"/>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row>
    <row r="20" spans="1:34" s="20" customFormat="1" x14ac:dyDescent="0.2">
      <c r="A20" s="2"/>
      <c r="B20" s="32" t="s">
        <v>688</v>
      </c>
      <c r="E20" s="37">
        <f>IF(OR(Calculations!E19=1,Calculations!E20=1),0,'Income statement'!E62+'Income statement'!E106)</f>
        <v>0</v>
      </c>
      <c r="F20" s="37">
        <f>IF(OR(Calculations!F19=1,Calculations!F20=1),0,'Income statement'!F62+'Income statement'!F106)</f>
        <v>0</v>
      </c>
      <c r="G20" s="37">
        <f>IF(OR(Calculations!G19=1,Calculations!G20=1),0,'Income statement'!G62+'Income statement'!G106)</f>
        <v>0</v>
      </c>
      <c r="H20" s="37">
        <f>IF(OR(Calculations!H19=1,Calculations!H20=1),0,'Income statement'!H62+'Income statement'!H106)</f>
        <v>0</v>
      </c>
      <c r="I20" s="37">
        <f>IF(OR(Calculations!I19=1,Calculations!I20=1),0,'Income statement'!I62+'Income statement'!I106)</f>
        <v>0</v>
      </c>
      <c r="J20" s="37">
        <f>IF(OR(Calculations!J19=1,Calculations!J20=1),0,'Income statement'!J62+'Income statement'!J106)</f>
        <v>0</v>
      </c>
      <c r="K20" s="37">
        <f>IF(OR(Calculations!K19=1,Calculations!K20=1),0,'Income statement'!K62+'Income statement'!K106)</f>
        <v>0</v>
      </c>
      <c r="L20" s="37">
        <f>IF(OR(Calculations!L19=1,Calculations!L20=1),0,'Income statement'!L62+'Income statement'!L106)</f>
        <v>0</v>
      </c>
      <c r="M20" s="37">
        <f>IF(OR(Calculations!M19=1,Calculations!M20=1),0,'Income statement'!M62+'Income statement'!M106)</f>
        <v>0</v>
      </c>
      <c r="N20" s="37">
        <f>IF(OR(Calculations!N19=1,Calculations!N20=1),0,'Income statement'!N62+'Income statement'!N106)</f>
        <v>0</v>
      </c>
      <c r="O20" s="37">
        <f>IF(OR(Calculations!O19=1,Calculations!O20=1),0,'Income statement'!O62+'Income statement'!O106)</f>
        <v>0</v>
      </c>
      <c r="P20" s="37">
        <f>IF(OR(Calculations!P19=1,Calculations!P20=1),0,'Income statement'!P62+'Income statement'!P106)</f>
        <v>0</v>
      </c>
      <c r="Q20" s="37">
        <f>IF(OR(Calculations!Q19=1,Calculations!Q20=1),0,'Income statement'!Q62+'Income statement'!Q106)</f>
        <v>0</v>
      </c>
      <c r="R20" s="37">
        <f>IF(OR(Calculations!R19=1,Calculations!R20=1),0,'Income statement'!R62+'Income statement'!R106)</f>
        <v>0</v>
      </c>
      <c r="S20" s="37">
        <f>IF(OR(Calculations!S19=1,Calculations!S20=1),0,'Income statement'!S62+'Income statement'!S106)</f>
        <v>0</v>
      </c>
      <c r="T20" s="37">
        <f>IF(OR(Calculations!T19=1,Calculations!T20=1),0,'Income statement'!T62+'Income statement'!T106)</f>
        <v>0</v>
      </c>
      <c r="U20" s="37">
        <f>IF(OR(Calculations!U19=1,Calculations!U20=1),0,'Income statement'!U62+'Income statement'!U106)</f>
        <v>0</v>
      </c>
      <c r="V20" s="37">
        <f>IF(OR(Calculations!V19=1,Calculations!V20=1),0,'Income statement'!V62+'Income statement'!V106)</f>
        <v>0</v>
      </c>
      <c r="W20" s="37">
        <f>IF(OR(Calculations!W19=1,Calculations!W20=1),0,'Income statement'!W62+'Income statement'!W106)</f>
        <v>0</v>
      </c>
      <c r="X20" s="37">
        <f>IF(OR(Calculations!X19=1,Calculations!X20=1),0,'Income statement'!X62+'Income statement'!X106)</f>
        <v>0</v>
      </c>
      <c r="Y20" s="37">
        <f>IF(OR(Calculations!Y19=1,Calculations!Y20=1),0,'Income statement'!Y62+'Income statement'!Y106)</f>
        <v>0</v>
      </c>
      <c r="Z20" s="37">
        <f>IF(OR(Calculations!Z19=1,Calculations!Z20=1),0,'Income statement'!Z62+'Income statement'!Z106)</f>
        <v>0</v>
      </c>
      <c r="AA20" s="37">
        <f>IF(OR(Calculations!AA19=1,Calculations!AA20=1),0,'Income statement'!AA62+'Income statement'!AA106)</f>
        <v>0</v>
      </c>
      <c r="AB20" s="37">
        <f>IF(OR(Calculations!AB19=1,Calculations!AB20=1),0,'Income statement'!AB62+'Income statement'!AB106)</f>
        <v>0</v>
      </c>
      <c r="AC20" s="37">
        <f>IF(OR(Calculations!AC19=1,Calculations!AC20=1),0,'Income statement'!AC62+'Income statement'!AC106)</f>
        <v>0</v>
      </c>
      <c r="AD20" s="37">
        <f>IF(OR(Calculations!AD19=1,Calculations!AD20=1),0,'Income statement'!AD62+'Income statement'!AD106)</f>
        <v>0</v>
      </c>
      <c r="AE20" s="37">
        <f>IF(OR(Calculations!AE19=1,Calculations!AE20=1),0,'Income statement'!AE62+'Income statement'!AE106)</f>
        <v>0</v>
      </c>
      <c r="AF20" s="37">
        <f>IF(OR(Calculations!AF19=1,Calculations!AF20=1),0,'Income statement'!AF62+'Income statement'!AF106)</f>
        <v>0</v>
      </c>
      <c r="AG20" s="37">
        <f>IF(OR(Calculations!AG19=1,Calculations!AG20=1),0,'Income statement'!AG62+'Income statement'!AG106)</f>
        <v>0</v>
      </c>
      <c r="AH20" s="37">
        <f>IF(OR(Calculations!AH19=1,Calculations!AH20=1),0,'Income statement'!AH62+'Income statement'!AH106)</f>
        <v>0</v>
      </c>
    </row>
    <row r="21" spans="1:34" s="277" customFormat="1" x14ac:dyDescent="0.2">
      <c r="A21" s="2"/>
      <c r="B21" s="25" t="s">
        <v>37</v>
      </c>
      <c r="C21" s="24"/>
      <c r="D21" s="24"/>
      <c r="E21" s="35">
        <f>IF(E9=1,Calculations!E1407," ")</f>
        <v>3000</v>
      </c>
      <c r="F21" s="35">
        <f>IF(F9=1,Calculations!F1407," ")</f>
        <v>3158.666666666667</v>
      </c>
      <c r="G21" s="35">
        <f>IF(G9=1,Calculations!G1407," ")</f>
        <v>3324.1533333333336</v>
      </c>
      <c r="H21" s="35">
        <f>IF(H9=1,Calculations!H1407," ")</f>
        <v>3715.2718000000009</v>
      </c>
      <c r="I21" s="35">
        <f>IF(I9=1,Calculations!I1407," ")</f>
        <v>4126.8656366666673</v>
      </c>
      <c r="J21" s="35">
        <f>IF(J9=1,Calculations!J1407," ")</f>
        <v>4250.6716057666672</v>
      </c>
      <c r="K21" s="35">
        <f>IF(K9=1,Calculations!K1407," ")</f>
        <v>4378.1917539396673</v>
      </c>
      <c r="L21" s="35">
        <f>IF(L9=1,Calculations!L1407," ")</f>
        <v>4509.5375065578573</v>
      </c>
      <c r="M21" s="35">
        <f>IF(M9=1,Calculations!M1407," ")</f>
        <v>4644.8236317545934</v>
      </c>
      <c r="N21" s="35">
        <f>IF(N9=1,Calculations!N1407," ")</f>
        <v>4784.1683407072305</v>
      </c>
      <c r="O21" s="35">
        <f>IF(O9=1,Calculations!O1407," ")</f>
        <v>4927.693390928448</v>
      </c>
      <c r="P21" s="35">
        <f>IF(P9=1,Calculations!P1407," ")</f>
        <v>5075.5241926563012</v>
      </c>
      <c r="Q21" s="35">
        <f>IF(Q9=1,Calculations!Q1407," ")</f>
        <v>5227.7899184359921</v>
      </c>
      <c r="R21" s="35">
        <f>IF(R9=1,Calculations!R1407," ")</f>
        <v>5384.6236159890723</v>
      </c>
      <c r="S21" s="35">
        <f>IF(S9=1,Calculations!S1407," ")</f>
        <v>5546.1623244687435</v>
      </c>
      <c r="T21" s="35">
        <f>IF(T9=1,Calculations!T1407," ")</f>
        <v>5712.5471942028062</v>
      </c>
      <c r="U21" s="35">
        <f>IF(U9=1,Calculations!U1407," ")</f>
        <v>5883.9236100288899</v>
      </c>
      <c r="V21" s="35">
        <f>IF(V9=1,Calculations!V1407," ")</f>
        <v>6060.4413183297565</v>
      </c>
      <c r="W21" s="35">
        <f>IF(W9=1,Calculations!W1407," ")</f>
        <v>6242.2545578796498</v>
      </c>
      <c r="X21" s="35">
        <f>IF(X9=1,Calculations!X1407," ")</f>
        <v>6429.5221946160391</v>
      </c>
      <c r="Y21" s="35">
        <f>IF(Y9=1,Calculations!Y1407," ")</f>
        <v>6622.4078604545202</v>
      </c>
      <c r="Z21" s="35">
        <f>IF(Z9=1,Calculations!Z1407," ")</f>
        <v>6821.0800962681551</v>
      </c>
      <c r="AA21" s="35">
        <f>IF(AA9=1,Calculations!AA1407," ")</f>
        <v>7025.7124991562005</v>
      </c>
      <c r="AB21" s="35">
        <f>IF(AB9=1,Calculations!AB1407," ")</f>
        <v>7236.4838741308877</v>
      </c>
      <c r="AC21" s="35">
        <f>IF(AC9=1,Calculations!AC1407," ")</f>
        <v>7453.5783903548127</v>
      </c>
      <c r="AD21" s="35">
        <f>IF(AD9=1,Calculations!AD1407," ")</f>
        <v>7677.1857420654578</v>
      </c>
      <c r="AE21" s="35">
        <f>IF(AE9=1,Calculations!AE1407," ")</f>
        <v>7907.5013143274218</v>
      </c>
      <c r="AF21" s="35">
        <f>IF(AF9=1,Calculations!AF1407," ")</f>
        <v>8144.7263537572435</v>
      </c>
      <c r="AG21" s="35">
        <f>IF(AG9=1,Calculations!AG1407," ")</f>
        <v>8389.0681443699614</v>
      </c>
      <c r="AH21" s="35">
        <f>IF(AH9=1,Calculations!AH1407," ")</f>
        <v>8640.7401887010601</v>
      </c>
    </row>
    <row r="22" spans="1:34" s="277" customFormat="1" x14ac:dyDescent="0.2">
      <c r="A22" s="2"/>
      <c r="B22" s="25" t="s">
        <v>40</v>
      </c>
      <c r="C22" s="24"/>
      <c r="D22" s="24"/>
      <c r="E22" s="35">
        <f>IF(E9=1,Calculations!E1409," ")</f>
        <v>1500</v>
      </c>
      <c r="F22" s="35">
        <f>IF(F9=1,Calculations!F1409," ")</f>
        <v>1572.7715320121952</v>
      </c>
      <c r="G22" s="35">
        <f>IF(G9=1,Calculations!G1409," ")</f>
        <v>1619.9546779725611</v>
      </c>
      <c r="H22" s="35">
        <f>IF(H9=1,Calculations!H1409," ")</f>
        <v>1715.5064315929881</v>
      </c>
      <c r="I22" s="35">
        <f>IF(I9=1,Calculations!I1409," ")</f>
        <v>1863.6950379001528</v>
      </c>
      <c r="J22" s="35">
        <f>IF(J9=1,Calculations!J1409," ")</f>
        <v>1969.418446917236</v>
      </c>
      <c r="K22" s="35">
        <f>IF(K9=1,Calculations!K1409," ")</f>
        <v>2198.689856613566</v>
      </c>
      <c r="L22" s="35">
        <f>IF(L9=1,Calculations!L1409," ")</f>
        <v>2317.4966949669479</v>
      </c>
      <c r="M22" s="35">
        <f>IF(M9=1,Calculations!M1409," ")</f>
        <v>2441.4531227505804</v>
      </c>
      <c r="N22" s="35">
        <f>IF(N9=1,Calculations!N1409," ")</f>
        <v>2570.761189175761</v>
      </c>
      <c r="O22" s="35">
        <f>IF(O9=1,Calculations!O1409," ")</f>
        <v>2705.6304317759764</v>
      </c>
      <c r="P22" s="35">
        <f>IF(P9=1,Calculations!P1409," ")</f>
        <v>2846.2781438619472</v>
      </c>
      <c r="Q22" s="35">
        <f>IF(Q9=1,Calculations!Q1409," ")</f>
        <v>2992.9296512844771</v>
      </c>
      <c r="R22" s="35">
        <f>IF(R9=1,Calculations!R1409," ")</f>
        <v>3145.8185988228834</v>
      </c>
      <c r="S22" s="35">
        <f>IF(S9=1,Calculations!S1409," ")</f>
        <v>3305.1872465274382</v>
      </c>
      <c r="T22" s="35">
        <f>IF(T9=1,Calculations!T1409," ")</f>
        <v>3471.2867763553259</v>
      </c>
      <c r="U22" s="35">
        <f>IF(U9=1,Calculations!U1409," ")</f>
        <v>3644.3776094510122</v>
      </c>
      <c r="V22" s="35">
        <f>IF(V9=1,Calculations!V1409," ")</f>
        <v>3824.7297344337185</v>
      </c>
      <c r="W22" s="35">
        <f>IF(W9=1,Calculations!W1409," ")</f>
        <v>4012.6230470668825</v>
      </c>
      <c r="X22" s="35">
        <f>IF(X9=1,Calculations!X1409," ")</f>
        <v>4208.3477016970455</v>
      </c>
      <c r="Y22" s="35">
        <f>IF(Y9=1,Calculations!Y1409," ")</f>
        <v>4412.2044748626577</v>
      </c>
      <c r="Z22" s="35">
        <f>IF(Z9=1,Calculations!Z1409," ")</f>
        <v>4624.5051414866803</v>
      </c>
      <c r="AA22" s="35">
        <f>IF(AA9=1,Calculations!AA1409," ")</f>
        <v>4845.5728640807683</v>
      </c>
      <c r="AB22" s="35">
        <f>IF(AB9=1,Calculations!AB1409," ")</f>
        <v>5075.7425954031623</v>
      </c>
      <c r="AC22" s="35">
        <f>IF(AC9=1,Calculations!AC1409," ")</f>
        <v>5315.3614950272276</v>
      </c>
      <c r="AD22" s="35">
        <f>IF(AD9=1,Calculations!AD1409," ")</f>
        <v>5564.7893602928743</v>
      </c>
      <c r="AE22" s="35">
        <f>IF(AE9=1,Calculations!AE1409," ")</f>
        <v>5824.3990721289347</v>
      </c>
      <c r="AF22" s="35">
        <f>IF(AF9=1,Calculations!AF1409," ")</f>
        <v>6094.5770562508951</v>
      </c>
      <c r="AG22" s="35">
        <f>IF(AG9=1,Calculations!AG1409," ")</f>
        <v>6375.7237602552577</v>
      </c>
      <c r="AH22" s="35">
        <f>IF(AH9=1,Calculations!AH1409," ")</f>
        <v>6668.2541471492559</v>
      </c>
    </row>
    <row r="23" spans="1:34" s="277" customFormat="1" x14ac:dyDescent="0.2">
      <c r="A23" s="2"/>
      <c r="B23" s="25" t="s">
        <v>90</v>
      </c>
      <c r="C23" s="24"/>
      <c r="D23" s="24"/>
      <c r="E23" s="35">
        <f>IF(E9=1,Calculations!E1411, " ")</f>
        <v>1500</v>
      </c>
      <c r="F23" s="35">
        <f>IF(F9=1,Calculations!F1411, " ")</f>
        <v>1559.5825076219512</v>
      </c>
      <c r="G23" s="35">
        <f>IF(G9=1,Calculations!G1411, " ")</f>
        <v>1592.7852877286584</v>
      </c>
      <c r="H23" s="35">
        <f>IF(H9=1,Calculations!H1411, " ")</f>
        <v>1673.5297236661588</v>
      </c>
      <c r="I23" s="35">
        <f>IF(I9=1,Calculations!I1411, " ")</f>
        <v>1806.0470256806407</v>
      </c>
      <c r="J23" s="35">
        <f>IF(J9=1,Calculations!J1411, " ")</f>
        <v>1895.196631184614</v>
      </c>
      <c r="K23" s="35">
        <f>IF(K9=1,Calculations!K1411, " ")</f>
        <v>2095.4844218373555</v>
      </c>
      <c r="L23" s="35">
        <f>IF(L9=1,Calculations!L1411, " ")</f>
        <v>2193.4781641775353</v>
      </c>
      <c r="M23" s="35">
        <f>IF(M9=1,Calculations!M1411, " ")</f>
        <v>2295.4655950784718</v>
      </c>
      <c r="N23" s="35">
        <f>IF(N9=1,Calculations!N1411, " ")</f>
        <v>2401.5981414857047</v>
      </c>
      <c r="O23" s="35">
        <f>IF(O9=1,Calculations!O1411, " ")</f>
        <v>2512.0327216418009</v>
      </c>
      <c r="P23" s="35">
        <f>IF(P9=1,Calculations!P1411, " ")</f>
        <v>2626.9319382799258</v>
      </c>
      <c r="Q23" s="35">
        <f>IF(Q9=1,Calculations!Q1411, " ")</f>
        <v>2746.4642784668604</v>
      </c>
      <c r="R23" s="35">
        <f>IF(R9=1,Calculations!R1411, " ")</f>
        <v>2870.8043203205598</v>
      </c>
      <c r="S23" s="35">
        <f>IF(S9=1,Calculations!S1411, " ")</f>
        <v>3000.1329468348613</v>
      </c>
      <c r="T23" s="35">
        <f>IF(T9=1,Calculations!T1411, " ")</f>
        <v>3134.6375670517314</v>
      </c>
      <c r="U23" s="35">
        <f>IF(U9=1,Calculations!U1411, " ")</f>
        <v>3274.512344829463</v>
      </c>
      <c r="V23" s="35">
        <f>IF(V9=1,Calculations!V1411, " ")</f>
        <v>3419.9584354635117</v>
      </c>
      <c r="W23" s="35">
        <f>IF(W9=1,Calculations!W1411, " ")</f>
        <v>3571.1842304252568</v>
      </c>
      <c r="X23" s="35">
        <f>IF(X9=1,Calculations!X1411, " ")</f>
        <v>3728.405610492789</v>
      </c>
      <c r="Y23" s="35">
        <f>IF(Y9=1,Calculations!Y1411, " ")</f>
        <v>3891.8462075569905</v>
      </c>
      <c r="Z23" s="35">
        <f>IF(Z9=1,Calculations!Z1411, " ")</f>
        <v>4061.7376753956005</v>
      </c>
      <c r="AA23" s="35">
        <f>IF(AA9=1,Calculations!AA1411, " ")</f>
        <v>4238.3199697177261</v>
      </c>
      <c r="AB23" s="35">
        <f>IF(AB9=1,Calculations!AB1411, " ")</f>
        <v>4421.8416377913236</v>
      </c>
      <c r="AC23" s="35">
        <f>IF(AC9=1,Calculations!AC1411, " ")</f>
        <v>4612.5601179765908</v>
      </c>
      <c r="AD23" s="35">
        <f>IF(AD9=1,Calculations!AD1411, " ")</f>
        <v>4810.7420494989601</v>
      </c>
      <c r="AE23" s="35">
        <f>IF(AE9=1,Calculations!AE1411, " ")</f>
        <v>5016.6635928064943</v>
      </c>
      <c r="AF23" s="35">
        <f>IF(AF9=1,Calculations!AF1411, " ")</f>
        <v>5230.6107608679313</v>
      </c>
      <c r="AG23" s="35">
        <f>IF(AG9=1,Calculations!AG1411, " ")</f>
        <v>5452.8797617795281</v>
      </c>
      <c r="AH23" s="35">
        <f>IF(AH9=1,Calculations!AH1411, " ")</f>
        <v>5683.7773530610411</v>
      </c>
    </row>
    <row r="24" spans="1:34" s="277" customFormat="1" x14ac:dyDescent="0.2">
      <c r="A24" s="2"/>
      <c r="B24" s="25" t="s">
        <v>91</v>
      </c>
      <c r="C24" s="24"/>
      <c r="D24" s="24"/>
      <c r="E24" s="35">
        <f>IF(E9=1,Calculations!E1413, " ")</f>
        <v>1500</v>
      </c>
      <c r="F24" s="35">
        <f>IF(F9=1,Calculations!F1413, " ")</f>
        <v>1585.9605564024391</v>
      </c>
      <c r="G24" s="35">
        <f>IF(G9=1,Calculations!G1413, " ")</f>
        <v>1647.1240682164635</v>
      </c>
      <c r="H24" s="35">
        <f>IF(H9=1,Calculations!H1413, " ")</f>
        <v>1757.4831395198171</v>
      </c>
      <c r="I24" s="35">
        <f>IF(I9=1,Calculations!I1413, " ")</f>
        <v>1921.3430501196649</v>
      </c>
      <c r="J24" s="35">
        <f>IF(J9=1,Calculations!J1413, " ")</f>
        <v>2043.6402626498577</v>
      </c>
      <c r="K24" s="35">
        <f>IF(K9=1,Calculations!K1413, " ")</f>
        <v>2301.895291389777</v>
      </c>
      <c r="L24" s="35">
        <f>IF(L9=1,Calculations!L1413, " ")</f>
        <v>2441.5152257563618</v>
      </c>
      <c r="M24" s="35">
        <f>IF(M9=1,Calculations!M1413, " ")</f>
        <v>2587.4406504226899</v>
      </c>
      <c r="N24" s="35">
        <f>IF(N9=1,Calculations!N1413, " ")</f>
        <v>2739.9242368658179</v>
      </c>
      <c r="O24" s="35">
        <f>IF(O9=1,Calculations!O1413, " ")</f>
        <v>2899.2281419101528</v>
      </c>
      <c r="P24" s="35">
        <f>IF(P9=1,Calculations!P1413, " ")</f>
        <v>3065.6243494439686</v>
      </c>
      <c r="Q24" s="35">
        <f>IF(Q9=1,Calculations!Q1413, " ")</f>
        <v>3239.3950241020943</v>
      </c>
      <c r="R24" s="35">
        <f>IF(R9=1,Calculations!R1413, " ")</f>
        <v>3420.8328773252078</v>
      </c>
      <c r="S24" s="35">
        <f>IF(S9=1,Calculations!S1413, " ")</f>
        <v>3610.241546220017</v>
      </c>
      <c r="T24" s="35">
        <f>IF(T9=1,Calculations!T1413, " ")</f>
        <v>3807.9359856589217</v>
      </c>
      <c r="U24" s="35">
        <f>IF(U9=1,Calculations!U1413, " ")</f>
        <v>4014.2428740725627</v>
      </c>
      <c r="V24" s="35">
        <f>IF(V9=1,Calculations!V1413, " ")</f>
        <v>4229.5010334039289</v>
      </c>
      <c r="W24" s="35">
        <f>IF(W9=1,Calculations!W1413, " ")</f>
        <v>4454.0618637085117</v>
      </c>
      <c r="X24" s="35">
        <f>IF(X9=1,Calculations!X1413, " ")</f>
        <v>4688.2897929013043</v>
      </c>
      <c r="Y24" s="35">
        <f>IF(Y9=1,Calculations!Y1413, " ")</f>
        <v>4932.5627421683294</v>
      </c>
      <c r="Z24" s="35">
        <f>IF(Z9=1,Calculations!Z1413, " ")</f>
        <v>5187.2726075777628</v>
      </c>
      <c r="AA24" s="35">
        <f>IF(AA9=1,Calculations!AA1413, " ")</f>
        <v>5452.8257584438124</v>
      </c>
      <c r="AB24" s="35">
        <f>IF(AB9=1,Calculations!AB1413, " ")</f>
        <v>5729.6435530150047</v>
      </c>
      <c r="AC24" s="35">
        <f>IF(AC9=1,Calculations!AC1413, " ")</f>
        <v>6018.1628720778681</v>
      </c>
      <c r="AD24" s="35">
        <f>IF(AD9=1,Calculations!AD1413, " ")</f>
        <v>6318.8366710867904</v>
      </c>
      <c r="AE24" s="35">
        <f>IF(AE9=1,Calculations!AE1413, " ")</f>
        <v>6632.1345514513778</v>
      </c>
      <c r="AF24" s="35">
        <f>IF(AF9=1,Calculations!AF1413, " ")</f>
        <v>6958.5433516338635</v>
      </c>
      <c r="AG24" s="35">
        <f>IF(AG9=1,Calculations!AG1413, " ")</f>
        <v>7298.567758730991</v>
      </c>
      <c r="AH24" s="35">
        <f>IF(AH9=1,Calculations!AH1413, " ")</f>
        <v>7652.7309412374761</v>
      </c>
    </row>
    <row r="25" spans="1:34" s="277" customFormat="1" x14ac:dyDescent="0.2">
      <c r="A25" s="2"/>
      <c r="B25" s="25" t="s">
        <v>42</v>
      </c>
      <c r="C25" s="24"/>
      <c r="D25" s="24"/>
      <c r="E25" s="35">
        <f>IF(E9=1,Calculations!E1415, " ")</f>
        <v>1500</v>
      </c>
      <c r="F25" s="35">
        <f>IF(F9=1,Calculations!F1415, " ")</f>
        <v>1545</v>
      </c>
      <c r="G25" s="35">
        <f>IF(G9=1,Calculations!G1415, " ")</f>
        <v>1591.3500000000001</v>
      </c>
      <c r="H25" s="35">
        <f>IF(H9=1,Calculations!H1415, " ")</f>
        <v>1639.0905000000002</v>
      </c>
      <c r="I25" s="35">
        <f>IF(I9=1,Calculations!I1415, " ")</f>
        <v>1688.2632149999999</v>
      </c>
      <c r="J25" s="35">
        <f>IF(J9=1,Calculations!J1415, " ")</f>
        <v>1738.9111114500001</v>
      </c>
      <c r="K25" s="35">
        <f>IF(K9=1,Calculations!K1415, " ")</f>
        <v>1791.0784447934998</v>
      </c>
      <c r="L25" s="35">
        <f>IF(L9=1,Calculations!L1415, " ")</f>
        <v>1844.8107981373055</v>
      </c>
      <c r="M25" s="35">
        <f>IF(M9=1,Calculations!M1415, " ")</f>
        <v>1900.1551220814245</v>
      </c>
      <c r="N25" s="35">
        <f>IF(N9=1,Calculations!N1415, " ")</f>
        <v>1957.1597757438672</v>
      </c>
      <c r="O25" s="35">
        <f>IF(O9=1,Calculations!O1415, " ")</f>
        <v>2015.8745690161832</v>
      </c>
      <c r="P25" s="35">
        <f>IF(P9=1,Calculations!P1415, " ")</f>
        <v>2076.3508060866689</v>
      </c>
      <c r="Q25" s="35">
        <f>IF(Q9=1,Calculations!Q1415, " ")</f>
        <v>2138.641330269269</v>
      </c>
      <c r="R25" s="35">
        <f>IF(R9=1,Calculations!R1415, " ")</f>
        <v>2202.8005701773468</v>
      </c>
      <c r="S25" s="35">
        <f>IF(S9=1,Calculations!S1415, " ")</f>
        <v>2268.8845872826673</v>
      </c>
      <c r="T25" s="35">
        <f>IF(T9=1,Calculations!T1415, " ")</f>
        <v>2336.9511249011475</v>
      </c>
      <c r="U25" s="35">
        <f>IF(U9=1,Calculations!U1415, " ")</f>
        <v>2407.0596586481815</v>
      </c>
      <c r="V25" s="35">
        <f>IF(V9=1,Calculations!V1415, " ")</f>
        <v>2479.2714484076273</v>
      </c>
      <c r="W25" s="35">
        <f>IF(W9=1,Calculations!W1415, " ")</f>
        <v>2553.6495918598562</v>
      </c>
      <c r="X25" s="35">
        <f>IF(X9=1,Calculations!X1415, " ")</f>
        <v>2630.2590796156519</v>
      </c>
      <c r="Y25" s="35">
        <f>IF(Y9=1,Calculations!Y1415, " ")</f>
        <v>2709.1668520041217</v>
      </c>
      <c r="Z25" s="35">
        <f>IF(Z9=1,Calculations!Z1415, " ")</f>
        <v>2790.4418575642453</v>
      </c>
      <c r="AA25" s="35">
        <f>IF(AA9=1,Calculations!AA1415, " ")</f>
        <v>2874.1551132911727</v>
      </c>
      <c r="AB25" s="35">
        <f>IF(AB9=1,Calculations!AB1415, " ")</f>
        <v>2960.3797666899081</v>
      </c>
      <c r="AC25" s="35">
        <f>IF(AC9=1,Calculations!AC1415, " ")</f>
        <v>3049.1911596906057</v>
      </c>
      <c r="AD25" s="35">
        <f>IF(AD9=1,Calculations!AD1415, " ")</f>
        <v>3140.6668944813237</v>
      </c>
      <c r="AE25" s="35">
        <f>IF(AE9=1,Calculations!AE1415, " ")</f>
        <v>3234.8869013157632</v>
      </c>
      <c r="AF25" s="35">
        <f>IF(AF9=1,Calculations!AF1415, " ")</f>
        <v>3331.933508355236</v>
      </c>
      <c r="AG25" s="35">
        <f>IF(AG9=1,Calculations!AG1415, " ")</f>
        <v>3431.891513605894</v>
      </c>
      <c r="AH25" s="35">
        <f>IF(AH9=1,Calculations!AH1415, " ")</f>
        <v>3534.8482590140707</v>
      </c>
    </row>
    <row r="26" spans="1:34" s="277" customFormat="1" x14ac:dyDescent="0.2">
      <c r="A26" s="2"/>
      <c r="B26" s="25" t="s">
        <v>73</v>
      </c>
      <c r="C26" s="24"/>
      <c r="D26" s="24"/>
      <c r="E26" s="35">
        <f>IF(E9=1,Calculations!E1417, " ")</f>
        <v>1500</v>
      </c>
      <c r="F26" s="35">
        <f>IF(F9=1,Calculations!F1417, " ")</f>
        <v>1545</v>
      </c>
      <c r="G26" s="35">
        <f>IF(G9=1,Calculations!G1417, " ")</f>
        <v>1591.3500000000001</v>
      </c>
      <c r="H26" s="35">
        <f>IF(H9=1,Calculations!H1417, " ")</f>
        <v>1639.0905000000002</v>
      </c>
      <c r="I26" s="35">
        <f>IF(I9=1,Calculations!I1417, " ")</f>
        <v>1688.2632149999999</v>
      </c>
      <c r="J26" s="35">
        <f>IF(J9=1,Calculations!J1417, " ")</f>
        <v>1738.9111114500001</v>
      </c>
      <c r="K26" s="35">
        <f>IF(K9=1,Calculations!K1417, " ")</f>
        <v>1791.0784447934998</v>
      </c>
      <c r="L26" s="35">
        <f>IF(L9=1,Calculations!L1417, " ")</f>
        <v>1844.8107981373055</v>
      </c>
      <c r="M26" s="35">
        <f>IF(M9=1,Calculations!M1417, " ")</f>
        <v>1900.1551220814245</v>
      </c>
      <c r="N26" s="35">
        <f>IF(N9=1,Calculations!N1417, " ")</f>
        <v>1957.1597757438672</v>
      </c>
      <c r="O26" s="35">
        <f>IF(O9=1,Calculations!O1417, " ")</f>
        <v>2015.8745690161832</v>
      </c>
      <c r="P26" s="35">
        <f>IF(P9=1,Calculations!P1417, " ")</f>
        <v>2076.3508060866689</v>
      </c>
      <c r="Q26" s="35">
        <f>IF(Q9=1,Calculations!Q1417, " ")</f>
        <v>2138.641330269269</v>
      </c>
      <c r="R26" s="35">
        <f>IF(R9=1,Calculations!R1417, " ")</f>
        <v>2202.8005701773468</v>
      </c>
      <c r="S26" s="35">
        <f>IF(S9=1,Calculations!S1417, " ")</f>
        <v>2268.8845872826673</v>
      </c>
      <c r="T26" s="35">
        <f>IF(T9=1,Calculations!T1417, " ")</f>
        <v>2336.9511249011475</v>
      </c>
      <c r="U26" s="35">
        <f>IF(U9=1,Calculations!U1417, " ")</f>
        <v>2407.0596586481815</v>
      </c>
      <c r="V26" s="35">
        <f>IF(V9=1,Calculations!V1417, " ")</f>
        <v>2479.2714484076273</v>
      </c>
      <c r="W26" s="35">
        <f>IF(W9=1,Calculations!W1417, " ")</f>
        <v>2553.6495918598562</v>
      </c>
      <c r="X26" s="35">
        <f>IF(X9=1,Calculations!X1417, " ")</f>
        <v>2630.2590796156519</v>
      </c>
      <c r="Y26" s="35">
        <f>IF(Y9=1,Calculations!Y1417, " ")</f>
        <v>2709.1668520041217</v>
      </c>
      <c r="Z26" s="35">
        <f>IF(Z9=1,Calculations!Z1417, " ")</f>
        <v>2790.4418575642453</v>
      </c>
      <c r="AA26" s="35">
        <f>IF(AA9=1,Calculations!AA1417, " ")</f>
        <v>2874.1551132911727</v>
      </c>
      <c r="AB26" s="35">
        <f>IF(AB9=1,Calculations!AB1417, " ")</f>
        <v>2960.3797666899081</v>
      </c>
      <c r="AC26" s="35">
        <f>IF(AC9=1,Calculations!AC1417, " ")</f>
        <v>3049.1911596906057</v>
      </c>
      <c r="AD26" s="35">
        <f>IF(AD9=1,Calculations!AD1417, " ")</f>
        <v>3140.6668944813237</v>
      </c>
      <c r="AE26" s="35">
        <f>IF(AE9=1,Calculations!AE1417, " ")</f>
        <v>3234.8869013157632</v>
      </c>
      <c r="AF26" s="35">
        <f>IF(AF9=1,Calculations!AF1417, " ")</f>
        <v>3331.933508355236</v>
      </c>
      <c r="AG26" s="35">
        <f>IF(AG9=1,Calculations!AG1417, " ")</f>
        <v>3431.891513605894</v>
      </c>
      <c r="AH26" s="35">
        <f>IF(AH9=1,Calculations!AH1417, " ")</f>
        <v>3534.8482590140707</v>
      </c>
    </row>
    <row r="27" spans="1:34" s="277" customFormat="1" x14ac:dyDescent="0.2">
      <c r="A27" s="2"/>
      <c r="B27" s="23" t="s">
        <v>92</v>
      </c>
      <c r="C27" s="24"/>
      <c r="D27" s="24"/>
      <c r="E27" s="36">
        <f>IF(E9=1,SUM(E20:E26)," ")</f>
        <v>10500</v>
      </c>
      <c r="F27" s="36">
        <f t="shared" ref="F27:AH27" si="7">IF(F9=1,SUM(F20:F26)," ")</f>
        <v>10966.981262703252</v>
      </c>
      <c r="G27" s="36">
        <f t="shared" si="7"/>
        <v>11366.717367251016</v>
      </c>
      <c r="H27" s="36">
        <f t="shared" si="7"/>
        <v>12139.972094778965</v>
      </c>
      <c r="I27" s="36">
        <f t="shared" si="7"/>
        <v>13094.477180367125</v>
      </c>
      <c r="J27" s="36">
        <f t="shared" si="7"/>
        <v>13636.749169418377</v>
      </c>
      <c r="K27" s="36">
        <f t="shared" si="7"/>
        <v>14556.418213367368</v>
      </c>
      <c r="L27" s="36">
        <f t="shared" si="7"/>
        <v>15151.649187733312</v>
      </c>
      <c r="M27" s="36">
        <f t="shared" si="7"/>
        <v>15769.493244169185</v>
      </c>
      <c r="N27" s="36">
        <f t="shared" si="7"/>
        <v>16410.771459722248</v>
      </c>
      <c r="O27" s="36">
        <f t="shared" si="7"/>
        <v>17076.333824288744</v>
      </c>
      <c r="P27" s="36">
        <f t="shared" si="7"/>
        <v>17767.060236415484</v>
      </c>
      <c r="Q27" s="36">
        <f t="shared" si="7"/>
        <v>18483.861532827963</v>
      </c>
      <c r="R27" s="36">
        <f t="shared" si="7"/>
        <v>19227.680552812417</v>
      </c>
      <c r="S27" s="36">
        <f t="shared" si="7"/>
        <v>19999.493238616396</v>
      </c>
      <c r="T27" s="36">
        <f t="shared" si="7"/>
        <v>20800.30977307108</v>
      </c>
      <c r="U27" s="36">
        <f t="shared" si="7"/>
        <v>21631.17575567829</v>
      </c>
      <c r="V27" s="36">
        <f t="shared" si="7"/>
        <v>22493.173418446171</v>
      </c>
      <c r="W27" s="36">
        <f t="shared" si="7"/>
        <v>23387.422882800012</v>
      </c>
      <c r="X27" s="36">
        <f t="shared" si="7"/>
        <v>24315.083458938479</v>
      </c>
      <c r="Y27" s="36">
        <f t="shared" si="7"/>
        <v>25277.354989050742</v>
      </c>
      <c r="Z27" s="36">
        <f t="shared" si="7"/>
        <v>26275.479235856692</v>
      </c>
      <c r="AA27" s="36">
        <f t="shared" si="7"/>
        <v>27310.741317980857</v>
      </c>
      <c r="AB27" s="36">
        <f t="shared" si="7"/>
        <v>28384.471193720194</v>
      </c>
      <c r="AC27" s="36">
        <f t="shared" si="7"/>
        <v>29498.045194817714</v>
      </c>
      <c r="AD27" s="36">
        <f t="shared" si="7"/>
        <v>30652.887611906735</v>
      </c>
      <c r="AE27" s="36">
        <f t="shared" si="7"/>
        <v>31850.472333345755</v>
      </c>
      <c r="AF27" s="36">
        <f t="shared" si="7"/>
        <v>33092.324539220404</v>
      </c>
      <c r="AG27" s="36">
        <f t="shared" si="7"/>
        <v>34380.022452347526</v>
      </c>
      <c r="AH27" s="36">
        <f t="shared" si="7"/>
        <v>35715.199148176973</v>
      </c>
    </row>
    <row r="28" spans="1:34" s="277" customFormat="1" x14ac:dyDescent="0.2">
      <c r="A28" s="2"/>
      <c r="B28" s="23"/>
      <c r="C28" s="24"/>
      <c r="D28" s="24"/>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row>
    <row r="29" spans="1:34" s="20" customFormat="1" x14ac:dyDescent="0.2">
      <c r="A29" s="2"/>
      <c r="B29" s="19" t="s">
        <v>593</v>
      </c>
      <c r="E29" s="37"/>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row>
    <row r="30" spans="1:34" s="277" customFormat="1" x14ac:dyDescent="0.2">
      <c r="A30" s="2"/>
      <c r="B30" s="23" t="s">
        <v>594</v>
      </c>
      <c r="C30" s="24"/>
      <c r="D30" s="24"/>
      <c r="E30" s="36">
        <f>IF(E9=1,Calculations!E1432," ")</f>
        <v>-730</v>
      </c>
      <c r="F30" s="36">
        <f>IF(F9=1,Calculations!F1432," ")</f>
        <v>-754.9</v>
      </c>
      <c r="G30" s="36">
        <f>IF(G9=1,Calculations!G1432," ")</f>
        <v>-780.54700000000014</v>
      </c>
      <c r="H30" s="36">
        <f>IF(H9=1,Calculations!H1432," ")</f>
        <v>-806.96341000000007</v>
      </c>
      <c r="I30" s="36">
        <f>IF(I9=1,Calculations!I1432," ")</f>
        <v>-834.17231230000016</v>
      </c>
      <c r="J30" s="36">
        <f>IF(J9=1,Calculations!J1432," ")</f>
        <v>-862.19748166900001</v>
      </c>
      <c r="K30" s="36">
        <f>IF(K9=1,Calculations!K1432," ")</f>
        <v>-891.06340611907012</v>
      </c>
      <c r="L30" s="36">
        <f>IF(L9=1,Calculations!L1432," ")</f>
        <v>-920.7953083026423</v>
      </c>
      <c r="M30" s="36">
        <f>IF(M9=1,Calculations!M1432," ")</f>
        <v>-951.41916755172156</v>
      </c>
      <c r="N30" s="36">
        <f>IF(N9=1,Calculations!N1432," ")</f>
        <v>-982.96174257827283</v>
      </c>
      <c r="O30" s="36">
        <f>IF(O9=1,Calculations!O1432," ")</f>
        <v>-1015.4505948556214</v>
      </c>
      <c r="P30" s="36">
        <f>IF(P9=1,Calculations!P1432," ")</f>
        <v>-1048.9141127012899</v>
      </c>
      <c r="Q30" s="36">
        <f>IF(Q9=1,Calculations!Q1432," ")</f>
        <v>-1083.3815360823287</v>
      </c>
      <c r="R30" s="36">
        <f>IF(R9=1,Calculations!R1432," ")</f>
        <v>-1118.8829821647987</v>
      </c>
      <c r="S30" s="36">
        <f>IF(S9=1,Calculations!S1432," ")</f>
        <v>-1155.4494716297427</v>
      </c>
      <c r="T30" s="36">
        <f>IF(T9=1,Calculations!T1432," ")</f>
        <v>-1193.1129557786351</v>
      </c>
      <c r="U30" s="36">
        <f>IF(U9=1,Calculations!U1432," ")</f>
        <v>-1231.9063444519938</v>
      </c>
      <c r="V30" s="36">
        <f>IF(V9=1,Calculations!V1432," ")</f>
        <v>-1271.8635347855536</v>
      </c>
      <c r="W30" s="36">
        <f>IF(W9=1,Calculations!W1432," ")</f>
        <v>-1313.0194408291204</v>
      </c>
      <c r="X30" s="36">
        <f>IF(X9=1,Calculations!X1432," ")</f>
        <v>-1355.410024053994</v>
      </c>
      <c r="Y30" s="36">
        <f>IF(Y9=1,Calculations!Y1432," ")</f>
        <v>-1399.0723247756139</v>
      </c>
      <c r="Z30" s="36">
        <f>IF(Z9=1,Calculations!Z1432," ")</f>
        <v>-1444.0444945188824</v>
      </c>
      <c r="AA30" s="36">
        <f>IF(AA9=1,Calculations!AA1432," ")</f>
        <v>-1490.365829354449</v>
      </c>
      <c r="AB30" s="36">
        <f>IF(AB9=1,Calculations!AB1432," ")</f>
        <v>-1538.0768042350824</v>
      </c>
      <c r="AC30" s="36">
        <f>IF(AC9=1,Calculations!AC1432," ")</f>
        <v>-1587.2191083621351</v>
      </c>
      <c r="AD30" s="36">
        <f>IF(AD9=1,Calculations!AD1432," ")</f>
        <v>-1637.8356816129988</v>
      </c>
      <c r="AE30" s="36">
        <f>IF(AE9=1,Calculations!AE1432," ")</f>
        <v>-1689.9707520613883</v>
      </c>
      <c r="AF30" s="36">
        <f>IF(AF9=1,Calculations!AF1432," ")</f>
        <v>-1743.6698746232307</v>
      </c>
      <c r="AG30" s="36">
        <f>IF(AG9=1,Calculations!AG1432," ")</f>
        <v>-1798.9799708619278</v>
      </c>
      <c r="AH30" s="36">
        <f>IF(AH9=1,Calculations!AH1432," ")</f>
        <v>-1855.9493699877855</v>
      </c>
    </row>
    <row r="31" spans="1:34" s="277" customFormat="1" x14ac:dyDescent="0.2">
      <c r="A31" s="2"/>
      <c r="B31" s="23"/>
      <c r="C31" s="24"/>
      <c r="D31" s="24"/>
      <c r="E31" s="39"/>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row>
    <row r="32" spans="1:34" s="277" customFormat="1" x14ac:dyDescent="0.2">
      <c r="A32" s="2"/>
      <c r="B32" s="27" t="s">
        <v>93</v>
      </c>
      <c r="C32" s="24"/>
      <c r="D32" s="24"/>
      <c r="E32" s="36">
        <f t="shared" ref="E32:AH32" si="8">IF(E9=1,E17-E27+E30," ")</f>
        <v>75781</v>
      </c>
      <c r="F32" s="36">
        <f t="shared" si="8"/>
        <v>78753.79870875417</v>
      </c>
      <c r="G32" s="36">
        <f t="shared" si="8"/>
        <v>80901.674351701804</v>
      </c>
      <c r="H32" s="36">
        <f t="shared" si="8"/>
        <v>84899.678202025883</v>
      </c>
      <c r="I32" s="36">
        <f t="shared" si="8"/>
        <v>91138.509217032595</v>
      </c>
      <c r="J32" s="36">
        <f t="shared" si="8"/>
        <v>95854.546388564559</v>
      </c>
      <c r="K32" s="36">
        <f t="shared" si="8"/>
        <v>108180.53062308067</v>
      </c>
      <c r="L32" s="36">
        <f t="shared" si="8"/>
        <v>113520.75576379646</v>
      </c>
      <c r="M32" s="36">
        <f t="shared" si="8"/>
        <v>119087.92632747853</v>
      </c>
      <c r="N32" s="36">
        <f t="shared" si="8"/>
        <v>124890.33792937503</v>
      </c>
      <c r="O32" s="36">
        <f t="shared" si="8"/>
        <v>130937.04420509451</v>
      </c>
      <c r="P32" s="36">
        <f t="shared" si="8"/>
        <v>137237.54038684728</v>
      </c>
      <c r="Q32" s="36">
        <f t="shared" si="8"/>
        <v>143801.44486021326</v>
      </c>
      <c r="R32" s="36">
        <f t="shared" si="8"/>
        <v>150638.84875776691</v>
      </c>
      <c r="S32" s="36">
        <f t="shared" si="8"/>
        <v>157760.87433444097</v>
      </c>
      <c r="T32" s="36">
        <f t="shared" si="8"/>
        <v>165177.56357613718</v>
      </c>
      <c r="U32" s="36">
        <f t="shared" si="8"/>
        <v>172901.34782986739</v>
      </c>
      <c r="V32" s="36">
        <f t="shared" si="8"/>
        <v>180943.02407951621</v>
      </c>
      <c r="W32" s="36">
        <f t="shared" si="8"/>
        <v>189314.77812058196</v>
      </c>
      <c r="X32" s="36">
        <f t="shared" si="8"/>
        <v>198030.15403116978</v>
      </c>
      <c r="Y32" s="36">
        <f t="shared" si="8"/>
        <v>207101.06132069943</v>
      </c>
      <c r="Z32" s="36">
        <f t="shared" si="8"/>
        <v>216542.23367028451</v>
      </c>
      <c r="AA32" s="36">
        <f t="shared" si="8"/>
        <v>226367.19883083637</v>
      </c>
      <c r="AB32" s="36">
        <f t="shared" si="8"/>
        <v>236590.40588579056</v>
      </c>
      <c r="AC32" s="36">
        <f t="shared" si="8"/>
        <v>247226.82814039508</v>
      </c>
      <c r="AD32" s="36">
        <f t="shared" si="8"/>
        <v>258292.29137768125</v>
      </c>
      <c r="AE32" s="36">
        <f t="shared" si="8"/>
        <v>269802.88600181689</v>
      </c>
      <c r="AF32" s="36">
        <f t="shared" si="8"/>
        <v>281775.38690635579</v>
      </c>
      <c r="AG32" s="36">
        <f t="shared" si="8"/>
        <v>294226.99409777863</v>
      </c>
      <c r="AH32" s="36">
        <f t="shared" si="8"/>
        <v>307170.99296501913</v>
      </c>
    </row>
    <row r="33" spans="1:34" s="277" customFormat="1" x14ac:dyDescent="0.2">
      <c r="A33" s="2"/>
      <c r="B33" s="23"/>
      <c r="C33" s="24"/>
      <c r="D33" s="24"/>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row>
    <row r="34" spans="1:34" s="277" customFormat="1" x14ac:dyDescent="0.2">
      <c r="A34" s="2"/>
      <c r="B34" s="25" t="s">
        <v>94</v>
      </c>
      <c r="C34" s="24"/>
      <c r="D34" s="24"/>
      <c r="E34" s="35">
        <f t="shared" ref="E34:AH34" si="9">IF(E9=1,E76+E120+E163," ")</f>
        <v>145</v>
      </c>
      <c r="F34" s="35">
        <f t="shared" si="9"/>
        <v>148.87500153785587</v>
      </c>
      <c r="G34" s="35">
        <f t="shared" si="9"/>
        <v>190.40915694969374</v>
      </c>
      <c r="H34" s="35">
        <f t="shared" si="9"/>
        <v>216.19378433714462</v>
      </c>
      <c r="I34" s="35">
        <f t="shared" si="9"/>
        <v>241.97841172459556</v>
      </c>
      <c r="J34" s="35">
        <f t="shared" si="9"/>
        <v>267.76303911204656</v>
      </c>
      <c r="K34" s="35">
        <f t="shared" si="9"/>
        <v>293.5476664994975</v>
      </c>
      <c r="L34" s="35">
        <f t="shared" si="9"/>
        <v>304.33229388694843</v>
      </c>
      <c r="M34" s="35">
        <f t="shared" si="9"/>
        <v>329.15263556011365</v>
      </c>
      <c r="N34" s="35">
        <f t="shared" si="9"/>
        <v>355.41206759593166</v>
      </c>
      <c r="O34" s="35">
        <f t="shared" si="9"/>
        <v>381.49618406372724</v>
      </c>
      <c r="P34" s="35">
        <f t="shared" si="9"/>
        <v>408.12377879239227</v>
      </c>
      <c r="Q34" s="35">
        <f t="shared" si="9"/>
        <v>430.75137352105753</v>
      </c>
      <c r="R34" s="35">
        <f t="shared" si="9"/>
        <v>447.603605930882</v>
      </c>
      <c r="S34" s="35">
        <f t="shared" si="9"/>
        <v>473.45583834070658</v>
      </c>
      <c r="T34" s="35">
        <f t="shared" si="9"/>
        <v>486.10352529598572</v>
      </c>
      <c r="U34" s="35">
        <f t="shared" si="9"/>
        <v>513.11674255429512</v>
      </c>
      <c r="V34" s="35">
        <f t="shared" si="9"/>
        <v>530.9924790138333</v>
      </c>
      <c r="W34" s="35">
        <f t="shared" si="9"/>
        <v>540.24916785432401</v>
      </c>
      <c r="X34" s="35">
        <f t="shared" si="9"/>
        <v>564.46237843394488</v>
      </c>
      <c r="Y34" s="35">
        <f t="shared" si="9"/>
        <v>575.85241643897962</v>
      </c>
      <c r="Z34" s="35">
        <f t="shared" si="9"/>
        <v>600.84085261335053</v>
      </c>
      <c r="AA34" s="35">
        <f t="shared" si="9"/>
        <v>628.32928878772145</v>
      </c>
      <c r="AB34" s="35">
        <f t="shared" si="9"/>
        <v>655.81772496209237</v>
      </c>
      <c r="AC34" s="35">
        <f t="shared" si="9"/>
        <v>681.07624423895618</v>
      </c>
      <c r="AD34" s="35">
        <f t="shared" si="9"/>
        <v>708.5646804133271</v>
      </c>
      <c r="AE34" s="35">
        <f t="shared" si="9"/>
        <v>736.05311658769801</v>
      </c>
      <c r="AF34" s="35">
        <f t="shared" si="9"/>
        <v>763.54155276206893</v>
      </c>
      <c r="AG34" s="35">
        <f t="shared" si="9"/>
        <v>786.67072120188595</v>
      </c>
      <c r="AH34" s="35">
        <f t="shared" si="9"/>
        <v>755.40667835261081</v>
      </c>
    </row>
    <row r="35" spans="1:34" s="277" customFormat="1" x14ac:dyDescent="0.2">
      <c r="A35" s="2"/>
      <c r="B35" s="25"/>
      <c r="C35" s="24"/>
      <c r="D35" s="24"/>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c r="AF35" s="35"/>
      <c r="AG35" s="35"/>
      <c r="AH35" s="35"/>
    </row>
    <row r="36" spans="1:34" s="277" customFormat="1" x14ac:dyDescent="0.2">
      <c r="A36" s="2"/>
      <c r="B36" s="27" t="s">
        <v>95</v>
      </c>
      <c r="C36" s="24"/>
      <c r="D36" s="24"/>
      <c r="E36" s="36">
        <f t="shared" ref="E36:AH36" si="10">IF(E9=1,E32-E34,0)</f>
        <v>75636</v>
      </c>
      <c r="F36" s="36">
        <f t="shared" si="10"/>
        <v>78604.923707216309</v>
      </c>
      <c r="G36" s="36">
        <f t="shared" si="10"/>
        <v>80711.265194752108</v>
      </c>
      <c r="H36" s="36">
        <f t="shared" si="10"/>
        <v>84683.484417688742</v>
      </c>
      <c r="I36" s="36">
        <f t="shared" si="10"/>
        <v>90896.530805307993</v>
      </c>
      <c r="J36" s="36">
        <f t="shared" si="10"/>
        <v>95586.783349452511</v>
      </c>
      <c r="K36" s="36">
        <f t="shared" si="10"/>
        <v>107886.98295658118</v>
      </c>
      <c r="L36" s="36">
        <f t="shared" si="10"/>
        <v>113216.42346990951</v>
      </c>
      <c r="M36" s="36">
        <f t="shared" si="10"/>
        <v>118758.77369191842</v>
      </c>
      <c r="N36" s="36">
        <f t="shared" si="10"/>
        <v>124534.92586177911</v>
      </c>
      <c r="O36" s="36">
        <f t="shared" si="10"/>
        <v>130555.54802103079</v>
      </c>
      <c r="P36" s="36">
        <f t="shared" si="10"/>
        <v>136829.41660805489</v>
      </c>
      <c r="Q36" s="36">
        <f t="shared" si="10"/>
        <v>143370.69348669221</v>
      </c>
      <c r="R36" s="36">
        <f t="shared" si="10"/>
        <v>150191.24515183605</v>
      </c>
      <c r="S36" s="36">
        <f t="shared" si="10"/>
        <v>157287.41849610026</v>
      </c>
      <c r="T36" s="36">
        <f t="shared" si="10"/>
        <v>164691.46005084118</v>
      </c>
      <c r="U36" s="36">
        <f t="shared" si="10"/>
        <v>172388.23108731309</v>
      </c>
      <c r="V36" s="36">
        <f t="shared" si="10"/>
        <v>180412.03160050238</v>
      </c>
      <c r="W36" s="36">
        <f t="shared" si="10"/>
        <v>188774.52895272765</v>
      </c>
      <c r="X36" s="36">
        <f t="shared" si="10"/>
        <v>197465.69165273584</v>
      </c>
      <c r="Y36" s="36">
        <f t="shared" si="10"/>
        <v>206525.20890426045</v>
      </c>
      <c r="Z36" s="36">
        <f t="shared" si="10"/>
        <v>215941.39281767115</v>
      </c>
      <c r="AA36" s="36">
        <f t="shared" si="10"/>
        <v>225738.86954204863</v>
      </c>
      <c r="AB36" s="36">
        <f t="shared" si="10"/>
        <v>235934.58816082848</v>
      </c>
      <c r="AC36" s="36">
        <f t="shared" si="10"/>
        <v>246545.75189615611</v>
      </c>
      <c r="AD36" s="36">
        <f t="shared" si="10"/>
        <v>257583.72669726794</v>
      </c>
      <c r="AE36" s="36">
        <f t="shared" si="10"/>
        <v>269066.8328852292</v>
      </c>
      <c r="AF36" s="36">
        <f t="shared" si="10"/>
        <v>281011.8453535937</v>
      </c>
      <c r="AG36" s="36">
        <f t="shared" si="10"/>
        <v>293440.32337657677</v>
      </c>
      <c r="AH36" s="36">
        <f t="shared" si="10"/>
        <v>306415.58628666651</v>
      </c>
    </row>
    <row r="37" spans="1:34" s="277" customFormat="1" x14ac:dyDescent="0.2">
      <c r="A37" s="2"/>
      <c r="B37" s="23"/>
      <c r="C37" s="24"/>
      <c r="D37" s="24"/>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row>
    <row r="38" spans="1:34" s="277" customFormat="1" x14ac:dyDescent="0.2">
      <c r="A38" s="2"/>
      <c r="B38" s="25" t="s">
        <v>96</v>
      </c>
      <c r="C38" s="24"/>
      <c r="D38" s="24"/>
      <c r="E38" s="35">
        <f>IF(E9=1,E80+E124+E167-Calculations!E1484+Calculations!E321+Calculations!E739+Calculations!E1211,0)</f>
        <v>47</v>
      </c>
      <c r="F38" s="35">
        <f>IF(F9=1,F80+F124+F167-Calculations!F1484+Calculations!F321+Calculations!F739+Calculations!F1211,0)</f>
        <v>26.184249999999995</v>
      </c>
      <c r="G38" s="35">
        <f>IF(G9=1,G80+G124+G167-Calculations!G1484+Calculations!G321+Calculations!G739+Calculations!G1211,0)</f>
        <v>-571.63020537675709</v>
      </c>
      <c r="H38" s="35">
        <f>IF(H9=1,H80+H124+H167-Calculations!H1484+Calculations!H321+Calculations!H739+Calculations!H1211,0)</f>
        <v>-1490.2502891244058</v>
      </c>
      <c r="I38" s="35">
        <f>IF(I9=1,I80+I124+I167-Calculations!I1484+Calculations!I321+Calculations!I739+Calculations!I1211,0)</f>
        <v>-2625.0179677011638</v>
      </c>
      <c r="J38" s="35">
        <f>IF(J9=1,J80+J124+J167-Calculations!J1484+Calculations!J321+Calculations!J739+Calculations!J1211,0)</f>
        <v>-3914.5910667455328</v>
      </c>
      <c r="K38" s="35">
        <f>IF(K9=1,K80+K124+K167-Calculations!K1484+Calculations!K321+Calculations!K739+Calculations!K1211,0)</f>
        <v>-5323.7215417075313</v>
      </c>
      <c r="L38" s="35">
        <f>IF(L9=1,L80+L124+L167-Calculations!L1484+Calculations!L321+Calculations!L739+Calculations!L1211,0)</f>
        <v>-6886.8475854094049</v>
      </c>
      <c r="M38" s="35">
        <f>IF(M9=1,M80+M124+M167-Calculations!M1484+Calculations!M321+Calculations!M739+Calculations!M1211,0)</f>
        <v>-8651.3569799305005</v>
      </c>
      <c r="N38" s="35">
        <f>IF(N9=1,N80+N124+N167-Calculations!N1484+Calculations!N321+Calculations!N739+Calculations!N1211,0)</f>
        <v>-10511.604791823776</v>
      </c>
      <c r="O38" s="35">
        <f>IF(O9=1,O80+O124+O167-Calculations!O1484+Calculations!O321+Calculations!O739+Calculations!O1211,0)</f>
        <v>-10774.589171946422</v>
      </c>
      <c r="P38" s="35">
        <f>IF(P9=1,P80+P124+P167-Calculations!P1484+Calculations!P321+Calculations!P739+Calculations!P1211,0)</f>
        <v>-12287.840091509464</v>
      </c>
      <c r="Q38" s="35">
        <f>IF(Q9=1,Q80+Q124+Q167-Calculations!Q1484+Calculations!Q321+Calculations!Q739+Calculations!Q1211,0)</f>
        <v>-13997.143567854993</v>
      </c>
      <c r="R38" s="35">
        <f>IF(R9=1,R80+R124+R167-Calculations!R1484+Calculations!R321+Calculations!R739+Calculations!R1211,0)</f>
        <v>-15800.339593931994</v>
      </c>
      <c r="S38" s="35">
        <f>IF(S9=1,S80+S124+S167-Calculations!S1484+Calculations!S321+Calculations!S739+Calculations!S1211,0)</f>
        <v>-17701.246503419607</v>
      </c>
      <c r="T38" s="35">
        <f>IF(T9=1,T80+T124+T167-Calculations!T1484+Calculations!T321+Calculations!T739+Calculations!T1211,0)</f>
        <v>-19703.930705640352</v>
      </c>
      <c r="U38" s="35">
        <f>IF(U9=1,U80+U124+U167-Calculations!U1484+Calculations!U321+Calculations!U739+Calculations!U1211,0)</f>
        <v>-21831.789162413959</v>
      </c>
      <c r="V38" s="35">
        <f>IF(V9=1,V80+V124+V167-Calculations!V1484+Calculations!V321+Calculations!V739+Calculations!V1211,0)</f>
        <v>-24057.297652894464</v>
      </c>
      <c r="W38" s="35">
        <f>IF(W9=1,W80+W124+W167-Calculations!W1484+Calculations!W321+Calculations!W739+Calculations!W1211,0)</f>
        <v>-26390.362854092866</v>
      </c>
      <c r="X38" s="35">
        <f>IF(X9=1,X80+X124+X167-Calculations!X1484+Calculations!X321+Calculations!X739+Calculations!X1211,0)</f>
        <v>-28842.421065870432</v>
      </c>
      <c r="Y38" s="35">
        <f>IF(Y9=1,Y80+Y124+Y167-Calculations!Y1484+Calculations!Y321+Calculations!Y739+Calculations!Y1211,0)</f>
        <v>-31418.23927950918</v>
      </c>
      <c r="Z38" s="35">
        <f>IF(Z9=1,Z80+Z124+Z167-Calculations!Z1484+Calculations!Z321+Calculations!Z739+Calculations!Z1211,0)</f>
        <v>-34122.51488712745</v>
      </c>
      <c r="AA38" s="35">
        <f>IF(AA9=1,AA80+AA124+AA167-Calculations!AA1484+Calculations!AA321+Calculations!AA739+Calculations!AA1211,0)</f>
        <v>-36960.262889854326</v>
      </c>
      <c r="AB38" s="35">
        <f>IF(AB9=1,AB80+AB124+AB167-Calculations!AB1484+Calculations!AB321+Calculations!AB739+Calculations!AB1211,0)</f>
        <v>-39936.803456909911</v>
      </c>
      <c r="AC38" s="35">
        <f>IF(AC9=1,AC80+AC124+AC167-Calculations!AC1484+Calculations!AC321+Calculations!AC739+Calculations!AC1211,0)</f>
        <v>-43057.456472892169</v>
      </c>
      <c r="AD38" s="35">
        <f>IF(AD9=1,AD80+AD124+AD167-Calculations!AD1484+Calculations!AD321+Calculations!AD739+Calculations!AD1211,0)</f>
        <v>-46327.682074907818</v>
      </c>
      <c r="AE38" s="35">
        <f>IF(AE9=1,AE80+AE124+AE167-Calculations!AE1484+Calculations!AE321+Calculations!AE739+Calculations!AE1211,0)</f>
        <v>-49754.410456124206</v>
      </c>
      <c r="AF38" s="35">
        <f>IF(AF9=1,AF80+AF124+AF167-Calculations!AF1484+Calculations!AF321+Calculations!AF739+Calculations!AF1211,0)</f>
        <v>-53340.742686197191</v>
      </c>
      <c r="AG38" s="35">
        <f>IF(AG9=1,AG80+AG124+AG167-Calculations!AG1484+Calculations!AG321+Calculations!AG739+Calculations!AG1211,0)</f>
        <v>-57094.407855671532</v>
      </c>
      <c r="AH38" s="35">
        <f>IF(AH9=1,AH80+AH124+AH167-Calculations!AH1484+Calculations!AH321+Calculations!AH739+Calculations!AH1211,0)</f>
        <v>-61021.3120981963</v>
      </c>
    </row>
    <row r="39" spans="1:34" s="277" customFormat="1" x14ac:dyDescent="0.2">
      <c r="A39" s="2"/>
      <c r="B39" s="25" t="s">
        <v>97</v>
      </c>
      <c r="C39" s="24"/>
      <c r="D39" s="24"/>
      <c r="E39" s="35">
        <f>IF(AND(E9=1,(E36-E38)&gt;0),IF(OR('Assumptions - General'!$I$14=16,'Assumptions - General'!$I$14=17),'Assumptions - Infrastructure'!$E$339*(E36-E38),'Assumptions - Freight'!$E$404*(E36-E38)),0)</f>
        <v>26456.149999999998</v>
      </c>
      <c r="F39" s="35">
        <f>IF(AND(F9=1,(F36-F38)&gt;0),IF(OR('Assumptions - General'!$I$14=16,'Assumptions - General'!$I$14=17),'Assumptions - Infrastructure'!$E$339*(F36-F38),'Assumptions - Freight'!$E$404*(F36-F38)),0)</f>
        <v>27502.558810025705</v>
      </c>
      <c r="G39" s="35">
        <f>IF(AND(G9=1,(G36-G38)&gt;0),IF(OR('Assumptions - General'!$I$14=16,'Assumptions - General'!$I$14=17),'Assumptions - Infrastructure'!$E$339*(G36-G38),'Assumptions - Freight'!$E$404*(G36-G38)),0)</f>
        <v>28449.0133900451</v>
      </c>
      <c r="H39" s="35">
        <f>IF(AND(H9=1,(H36-H38)&gt;0),IF(OR('Assumptions - General'!$I$14=16,'Assumptions - General'!$I$14=17),'Assumptions - Infrastructure'!$E$339*(H36-H38),'Assumptions - Freight'!$E$404*(H36-H38)),0)</f>
        <v>30160.807147384599</v>
      </c>
      <c r="I39" s="35">
        <f>IF(AND(I9=1,(I36-I38)&gt;0),IF(OR('Assumptions - General'!$I$14=16,'Assumptions - General'!$I$14=17),'Assumptions - Infrastructure'!$E$339*(I36-I38),'Assumptions - Freight'!$E$404*(I36-I38)),0)</f>
        <v>32732.542070553201</v>
      </c>
      <c r="J39" s="35">
        <f>IF(AND(J9=1,(J36-J38)&gt;0),IF(OR('Assumptions - General'!$I$14=16,'Assumptions - General'!$I$14=17),'Assumptions - Infrastructure'!$E$339*(J36-J38),'Assumptions - Freight'!$E$404*(J36-J38)),0)</f>
        <v>34825.481045669316</v>
      </c>
      <c r="K39" s="35">
        <f>IF(AND(K9=1,(K36-K38)&gt;0),IF(OR('Assumptions - General'!$I$14=16,'Assumptions - General'!$I$14=17),'Assumptions - Infrastructure'!$E$339*(K36-K38),'Assumptions - Freight'!$E$404*(K36-K38)),0)</f>
        <v>39623.746574401048</v>
      </c>
      <c r="L39" s="35">
        <f>IF(AND(L9=1,(L36-L38)&gt;0),IF(OR('Assumptions - General'!$I$14=16,'Assumptions - General'!$I$14=17),'Assumptions - Infrastructure'!$E$339*(L36-L38),'Assumptions - Freight'!$E$404*(L36-L38)),0)</f>
        <v>42036.144869361618</v>
      </c>
      <c r="M39" s="35">
        <f>IF(AND(M9=1,(M36-M38)&gt;0),IF(OR('Assumptions - General'!$I$14=16,'Assumptions - General'!$I$14=17),'Assumptions - Infrastructure'!$E$339*(M36-M38),'Assumptions - Freight'!$E$404*(M36-M38)),0)</f>
        <v>44593.54573514712</v>
      </c>
      <c r="N39" s="35">
        <f>IF(AND(N9=1,(N36-N38)&gt;0),IF(OR('Assumptions - General'!$I$14=16,'Assumptions - General'!$I$14=17),'Assumptions - Infrastructure'!$E$339*(N36-N38),'Assumptions - Freight'!$E$404*(N36-N38)),0)</f>
        <v>47266.285728761002</v>
      </c>
      <c r="O39" s="35">
        <f>IF(AND(O9=1,(O36-O38)&gt;0),IF(OR('Assumptions - General'!$I$14=16,'Assumptions - General'!$I$14=17),'Assumptions - Infrastructure'!$E$339*(O36-O38),'Assumptions - Freight'!$E$404*(O36-O38)),0)</f>
        <v>49465.548017542023</v>
      </c>
      <c r="P39" s="35">
        <f>IF(AND(P9=1,(P36-P38)&gt;0),IF(OR('Assumptions - General'!$I$14=16,'Assumptions - General'!$I$14=17),'Assumptions - Infrastructure'!$E$339*(P36-P38),'Assumptions - Freight'!$E$404*(P36-P38)),0)</f>
        <v>52191.039844847517</v>
      </c>
      <c r="Q39" s="35">
        <f>IF(AND(Q9=1,(Q36-Q38)&gt;0),IF(OR('Assumptions - General'!$I$14=16,'Assumptions - General'!$I$14=17),'Assumptions - Infrastructure'!$E$339*(Q36-Q38),'Assumptions - Freight'!$E$404*(Q36-Q38)),0)</f>
        <v>55078.742969091523</v>
      </c>
      <c r="R39" s="35">
        <f>IF(AND(R9=1,(R36-R38)&gt;0),IF(OR('Assumptions - General'!$I$14=16,'Assumptions - General'!$I$14=17),'Assumptions - Infrastructure'!$E$339*(R36-R38),'Assumptions - Freight'!$E$404*(R36-R38)),0)</f>
        <v>58097.05466101881</v>
      </c>
      <c r="S39" s="35">
        <f>IF(AND(S9=1,(S36-S38)&gt;0),IF(OR('Assumptions - General'!$I$14=16,'Assumptions - General'!$I$14=17),'Assumptions - Infrastructure'!$E$339*(S36-S38),'Assumptions - Freight'!$E$404*(S36-S38)),0)</f>
        <v>61246.032749831953</v>
      </c>
      <c r="T39" s="35">
        <f>IF(AND(T9=1,(T36-T38)&gt;0),IF(OR('Assumptions - General'!$I$14=16,'Assumptions - General'!$I$14=17),'Assumptions - Infrastructure'!$E$339*(T36-T38),'Assumptions - Freight'!$E$404*(T36-T38)),0)</f>
        <v>64538.386764768533</v>
      </c>
      <c r="U39" s="35">
        <f>IF(AND(U9=1,(U36-U38)&gt;0),IF(OR('Assumptions - General'!$I$14=16,'Assumptions - General'!$I$14=17),'Assumptions - Infrastructure'!$E$339*(U36-U38),'Assumptions - Freight'!$E$404*(U36-U38)),0)</f>
        <v>67977.007087404476</v>
      </c>
      <c r="V39" s="35">
        <f>IF(AND(V9=1,(V36-V38)&gt;0),IF(OR('Assumptions - General'!$I$14=16,'Assumptions - General'!$I$14=17),'Assumptions - Infrastructure'!$E$339*(V36-V38),'Assumptions - Freight'!$E$404*(V36-V38)),0)</f>
        <v>71564.26523868888</v>
      </c>
      <c r="W39" s="35">
        <f>IF(AND(W9=1,(W36-W38)&gt;0),IF(OR('Assumptions - General'!$I$14=16,'Assumptions - General'!$I$14=17),'Assumptions - Infrastructure'!$E$339*(W36-W38),'Assumptions - Freight'!$E$404*(W36-W38)),0)</f>
        <v>75307.712132387183</v>
      </c>
      <c r="X39" s="35">
        <f>IF(AND(X9=1,(X36-X38)&gt;0),IF(OR('Assumptions - General'!$I$14=16,'Assumptions - General'!$I$14=17),'Assumptions - Infrastructure'!$E$339*(X36-X38),'Assumptions - Freight'!$E$404*(X36-X38)),0)</f>
        <v>79207.839451512191</v>
      </c>
      <c r="Y39" s="35">
        <f>IF(AND(Y9=1,(Y36-Y38)&gt;0),IF(OR('Assumptions - General'!$I$14=16,'Assumptions - General'!$I$14=17),'Assumptions - Infrastructure'!$E$339*(Y36-Y38),'Assumptions - Freight'!$E$404*(Y36-Y38)),0)</f>
        <v>83280.206864319363</v>
      </c>
      <c r="Z39" s="35">
        <f>IF(AND(Z9=1,(Z36-Z38)&gt;0),IF(OR('Assumptions - General'!$I$14=16,'Assumptions - General'!$I$14=17),'Assumptions - Infrastructure'!$E$339*(Z36-Z38),'Assumptions - Freight'!$E$404*(Z36-Z38)),0)</f>
        <v>87522.367696679503</v>
      </c>
      <c r="AA39" s="35">
        <f>IF(AND(AA9=1,(AA36-AA38)&gt;0),IF(OR('Assumptions - General'!$I$14=16,'Assumptions - General'!$I$14=17),'Assumptions - Infrastructure'!$E$339*(AA36-AA38),'Assumptions - Freight'!$E$404*(AA36-AA38)),0)</f>
        <v>91944.696351166043</v>
      </c>
      <c r="AB39" s="35">
        <f>IF(AND(AB9=1,(AB36-AB38)&gt;0),IF(OR('Assumptions - General'!$I$14=16,'Assumptions - General'!$I$14=17),'Assumptions - Infrastructure'!$E$339*(AB36-AB38),'Assumptions - Freight'!$E$404*(AB36-AB38)),0)</f>
        <v>96554.987066208443</v>
      </c>
      <c r="AC39" s="35">
        <f>IF(AND(AC9=1,(AC36-AC38)&gt;0),IF(OR('Assumptions - General'!$I$14=16,'Assumptions - General'!$I$14=17),'Assumptions - Infrastructure'!$E$339*(AC36-AC38),'Assumptions - Freight'!$E$404*(AC36-AC38)),0)</f>
        <v>101361.1229291669</v>
      </c>
      <c r="AD39" s="35">
        <f>IF(AND(AD9=1,(AD36-AD38)&gt;0),IF(OR('Assumptions - General'!$I$14=16,'Assumptions - General'!$I$14=17),'Assumptions - Infrastructure'!$E$339*(AD36-AD38),'Assumptions - Freight'!$E$404*(AD36-AD38)),0)</f>
        <v>106368.99307026152</v>
      </c>
      <c r="AE39" s="35">
        <f>IF(AND(AE9=1,(AE36-AE38)&gt;0),IF(OR('Assumptions - General'!$I$14=16,'Assumptions - General'!$I$14=17),'Assumptions - Infrastructure'!$E$339*(AE36-AE38),'Assumptions - Freight'!$E$404*(AE36-AE38)),0)</f>
        <v>111587.4351694737</v>
      </c>
      <c r="AF39" s="35">
        <f>IF(AND(AF9=1,(AF36-AF38)&gt;0),IF(OR('Assumptions - General'!$I$14=16,'Assumptions - General'!$I$14=17),'Assumptions - Infrastructure'!$E$339*(AF36-AF38),'Assumptions - Freight'!$E$404*(AF36-AF38)),0)</f>
        <v>117023.40581392679</v>
      </c>
      <c r="AG39" s="35">
        <f>IF(AND(AG9=1,(AG36-AG38)&gt;0),IF(OR('Assumptions - General'!$I$14=16,'Assumptions - General'!$I$14=17),'Assumptions - Infrastructure'!$E$339*(AG36-AG38),'Assumptions - Freight'!$E$404*(AG36-AG38)),0)</f>
        <v>122687.15593128689</v>
      </c>
      <c r="AH39" s="35">
        <f>IF(AND(AH9=1,(AH36-AH38)&gt;0),IF(OR('Assumptions - General'!$I$14=16,'Assumptions - General'!$I$14=17),'Assumptions - Infrastructure'!$E$339*(AH36-AH38),'Assumptions - Freight'!$E$404*(AH36-AH38)),0)</f>
        <v>128602.91443470198</v>
      </c>
    </row>
    <row r="40" spans="1:34" s="277" customFormat="1" x14ac:dyDescent="0.2">
      <c r="A40" s="2"/>
      <c r="B40" s="25"/>
      <c r="C40" s="24"/>
      <c r="D40" s="24"/>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row>
    <row r="41" spans="1:34" s="277" customFormat="1" ht="16" thickBot="1" x14ac:dyDescent="0.25">
      <c r="A41" s="2"/>
      <c r="B41" s="27" t="s">
        <v>98</v>
      </c>
      <c r="C41" s="24"/>
      <c r="D41" s="24"/>
      <c r="E41" s="40">
        <f t="shared" ref="E41:AH41" si="11">IF(E9=1,E36-E38-E39, " ")</f>
        <v>49132.850000000006</v>
      </c>
      <c r="F41" s="40">
        <f t="shared" si="11"/>
        <v>51076.180647190602</v>
      </c>
      <c r="G41" s="40">
        <f t="shared" si="11"/>
        <v>52833.882010083762</v>
      </c>
      <c r="H41" s="40">
        <f t="shared" si="11"/>
        <v>56012.92755942855</v>
      </c>
      <c r="I41" s="40">
        <f t="shared" si="11"/>
        <v>60789.006702455954</v>
      </c>
      <c r="J41" s="40">
        <f t="shared" si="11"/>
        <v>64675.893370528727</v>
      </c>
      <c r="K41" s="40">
        <f t="shared" si="11"/>
        <v>73586.957923887676</v>
      </c>
      <c r="L41" s="40">
        <f t="shared" si="11"/>
        <v>78067.126185957284</v>
      </c>
      <c r="M41" s="40">
        <f t="shared" si="11"/>
        <v>82816.584936701809</v>
      </c>
      <c r="N41" s="40">
        <f t="shared" si="11"/>
        <v>87780.244924841885</v>
      </c>
      <c r="O41" s="40">
        <f t="shared" si="11"/>
        <v>91864.589175435191</v>
      </c>
      <c r="P41" s="40">
        <f t="shared" si="11"/>
        <v>96926.216854716826</v>
      </c>
      <c r="Q41" s="40">
        <f t="shared" si="11"/>
        <v>102289.0940854557</v>
      </c>
      <c r="R41" s="40">
        <f t="shared" si="11"/>
        <v>107894.53008474925</v>
      </c>
      <c r="S41" s="40">
        <f t="shared" si="11"/>
        <v>113742.63224968793</v>
      </c>
      <c r="T41" s="40">
        <f t="shared" si="11"/>
        <v>119857.00399171299</v>
      </c>
      <c r="U41" s="40">
        <f t="shared" si="11"/>
        <v>126243.01316232259</v>
      </c>
      <c r="V41" s="40">
        <f t="shared" si="11"/>
        <v>132905.06401470795</v>
      </c>
      <c r="W41" s="40">
        <f t="shared" si="11"/>
        <v>139857.17967443334</v>
      </c>
      <c r="X41" s="40">
        <f t="shared" si="11"/>
        <v>147100.2732670941</v>
      </c>
      <c r="Y41" s="40">
        <f t="shared" si="11"/>
        <v>154663.24131945026</v>
      </c>
      <c r="Z41" s="40">
        <f t="shared" si="11"/>
        <v>162541.54000811907</v>
      </c>
      <c r="AA41" s="40">
        <f t="shared" si="11"/>
        <v>170754.43608073692</v>
      </c>
      <c r="AB41" s="40">
        <f t="shared" si="11"/>
        <v>179316.40455152997</v>
      </c>
      <c r="AC41" s="40">
        <f t="shared" si="11"/>
        <v>188242.08543988143</v>
      </c>
      <c r="AD41" s="40">
        <f t="shared" si="11"/>
        <v>197542.41570191426</v>
      </c>
      <c r="AE41" s="40">
        <f t="shared" si="11"/>
        <v>207233.80817187973</v>
      </c>
      <c r="AF41" s="40">
        <f t="shared" si="11"/>
        <v>217329.18222586409</v>
      </c>
      <c r="AG41" s="40">
        <f t="shared" si="11"/>
        <v>227847.57530096141</v>
      </c>
      <c r="AH41" s="40">
        <f t="shared" si="11"/>
        <v>238833.98395016085</v>
      </c>
    </row>
    <row r="42" spans="1:34" s="277" customFormat="1" x14ac:dyDescent="0.2">
      <c r="A42" s="2"/>
      <c r="B42" s="26"/>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row>
    <row r="43" spans="1:34" s="278" customFormat="1" x14ac:dyDescent="0.2">
      <c r="A43" s="2"/>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row>
    <row r="44" spans="1:34" s="278" customFormat="1" x14ac:dyDescent="0.2">
      <c r="A44" s="2"/>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row>
    <row r="45" spans="1:34" s="278" customFormat="1" x14ac:dyDescent="0.2">
      <c r="A45" s="2"/>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row>
    <row r="46" spans="1:34" s="278" customFormat="1" x14ac:dyDescent="0.2">
      <c r="A46" s="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row>
    <row r="47" spans="1:34" s="278" customFormat="1" x14ac:dyDescent="0.2">
      <c r="A47" s="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row>
    <row r="48" spans="1:34" s="278" customFormat="1" x14ac:dyDescent="0.2">
      <c r="A48" s="2"/>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row>
    <row r="49" spans="1:34" s="278" customFormat="1" x14ac:dyDescent="0.2">
      <c r="A49" s="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row>
    <row r="50" spans="1:34" s="278" customFormat="1" x14ac:dyDescent="0.2">
      <c r="A50" s="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row>
    <row r="51" spans="1:34" s="18" customFormat="1" ht="19" x14ac:dyDescent="0.25">
      <c r="A51" s="320"/>
      <c r="B51" s="482" t="str">
        <f>'Assumptions - General'!$E$24</f>
        <v>Ruritania Freight Rail Company</v>
      </c>
      <c r="C51" s="320"/>
      <c r="D51" s="320"/>
      <c r="E51" s="320"/>
      <c r="F51" s="320"/>
      <c r="G51" s="320"/>
      <c r="H51" s="320"/>
      <c r="I51" s="320"/>
      <c r="J51" s="320"/>
      <c r="K51" s="320"/>
      <c r="L51" s="320"/>
      <c r="M51" s="320"/>
      <c r="N51" s="320"/>
      <c r="O51" s="320"/>
      <c r="P51" s="320"/>
      <c r="Q51" s="320"/>
      <c r="R51" s="320"/>
      <c r="S51" s="320"/>
      <c r="T51" s="320"/>
      <c r="U51" s="320"/>
      <c r="V51" s="320"/>
      <c r="W51" s="320"/>
      <c r="X51" s="320"/>
      <c r="Y51" s="320"/>
      <c r="Z51" s="320"/>
      <c r="AA51" s="320"/>
      <c r="AB51" s="320"/>
      <c r="AC51" s="320"/>
      <c r="AD51" s="320"/>
      <c r="AE51" s="320"/>
      <c r="AF51" s="320"/>
      <c r="AG51" s="320"/>
      <c r="AH51" s="320"/>
    </row>
    <row r="52" spans="1:34" s="18" customFormat="1" x14ac:dyDescent="0.2">
      <c r="A52" s="320"/>
      <c r="B52" s="321"/>
      <c r="C52" s="322"/>
      <c r="D52" s="320"/>
      <c r="E52" s="320"/>
      <c r="F52" s="320"/>
      <c r="G52" s="320"/>
      <c r="H52" s="320"/>
      <c r="I52" s="320"/>
      <c r="J52" s="320"/>
      <c r="K52" s="320"/>
      <c r="L52" s="320"/>
      <c r="M52" s="320"/>
      <c r="N52" s="320"/>
      <c r="O52" s="320"/>
      <c r="P52" s="320"/>
      <c r="Q52" s="320"/>
      <c r="R52" s="320"/>
      <c r="S52" s="320"/>
      <c r="T52" s="320"/>
      <c r="U52" s="320"/>
      <c r="V52" s="320"/>
      <c r="W52" s="320"/>
      <c r="X52" s="320"/>
      <c r="Y52" s="320"/>
      <c r="Z52" s="320"/>
      <c r="AA52" s="320"/>
      <c r="AB52" s="320"/>
      <c r="AC52" s="320"/>
      <c r="AD52" s="320"/>
      <c r="AE52" s="320"/>
      <c r="AF52" s="320"/>
      <c r="AG52" s="320"/>
      <c r="AH52" s="320"/>
    </row>
    <row r="53" spans="1:34" s="20" customFormat="1" hidden="1" x14ac:dyDescent="0.2">
      <c r="A53" s="320"/>
      <c r="B53" s="7" t="s">
        <v>226</v>
      </c>
      <c r="C53" s="8"/>
      <c r="D53" s="8"/>
      <c r="E53" s="29">
        <f>Calculations!E16</f>
        <v>1</v>
      </c>
      <c r="F53" s="29">
        <f>Calculations!F16</f>
        <v>1</v>
      </c>
      <c r="G53" s="29">
        <f>Calculations!G16</f>
        <v>1</v>
      </c>
      <c r="H53" s="29">
        <f>Calculations!H16</f>
        <v>1</v>
      </c>
      <c r="I53" s="29">
        <f>Calculations!I16</f>
        <v>1</v>
      </c>
      <c r="J53" s="29">
        <f>Calculations!J16</f>
        <v>1</v>
      </c>
      <c r="K53" s="29">
        <f>Calculations!K16</f>
        <v>1</v>
      </c>
      <c r="L53" s="29">
        <f>Calculations!L16</f>
        <v>1</v>
      </c>
      <c r="M53" s="29">
        <f>Calculations!M16</f>
        <v>1</v>
      </c>
      <c r="N53" s="29">
        <f>Calculations!N16</f>
        <v>1</v>
      </c>
      <c r="O53" s="29">
        <f>Calculations!O16</f>
        <v>1</v>
      </c>
      <c r="P53" s="29">
        <f>Calculations!P16</f>
        <v>1</v>
      </c>
      <c r="Q53" s="29">
        <f>Calculations!Q16</f>
        <v>1</v>
      </c>
      <c r="R53" s="29">
        <f>Calculations!R16</f>
        <v>1</v>
      </c>
      <c r="S53" s="29">
        <f>Calculations!S16</f>
        <v>1</v>
      </c>
      <c r="T53" s="29">
        <f>Calculations!T16</f>
        <v>1</v>
      </c>
      <c r="U53" s="29">
        <f>Calculations!U16</f>
        <v>1</v>
      </c>
      <c r="V53" s="29">
        <f>Calculations!V16</f>
        <v>1</v>
      </c>
      <c r="W53" s="29">
        <f>Calculations!W16</f>
        <v>1</v>
      </c>
      <c r="X53" s="29">
        <f>Calculations!X16</f>
        <v>1</v>
      </c>
      <c r="Y53" s="29">
        <f>Calculations!Y16</f>
        <v>1</v>
      </c>
      <c r="Z53" s="29">
        <f>Calculations!Z16</f>
        <v>1</v>
      </c>
      <c r="AA53" s="29">
        <f>Calculations!AA16</f>
        <v>1</v>
      </c>
      <c r="AB53" s="29">
        <f>Calculations!AB16</f>
        <v>1</v>
      </c>
      <c r="AC53" s="29">
        <f>Calculations!AC16</f>
        <v>1</v>
      </c>
      <c r="AD53" s="29">
        <f>Calculations!AD16</f>
        <v>1</v>
      </c>
      <c r="AE53" s="29">
        <f>Calculations!AE16</f>
        <v>1</v>
      </c>
      <c r="AF53" s="29">
        <f>Calculations!AF16</f>
        <v>1</v>
      </c>
      <c r="AG53" s="29">
        <f>Calculations!AG16</f>
        <v>1</v>
      </c>
      <c r="AH53" s="29">
        <f>Calculations!AH16</f>
        <v>1</v>
      </c>
    </row>
    <row r="54" spans="1:34" s="278" customFormat="1" x14ac:dyDescent="0.2">
      <c r="A54" s="320"/>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row>
    <row r="55" spans="1:34" s="20" customFormat="1" x14ac:dyDescent="0.2">
      <c r="A55" s="320"/>
      <c r="B55" s="19" t="s">
        <v>595</v>
      </c>
    </row>
    <row r="56" spans="1:34" s="277" customFormat="1" x14ac:dyDescent="0.2">
      <c r="A56" s="320"/>
      <c r="B56" s="25" t="s">
        <v>650</v>
      </c>
      <c r="C56" s="24"/>
      <c r="D56" s="24"/>
      <c r="E56" s="35">
        <f>IF(E$53=1,SUM(Calculations!E232:E241),0)</f>
        <v>41000</v>
      </c>
      <c r="F56" s="35">
        <f>IF(F$53=1,SUM(Calculations!F232:F241),0)</f>
        <v>41101.599999999999</v>
      </c>
      <c r="G56" s="35">
        <f>IF(G$53=1,SUM(Calculations!G232:G241),0)</f>
        <v>42234.867039999997</v>
      </c>
      <c r="H56" s="35">
        <f>IF(H$53=1,SUM(Calculations!H232:H241),0)</f>
        <v>43400.727023223997</v>
      </c>
      <c r="I56" s="35">
        <f>IF(I$53=1,SUM(Calculations!I232:I241),0)</f>
        <v>44600.133110909854</v>
      </c>
      <c r="J56" s="35">
        <f>IF(J$53=1,SUM(Calculations!J232:J241),0)</f>
        <v>45834.066527223549</v>
      </c>
      <c r="K56" s="35">
        <f>IF(K$53=1,SUM(Calculations!K232:K241),0)</f>
        <v>52991.479561478882</v>
      </c>
      <c r="L56" s="35">
        <f>IF(L$53=1,SUM(Calculations!L232:L241),0)</f>
        <v>54460.783748119538</v>
      </c>
      <c r="M56" s="35">
        <f>IF(M$53=1,SUM(Calculations!M232:M241),0)</f>
        <v>55972.441697615403</v>
      </c>
      <c r="N56" s="35">
        <f>IF(N$53=1,SUM(Calculations!N232:N241),0)</f>
        <v>57527.693173328473</v>
      </c>
      <c r="O56" s="35">
        <f>IF(O$53=1,SUM(Calculations!O232:O241),0)</f>
        <v>59127.814455032407</v>
      </c>
      <c r="P56" s="35">
        <f>IF(P$53=1,SUM(Calculations!P232:P241),0)</f>
        <v>60774.119417520604</v>
      </c>
      <c r="Q56" s="35">
        <f>IF(Q$53=1,SUM(Calculations!Q232:Q241),0)</f>
        <v>62467.960641123304</v>
      </c>
      <c r="R56" s="35">
        <f>IF(R$53=1,SUM(Calculations!R232:R241),0)</f>
        <v>64210.730555078582</v>
      </c>
      <c r="S56" s="35">
        <f>IF(S$53=1,SUM(Calculations!S232:S241),0)</f>
        <v>66003.86261473065</v>
      </c>
      <c r="T56" s="35">
        <f>IF(T$53=1,SUM(Calculations!T232:T241),0)</f>
        <v>67848.832513556685</v>
      </c>
      <c r="U56" s="35">
        <f>IF(U$53=1,SUM(Calculations!U232:U241),0)</f>
        <v>69747.159431054446</v>
      </c>
      <c r="V56" s="35">
        <f>IF(V$53=1,SUM(Calculations!V232:V241),0)</f>
        <v>71700.407317552046</v>
      </c>
      <c r="W56" s="35">
        <f>IF(W$53=1,SUM(Calculations!W232:W241),0)</f>
        <v>73710.186217033945</v>
      </c>
      <c r="X56" s="35">
        <f>IF(X$53=1,SUM(Calculations!X232:X241),0)</f>
        <v>75778.153629109089</v>
      </c>
      <c r="Y56" s="35">
        <f>IF(Y$53=1,SUM(Calculations!Y232:Y241),0)</f>
        <v>77906.015911280352</v>
      </c>
      <c r="Z56" s="35">
        <f>IF(Z$53=1,SUM(Calculations!Z232:Z241),0)</f>
        <v>80095.529722709427</v>
      </c>
      <c r="AA56" s="35">
        <f>IF(AA$53=1,SUM(Calculations!AA232:AA241),0)</f>
        <v>82348.503510705836</v>
      </c>
      <c r="AB56" s="35">
        <f>IF(AB$53=1,SUM(Calculations!AB232:AB241),0)</f>
        <v>84666.799041206017</v>
      </c>
      <c r="AC56" s="35">
        <f>IF(AC$53=1,SUM(Calculations!AC232:AC241),0)</f>
        <v>87052.332974545352</v>
      </c>
      <c r="AD56" s="35">
        <f>IF(AD$53=1,SUM(Calculations!AD232:AD241),0)</f>
        <v>89507.078487865103</v>
      </c>
      <c r="AE56" s="35">
        <f>IF(AE$53=1,SUM(Calculations!AE232:AE241),0)</f>
        <v>92033.066945535495</v>
      </c>
      <c r="AF56" s="35">
        <f>IF(AF$53=1,SUM(Calculations!AF232:AF241),0)</f>
        <v>94632.38961901734</v>
      </c>
      <c r="AG56" s="35">
        <f>IF(AG$53=1,SUM(Calculations!AG232:AG241),0)</f>
        <v>97307.199457627547</v>
      </c>
      <c r="AH56" s="35">
        <f>IF(AH$53=1,SUM(Calculations!AH232:AH241),0)</f>
        <v>100059.71291171557</v>
      </c>
    </row>
    <row r="57" spans="1:34" s="277" customFormat="1" x14ac:dyDescent="0.2">
      <c r="A57" s="320"/>
      <c r="B57" s="25" t="s">
        <v>642</v>
      </c>
      <c r="C57" s="24"/>
      <c r="D57" s="24"/>
      <c r="E57" s="35">
        <f>IF(E$53=1,SUM(Calculations!E254),0)</f>
        <v>10</v>
      </c>
      <c r="F57" s="35">
        <f>IF(F$53=1,SUM(Calculations!F254),0)</f>
        <v>10.3</v>
      </c>
      <c r="G57" s="35">
        <f>IF(G$53=1,SUM(Calculations!G254),0)</f>
        <v>10.609000000000002</v>
      </c>
      <c r="H57" s="35">
        <f>IF(H$53=1,SUM(Calculations!H254),0)</f>
        <v>10.927270000000002</v>
      </c>
      <c r="I57" s="35">
        <f>IF(I$53=1,SUM(Calculations!I254),0)</f>
        <v>11.255088100000002</v>
      </c>
      <c r="J57" s="35">
        <f>IF(J$53=1,SUM(Calculations!J254),0)</f>
        <v>11.592740743000002</v>
      </c>
      <c r="K57" s="35">
        <f>IF(K$53=1,SUM(Calculations!K254),0)</f>
        <v>11.940522965290002</v>
      </c>
      <c r="L57" s="35">
        <f>IF(L$53=1,SUM(Calculations!L254),0)</f>
        <v>12.298738654248703</v>
      </c>
      <c r="M57" s="35">
        <f>IF(M$53=1,SUM(Calculations!M254),0)</f>
        <v>12.667700813876165</v>
      </c>
      <c r="N57" s="35">
        <f>IF(N$53=1,SUM(Calculations!N254),0)</f>
        <v>13.047731838292449</v>
      </c>
      <c r="O57" s="35">
        <f>IF(O$53=1,SUM(Calculations!O254),0)</f>
        <v>13.439163793441223</v>
      </c>
      <c r="P57" s="35">
        <f>IF(P$53=1,SUM(Calculations!P254),0)</f>
        <v>13.84233870724446</v>
      </c>
      <c r="Q57" s="35">
        <f>IF(Q$53=1,SUM(Calculations!Q254),0)</f>
        <v>14.257608868461794</v>
      </c>
      <c r="R57" s="35">
        <f>IF(R$53=1,SUM(Calculations!R254),0)</f>
        <v>14.685337134515649</v>
      </c>
      <c r="S57" s="35">
        <f>IF(S$53=1,SUM(Calculations!S254),0)</f>
        <v>15.125897248551119</v>
      </c>
      <c r="T57" s="35">
        <f>IF(T$53=1,SUM(Calculations!T254),0)</f>
        <v>15.579674166007653</v>
      </c>
      <c r="U57" s="35">
        <f>IF(U$53=1,SUM(Calculations!U254),0)</f>
        <v>16.047064390987885</v>
      </c>
      <c r="V57" s="35">
        <f>IF(V$53=1,SUM(Calculations!V254),0)</f>
        <v>16.52847632271752</v>
      </c>
      <c r="W57" s="35">
        <f>IF(W$53=1,SUM(Calculations!W254),0)</f>
        <v>17.024330612399044</v>
      </c>
      <c r="X57" s="35">
        <f>IF(X$53=1,SUM(Calculations!X254),0)</f>
        <v>17.535060530771016</v>
      </c>
      <c r="Y57" s="35">
        <f>IF(Y$53=1,SUM(Calculations!Y254),0)</f>
        <v>18.061112346694149</v>
      </c>
      <c r="Z57" s="35">
        <f>IF(Z$53=1,SUM(Calculations!Z254),0)</f>
        <v>18.602945717094972</v>
      </c>
      <c r="AA57" s="35">
        <f>IF(AA$53=1,SUM(Calculations!AA254),0)</f>
        <v>19.161034088607821</v>
      </c>
      <c r="AB57" s="35">
        <f>IF(AB$53=1,SUM(Calculations!AB254),0)</f>
        <v>19.735865111266055</v>
      </c>
      <c r="AC57" s="35">
        <f>IF(AC$53=1,SUM(Calculations!AC254),0)</f>
        <v>20.327941064604037</v>
      </c>
      <c r="AD57" s="35">
        <f>IF(AD$53=1,SUM(Calculations!AD254),0)</f>
        <v>20.937779296542157</v>
      </c>
      <c r="AE57" s="35">
        <f>IF(AE$53=1,SUM(Calculations!AE254),0)</f>
        <v>21.565912675438422</v>
      </c>
      <c r="AF57" s="35">
        <f>IF(AF$53=1,SUM(Calculations!AF254),0)</f>
        <v>22.212890055701575</v>
      </c>
      <c r="AG57" s="35">
        <f>IF(AG$53=1,SUM(Calculations!AG254),0)</f>
        <v>22.879276757372622</v>
      </c>
      <c r="AH57" s="35">
        <f>IF(AH$53=1,SUM(Calculations!AH254),0)</f>
        <v>23.565655060093803</v>
      </c>
    </row>
    <row r="58" spans="1:34" s="277" customFormat="1" x14ac:dyDescent="0.2">
      <c r="A58" s="320"/>
      <c r="B58" s="25" t="s">
        <v>633</v>
      </c>
      <c r="C58" s="24"/>
      <c r="D58" s="24"/>
      <c r="E58" s="35">
        <f>IF(E53=1,'Assumptions - Freight'!E210+Calculations!E256,0)</f>
        <v>502</v>
      </c>
      <c r="F58" s="35">
        <f>IF(F53=1,'Assumptions - Freight'!F210+Calculations!F256,0)</f>
        <v>502.48</v>
      </c>
      <c r="G58" s="35">
        <f>IF(G53=1,'Assumptions - Freight'!G210+Calculations!G256,0)</f>
        <v>503.51457258348978</v>
      </c>
      <c r="H58" s="35">
        <f>IF(H53=1,'Assumptions - Freight'!H210+Calculations!H256,0)</f>
        <v>503.83059092315023</v>
      </c>
      <c r="I58" s="35">
        <f>IF(I53=1,'Assumptions - Freight'!I210+Calculations!I256,0)</f>
        <v>504.16061376003097</v>
      </c>
      <c r="J58" s="35">
        <f>IF(J53=1,'Assumptions - Freight'!J210+Calculations!J256,0)</f>
        <v>504.50319661879502</v>
      </c>
      <c r="K58" s="35">
        <f>IF(K53=1,'Assumptions - Freight'!K210+Calculations!K256,0)</f>
        <v>504.85821634907643</v>
      </c>
      <c r="L58" s="35">
        <f>IF(L53=1,'Assumptions - Freight'!L210+Calculations!L256,0)</f>
        <v>504.62585450978332</v>
      </c>
      <c r="M58" s="35">
        <f>IF(M53=1,'Assumptions - Freight'!M210+Calculations!M256,0)</f>
        <v>504.96564754227938</v>
      </c>
      <c r="N58" s="35">
        <f>IF(N53=1,'Assumptions - Freight'!N210+Calculations!N256,0)</f>
        <v>505.37595640608242</v>
      </c>
      <c r="O58" s="35">
        <f>IF(O53=1,'Assumptions - Freight'!O210+Calculations!O256,0)</f>
        <v>505.7998570146533</v>
      </c>
      <c r="P58" s="35">
        <f>IF(P53=1,'Assumptions - Freight'!P210+Calculations!P256,0)</f>
        <v>506.23764345266477</v>
      </c>
      <c r="Q58" s="35">
        <f>IF(Q53=1,'Assumptions - Freight'!Q210+Calculations!Q256,0)</f>
        <v>506.68965761450818</v>
      </c>
      <c r="R58" s="35">
        <f>IF(R53=1,'Assumptions - Freight'!R210+Calculations!R256,0)</f>
        <v>507.15627513633194</v>
      </c>
      <c r="S58" s="35">
        <f>IF(S53=1,'Assumptions - Freight'!S210+Calculations!S256,0)</f>
        <v>507.63789777542115</v>
      </c>
      <c r="T58" s="35">
        <f>IF(T53=1,'Assumptions - Freight'!T210+Calculations!T256,0)</f>
        <v>508.1349491183758</v>
      </c>
      <c r="U58" s="35">
        <f>IF(U53=1,'Assumptions - Freight'!U210+Calculations!U256,0)</f>
        <v>508.64787211487442</v>
      </c>
      <c r="V58" s="35">
        <f>IF(V53=1,'Assumptions - Freight'!V210+Calculations!V256,0)</f>
        <v>508.80987913010244</v>
      </c>
      <c r="W58" s="35">
        <f>IF(W53=1,'Assumptions - Freight'!W210+Calculations!W256,0)</f>
        <v>508.63994535636391</v>
      </c>
      <c r="X58" s="35">
        <f>IF(X53=1,'Assumptions - Freight'!X210+Calculations!X256,0)</f>
        <v>509.20670999996582</v>
      </c>
      <c r="Y58" s="35">
        <f>IF(Y53=1,'Assumptions - Freight'!Y210+Calculations!Y256,0)</f>
        <v>509.79063445450652</v>
      </c>
      <c r="Z58" s="35">
        <f>IF(Z53=1,'Assumptions - Freight'!Z210+Calculations!Z256,0)</f>
        <v>510.29220120017322</v>
      </c>
      <c r="AA58" s="35">
        <f>IF(AA53=1,'Assumptions - Freight'!AA210+Calculations!AA256,0)</f>
        <v>510.9119127783643</v>
      </c>
      <c r="AB58" s="35">
        <f>IF(AB53=1,'Assumptions - Freight'!AB210+Calculations!AB256,0)</f>
        <v>511.5502911721552</v>
      </c>
      <c r="AC58" s="35">
        <f>IF(AC53=1,'Assumptions - Freight'!AC210+Calculations!AC256,0)</f>
        <v>512.20787747580903</v>
      </c>
      <c r="AD58" s="35">
        <f>IF(AD53=1,'Assumptions - Freight'!AD210+Calculations!AD256,0)</f>
        <v>512.88523177489401</v>
      </c>
      <c r="AE58" s="35">
        <f>IF(AE53=1,'Assumptions - Freight'!AE210+Calculations!AE256,0)</f>
        <v>513.58293318337383</v>
      </c>
      <c r="AF58" s="35">
        <f>IF(AF53=1,'Assumptions - Freight'!AF210+Calculations!AF256,0)</f>
        <v>514.30158000040001</v>
      </c>
      <c r="AG58" s="35">
        <f>IF(AG53=1,'Assumptions - Freight'!AG210+Calculations!AG256,0)</f>
        <v>515.04178996054009</v>
      </c>
      <c r="AH58" s="35">
        <f>IF(AH53=1,'Assumptions - Freight'!AH210+Calculations!AH256,0)</f>
        <v>515.80420055870059</v>
      </c>
    </row>
    <row r="59" spans="1:34" s="277" customFormat="1" x14ac:dyDescent="0.2">
      <c r="A59" s="320"/>
      <c r="B59" s="23" t="s">
        <v>88</v>
      </c>
      <c r="C59" s="24"/>
      <c r="D59" s="24"/>
      <c r="E59" s="36">
        <f>SUM(E56:E58)</f>
        <v>41512</v>
      </c>
      <c r="F59" s="36">
        <f t="shared" ref="F59:AH59" si="12">SUM(F56:F58)</f>
        <v>41614.380000000005</v>
      </c>
      <c r="G59" s="36">
        <f t="shared" si="12"/>
        <v>42748.990612583482</v>
      </c>
      <c r="H59" s="36">
        <f t="shared" si="12"/>
        <v>43915.484884147147</v>
      </c>
      <c r="I59" s="36">
        <f t="shared" si="12"/>
        <v>45115.548812769885</v>
      </c>
      <c r="J59" s="36">
        <f t="shared" si="12"/>
        <v>46350.162464585344</v>
      </c>
      <c r="K59" s="36">
        <f t="shared" si="12"/>
        <v>53508.278300793252</v>
      </c>
      <c r="L59" s="36">
        <f t="shared" si="12"/>
        <v>54977.708341283571</v>
      </c>
      <c r="M59" s="36">
        <f t="shared" si="12"/>
        <v>56490.075045971564</v>
      </c>
      <c r="N59" s="36">
        <f t="shared" si="12"/>
        <v>58046.116861572846</v>
      </c>
      <c r="O59" s="36">
        <f t="shared" si="12"/>
        <v>59647.053475840497</v>
      </c>
      <c r="P59" s="36">
        <f t="shared" si="12"/>
        <v>61294.199399680518</v>
      </c>
      <c r="Q59" s="36">
        <f t="shared" si="12"/>
        <v>62988.90790760627</v>
      </c>
      <c r="R59" s="36">
        <f t="shared" si="12"/>
        <v>64732.572167349426</v>
      </c>
      <c r="S59" s="36">
        <f t="shared" si="12"/>
        <v>66526.626409754623</v>
      </c>
      <c r="T59" s="36">
        <f t="shared" si="12"/>
        <v>68372.547136841065</v>
      </c>
      <c r="U59" s="36">
        <f t="shared" si="12"/>
        <v>70271.854367560314</v>
      </c>
      <c r="V59" s="36">
        <f t="shared" si="12"/>
        <v>72225.745673004873</v>
      </c>
      <c r="W59" s="36">
        <f t="shared" si="12"/>
        <v>74235.850493002712</v>
      </c>
      <c r="X59" s="36">
        <f t="shared" si="12"/>
        <v>76304.895399639834</v>
      </c>
      <c r="Y59" s="36">
        <f t="shared" si="12"/>
        <v>78433.867658081552</v>
      </c>
      <c r="Z59" s="36">
        <f t="shared" si="12"/>
        <v>80624.424869626702</v>
      </c>
      <c r="AA59" s="36">
        <f t="shared" si="12"/>
        <v>82878.57645757281</v>
      </c>
      <c r="AB59" s="36">
        <f t="shared" si="12"/>
        <v>85198.085197489432</v>
      </c>
      <c r="AC59" s="36">
        <f t="shared" si="12"/>
        <v>87584.86879308577</v>
      </c>
      <c r="AD59" s="36">
        <f t="shared" si="12"/>
        <v>90040.901498936539</v>
      </c>
      <c r="AE59" s="36">
        <f t="shared" si="12"/>
        <v>92568.215791394294</v>
      </c>
      <c r="AF59" s="36">
        <f t="shared" si="12"/>
        <v>95168.904089073447</v>
      </c>
      <c r="AG59" s="36">
        <f t="shared" si="12"/>
        <v>97845.120524345461</v>
      </c>
      <c r="AH59" s="36">
        <f t="shared" si="12"/>
        <v>100599.08276733437</v>
      </c>
    </row>
    <row r="60" spans="1:34" s="277" customFormat="1" x14ac:dyDescent="0.2">
      <c r="A60" s="320"/>
      <c r="B60" s="24"/>
      <c r="C60" s="24"/>
      <c r="D60" s="24"/>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row>
    <row r="61" spans="1:34" s="20" customFormat="1" x14ac:dyDescent="0.2">
      <c r="A61" s="320"/>
      <c r="B61" s="19" t="s">
        <v>89</v>
      </c>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row>
    <row r="62" spans="1:34" s="20" customFormat="1" x14ac:dyDescent="0.2">
      <c r="A62" s="320"/>
      <c r="B62" s="32" t="s">
        <v>131</v>
      </c>
      <c r="E62" s="37">
        <f>IF(E53=1,Calculations!E1117+Calculations!E1118,0)</f>
        <v>12602.500000000002</v>
      </c>
      <c r="F62" s="37">
        <f>IF(F53=1,Calculations!F1117+Calculations!F1118,0)</f>
        <v>12663.9756097561</v>
      </c>
      <c r="G62" s="37">
        <f>IF(G53=1,Calculations!G1117+Calculations!G1118,0)</f>
        <v>13043.894878048783</v>
      </c>
      <c r="H62" s="37">
        <f>IF(H53=1,Calculations!H1117+Calculations!H1118,0)</f>
        <v>13435.211724390247</v>
      </c>
      <c r="I62" s="37">
        <f>IF(I53=1,Calculations!I1117+Calculations!I1118,0)</f>
        <v>13838.268076121954</v>
      </c>
      <c r="J62" s="37">
        <f>IF(J53=1,Calculations!J1117+Calculations!J1118,0)</f>
        <v>14253.416118405612</v>
      </c>
      <c r="K62" s="37">
        <f>IF(K53=1,Calculations!K1117+Calculations!K1118,0)</f>
        <v>16516.145927202502</v>
      </c>
      <c r="L62" s="37">
        <f>IF(L53=1,Calculations!L1117+Calculations!L1118,0)</f>
        <v>17011.630305018578</v>
      </c>
      <c r="M62" s="37">
        <f>IF(M53=1,Calculations!M1117+Calculations!M1118,0)</f>
        <v>17521.97921416914</v>
      </c>
      <c r="N62" s="37">
        <f>IF(N53=1,Calculations!N1117+Calculations!N1118,0)</f>
        <v>18047.638590594212</v>
      </c>
      <c r="O62" s="37">
        <f>IF(O53=1,Calculations!O1117+Calculations!O1118,0)</f>
        <v>18589.067748312034</v>
      </c>
      <c r="P62" s="37">
        <f>IF(P53=1,Calculations!P1117+Calculations!P1118,0)</f>
        <v>19146.7397807614</v>
      </c>
      <c r="Q62" s="37">
        <f>IF(Q53=1,Calculations!Q1117+Calculations!Q1118,0)</f>
        <v>19721.14197418424</v>
      </c>
      <c r="R62" s="37">
        <f>IF(R53=1,Calculations!R1117+Calculations!R1118,0)</f>
        <v>20312.776233409772</v>
      </c>
      <c r="S62" s="37">
        <f>IF(S53=1,Calculations!S1117+Calculations!S1118,0)</f>
        <v>20922.159520412064</v>
      </c>
      <c r="T62" s="37">
        <f>IF(T53=1,Calculations!T1117+Calculations!T1118,0)</f>
        <v>21549.824306024428</v>
      </c>
      <c r="U62" s="37">
        <f>IF(U53=1,Calculations!U1117+Calculations!U1118,0)</f>
        <v>22196.319035205161</v>
      </c>
      <c r="V62" s="37">
        <f>IF(V53=1,Calculations!V1117+Calculations!V1118,0)</f>
        <v>22862.208606261316</v>
      </c>
      <c r="W62" s="37">
        <f>IF(W53=1,Calculations!W1117+Calculations!W1118,0)</f>
        <v>23548.074864449158</v>
      </c>
      <c r="X62" s="37">
        <f>IF(X53=1,Calculations!X1117+Calculations!X1118,0)</f>
        <v>24254.517110382632</v>
      </c>
      <c r="Y62" s="37">
        <f>IF(Y53=1,Calculations!Y1117+Calculations!Y1118,0)</f>
        <v>24982.152623694114</v>
      </c>
      <c r="Z62" s="37">
        <f>IF(Z53=1,Calculations!Z1117+Calculations!Z1118,0)</f>
        <v>25731.617202404937</v>
      </c>
      <c r="AA62" s="37">
        <f>IF(AA53=1,Calculations!AA1117+Calculations!AA1118,0)</f>
        <v>26503.565718477086</v>
      </c>
      <c r="AB62" s="37">
        <f>IF(AB53=1,Calculations!AB1117+Calculations!AB1118,0)</f>
        <v>27298.672690031402</v>
      </c>
      <c r="AC62" s="37">
        <f>IF(AC53=1,Calculations!AC1117+Calculations!AC1118,0)</f>
        <v>28117.632870732348</v>
      </c>
      <c r="AD62" s="37">
        <f>IF(AD53=1,Calculations!AD1117+Calculations!AD1118,0)</f>
        <v>28961.161856854313</v>
      </c>
      <c r="AE62" s="37">
        <f>IF(AE53=1,Calculations!AE1117+Calculations!AE1118,0)</f>
        <v>29829.996712559947</v>
      </c>
      <c r="AF62" s="37">
        <f>IF(AF53=1,Calculations!AF1117+Calculations!AF1118,0)</f>
        <v>30724.896613936748</v>
      </c>
      <c r="AG62" s="37">
        <f>IF(AG53=1,Calculations!AG1117+Calculations!AG1118,0)</f>
        <v>31646.643512354847</v>
      </c>
      <c r="AH62" s="37">
        <f>IF(AH53=1,Calculations!AH1117+Calculations!AH1118,0)</f>
        <v>32596.042817725494</v>
      </c>
    </row>
    <row r="63" spans="1:34" s="277" customFormat="1" x14ac:dyDescent="0.2">
      <c r="A63" s="320"/>
      <c r="B63" s="25" t="s">
        <v>37</v>
      </c>
      <c r="C63" s="24"/>
      <c r="D63" s="24"/>
      <c r="E63" s="35">
        <f>IF(E53=1,Calculations!E260,0)</f>
        <v>1000</v>
      </c>
      <c r="F63" s="35">
        <f>IF(F53=1,Calculations!F260,0)</f>
        <v>1030.0000000000002</v>
      </c>
      <c r="G63" s="35">
        <f>IF(G53=1,Calculations!G260,0)</f>
        <v>1060.9000000000001</v>
      </c>
      <c r="H63" s="35">
        <f>IF(H53=1,Calculations!H260,0)</f>
        <v>1311.2724000000003</v>
      </c>
      <c r="I63" s="35">
        <f>IF(I53=1,Calculations!I260,0)</f>
        <v>1500.6784133333335</v>
      </c>
      <c r="J63" s="35">
        <f>IF(J53=1,Calculations!J260,0)</f>
        <v>1545.6987657333334</v>
      </c>
      <c r="K63" s="35">
        <f>IF(K53=1,Calculations!K260,0)</f>
        <v>1592.0697287053335</v>
      </c>
      <c r="L63" s="35">
        <f>IF(L53=1,Calculations!L260,0)</f>
        <v>1639.8318205664934</v>
      </c>
      <c r="M63" s="35">
        <f>IF(M53=1,Calculations!M260,0)</f>
        <v>1689.0267751834886</v>
      </c>
      <c r="N63" s="35">
        <f>IF(N53=1,Calculations!N260,0)</f>
        <v>1739.6975784389929</v>
      </c>
      <c r="O63" s="35">
        <f>IF(O53=1,Calculations!O260,0)</f>
        <v>1791.888505792163</v>
      </c>
      <c r="P63" s="35">
        <f>IF(P53=1,Calculations!P260,0)</f>
        <v>1845.6451609659277</v>
      </c>
      <c r="Q63" s="35">
        <f>IF(Q53=1,Calculations!Q260,0)</f>
        <v>1901.0145157949059</v>
      </c>
      <c r="R63" s="35">
        <f>IF(R53=1,Calculations!R260,0)</f>
        <v>1958.0449512687533</v>
      </c>
      <c r="S63" s="35">
        <f>IF(S53=1,Calculations!S260,0)</f>
        <v>2016.7862998068158</v>
      </c>
      <c r="T63" s="35">
        <f>IF(T53=1,Calculations!T260,0)</f>
        <v>2077.2898888010204</v>
      </c>
      <c r="U63" s="35">
        <f>IF(U53=1,Calculations!U260,0)</f>
        <v>2139.608585465051</v>
      </c>
      <c r="V63" s="35">
        <f>IF(V53=1,Calculations!V260,0)</f>
        <v>2203.7968430290025</v>
      </c>
      <c r="W63" s="35">
        <f>IF(W53=1,Calculations!W260,0)</f>
        <v>2269.9107483198727</v>
      </c>
      <c r="X63" s="35">
        <f>IF(X53=1,Calculations!X260,0)</f>
        <v>2338.0080707694688</v>
      </c>
      <c r="Y63" s="35">
        <f>IF(Y53=1,Calculations!Y260,0)</f>
        <v>2408.1483128925529</v>
      </c>
      <c r="Z63" s="35">
        <f>IF(Z53=1,Calculations!Z260,0)</f>
        <v>2480.3927622793294</v>
      </c>
      <c r="AA63" s="35">
        <f>IF(AA53=1,Calculations!AA260,0)</f>
        <v>2554.8045451477092</v>
      </c>
      <c r="AB63" s="35">
        <f>IF(AB53=1,Calculations!AB260,0)</f>
        <v>2631.448681502141</v>
      </c>
      <c r="AC63" s="35">
        <f>IF(AC53=1,Calculations!AC260,0)</f>
        <v>2710.3921419472049</v>
      </c>
      <c r="AD63" s="35">
        <f>IF(AD53=1,Calculations!AD260,0)</f>
        <v>2791.703906205621</v>
      </c>
      <c r="AE63" s="35">
        <f>IF(AE53=1,Calculations!AE260,0)</f>
        <v>2875.4550233917898</v>
      </c>
      <c r="AF63" s="35">
        <f>IF(AF53=1,Calculations!AF260,0)</f>
        <v>2961.7186740935435</v>
      </c>
      <c r="AG63" s="35">
        <f>IF(AG53=1,Calculations!AG260,0)</f>
        <v>3050.5702343163498</v>
      </c>
      <c r="AH63" s="35">
        <f>IF(AH53=1,Calculations!AH260,0)</f>
        <v>3142.0873413458403</v>
      </c>
    </row>
    <row r="64" spans="1:34" s="277" customFormat="1" x14ac:dyDescent="0.2">
      <c r="A64" s="320"/>
      <c r="B64" s="25" t="s">
        <v>40</v>
      </c>
      <c r="C64" s="24"/>
      <c r="D64" s="24"/>
      <c r="E64" s="35">
        <f>IF(E53=1,Calculations!E262,0)</f>
        <v>500</v>
      </c>
      <c r="F64" s="35">
        <f>IF(F53=1,Calculations!F262,0)</f>
        <v>502.43902439024396</v>
      </c>
      <c r="G64" s="35">
        <f>IF(G53=1,Calculations!G262,0)</f>
        <v>517.51219512195132</v>
      </c>
      <c r="H64" s="35">
        <f>IF(H53=1,Calculations!H262,0)</f>
        <v>533.03756097560984</v>
      </c>
      <c r="I64" s="35">
        <f>IF(I53=1,Calculations!I262,0)</f>
        <v>549.02868780487813</v>
      </c>
      <c r="J64" s="35">
        <f>IF(J53=1,Calculations!J262,0)</f>
        <v>565.49954843902447</v>
      </c>
      <c r="K64" s="35">
        <f>IF(K53=1,Calculations!K262,0)</f>
        <v>655.27260175371953</v>
      </c>
      <c r="L64" s="35">
        <f>IF(L53=1,Calculations!L262,0)</f>
        <v>674.93077980633109</v>
      </c>
      <c r="M64" s="35">
        <f>IF(M53=1,Calculations!M262,0)</f>
        <v>695.178703200521</v>
      </c>
      <c r="N64" s="35">
        <f>IF(N53=1,Calculations!N262,0)</f>
        <v>716.0340642965366</v>
      </c>
      <c r="O64" s="35">
        <f>IF(O53=1,Calculations!O262,0)</f>
        <v>737.5150862254327</v>
      </c>
      <c r="P64" s="35">
        <f>IF(P53=1,Calculations!P262,0)</f>
        <v>759.6405388121957</v>
      </c>
      <c r="Q64" s="35">
        <f>IF(Q53=1,Calculations!Q262,0)</f>
        <v>782.42975497656164</v>
      </c>
      <c r="R64" s="35">
        <f>IF(R53=1,Calculations!R262,0)</f>
        <v>805.90264762585855</v>
      </c>
      <c r="S64" s="35">
        <f>IF(S53=1,Calculations!S262,0)</f>
        <v>830.0797270546343</v>
      </c>
      <c r="T64" s="35">
        <f>IF(T53=1,Calculations!T262,0)</f>
        <v>854.98211886627337</v>
      </c>
      <c r="U64" s="35">
        <f>IF(U53=1,Calculations!U262,0)</f>
        <v>880.63158243226155</v>
      </c>
      <c r="V64" s="35">
        <f>IF(V53=1,Calculations!V262,0)</f>
        <v>907.05052990522938</v>
      </c>
      <c r="W64" s="35">
        <f>IF(W53=1,Calculations!W262,0)</f>
        <v>934.2620458023863</v>
      </c>
      <c r="X64" s="35">
        <f>IF(X53=1,Calculations!X262,0)</f>
        <v>962.28990717645786</v>
      </c>
      <c r="Y64" s="35">
        <f>IF(Y53=1,Calculations!Y262,0)</f>
        <v>991.15860439175162</v>
      </c>
      <c r="Z64" s="35">
        <f>IF(Z53=1,Calculations!Z262,0)</f>
        <v>1020.8933625235042</v>
      </c>
      <c r="AA64" s="35">
        <f>IF(AA53=1,Calculations!AA262,0)</f>
        <v>1051.5201633992092</v>
      </c>
      <c r="AB64" s="35">
        <f>IF(AB53=1,Calculations!AB262,0)</f>
        <v>1083.0657683011855</v>
      </c>
      <c r="AC64" s="35">
        <f>IF(AC53=1,Calculations!AC262,0)</f>
        <v>1115.557741350221</v>
      </c>
      <c r="AD64" s="35">
        <f>IF(AD53=1,Calculations!AD262,0)</f>
        <v>1149.0244735907277</v>
      </c>
      <c r="AE64" s="35">
        <f>IF(AE53=1,Calculations!AE262,0)</f>
        <v>1183.4952077984494</v>
      </c>
      <c r="AF64" s="35">
        <f>IF(AF53=1,Calculations!AF262,0)</f>
        <v>1219.0000640324029</v>
      </c>
      <c r="AG64" s="35">
        <f>IF(AG53=1,Calculations!AG262,0)</f>
        <v>1255.570065953375</v>
      </c>
      <c r="AH64" s="35">
        <f>IF(AH53=1,Calculations!AH262,0)</f>
        <v>1293.2371679319763</v>
      </c>
    </row>
    <row r="65" spans="1:34" s="277" customFormat="1" x14ac:dyDescent="0.2">
      <c r="A65" s="320"/>
      <c r="B65" s="25" t="s">
        <v>90</v>
      </c>
      <c r="C65" s="24"/>
      <c r="D65" s="24"/>
      <c r="E65" s="35">
        <f>IF(E53=1,Calculations!E264,0)</f>
        <v>500</v>
      </c>
      <c r="F65" s="35">
        <f>IF(F53=1,Calculations!F264,0)</f>
        <v>492.39024390243901</v>
      </c>
      <c r="G65" s="35">
        <f>IF(G53=1,Calculations!G264,0)</f>
        <v>496.81170731707311</v>
      </c>
      <c r="H65" s="35">
        <f>IF(H53=1,Calculations!H264,0)</f>
        <v>501.05530731707313</v>
      </c>
      <c r="I65" s="35">
        <f>IF(I53=1,Calculations!I264,0)</f>
        <v>505.10639278048774</v>
      </c>
      <c r="J65" s="35">
        <f>IF(J53=1,Calculations!J264,0)</f>
        <v>508.94959359512205</v>
      </c>
      <c r="K65" s="35">
        <f>IF(K53=1,Calculations!K264,0)</f>
        <v>576.63988954327328</v>
      </c>
      <c r="L65" s="35">
        <f>IF(L53=1,Calculations!L264,0)</f>
        <v>580.44047063344465</v>
      </c>
      <c r="M65" s="35">
        <f>IF(M53=1,Calculations!M264,0)</f>
        <v>583.95011068843769</v>
      </c>
      <c r="N65" s="35">
        <f>IF(N53=1,Calculations!N264,0)</f>
        <v>587.14793272316012</v>
      </c>
      <c r="O65" s="35">
        <f>IF(O53=1,Calculations!O264,0)</f>
        <v>590.01206898034627</v>
      </c>
      <c r="P65" s="35">
        <f>IF(P53=1,Calculations!P264,0)</f>
        <v>592.5196202735126</v>
      </c>
      <c r="Q65" s="35">
        <f>IF(Q53=1,Calculations!Q264,0)</f>
        <v>594.64661378218671</v>
      </c>
      <c r="R65" s="35">
        <f>IF(R53=1,Calculations!R264,0)</f>
        <v>596.36795924313515</v>
      </c>
      <c r="S65" s="35">
        <f>IF(S53=1,Calculations!S264,0)</f>
        <v>597.65740347933684</v>
      </c>
      <c r="T65" s="35">
        <f>IF(T53=1,Calculations!T264,0)</f>
        <v>598.48748320639106</v>
      </c>
      <c r="U65" s="35">
        <f>IF(U53=1,Calculations!U264,0)</f>
        <v>598.82947605393758</v>
      </c>
      <c r="V65" s="35">
        <f>IF(V53=1,Calculations!V264,0)</f>
        <v>598.65334973745144</v>
      </c>
      <c r="W65" s="35">
        <f>IF(W53=1,Calculations!W264,0)</f>
        <v>597.92770931352732</v>
      </c>
      <c r="X65" s="35">
        <f>IF(X53=1,Calculations!X264,0)</f>
        <v>596.61974244940382</v>
      </c>
      <c r="Y65" s="35">
        <f>IF(Y53=1,Calculations!Y264,0)</f>
        <v>594.69516263505102</v>
      </c>
      <c r="Z65" s="35">
        <f>IF(Z53=1,Calculations!Z264,0)</f>
        <v>592.11815026363229</v>
      </c>
      <c r="AA65" s="35">
        <f>IF(AA53=1,Calculations!AA264,0)</f>
        <v>588.85129150355726</v>
      </c>
      <c r="AB65" s="35">
        <f>IF(AB53=1,Calculations!AB264,0)</f>
        <v>584.85551488264002</v>
      </c>
      <c r="AC65" s="35">
        <f>IF(AC53=1,Calculations!AC264,0)</f>
        <v>580.09002550211494</v>
      </c>
      <c r="AD65" s="35">
        <f>IF(AD53=1,Calculations!AD264,0)</f>
        <v>574.51223679536372</v>
      </c>
      <c r="AE65" s="35">
        <f>IF(AE53=1,Calculations!AE264,0)</f>
        <v>568.07769974325583</v>
      </c>
      <c r="AF65" s="35">
        <f>IF(AF53=1,Calculations!AF264,0)</f>
        <v>560.74002945490531</v>
      </c>
      <c r="AG65" s="35">
        <f>IF(AG53=1,Calculations!AG264,0)</f>
        <v>552.45082901948501</v>
      </c>
      <c r="AH65" s="35">
        <f>IF(AH53=1,Calculations!AH264,0)</f>
        <v>543.15961053142996</v>
      </c>
    </row>
    <row r="66" spans="1:34" s="277" customFormat="1" x14ac:dyDescent="0.2">
      <c r="A66" s="320"/>
      <c r="B66" s="25" t="s">
        <v>91</v>
      </c>
      <c r="C66" s="24"/>
      <c r="D66" s="24"/>
      <c r="E66" s="35">
        <f>IF(E53=1,Calculations!E266,0)</f>
        <v>500</v>
      </c>
      <c r="F66" s="35">
        <f>IF(F53=1,Calculations!F266,0)</f>
        <v>512.48780487804879</v>
      </c>
      <c r="G66" s="35">
        <f>IF(G53=1,Calculations!G266,0)</f>
        <v>538.2126829268293</v>
      </c>
      <c r="H66" s="35">
        <f>IF(H53=1,Calculations!H266,0)</f>
        <v>565.01981463414631</v>
      </c>
      <c r="I66" s="35">
        <f>IF(I53=1,Calculations!I266,0)</f>
        <v>592.95098282926847</v>
      </c>
      <c r="J66" s="35">
        <f>IF(J53=1,Calculations!J266,0)</f>
        <v>622.04950328292716</v>
      </c>
      <c r="K66" s="35">
        <f>IF(K53=1,Calculations!K266,0)</f>
        <v>733.905313964166</v>
      </c>
      <c r="L66" s="35">
        <f>IF(L53=1,Calculations!L266,0)</f>
        <v>769.42108897921787</v>
      </c>
      <c r="M66" s="35">
        <f>IF(M53=1,Calculations!M266,0)</f>
        <v>806.40729571260465</v>
      </c>
      <c r="N66" s="35">
        <f>IF(N53=1,Calculations!N266,0)</f>
        <v>844.92019586991353</v>
      </c>
      <c r="O66" s="35">
        <f>IF(O53=1,Calculations!O266,0)</f>
        <v>885.01810347051958</v>
      </c>
      <c r="P66" s="35">
        <f>IF(P53=1,Calculations!P266,0)</f>
        <v>926.76145735087948</v>
      </c>
      <c r="Q66" s="35">
        <f>IF(Q53=1,Calculations!Q266,0)</f>
        <v>970.21289617093692</v>
      </c>
      <c r="R66" s="35">
        <f>IF(R53=1,Calculations!R266,0)</f>
        <v>1015.4373360085822</v>
      </c>
      <c r="S66" s="35">
        <f>IF(S53=1,Calculations!S266,0)</f>
        <v>1062.5020506299322</v>
      </c>
      <c r="T66" s="35">
        <f>IF(T53=1,Calculations!T266,0)</f>
        <v>1111.4767545261561</v>
      </c>
      <c r="U66" s="35">
        <f>IF(U53=1,Calculations!U266,0)</f>
        <v>1162.4336888105859</v>
      </c>
      <c r="V66" s="35">
        <f>IF(V53=1,Calculations!V266,0)</f>
        <v>1215.447710073008</v>
      </c>
      <c r="W66" s="35">
        <f>IF(W53=1,Calculations!W266,0)</f>
        <v>1270.5963822912461</v>
      </c>
      <c r="X66" s="35">
        <f>IF(X53=1,Calculations!X266,0)</f>
        <v>1327.9600719035122</v>
      </c>
      <c r="Y66" s="35">
        <f>IF(Y53=1,Calculations!Y266,0)</f>
        <v>1387.6220461484531</v>
      </c>
      <c r="Z66" s="35">
        <f>IF(Z53=1,Calculations!Z266,0)</f>
        <v>1449.6685747833765</v>
      </c>
      <c r="AA66" s="35">
        <f>IF(AA53=1,Calculations!AA266,0)</f>
        <v>1514.1890352948624</v>
      </c>
      <c r="AB66" s="35">
        <f>IF(AB53=1,Calculations!AB266,0)</f>
        <v>1581.2760217197319</v>
      </c>
      <c r="AC66" s="35">
        <f>IF(AC53=1,Calculations!AC266,0)</f>
        <v>1651.0254571983285</v>
      </c>
      <c r="AD66" s="35">
        <f>IF(AD53=1,Calculations!AD266,0)</f>
        <v>1723.5367103860931</v>
      </c>
      <c r="AE66" s="35">
        <f>IF(AE53=1,Calculations!AE266,0)</f>
        <v>1798.9127158536446</v>
      </c>
      <c r="AF66" s="35">
        <f>IF(AF53=1,Calculations!AF266,0)</f>
        <v>1877.2600986099023</v>
      </c>
      <c r="AG66" s="35">
        <f>IF(AG53=1,Calculations!AG266,0)</f>
        <v>1958.6893028872676</v>
      </c>
      <c r="AH66" s="35">
        <f>IF(AH53=1,Calculations!AH266,0)</f>
        <v>2043.3147253325246</v>
      </c>
    </row>
    <row r="67" spans="1:34" s="277" customFormat="1" x14ac:dyDescent="0.2">
      <c r="A67" s="320"/>
      <c r="B67" s="25" t="s">
        <v>42</v>
      </c>
      <c r="C67" s="24"/>
      <c r="D67" s="24"/>
      <c r="E67" s="35">
        <f>IF(E53=1,Calculations!E268,0)</f>
        <v>500</v>
      </c>
      <c r="F67" s="35">
        <f>IF(F53=1,Calculations!F268,0)</f>
        <v>515</v>
      </c>
      <c r="G67" s="35">
        <f>IF(G53=1,Calculations!G268,0)</f>
        <v>530.45000000000005</v>
      </c>
      <c r="H67" s="35">
        <f>IF(H53=1,Calculations!H268,0)</f>
        <v>546.36350000000004</v>
      </c>
      <c r="I67" s="35">
        <f>IF(I53=1,Calculations!I268,0)</f>
        <v>562.75440500000002</v>
      </c>
      <c r="J67" s="35">
        <f>IF(J53=1,Calculations!J268,0)</f>
        <v>579.63703715000008</v>
      </c>
      <c r="K67" s="35">
        <f>IF(K53=1,Calculations!K268,0)</f>
        <v>597.02614826449997</v>
      </c>
      <c r="L67" s="35">
        <f>IF(L53=1,Calculations!L268,0)</f>
        <v>614.93693271243512</v>
      </c>
      <c r="M67" s="35">
        <f>IF(M53=1,Calculations!M268,0)</f>
        <v>633.38504069380815</v>
      </c>
      <c r="N67" s="35">
        <f>IF(N53=1,Calculations!N268,0)</f>
        <v>652.38659191462239</v>
      </c>
      <c r="O67" s="35">
        <f>IF(O53=1,Calculations!O268,0)</f>
        <v>671.95818967206105</v>
      </c>
      <c r="P67" s="35">
        <f>IF(P53=1,Calculations!P268,0)</f>
        <v>692.11693536222288</v>
      </c>
      <c r="Q67" s="35">
        <f>IF(Q53=1,Calculations!Q268,0)</f>
        <v>712.88044342308967</v>
      </c>
      <c r="R67" s="35">
        <f>IF(R53=1,Calculations!R268,0)</f>
        <v>734.2668567257823</v>
      </c>
      <c r="S67" s="35">
        <f>IF(S53=1,Calculations!S268,0)</f>
        <v>756.29486242755581</v>
      </c>
      <c r="T67" s="35">
        <f>IF(T53=1,Calculations!T268,0)</f>
        <v>778.98370830038255</v>
      </c>
      <c r="U67" s="35">
        <f>IF(U53=1,Calculations!U268,0)</f>
        <v>802.35321954939388</v>
      </c>
      <c r="V67" s="35">
        <f>IF(V53=1,Calculations!V268,0)</f>
        <v>826.42381613587577</v>
      </c>
      <c r="W67" s="35">
        <f>IF(W53=1,Calculations!W268,0)</f>
        <v>851.2165306199521</v>
      </c>
      <c r="X67" s="35">
        <f>IF(X53=1,Calculations!X268,0)</f>
        <v>876.75302653855067</v>
      </c>
      <c r="Y67" s="35">
        <f>IF(Y53=1,Calculations!Y268,0)</f>
        <v>903.05561733470722</v>
      </c>
      <c r="Z67" s="35">
        <f>IF(Z53=1,Calculations!Z268,0)</f>
        <v>930.14728585474847</v>
      </c>
      <c r="AA67" s="35">
        <f>IF(AA53=1,Calculations!AA268,0)</f>
        <v>958.05170443039083</v>
      </c>
      <c r="AB67" s="35">
        <f>IF(AB53=1,Calculations!AB268,0)</f>
        <v>986.79325556330275</v>
      </c>
      <c r="AC67" s="35">
        <f>IF(AC53=1,Calculations!AC268,0)</f>
        <v>1016.3970532302019</v>
      </c>
      <c r="AD67" s="35">
        <f>IF(AD53=1,Calculations!AD268,0)</f>
        <v>1046.8889648271079</v>
      </c>
      <c r="AE67" s="35">
        <f>IF(AE53=1,Calculations!AE268,0)</f>
        <v>1078.2956337719211</v>
      </c>
      <c r="AF67" s="35">
        <f>IF(AF53=1,Calculations!AF268,0)</f>
        <v>1110.6445027850787</v>
      </c>
      <c r="AG67" s="35">
        <f>IF(AG53=1,Calculations!AG268,0)</f>
        <v>1143.9638378686313</v>
      </c>
      <c r="AH67" s="35">
        <f>IF(AH53=1,Calculations!AH268,0)</f>
        <v>1178.2827530046902</v>
      </c>
    </row>
    <row r="68" spans="1:34" s="277" customFormat="1" x14ac:dyDescent="0.2">
      <c r="A68" s="320"/>
      <c r="B68" s="25" t="s">
        <v>73</v>
      </c>
      <c r="C68" s="24"/>
      <c r="D68" s="24"/>
      <c r="E68" s="35">
        <f>IF(E53=1,Calculations!E270,0)</f>
        <v>500</v>
      </c>
      <c r="F68" s="35">
        <f>IF(F53=1,Calculations!F270,0)</f>
        <v>515</v>
      </c>
      <c r="G68" s="35">
        <f>IF(G53=1,Calculations!G270,0)</f>
        <v>530.45000000000005</v>
      </c>
      <c r="H68" s="35">
        <f>IF(H53=1,Calculations!H270,0)</f>
        <v>546.36350000000004</v>
      </c>
      <c r="I68" s="35">
        <f>IF(I53=1,Calculations!I270,0)</f>
        <v>562.75440500000002</v>
      </c>
      <c r="J68" s="35">
        <f>IF(J53=1,Calculations!J270,0)</f>
        <v>579.63703715000008</v>
      </c>
      <c r="K68" s="35">
        <f>IF(K53=1,Calculations!K270,0)</f>
        <v>597.02614826449997</v>
      </c>
      <c r="L68" s="35">
        <f>IF(L53=1,Calculations!L270,0)</f>
        <v>614.93693271243512</v>
      </c>
      <c r="M68" s="35">
        <f>IF(M53=1,Calculations!M270,0)</f>
        <v>633.38504069380815</v>
      </c>
      <c r="N68" s="35">
        <f>IF(N53=1,Calculations!N270,0)</f>
        <v>652.38659191462239</v>
      </c>
      <c r="O68" s="35">
        <f>IF(O53=1,Calculations!O270,0)</f>
        <v>671.95818967206105</v>
      </c>
      <c r="P68" s="35">
        <f>IF(P53=1,Calculations!P270,0)</f>
        <v>692.11693536222288</v>
      </c>
      <c r="Q68" s="35">
        <f>IF(Q53=1,Calculations!Q270,0)</f>
        <v>712.88044342308967</v>
      </c>
      <c r="R68" s="35">
        <f>IF(R53=1,Calculations!R270,0)</f>
        <v>734.2668567257823</v>
      </c>
      <c r="S68" s="35">
        <f>IF(S53=1,Calculations!S270,0)</f>
        <v>756.29486242755581</v>
      </c>
      <c r="T68" s="35">
        <f>IF(T53=1,Calculations!T270,0)</f>
        <v>778.98370830038255</v>
      </c>
      <c r="U68" s="35">
        <f>IF(U53=1,Calculations!U270,0)</f>
        <v>802.35321954939388</v>
      </c>
      <c r="V68" s="35">
        <f>IF(V53=1,Calculations!V270,0)</f>
        <v>826.42381613587577</v>
      </c>
      <c r="W68" s="35">
        <f>IF(W53=1,Calculations!W270,0)</f>
        <v>851.2165306199521</v>
      </c>
      <c r="X68" s="35">
        <f>IF(X53=1,Calculations!X270,0)</f>
        <v>876.75302653855067</v>
      </c>
      <c r="Y68" s="35">
        <f>IF(Y53=1,Calculations!Y270,0)</f>
        <v>903.05561733470722</v>
      </c>
      <c r="Z68" s="35">
        <f>IF(Z53=1,Calculations!Z270,0)</f>
        <v>930.14728585474847</v>
      </c>
      <c r="AA68" s="35">
        <f>IF(AA53=1,Calculations!AA270,0)</f>
        <v>958.05170443039083</v>
      </c>
      <c r="AB68" s="35">
        <f>IF(AB53=1,Calculations!AB270,0)</f>
        <v>986.79325556330275</v>
      </c>
      <c r="AC68" s="35">
        <f>IF(AC53=1,Calculations!AC270,0)</f>
        <v>1016.3970532302019</v>
      </c>
      <c r="AD68" s="35">
        <f>IF(AD53=1,Calculations!AD270,0)</f>
        <v>1046.8889648271079</v>
      </c>
      <c r="AE68" s="35">
        <f>IF(AE53=1,Calculations!AE270,0)</f>
        <v>1078.2956337719211</v>
      </c>
      <c r="AF68" s="35">
        <f>IF(AF53=1,Calculations!AF270,0)</f>
        <v>1110.6445027850787</v>
      </c>
      <c r="AG68" s="35">
        <f>IF(AG53=1,Calculations!AG270,0)</f>
        <v>1143.9638378686313</v>
      </c>
      <c r="AH68" s="35">
        <f>IF(AH53=1,Calculations!AH270,0)</f>
        <v>1178.2827530046902</v>
      </c>
    </row>
    <row r="69" spans="1:34" s="277" customFormat="1" x14ac:dyDescent="0.2">
      <c r="A69" s="320"/>
      <c r="B69" s="23" t="s">
        <v>92</v>
      </c>
      <c r="C69" s="24"/>
      <c r="D69" s="24"/>
      <c r="E69" s="36">
        <f>SUM(E62:E68)</f>
        <v>16102.500000000002</v>
      </c>
      <c r="F69" s="36">
        <f t="shared" ref="F69:AH69" si="13">SUM(F62:F68)</f>
        <v>16231.292682926831</v>
      </c>
      <c r="G69" s="36">
        <f t="shared" si="13"/>
        <v>16718.231463414635</v>
      </c>
      <c r="H69" s="36">
        <f t="shared" si="13"/>
        <v>17438.323807317076</v>
      </c>
      <c r="I69" s="36">
        <f t="shared" si="13"/>
        <v>18111.541362869921</v>
      </c>
      <c r="J69" s="36">
        <f t="shared" si="13"/>
        <v>18654.887603756022</v>
      </c>
      <c r="K69" s="36">
        <f t="shared" si="13"/>
        <v>21268.085757697994</v>
      </c>
      <c r="L69" s="36">
        <f t="shared" si="13"/>
        <v>21906.128330428943</v>
      </c>
      <c r="M69" s="36">
        <f t="shared" si="13"/>
        <v>22563.312180341803</v>
      </c>
      <c r="N69" s="36">
        <f t="shared" si="13"/>
        <v>23240.211545752059</v>
      </c>
      <c r="O69" s="36">
        <f t="shared" si="13"/>
        <v>23937.41789212462</v>
      </c>
      <c r="P69" s="36">
        <f t="shared" si="13"/>
        <v>24655.540428888366</v>
      </c>
      <c r="Q69" s="36">
        <f t="shared" si="13"/>
        <v>25395.206641755016</v>
      </c>
      <c r="R69" s="36">
        <f t="shared" si="13"/>
        <v>26157.062841007664</v>
      </c>
      <c r="S69" s="36">
        <f t="shared" si="13"/>
        <v>26941.774726237898</v>
      </c>
      <c r="T69" s="36">
        <f t="shared" si="13"/>
        <v>27750.027968025035</v>
      </c>
      <c r="U69" s="36">
        <f t="shared" si="13"/>
        <v>28582.528807065788</v>
      </c>
      <c r="V69" s="36">
        <f t="shared" si="13"/>
        <v>29440.004671277762</v>
      </c>
      <c r="W69" s="36">
        <f t="shared" si="13"/>
        <v>30323.204811416093</v>
      </c>
      <c r="X69" s="36">
        <f t="shared" si="13"/>
        <v>31232.900955758574</v>
      </c>
      <c r="Y69" s="36">
        <f t="shared" si="13"/>
        <v>32169.887984431338</v>
      </c>
      <c r="Z69" s="36">
        <f t="shared" si="13"/>
        <v>33134.984623964279</v>
      </c>
      <c r="AA69" s="36">
        <f t="shared" si="13"/>
        <v>34129.034162683201</v>
      </c>
      <c r="AB69" s="36">
        <f t="shared" si="13"/>
        <v>35152.905187563709</v>
      </c>
      <c r="AC69" s="36">
        <f t="shared" si="13"/>
        <v>36207.492343190628</v>
      </c>
      <c r="AD69" s="36">
        <f t="shared" si="13"/>
        <v>37293.717113486331</v>
      </c>
      <c r="AE69" s="36">
        <f t="shared" si="13"/>
        <v>38412.528626890933</v>
      </c>
      <c r="AF69" s="36">
        <f t="shared" si="13"/>
        <v>39564.904485697654</v>
      </c>
      <c r="AG69" s="36">
        <f t="shared" si="13"/>
        <v>40751.851620268579</v>
      </c>
      <c r="AH69" s="36">
        <f t="shared" si="13"/>
        <v>41974.407168876649</v>
      </c>
    </row>
    <row r="70" spans="1:34" s="277" customFormat="1" x14ac:dyDescent="0.2">
      <c r="A70" s="320"/>
      <c r="B70" s="23"/>
      <c r="C70" s="24"/>
      <c r="D70" s="24"/>
      <c r="E70" s="39"/>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row>
    <row r="71" spans="1:34" s="20" customFormat="1" x14ac:dyDescent="0.2">
      <c r="A71" s="320"/>
      <c r="B71" s="19" t="s">
        <v>593</v>
      </c>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row>
    <row r="72" spans="1:34" s="277" customFormat="1" x14ac:dyDescent="0.2">
      <c r="A72" s="320"/>
      <c r="B72" s="505" t="s">
        <v>594</v>
      </c>
      <c r="E72" s="506">
        <f>IF(E53=1,Calculations!E246+Calculations!E247+Calculations!E249-Calculations!E275-Calculations!E276-Calculations!E278,0)</f>
        <v>-80</v>
      </c>
      <c r="F72" s="506">
        <f>IF(F53=1,Calculations!F246+Calculations!F247+Calculations!F249-Calculations!F275-Calculations!F276-Calculations!F278,0)</f>
        <v>-82.4</v>
      </c>
      <c r="G72" s="506">
        <f>IF(G53=1,Calculations!G246+Calculations!G247+Calculations!G249-Calculations!G275-Calculations!G276-Calculations!G278,0)</f>
        <v>-84.871999999999986</v>
      </c>
      <c r="H72" s="506">
        <f>IF(H53=1,Calculations!H246+Calculations!H247+Calculations!H249-Calculations!H275-Calculations!H276-Calculations!H278,0)</f>
        <v>-87.418160000000015</v>
      </c>
      <c r="I72" s="506">
        <f>IF(I53=1,Calculations!I246+Calculations!I247+Calculations!I249-Calculations!I275-Calculations!I276-Calculations!I278,0)</f>
        <v>-90.040704800000015</v>
      </c>
      <c r="J72" s="506">
        <f>IF(J53=1,Calculations!J246+Calculations!J247+Calculations!J249-Calculations!J275-Calculations!J276-Calculations!J278,0)</f>
        <v>-92.741925943999973</v>
      </c>
      <c r="K72" s="506">
        <f>IF(K53=1,Calculations!K246+Calculations!K247+Calculations!K249-Calculations!K275-Calculations!K276-Calculations!K278,0)</f>
        <v>-95.524183722320018</v>
      </c>
      <c r="L72" s="506">
        <f>IF(L53=1,Calculations!L246+Calculations!L247+Calculations!L249-Calculations!L275-Calculations!L276-Calculations!L278,0)</f>
        <v>-98.389909233989599</v>
      </c>
      <c r="M72" s="506">
        <f>IF(M53=1,Calculations!M246+Calculations!M247+Calculations!M249-Calculations!M275-Calculations!M276-Calculations!M278,0)</f>
        <v>-101.34160651100926</v>
      </c>
      <c r="N72" s="506">
        <f>IF(N53=1,Calculations!N246+Calculations!N247+Calculations!N249-Calculations!N275-Calculations!N276-Calculations!N278,0)</f>
        <v>-104.38185470633954</v>
      </c>
      <c r="O72" s="506">
        <f>IF(O53=1,Calculations!O246+Calculations!O247+Calculations!O249-Calculations!O275-Calculations!O276-Calculations!O278,0)</f>
        <v>-107.51331034752977</v>
      </c>
      <c r="P72" s="506">
        <f>IF(P53=1,Calculations!P246+Calculations!P247+Calculations!P249-Calculations!P275-Calculations!P276-Calculations!P278,0)</f>
        <v>-110.73870965795564</v>
      </c>
      <c r="Q72" s="506">
        <f>IF(Q53=1,Calculations!Q246+Calculations!Q247+Calculations!Q249-Calculations!Q275-Calculations!Q276-Calculations!Q278,0)</f>
        <v>-114.0608709476943</v>
      </c>
      <c r="R72" s="506">
        <f>IF(R53=1,Calculations!R246+Calculations!R247+Calculations!R249-Calculations!R275-Calculations!R276-Calculations!R278,0)</f>
        <v>-117.48269707612513</v>
      </c>
      <c r="S72" s="506">
        <f>IF(S53=1,Calculations!S246+Calculations!S247+Calculations!S249-Calculations!S275-Calculations!S276-Calculations!S278,0)</f>
        <v>-121.00717798840884</v>
      </c>
      <c r="T72" s="506">
        <f>IF(T53=1,Calculations!T246+Calculations!T247+Calculations!T249-Calculations!T275-Calculations!T276-Calculations!T278,0)</f>
        <v>-124.63739332806114</v>
      </c>
      <c r="U72" s="506">
        <f>IF(U53=1,Calculations!U246+Calculations!U247+Calculations!U249-Calculations!U275-Calculations!U276-Calculations!U278,0)</f>
        <v>-128.37651512790299</v>
      </c>
      <c r="V72" s="506">
        <f>IF(V53=1,Calculations!V246+Calculations!V247+Calculations!V249-Calculations!V275-Calculations!V276-Calculations!V278,0)</f>
        <v>-132.22781058174002</v>
      </c>
      <c r="W72" s="506">
        <f>IF(W53=1,Calculations!W246+Calculations!W247+Calculations!W249-Calculations!W275-Calculations!W276-Calculations!W278,0)</f>
        <v>-136.19464489919224</v>
      </c>
      <c r="X72" s="506">
        <f>IF(X53=1,Calculations!X246+Calculations!X247+Calculations!X249-Calculations!X275-Calculations!X276-Calculations!X278,0)</f>
        <v>-140.28048424616804</v>
      </c>
      <c r="Y72" s="506">
        <f>IF(Y53=1,Calculations!Y246+Calculations!Y247+Calculations!Y249-Calculations!Y275-Calculations!Y276-Calculations!Y278,0)</f>
        <v>-144.4888987735531</v>
      </c>
      <c r="Z72" s="506">
        <f>IF(Z53=1,Calculations!Z246+Calculations!Z247+Calculations!Z249-Calculations!Z275-Calculations!Z276-Calculations!Z278,0)</f>
        <v>-148.82356573675966</v>
      </c>
      <c r="AA72" s="506">
        <f>IF(AA53=1,Calculations!AA246+Calculations!AA247+Calculations!AA249-Calculations!AA275-Calculations!AA276-Calculations!AA278,0)</f>
        <v>-153.28827270886251</v>
      </c>
      <c r="AB72" s="506">
        <f>IF(AB53=1,Calculations!AB246+Calculations!AB247+Calculations!AB249-Calculations!AB275-Calculations!AB276-Calculations!AB278,0)</f>
        <v>-157.88692089012838</v>
      </c>
      <c r="AC72" s="506">
        <f>IF(AC53=1,Calculations!AC246+Calculations!AC247+Calculations!AC249-Calculations!AC275-Calculations!AC276-Calculations!AC278,0)</f>
        <v>-162.62352851683215</v>
      </c>
      <c r="AD72" s="506">
        <f>IF(AD53=1,Calculations!AD246+Calculations!AD247+Calculations!AD249-Calculations!AD275-Calculations!AD276-Calculations!AD278,0)</f>
        <v>-167.50223437233711</v>
      </c>
      <c r="AE72" s="506">
        <f>IF(AE53=1,Calculations!AE246+Calculations!AE247+Calculations!AE249-Calculations!AE275-Calculations!AE276-Calculations!AE278,0)</f>
        <v>-172.52730140350718</v>
      </c>
      <c r="AF72" s="506">
        <f>IF(AF53=1,Calculations!AF246+Calculations!AF247+Calculations!AF249-Calculations!AF275-Calculations!AF276-Calculations!AF278,0)</f>
        <v>-177.70312044561246</v>
      </c>
      <c r="AG72" s="506">
        <f>IF(AG53=1,Calculations!AG246+Calculations!AG247+Calculations!AG249-Calculations!AG275-Calculations!AG276-Calculations!AG278,0)</f>
        <v>-183.03421405898081</v>
      </c>
      <c r="AH72" s="506">
        <f>IF(AH53=1,Calculations!AH246+Calculations!AH247+Calculations!AH249-Calculations!AH275-Calculations!AH276-Calculations!AH278,0)</f>
        <v>-188.52524048075028</v>
      </c>
    </row>
    <row r="73" spans="1:34" s="277" customFormat="1" x14ac:dyDescent="0.2">
      <c r="A73" s="320"/>
      <c r="B73" s="23"/>
      <c r="C73" s="24"/>
      <c r="D73" s="24"/>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row>
    <row r="74" spans="1:34" s="277" customFormat="1" x14ac:dyDescent="0.2">
      <c r="A74" s="320"/>
      <c r="B74" s="27" t="s">
        <v>93</v>
      </c>
      <c r="C74" s="24"/>
      <c r="D74" s="24"/>
      <c r="E74" s="36">
        <f>IF(E53=1,E59-E69+E72,0)</f>
        <v>25329.5</v>
      </c>
      <c r="F74" s="36">
        <f t="shared" ref="F74:AH74" si="14">IF(F53=1,F59-F69+F72,0)</f>
        <v>25300.687317073171</v>
      </c>
      <c r="G74" s="36">
        <f t="shared" si="14"/>
        <v>25945.887149168848</v>
      </c>
      <c r="H74" s="36">
        <f t="shared" si="14"/>
        <v>26389.74291683007</v>
      </c>
      <c r="I74" s="36">
        <f t="shared" si="14"/>
        <v>26913.966745099962</v>
      </c>
      <c r="J74" s="36">
        <f t="shared" si="14"/>
        <v>27602.532934885323</v>
      </c>
      <c r="K74" s="36">
        <f t="shared" si="14"/>
        <v>32144.668359372939</v>
      </c>
      <c r="L74" s="36">
        <f t="shared" si="14"/>
        <v>32973.190101620632</v>
      </c>
      <c r="M74" s="36">
        <f t="shared" si="14"/>
        <v>33825.421259118753</v>
      </c>
      <c r="N74" s="36">
        <f t="shared" si="14"/>
        <v>34701.523461114441</v>
      </c>
      <c r="O74" s="36">
        <f t="shared" si="14"/>
        <v>35602.122273368346</v>
      </c>
      <c r="P74" s="36">
        <f t="shared" si="14"/>
        <v>36527.920261134197</v>
      </c>
      <c r="Q74" s="36">
        <f t="shared" si="14"/>
        <v>37479.640394903559</v>
      </c>
      <c r="R74" s="36">
        <f t="shared" si="14"/>
        <v>38458.026629265638</v>
      </c>
      <c r="S74" s="36">
        <f t="shared" si="14"/>
        <v>39463.844505528315</v>
      </c>
      <c r="T74" s="36">
        <f t="shared" si="14"/>
        <v>40497.881775487964</v>
      </c>
      <c r="U74" s="36">
        <f t="shared" si="14"/>
        <v>41560.949045366629</v>
      </c>
      <c r="V74" s="36">
        <f t="shared" si="14"/>
        <v>42653.513191145372</v>
      </c>
      <c r="W74" s="36">
        <f t="shared" si="14"/>
        <v>43776.451036687424</v>
      </c>
      <c r="X74" s="36">
        <f t="shared" si="14"/>
        <v>44931.71395963509</v>
      </c>
      <c r="Y74" s="36">
        <f t="shared" si="14"/>
        <v>46119.490774876664</v>
      </c>
      <c r="Z74" s="36">
        <f t="shared" si="14"/>
        <v>47340.616679925661</v>
      </c>
      <c r="AA74" s="36">
        <f t="shared" si="14"/>
        <v>48596.254022180743</v>
      </c>
      <c r="AB74" s="36">
        <f t="shared" si="14"/>
        <v>49887.293089035593</v>
      </c>
      <c r="AC74" s="36">
        <f t="shared" si="14"/>
        <v>51214.752921378313</v>
      </c>
      <c r="AD74" s="36">
        <f t="shared" si="14"/>
        <v>52579.682151077868</v>
      </c>
      <c r="AE74" s="36">
        <f t="shared" si="14"/>
        <v>53983.159863099856</v>
      </c>
      <c r="AF74" s="36">
        <f t="shared" si="14"/>
        <v>55426.296482930178</v>
      </c>
      <c r="AG74" s="36">
        <f t="shared" si="14"/>
        <v>56910.234690017904</v>
      </c>
      <c r="AH74" s="36">
        <f t="shared" si="14"/>
        <v>58436.150357976978</v>
      </c>
    </row>
    <row r="75" spans="1:34" s="277" customFormat="1" x14ac:dyDescent="0.2">
      <c r="A75" s="320"/>
      <c r="B75" s="23"/>
      <c r="C75" s="24"/>
      <c r="D75" s="24"/>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row>
    <row r="76" spans="1:34" s="277" customFormat="1" x14ac:dyDescent="0.2">
      <c r="A76" s="320"/>
      <c r="B76" s="25" t="s">
        <v>94</v>
      </c>
      <c r="C76" s="24"/>
      <c r="D76" s="24"/>
      <c r="E76" s="35">
        <f>IF(E53=1,IF(E4=1,'Assumptions - Freight'!$E$56,IF(E53=1,Calculations!E32+Calculations!E39+Calculations!E48+Calculations!E55+Calculations!E64+Calculations!E71+Calculations!E80+Calculations!E87+Calculations!E96+Calculations!E103+Calculations!E112+Calculations!E119, " ")),0)</f>
        <v>50</v>
      </c>
      <c r="F76" s="35">
        <f>IF(F53=1,IF(F4=1,'Assumptions - Freight'!$E$56,IF(F53=1,Calculations!F32+Calculations!F39+Calculations!F48+Calculations!F55+Calculations!F64+Calculations!F71+Calculations!F80+Calculations!F87+Calculations!F96+Calculations!F103+Calculations!F112+Calculations!F119, " ")),0)</f>
        <v>62</v>
      </c>
      <c r="G76" s="35">
        <f>IF(G53=1,IF(G4=1,'Assumptions - Freight'!$E$56,IF(G53=1,Calculations!G32+Calculations!G39+Calculations!G48+Calculations!G55+Calculations!G64+Calculations!G71+Calculations!G80+Calculations!G87+Calculations!G96+Calculations!G103+Calculations!G112+Calculations!G119, " ")),0)</f>
        <v>74.86482334869433</v>
      </c>
      <c r="H76" s="35">
        <f>IF(H53=1,IF(H4=1,'Assumptions - Freight'!$E$56,IF(H53=1,Calculations!H32+Calculations!H39+Calculations!H48+Calculations!H55+Calculations!H64+Calculations!H71+Calculations!H80+Calculations!H87+Calculations!H96+Calculations!H103+Calculations!H112+Calculations!H119, " ")),0)</f>
        <v>83.111367127496166</v>
      </c>
      <c r="I76" s="35">
        <f>IF(I53=1,IF(I4=1,'Assumptions - Freight'!$E$56,IF(I53=1,Calculations!I32+Calculations!I39+Calculations!I48+Calculations!I55+Calculations!I64+Calculations!I71+Calculations!I80+Calculations!I87+Calculations!I96+Calculations!I103+Calculations!I112+Calculations!I119, " ")),0)</f>
        <v>91.357910906297988</v>
      </c>
      <c r="J76" s="35">
        <f>IF(J53=1,IF(J4=1,'Assumptions - Freight'!$E$56,IF(J53=1,Calculations!J32+Calculations!J39+Calculations!J48+Calculations!J55+Calculations!J64+Calculations!J71+Calculations!J80+Calculations!J87+Calculations!J96+Calculations!J103+Calculations!J112+Calculations!J119, " ")),0)</f>
        <v>99.604454685099853</v>
      </c>
      <c r="K76" s="35">
        <f>IF(K53=1,IF(K4=1,'Assumptions - Freight'!$E$56,IF(K53=1,Calculations!K32+Calculations!K39+Calculations!K48+Calculations!K55+Calculations!K64+Calculations!K71+Calculations!K80+Calculations!K87+Calculations!K96+Calculations!K103+Calculations!K112+Calculations!K119, " ")),0)</f>
        <v>107.8509984639017</v>
      </c>
      <c r="L76" s="35">
        <f>IF(L53=1,IF(L4=1,'Assumptions - Freight'!$E$56,IF(L53=1,Calculations!L32+Calculations!L39+Calculations!L48+Calculations!L55+Calculations!L64+Calculations!L71+Calculations!L80+Calculations!L87+Calculations!L96+Calculations!L103+Calculations!L112+Calculations!L119, " ")),0)</f>
        <v>101.09754224270353</v>
      </c>
      <c r="M76" s="35">
        <f>IF(M53=1,IF(M4=1,'Assumptions - Freight'!$E$56,IF(M53=1,Calculations!M32+Calculations!M39+Calculations!M48+Calculations!M55+Calculations!M64+Calculations!M71+Calculations!M80+Calculations!M87+Calculations!M96+Calculations!M103+Calculations!M112+Calculations!M119, " ")),0)</f>
        <v>108.37980030721967</v>
      </c>
      <c r="N76" s="35">
        <f>IF(N53=1,IF(N4=1,'Assumptions - Freight'!$E$56,IF(N53=1,Calculations!N32+Calculations!N39+Calculations!N48+Calculations!N55+Calculations!N64+Calculations!N71+Calculations!N80+Calculations!N87+Calculations!N96+Calculations!N103+Calculations!N112+Calculations!N119, " ")),0)</f>
        <v>117.09062980030723</v>
      </c>
      <c r="O76" s="35">
        <f>IF(O53=1,IF(O4=1,'Assumptions - Freight'!$E$56,IF(O53=1,Calculations!O32+Calculations!O39+Calculations!O48+Calculations!O55+Calculations!O64+Calculations!O71+Calculations!O80+Calculations!O87+Calculations!O96+Calculations!O103+Calculations!O112+Calculations!O119, " ")),0)</f>
        <v>125.80145929339477</v>
      </c>
      <c r="P76" s="35">
        <f>IF(P53=1,IF(P4=1,'Assumptions - Freight'!$E$56,IF(P53=1,Calculations!P32+Calculations!P39+Calculations!P48+Calculations!P55+Calculations!P64+Calculations!P71+Calculations!P80+Calculations!P87+Calculations!P96+Calculations!P103+Calculations!P112+Calculations!P119, " ")),0)</f>
        <v>134.51228878648232</v>
      </c>
      <c r="Q76" s="35">
        <f>IF(Q53=1,IF(Q4=1,'Assumptions - Freight'!$E$56,IF(Q53=1,Calculations!Q32+Calculations!Q39+Calculations!Q48+Calculations!Q55+Calculations!Q64+Calculations!Q71+Calculations!Q80+Calculations!Q87+Calculations!Q96+Calculations!Q103+Calculations!Q112+Calculations!Q119, " ")),0)</f>
        <v>143.22311827956992</v>
      </c>
      <c r="R76" s="35">
        <f>IF(R53=1,IF(R4=1,'Assumptions - Freight'!$E$56,IF(R53=1,Calculations!R32+Calculations!R39+Calculations!R48+Calculations!R55+Calculations!R64+Calculations!R71+Calculations!R80+Calculations!R87+Calculations!R96+Calculations!R103+Calculations!R112+Calculations!R119, " ")),0)</f>
        <v>151.93394777265746</v>
      </c>
      <c r="S76" s="35">
        <f>IF(S53=1,IF(S4=1,'Assumptions - Freight'!$E$56,IF(S53=1,Calculations!S32+Calculations!S39+Calculations!S48+Calculations!S55+Calculations!S64+Calculations!S71+Calculations!S80+Calculations!S87+Calculations!S96+Calculations!S103+Calculations!S112+Calculations!S119, " ")),0)</f>
        <v>160.64477726574498</v>
      </c>
      <c r="T76" s="35">
        <f>IF(T53=1,IF(T4=1,'Assumptions - Freight'!$E$56,IF(T53=1,Calculations!T32+Calculations!T39+Calculations!T48+Calculations!T55+Calculations!T64+Calculations!T71+Calculations!T80+Calculations!T87+Calculations!T96+Calculations!T103+Calculations!T112+Calculations!T119, " ")),0)</f>
        <v>169.35560675883258</v>
      </c>
      <c r="U76" s="35">
        <f>IF(U53=1,IF(U4=1,'Assumptions - Freight'!$E$56,IF(U53=1,Calculations!U32+Calculations!U39+Calculations!U48+Calculations!U55+Calculations!U64+Calculations!U71+Calculations!U80+Calculations!U87+Calculations!U96+Calculations!U103+Calculations!U112+Calculations!U119, " ")),0)</f>
        <v>178.06643625192015</v>
      </c>
      <c r="V76" s="35">
        <f>IF(V53=1,IF(V4=1,'Assumptions - Freight'!$E$56,IF(V53=1,Calculations!V32+Calculations!V39+Calculations!V48+Calculations!V55+Calculations!V64+Calculations!V71+Calculations!V80+Calculations!V87+Calculations!V96+Calculations!V103+Calculations!V112+Calculations!V119, " ")),0)</f>
        <v>177.63978494623655</v>
      </c>
      <c r="W76" s="35">
        <f>IF(W53=1,IF(W4=1,'Assumptions - Freight'!$E$56,IF(W53=1,Calculations!W32+Calculations!W39+Calculations!W48+Calculations!W55+Calculations!W64+Calculations!W71+Calculations!W80+Calculations!W87+Calculations!W96+Calculations!W103+Calculations!W112+Calculations!W119, " ")),0)</f>
        <v>168.5940860215054</v>
      </c>
      <c r="X76" s="35">
        <f>IF(X53=1,IF(X4=1,'Assumptions - Freight'!$E$56,IF(X53=1,Calculations!X32+Calculations!X39+Calculations!X48+Calculations!X55+Calculations!X64+Calculations!X71+Calculations!X80+Calculations!X87+Calculations!X96+Calculations!X103+Calculations!X112+Calculations!X119, " ")),0)</f>
        <v>177.54838709677418</v>
      </c>
      <c r="Y76" s="35">
        <f>IF(Y53=1,IF(Y4=1,'Assumptions - Freight'!$E$56,IF(Y53=1,Calculations!Y32+Calculations!Y39+Calculations!Y48+Calculations!Y55+Calculations!Y64+Calculations!Y71+Calculations!Y80+Calculations!Y87+Calculations!Y96+Calculations!Y103+Calculations!Y112+Calculations!Y119, " ")),0)</f>
        <v>186.50268817204298</v>
      </c>
      <c r="Z76" s="35">
        <f>IF(Z53=1,IF(Z4=1,'Assumptions - Freight'!$E$56,IF(Z53=1,Calculations!Z32+Calculations!Z39+Calculations!Z48+Calculations!Z55+Calculations!Z64+Calculations!Z71+Calculations!Z80+Calculations!Z87+Calculations!Z96+Calculations!Z103+Calculations!Z112+Calculations!Z119, " ")),0)</f>
        <v>192.95698924731184</v>
      </c>
      <c r="AA76" s="35">
        <f>IF(AA53=1,IF(AA4=1,'Assumptions - Freight'!$E$56,IF(AA53=1,Calculations!AA32+Calculations!AA39+Calculations!AA48+Calculations!AA55+Calculations!AA64+Calculations!AA71+Calculations!AA80+Calculations!AA87+Calculations!AA96+Calculations!AA103+Calculations!AA112+Calculations!AA119, " ")),0)</f>
        <v>201.91129032258067</v>
      </c>
      <c r="AB76" s="35">
        <f>IF(AB53=1,IF(AB4=1,'Assumptions - Freight'!$E$56,IF(AB53=1,Calculations!AB32+Calculations!AB39+Calculations!AB48+Calculations!AB55+Calculations!AB64+Calculations!AB71+Calculations!AB80+Calculations!AB87+Calculations!AB96+Calculations!AB103+Calculations!AB112+Calculations!AB119, " ")),0)</f>
        <v>210.86559139784947</v>
      </c>
      <c r="AC76" s="35">
        <f>IF(AC53=1,IF(AC4=1,'Assumptions - Freight'!$E$56,IF(AC53=1,Calculations!AC32+Calculations!AC39+Calculations!AC48+Calculations!AC55+Calculations!AC64+Calculations!AC71+Calculations!AC80+Calculations!AC87+Calculations!AC96+Calculations!AC103+Calculations!AC112+Calculations!AC119, " ")),0)</f>
        <v>219.81989247311827</v>
      </c>
      <c r="AD76" s="35">
        <f>IF(AD53=1,IF(AD4=1,'Assumptions - Freight'!$E$56,IF(AD53=1,Calculations!AD32+Calculations!AD39+Calculations!AD48+Calculations!AD55+Calculations!AD64+Calculations!AD71+Calculations!AD80+Calculations!AD87+Calculations!AD96+Calculations!AD103+Calculations!AD112+Calculations!AD119, " ")),0)</f>
        <v>228.7741935483871</v>
      </c>
      <c r="AE76" s="35">
        <f>IF(AE53=1,IF(AE4=1,'Assumptions - Freight'!$E$56,IF(AE53=1,Calculations!AE32+Calculations!AE39+Calculations!AE48+Calculations!AE55+Calculations!AE64+Calculations!AE71+Calculations!AE80+Calculations!AE87+Calculations!AE96+Calculations!AE103+Calculations!AE112+Calculations!AE119, " ")),0)</f>
        <v>237.72849462365591</v>
      </c>
      <c r="AF76" s="35">
        <f>IF(AF53=1,IF(AF4=1,'Assumptions - Freight'!$E$56,IF(AF53=1,Calculations!AF32+Calculations!AF39+Calculations!AF48+Calculations!AF55+Calculations!AF64+Calculations!AF71+Calculations!AF80+Calculations!AF87+Calculations!AF96+Calculations!AF103+Calculations!AF112+Calculations!AF119, " ")),0)</f>
        <v>246.68279569892474</v>
      </c>
      <c r="AG76" s="35">
        <f>IF(AG53=1,IF(AG4=1,'Assumptions - Freight'!$E$56,IF(AG53=1,Calculations!AG32+Calculations!AG39+Calculations!AG48+Calculations!AG55+Calculations!AG64+Calculations!AG71+Calculations!AG80+Calculations!AG87+Calculations!AG96+Calculations!AG103+Calculations!AG112+Calculations!AG119, " ")),0)</f>
        <v>255.63709677419357</v>
      </c>
      <c r="AH76" s="35">
        <f>IF(AH53=1,IF(AH4=1,'Assumptions - Freight'!$E$56,IF(AH53=1,Calculations!AH32+Calculations!AH39+Calculations!AH48+Calculations!AH55+Calculations!AH64+Calculations!AH71+Calculations!AH80+Calculations!AH87+Calculations!AH96+Calculations!AH103+Calculations!AH112+Calculations!AH119, " ")),0)</f>
        <v>264.5913978494624</v>
      </c>
    </row>
    <row r="77" spans="1:34" s="277" customFormat="1" x14ac:dyDescent="0.2">
      <c r="A77" s="320"/>
      <c r="B77" s="25"/>
      <c r="C77" s="24"/>
      <c r="D77" s="24"/>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row>
    <row r="78" spans="1:34" s="277" customFormat="1" x14ac:dyDescent="0.2">
      <c r="A78" s="320"/>
      <c r="B78" s="27" t="s">
        <v>95</v>
      </c>
      <c r="C78" s="24"/>
      <c r="D78" s="24"/>
      <c r="E78" s="36">
        <f>IF(E53=1,E74-E76,0)</f>
        <v>25279.5</v>
      </c>
      <c r="F78" s="36">
        <f t="shared" ref="F78:AH78" si="15">IF(F53=1,F74-F76,0)</f>
        <v>25238.687317073171</v>
      </c>
      <c r="G78" s="36">
        <f t="shared" si="15"/>
        <v>25871.022325820155</v>
      </c>
      <c r="H78" s="36">
        <f t="shared" si="15"/>
        <v>26306.631549702572</v>
      </c>
      <c r="I78" s="36">
        <f t="shared" si="15"/>
        <v>26822.608834193663</v>
      </c>
      <c r="J78" s="36">
        <f t="shared" si="15"/>
        <v>27502.928480200222</v>
      </c>
      <c r="K78" s="36">
        <f t="shared" si="15"/>
        <v>32036.817360909037</v>
      </c>
      <c r="L78" s="36">
        <f t="shared" si="15"/>
        <v>32872.092559377932</v>
      </c>
      <c r="M78" s="36">
        <f t="shared" si="15"/>
        <v>33717.041458811531</v>
      </c>
      <c r="N78" s="36">
        <f t="shared" si="15"/>
        <v>34584.43283131413</v>
      </c>
      <c r="O78" s="36">
        <f t="shared" si="15"/>
        <v>35476.320814074948</v>
      </c>
      <c r="P78" s="36">
        <f t="shared" si="15"/>
        <v>36393.407972347712</v>
      </c>
      <c r="Q78" s="36">
        <f t="shared" si="15"/>
        <v>37336.417276623986</v>
      </c>
      <c r="R78" s="36">
        <f t="shared" si="15"/>
        <v>38306.092681492977</v>
      </c>
      <c r="S78" s="36">
        <f t="shared" si="15"/>
        <v>39303.199728262567</v>
      </c>
      <c r="T78" s="36">
        <f t="shared" si="15"/>
        <v>40328.526168729128</v>
      </c>
      <c r="U78" s="36">
        <f t="shared" si="15"/>
        <v>41382.882609114706</v>
      </c>
      <c r="V78" s="36">
        <f t="shared" si="15"/>
        <v>42475.873406199134</v>
      </c>
      <c r="W78" s="36">
        <f t="shared" si="15"/>
        <v>43607.856950665919</v>
      </c>
      <c r="X78" s="36">
        <f t="shared" si="15"/>
        <v>44754.165572538317</v>
      </c>
      <c r="Y78" s="36">
        <f t="shared" si="15"/>
        <v>45932.988086704623</v>
      </c>
      <c r="Z78" s="36">
        <f t="shared" si="15"/>
        <v>47147.659690678352</v>
      </c>
      <c r="AA78" s="36">
        <f t="shared" si="15"/>
        <v>48394.34273185816</v>
      </c>
      <c r="AB78" s="36">
        <f t="shared" si="15"/>
        <v>49676.427497637742</v>
      </c>
      <c r="AC78" s="36">
        <f t="shared" si="15"/>
        <v>50994.933028905194</v>
      </c>
      <c r="AD78" s="36">
        <f t="shared" si="15"/>
        <v>52350.907957529482</v>
      </c>
      <c r="AE78" s="36">
        <f t="shared" si="15"/>
        <v>53745.431368476202</v>
      </c>
      <c r="AF78" s="36">
        <f t="shared" si="15"/>
        <v>55179.613687231256</v>
      </c>
      <c r="AG78" s="36">
        <f t="shared" si="15"/>
        <v>56654.597593243707</v>
      </c>
      <c r="AH78" s="36">
        <f t="shared" si="15"/>
        <v>58171.558960127513</v>
      </c>
    </row>
    <row r="79" spans="1:34" s="277" customFormat="1" x14ac:dyDescent="0.2">
      <c r="A79" s="320"/>
      <c r="B79" s="23"/>
      <c r="C79" s="24"/>
      <c r="D79" s="24"/>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row>
    <row r="80" spans="1:34" s="277" customFormat="1" x14ac:dyDescent="0.2">
      <c r="A80" s="320"/>
      <c r="B80" s="25" t="s">
        <v>96</v>
      </c>
      <c r="C80" s="24"/>
      <c r="D80" s="24"/>
      <c r="E80" s="35">
        <f>IF(E53=1,Calculations!E339+Calculations!E355+Calculations!E371+Calculations!E398+Calculations!E399+Calculations!E401+Calculations!E428+Calculations!E429+Calculations!E431+Calculations!E458+Calculations!E459+Calculations!E461+Calculations!E488+Calculations!E489+Calculations!E491-Calculations!E321,0)</f>
        <v>15</v>
      </c>
      <c r="F80" s="35">
        <f>IF(F53=1,Calculations!F339+Calculations!F355+Calculations!F371+Calculations!F398+Calculations!F399+Calculations!F401+Calculations!F428+Calculations!F429+Calculations!F431+Calculations!F458+Calculations!F459+Calculations!F461+Calculations!F488+Calculations!F489+Calculations!F491-Calculations!F321,0)</f>
        <v>10.219999999999999</v>
      </c>
      <c r="G80" s="35">
        <f>IF(G53=1,Calculations!G339+Calculations!G355+Calculations!G371+Calculations!G398+Calculations!G399+Calculations!G401+Calculations!G428+Calculations!G429+Calculations!G431+Calculations!G458+Calculations!G459+Calculations!G461+Calculations!G488+Calculations!G489+Calculations!G491-Calculations!G321,0)</f>
        <v>-182.28553392020143</v>
      </c>
      <c r="H80" s="35">
        <f>IF(H53=1,Calculations!H339+Calculations!H355+Calculations!H371+Calculations!H398+Calculations!H399+Calculations!H401+Calculations!H428+Calculations!H429+Calculations!H431+Calculations!H458+Calculations!H459+Calculations!H461+Calculations!H488+Calculations!H489+Calculations!H491-Calculations!H321,0)</f>
        <v>-476.00933634555923</v>
      </c>
      <c r="I80" s="35">
        <f>IF(I53=1,Calculations!I339+Calculations!I355+Calculations!I371+Calculations!I398+Calculations!I399+Calculations!I401+Calculations!I428+Calculations!I429+Calculations!I431+Calculations!I458+Calculations!I459+Calculations!I461+Calculations!I488+Calculations!I489+Calculations!I491-Calculations!I321,0)</f>
        <v>-832.36610029624558</v>
      </c>
      <c r="J80" s="35">
        <f>IF(J53=1,Calculations!J339+Calculations!J355+Calculations!J371+Calculations!J398+Calculations!J399+Calculations!J401+Calculations!J428+Calculations!J429+Calculations!J431+Calculations!J458+Calculations!J459+Calculations!J461+Calculations!J488+Calculations!J489+Calculations!J491-Calculations!J321,0)</f>
        <v>-1221.7296720715849</v>
      </c>
      <c r="K80" s="35">
        <f>IF(K53=1,Calculations!K339+Calculations!K355+Calculations!K371+Calculations!K398+Calculations!K399+Calculations!K401+Calculations!K428+Calculations!K429+Calculations!K431+Calculations!K458+Calculations!K459+Calculations!K461+Calculations!K488+Calculations!K489+Calculations!K491-Calculations!K321,0)</f>
        <v>-1633.5692421939029</v>
      </c>
      <c r="L80" s="35">
        <f>IF(L53=1,Calculations!L339+Calculations!L355+Calculations!L371+Calculations!L398+Calculations!L399+Calculations!L401+Calculations!L428+Calculations!L429+Calculations!L431+Calculations!L458+Calculations!L459+Calculations!L461+Calculations!L488+Calculations!L489+Calculations!L491-Calculations!L321,0)</f>
        <v>-2100.7221118523844</v>
      </c>
      <c r="M80" s="35">
        <f>IF(M53=1,Calculations!M339+Calculations!M355+Calculations!M371+Calculations!M398+Calculations!M399+Calculations!M401+Calculations!M428+Calculations!M429+Calculations!M431+Calculations!M458+Calculations!M459+Calculations!M461+Calculations!M488+Calculations!M489+Calculations!M491-Calculations!M321,0)</f>
        <v>-2623.1045254412561</v>
      </c>
      <c r="N80" s="35">
        <f>IF(N53=1,Calculations!N339+Calculations!N355+Calculations!N371+Calculations!N398+Calculations!N399+Calculations!N401+Calculations!N428+Calculations!N429+Calculations!N431+Calculations!N458+Calculations!N459+Calculations!N461+Calculations!N488+Calculations!N489+Calculations!N491-Calculations!N321,0)</f>
        <v>-3163.5348038471971</v>
      </c>
      <c r="O80" s="35">
        <f>IF(O53=1,Calculations!O339+Calculations!O355+Calculations!O371+Calculations!O398+Calculations!O399+Calculations!O401+Calculations!O428+Calculations!O429+Calculations!O431+Calculations!O458+Calculations!O459+Calculations!O461+Calculations!O488+Calculations!O489+Calculations!O491-Calculations!O321,0)</f>
        <v>-3215.1103643003685</v>
      </c>
      <c r="P80" s="35">
        <f>IF(P53=1,Calculations!P339+Calculations!P355+Calculations!P371+Calculations!P398+Calculations!P399+Calculations!P401+Calculations!P428+Calculations!P429+Calculations!P431+Calculations!P458+Calculations!P459+Calculations!P461+Calculations!P488+Calculations!P489+Calculations!P491-Calculations!P321,0)</f>
        <v>-3631.9097978993204</v>
      </c>
      <c r="Q80" s="35">
        <f>IF(Q53=1,Calculations!Q339+Calculations!Q355+Calculations!Q371+Calculations!Q398+Calculations!Q399+Calculations!Q401+Calculations!Q428+Calculations!Q429+Calculations!Q431+Calculations!Q458+Calculations!Q459+Calculations!Q461+Calculations!Q488+Calculations!Q489+Calculations!Q491-Calculations!Q321,0)</f>
        <v>-4096.0818257608198</v>
      </c>
      <c r="R80" s="35">
        <f>IF(R53=1,Calculations!R339+Calculations!R355+Calculations!R371+Calculations!R398+Calculations!R399+Calculations!R401+Calculations!R428+Calculations!R429+Calculations!R431+Calculations!R458+Calculations!R459+Calculations!R461+Calculations!R488+Calculations!R489+Calculations!R491-Calculations!R321,0)</f>
        <v>-4576.8188266088928</v>
      </c>
      <c r="S80" s="35">
        <f>IF(S53=1,Calculations!S339+Calculations!S355+Calculations!S371+Calculations!S398+Calculations!S399+Calculations!S401+Calculations!S428+Calculations!S429+Calculations!S431+Calculations!S458+Calculations!S459+Calculations!S461+Calculations!S488+Calculations!S489+Calculations!S491-Calculations!S321,0)</f>
        <v>-5074.6250084047333</v>
      </c>
      <c r="T80" s="35">
        <f>IF(T53=1,Calculations!T339+Calculations!T355+Calculations!T371+Calculations!T398+Calculations!T399+Calculations!T401+Calculations!T428+Calculations!T429+Calculations!T431+Calculations!T458+Calculations!T459+Calculations!T461+Calculations!T488+Calculations!T489+Calculations!T491-Calculations!T321,0)</f>
        <v>-5590.0193903394029</v>
      </c>
      <c r="U80" s="35">
        <f>IF(U53=1,Calculations!U339+Calculations!U355+Calculations!U371+Calculations!U398+Calculations!U399+Calculations!U401+Calculations!U428+Calculations!U429+Calculations!U431+Calculations!U458+Calculations!U459+Calculations!U461+Calculations!U488+Calculations!U489+Calculations!U491-Calculations!U321,0)</f>
        <v>-6135.6612345301683</v>
      </c>
      <c r="V80" s="35">
        <f>IF(V53=1,Calculations!V339+Calculations!V355+Calculations!V371+Calculations!V398+Calculations!V399+Calculations!V401+Calculations!V428+Calculations!V429+Calculations!V431+Calculations!V458+Calculations!V459+Calculations!V461+Calculations!V488+Calculations!V489+Calculations!V491-Calculations!V321,0)</f>
        <v>-6692.4673528159683</v>
      </c>
      <c r="W80" s="35">
        <f>IF(W53=1,Calculations!W339+Calculations!W355+Calculations!W371+Calculations!W398+Calculations!W399+Calculations!W401+Calculations!W428+Calculations!W429+Calculations!W431+Calculations!W458+Calculations!W459+Calculations!W461+Calculations!W488+Calculations!W489+Calculations!W491-Calculations!W321,0)</f>
        <v>-7264.0357413407683</v>
      </c>
      <c r="X80" s="35">
        <f>IF(X53=1,Calculations!X339+Calculations!X355+Calculations!X371+Calculations!X398+Calculations!X399+Calculations!X401+Calculations!X428+Calculations!X429+Calculations!X431+Calculations!X458+Calculations!X459+Calculations!X461+Calculations!X488+Calculations!X489+Calculations!X491-Calculations!X321,0)</f>
        <v>-7855.3196341693574</v>
      </c>
      <c r="Y80" s="35">
        <f>IF(Y53=1,Calculations!Y339+Calculations!Y355+Calculations!Y371+Calculations!Y398+Calculations!Y399+Calculations!Y401+Calculations!Y428+Calculations!Y429+Calculations!Y431+Calculations!Y458+Calculations!Y459+Calculations!Y461+Calculations!Y488+Calculations!Y489+Calculations!Y491-Calculations!Y321,0)</f>
        <v>-8467.0264705781537</v>
      </c>
      <c r="Z80" s="35">
        <f>IF(Z53=1,Calculations!Z339+Calculations!Z355+Calculations!Z371+Calculations!Z398+Calculations!Z399+Calculations!Z401+Calculations!Z428+Calculations!Z429+Calculations!Z431+Calculations!Z458+Calculations!Z459+Calculations!Z461+Calculations!Z488+Calculations!Z489+Calculations!Z491-Calculations!Z321,0)</f>
        <v>-9099.7736832480459</v>
      </c>
      <c r="AA80" s="35">
        <f>IF(AA53=1,Calculations!AA339+Calculations!AA355+Calculations!AA371+Calculations!AA398+Calculations!AA399+Calculations!AA401+Calculations!AA428+Calculations!AA429+Calculations!AA431+Calculations!AA458+Calculations!AA459+Calculations!AA461+Calculations!AA488+Calculations!AA489+Calculations!AA491-Calculations!AA321,0)</f>
        <v>-9754.1816962251196</v>
      </c>
      <c r="AB80" s="35">
        <f>IF(AB53=1,Calculations!AB339+Calculations!AB355+Calculations!AB371+Calculations!AB398+Calculations!AB399+Calculations!AB401+Calculations!AB428+Calculations!AB429+Calculations!AB431+Calculations!AB458+Calculations!AB459+Calculations!AB461+Calculations!AB488+Calculations!AB489+Calculations!AB491-Calculations!AB321,0)</f>
        <v>-10430.91963591724</v>
      </c>
      <c r="AC80" s="35">
        <f>IF(AC53=1,Calculations!AC339+Calculations!AC355+Calculations!AC371+Calculations!AC398+Calculations!AC399+Calculations!AC401+Calculations!AC428+Calculations!AC429+Calculations!AC431+Calculations!AC458+Calculations!AC459+Calculations!AC461+Calculations!AC488+Calculations!AC489+Calculations!AC491-Calculations!AC321,0)</f>
        <v>-11130.660866128021</v>
      </c>
      <c r="AD80" s="35">
        <f>IF(AD53=1,Calculations!AD339+Calculations!AD355+Calculations!AD371+Calculations!AD398+Calculations!AD399+Calculations!AD401+Calculations!AD428+Calculations!AD429+Calculations!AD431+Calculations!AD458+Calculations!AD459+Calculations!AD461+Calculations!AD488+Calculations!AD489+Calculations!AD491-Calculations!AD321,0)</f>
        <v>-11854.098492336845</v>
      </c>
      <c r="AE80" s="35">
        <f>IF(AE53=1,Calculations!AE339+Calculations!AE355+Calculations!AE371+Calculations!AE398+Calculations!AE399+Calculations!AE401+Calculations!AE428+Calculations!AE429+Calculations!AE431+Calculations!AE458+Calculations!AE459+Calculations!AE461+Calculations!AE488+Calculations!AE489+Calculations!AE491-Calculations!AE321,0)</f>
        <v>-12601.94593714089</v>
      </c>
      <c r="AF80" s="35">
        <f>IF(AF53=1,Calculations!AF339+Calculations!AF355+Calculations!AF371+Calculations!AF398+Calculations!AF399+Calculations!AF401+Calculations!AF428+Calculations!AF429+Calculations!AF431+Calculations!AF458+Calculations!AF459+Calculations!AF461+Calculations!AF488+Calculations!AF489+Calculations!AF491-Calculations!AF321,0)</f>
        <v>-13374.937532476</v>
      </c>
      <c r="AG80" s="35">
        <f>IF(AG53=1,Calculations!AG339+Calculations!AG355+Calculations!AG371+Calculations!AG398+Calculations!AG399+Calculations!AG401+Calculations!AG428+Calculations!AG429+Calculations!AG431+Calculations!AG458+Calculations!AG459+Calculations!AG461+Calculations!AG488+Calculations!AG489+Calculations!AG491-Calculations!AG321,0)</f>
        <v>-14173.829129105541</v>
      </c>
      <c r="AH80" s="35">
        <f>IF(AH53=1,Calculations!AH339+Calculations!AH355+Calculations!AH371+Calculations!AH398+Calculations!AH399+Calculations!AH401+Calculations!AH428+Calculations!AH429+Calculations!AH431+Calculations!AH458+Calculations!AH459+Calculations!AH461+Calculations!AH488+Calculations!AH489+Calculations!AH491-Calculations!AH321,0)</f>
        <v>-14999.398723880828</v>
      </c>
    </row>
    <row r="81" spans="1:34" s="277" customFormat="1" x14ac:dyDescent="0.2">
      <c r="A81" s="320"/>
      <c r="B81" s="25" t="s">
        <v>97</v>
      </c>
      <c r="C81" s="24"/>
      <c r="D81" s="24"/>
      <c r="E81" s="35">
        <f>IF(AND(E53=1,(E78-E80)&gt;0),'Assumptions - Freight'!$E$404*(E78-E80),0)</f>
        <v>8842.5749999999989</v>
      </c>
      <c r="F81" s="35">
        <f>IF(AND(F53=1,(F78-F80)&gt;0),'Assumptions - Freight'!$E$404*(F78-F80),0)</f>
        <v>8829.9635609756078</v>
      </c>
      <c r="G81" s="35">
        <f>IF(AND(G53=1,(G78-G80)&gt;0),'Assumptions - Freight'!$E$404*(G78-G80),0)</f>
        <v>9118.6577509091239</v>
      </c>
      <c r="H81" s="35">
        <f>IF(AND(H53=1,(H78-H80)&gt;0),'Assumptions - Freight'!$E$404*(H78-H80),0)</f>
        <v>9373.9243101168449</v>
      </c>
      <c r="I81" s="35">
        <f>IF(AND(I53=1,(I78-I80)&gt;0),'Assumptions - Freight'!$E$404*(I78-I80),0)</f>
        <v>9679.2412270714685</v>
      </c>
      <c r="J81" s="35">
        <f>IF(AND(J53=1,(J78-J80)&gt;0),'Assumptions - Freight'!$E$404*(J78-J80),0)</f>
        <v>10053.630353295131</v>
      </c>
      <c r="K81" s="35">
        <f>IF(AND(K53=1,(K78-K80)&gt;0),'Assumptions - Freight'!$E$404*(K78-K80),0)</f>
        <v>11784.635311086027</v>
      </c>
      <c r="L81" s="35">
        <f>IF(AND(L53=1,(L78-L80)&gt;0),'Assumptions - Freight'!$E$404*(L78-L80),0)</f>
        <v>12240.485134930608</v>
      </c>
      <c r="M81" s="35">
        <f>IF(AND(M53=1,(M78-M80)&gt;0),'Assumptions - Freight'!$E$404*(M78-M80),0)</f>
        <v>12719.051094488474</v>
      </c>
      <c r="N81" s="35">
        <f>IF(AND(N53=1,(N78-N80)&gt;0),'Assumptions - Freight'!$E$404*(N78-N80),0)</f>
        <v>13211.788672306466</v>
      </c>
      <c r="O81" s="35">
        <f>IF(AND(O53=1,(O78-O80)&gt;0),'Assumptions - Freight'!$E$404*(O78-O80),0)</f>
        <v>13542.00091243136</v>
      </c>
      <c r="P81" s="35">
        <f>IF(AND(P53=1,(P78-P80)&gt;0),'Assumptions - Freight'!$E$404*(P78-P80),0)</f>
        <v>14008.861219586461</v>
      </c>
      <c r="Q81" s="35">
        <f>IF(AND(Q53=1,(Q78-Q80)&gt;0),'Assumptions - Freight'!$E$404*(Q78-Q80),0)</f>
        <v>14501.37468583468</v>
      </c>
      <c r="R81" s="35">
        <f>IF(AND(R53=1,(R78-R80)&gt;0),'Assumptions - Freight'!$E$404*(R78-R80),0)</f>
        <v>15009.019027835653</v>
      </c>
      <c r="S81" s="35">
        <f>IF(AND(S53=1,(S78-S80)&gt;0),'Assumptions - Freight'!$E$404*(S78-S80),0)</f>
        <v>15532.238657833555</v>
      </c>
      <c r="T81" s="35">
        <f>IF(AND(T53=1,(T78-T80)&gt;0),'Assumptions - Freight'!$E$404*(T78-T80),0)</f>
        <v>16071.490945673984</v>
      </c>
      <c r="U81" s="35">
        <f>IF(AND(U53=1,(U78-U80)&gt;0),'Assumptions - Freight'!$E$404*(U78-U80),0)</f>
        <v>16631.490345275706</v>
      </c>
      <c r="V81" s="35">
        <f>IF(AND(V53=1,(V78-V80)&gt;0),'Assumptions - Freight'!$E$404*(V78-V80),0)</f>
        <v>17208.919265655284</v>
      </c>
      <c r="W81" s="35">
        <f>IF(AND(W53=1,(W78-W80)&gt;0),'Assumptions - Freight'!$E$404*(W78-W80),0)</f>
        <v>17805.162442202338</v>
      </c>
      <c r="X81" s="35">
        <f>IF(AND(X53=1,(X78-X80)&gt;0),'Assumptions - Freight'!$E$404*(X78-X80),0)</f>
        <v>18413.319822347683</v>
      </c>
      <c r="Y81" s="35">
        <f>IF(AND(Y53=1,(Y78-Y80)&gt;0),'Assumptions - Freight'!$E$404*(Y78-Y80),0)</f>
        <v>19040.005095048971</v>
      </c>
      <c r="Z81" s="35">
        <f>IF(AND(Z53=1,(Z78-Z80)&gt;0),'Assumptions - Freight'!$E$404*(Z78-Z80),0)</f>
        <v>19686.601680874239</v>
      </c>
      <c r="AA81" s="35">
        <f>IF(AND(AA53=1,(AA78-AA80)&gt;0),'Assumptions - Freight'!$E$404*(AA78-AA80),0)</f>
        <v>20351.983549829147</v>
      </c>
      <c r="AB81" s="35">
        <f>IF(AND(AB53=1,(AB78-AB80)&gt;0),'Assumptions - Freight'!$E$404*(AB78-AB80),0)</f>
        <v>21037.571496744244</v>
      </c>
      <c r="AC81" s="35">
        <f>IF(AND(AC53=1,(AC78-AC80)&gt;0),'Assumptions - Freight'!$E$404*(AC78-AC80),0)</f>
        <v>21743.957863261625</v>
      </c>
      <c r="AD81" s="35">
        <f>IF(AND(AD53=1,(AD78-AD80)&gt;0),'Assumptions - Freight'!$E$404*(AD78-AD80),0)</f>
        <v>22471.752257453212</v>
      </c>
      <c r="AE81" s="35">
        <f>IF(AND(AE53=1,(AE78-AE80)&gt;0),'Assumptions - Freight'!$E$404*(AE78-AE80),0)</f>
        <v>23221.582056965981</v>
      </c>
      <c r="AF81" s="35">
        <f>IF(AND(AF53=1,(AF78-AF80)&gt;0),'Assumptions - Freight'!$E$404*(AF78-AF80),0)</f>
        <v>23994.092926897538</v>
      </c>
      <c r="AG81" s="35">
        <f>IF(AND(AG53=1,(AG78-AG80)&gt;0),'Assumptions - Freight'!$E$404*(AG78-AG80),0)</f>
        <v>24789.949352822237</v>
      </c>
      <c r="AH81" s="35">
        <f>IF(AND(AH53=1,(AH78-AH80)&gt;0),'Assumptions - Freight'!$E$404*(AH78-AH80),0)</f>
        <v>25609.835189402918</v>
      </c>
    </row>
    <row r="82" spans="1:34" s="277" customFormat="1" x14ac:dyDescent="0.2">
      <c r="A82" s="320"/>
      <c r="B82" s="25"/>
      <c r="C82" s="24"/>
      <c r="D82" s="24"/>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row>
    <row r="83" spans="1:34" s="277" customFormat="1" ht="16" thickBot="1" x14ac:dyDescent="0.25">
      <c r="A83" s="320"/>
      <c r="B83" s="27" t="s">
        <v>98</v>
      </c>
      <c r="C83" s="24"/>
      <c r="D83" s="24"/>
      <c r="E83" s="40">
        <f>IF(E53=1,E78-E80-E81, 0)</f>
        <v>16421.925000000003</v>
      </c>
      <c r="F83" s="40">
        <f t="shared" ref="F83:AH83" si="16">IF(F53=1,F78-F80-F81, 0)</f>
        <v>16398.503756097562</v>
      </c>
      <c r="G83" s="40">
        <f t="shared" si="16"/>
        <v>16934.650108831229</v>
      </c>
      <c r="H83" s="40">
        <f t="shared" si="16"/>
        <v>17408.716575931285</v>
      </c>
      <c r="I83" s="40">
        <f t="shared" si="16"/>
        <v>17975.73370741844</v>
      </c>
      <c r="J83" s="40">
        <f t="shared" si="16"/>
        <v>18671.027798976676</v>
      </c>
      <c r="K83" s="40">
        <f t="shared" si="16"/>
        <v>21885.75129201691</v>
      </c>
      <c r="L83" s="40">
        <f t="shared" si="16"/>
        <v>22732.329536299705</v>
      </c>
      <c r="M83" s="40">
        <f t="shared" si="16"/>
        <v>23621.09488976431</v>
      </c>
      <c r="N83" s="40">
        <f t="shared" si="16"/>
        <v>24536.178962854865</v>
      </c>
      <c r="O83" s="40">
        <f t="shared" si="16"/>
        <v>25149.430265943956</v>
      </c>
      <c r="P83" s="40">
        <f t="shared" si="16"/>
        <v>26016.456550660572</v>
      </c>
      <c r="Q83" s="40">
        <f t="shared" si="16"/>
        <v>26931.124416550127</v>
      </c>
      <c r="R83" s="40">
        <f t="shared" si="16"/>
        <v>27873.892480266215</v>
      </c>
      <c r="S83" s="40">
        <f t="shared" si="16"/>
        <v>28845.586078833745</v>
      </c>
      <c r="T83" s="40">
        <f t="shared" si="16"/>
        <v>29847.054613394546</v>
      </c>
      <c r="U83" s="40">
        <f t="shared" si="16"/>
        <v>30887.053498369169</v>
      </c>
      <c r="V83" s="40">
        <f t="shared" si="16"/>
        <v>31959.42149335982</v>
      </c>
      <c r="W83" s="40">
        <f t="shared" si="16"/>
        <v>33066.73024980435</v>
      </c>
      <c r="X83" s="40">
        <f t="shared" si="16"/>
        <v>34196.165384359992</v>
      </c>
      <c r="Y83" s="40">
        <f t="shared" si="16"/>
        <v>35360.009462233807</v>
      </c>
      <c r="Z83" s="40">
        <f t="shared" si="16"/>
        <v>36560.831693052154</v>
      </c>
      <c r="AA83" s="40">
        <f t="shared" si="16"/>
        <v>37796.540878254134</v>
      </c>
      <c r="AB83" s="40">
        <f t="shared" si="16"/>
        <v>39069.775636810737</v>
      </c>
      <c r="AC83" s="40">
        <f t="shared" si="16"/>
        <v>40381.636031771588</v>
      </c>
      <c r="AD83" s="40">
        <f t="shared" si="16"/>
        <v>41733.254192413115</v>
      </c>
      <c r="AE83" s="40">
        <f t="shared" si="16"/>
        <v>43125.795248651106</v>
      </c>
      <c r="AF83" s="40">
        <f t="shared" si="16"/>
        <v>44560.458292809715</v>
      </c>
      <c r="AG83" s="40">
        <f t="shared" si="16"/>
        <v>46038.477369527012</v>
      </c>
      <c r="AH83" s="40">
        <f t="shared" si="16"/>
        <v>47561.122494605428</v>
      </c>
    </row>
    <row r="84" spans="1:34" s="277" customFormat="1" x14ac:dyDescent="0.2">
      <c r="A84" s="320"/>
      <c r="B84" s="26"/>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row>
    <row r="85" spans="1:34" s="278" customFormat="1" x14ac:dyDescent="0.2">
      <c r="A85" s="320"/>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s="278" customFormat="1" x14ac:dyDescent="0.2">
      <c r="A86" s="320"/>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s="278" customFormat="1" x14ac:dyDescent="0.2">
      <c r="A87" s="320"/>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s="278" customFormat="1" x14ac:dyDescent="0.2">
      <c r="A88" s="320"/>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s="278" customFormat="1" x14ac:dyDescent="0.2">
      <c r="A89" s="320"/>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s="278" customFormat="1" x14ac:dyDescent="0.2">
      <c r="A90" s="320"/>
      <c r="B90" s="22"/>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s="278" customFormat="1" x14ac:dyDescent="0.2">
      <c r="A91" s="320"/>
      <c r="B91" s="22"/>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s="278" customFormat="1" x14ac:dyDescent="0.2">
      <c r="A92" s="320"/>
      <c r="B92" s="22"/>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s="277" customFormat="1" x14ac:dyDescent="0.2">
      <c r="A93" s="320"/>
      <c r="B93" s="26"/>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row>
    <row r="94" spans="1:34" s="278" customFormat="1" x14ac:dyDescent="0.2">
      <c r="A94" s="320"/>
      <c r="B94" s="22"/>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s="18" customFormat="1" ht="19" x14ac:dyDescent="0.25">
      <c r="A95" s="324"/>
      <c r="B95" s="484" t="str">
        <f>'Assumptions - General'!$E$25</f>
        <v>Ruritania Passenger Rail Company</v>
      </c>
      <c r="C95" s="324"/>
      <c r="D95" s="324"/>
      <c r="E95" s="324"/>
      <c r="F95" s="324"/>
      <c r="G95" s="324"/>
      <c r="H95" s="324"/>
      <c r="I95" s="324"/>
      <c r="J95" s="324"/>
      <c r="K95" s="324"/>
      <c r="L95" s="324"/>
      <c r="M95" s="324"/>
      <c r="N95" s="324"/>
      <c r="O95" s="324"/>
      <c r="P95" s="324"/>
      <c r="Q95" s="324"/>
      <c r="R95" s="324"/>
      <c r="S95" s="324"/>
      <c r="T95" s="324"/>
      <c r="U95" s="324"/>
      <c r="V95" s="324"/>
      <c r="W95" s="324"/>
      <c r="X95" s="324"/>
      <c r="Y95" s="324"/>
      <c r="Z95" s="324"/>
      <c r="AA95" s="324"/>
      <c r="AB95" s="324"/>
      <c r="AC95" s="324"/>
      <c r="AD95" s="324"/>
      <c r="AE95" s="324"/>
      <c r="AF95" s="324"/>
      <c r="AG95" s="324"/>
      <c r="AH95" s="324"/>
    </row>
    <row r="96" spans="1:34" s="18" customFormat="1" x14ac:dyDescent="0.2">
      <c r="A96" s="324"/>
      <c r="B96" s="325"/>
      <c r="C96" s="326"/>
      <c r="D96" s="324"/>
      <c r="E96" s="324"/>
      <c r="F96" s="324"/>
      <c r="G96" s="324"/>
      <c r="H96" s="324"/>
      <c r="I96" s="324"/>
      <c r="J96" s="324"/>
      <c r="K96" s="324"/>
      <c r="L96" s="324"/>
      <c r="M96" s="324"/>
      <c r="N96" s="324"/>
      <c r="O96" s="324"/>
      <c r="P96" s="324"/>
      <c r="Q96" s="324"/>
      <c r="R96" s="324"/>
      <c r="S96" s="324"/>
      <c r="T96" s="324"/>
      <c r="U96" s="324"/>
      <c r="V96" s="324"/>
      <c r="W96" s="324"/>
      <c r="X96" s="324"/>
      <c r="Y96" s="324"/>
      <c r="Z96" s="324"/>
      <c r="AA96" s="324"/>
      <c r="AB96" s="324"/>
      <c r="AC96" s="324"/>
      <c r="AD96" s="324"/>
      <c r="AE96" s="324"/>
      <c r="AF96" s="324"/>
      <c r="AG96" s="324"/>
      <c r="AH96" s="324"/>
    </row>
    <row r="97" spans="1:34" s="20" customFormat="1" hidden="1" x14ac:dyDescent="0.2">
      <c r="A97" s="324"/>
      <c r="B97" s="7" t="s">
        <v>226</v>
      </c>
      <c r="C97" s="8"/>
      <c r="D97" s="8"/>
      <c r="E97" s="29">
        <f>IF(Calculations!E17=1,1,IF(Calculations!E18=1,1,0))</f>
        <v>1</v>
      </c>
      <c r="F97" s="29">
        <f>IF(Calculations!F17=1,1,IF(Calculations!F18=1,1,0))</f>
        <v>1</v>
      </c>
      <c r="G97" s="29">
        <f>IF(Calculations!G17=1,1,IF(Calculations!G18=1,1,0))</f>
        <v>1</v>
      </c>
      <c r="H97" s="29">
        <f>IF(Calculations!H17=1,1,IF(Calculations!H18=1,1,0))</f>
        <v>1</v>
      </c>
      <c r="I97" s="29">
        <f>IF(Calculations!I17=1,1,IF(Calculations!I18=1,1,0))</f>
        <v>1</v>
      </c>
      <c r="J97" s="29">
        <f>IF(Calculations!J17=1,1,IF(Calculations!J18=1,1,0))</f>
        <v>1</v>
      </c>
      <c r="K97" s="29">
        <f>IF(Calculations!K17=1,1,IF(Calculations!K18=1,1,0))</f>
        <v>1</v>
      </c>
      <c r="L97" s="29">
        <f>IF(Calculations!L17=1,1,IF(Calculations!L18=1,1,0))</f>
        <v>1</v>
      </c>
      <c r="M97" s="29">
        <f>IF(Calculations!M17=1,1,IF(Calculations!M18=1,1,0))</f>
        <v>1</v>
      </c>
      <c r="N97" s="29">
        <f>IF(Calculations!N17=1,1,IF(Calculations!N18=1,1,0))</f>
        <v>1</v>
      </c>
      <c r="O97" s="29">
        <f>IF(Calculations!O17=1,1,IF(Calculations!O18=1,1,0))</f>
        <v>1</v>
      </c>
      <c r="P97" s="29">
        <f>IF(Calculations!P17=1,1,IF(Calculations!P18=1,1,0))</f>
        <v>1</v>
      </c>
      <c r="Q97" s="29">
        <f>IF(Calculations!Q17=1,1,IF(Calculations!Q18=1,1,0))</f>
        <v>1</v>
      </c>
      <c r="R97" s="29">
        <f>IF(Calculations!R17=1,1,IF(Calculations!R18=1,1,0))</f>
        <v>1</v>
      </c>
      <c r="S97" s="29">
        <f>IF(Calculations!S17=1,1,IF(Calculations!S18=1,1,0))</f>
        <v>1</v>
      </c>
      <c r="T97" s="29">
        <f>IF(Calculations!T17=1,1,IF(Calculations!T18=1,1,0))</f>
        <v>1</v>
      </c>
      <c r="U97" s="29">
        <f>IF(Calculations!U17=1,1,IF(Calculations!U18=1,1,0))</f>
        <v>1</v>
      </c>
      <c r="V97" s="29">
        <f>IF(Calculations!V17=1,1,IF(Calculations!V18=1,1,0))</f>
        <v>1</v>
      </c>
      <c r="W97" s="29">
        <f>IF(Calculations!W17=1,1,IF(Calculations!W18=1,1,0))</f>
        <v>1</v>
      </c>
      <c r="X97" s="29">
        <f>IF(Calculations!X17=1,1,IF(Calculations!X18=1,1,0))</f>
        <v>1</v>
      </c>
      <c r="Y97" s="29">
        <f>IF(Calculations!Y17=1,1,IF(Calculations!Y18=1,1,0))</f>
        <v>1</v>
      </c>
      <c r="Z97" s="29">
        <f>IF(Calculations!Z17=1,1,IF(Calculations!Z18=1,1,0))</f>
        <v>1</v>
      </c>
      <c r="AA97" s="29">
        <f>IF(Calculations!AA17=1,1,IF(Calculations!AA18=1,1,0))</f>
        <v>1</v>
      </c>
      <c r="AB97" s="29">
        <f>IF(Calculations!AB17=1,1,IF(Calculations!AB18=1,1,0))</f>
        <v>1</v>
      </c>
      <c r="AC97" s="29">
        <f>IF(Calculations!AC17=1,1,IF(Calculations!AC18=1,1,0))</f>
        <v>1</v>
      </c>
      <c r="AD97" s="29">
        <f>IF(Calculations!AD17=1,1,IF(Calculations!AD18=1,1,0))</f>
        <v>1</v>
      </c>
      <c r="AE97" s="29">
        <f>IF(Calculations!AE17=1,1,IF(Calculations!AE18=1,1,0))</f>
        <v>1</v>
      </c>
      <c r="AF97" s="29">
        <f>IF(Calculations!AF17=1,1,IF(Calculations!AF18=1,1,0))</f>
        <v>1</v>
      </c>
      <c r="AG97" s="29">
        <f>IF(Calculations!AG17=1,1,IF(Calculations!AG18=1,1,0))</f>
        <v>1</v>
      </c>
      <c r="AH97" s="29">
        <f>IF(Calculations!AH17=1,1,IF(Calculations!AH18=1,1,0))</f>
        <v>1</v>
      </c>
    </row>
    <row r="98" spans="1:34" s="278" customFormat="1" x14ac:dyDescent="0.2">
      <c r="A98" s="324"/>
      <c r="B98" s="22"/>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s="20" customFormat="1" x14ac:dyDescent="0.2">
      <c r="A99" s="324"/>
      <c r="B99" s="19" t="s">
        <v>86</v>
      </c>
    </row>
    <row r="100" spans="1:34" s="277" customFormat="1" x14ac:dyDescent="0.2">
      <c r="A100" s="324"/>
      <c r="B100" s="25" t="s">
        <v>651</v>
      </c>
      <c r="C100" s="24"/>
      <c r="D100" s="24"/>
      <c r="E100" s="35">
        <f>IF(E$97=1,SUM(Calculations!E658:E660),0)</f>
        <v>24000</v>
      </c>
      <c r="F100" s="35">
        <f>IF(F$97=1,SUM(Calculations!F658:F660),0)</f>
        <v>26265</v>
      </c>
      <c r="G100" s="35">
        <f>IF(G$97=1,SUM(Calculations!G658:G660),0)</f>
        <v>27052.949999999997</v>
      </c>
      <c r="H100" s="35">
        <f>IF(H$97=1,SUM(Calculations!H658:H660),0)</f>
        <v>29503.629000000001</v>
      </c>
      <c r="I100" s="35">
        <f>IF(I$97=1,SUM(Calculations!I658:I660),0)</f>
        <v>33765.264300000003</v>
      </c>
      <c r="J100" s="35">
        <f>IF(J$97=1,SUM(Calculations!J658:J660),0)</f>
        <v>36517.133340450004</v>
      </c>
      <c r="K100" s="35">
        <f>IF(K$97=1,SUM(Calculations!K658:K660),0)</f>
        <v>39403.725785457005</v>
      </c>
      <c r="L100" s="35">
        <f>IF(L$97=1,SUM(Calculations!L658:L660),0)</f>
        <v>42430.648357158017</v>
      </c>
      <c r="M100" s="35">
        <f>IF(M$97=1,SUM(Calculations!M658:M660),0)</f>
        <v>45603.722929954187</v>
      </c>
      <c r="N100" s="35">
        <f>IF(N$97=1,SUM(Calculations!N658:N660),0)</f>
        <v>48928.994393596688</v>
      </c>
      <c r="O100" s="35">
        <f>IF(O$97=1,SUM(Calculations!O658:O660),0)</f>
        <v>52412.738794420758</v>
      </c>
      <c r="P100" s="35">
        <f>IF(P$97=1,SUM(Calculations!P658:P660),0)</f>
        <v>56061.471764340065</v>
      </c>
      <c r="Q100" s="35">
        <f>IF(Q$97=1,SUM(Calculations!Q658:Q660),0)</f>
        <v>59881.957247539533</v>
      </c>
      <c r="R100" s="35">
        <f>IF(R$97=1,SUM(Calculations!R658:R660),0)</f>
        <v>63881.216535143074</v>
      </c>
      <c r="S100" s="35">
        <f>IF(S$97=1,SUM(Calculations!S658:S660),0)</f>
        <v>68066.537618480041</v>
      </c>
      <c r="T100" s="35">
        <f>IF(T$97=1,SUM(Calculations!T658:T660),0)</f>
        <v>72445.48487193558</v>
      </c>
      <c r="U100" s="35">
        <f>IF(U$97=1,SUM(Calculations!U658:U660),0)</f>
        <v>77025.909076741838</v>
      </c>
      <c r="V100" s="35">
        <f>IF(V$97=1,SUM(Calculations!V658:V660),0)</f>
        <v>81815.957797451731</v>
      </c>
      <c r="W100" s="35">
        <f>IF(W$97=1,SUM(Calculations!W658:W660),0)</f>
        <v>86824.086123235131</v>
      </c>
      <c r="X100" s="35">
        <f>IF(X$97=1,SUM(Calculations!X658:X660),0)</f>
        <v>92059.06778654785</v>
      </c>
      <c r="Y100" s="35">
        <f>IF(Y$97=1,SUM(Calculations!Y658:Y660),0)</f>
        <v>97530.006672148404</v>
      </c>
      <c r="Z100" s="35">
        <f>IF(Z$97=1,SUM(Calculations!Z658:Z660),0)</f>
        <v>103246.34872987712</v>
      </c>
      <c r="AA100" s="35">
        <f>IF(AA$97=1,SUM(Calculations!AA658:AA660),0)</f>
        <v>109217.8943050646</v>
      </c>
      <c r="AB100" s="35">
        <f>IF(AB$97=1,SUM(Calculations!AB658:AB660),0)</f>
        <v>115454.81090090648</v>
      </c>
      <c r="AC100" s="35">
        <f>IF(AC$97=1,SUM(Calculations!AC658:AC660),0)</f>
        <v>121967.64638762426</v>
      </c>
      <c r="AD100" s="35">
        <f>IF(AD$97=1,SUM(Calculations!AD658:AD660),0)</f>
        <v>128767.34267373431</v>
      </c>
      <c r="AE100" s="35">
        <f>IF(AE$97=1,SUM(Calculations!AE658:AE660),0)</f>
        <v>135865.24985526211</v>
      </c>
      <c r="AF100" s="35">
        <f>IF(AF$97=1,SUM(Calculations!AF658:AF660),0)</f>
        <v>143273.14085927524</v>
      </c>
      <c r="AG100" s="35">
        <f>IF(AG$97=1,SUM(Calculations!AG658:AG660),0)</f>
        <v>151003.22659865936</v>
      </c>
      <c r="AH100" s="35">
        <f>IF(AH$97=1,SUM(Calculations!AH658:AH660),0)</f>
        <v>159068.17165563325</v>
      </c>
    </row>
    <row r="101" spans="1:34" s="277" customFormat="1" x14ac:dyDescent="0.2">
      <c r="A101" s="324"/>
      <c r="B101" s="25" t="s">
        <v>642</v>
      </c>
      <c r="C101" s="24"/>
      <c r="D101" s="24"/>
      <c r="E101" s="35">
        <f>IF(E$97=1,SUM(Calculations!E672),0)</f>
        <v>10</v>
      </c>
      <c r="F101" s="35">
        <f>IF(F$97=1,SUM(Calculations!F672),0)</f>
        <v>10.3</v>
      </c>
      <c r="G101" s="35">
        <f>IF(G$97=1,SUM(Calculations!G672),0)</f>
        <v>10.609000000000002</v>
      </c>
      <c r="H101" s="35">
        <f>IF(H$97=1,SUM(Calculations!H672),0)</f>
        <v>10.927270000000002</v>
      </c>
      <c r="I101" s="35">
        <f>IF(I$97=1,SUM(Calculations!I672),0)</f>
        <v>11.255088100000002</v>
      </c>
      <c r="J101" s="35">
        <f>IF(J$97=1,SUM(Calculations!J672),0)</f>
        <v>11.592740743000002</v>
      </c>
      <c r="K101" s="35">
        <f>IF(K$97=1,SUM(Calculations!K672),0)</f>
        <v>11.940522965290002</v>
      </c>
      <c r="L101" s="35">
        <f>IF(L$97=1,SUM(Calculations!L672),0)</f>
        <v>12.298738654248703</v>
      </c>
      <c r="M101" s="35">
        <f>IF(M$97=1,SUM(Calculations!M672),0)</f>
        <v>12.667700813876165</v>
      </c>
      <c r="N101" s="35">
        <f>IF(N$97=1,SUM(Calculations!N672),0)</f>
        <v>13.047731838292449</v>
      </c>
      <c r="O101" s="35">
        <f>IF(O$97=1,SUM(Calculations!O672),0)</f>
        <v>13.439163793441223</v>
      </c>
      <c r="P101" s="35">
        <f>IF(P$97=1,SUM(Calculations!P672),0)</f>
        <v>13.84233870724446</v>
      </c>
      <c r="Q101" s="35">
        <f>IF(Q$97=1,SUM(Calculations!Q672),0)</f>
        <v>14.257608868461794</v>
      </c>
      <c r="R101" s="35">
        <f>IF(R$97=1,SUM(Calculations!R672),0)</f>
        <v>14.685337134515649</v>
      </c>
      <c r="S101" s="35">
        <f>IF(S$97=1,SUM(Calculations!S672),0)</f>
        <v>15.125897248551119</v>
      </c>
      <c r="T101" s="35">
        <f>IF(T$97=1,SUM(Calculations!T672),0)</f>
        <v>15.579674166007653</v>
      </c>
      <c r="U101" s="35">
        <f>IF(U$97=1,SUM(Calculations!U672),0)</f>
        <v>16.047064390987885</v>
      </c>
      <c r="V101" s="35">
        <f>IF(V$97=1,SUM(Calculations!V672),0)</f>
        <v>16.52847632271752</v>
      </c>
      <c r="W101" s="35">
        <f>IF(W$97=1,SUM(Calculations!W672),0)</f>
        <v>17.024330612399044</v>
      </c>
      <c r="X101" s="35">
        <f>IF(X$97=1,SUM(Calculations!X672),0)</f>
        <v>17.535060530771016</v>
      </c>
      <c r="Y101" s="35">
        <f>IF(Y$97=1,SUM(Calculations!Y672),0)</f>
        <v>18.061112346694149</v>
      </c>
      <c r="Z101" s="35">
        <f>IF(Z$97=1,SUM(Calculations!Z672),0)</f>
        <v>18.602945717094972</v>
      </c>
      <c r="AA101" s="35">
        <f>IF(AA$97=1,SUM(Calculations!AA672),0)</f>
        <v>19.161034088607821</v>
      </c>
      <c r="AB101" s="35">
        <f>IF(AB$97=1,SUM(Calculations!AB672),0)</f>
        <v>19.735865111266055</v>
      </c>
      <c r="AC101" s="35">
        <f>IF(AC$97=1,SUM(Calculations!AC672),0)</f>
        <v>20.327941064604037</v>
      </c>
      <c r="AD101" s="35">
        <f>IF(AD$97=1,SUM(Calculations!AD672),0)</f>
        <v>20.937779296542157</v>
      </c>
      <c r="AE101" s="35">
        <f>IF(AE$97=1,SUM(Calculations!AE672),0)</f>
        <v>21.565912675438422</v>
      </c>
      <c r="AF101" s="35">
        <f>IF(AF$97=1,SUM(Calculations!AF672),0)</f>
        <v>22.212890055701575</v>
      </c>
      <c r="AG101" s="35">
        <f>IF(AG$97=1,SUM(Calculations!AG672),0)</f>
        <v>22.879276757372622</v>
      </c>
      <c r="AH101" s="35">
        <f>IF(AH$97=1,SUM(Calculations!AH672),0)</f>
        <v>23.565655060093803</v>
      </c>
    </row>
    <row r="102" spans="1:34" s="277" customFormat="1" x14ac:dyDescent="0.2">
      <c r="A102" s="324"/>
      <c r="B102" s="25" t="s">
        <v>633</v>
      </c>
      <c r="C102" s="24"/>
      <c r="D102" s="24"/>
      <c r="E102" s="35">
        <f>IF(E$97=1,'Assumptions - Passenger'!E159+Calculations!E674,0)</f>
        <v>502</v>
      </c>
      <c r="F102" s="35">
        <f>IF(F$97=1,'Assumptions - Passenger'!F159+Calculations!F674,0)</f>
        <v>501.62471395881005</v>
      </c>
      <c r="G102" s="35">
        <f>IF(G$97=1,'Assumptions - Passenger'!G159+Calculations!G674,0)</f>
        <v>502.70588385785186</v>
      </c>
      <c r="H102" s="35">
        <f>IF(H$97=1,'Assumptions - Passenger'!H159+Calculations!H674,0)</f>
        <v>503.06181094635508</v>
      </c>
      <c r="I102" s="35">
        <f>IF(I$97=1,'Assumptions - Passenger'!I159+Calculations!I674,0)</f>
        <v>503.42963628992385</v>
      </c>
      <c r="J102" s="35">
        <f>IF(J$97=1,'Assumptions - Passenger'!J159+Calculations!J674,0)</f>
        <v>503.80971683621004</v>
      </c>
      <c r="K102" s="35">
        <f>IF(K$97=1,'Assumptions - Passenger'!K159+Calculations!K674,0)</f>
        <v>504.20242024129516</v>
      </c>
      <c r="L102" s="35">
        <f>IF(L$97=1,'Assumptions - Passenger'!L159+Calculations!L674,0)</f>
        <v>504.60812519094321</v>
      </c>
      <c r="M102" s="35">
        <f>IF(M$97=1,'Assumptions - Passenger'!M159+Calculations!M674,0)</f>
        <v>505.02722173149112</v>
      </c>
      <c r="N102" s="35">
        <f>IF(N$97=1,'Assumptions - Passenger'!N159+Calculations!N674,0)</f>
        <v>505.46977344641459</v>
      </c>
      <c r="O102" s="35">
        <f>IF(O$97=1,'Assumptions - Passenger'!O159+Calculations!O674,0)</f>
        <v>505.90720862862611</v>
      </c>
      <c r="P102" s="35">
        <f>IF(P$97=1,'Assumptions - Passenger'!P159+Calculations!P674,0)</f>
        <v>506.37860083528437</v>
      </c>
      <c r="Q102" s="35">
        <f>IF(Q$97=1,'Assumptions - Passenger'!Q159+Calculations!Q674,0)</f>
        <v>506.86506539548031</v>
      </c>
      <c r="R102" s="35">
        <f>IF(R$97=1,'Assumptions - Passenger'!R159+Calculations!R674,0)</f>
        <v>507.36705447982001</v>
      </c>
      <c r="S102" s="35">
        <f>IF(S$97=1,'Assumptions - Passenger'!S159+Calculations!S674,0)</f>
        <v>507.88503382402786</v>
      </c>
      <c r="T102" s="35">
        <f>IF(T$97=1,'Assumptions - Passenger'!T159+Calculations!T674,0)</f>
        <v>508.41948313589984</v>
      </c>
      <c r="U102" s="35">
        <f>IF(U$97=1,'Assumptions - Passenger'!U159+Calculations!U674,0)</f>
        <v>508.97089651446589</v>
      </c>
      <c r="V102" s="35">
        <f>IF(V$97=1,'Assumptions - Passenger'!V159+Calculations!V674,0)</f>
        <v>509.53978288172681</v>
      </c>
      <c r="W102" s="35">
        <f>IF(W$97=1,'Assumptions - Passenger'!W159+Calculations!W674,0)</f>
        <v>510.12666642734348</v>
      </c>
      <c r="X102" s="35">
        <f>IF(X$97=1,'Assumptions - Passenger'!X159+Calculations!X674,0)</f>
        <v>510.59682136618346</v>
      </c>
      <c r="Y102" s="35">
        <f>IF(Y$97=1,'Assumptions - Passenger'!Y159+Calculations!Y674,0)</f>
        <v>510.50957897179819</v>
      </c>
      <c r="Z102" s="35">
        <f>IF(Z$97=1,'Assumptions - Passenger'!Z159+Calculations!Z674,0)</f>
        <v>511.15264312491763</v>
      </c>
      <c r="AA102" s="35">
        <f>IF(AA$97=1,'Assumptions - Passenger'!AA159+Calculations!AA674,0)</f>
        <v>511.81520291477489</v>
      </c>
      <c r="AB102" s="35">
        <f>IF(AB$97=1,'Assumptions - Passenger'!AB159+Calculations!AB674,0)</f>
        <v>512.49783000094772</v>
      </c>
      <c r="AC102" s="35">
        <f>IF(AC$97=1,'Assumptions - Passenger'!AC159+Calculations!AC674,0)</f>
        <v>513.0974032440065</v>
      </c>
      <c r="AD102" s="35">
        <f>IF(AD$97=1,'Assumptions - Passenger'!AD159+Calculations!AD674,0)</f>
        <v>513.81678057079785</v>
      </c>
      <c r="AE102" s="35">
        <f>IF(AE$97=1,'Assumptions - Passenger'!AE159+Calculations!AE674,0)</f>
        <v>514.55771789296921</v>
      </c>
      <c r="AF102" s="35">
        <f>IF(AF$97=1,'Assumptions - Passenger'!AF159+Calculations!AF674,0)</f>
        <v>515.32085098397374</v>
      </c>
      <c r="AG102" s="35">
        <f>IF(AG$97=1,'Assumptions - Passenger'!AG159+Calculations!AG674,0)</f>
        <v>516.10683591280974</v>
      </c>
      <c r="AH102" s="35">
        <f>IF(AH$97=1,'Assumptions - Passenger'!AH159+Calculations!AH674,0)</f>
        <v>516.91634944206032</v>
      </c>
    </row>
    <row r="103" spans="1:34" s="277" customFormat="1" x14ac:dyDescent="0.2">
      <c r="A103" s="324"/>
      <c r="B103" s="23" t="s">
        <v>88</v>
      </c>
      <c r="C103" s="24"/>
      <c r="D103" s="24"/>
      <c r="E103" s="36">
        <f t="shared" ref="E103:AH103" si="17">SUM(E100:E102)</f>
        <v>24512</v>
      </c>
      <c r="F103" s="36">
        <f t="shared" si="17"/>
        <v>26776.924713958808</v>
      </c>
      <c r="G103" s="36">
        <f t="shared" si="17"/>
        <v>27566.26488385785</v>
      </c>
      <c r="H103" s="36">
        <f t="shared" si="17"/>
        <v>30017.618080946355</v>
      </c>
      <c r="I103" s="36">
        <f t="shared" si="17"/>
        <v>34279.949024389927</v>
      </c>
      <c r="J103" s="36">
        <f t="shared" si="17"/>
        <v>37032.53579802921</v>
      </c>
      <c r="K103" s="36">
        <f t="shared" si="17"/>
        <v>39919.86872866359</v>
      </c>
      <c r="L103" s="36">
        <f t="shared" si="17"/>
        <v>42947.555221003211</v>
      </c>
      <c r="M103" s="36">
        <f t="shared" si="17"/>
        <v>46121.417852499559</v>
      </c>
      <c r="N103" s="36">
        <f t="shared" si="17"/>
        <v>49447.511898881392</v>
      </c>
      <c r="O103" s="36">
        <f t="shared" si="17"/>
        <v>52932.085166842822</v>
      </c>
      <c r="P103" s="36">
        <f t="shared" si="17"/>
        <v>56581.692703882596</v>
      </c>
      <c r="Q103" s="36">
        <f t="shared" si="17"/>
        <v>60403.079921803474</v>
      </c>
      <c r="R103" s="36">
        <f t="shared" si="17"/>
        <v>64403.26892675741</v>
      </c>
      <c r="S103" s="36">
        <f t="shared" si="17"/>
        <v>68589.548549552623</v>
      </c>
      <c r="T103" s="36">
        <f t="shared" si="17"/>
        <v>72969.484029237487</v>
      </c>
      <c r="U103" s="36">
        <f t="shared" si="17"/>
        <v>77550.9270376473</v>
      </c>
      <c r="V103" s="36">
        <f t="shared" si="17"/>
        <v>82342.026056656177</v>
      </c>
      <c r="W103" s="36">
        <f t="shared" si="17"/>
        <v>87351.237120274876</v>
      </c>
      <c r="X103" s="36">
        <f t="shared" si="17"/>
        <v>92587.19966844481</v>
      </c>
      <c r="Y103" s="36">
        <f t="shared" si="17"/>
        <v>98058.577363466902</v>
      </c>
      <c r="Z103" s="36">
        <f t="shared" si="17"/>
        <v>103776.10431871914</v>
      </c>
      <c r="AA103" s="36">
        <f t="shared" si="17"/>
        <v>109748.87054206799</v>
      </c>
      <c r="AB103" s="36">
        <f t="shared" si="17"/>
        <v>115987.04459601869</v>
      </c>
      <c r="AC103" s="36">
        <f t="shared" si="17"/>
        <v>122501.07173193288</v>
      </c>
      <c r="AD103" s="36">
        <f t="shared" si="17"/>
        <v>129302.09723360164</v>
      </c>
      <c r="AE103" s="36">
        <f t="shared" si="17"/>
        <v>136401.37348583053</v>
      </c>
      <c r="AF103" s="36">
        <f t="shared" si="17"/>
        <v>143810.6746003149</v>
      </c>
      <c r="AG103" s="36">
        <f t="shared" si="17"/>
        <v>151542.21271132951</v>
      </c>
      <c r="AH103" s="36">
        <f t="shared" si="17"/>
        <v>159608.6536601354</v>
      </c>
    </row>
    <row r="104" spans="1:34" s="277" customFormat="1" x14ac:dyDescent="0.2">
      <c r="A104" s="324"/>
      <c r="B104" s="24"/>
      <c r="C104" s="24"/>
      <c r="D104" s="24"/>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row>
    <row r="105" spans="1:34" s="20" customFormat="1" x14ac:dyDescent="0.2">
      <c r="A105" s="324"/>
      <c r="B105" s="19" t="s">
        <v>89</v>
      </c>
      <c r="E105" s="37"/>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row>
    <row r="106" spans="1:34" s="20" customFormat="1" x14ac:dyDescent="0.2">
      <c r="A106" s="324"/>
      <c r="B106" s="32" t="s">
        <v>131</v>
      </c>
      <c r="E106" s="35">
        <f>IF(E$97=1,Calculations!E1125+Calculations!E1126,0)</f>
        <v>7875</v>
      </c>
      <c r="F106" s="35">
        <f>IF(F$97=1,Calculations!F1125+Calculations!F1126,0)</f>
        <v>8594.0625</v>
      </c>
      <c r="G106" s="35">
        <f>IF(G$97=1,Calculations!G1125+Calculations!G1126,0)</f>
        <v>8851.8843749999996</v>
      </c>
      <c r="H106" s="35">
        <f>IF(H$97=1,Calculations!H1125+Calculations!H1126,0)</f>
        <v>9629.656687499999</v>
      </c>
      <c r="I106" s="35">
        <f>IF(I$97=1,Calculations!I1125+Calculations!I1126,0)</f>
        <v>10973.710897500001</v>
      </c>
      <c r="J106" s="35">
        <f>IF(J$97=1,Calculations!J1125+Calculations!J1126,0)</f>
        <v>11846.331946753126</v>
      </c>
      <c r="K106" s="35">
        <f>IF(K$97=1,Calculations!K1125+Calculations!K1126,0)</f>
        <v>12761.433919153689</v>
      </c>
      <c r="L106" s="35">
        <f>IF(L$97=1,Calculations!L1125+Calculations!L1126,0)</f>
        <v>13720.780311146207</v>
      </c>
      <c r="M106" s="35">
        <f>IF(M$97=1,Calculations!M1125+Calculations!M1126,0)</f>
        <v>14726.20219613104</v>
      </c>
      <c r="N106" s="35">
        <f>IF(N$97=1,Calculations!N1125+Calculations!N1126,0)</f>
        <v>15779.600691934929</v>
      </c>
      <c r="O106" s="35">
        <f>IF(O$97=1,Calculations!O1125+Calculations!O1126,0)</f>
        <v>16882.949515510536</v>
      </c>
      <c r="P106" s="35">
        <f>IF(P$97=1,Calculations!P1125+Calculations!P1126,0)</f>
        <v>18038.297627877939</v>
      </c>
      <c r="Q106" s="35">
        <f>IF(Q$97=1,Calculations!Q1125+Calculations!Q1126,0)</f>
        <v>19247.771972423419</v>
      </c>
      <c r="R106" s="35">
        <f>IF(R$97=1,Calculations!R1125+Calculations!R1126,0)</f>
        <v>20513.580309776546</v>
      </c>
      <c r="S106" s="35">
        <f>IF(S$97=1,Calculations!S1125+Calculations!S1126,0)</f>
        <v>21838.014152595679</v>
      </c>
      <c r="T106" s="35">
        <f>IF(T$97=1,Calculations!T1125+Calculations!T1126,0)</f>
        <v>23223.451803705157</v>
      </c>
      <c r="U106" s="35">
        <f>IF(U$97=1,Calculations!U1125+Calculations!U1126,0)</f>
        <v>24672.361501143871</v>
      </c>
      <c r="V106" s="35">
        <f>IF(V$97=1,Calculations!V1125+Calculations!V1126,0)</f>
        <v>26187.304673805571</v>
      </c>
      <c r="W106" s="35">
        <f>IF(W$97=1,Calculations!W1125+Calculations!W1126,0)</f>
        <v>27770.93931147594</v>
      </c>
      <c r="X106" s="35">
        <f>IF(X$97=1,Calculations!X1125+Calculations!X1126,0)</f>
        <v>29426.023453200116</v>
      </c>
      <c r="Y106" s="35">
        <f>IF(Y$97=1,Calculations!Y1125+Calculations!Y1126,0)</f>
        <v>31155.418798047409</v>
      </c>
      <c r="Z106" s="35">
        <f>IF(Z$97=1,Calculations!Z1125+Calculations!Z1126,0)</f>
        <v>32962.094442477661</v>
      </c>
      <c r="AA106" s="35">
        <f>IF(AA$97=1,Calculations!AA1125+Calculations!AA1126,0)</f>
        <v>34849.130748655487</v>
      </c>
      <c r="AB106" s="35">
        <f>IF(AB$97=1,Calculations!AB1125+Calculations!AB1126,0)</f>
        <v>36819.723348205749</v>
      </c>
      <c r="AC106" s="35">
        <f>IF(AC$97=1,Calculations!AC1125+Calculations!AC1126,0)</f>
        <v>38877.187286055239</v>
      </c>
      <c r="AD106" s="35">
        <f>IF(AD$97=1,Calculations!AD1125+Calculations!AD1126,0)</f>
        <v>41024.961309162303</v>
      </c>
      <c r="AE106" s="35">
        <f>IF(AE$97=1,Calculations!AE1125+Calculations!AE1126,0)</f>
        <v>43266.612305098359</v>
      </c>
      <c r="AF106" s="35">
        <f>IF(AF$97=1,Calculations!AF1125+Calculations!AF1126,0)</f>
        <v>45605.83989561232</v>
      </c>
      <c r="AG106" s="35">
        <f>IF(AG$97=1,Calculations!AG1125+Calculations!AG1126,0)</f>
        <v>48046.481190482526</v>
      </c>
      <c r="AH106" s="35">
        <f>IF(AH$97=1,Calculations!AH1125+Calculations!AH1126,0)</f>
        <v>50592.515707138904</v>
      </c>
    </row>
    <row r="107" spans="1:34" s="277" customFormat="1" x14ac:dyDescent="0.2">
      <c r="A107" s="324"/>
      <c r="B107" s="25" t="s">
        <v>37</v>
      </c>
      <c r="C107" s="24"/>
      <c r="D107" s="24"/>
      <c r="E107" s="35">
        <f>IF(E$97=1,Calculations!E678,0)</f>
        <v>1000</v>
      </c>
      <c r="F107" s="35">
        <f>IF(F$97=1,Calculations!F678,0)</f>
        <v>1030.0000000000002</v>
      </c>
      <c r="G107" s="35">
        <f>IF(G$97=1,Calculations!G678,0)</f>
        <v>1060.9000000000001</v>
      </c>
      <c r="H107" s="35">
        <f>IF(H$97=1,Calculations!H678,0)</f>
        <v>1092.7270000000001</v>
      </c>
      <c r="I107" s="35">
        <f>IF(I$97=1,Calculations!I678,0)</f>
        <v>1125.50881</v>
      </c>
      <c r="J107" s="35">
        <f>IF(J$97=1,Calculations!J678,0)</f>
        <v>1159.2740742999999</v>
      </c>
      <c r="K107" s="35">
        <f>IF(K$97=1,Calculations!K678,0)</f>
        <v>1194.0522965289999</v>
      </c>
      <c r="L107" s="35">
        <f>IF(L$97=1,Calculations!L678,0)</f>
        <v>1229.8738654248702</v>
      </c>
      <c r="M107" s="35">
        <f>IF(M$97=1,Calculations!M678,0)</f>
        <v>1266.7700813876163</v>
      </c>
      <c r="N107" s="35">
        <f>IF(N$97=1,Calculations!N678,0)</f>
        <v>1304.7731838292448</v>
      </c>
      <c r="O107" s="35">
        <f>IF(O$97=1,Calculations!O678,0)</f>
        <v>1343.9163793441221</v>
      </c>
      <c r="P107" s="35">
        <f>IF(P$97=1,Calculations!P678,0)</f>
        <v>1384.233870724446</v>
      </c>
      <c r="Q107" s="35">
        <f>IF(Q$97=1,Calculations!Q678,0)</f>
        <v>1425.7608868461796</v>
      </c>
      <c r="R107" s="35">
        <f>IF(R$97=1,Calculations!R678,0)</f>
        <v>1468.5337134515651</v>
      </c>
      <c r="S107" s="35">
        <f>IF(S$97=1,Calculations!S678,0)</f>
        <v>1512.5897248551119</v>
      </c>
      <c r="T107" s="35">
        <f>IF(T$97=1,Calculations!T678,0)</f>
        <v>1557.9674166007653</v>
      </c>
      <c r="U107" s="35">
        <f>IF(U$97=1,Calculations!U678,0)</f>
        <v>1604.7064390987882</v>
      </c>
      <c r="V107" s="35">
        <f>IF(V$97=1,Calculations!V678,0)</f>
        <v>1652.847632271752</v>
      </c>
      <c r="W107" s="35">
        <f>IF(W$97=1,Calculations!W678,0)</f>
        <v>1702.4330612399044</v>
      </c>
      <c r="X107" s="35">
        <f>IF(X$97=1,Calculations!X678,0)</f>
        <v>1753.5060530771018</v>
      </c>
      <c r="Y107" s="35">
        <f>IF(Y$97=1,Calculations!Y678,0)</f>
        <v>1806.1112346694147</v>
      </c>
      <c r="Z107" s="35">
        <f>IF(Z$97=1,Calculations!Z678,0)</f>
        <v>1860.2945717094972</v>
      </c>
      <c r="AA107" s="35">
        <f>IF(AA$97=1,Calculations!AA678,0)</f>
        <v>1916.1034088607821</v>
      </c>
      <c r="AB107" s="35">
        <f>IF(AB$97=1,Calculations!AB678,0)</f>
        <v>1973.5865111266055</v>
      </c>
      <c r="AC107" s="35">
        <f>IF(AC$97=1,Calculations!AC678,0)</f>
        <v>2032.7941064604038</v>
      </c>
      <c r="AD107" s="35">
        <f>IF(AD$97=1,Calculations!AD678,0)</f>
        <v>2093.7779296542162</v>
      </c>
      <c r="AE107" s="35">
        <f>IF(AE$97=1,Calculations!AE678,0)</f>
        <v>2156.5912675438422</v>
      </c>
      <c r="AF107" s="35">
        <f>IF(AF$97=1,Calculations!AF678,0)</f>
        <v>2221.2890055701573</v>
      </c>
      <c r="AG107" s="35">
        <f>IF(AG$97=1,Calculations!AG678,0)</f>
        <v>2287.9276757372622</v>
      </c>
      <c r="AH107" s="35">
        <f>IF(AH$97=1,Calculations!AH678,0)</f>
        <v>2356.5655060093804</v>
      </c>
    </row>
    <row r="108" spans="1:34" s="277" customFormat="1" x14ac:dyDescent="0.2">
      <c r="A108" s="324"/>
      <c r="B108" s="25" t="s">
        <v>40</v>
      </c>
      <c r="C108" s="24"/>
      <c r="D108" s="24"/>
      <c r="E108" s="35">
        <f>IF(E$97=1,Calculations!E680,0)</f>
        <v>500</v>
      </c>
      <c r="F108" s="35">
        <f>IF(F$97=1,Calculations!F680,0)</f>
        <v>547.1875</v>
      </c>
      <c r="G108" s="35">
        <f>IF(G$97=1,Calculations!G680,0)</f>
        <v>563.60312499999998</v>
      </c>
      <c r="H108" s="35">
        <f>IF(H$97=1,Calculations!H680,0)</f>
        <v>614.65893750000009</v>
      </c>
      <c r="I108" s="35">
        <f>IF(I$97=1,Calculations!I680,0)</f>
        <v>703.44300625000017</v>
      </c>
      <c r="J108" s="35">
        <f>IF(J$97=1,Calculations!J680,0)</f>
        <v>760.77361125937534</v>
      </c>
      <c r="K108" s="35">
        <f>IF(K$97=1,Calculations!K680,0)</f>
        <v>820.91095386368795</v>
      </c>
      <c r="L108" s="35">
        <f>IF(L$97=1,Calculations!L680,0)</f>
        <v>883.97184077412578</v>
      </c>
      <c r="M108" s="35">
        <f>IF(M$97=1,Calculations!M680,0)</f>
        <v>950.07756104071257</v>
      </c>
      <c r="N108" s="35">
        <f>IF(N$97=1,Calculations!N680,0)</f>
        <v>1019.354049866598</v>
      </c>
      <c r="O108" s="35">
        <f>IF(O$97=1,Calculations!O680,0)</f>
        <v>1091.9320582170997</v>
      </c>
      <c r="P108" s="35">
        <f>IF(P$97=1,Calculations!P680,0)</f>
        <v>1167.9473284237517</v>
      </c>
      <c r="Q108" s="35">
        <f>IF(Q$97=1,Calculations!Q680,0)</f>
        <v>1247.5407759904074</v>
      </c>
      <c r="R108" s="35">
        <f>IF(R$97=1,Calculations!R680,0)</f>
        <v>1330.8586778154811</v>
      </c>
      <c r="S108" s="35">
        <f>IF(S$97=1,Calculations!S680,0)</f>
        <v>1418.0528670516678</v>
      </c>
      <c r="T108" s="35">
        <f>IF(T$97=1,Calculations!T680,0)</f>
        <v>1509.280934831992</v>
      </c>
      <c r="U108" s="35">
        <f>IF(U$97=1,Calculations!U680,0)</f>
        <v>1604.7064390987891</v>
      </c>
      <c r="V108" s="35">
        <f>IF(V$97=1,Calculations!V680,0)</f>
        <v>1704.499120780245</v>
      </c>
      <c r="W108" s="35">
        <f>IF(W$97=1,Calculations!W680,0)</f>
        <v>1808.8351275673995</v>
      </c>
      <c r="X108" s="35">
        <f>IF(X$97=1,Calculations!X680,0)</f>
        <v>1917.8972455530807</v>
      </c>
      <c r="Y108" s="35">
        <f>IF(Y$97=1,Calculations!Y680,0)</f>
        <v>2031.875139003092</v>
      </c>
      <c r="Z108" s="35">
        <f>IF(Z$97=1,Calculations!Z680,0)</f>
        <v>2150.9655985391064</v>
      </c>
      <c r="AA108" s="35">
        <f>IF(AA$97=1,Calculations!AA680,0)</f>
        <v>2275.3727980221793</v>
      </c>
      <c r="AB108" s="35">
        <f>IF(AB$97=1,Calculations!AB680,0)</f>
        <v>2405.308560435551</v>
      </c>
      <c r="AC108" s="35">
        <f>IF(AC$97=1,Calculations!AC680,0)</f>
        <v>2540.9926330755052</v>
      </c>
      <c r="AD108" s="35">
        <f>IF(AD$97=1,Calculations!AD680,0)</f>
        <v>2682.6529723694644</v>
      </c>
      <c r="AE108" s="35">
        <f>IF(AE$97=1,Calculations!AE680,0)</f>
        <v>2830.5260386512932</v>
      </c>
      <c r="AF108" s="35">
        <f>IF(AF$97=1,Calculations!AF680,0)</f>
        <v>2984.8571012348993</v>
      </c>
      <c r="AG108" s="35">
        <f>IF(AG$97=1,Calculations!AG680,0)</f>
        <v>3145.900554138736</v>
      </c>
      <c r="AH108" s="35">
        <f>IF(AH$97=1,Calculations!AH680,0)</f>
        <v>3313.9202428256913</v>
      </c>
    </row>
    <row r="109" spans="1:34" s="277" customFormat="1" x14ac:dyDescent="0.2">
      <c r="A109" s="324"/>
      <c r="B109" s="25" t="s">
        <v>90</v>
      </c>
      <c r="C109" s="24"/>
      <c r="D109" s="24"/>
      <c r="E109" s="35">
        <f>IF(E$97=1,Calculations!E682,0)</f>
        <v>500</v>
      </c>
      <c r="F109" s="35">
        <f>IF(F$97=1,Calculations!F682,0)</f>
        <v>547.1875</v>
      </c>
      <c r="G109" s="35">
        <f>IF(G$97=1,Calculations!G682,0)</f>
        <v>563.60312499999998</v>
      </c>
      <c r="H109" s="35">
        <f>IF(H$97=1,Calculations!H682,0)</f>
        <v>614.65893750000009</v>
      </c>
      <c r="I109" s="35">
        <f>IF(I$97=1,Calculations!I682,0)</f>
        <v>703.44300625000017</v>
      </c>
      <c r="J109" s="35">
        <f>IF(J$97=1,Calculations!J682,0)</f>
        <v>760.77361125937534</v>
      </c>
      <c r="K109" s="35">
        <f>IF(K$97=1,Calculations!K682,0)</f>
        <v>820.91095386368795</v>
      </c>
      <c r="L109" s="35">
        <f>IF(L$97=1,Calculations!L682,0)</f>
        <v>883.97184077412578</v>
      </c>
      <c r="M109" s="35">
        <f>IF(M$97=1,Calculations!M682,0)</f>
        <v>950.07756104071257</v>
      </c>
      <c r="N109" s="35">
        <f>IF(N$97=1,Calculations!N682,0)</f>
        <v>1019.354049866598</v>
      </c>
      <c r="O109" s="35">
        <f>IF(O$97=1,Calculations!O682,0)</f>
        <v>1091.9320582170997</v>
      </c>
      <c r="P109" s="35">
        <f>IF(P$97=1,Calculations!P682,0)</f>
        <v>1167.9473284237517</v>
      </c>
      <c r="Q109" s="35">
        <f>IF(Q$97=1,Calculations!Q682,0)</f>
        <v>1247.5407759904074</v>
      </c>
      <c r="R109" s="35">
        <f>IF(R$97=1,Calculations!R682,0)</f>
        <v>1330.8586778154811</v>
      </c>
      <c r="S109" s="35">
        <f>IF(S$97=1,Calculations!S682,0)</f>
        <v>1418.0528670516678</v>
      </c>
      <c r="T109" s="35">
        <f>IF(T$97=1,Calculations!T682,0)</f>
        <v>1509.280934831992</v>
      </c>
      <c r="U109" s="35">
        <f>IF(U$97=1,Calculations!U682,0)</f>
        <v>1604.7064390987891</v>
      </c>
      <c r="V109" s="35">
        <f>IF(V$97=1,Calculations!V682,0)</f>
        <v>1704.499120780245</v>
      </c>
      <c r="W109" s="35">
        <f>IF(W$97=1,Calculations!W682,0)</f>
        <v>1808.8351275673995</v>
      </c>
      <c r="X109" s="35">
        <f>IF(X$97=1,Calculations!X682,0)</f>
        <v>1917.8972455530807</v>
      </c>
      <c r="Y109" s="35">
        <f>IF(Y$97=1,Calculations!Y682,0)</f>
        <v>2031.875139003092</v>
      </c>
      <c r="Z109" s="35">
        <f>IF(Z$97=1,Calculations!Z682,0)</f>
        <v>2150.9655985391064</v>
      </c>
      <c r="AA109" s="35">
        <f>IF(AA$97=1,Calculations!AA682,0)</f>
        <v>2275.3727980221793</v>
      </c>
      <c r="AB109" s="35">
        <f>IF(AB$97=1,Calculations!AB682,0)</f>
        <v>2405.308560435551</v>
      </c>
      <c r="AC109" s="35">
        <f>IF(AC$97=1,Calculations!AC682,0)</f>
        <v>2540.9926330755052</v>
      </c>
      <c r="AD109" s="35">
        <f>IF(AD$97=1,Calculations!AD682,0)</f>
        <v>2682.6529723694644</v>
      </c>
      <c r="AE109" s="35">
        <f>IF(AE$97=1,Calculations!AE682,0)</f>
        <v>2830.5260386512932</v>
      </c>
      <c r="AF109" s="35">
        <f>IF(AF$97=1,Calculations!AF682,0)</f>
        <v>2984.8571012348993</v>
      </c>
      <c r="AG109" s="35">
        <f>IF(AG$97=1,Calculations!AG682,0)</f>
        <v>3145.900554138736</v>
      </c>
      <c r="AH109" s="35">
        <f>IF(AH$97=1,Calculations!AH682,0)</f>
        <v>3313.9202428256913</v>
      </c>
    </row>
    <row r="110" spans="1:34" s="277" customFormat="1" x14ac:dyDescent="0.2">
      <c r="A110" s="324"/>
      <c r="B110" s="25" t="s">
        <v>91</v>
      </c>
      <c r="C110" s="24"/>
      <c r="D110" s="24"/>
      <c r="E110" s="35">
        <f>IF(E$97=1,Calculations!E684,0)</f>
        <v>500</v>
      </c>
      <c r="F110" s="35">
        <f>IF(F$97=1,Calculations!F684,0)</f>
        <v>547.1875</v>
      </c>
      <c r="G110" s="35">
        <f>IF(G$97=1,Calculations!G684,0)</f>
        <v>563.60312499999998</v>
      </c>
      <c r="H110" s="35">
        <f>IF(H$97=1,Calculations!H684,0)</f>
        <v>614.65893750000009</v>
      </c>
      <c r="I110" s="35">
        <f>IF(I$97=1,Calculations!I684,0)</f>
        <v>703.44300625000017</v>
      </c>
      <c r="J110" s="35">
        <f>IF(J$97=1,Calculations!J684,0)</f>
        <v>760.77361125937534</v>
      </c>
      <c r="K110" s="35">
        <f>IF(K$97=1,Calculations!K684,0)</f>
        <v>820.91095386368795</v>
      </c>
      <c r="L110" s="35">
        <f>IF(L$97=1,Calculations!L684,0)</f>
        <v>883.97184077412578</v>
      </c>
      <c r="M110" s="35">
        <f>IF(M$97=1,Calculations!M684,0)</f>
        <v>950.07756104071257</v>
      </c>
      <c r="N110" s="35">
        <f>IF(N$97=1,Calculations!N684,0)</f>
        <v>1019.354049866598</v>
      </c>
      <c r="O110" s="35">
        <f>IF(O$97=1,Calculations!O684,0)</f>
        <v>1091.9320582170997</v>
      </c>
      <c r="P110" s="35">
        <f>IF(P$97=1,Calculations!P684,0)</f>
        <v>1167.9473284237517</v>
      </c>
      <c r="Q110" s="35">
        <f>IF(Q$97=1,Calculations!Q684,0)</f>
        <v>1247.5407759904074</v>
      </c>
      <c r="R110" s="35">
        <f>IF(R$97=1,Calculations!R684,0)</f>
        <v>1330.8586778154811</v>
      </c>
      <c r="S110" s="35">
        <f>IF(S$97=1,Calculations!S684,0)</f>
        <v>1418.0528670516678</v>
      </c>
      <c r="T110" s="35">
        <f>IF(T$97=1,Calculations!T684,0)</f>
        <v>1509.280934831992</v>
      </c>
      <c r="U110" s="35">
        <f>IF(U$97=1,Calculations!U684,0)</f>
        <v>1604.7064390987891</v>
      </c>
      <c r="V110" s="35">
        <f>IF(V$97=1,Calculations!V684,0)</f>
        <v>1704.499120780245</v>
      </c>
      <c r="W110" s="35">
        <f>IF(W$97=1,Calculations!W684,0)</f>
        <v>1808.8351275673995</v>
      </c>
      <c r="X110" s="35">
        <f>IF(X$97=1,Calculations!X684,0)</f>
        <v>1917.8972455530807</v>
      </c>
      <c r="Y110" s="35">
        <f>IF(Y$97=1,Calculations!Y684,0)</f>
        <v>2031.875139003092</v>
      </c>
      <c r="Z110" s="35">
        <f>IF(Z$97=1,Calculations!Z684,0)</f>
        <v>2150.9655985391064</v>
      </c>
      <c r="AA110" s="35">
        <f>IF(AA$97=1,Calculations!AA684,0)</f>
        <v>2275.3727980221793</v>
      </c>
      <c r="AB110" s="35">
        <f>IF(AB$97=1,Calculations!AB684,0)</f>
        <v>2405.308560435551</v>
      </c>
      <c r="AC110" s="35">
        <f>IF(AC$97=1,Calculations!AC684,0)</f>
        <v>2540.9926330755052</v>
      </c>
      <c r="AD110" s="35">
        <f>IF(AD$97=1,Calculations!AD684,0)</f>
        <v>2682.6529723694644</v>
      </c>
      <c r="AE110" s="35">
        <f>IF(AE$97=1,Calculations!AE684,0)</f>
        <v>2830.5260386512932</v>
      </c>
      <c r="AF110" s="35">
        <f>IF(AF$97=1,Calculations!AF684,0)</f>
        <v>2984.8571012348993</v>
      </c>
      <c r="AG110" s="35">
        <f>IF(AG$97=1,Calculations!AG684,0)</f>
        <v>3145.900554138736</v>
      </c>
      <c r="AH110" s="35">
        <f>IF(AH$97=1,Calculations!AH684,0)</f>
        <v>3313.9202428256913</v>
      </c>
    </row>
    <row r="111" spans="1:34" s="277" customFormat="1" x14ac:dyDescent="0.2">
      <c r="A111" s="324"/>
      <c r="B111" s="25" t="s">
        <v>42</v>
      </c>
      <c r="C111" s="24"/>
      <c r="D111" s="24"/>
      <c r="E111" s="35">
        <f>IF(E$97=1,Calculations!E686,0)</f>
        <v>500</v>
      </c>
      <c r="F111" s="35">
        <f>IF(F$97=1,Calculations!F686,0)</f>
        <v>515</v>
      </c>
      <c r="G111" s="35">
        <f>IF(G$97=1,Calculations!G686,0)</f>
        <v>530.45000000000005</v>
      </c>
      <c r="H111" s="35">
        <f>IF(H$97=1,Calculations!H686,0)</f>
        <v>546.36350000000004</v>
      </c>
      <c r="I111" s="35">
        <f>IF(I$97=1,Calculations!I686,0)</f>
        <v>562.75440500000002</v>
      </c>
      <c r="J111" s="35">
        <f>IF(J$97=1,Calculations!J686,0)</f>
        <v>579.63703715000008</v>
      </c>
      <c r="K111" s="35">
        <f>IF(K$97=1,Calculations!K686,0)</f>
        <v>597.02614826449997</v>
      </c>
      <c r="L111" s="35">
        <f>IF(L$97=1,Calculations!L686,0)</f>
        <v>614.93693271243512</v>
      </c>
      <c r="M111" s="35">
        <f>IF(M$97=1,Calculations!M686,0)</f>
        <v>633.38504069380815</v>
      </c>
      <c r="N111" s="35">
        <f>IF(N$97=1,Calculations!N686,0)</f>
        <v>652.38659191462239</v>
      </c>
      <c r="O111" s="35">
        <f>IF(O$97=1,Calculations!O686,0)</f>
        <v>671.95818967206105</v>
      </c>
      <c r="P111" s="35">
        <f>IF(P$97=1,Calculations!P686,0)</f>
        <v>692.11693536222288</v>
      </c>
      <c r="Q111" s="35">
        <f>IF(Q$97=1,Calculations!Q686,0)</f>
        <v>712.88044342308967</v>
      </c>
      <c r="R111" s="35">
        <f>IF(R$97=1,Calculations!R686,0)</f>
        <v>734.2668567257823</v>
      </c>
      <c r="S111" s="35">
        <f>IF(S$97=1,Calculations!S686,0)</f>
        <v>756.29486242755581</v>
      </c>
      <c r="T111" s="35">
        <f>IF(T$97=1,Calculations!T686,0)</f>
        <v>778.98370830038255</v>
      </c>
      <c r="U111" s="35">
        <f>IF(U$97=1,Calculations!U686,0)</f>
        <v>802.35321954939388</v>
      </c>
      <c r="V111" s="35">
        <f>IF(V$97=1,Calculations!V686,0)</f>
        <v>826.42381613587577</v>
      </c>
      <c r="W111" s="35">
        <f>IF(W$97=1,Calculations!W686,0)</f>
        <v>851.2165306199521</v>
      </c>
      <c r="X111" s="35">
        <f>IF(X$97=1,Calculations!X686,0)</f>
        <v>876.75302653855067</v>
      </c>
      <c r="Y111" s="35">
        <f>IF(Y$97=1,Calculations!Y686,0)</f>
        <v>903.05561733470722</v>
      </c>
      <c r="Z111" s="35">
        <f>IF(Z$97=1,Calculations!Z686,0)</f>
        <v>930.14728585474847</v>
      </c>
      <c r="AA111" s="35">
        <f>IF(AA$97=1,Calculations!AA686,0)</f>
        <v>958.05170443039083</v>
      </c>
      <c r="AB111" s="35">
        <f>IF(AB$97=1,Calculations!AB686,0)</f>
        <v>986.79325556330275</v>
      </c>
      <c r="AC111" s="35">
        <f>IF(AC$97=1,Calculations!AC686,0)</f>
        <v>1016.3970532302019</v>
      </c>
      <c r="AD111" s="35">
        <f>IF(AD$97=1,Calculations!AD686,0)</f>
        <v>1046.8889648271079</v>
      </c>
      <c r="AE111" s="35">
        <f>IF(AE$97=1,Calculations!AE686,0)</f>
        <v>1078.2956337719211</v>
      </c>
      <c r="AF111" s="35">
        <f>IF(AF$97=1,Calculations!AF686,0)</f>
        <v>1110.6445027850787</v>
      </c>
      <c r="AG111" s="35">
        <f>IF(AG$97=1,Calculations!AG686,0)</f>
        <v>1143.9638378686313</v>
      </c>
      <c r="AH111" s="35">
        <f>IF(AH$97=1,Calculations!AH686,0)</f>
        <v>1178.2827530046902</v>
      </c>
    </row>
    <row r="112" spans="1:34" s="277" customFormat="1" x14ac:dyDescent="0.2">
      <c r="A112" s="324"/>
      <c r="B112" s="25" t="s">
        <v>73</v>
      </c>
      <c r="C112" s="24"/>
      <c r="D112" s="24"/>
      <c r="E112" s="35">
        <f>IF(E$97=1,Calculations!E688,0)</f>
        <v>500</v>
      </c>
      <c r="F112" s="35">
        <f>IF(F$97=1,Calculations!F688,0)</f>
        <v>515</v>
      </c>
      <c r="G112" s="35">
        <f>IF(G$97=1,Calculations!G688,0)</f>
        <v>530.45000000000005</v>
      </c>
      <c r="H112" s="35">
        <f>IF(H$97=1,Calculations!H688,0)</f>
        <v>546.36350000000004</v>
      </c>
      <c r="I112" s="35">
        <f>IF(I$97=1,Calculations!I688,0)</f>
        <v>562.75440500000002</v>
      </c>
      <c r="J112" s="35">
        <f>IF(J$97=1,Calculations!J688,0)</f>
        <v>579.63703715000008</v>
      </c>
      <c r="K112" s="35">
        <f>IF(K$97=1,Calculations!K688,0)</f>
        <v>597.02614826449997</v>
      </c>
      <c r="L112" s="35">
        <f>IF(L$97=1,Calculations!L688,0)</f>
        <v>614.93693271243512</v>
      </c>
      <c r="M112" s="35">
        <f>IF(M$97=1,Calculations!M688,0)</f>
        <v>633.38504069380815</v>
      </c>
      <c r="N112" s="35">
        <f>IF(N$97=1,Calculations!N688,0)</f>
        <v>652.38659191462239</v>
      </c>
      <c r="O112" s="35">
        <f>IF(O$97=1,Calculations!O688,0)</f>
        <v>671.95818967206105</v>
      </c>
      <c r="P112" s="35">
        <f>IF(P$97=1,Calculations!P688,0)</f>
        <v>692.11693536222288</v>
      </c>
      <c r="Q112" s="35">
        <f>IF(Q$97=1,Calculations!Q688,0)</f>
        <v>712.88044342308967</v>
      </c>
      <c r="R112" s="35">
        <f>IF(R$97=1,Calculations!R688,0)</f>
        <v>734.2668567257823</v>
      </c>
      <c r="S112" s="35">
        <f>IF(S$97=1,Calculations!S688,0)</f>
        <v>756.29486242755581</v>
      </c>
      <c r="T112" s="35">
        <f>IF(T$97=1,Calculations!T688,0)</f>
        <v>778.98370830038255</v>
      </c>
      <c r="U112" s="35">
        <f>IF(U$97=1,Calculations!U688,0)</f>
        <v>802.35321954939388</v>
      </c>
      <c r="V112" s="35">
        <f>IF(V$97=1,Calculations!V688,0)</f>
        <v>826.42381613587577</v>
      </c>
      <c r="W112" s="35">
        <f>IF(W$97=1,Calculations!W688,0)</f>
        <v>851.2165306199521</v>
      </c>
      <c r="X112" s="35">
        <f>IF(X$97=1,Calculations!X688,0)</f>
        <v>876.75302653855067</v>
      </c>
      <c r="Y112" s="35">
        <f>IF(Y$97=1,Calculations!Y688,0)</f>
        <v>903.05561733470722</v>
      </c>
      <c r="Z112" s="35">
        <f>IF(Z$97=1,Calculations!Z688,0)</f>
        <v>930.14728585474847</v>
      </c>
      <c r="AA112" s="35">
        <f>IF(AA$97=1,Calculations!AA688,0)</f>
        <v>958.05170443039083</v>
      </c>
      <c r="AB112" s="35">
        <f>IF(AB$97=1,Calculations!AB688,0)</f>
        <v>986.79325556330275</v>
      </c>
      <c r="AC112" s="35">
        <f>IF(AC$97=1,Calculations!AC688,0)</f>
        <v>1016.3970532302019</v>
      </c>
      <c r="AD112" s="35">
        <f>IF(AD$97=1,Calculations!AD688,0)</f>
        <v>1046.8889648271079</v>
      </c>
      <c r="AE112" s="35">
        <f>IF(AE$97=1,Calculations!AE688,0)</f>
        <v>1078.2956337719211</v>
      </c>
      <c r="AF112" s="35">
        <f>IF(AF$97=1,Calculations!AF688,0)</f>
        <v>1110.6445027850787</v>
      </c>
      <c r="AG112" s="35">
        <f>IF(AG$97=1,Calculations!AG688,0)</f>
        <v>1143.9638378686313</v>
      </c>
      <c r="AH112" s="35">
        <f>IF(AH$97=1,Calculations!AH688,0)</f>
        <v>1178.2827530046902</v>
      </c>
    </row>
    <row r="113" spans="1:34" s="277" customFormat="1" x14ac:dyDescent="0.2">
      <c r="A113" s="324"/>
      <c r="B113" s="23" t="s">
        <v>92</v>
      </c>
      <c r="C113" s="24"/>
      <c r="D113" s="24"/>
      <c r="E113" s="36">
        <f>SUM(E106:E112)</f>
        <v>11375</v>
      </c>
      <c r="F113" s="36">
        <f t="shared" ref="F113:AH113" si="18">SUM(F106:F112)</f>
        <v>12295.625</v>
      </c>
      <c r="G113" s="36">
        <f t="shared" si="18"/>
        <v>12664.49375</v>
      </c>
      <c r="H113" s="36">
        <f t="shared" si="18"/>
        <v>13659.0875</v>
      </c>
      <c r="I113" s="36">
        <f t="shared" si="18"/>
        <v>15335.057536249999</v>
      </c>
      <c r="J113" s="36">
        <f t="shared" si="18"/>
        <v>16447.200929131253</v>
      </c>
      <c r="K113" s="36">
        <f t="shared" si="18"/>
        <v>17612.271373802752</v>
      </c>
      <c r="L113" s="36">
        <f t="shared" si="18"/>
        <v>18832.443564318331</v>
      </c>
      <c r="M113" s="36">
        <f t="shared" si="18"/>
        <v>20109.975042028404</v>
      </c>
      <c r="N113" s="36">
        <f t="shared" si="18"/>
        <v>21447.20920919321</v>
      </c>
      <c r="O113" s="36">
        <f t="shared" si="18"/>
        <v>22846.578448850079</v>
      </c>
      <c r="P113" s="36">
        <f t="shared" si="18"/>
        <v>24310.607354598083</v>
      </c>
      <c r="Q113" s="36">
        <f t="shared" si="18"/>
        <v>25841.916074087007</v>
      </c>
      <c r="R113" s="36">
        <f t="shared" si="18"/>
        <v>27443.223770126122</v>
      </c>
      <c r="S113" s="36">
        <f t="shared" si="18"/>
        <v>29117.352203460909</v>
      </c>
      <c r="T113" s="36">
        <f t="shared" si="18"/>
        <v>30867.229441402669</v>
      </c>
      <c r="U113" s="36">
        <f t="shared" si="18"/>
        <v>32695.893696637817</v>
      </c>
      <c r="V113" s="36">
        <f t="shared" si="18"/>
        <v>34606.497300689807</v>
      </c>
      <c r="W113" s="36">
        <f t="shared" si="18"/>
        <v>36602.310816657948</v>
      </c>
      <c r="X113" s="36">
        <f t="shared" si="18"/>
        <v>38686.72729601356</v>
      </c>
      <c r="Y113" s="36">
        <f t="shared" si="18"/>
        <v>40863.266684395523</v>
      </c>
      <c r="Z113" s="36">
        <f t="shared" si="18"/>
        <v>43135.580381513981</v>
      </c>
      <c r="AA113" s="36">
        <f t="shared" si="18"/>
        <v>45507.4559604436</v>
      </c>
      <c r="AB113" s="36">
        <f t="shared" si="18"/>
        <v>47982.822051765608</v>
      </c>
      <c r="AC113" s="36">
        <f t="shared" si="18"/>
        <v>50565.753398202563</v>
      </c>
      <c r="AD113" s="36">
        <f t="shared" si="18"/>
        <v>53260.476085579117</v>
      </c>
      <c r="AE113" s="36">
        <f t="shared" si="18"/>
        <v>56071.372956139938</v>
      </c>
      <c r="AF113" s="36">
        <f t="shared" si="18"/>
        <v>59002.98921045733</v>
      </c>
      <c r="AG113" s="36">
        <f t="shared" si="18"/>
        <v>62060.038204373261</v>
      </c>
      <c r="AH113" s="36">
        <f t="shared" si="18"/>
        <v>65247.407447634738</v>
      </c>
    </row>
    <row r="114" spans="1:34" s="277" customFormat="1" x14ac:dyDescent="0.2">
      <c r="A114" s="324"/>
      <c r="B114" s="23"/>
      <c r="C114" s="24"/>
      <c r="D114" s="24"/>
      <c r="E114" s="39"/>
      <c r="F114" s="39"/>
      <c r="G114" s="39"/>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c r="AG114" s="39"/>
      <c r="AH114" s="39"/>
    </row>
    <row r="115" spans="1:34" s="20" customFormat="1" x14ac:dyDescent="0.2">
      <c r="A115" s="324"/>
      <c r="B115" s="19" t="s">
        <v>593</v>
      </c>
      <c r="E115" s="37"/>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row>
    <row r="116" spans="1:34" s="277" customFormat="1" x14ac:dyDescent="0.2">
      <c r="A116" s="324"/>
      <c r="B116" s="505" t="s">
        <v>594</v>
      </c>
      <c r="E116" s="506">
        <f>IF(E$97=1,SUM(Calculations!E664:E664)+SUM(Calculations!E665:E665)+SUM(Calculations!E667:E667)-SUM(Calculations!E693:E693)-SUM(Calculations!E694:E694)-SUM(Calculations!E696:E696),0)</f>
        <v>-100</v>
      </c>
      <c r="F116" s="506">
        <f>IF(F$97=1,SUM(Calculations!F664:F664)+SUM(Calculations!F665:F665)+SUM(Calculations!F667:F667)-SUM(Calculations!F693:F693)-SUM(Calculations!F694:F694)-SUM(Calculations!F696:F696),0)</f>
        <v>-106</v>
      </c>
      <c r="G116" s="506">
        <f>IF(G$97=1,SUM(Calculations!G664:G664)+SUM(Calculations!G665:G665)+SUM(Calculations!G667:G667)-SUM(Calculations!G693:G693)-SUM(Calculations!G694:G694)-SUM(Calculations!G696:G696),0)</f>
        <v>-112.17999999999998</v>
      </c>
      <c r="H116" s="506">
        <f>IF(H$97=1,SUM(Calculations!H664:H664)+SUM(Calculations!H665:H665)+SUM(Calculations!H667:H667)-SUM(Calculations!H693:H693)-SUM(Calculations!H694:H694)-SUM(Calculations!H696:H696),0)</f>
        <v>-118.54540000000001</v>
      </c>
      <c r="I116" s="506">
        <f>IF(I$97=1,SUM(Calculations!I664:I664)+SUM(Calculations!I665:I665)+SUM(Calculations!I667:I667)-SUM(Calculations!I693:I693)-SUM(Calculations!I694:I694)-SUM(Calculations!I696:I696),0)</f>
        <v>-125.10176200000001</v>
      </c>
      <c r="J116" s="506">
        <f>IF(J$97=1,SUM(Calculations!J664:J664)+SUM(Calculations!J665:J665)+SUM(Calculations!J667:J667)-SUM(Calculations!J693:J693)-SUM(Calculations!J694:J694)-SUM(Calculations!J696:J696),0)</f>
        <v>-131.85481485999995</v>
      </c>
      <c r="K116" s="506">
        <f>IF(K$97=1,SUM(Calculations!K664:K664)+SUM(Calculations!K665:K665)+SUM(Calculations!K667:K667)-SUM(Calculations!K693:K693)-SUM(Calculations!K694:K694)-SUM(Calculations!K696:K696),0)</f>
        <v>-138.81045930579998</v>
      </c>
      <c r="L116" s="506">
        <f>IF(L$97=1,SUM(Calculations!L664:L664)+SUM(Calculations!L665:L665)+SUM(Calculations!L667:L667)-SUM(Calculations!L693:L693)-SUM(Calculations!L694:L694)-SUM(Calculations!L696:L696),0)</f>
        <v>-145.97477308497403</v>
      </c>
      <c r="M116" s="506">
        <f>IF(M$97=1,SUM(Calculations!M664:M664)+SUM(Calculations!M665:M665)+SUM(Calculations!M667:M667)-SUM(Calculations!M693:M693)-SUM(Calculations!M694:M694)-SUM(Calculations!M696:M696),0)</f>
        <v>-153.35401627752324</v>
      </c>
      <c r="N116" s="506">
        <f>IF(N$97=1,SUM(Calculations!N664:N664)+SUM(Calculations!N665:N665)+SUM(Calculations!N667:N667)-SUM(Calculations!N693:N693)-SUM(Calculations!N694:N694)-SUM(Calculations!N696:N696),0)</f>
        <v>-160.95463676584893</v>
      </c>
      <c r="O116" s="506">
        <f>IF(O$97=1,SUM(Calculations!O664:O664)+SUM(Calculations!O665:O665)+SUM(Calculations!O667:O667)-SUM(Calculations!O693:O693)-SUM(Calculations!O694:O694)-SUM(Calculations!O696:O696),0)</f>
        <v>-168.78327586882446</v>
      </c>
      <c r="P116" s="506">
        <f>IF(P$97=1,SUM(Calculations!P664:P664)+SUM(Calculations!P665:P665)+SUM(Calculations!P667:P667)-SUM(Calculations!P693:P693)-SUM(Calculations!P694:P694)-SUM(Calculations!P696:P696),0)</f>
        <v>-176.84677414488911</v>
      </c>
      <c r="Q116" s="506">
        <f>IF(Q$97=1,SUM(Calculations!Q664:Q664)+SUM(Calculations!Q665:Q665)+SUM(Calculations!Q667:Q667)-SUM(Calculations!Q693:Q693)-SUM(Calculations!Q694:Q694)-SUM(Calculations!Q696:Q696),0)</f>
        <v>-185.1521773692358</v>
      </c>
      <c r="R116" s="506">
        <f>IF(R$97=1,SUM(Calculations!R664:R664)+SUM(Calculations!R665:R665)+SUM(Calculations!R667:R667)-SUM(Calculations!R693:R693)-SUM(Calculations!R694:R694)-SUM(Calculations!R696:R696),0)</f>
        <v>-193.70674269031292</v>
      </c>
      <c r="S116" s="506">
        <f>IF(S$97=1,SUM(Calculations!S664:S664)+SUM(Calculations!S665:S665)+SUM(Calculations!S667:S667)-SUM(Calculations!S693:S693)-SUM(Calculations!S694:S694)-SUM(Calculations!S696:S696),0)</f>
        <v>-202.5179449710223</v>
      </c>
      <c r="T116" s="506">
        <f>IF(T$97=1,SUM(Calculations!T664:T664)+SUM(Calculations!T665:T665)+SUM(Calculations!T667:T667)-SUM(Calculations!T693:T693)-SUM(Calculations!T694:T694)-SUM(Calculations!T696:T696),0)</f>
        <v>-211.59348332015293</v>
      </c>
      <c r="U116" s="506">
        <f>IF(U$97=1,SUM(Calculations!U664:U664)+SUM(Calculations!U665:U665)+SUM(Calculations!U667:U667)-SUM(Calculations!U693:U693)-SUM(Calculations!U694:U694)-SUM(Calculations!U696:U696),0)</f>
        <v>-220.94128781975752</v>
      </c>
      <c r="V116" s="506">
        <f>IF(V$97=1,SUM(Calculations!V664:V664)+SUM(Calculations!V665:V665)+SUM(Calculations!V667:V667)-SUM(Calculations!V693:V693)-SUM(Calculations!V694:V694)-SUM(Calculations!V696:V696),0)</f>
        <v>-230.56952645435024</v>
      </c>
      <c r="W116" s="506">
        <f>IF(W$97=1,SUM(Calculations!W664:W664)+SUM(Calculations!W665:W665)+SUM(Calculations!W667:W667)-SUM(Calculations!W693:W693)-SUM(Calculations!W694:W694)-SUM(Calculations!W696:W696),0)</f>
        <v>-240.48661224798076</v>
      </c>
      <c r="X116" s="506">
        <f>IF(X$97=1,SUM(Calculations!X664:X664)+SUM(Calculations!X665:X665)+SUM(Calculations!X667:X667)-SUM(Calculations!X693:X693)-SUM(Calculations!X694:X694)-SUM(Calculations!X696:X696),0)</f>
        <v>-250.70121061542022</v>
      </c>
      <c r="Y116" s="506">
        <f>IF(Y$97=1,SUM(Calculations!Y664:Y664)+SUM(Calculations!Y665:Y665)+SUM(Calculations!Y667:Y667)-SUM(Calculations!Y693:Y693)-SUM(Calculations!Y694:Y694)-SUM(Calculations!Y696:Y696),0)</f>
        <v>-261.22224693388284</v>
      </c>
      <c r="Z116" s="506">
        <f>IF(Z$97=1,SUM(Calculations!Z664:Z664)+SUM(Calculations!Z665:Z665)+SUM(Calculations!Z667:Z667)-SUM(Calculations!Z693:Z693)-SUM(Calculations!Z694:Z694)-SUM(Calculations!Z696:Z696),0)</f>
        <v>-272.05891434189931</v>
      </c>
      <c r="AA116" s="506">
        <f>IF(AA$97=1,SUM(Calculations!AA664:AA664)+SUM(Calculations!AA665:AA665)+SUM(Calculations!AA667:AA667)-SUM(Calculations!AA693:AA693)-SUM(Calculations!AA694:AA694)-SUM(Calculations!AA696:AA696),0)</f>
        <v>-283.22068177215635</v>
      </c>
      <c r="AB116" s="506">
        <f>IF(AB$97=1,SUM(Calculations!AB664:AB664)+SUM(Calculations!AB665:AB665)+SUM(Calculations!AB667:AB667)-SUM(Calculations!AB693:AB693)-SUM(Calculations!AB694:AB694)-SUM(Calculations!AB696:AB696),0)</f>
        <v>-294.71730222532102</v>
      </c>
      <c r="AC116" s="506">
        <f>IF(AC$97=1,SUM(Calculations!AC664:AC664)+SUM(Calculations!AC665:AC665)+SUM(Calculations!AC667:AC667)-SUM(Calculations!AC693:AC693)-SUM(Calculations!AC694:AC694)-SUM(Calculations!AC696:AC696),0)</f>
        <v>-306.55882129208067</v>
      </c>
      <c r="AD116" s="506">
        <f>IF(AD$97=1,SUM(Calculations!AD664:AD664)+SUM(Calculations!AD665:AD665)+SUM(Calculations!AD667:AD667)-SUM(Calculations!AD693:AD693)-SUM(Calculations!AD694:AD694)-SUM(Calculations!AD696:AD696),0)</f>
        <v>-318.75558593084304</v>
      </c>
      <c r="AE116" s="506">
        <f>IF(AE$97=1,SUM(Calculations!AE664:AE664)+SUM(Calculations!AE665:AE665)+SUM(Calculations!AE667:AE667)-SUM(Calculations!AE693:AE693)-SUM(Calculations!AE694:AE694)-SUM(Calculations!AE696:AE696),0)</f>
        <v>-331.31825350876829</v>
      </c>
      <c r="AF116" s="506">
        <f>IF(AF$97=1,SUM(Calculations!AF664:AF664)+SUM(Calculations!AF665:AF665)+SUM(Calculations!AF667:AF667)-SUM(Calculations!AF693:AF693)-SUM(Calculations!AF694:AF694)-SUM(Calculations!AF696:AF696),0)</f>
        <v>-344.25780111403139</v>
      </c>
      <c r="AG116" s="506">
        <f>IF(AG$97=1,SUM(Calculations!AG664:AG664)+SUM(Calculations!AG665:AG665)+SUM(Calculations!AG667:AG667)-SUM(Calculations!AG693:AG693)-SUM(Calculations!AG694:AG694)-SUM(Calculations!AG696:AG696),0)</f>
        <v>-357.58553514745233</v>
      </c>
      <c r="AH116" s="506">
        <f>IF(AH$97=1,SUM(Calculations!AH664:AH664)+SUM(Calculations!AH665:AH665)+SUM(Calculations!AH667:AH667)-SUM(Calculations!AH693:AH693)-SUM(Calculations!AH694:AH694)-SUM(Calculations!AH696:AH696),0)</f>
        <v>-371.31310120187601</v>
      </c>
    </row>
    <row r="117" spans="1:34" s="277" customFormat="1" x14ac:dyDescent="0.2">
      <c r="A117" s="324"/>
      <c r="B117" s="23"/>
      <c r="C117" s="24"/>
      <c r="D117" s="24"/>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c r="AG117" s="39"/>
      <c r="AH117" s="39"/>
    </row>
    <row r="118" spans="1:34" s="277" customFormat="1" x14ac:dyDescent="0.2">
      <c r="A118" s="324"/>
      <c r="B118" s="27" t="s">
        <v>93</v>
      </c>
      <c r="C118" s="24"/>
      <c r="D118" s="24"/>
      <c r="E118" s="36">
        <f>IF(E$97=1,E103-E113+E116,0)</f>
        <v>13037</v>
      </c>
      <c r="F118" s="36">
        <f t="shared" ref="F118:AH118" si="19">IF(F$97=1,F103-F113+F116,0)</f>
        <v>14375.299713958808</v>
      </c>
      <c r="G118" s="36">
        <f t="shared" si="19"/>
        <v>14789.59113385785</v>
      </c>
      <c r="H118" s="36">
        <f t="shared" si="19"/>
        <v>16239.985180946354</v>
      </c>
      <c r="I118" s="36">
        <f t="shared" si="19"/>
        <v>18819.78972613993</v>
      </c>
      <c r="J118" s="36">
        <f t="shared" si="19"/>
        <v>20453.480054037958</v>
      </c>
      <c r="K118" s="36">
        <f t="shared" si="19"/>
        <v>22168.786895555037</v>
      </c>
      <c r="L118" s="36">
        <f t="shared" si="19"/>
        <v>23969.136883599906</v>
      </c>
      <c r="M118" s="36">
        <f t="shared" si="19"/>
        <v>25858.088794193631</v>
      </c>
      <c r="N118" s="36">
        <f t="shared" si="19"/>
        <v>27839.348052922334</v>
      </c>
      <c r="O118" s="36">
        <f t="shared" si="19"/>
        <v>29916.723442123919</v>
      </c>
      <c r="P118" s="36">
        <f t="shared" si="19"/>
        <v>32094.238575139625</v>
      </c>
      <c r="Q118" s="36">
        <f t="shared" si="19"/>
        <v>34376.01167034723</v>
      </c>
      <c r="R118" s="36">
        <f t="shared" si="19"/>
        <v>36766.338413940968</v>
      </c>
      <c r="S118" s="36">
        <f t="shared" si="19"/>
        <v>39269.678401120698</v>
      </c>
      <c r="T118" s="36">
        <f t="shared" si="19"/>
        <v>41890.661104514664</v>
      </c>
      <c r="U118" s="36">
        <f t="shared" si="19"/>
        <v>44634.092053189728</v>
      </c>
      <c r="V118" s="36">
        <f t="shared" si="19"/>
        <v>47504.959229512016</v>
      </c>
      <c r="W118" s="36">
        <f t="shared" si="19"/>
        <v>50508.439691368949</v>
      </c>
      <c r="X118" s="36">
        <f t="shared" si="19"/>
        <v>53649.771161815828</v>
      </c>
      <c r="Y118" s="36">
        <f t="shared" si="19"/>
        <v>56934.088432137498</v>
      </c>
      <c r="Z118" s="36">
        <f t="shared" si="19"/>
        <v>60368.46502286326</v>
      </c>
      <c r="AA118" s="36">
        <f t="shared" si="19"/>
        <v>63958.193899852231</v>
      </c>
      <c r="AB118" s="36">
        <f t="shared" si="19"/>
        <v>67709.50524202775</v>
      </c>
      <c r="AC118" s="36">
        <f t="shared" si="19"/>
        <v>71628.759512438235</v>
      </c>
      <c r="AD118" s="36">
        <f t="shared" si="19"/>
        <v>75722.865562091683</v>
      </c>
      <c r="AE118" s="36">
        <f t="shared" si="19"/>
        <v>79998.682276181818</v>
      </c>
      <c r="AF118" s="36">
        <f t="shared" si="19"/>
        <v>84463.427588743536</v>
      </c>
      <c r="AG118" s="36">
        <f t="shared" si="19"/>
        <v>89124.5889718088</v>
      </c>
      <c r="AH118" s="36">
        <f t="shared" si="19"/>
        <v>93989.9331112988</v>
      </c>
    </row>
    <row r="119" spans="1:34" s="277" customFormat="1" x14ac:dyDescent="0.2">
      <c r="A119" s="324"/>
      <c r="B119" s="23"/>
      <c r="C119" s="24"/>
      <c r="D119" s="24"/>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c r="AG119" s="39"/>
      <c r="AH119" s="39"/>
    </row>
    <row r="120" spans="1:34" s="277" customFormat="1" x14ac:dyDescent="0.2">
      <c r="A120" s="324"/>
      <c r="B120" s="25" t="s">
        <v>94</v>
      </c>
      <c r="C120" s="24"/>
      <c r="D120" s="24"/>
      <c r="E120" s="35">
        <f>IF(Calculations!E17=1,IF(E4=1,'Assumptions - Passenger'!$E$56,IF(E$97=1,Calculations!E517+Calculations!E524+Calculations!E533+Calculations!E540+Calculations!E549+Calculations!E556+Calculations!E565+Calculations!E572+Calculations!E581+Calculations!E588+Calculations!E597+Calculations!E604, " ")),0)</f>
        <v>45</v>
      </c>
      <c r="F120" s="35">
        <f>IF(Calculations!F17=1,IF(F4=1,'Assumptions - Passenger'!$E$56,IF(F$97=1,Calculations!F517+Calculations!F524+Calculations!F533+Calculations!F540+Calculations!F549+Calculations!F556+Calculations!F565+Calculations!F572+Calculations!F581+Calculations!F588+Calculations!F597+Calculations!F604, " ")),0)</f>
        <v>36.556064073226551</v>
      </c>
      <c r="G120" s="35">
        <f>IF(Calculations!G17=1,IF(G4=1,'Assumptions - Passenger'!$E$56,IF(G$97=1,Calculations!G517+Calculations!G524+Calculations!G533+Calculations!G540+Calculations!G549+Calculations!G556+Calculations!G565+Calculations!G572+Calculations!G581+Calculations!G588+Calculations!G597+Calculations!G604, " ")),0)</f>
        <v>49.190976210008202</v>
      </c>
      <c r="H120" s="35">
        <f>IF(Calculations!H17=1,IF(H4=1,'Assumptions - Passenger'!$E$56,IF(H$97=1,Calculations!H517+Calculations!H524+Calculations!H533+Calculations!H540+Calculations!H549+Calculations!H556+Calculations!H565+Calculations!H572+Calculations!H581+Calculations!H588+Calculations!H597+Calculations!H604, " ")),0)</f>
        <v>55.050766374508868</v>
      </c>
      <c r="I120" s="35">
        <f>IF(Calculations!I17=1,IF(I4=1,'Assumptions - Passenger'!$E$56,IF(I$97=1,Calculations!I517+Calculations!I524+Calculations!I533+Calculations!I540+Calculations!I549+Calculations!I556+Calculations!I565+Calculations!I572+Calculations!I581+Calculations!I588+Calculations!I597+Calculations!I604, " ")),0)</f>
        <v>60.910556539009548</v>
      </c>
      <c r="J120" s="35">
        <f>IF(Calculations!J17=1,IF(J4=1,'Assumptions - Passenger'!$E$56,IF(J$97=1,Calculations!J517+Calculations!J524+Calculations!J533+Calculations!J540+Calculations!J549+Calculations!J556+Calculations!J565+Calculations!J572+Calculations!J581+Calculations!J588+Calculations!J597+Calculations!J604, " ")),0)</f>
        <v>66.770346703510214</v>
      </c>
      <c r="K120" s="35">
        <f>IF(Calculations!K17=1,IF(K4=1,'Assumptions - Passenger'!$E$56,IF(K$97=1,Calculations!K517+Calculations!K524+Calculations!K533+Calculations!K540+Calculations!K549+Calculations!K556+Calculations!K565+Calculations!K572+Calculations!K581+Calculations!K588+Calculations!K597+Calculations!K604, " ")),0)</f>
        <v>72.630136868010865</v>
      </c>
      <c r="L120" s="35">
        <f>IF(Calculations!L17=1,IF(L4=1,'Assumptions - Passenger'!$E$56,IF(L$97=1,Calculations!L517+Calculations!L524+Calculations!L533+Calculations!L540+Calculations!L549+Calculations!L556+Calculations!L565+Calculations!L572+Calculations!L581+Calculations!L588+Calculations!L597+Calculations!L604, " ")),0)</f>
        <v>78.489927032511545</v>
      </c>
      <c r="M120" s="35">
        <f>IF(Calculations!M17=1,IF(M4=1,'Assumptions - Passenger'!$E$56,IF(M$97=1,Calculations!M517+Calculations!M524+Calculations!M533+Calculations!M540+Calculations!M549+Calculations!M556+Calculations!M565+Calculations!M572+Calculations!M581+Calculations!M588+Calculations!M597+Calculations!M604, " ")),0)</f>
        <v>84.349717197012225</v>
      </c>
      <c r="N120" s="35">
        <f>IF(Calculations!N17=1,IF(N4=1,'Assumptions - Passenger'!$E$56,IF(N$97=1,Calculations!N517+Calculations!N524+Calculations!N533+Calculations!N540+Calculations!N549+Calculations!N556+Calculations!N565+Calculations!N572+Calculations!N581+Calculations!N588+Calculations!N597+Calculations!N604, " ")),0)</f>
        <v>90.426898665860719</v>
      </c>
      <c r="O120" s="35">
        <f>IF(Calculations!O17=1,IF(O4=1,'Assumptions - Passenger'!$E$56,IF(O$97=1,Calculations!O517+Calculations!O524+Calculations!O533+Calculations!O540+Calculations!O549+Calculations!O556+Calculations!O565+Calculations!O572+Calculations!O581+Calculations!O588+Calculations!O597+Calculations!O604, " ")),0)</f>
        <v>96.069297526013571</v>
      </c>
      <c r="P120" s="35">
        <f>IF(Calculations!P17=1,IF(P4=1,'Assumptions - Passenger'!$E$56,IF(P$97=1,Calculations!P517+Calculations!P524+Calculations!P533+Calculations!P540+Calculations!P549+Calculations!P556+Calculations!P565+Calculations!P572+Calculations!P581+Calculations!P588+Calculations!P597+Calculations!P604, " ")),0)</f>
        <v>102.14647899486205</v>
      </c>
      <c r="Q120" s="35">
        <f>IF(Calculations!Q17=1,IF(Q4=1,'Assumptions - Passenger'!$E$56,IF(Q$97=1,Calculations!Q517+Calculations!Q524+Calculations!Q533+Calculations!Q540+Calculations!Q549+Calculations!Q556+Calculations!Q565+Calculations!Q572+Calculations!Q581+Calculations!Q588+Calculations!Q597+Calculations!Q604, " ")),0)</f>
        <v>108.22366046371056</v>
      </c>
      <c r="R120" s="35">
        <f>IF(Calculations!R17=1,IF(R4=1,'Assumptions - Passenger'!$E$56,IF(R$97=1,Calculations!R517+Calculations!R524+Calculations!R533+Calculations!R540+Calculations!R549+Calculations!R556+Calculations!R565+Calculations!R572+Calculations!R581+Calculations!R588+Calculations!R597+Calculations!R604, " ")),0)</f>
        <v>114.30084193255905</v>
      </c>
      <c r="S120" s="35">
        <f>IF(Calculations!S17=1,IF(S4=1,'Assumptions - Passenger'!$E$56,IF(S$97=1,Calculations!S517+Calculations!S524+Calculations!S533+Calculations!S540+Calculations!S549+Calculations!S556+Calculations!S565+Calculations!S572+Calculations!S581+Calculations!S588+Calculations!S597+Calculations!S604, " ")),0)</f>
        <v>120.37802340140753</v>
      </c>
      <c r="T120" s="35">
        <f>IF(Calculations!T17=1,IF(T4=1,'Assumptions - Passenger'!$E$56,IF(T$97=1,Calculations!T517+Calculations!T524+Calculations!T533+Calculations!T540+Calculations!T549+Calculations!T556+Calculations!T565+Calculations!T572+Calculations!T581+Calculations!T588+Calculations!T597+Calculations!T604, " ")),0)</f>
        <v>126.45520487025603</v>
      </c>
      <c r="U120" s="35">
        <f>IF(Calculations!U17=1,IF(U4=1,'Assumptions - Passenger'!$E$56,IF(U$97=1,Calculations!U517+Calculations!U524+Calculations!U533+Calculations!U540+Calculations!U549+Calculations!U556+Calculations!U565+Calculations!U572+Calculations!U581+Calculations!U588+Calculations!U597+Calculations!U604, " ")),0)</f>
        <v>132.53238633910453</v>
      </c>
      <c r="V120" s="35">
        <f>IF(Calculations!V17=1,IF(V4=1,'Assumptions - Passenger'!$E$56,IF(V$97=1,Calculations!V517+Calculations!V524+Calculations!V533+Calculations!V540+Calculations!V549+Calculations!V556+Calculations!V565+Calculations!V572+Calculations!V581+Calculations!V588+Calculations!V597+Calculations!V604, " ")),0)</f>
        <v>138.609567807953</v>
      </c>
      <c r="W120" s="35">
        <f>IF(Calculations!W17=1,IF(W4=1,'Assumptions - Passenger'!$E$56,IF(W$97=1,Calculations!W517+Calculations!W524+Calculations!W533+Calculations!W540+Calculations!W549+Calculations!W556+Calculations!W565+Calculations!W572+Calculations!W581+Calculations!W588+Calculations!W597+Calculations!W604, " ")),0)</f>
        <v>144.68674927680155</v>
      </c>
      <c r="X120" s="35">
        <f>IF(Calculations!X17=1,IF(X4=1,'Assumptions - Passenger'!$E$56,IF(X$97=1,Calculations!X517+Calculations!X524+Calculations!X533+Calculations!X540+Calculations!X549+Calculations!X556+Calculations!X565+Calculations!X572+Calculations!X581+Calculations!X588+Calculations!X597+Calculations!X604, " ")),0)</f>
        <v>147.72045248478037</v>
      </c>
      <c r="Y120" s="35">
        <f>IF(Calculations!Y17=1,IF(Y4=1,'Assumptions - Passenger'!$E$56,IF(Y$97=1,Calculations!Y517+Calculations!Y524+Calculations!Y533+Calculations!Y540+Calculations!Y549+Calculations!Y556+Calculations!Y565+Calculations!Y572+Calculations!Y581+Calculations!Y588+Calculations!Y597+Calculations!Y604, " ")),0)</f>
        <v>137.9309831181728</v>
      </c>
      <c r="Z120" s="35">
        <f>IF(Calculations!Z17=1,IF(Z4=1,'Assumptions - Passenger'!$E$56,IF(Z$97=1,Calculations!Z517+Calculations!Z524+Calculations!Z533+Calculations!Z540+Calculations!Z549+Calculations!Z556+Calculations!Z565+Calculations!Z572+Calculations!Z581+Calculations!Z588+Calculations!Z597+Calculations!Z604, " ")),0)</f>
        <v>144.23991192090151</v>
      </c>
      <c r="AA120" s="35">
        <f>IF(Calculations!AA17=1,IF(AA4=1,'Assumptions - Passenger'!$E$56,IF(AA$97=1,Calculations!AA517+Calculations!AA524+Calculations!AA533+Calculations!AA540+Calculations!AA549+Calculations!AA556+Calculations!AA565+Calculations!AA572+Calculations!AA581+Calculations!AA588+Calculations!AA597+Calculations!AA604, " ")),0)</f>
        <v>150.54884072363024</v>
      </c>
      <c r="AB120" s="35">
        <f>IF(Calculations!AB17=1,IF(AB4=1,'Assumptions - Passenger'!$E$56,IF(AB$97=1,Calculations!AB517+Calculations!AB524+Calculations!AB533+Calculations!AB540+Calculations!AB549+Calculations!AB556+Calculations!AB565+Calculations!AB572+Calculations!AB581+Calculations!AB588+Calculations!AB597+Calculations!AB604, " ")),0)</f>
        <v>156.85776952635896</v>
      </c>
      <c r="AC120" s="35">
        <f>IF(Calculations!AC17=1,IF(AC4=1,'Assumptions - Passenger'!$E$56,IF(AC$97=1,Calculations!AC517+Calculations!AC524+Calculations!AC533+Calculations!AC540+Calculations!AC549+Calculations!AC556+Calculations!AC565+Calculations!AC572+Calculations!AC581+Calculations!AC588+Calculations!AC597+Calculations!AC604, " ")),0)</f>
        <v>160.93678143158075</v>
      </c>
      <c r="AD120" s="35">
        <f>IF(Calculations!AD17=1,IF(AD4=1,'Assumptions - Passenger'!$E$56,IF(AD$97=1,Calculations!AD517+Calculations!AD524+Calculations!AD533+Calculations!AD540+Calculations!AD549+Calculations!AD556+Calculations!AD565+Calculations!AD572+Calculations!AD581+Calculations!AD588+Calculations!AD597+Calculations!AD604, " ")),0)</f>
        <v>167.24571023430948</v>
      </c>
      <c r="AE120" s="35">
        <f>IF(Calculations!AE17=1,IF(AE4=1,'Assumptions - Passenger'!$E$56,IF(AE$97=1,Calculations!AE517+Calculations!AE524+Calculations!AE533+Calculations!AE540+Calculations!AE549+Calculations!AE556+Calculations!AE565+Calculations!AE572+Calculations!AE581+Calculations!AE588+Calculations!AE597+Calculations!AE604, " ")),0)</f>
        <v>173.55463903703821</v>
      </c>
      <c r="AF120" s="35">
        <f>IF(Calculations!AF17=1,IF(AF4=1,'Assumptions - Passenger'!$E$56,IF(AF$97=1,Calculations!AF517+Calculations!AF524+Calculations!AF533+Calculations!AF540+Calculations!AF549+Calculations!AF556+Calculations!AF565+Calculations!AF572+Calculations!AF581+Calculations!AF588+Calculations!AF597+Calculations!AF604, " ")),0)</f>
        <v>179.86356783976694</v>
      </c>
      <c r="AG120" s="35">
        <f>IF(Calculations!AG17=1,IF(AG4=1,'Assumptions - Passenger'!$E$56,IF(AG$97=1,Calculations!AG517+Calculations!AG524+Calculations!AG533+Calculations!AG540+Calculations!AG549+Calculations!AG556+Calculations!AG565+Calculations!AG572+Calculations!AG581+Calculations!AG588+Calculations!AG597+Calculations!AG604, " ")),0)</f>
        <v>186.17249664249564</v>
      </c>
      <c r="AH120" s="35">
        <f>IF(Calculations!AH17=1,IF(AH4=1,'Assumptions - Passenger'!$E$56,IF(AH$97=1,Calculations!AH517+Calculations!AH524+Calculations!AH533+Calculations!AH540+Calculations!AH549+Calculations!AH556+Calculations!AH565+Calculations!AH572+Calculations!AH581+Calculations!AH588+Calculations!AH597+Calculations!AH604, " ")),0)</f>
        <v>192.48142544522437</v>
      </c>
    </row>
    <row r="121" spans="1:34" s="277" customFormat="1" x14ac:dyDescent="0.2">
      <c r="A121" s="324"/>
      <c r="B121" s="25"/>
      <c r="C121" s="24"/>
      <c r="D121" s="24"/>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row>
    <row r="122" spans="1:34" s="277" customFormat="1" x14ac:dyDescent="0.2">
      <c r="A122" s="324"/>
      <c r="B122" s="27" t="s">
        <v>95</v>
      </c>
      <c r="C122" s="24"/>
      <c r="D122" s="24"/>
      <c r="E122" s="36">
        <f t="shared" ref="E122:AH122" si="20">IF(E97=1,E118-E120,0)</f>
        <v>12992</v>
      </c>
      <c r="F122" s="36">
        <f t="shared" si="20"/>
        <v>14338.74364988558</v>
      </c>
      <c r="G122" s="36">
        <f t="shared" si="20"/>
        <v>14740.400157647842</v>
      </c>
      <c r="H122" s="36">
        <f t="shared" si="20"/>
        <v>16184.934414571846</v>
      </c>
      <c r="I122" s="36">
        <f t="shared" si="20"/>
        <v>18758.879169600921</v>
      </c>
      <c r="J122" s="36">
        <f t="shared" si="20"/>
        <v>20386.709707334448</v>
      </c>
      <c r="K122" s="36">
        <f t="shared" si="20"/>
        <v>22096.156758687026</v>
      </c>
      <c r="L122" s="36">
        <f t="shared" si="20"/>
        <v>23890.646956567394</v>
      </c>
      <c r="M122" s="36">
        <f t="shared" si="20"/>
        <v>25773.739076996619</v>
      </c>
      <c r="N122" s="36">
        <f t="shared" si="20"/>
        <v>27748.921154256474</v>
      </c>
      <c r="O122" s="36">
        <f t="shared" si="20"/>
        <v>29820.654144597906</v>
      </c>
      <c r="P122" s="36">
        <f t="shared" si="20"/>
        <v>31992.092096144763</v>
      </c>
      <c r="Q122" s="36">
        <f t="shared" si="20"/>
        <v>34267.788009883523</v>
      </c>
      <c r="R122" s="36">
        <f t="shared" si="20"/>
        <v>36652.037572008412</v>
      </c>
      <c r="S122" s="36">
        <f t="shared" si="20"/>
        <v>39149.300377719293</v>
      </c>
      <c r="T122" s="36">
        <f t="shared" si="20"/>
        <v>41764.20589964441</v>
      </c>
      <c r="U122" s="36">
        <f t="shared" si="20"/>
        <v>44501.559666850626</v>
      </c>
      <c r="V122" s="36">
        <f t="shared" si="20"/>
        <v>47366.349661704066</v>
      </c>
      <c r="W122" s="36">
        <f t="shared" si="20"/>
        <v>50363.752942092149</v>
      </c>
      <c r="X122" s="36">
        <f t="shared" si="20"/>
        <v>53502.050709331044</v>
      </c>
      <c r="Y122" s="36">
        <f t="shared" si="20"/>
        <v>56796.157449019323</v>
      </c>
      <c r="Z122" s="36">
        <f t="shared" si="20"/>
        <v>60224.22511094236</v>
      </c>
      <c r="AA122" s="36">
        <f t="shared" si="20"/>
        <v>63807.645059128597</v>
      </c>
      <c r="AB122" s="36">
        <f t="shared" si="20"/>
        <v>67552.647472501398</v>
      </c>
      <c r="AC122" s="36">
        <f t="shared" si="20"/>
        <v>71467.822731006658</v>
      </c>
      <c r="AD122" s="36">
        <f t="shared" si="20"/>
        <v>75555.61985185738</v>
      </c>
      <c r="AE122" s="36">
        <f t="shared" si="20"/>
        <v>79825.127637144775</v>
      </c>
      <c r="AF122" s="36">
        <f t="shared" si="20"/>
        <v>84283.564020903767</v>
      </c>
      <c r="AG122" s="36">
        <f t="shared" si="20"/>
        <v>88938.416475166305</v>
      </c>
      <c r="AH122" s="36">
        <f t="shared" si="20"/>
        <v>93797.451685853579</v>
      </c>
    </row>
    <row r="123" spans="1:34" s="277" customFormat="1" x14ac:dyDescent="0.2">
      <c r="A123" s="324"/>
      <c r="B123" s="23"/>
      <c r="C123" s="24"/>
      <c r="D123" s="24"/>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c r="AG123" s="39"/>
      <c r="AH123" s="39"/>
    </row>
    <row r="124" spans="1:34" s="277" customFormat="1" x14ac:dyDescent="0.2">
      <c r="A124" s="324"/>
      <c r="B124" s="25" t="s">
        <v>96</v>
      </c>
      <c r="C124" s="24"/>
      <c r="D124" s="24"/>
      <c r="E124" s="35">
        <f>IF(E97=1,Calculations!E757+Calculations!E773+Calculations!E789+Calculations!E816+Calculations!E817+Calculations!E819+Calculations!E846+Calculations!E847+Calculations!E849+Calculations!E876+Calculations!E877+Calculations!E879+Calculations!E906+Calculations!E907+Calculations!E909-Calculations!E739,0)</f>
        <v>12.5</v>
      </c>
      <c r="F124" s="35">
        <f>IF(F97=1,Calculations!F757+Calculations!F773+Calculations!F789+Calculations!F816+Calculations!F817+Calculations!F819+Calculations!F846+Calculations!F847+Calculations!F849+Calculations!F876+Calculations!F877+Calculations!F879+Calculations!F906+Calculations!F907+Calculations!F909-Calculations!F739,0)</f>
        <v>8.7192499999999988</v>
      </c>
      <c r="G124" s="35">
        <f>IF(G97=1,Calculations!G757+Calculations!G773+Calculations!G789+Calculations!G816+Calculations!G817+Calculations!G819+Calculations!G846+Calculations!G847+Calculations!G849+Calculations!G876+Calculations!G877+Calculations!G879+Calculations!G906+Calculations!G907+Calculations!G909-Calculations!G739,0)</f>
        <v>-179.23931732633363</v>
      </c>
      <c r="H124" s="35">
        <f>IF(H97=1,Calculations!H757+Calculations!H773+Calculations!H789+Calculations!H816+Calculations!H817+Calculations!H819+Calculations!H846+Calculations!H847+Calculations!H849+Calculations!H876+Calculations!H877+Calculations!H879+Calculations!H906+Calculations!H907+Calculations!H909-Calculations!H739,0)</f>
        <v>-476.01508725078577</v>
      </c>
      <c r="I124" s="35">
        <f>IF(I97=1,Calculations!I757+Calculations!I773+Calculations!I789+Calculations!I816+Calculations!I817+Calculations!I819+Calculations!I846+Calculations!I847+Calculations!I849+Calculations!I876+Calculations!I877+Calculations!I879+Calculations!I906+Calculations!I907+Calculations!I909-Calculations!I739,0)</f>
        <v>-855.58749316060937</v>
      </c>
      <c r="J124" s="35">
        <f>IF(J97=1,Calculations!J757+Calculations!J773+Calculations!J789+Calculations!J816+Calculations!J817+Calculations!J819+Calculations!J846+Calculations!J847+Calculations!J849+Calculations!J876+Calculations!J877+Calculations!J879+Calculations!J906+Calculations!J907+Calculations!J909-Calculations!J739,0)</f>
        <v>-1315.3325666773023</v>
      </c>
      <c r="K124" s="35">
        <f>IF(K97=1,Calculations!K757+Calculations!K773+Calculations!K789+Calculations!K816+Calculations!K817+Calculations!K819+Calculations!K846+Calculations!K847+Calculations!K849+Calculations!K876+Calculations!K877+Calculations!K879+Calculations!K906+Calculations!K907+Calculations!K909-Calculations!K739,0)</f>
        <v>-1845.4092834535943</v>
      </c>
      <c r="L124" s="35">
        <f>IF(L97=1,Calculations!L757+Calculations!L773+Calculations!L789+Calculations!L816+Calculations!L817+Calculations!L819+Calculations!L846+Calculations!L847+Calculations!L849+Calculations!L876+Calculations!L877+Calculations!L879+Calculations!L906+Calculations!L907+Calculations!L909-Calculations!L739,0)</f>
        <v>-2431.2885516463434</v>
      </c>
      <c r="M124" s="35">
        <f>IF(M97=1,Calculations!M757+Calculations!M773+Calculations!M789+Calculations!M816+Calculations!M817+Calculations!M819+Calculations!M846+Calculations!M847+Calculations!M849+Calculations!M876+Calculations!M877+Calculations!M879+Calculations!M906+Calculations!M907+Calculations!M909-Calculations!M739,0)</f>
        <v>-3108.1959626545931</v>
      </c>
      <c r="N124" s="35">
        <f>IF(N97=1,Calculations!N757+Calculations!N773+Calculations!N789+Calculations!N816+Calculations!N817+Calculations!N819+Calculations!N846+Calculations!N847+Calculations!N849+Calculations!N876+Calculations!N877+Calculations!N879+Calculations!N906+Calculations!N907+Calculations!N909-Calculations!N739,0)</f>
        <v>-3848.9662616376686</v>
      </c>
      <c r="O124" s="35">
        <f>IF(O97=1,Calculations!O757+Calculations!O773+Calculations!O789+Calculations!O816+Calculations!O817+Calculations!O819+Calculations!O846+Calculations!O847+Calculations!O849+Calculations!O876+Calculations!O877+Calculations!O879+Calculations!O906+Calculations!O907+Calculations!O909-Calculations!O739,0)</f>
        <v>-4024.535894886008</v>
      </c>
      <c r="P124" s="35">
        <f>IF(P97=1,Calculations!P757+Calculations!P773+Calculations!P789+Calculations!P816+Calculations!P817+Calculations!P819+Calculations!P846+Calculations!P847+Calculations!P849+Calculations!P876+Calculations!P877+Calculations!P879+Calculations!P906+Calculations!P907+Calculations!P909-Calculations!P739,0)</f>
        <v>-4674.2825515145987</v>
      </c>
      <c r="Q124" s="35">
        <f>IF(Q97=1,Calculations!Q757+Calculations!Q773+Calculations!Q789+Calculations!Q816+Calculations!Q817+Calculations!Q819+Calculations!Q846+Calculations!Q847+Calculations!Q849+Calculations!Q876+Calculations!Q877+Calculations!Q879+Calculations!Q906+Calculations!Q907+Calculations!Q909-Calculations!Q739,0)</f>
        <v>-5422.6678442226712</v>
      </c>
      <c r="R124" s="35">
        <f>IF(R97=1,Calculations!R757+Calculations!R773+Calculations!R789+Calculations!R816+Calculations!R817+Calculations!R819+Calculations!R846+Calculations!R847+Calculations!R849+Calculations!R876+Calculations!R877+Calculations!R879+Calculations!R906+Calculations!R907+Calculations!R909-Calculations!R739,0)</f>
        <v>-6233.9205854761476</v>
      </c>
      <c r="S124" s="35">
        <f>IF(S97=1,Calculations!S757+Calculations!S773+Calculations!S789+Calculations!S816+Calculations!S817+Calculations!S819+Calculations!S846+Calculations!S847+Calculations!S849+Calculations!S876+Calculations!S877+Calculations!S879+Calculations!S906+Calculations!S907+Calculations!S909-Calculations!S739,0)</f>
        <v>-7111.6072901344669</v>
      </c>
      <c r="T124" s="35">
        <f>IF(T97=1,Calculations!T757+Calculations!T773+Calculations!T789+Calculations!T816+Calculations!T817+Calculations!T819+Calculations!T846+Calculations!T847+Calculations!T849+Calculations!T876+Calculations!T877+Calculations!T879+Calculations!T906+Calculations!T907+Calculations!T909-Calculations!T739,0)</f>
        <v>-8059.4617846036881</v>
      </c>
      <c r="U124" s="35">
        <f>IF(U97=1,Calculations!U757+Calculations!U773+Calculations!U789+Calculations!U816+Calculations!U817+Calculations!U819+Calculations!U846+Calculations!U847+Calculations!U849+Calculations!U876+Calculations!U877+Calculations!U879+Calculations!U906+Calculations!U907+Calculations!U909-Calculations!U739,0)</f>
        <v>-9082.642245205936</v>
      </c>
      <c r="V124" s="35">
        <f>IF(V97=1,Calculations!V757+Calculations!V773+Calculations!V789+Calculations!V816+Calculations!V817+Calculations!V819+Calculations!V846+Calculations!V847+Calculations!V849+Calculations!V876+Calculations!V877+Calculations!V879+Calculations!V906+Calculations!V907+Calculations!V909-Calculations!V739,0)</f>
        <v>-10182.514762781826</v>
      </c>
      <c r="W124" s="35">
        <f>IF(W97=1,Calculations!W757+Calculations!W773+Calculations!W789+Calculations!W816+Calculations!W817+Calculations!W819+Calculations!W846+Calculations!W847+Calculations!W849+Calculations!W876+Calculations!W877+Calculations!W879+Calculations!W906+Calculations!W907+Calculations!W909-Calculations!W739,0)</f>
        <v>-11364.658019426013</v>
      </c>
      <c r="X124" s="35">
        <f>IF(X97=1,Calculations!X757+Calculations!X773+Calculations!X789+Calculations!X816+Calculations!X817+Calculations!X819+Calculations!X846+Calculations!X847+Calculations!X849+Calculations!X876+Calculations!X877+Calculations!X879+Calculations!X906+Calculations!X907+Calculations!X909-Calculations!X739,0)</f>
        <v>-12633.687330660647</v>
      </c>
      <c r="Y124" s="35">
        <f>IF(Y97=1,Calculations!Y757+Calculations!Y773+Calculations!Y789+Calculations!Y816+Calculations!Y817+Calculations!Y819+Calculations!Y846+Calculations!Y847+Calculations!Y849+Calculations!Y876+Calculations!Y877+Calculations!Y879+Calculations!Y906+Calculations!Y907+Calculations!Y909-Calculations!Y739,0)</f>
        <v>-13994.25568195971</v>
      </c>
      <c r="Z124" s="35">
        <f>IF(Z97=1,Calculations!Z757+Calculations!Z773+Calculations!Z789+Calculations!Z816+Calculations!Z817+Calculations!Z819+Calculations!Z846+Calculations!Z847+Calculations!Z849+Calculations!Z876+Calculations!Z877+Calculations!Z879+Calculations!Z906+Calculations!Z907+Calculations!Z909-Calculations!Z739,0)</f>
        <v>-15451.145192936157</v>
      </c>
      <c r="AA124" s="35">
        <f>IF(AA97=1,Calculations!AA757+Calculations!AA773+Calculations!AA789+Calculations!AA816+Calculations!AA817+Calculations!AA819+Calculations!AA846+Calculations!AA847+Calculations!AA849+Calculations!AA876+Calculations!AA877+Calculations!AA879+Calculations!AA906+Calculations!AA907+Calculations!AA909-Calculations!AA739,0)</f>
        <v>-17009.456944304169</v>
      </c>
      <c r="AB124" s="35">
        <f>IF(AB97=1,Calculations!AB757+Calculations!AB773+Calculations!AB789+Calculations!AB816+Calculations!AB817+Calculations!AB819+Calculations!AB846+Calculations!AB847+Calculations!AB849+Calculations!AB876+Calculations!AB877+Calculations!AB879+Calculations!AB906+Calculations!AB907+Calculations!AB909-Calculations!AB739,0)</f>
        <v>-18674.68499970988</v>
      </c>
      <c r="AC124" s="35">
        <f>IF(AC97=1,Calculations!AC757+Calculations!AC773+Calculations!AC789+Calculations!AC816+Calculations!AC817+Calculations!AC819+Calculations!AC846+Calculations!AC847+Calculations!AC849+Calculations!AC876+Calculations!AC877+Calculations!AC879+Calculations!AC906+Calculations!AC907+Calculations!AC909-Calculations!AC739,0)</f>
        <v>-20452.417821403476</v>
      </c>
      <c r="AD124" s="35">
        <f>IF(AD97=1,Calculations!AD757+Calculations!AD773+Calculations!AD789+Calculations!AD816+Calculations!AD817+Calculations!AD819+Calculations!AD846+Calculations!AD847+Calculations!AD849+Calculations!AD876+Calculations!AD877+Calculations!AD879+Calculations!AD906+Calculations!AD907+Calculations!AD909-Calculations!AD739,0)</f>
        <v>-22348.475965362893</v>
      </c>
      <c r="AE124" s="35">
        <f>IF(AE97=1,Calculations!AE757+Calculations!AE773+Calculations!AE789+Calculations!AE816+Calculations!AE817+Calculations!AE819+Calculations!AE846+Calculations!AE847+Calculations!AE849+Calculations!AE876+Calculations!AE877+Calculations!AE879+Calculations!AE906+Calculations!AE907+Calculations!AE909-Calculations!AE739,0)</f>
        <v>-24370.229432777262</v>
      </c>
      <c r="AF124" s="35">
        <f>IF(AF97=1,Calculations!AF757+Calculations!AF773+Calculations!AF789+Calculations!AF816+Calculations!AF817+Calculations!AF819+Calculations!AF846+Calculations!AF847+Calculations!AF849+Calculations!AF876+Calculations!AF877+Calculations!AF879+Calculations!AF906+Calculations!AF907+Calculations!AF909-Calculations!AF739,0)</f>
        <v>-26521.327915053509</v>
      </c>
      <c r="AG124" s="35">
        <f>IF(AG97=1,Calculations!AG757+Calculations!AG773+Calculations!AG789+Calculations!AG816+Calculations!AG817+Calculations!AG819+Calculations!AG846+Calculations!AG847+Calculations!AG849+Calculations!AG876+Calculations!AG877+Calculations!AG879+Calculations!AG906+Calculations!AG907+Calculations!AG909-Calculations!AG739,0)</f>
        <v>-28810.147238398589</v>
      </c>
      <c r="AH124" s="35">
        <f>IF(AH97=1,Calculations!AH757+Calculations!AH773+Calculations!AH789+Calculations!AH816+Calculations!AH817+Calculations!AH819+Calculations!AH846+Calculations!AH847+Calculations!AH849+Calculations!AH876+Calculations!AH877+Calculations!AH879+Calculations!AH906+Calculations!AH907+Calculations!AH909-Calculations!AH739,0)</f>
        <v>-31243.394198032478</v>
      </c>
    </row>
    <row r="125" spans="1:34" s="277" customFormat="1" x14ac:dyDescent="0.2">
      <c r="A125" s="324"/>
      <c r="B125" s="25" t="s">
        <v>97</v>
      </c>
      <c r="C125" s="24"/>
      <c r="D125" s="24"/>
      <c r="E125" s="35">
        <f>IF(AND(E97=1,(E122-E124)&gt;0),'Assumptions - Passenger'!$E$353*(E122-E124),0)</f>
        <v>3893.85</v>
      </c>
      <c r="F125" s="35">
        <f>IF(AND(F97=1,(F122-F124)&gt;0),'Assumptions - Passenger'!$E$353*(F122-F124),0)</f>
        <v>4299.0073199656736</v>
      </c>
      <c r="G125" s="35">
        <f>IF(AND(G97=1,(G122-G124)&gt;0),'Assumptions - Passenger'!$E$353*(G122-G124),0)</f>
        <v>4475.8918424922522</v>
      </c>
      <c r="H125" s="35">
        <f>IF(AND(H97=1,(H122-H124)&gt;0),'Assumptions - Passenger'!$E$353*(H122-H124),0)</f>
        <v>4998.28485054679</v>
      </c>
      <c r="I125" s="35">
        <f>IF(AND(I97=1,(I122-I124)&gt;0),'Assumptions - Passenger'!$E$353*(I122-I124),0)</f>
        <v>5884.3399988284591</v>
      </c>
      <c r="J125" s="35">
        <f>IF(AND(J97=1,(J122-J124)&gt;0),'Assumptions - Passenger'!$E$353*(J122-J124),0)</f>
        <v>6510.6126822035249</v>
      </c>
      <c r="K125" s="35">
        <f>IF(AND(K97=1,(K122-K124)&gt;0),'Assumptions - Passenger'!$E$353*(K122-K124),0)</f>
        <v>7182.4698126421863</v>
      </c>
      <c r="L125" s="35">
        <f>IF(AND(L97=1,(L122-L124)&gt;0),'Assumptions - Passenger'!$E$353*(L122-L124),0)</f>
        <v>7896.5806524641212</v>
      </c>
      <c r="M125" s="35">
        <f>IF(AND(M97=1,(M122-M124)&gt;0),'Assumptions - Passenger'!$E$353*(M122-M124),0)</f>
        <v>8664.5805118953631</v>
      </c>
      <c r="N125" s="35">
        <f>IF(AND(N97=1,(N122-N124)&gt;0),'Assumptions - Passenger'!$E$353*(N122-N124),0)</f>
        <v>9479.3662247682423</v>
      </c>
      <c r="O125" s="35">
        <f>IF(AND(O97=1,(O122-O124)&gt;0),'Assumptions - Passenger'!$E$353*(O122-O124),0)</f>
        <v>10153.557011845172</v>
      </c>
      <c r="P125" s="35">
        <f>IF(AND(P97=1,(P122-P124)&gt;0),'Assumptions - Passenger'!$E$353*(P122-P124),0)</f>
        <v>10999.912394297808</v>
      </c>
      <c r="Q125" s="35">
        <f>IF(AND(Q97=1,(Q122-Q124)&gt;0),'Assumptions - Passenger'!$E$353*(Q122-Q124),0)</f>
        <v>11907.136756231857</v>
      </c>
      <c r="R125" s="35">
        <f>IF(AND(R97=1,(R122-R124)&gt;0),'Assumptions - Passenger'!$E$353*(R122-R124),0)</f>
        <v>12865.787447245368</v>
      </c>
      <c r="S125" s="35">
        <f>IF(AND(S97=1,(S122-S124)&gt;0),'Assumptions - Passenger'!$E$353*(S122-S124),0)</f>
        <v>13878.272300356128</v>
      </c>
      <c r="T125" s="35">
        <f>IF(AND(T97=1,(T122-T124)&gt;0),'Assumptions - Passenger'!$E$353*(T122-T124),0)</f>
        <v>14947.100305274427</v>
      </c>
      <c r="U125" s="35">
        <f>IF(AND(U97=1,(U122-U124)&gt;0),'Assumptions - Passenger'!$E$353*(U122-U124),0)</f>
        <v>16075.260573616968</v>
      </c>
      <c r="V125" s="35">
        <f>IF(AND(V97=1,(V122-V124)&gt;0),'Assumptions - Passenger'!$E$353*(V122-V124),0)</f>
        <v>17264.659327345766</v>
      </c>
      <c r="W125" s="35">
        <f>IF(AND(W97=1,(W122-W124)&gt;0),'Assumptions - Passenger'!$E$353*(W122-W124),0)</f>
        <v>18518.52328845545</v>
      </c>
      <c r="X125" s="35">
        <f>IF(AND(X97=1,(X122-X124)&gt;0),'Assumptions - Passenger'!$E$353*(X122-X124),0)</f>
        <v>19840.721411997507</v>
      </c>
      <c r="Y125" s="35">
        <f>IF(AND(Y97=1,(Y122-Y124)&gt;0),'Assumptions - Passenger'!$E$353*(Y122-Y124),0)</f>
        <v>21237.12393929371</v>
      </c>
      <c r="Z125" s="35">
        <f>IF(AND(Z97=1,(Z122-Z124)&gt;0),'Assumptions - Passenger'!$E$353*(Z122-Z124),0)</f>
        <v>22702.611091163555</v>
      </c>
      <c r="AA125" s="35">
        <f>IF(AND(AA97=1,(AA122-AA124)&gt;0),'Assumptions - Passenger'!$E$353*(AA122-AA124),0)</f>
        <v>24245.130601029829</v>
      </c>
      <c r="AB125" s="35">
        <f>IF(AND(AB97=1,(AB122-AB124)&gt;0),'Assumptions - Passenger'!$E$353*(AB122-AB124),0)</f>
        <v>25868.199741663382</v>
      </c>
      <c r="AC125" s="35">
        <f>IF(AND(AC97=1,(AC122-AC124)&gt;0),'Assumptions - Passenger'!$E$353*(AC122-AC124),0)</f>
        <v>27576.072165723039</v>
      </c>
      <c r="AD125" s="35">
        <f>IF(AND(AD97=1,(AD122-AD124)&gt;0),'Assumptions - Passenger'!$E$353*(AD122-AD124),0)</f>
        <v>29371.228745166085</v>
      </c>
      <c r="AE125" s="35">
        <f>IF(AND(AE97=1,(AE122-AE124)&gt;0),'Assumptions - Passenger'!$E$353*(AE122-AE124),0)</f>
        <v>31258.607120976609</v>
      </c>
      <c r="AF125" s="35">
        <f>IF(AND(AF97=1,(AF122-AF124)&gt;0),'Assumptions - Passenger'!$E$353*(AF122-AF124),0)</f>
        <v>33241.467580787183</v>
      </c>
      <c r="AG125" s="35">
        <f>IF(AND(AG97=1,(AG122-AG124)&gt;0),'Assumptions - Passenger'!$E$353*(AG122-AG124),0)</f>
        <v>35324.569114069462</v>
      </c>
      <c r="AH125" s="35">
        <f>IF(AND(AH97=1,(AH122-AH124)&gt;0),'Assumptions - Passenger'!$E$353*(AH122-AH124),0)</f>
        <v>37512.253765165813</v>
      </c>
    </row>
    <row r="126" spans="1:34" s="277" customFormat="1" x14ac:dyDescent="0.2">
      <c r="A126" s="324"/>
      <c r="B126" s="25"/>
      <c r="C126" s="24"/>
      <c r="D126" s="24"/>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row>
    <row r="127" spans="1:34" s="277" customFormat="1" ht="16" thickBot="1" x14ac:dyDescent="0.25">
      <c r="A127" s="324"/>
      <c r="B127" s="27" t="s">
        <v>98</v>
      </c>
      <c r="C127" s="24"/>
      <c r="D127" s="24"/>
      <c r="E127" s="40">
        <f>IF(E97=1,E122-E124-E125, 0)</f>
        <v>9085.65</v>
      </c>
      <c r="F127" s="40">
        <f t="shared" ref="F127:AH127" si="21">IF(F97=1,F122-F124-F125, 0)</f>
        <v>10031.017079919908</v>
      </c>
      <c r="G127" s="40">
        <f t="shared" si="21"/>
        <v>10443.747632481924</v>
      </c>
      <c r="H127" s="40">
        <f t="shared" si="21"/>
        <v>11662.664651275843</v>
      </c>
      <c r="I127" s="40">
        <f t="shared" si="21"/>
        <v>13730.126663933072</v>
      </c>
      <c r="J127" s="40">
        <f t="shared" si="21"/>
        <v>15191.429591808224</v>
      </c>
      <c r="K127" s="40">
        <f t="shared" si="21"/>
        <v>16759.096229498435</v>
      </c>
      <c r="L127" s="40">
        <f t="shared" si="21"/>
        <v>18425.354855749618</v>
      </c>
      <c r="M127" s="40">
        <f t="shared" si="21"/>
        <v>20217.354527755851</v>
      </c>
      <c r="N127" s="40">
        <f t="shared" si="21"/>
        <v>22118.521191125903</v>
      </c>
      <c r="O127" s="40">
        <f t="shared" si="21"/>
        <v>23691.633027638738</v>
      </c>
      <c r="P127" s="40">
        <f t="shared" si="21"/>
        <v>25666.462253361551</v>
      </c>
      <c r="Q127" s="40">
        <f t="shared" si="21"/>
        <v>27783.319097874337</v>
      </c>
      <c r="R127" s="40">
        <f t="shared" si="21"/>
        <v>30020.170710239188</v>
      </c>
      <c r="S127" s="40">
        <f t="shared" si="21"/>
        <v>32382.635367497634</v>
      </c>
      <c r="T127" s="40">
        <f t="shared" si="21"/>
        <v>34876.567378973668</v>
      </c>
      <c r="U127" s="40">
        <f t="shared" si="21"/>
        <v>37508.941338439588</v>
      </c>
      <c r="V127" s="40">
        <f t="shared" si="21"/>
        <v>40284.205097140119</v>
      </c>
      <c r="W127" s="40">
        <f t="shared" si="21"/>
        <v>43209.887673062716</v>
      </c>
      <c r="X127" s="40">
        <f t="shared" si="21"/>
        <v>46295.016627994177</v>
      </c>
      <c r="Y127" s="40">
        <f t="shared" si="21"/>
        <v>49553.289191685326</v>
      </c>
      <c r="Z127" s="40">
        <f t="shared" si="21"/>
        <v>52972.759212714962</v>
      </c>
      <c r="AA127" s="40">
        <f t="shared" si="21"/>
        <v>56571.971402402938</v>
      </c>
      <c r="AB127" s="40">
        <f t="shared" si="21"/>
        <v>60359.132730547892</v>
      </c>
      <c r="AC127" s="40">
        <f t="shared" si="21"/>
        <v>64344.168386687095</v>
      </c>
      <c r="AD127" s="40">
        <f t="shared" si="21"/>
        <v>68532.8670720542</v>
      </c>
      <c r="AE127" s="40">
        <f t="shared" si="21"/>
        <v>72936.74994894542</v>
      </c>
      <c r="AF127" s="40">
        <f t="shared" si="21"/>
        <v>77563.424355170093</v>
      </c>
      <c r="AG127" s="40">
        <f t="shared" si="21"/>
        <v>82423.994599495432</v>
      </c>
      <c r="AH127" s="40">
        <f t="shared" si="21"/>
        <v>87528.592118720233</v>
      </c>
    </row>
    <row r="128" spans="1:34" s="277" customFormat="1" x14ac:dyDescent="0.2">
      <c r="A128" s="324"/>
      <c r="B128" s="26"/>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row>
    <row r="129" spans="1:34" s="278" customFormat="1" x14ac:dyDescent="0.2">
      <c r="A129" s="324"/>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s="278" customFormat="1" x14ac:dyDescent="0.2">
      <c r="A130" s="324"/>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s="278" customFormat="1" x14ac:dyDescent="0.2">
      <c r="A131" s="324"/>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s="278" customFormat="1" x14ac:dyDescent="0.2">
      <c r="A132" s="324"/>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s="278" customFormat="1" x14ac:dyDescent="0.2">
      <c r="A133" s="324"/>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s="278" customFormat="1" x14ac:dyDescent="0.2">
      <c r="A134" s="324"/>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s="278" customFormat="1" x14ac:dyDescent="0.2">
      <c r="A135" s="324"/>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s="278" customFormat="1" x14ac:dyDescent="0.2">
      <c r="A136" s="324"/>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s="278" customFormat="1" x14ac:dyDescent="0.2">
      <c r="A137" s="324"/>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s="278" customFormat="1" x14ac:dyDescent="0.2">
      <c r="A138" s="324"/>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s="18" customFormat="1" ht="19" x14ac:dyDescent="0.25">
      <c r="A139" s="316"/>
      <c r="B139" s="485" t="str">
        <f>'Assumptions - General'!$E$26</f>
        <v>Ruritania Railway Infrastructure Company</v>
      </c>
      <c r="C139" s="316"/>
      <c r="D139" s="316"/>
      <c r="E139" s="316"/>
      <c r="F139" s="316"/>
      <c r="G139" s="316"/>
      <c r="H139" s="316"/>
      <c r="I139" s="316"/>
      <c r="J139" s="316"/>
      <c r="K139" s="316"/>
      <c r="L139" s="316"/>
      <c r="M139" s="316"/>
      <c r="N139" s="316"/>
      <c r="O139" s="316"/>
      <c r="P139" s="316"/>
      <c r="Q139" s="316"/>
      <c r="R139" s="316"/>
      <c r="S139" s="316"/>
      <c r="T139" s="316"/>
      <c r="U139" s="316"/>
      <c r="V139" s="316"/>
      <c r="W139" s="316"/>
      <c r="X139" s="316"/>
      <c r="Y139" s="316"/>
      <c r="Z139" s="316"/>
      <c r="AA139" s="316"/>
      <c r="AB139" s="316"/>
      <c r="AC139" s="316"/>
      <c r="AD139" s="316"/>
      <c r="AE139" s="316"/>
      <c r="AF139" s="316"/>
      <c r="AG139" s="316"/>
      <c r="AH139" s="316"/>
    </row>
    <row r="140" spans="1:34" s="18" customFormat="1" x14ac:dyDescent="0.2">
      <c r="A140" s="316"/>
      <c r="B140" s="317"/>
      <c r="C140" s="318"/>
      <c r="D140" s="316"/>
      <c r="E140" s="316"/>
      <c r="F140" s="316"/>
      <c r="G140" s="316"/>
      <c r="H140" s="316"/>
      <c r="I140" s="316"/>
      <c r="J140" s="316"/>
      <c r="K140" s="316"/>
      <c r="L140" s="316"/>
      <c r="M140" s="316"/>
      <c r="N140" s="316"/>
      <c r="O140" s="316"/>
      <c r="P140" s="316"/>
      <c r="Q140" s="316"/>
      <c r="R140" s="316"/>
      <c r="S140" s="316"/>
      <c r="T140" s="316"/>
      <c r="U140" s="316"/>
      <c r="V140" s="316"/>
      <c r="W140" s="316"/>
      <c r="X140" s="316"/>
      <c r="Y140" s="316"/>
      <c r="Z140" s="316"/>
      <c r="AA140" s="316"/>
      <c r="AB140" s="316"/>
      <c r="AC140" s="316"/>
      <c r="AD140" s="316"/>
      <c r="AE140" s="316"/>
      <c r="AF140" s="316"/>
      <c r="AG140" s="316"/>
      <c r="AH140" s="316"/>
    </row>
    <row r="141" spans="1:34" s="20" customFormat="1" hidden="1" x14ac:dyDescent="0.2">
      <c r="A141" s="316"/>
      <c r="B141" s="7" t="s">
        <v>226</v>
      </c>
      <c r="C141" s="8"/>
      <c r="D141" s="8"/>
      <c r="E141" s="29">
        <f>IF(Calculations!E19=1,1,IF(Calculations!E20=1,1,0))</f>
        <v>1</v>
      </c>
      <c r="F141" s="29">
        <f>IF(Calculations!F19=1,1,IF(Calculations!F20=1,1,0))</f>
        <v>1</v>
      </c>
      <c r="G141" s="29">
        <f>IF(Calculations!G19=1,1,IF(Calculations!G20=1,1,0))</f>
        <v>1</v>
      </c>
      <c r="H141" s="29">
        <f>IF(Calculations!H19=1,1,IF(Calculations!H20=1,1,0))</f>
        <v>1</v>
      </c>
      <c r="I141" s="29">
        <f>IF(Calculations!I19=1,1,IF(Calculations!I20=1,1,0))</f>
        <v>1</v>
      </c>
      <c r="J141" s="29">
        <f>IF(Calculations!J19=1,1,IF(Calculations!J20=1,1,0))</f>
        <v>1</v>
      </c>
      <c r="K141" s="29">
        <f>IF(Calculations!K19=1,1,IF(Calculations!K20=1,1,0))</f>
        <v>1</v>
      </c>
      <c r="L141" s="29">
        <f>IF(Calculations!L19=1,1,IF(Calculations!L20=1,1,0))</f>
        <v>1</v>
      </c>
      <c r="M141" s="29">
        <f>IF(Calculations!M19=1,1,IF(Calculations!M20=1,1,0))</f>
        <v>1</v>
      </c>
      <c r="N141" s="29">
        <f>IF(Calculations!N19=1,1,IF(Calculations!N20=1,1,0))</f>
        <v>1</v>
      </c>
      <c r="O141" s="29">
        <f>IF(Calculations!O19=1,1,IF(Calculations!O20=1,1,0))</f>
        <v>1</v>
      </c>
      <c r="P141" s="29">
        <f>IF(Calculations!P19=1,1,IF(Calculations!P20=1,1,0))</f>
        <v>1</v>
      </c>
      <c r="Q141" s="29">
        <f>IF(Calculations!Q19=1,1,IF(Calculations!Q20=1,1,0))</f>
        <v>1</v>
      </c>
      <c r="R141" s="29">
        <f>IF(Calculations!R19=1,1,IF(Calculations!R20=1,1,0))</f>
        <v>1</v>
      </c>
      <c r="S141" s="29">
        <f>IF(Calculations!S19=1,1,IF(Calculations!S20=1,1,0))</f>
        <v>1</v>
      </c>
      <c r="T141" s="29">
        <f>IF(Calculations!T19=1,1,IF(Calculations!T20=1,1,0))</f>
        <v>1</v>
      </c>
      <c r="U141" s="29">
        <f>IF(Calculations!U19=1,1,IF(Calculations!U20=1,1,0))</f>
        <v>1</v>
      </c>
      <c r="V141" s="29">
        <f>IF(Calculations!V19=1,1,IF(Calculations!V20=1,1,0))</f>
        <v>1</v>
      </c>
      <c r="W141" s="29">
        <f>IF(Calculations!W19=1,1,IF(Calculations!W20=1,1,0))</f>
        <v>1</v>
      </c>
      <c r="X141" s="29">
        <f>IF(Calculations!X19=1,1,IF(Calculations!X20=1,1,0))</f>
        <v>1</v>
      </c>
      <c r="Y141" s="29">
        <f>IF(Calculations!Y19=1,1,IF(Calculations!Y20=1,1,0))</f>
        <v>1</v>
      </c>
      <c r="Z141" s="29">
        <f>IF(Calculations!Z19=1,1,IF(Calculations!Z20=1,1,0))</f>
        <v>1</v>
      </c>
      <c r="AA141" s="29">
        <f>IF(Calculations!AA19=1,1,IF(Calculations!AA20=1,1,0))</f>
        <v>1</v>
      </c>
      <c r="AB141" s="29">
        <f>IF(Calculations!AB19=1,1,IF(Calculations!AB20=1,1,0))</f>
        <v>1</v>
      </c>
      <c r="AC141" s="29">
        <f>IF(Calculations!AC19=1,1,IF(Calculations!AC20=1,1,0))</f>
        <v>1</v>
      </c>
      <c r="AD141" s="29">
        <f>IF(Calculations!AD19=1,1,IF(Calculations!AD20=1,1,0))</f>
        <v>1</v>
      </c>
      <c r="AE141" s="29">
        <f>IF(Calculations!AE19=1,1,IF(Calculations!AE20=1,1,0))</f>
        <v>1</v>
      </c>
      <c r="AF141" s="29">
        <f>IF(Calculations!AF19=1,1,IF(Calculations!AF20=1,1,0))</f>
        <v>1</v>
      </c>
      <c r="AG141" s="29">
        <f>IF(Calculations!AG19=1,1,IF(Calculations!AG20=1,1,0))</f>
        <v>1</v>
      </c>
      <c r="AH141" s="29">
        <f>IF(Calculations!AH19=1,1,IF(Calculations!AH20=1,1,0))</f>
        <v>1</v>
      </c>
    </row>
    <row r="142" spans="1:34" s="278" customFormat="1" x14ac:dyDescent="0.2">
      <c r="A142" s="316"/>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s="20" customFormat="1" x14ac:dyDescent="0.2">
      <c r="A143" s="316"/>
      <c r="B143" s="19" t="s">
        <v>86</v>
      </c>
    </row>
    <row r="144" spans="1:34" s="277" customFormat="1" x14ac:dyDescent="0.2">
      <c r="A144" s="316"/>
      <c r="B144" s="25" t="s">
        <v>434</v>
      </c>
      <c r="C144" s="24"/>
      <c r="D144" s="24"/>
      <c r="E144" s="35">
        <f>IF(E$141=1,Calculations!E1121+Calculations!E1129,0)</f>
        <v>40912.5</v>
      </c>
      <c r="F144" s="35">
        <f>IF(F$141=1,Calculations!F1121+Calculations!F1129,0)</f>
        <v>42788.900609756107</v>
      </c>
      <c r="G144" s="35">
        <f>IF(G$141=1,Calculations!G1121+Calculations!G1129,0)</f>
        <v>44072.567628048782</v>
      </c>
      <c r="H144" s="35">
        <f>IF(H$141=1,Calculations!H1121+Calculations!H1129,0)</f>
        <v>46419.176219390254</v>
      </c>
      <c r="I144" s="35">
        <f>IF(I$141=1,Calculations!I1121+Calculations!I1129,0)</f>
        <v>49922.080524721961</v>
      </c>
      <c r="J144" s="35">
        <f>IF(J$141=1,Calculations!J1121+Calculations!J1129,0)</f>
        <v>52506.562385119869</v>
      </c>
      <c r="K144" s="35">
        <f>IF(K$141=1,Calculations!K1121+Calculations!K1129,0)</f>
        <v>58910.972715464646</v>
      </c>
      <c r="L144" s="35">
        <f>IF(L$141=1,Calculations!L1121+Calculations!L1129,0)</f>
        <v>61831.308645764409</v>
      </c>
      <c r="M144" s="35">
        <f>IF(M$141=1,Calculations!M1121+Calculations!M1129,0)</f>
        <v>64873.844856438249</v>
      </c>
      <c r="N144" s="35">
        <f>IF(N$141=1,Calculations!N1121+Calculations!N1129,0)</f>
        <v>68043.285061971314</v>
      </c>
      <c r="O144" s="35">
        <f>IF(O$141=1,Calculations!O1121+Calculations!O1129,0)</f>
        <v>71344.505219465558</v>
      </c>
      <c r="P144" s="35">
        <f>IF(P$141=1,Calculations!P1121+Calculations!P1129,0)</f>
        <v>74782.559629853698</v>
      </c>
      <c r="Q144" s="35">
        <f>IF(Q$141=1,Calculations!Q1121+Calculations!Q1129,0)</f>
        <v>78362.687250167597</v>
      </c>
      <c r="R144" s="35">
        <f>IF(R$141=1,Calculations!R1121+Calculations!R1129,0)</f>
        <v>82090.318224033472</v>
      </c>
      <c r="S144" s="35">
        <f>IF(S$141=1,Calculations!S1121+Calculations!S1129,0)</f>
        <v>85971.080637806153</v>
      </c>
      <c r="T144" s="35">
        <f>IF(T$141=1,Calculations!T1121+Calculations!T1129,0)</f>
        <v>90010.807510003549</v>
      </c>
      <c r="U144" s="35">
        <f>IF(U$141=1,Calculations!U1121+Calculations!U1129,0)</f>
        <v>94215.544021958776</v>
      </c>
      <c r="V144" s="35">
        <f>IF(V$141=1,Calculations!V1121+Calculations!V1129,0)</f>
        <v>98591.554997872328</v>
      </c>
      <c r="W144" s="35">
        <f>IF(W$141=1,Calculations!W1121+Calculations!W1129,0)</f>
        <v>103145.3326427209</v>
      </c>
      <c r="X144" s="35">
        <f>IF(X$141=1,Calculations!X1121+Calculations!X1129,0)</f>
        <v>107883.6045467623</v>
      </c>
      <c r="Y144" s="35">
        <f>IF(Y$141=1,Calculations!Y1121+Calculations!Y1129,0)</f>
        <v>112813.34196566777</v>
      </c>
      <c r="Z144" s="35">
        <f>IF(Z$141=1,Calculations!Z1121+Calculations!Z1129,0)</f>
        <v>117941.76838561546</v>
      </c>
      <c r="AA144" s="35">
        <f>IF(AA$141=1,Calculations!AA1121+Calculations!AA1129,0)</f>
        <v>123276.36838299091</v>
      </c>
      <c r="AB144" s="35">
        <f>IF(AB$141=1,Calculations!AB1121+Calculations!AB1129,0)</f>
        <v>128824.89678866185</v>
      </c>
      <c r="AC144" s="35">
        <f>IF(AC$141=1,Calculations!AC1121+Calculations!AC1129,0)</f>
        <v>134595.38816712835</v>
      </c>
      <c r="AD144" s="35">
        <f>IF(AD$141=1,Calculations!AD1121+Calculations!AD1129,0)</f>
        <v>140596.166621193</v>
      </c>
      <c r="AE144" s="35">
        <f>IF(AE$141=1,Calculations!AE1121+Calculations!AE1129,0)</f>
        <v>146835.85593315115</v>
      </c>
      <c r="AF144" s="35">
        <f>IF(AF$141=1,Calculations!AF1121+Calculations!AF1129,0)</f>
        <v>153323.39005386771</v>
      </c>
      <c r="AG144" s="35">
        <f>IF(AG$141=1,Calculations!AG1121+Calculations!AG1129,0)</f>
        <v>160068.02395148744</v>
      </c>
      <c r="AH144" s="35">
        <f>IF(AH$141=1,Calculations!AH1121+Calculations!AH1129,0)</f>
        <v>167079.34483191586</v>
      </c>
    </row>
    <row r="145" spans="1:34" s="277" customFormat="1" x14ac:dyDescent="0.2">
      <c r="A145" s="316"/>
      <c r="B145" s="25" t="s">
        <v>642</v>
      </c>
      <c r="C145" s="24"/>
      <c r="D145" s="24"/>
      <c r="E145" s="35">
        <f>IF(E$141=1,SUM(Calculations!E1141),0)</f>
        <v>50</v>
      </c>
      <c r="F145" s="35">
        <f>IF(F$141=1,SUM(Calculations!F1141),0)</f>
        <v>51.5</v>
      </c>
      <c r="G145" s="35">
        <f>IF(G$141=1,SUM(Calculations!G1141),0)</f>
        <v>53.045000000000002</v>
      </c>
      <c r="H145" s="35">
        <f>IF(H$141=1,SUM(Calculations!H1141),0)</f>
        <v>54.63635</v>
      </c>
      <c r="I145" s="35">
        <f>IF(I$141=1,SUM(Calculations!I1141),0)</f>
        <v>56.275440500000002</v>
      </c>
      <c r="J145" s="35">
        <f>IF(J$141=1,SUM(Calculations!J1141),0)</f>
        <v>57.963703715000001</v>
      </c>
      <c r="K145" s="35">
        <f>IF(K$141=1,SUM(Calculations!K1141),0)</f>
        <v>59.702614826450002</v>
      </c>
      <c r="L145" s="35">
        <f>IF(L$141=1,SUM(Calculations!L1141),0)</f>
        <v>61.493693271243501</v>
      </c>
      <c r="M145" s="35">
        <f>IF(M$141=1,SUM(Calculations!M1141),0)</f>
        <v>63.338504069380811</v>
      </c>
      <c r="N145" s="35">
        <f>IF(N$141=1,SUM(Calculations!N1141),0)</f>
        <v>65.238659191462233</v>
      </c>
      <c r="O145" s="35">
        <f>IF(O$141=1,SUM(Calculations!O1141),0)</f>
        <v>67.195818967206108</v>
      </c>
      <c r="P145" s="35">
        <f>IF(P$141=1,SUM(Calculations!P1141),0)</f>
        <v>69.211693536222299</v>
      </c>
      <c r="Q145" s="35">
        <f>IF(Q$141=1,SUM(Calculations!Q1141),0)</f>
        <v>71.288044342308964</v>
      </c>
      <c r="R145" s="35">
        <f>IF(R$141=1,SUM(Calculations!R1141),0)</f>
        <v>73.42668567257823</v>
      </c>
      <c r="S145" s="35">
        <f>IF(S$141=1,SUM(Calculations!S1141),0)</f>
        <v>75.629486242755576</v>
      </c>
      <c r="T145" s="35">
        <f>IF(T$141=1,SUM(Calculations!T1141),0)</f>
        <v>77.898370830038246</v>
      </c>
      <c r="U145" s="35">
        <f>IF(U$141=1,SUM(Calculations!U1141),0)</f>
        <v>80.235321954939394</v>
      </c>
      <c r="V145" s="35">
        <f>IF(V$141=1,SUM(Calculations!V1141),0)</f>
        <v>82.642381613587574</v>
      </c>
      <c r="W145" s="35">
        <f>IF(W$141=1,SUM(Calculations!W1141),0)</f>
        <v>85.121653061995204</v>
      </c>
      <c r="X145" s="35">
        <f>IF(X$141=1,SUM(Calculations!X1141),0)</f>
        <v>87.675302653855056</v>
      </c>
      <c r="Y145" s="35">
        <f>IF(Y$141=1,SUM(Calculations!Y1141),0)</f>
        <v>90.305561733470711</v>
      </c>
      <c r="Z145" s="35">
        <f>IF(Z$141=1,SUM(Calculations!Z1141),0)</f>
        <v>93.014728585474828</v>
      </c>
      <c r="AA145" s="35">
        <f>IF(AA$141=1,SUM(Calculations!AA1141),0)</f>
        <v>95.805170443039074</v>
      </c>
      <c r="AB145" s="35">
        <f>IF(AB$141=1,SUM(Calculations!AB1141),0)</f>
        <v>98.679325556330255</v>
      </c>
      <c r="AC145" s="35">
        <f>IF(AC$141=1,SUM(Calculations!AC1141),0)</f>
        <v>101.63970532302017</v>
      </c>
      <c r="AD145" s="35">
        <f>IF(AD$141=1,SUM(Calculations!AD1141),0)</f>
        <v>104.68889648271077</v>
      </c>
      <c r="AE145" s="35">
        <f>IF(AE$141=1,SUM(Calculations!AE1141),0)</f>
        <v>107.8295633771921</v>
      </c>
      <c r="AF145" s="35">
        <f>IF(AF$141=1,SUM(Calculations!AF1141),0)</f>
        <v>111.06445027850786</v>
      </c>
      <c r="AG145" s="35">
        <f>IF(AG$141=1,SUM(Calculations!AG1141),0)</f>
        <v>114.3963837868631</v>
      </c>
      <c r="AH145" s="35">
        <f>IF(AH$141=1,SUM(Calculations!AH1141),0)</f>
        <v>117.82827530046899</v>
      </c>
    </row>
    <row r="146" spans="1:34" s="277" customFormat="1" x14ac:dyDescent="0.2">
      <c r="A146" s="316"/>
      <c r="B146" s="25" t="s">
        <v>633</v>
      </c>
      <c r="C146" s="24"/>
      <c r="D146" s="24"/>
      <c r="E146" s="35">
        <f>IF(E$141=1,'Assumptions - Infrastructure'!E159+Calculations!E1143,0)</f>
        <v>502</v>
      </c>
      <c r="F146" s="35">
        <f>IF(F$141=1,'Assumptions - Infrastructure'!F159+Calculations!F1143,0)</f>
        <v>502.01275749858519</v>
      </c>
      <c r="G146" s="35">
        <f>IF(G$141=1,'Assumptions - Infrastructure'!G159+Calculations!G1143,0)</f>
        <v>503.8498475114809</v>
      </c>
      <c r="H146" s="35">
        <f>IF(H$141=1,'Assumptions - Infrastructure'!H159+Calculations!H1143,0)</f>
        <v>504.56658421132556</v>
      </c>
      <c r="I146" s="35">
        <f>IF(I$141=1,'Assumptions - Infrastructure'!I159+Calculations!I1143,0)</f>
        <v>505.28388093991873</v>
      </c>
      <c r="J146" s="35">
        <f>IF(J$141=1,'Assumptions - Infrastructure'!J159+Calculations!J1143,0)</f>
        <v>506.01675336124458</v>
      </c>
      <c r="K146" s="35">
        <f>IF(K$141=1,'Assumptions - Infrastructure'!K159+Calculations!K1143,0)</f>
        <v>506.76972917534835</v>
      </c>
      <c r="L146" s="35">
        <f>IF(L$141=1,'Assumptions - Infrastructure'!L159+Calculations!L1143,0)</f>
        <v>507.54497467476062</v>
      </c>
      <c r="M146" s="35">
        <f>IF(M$141=1,'Assumptions - Infrastructure'!M159+Calculations!M1143,0)</f>
        <v>508.34389052091416</v>
      </c>
      <c r="N146" s="35">
        <f>IF(N$141=1,'Assumptions - Infrastructure'!N159+Calculations!N1143,0)</f>
        <v>509.15793258769492</v>
      </c>
      <c r="O146" s="35">
        <f>IF(O$141=1,'Assumptions - Infrastructure'!O159+Calculations!O1143,0)</f>
        <v>510.00620694537258</v>
      </c>
      <c r="P146" s="35">
        <f>IF(P$141=1,'Assumptions - Infrastructure'!P159+Calculations!P1143,0)</f>
        <v>510.88871765035299</v>
      </c>
      <c r="Q146" s="35">
        <f>IF(Q$141=1,'Assumptions - Infrastructure'!Q159+Calculations!Q1143,0)</f>
        <v>511.63875181159676</v>
      </c>
      <c r="R146" s="35">
        <f>IF(R$141=1,'Assumptions - Infrastructure'!R159+Calculations!R1143,0)</f>
        <v>512.18283211754169</v>
      </c>
      <c r="S146" s="35">
        <f>IF(S$141=1,'Assumptions - Infrastructure'!S159+Calculations!S1143,0)</f>
        <v>513.10563433869856</v>
      </c>
      <c r="T146" s="35">
        <f>IF(T$141=1,'Assumptions - Infrastructure'!T159+Calculations!T1143,0)</f>
        <v>513.52536780435685</v>
      </c>
      <c r="U146" s="35">
        <f>IF(U$141=1,'Assumptions - Infrastructure'!U159+Calculations!U1143,0)</f>
        <v>514.54971722538232</v>
      </c>
      <c r="V146" s="35">
        <f>IF(V$141=1,'Assumptions - Infrastructure'!V159+Calculations!V1143,0)</f>
        <v>515.60520366786272</v>
      </c>
      <c r="W146" s="35">
        <f>IF(W$141=1,'Assumptions - Infrastructure'!W159+Calculations!W1143,0)</f>
        <v>516.69271107572422</v>
      </c>
      <c r="X146" s="35">
        <f>IF(X$141=1,'Assumptions - Infrastructure'!X159+Calculations!X1143,0)</f>
        <v>517.81316024424825</v>
      </c>
      <c r="Y146" s="35">
        <f>IF(Y$141=1,'Assumptions - Infrastructure'!Y159+Calculations!Y1143,0)</f>
        <v>518.96750731761438</v>
      </c>
      <c r="Z146" s="35">
        <f>IF(Z$141=1,'Assumptions - Infrastructure'!Z159+Calculations!Z1143,0)</f>
        <v>520.15674299596503</v>
      </c>
      <c r="AA146" s="35">
        <f>IF(AA$141=1,'Assumptions - Infrastructure'!AA159+Calculations!AA1143,0)</f>
        <v>521.38189222950678</v>
      </c>
      <c r="AB146" s="35">
        <f>IF(AB$141=1,'Assumptions - Infrastructure'!AB159+Calculations!AB1143,0)</f>
        <v>522.6440142566762</v>
      </c>
      <c r="AC146" s="35">
        <f>IF(AC$141=1,'Assumptions - Infrastructure'!AC159+Calculations!AC1143,0)</f>
        <v>523.94420289242896</v>
      </c>
      <c r="AD146" s="35">
        <f>IF(AD$141=1,'Assumptions - Infrastructure'!AD159+Calculations!AD1143,0)</f>
        <v>525.28358700371291</v>
      </c>
      <c r="AE146" s="35">
        <f>IF(AE$141=1,'Assumptions - Infrastructure'!AE159+Calculations!AE1143,0)</f>
        <v>526.66333112923678</v>
      </c>
      <c r="AF146" s="35">
        <f>IF(AF$141=1,'Assumptions - Infrastructure'!AF159+Calculations!AF1143,0)</f>
        <v>528.08463621389546</v>
      </c>
      <c r="AG146" s="35">
        <f>IF(AG$141=1,'Assumptions - Infrastructure'!AG159+Calculations!AG1143,0)</f>
        <v>529.36765287613878</v>
      </c>
      <c r="AH146" s="35">
        <f>IF(AH$141=1,'Assumptions - Infrastructure'!AH159+Calculations!AH1143,0)</f>
        <v>525.79047336217513</v>
      </c>
    </row>
    <row r="147" spans="1:34" s="277" customFormat="1" x14ac:dyDescent="0.2">
      <c r="A147" s="316"/>
      <c r="B147" s="23" t="s">
        <v>88</v>
      </c>
      <c r="C147" s="24"/>
      <c r="D147" s="24"/>
      <c r="E147" s="36">
        <f>IF(E$141=1,SUM(E144:E146),0)</f>
        <v>41464.5</v>
      </c>
      <c r="F147" s="36">
        <f t="shared" ref="F147:AH147" si="22">SUM(F144:F146)</f>
        <v>43342.413367254689</v>
      </c>
      <c r="G147" s="36">
        <f t="shared" si="22"/>
        <v>44629.462475560264</v>
      </c>
      <c r="H147" s="36">
        <f t="shared" si="22"/>
        <v>46978.379153601578</v>
      </c>
      <c r="I147" s="36">
        <f t="shared" si="22"/>
        <v>50483.639846161881</v>
      </c>
      <c r="J147" s="36">
        <f t="shared" si="22"/>
        <v>53070.542842196119</v>
      </c>
      <c r="K147" s="36">
        <f t="shared" si="22"/>
        <v>59477.445059466445</v>
      </c>
      <c r="L147" s="36">
        <f t="shared" si="22"/>
        <v>62400.347313710416</v>
      </c>
      <c r="M147" s="36">
        <f t="shared" si="22"/>
        <v>65445.527251028543</v>
      </c>
      <c r="N147" s="36">
        <f t="shared" si="22"/>
        <v>68617.681653750478</v>
      </c>
      <c r="O147" s="36">
        <f t="shared" si="22"/>
        <v>71921.707245378129</v>
      </c>
      <c r="P147" s="36">
        <f t="shared" si="22"/>
        <v>75362.660041040275</v>
      </c>
      <c r="Q147" s="36">
        <f t="shared" si="22"/>
        <v>78945.614046321498</v>
      </c>
      <c r="R147" s="36">
        <f t="shared" si="22"/>
        <v>82675.927741823587</v>
      </c>
      <c r="S147" s="36">
        <f t="shared" si="22"/>
        <v>86559.815758387616</v>
      </c>
      <c r="T147" s="36">
        <f t="shared" si="22"/>
        <v>90602.231248637938</v>
      </c>
      <c r="U147" s="36">
        <f t="shared" si="22"/>
        <v>94810.329061139098</v>
      </c>
      <c r="V147" s="36">
        <f t="shared" si="22"/>
        <v>99189.802583153782</v>
      </c>
      <c r="W147" s="36">
        <f t="shared" si="22"/>
        <v>103747.14700685862</v>
      </c>
      <c r="X147" s="36">
        <f t="shared" si="22"/>
        <v>108489.0930096604</v>
      </c>
      <c r="Y147" s="36">
        <f t="shared" si="22"/>
        <v>113422.61503471887</v>
      </c>
      <c r="Z147" s="36">
        <f t="shared" si="22"/>
        <v>118554.93985719691</v>
      </c>
      <c r="AA147" s="36">
        <f t="shared" si="22"/>
        <v>123893.55544566346</v>
      </c>
      <c r="AB147" s="36">
        <f t="shared" si="22"/>
        <v>129446.22012847484</v>
      </c>
      <c r="AC147" s="36">
        <f t="shared" si="22"/>
        <v>135220.9720753438</v>
      </c>
      <c r="AD147" s="36">
        <f t="shared" si="22"/>
        <v>141226.13910467943</v>
      </c>
      <c r="AE147" s="36">
        <f t="shared" si="22"/>
        <v>147470.34882765758</v>
      </c>
      <c r="AF147" s="36">
        <f t="shared" si="22"/>
        <v>153962.53914036011</v>
      </c>
      <c r="AG147" s="36">
        <f t="shared" si="22"/>
        <v>160711.78798815043</v>
      </c>
      <c r="AH147" s="36">
        <f t="shared" si="22"/>
        <v>167722.96358057851</v>
      </c>
    </row>
    <row r="148" spans="1:34" s="277" customFormat="1" x14ac:dyDescent="0.2">
      <c r="A148" s="316"/>
      <c r="B148" s="24"/>
      <c r="C148" s="24"/>
      <c r="D148" s="24"/>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row>
    <row r="149" spans="1:34" s="20" customFormat="1" x14ac:dyDescent="0.2">
      <c r="A149" s="316"/>
      <c r="B149" s="19" t="s">
        <v>89</v>
      </c>
      <c r="E149" s="37"/>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row>
    <row r="150" spans="1:34" s="277" customFormat="1" x14ac:dyDescent="0.2">
      <c r="A150" s="316"/>
      <c r="B150" s="25" t="s">
        <v>37</v>
      </c>
      <c r="C150" s="24"/>
      <c r="D150" s="24"/>
      <c r="E150" s="35">
        <f>IF(E$141=1,Calculations!E1147,0)</f>
        <v>1000</v>
      </c>
      <c r="F150" s="35">
        <f>IF(F$141=1,Calculations!F1147,0)</f>
        <v>1098.6666666666667</v>
      </c>
      <c r="G150" s="35">
        <f>IF(G$141=1,Calculations!G1147,0)</f>
        <v>1202.3533333333335</v>
      </c>
      <c r="H150" s="35">
        <f>IF(H$141=1,Calculations!H1147,0)</f>
        <v>1311.2724000000003</v>
      </c>
      <c r="I150" s="35">
        <f>IF(I$141=1,Calculations!I1147,0)</f>
        <v>1500.6784133333335</v>
      </c>
      <c r="J150" s="35">
        <f>IF(J$141=1,Calculations!J1147,0)</f>
        <v>1545.6987657333334</v>
      </c>
      <c r="K150" s="35">
        <f>IF(K$141=1,Calculations!K1147,0)</f>
        <v>1592.0697287053335</v>
      </c>
      <c r="L150" s="35">
        <f>IF(L$141=1,Calculations!L1147,0)</f>
        <v>1639.8318205664934</v>
      </c>
      <c r="M150" s="35">
        <f>IF(M$141=1,Calculations!M1147,0)</f>
        <v>1689.0267751834886</v>
      </c>
      <c r="N150" s="35">
        <f>IF(N$141=1,Calculations!N1147,0)</f>
        <v>1739.6975784389929</v>
      </c>
      <c r="O150" s="35">
        <f>IF(O$141=1,Calculations!O1147,0)</f>
        <v>1791.888505792163</v>
      </c>
      <c r="P150" s="35">
        <f>IF(P$141=1,Calculations!P1147,0)</f>
        <v>1845.6451609659277</v>
      </c>
      <c r="Q150" s="35">
        <f>IF(Q$141=1,Calculations!Q1147,0)</f>
        <v>1901.0145157949059</v>
      </c>
      <c r="R150" s="35">
        <f>IF(R$141=1,Calculations!R1147,0)</f>
        <v>1958.0449512687533</v>
      </c>
      <c r="S150" s="35">
        <f>IF(S$141=1,Calculations!S1147,0)</f>
        <v>2016.7862998068158</v>
      </c>
      <c r="T150" s="35">
        <f>IF(T$141=1,Calculations!T1147,0)</f>
        <v>2077.2898888010204</v>
      </c>
      <c r="U150" s="35">
        <f>IF(U$141=1,Calculations!U1147,0)</f>
        <v>2139.608585465051</v>
      </c>
      <c r="V150" s="35">
        <f>IF(V$141=1,Calculations!V1147,0)</f>
        <v>2203.7968430290025</v>
      </c>
      <c r="W150" s="35">
        <f>IF(W$141=1,Calculations!W1147,0)</f>
        <v>2269.9107483198727</v>
      </c>
      <c r="X150" s="35">
        <f>IF(X$141=1,Calculations!X1147,0)</f>
        <v>2338.0080707694688</v>
      </c>
      <c r="Y150" s="35">
        <f>IF(Y$141=1,Calculations!Y1147,0)</f>
        <v>2408.1483128925529</v>
      </c>
      <c r="Z150" s="35">
        <f>IF(Z$141=1,Calculations!Z1147,0)</f>
        <v>2480.3927622793294</v>
      </c>
      <c r="AA150" s="35">
        <f>IF(AA$141=1,Calculations!AA1147,0)</f>
        <v>2554.8045451477092</v>
      </c>
      <c r="AB150" s="35">
        <f>IF(AB$141=1,Calculations!AB1147,0)</f>
        <v>2631.448681502141</v>
      </c>
      <c r="AC150" s="35">
        <f>IF(AC$141=1,Calculations!AC1147,0)</f>
        <v>2710.3921419472049</v>
      </c>
      <c r="AD150" s="35">
        <f>IF(AD$141=1,Calculations!AD1147,0)</f>
        <v>2791.703906205621</v>
      </c>
      <c r="AE150" s="35">
        <f>IF(AE$141=1,Calculations!AE1147,0)</f>
        <v>2875.4550233917898</v>
      </c>
      <c r="AF150" s="35">
        <f>IF(AF$141=1,Calculations!AF1147,0)</f>
        <v>2961.7186740935435</v>
      </c>
      <c r="AG150" s="35">
        <f>IF(AG$141=1,Calculations!AG1147,0)</f>
        <v>3050.5702343163498</v>
      </c>
      <c r="AH150" s="35">
        <f>IF(AH$141=1,Calculations!AH1147,0)</f>
        <v>3142.0873413458403</v>
      </c>
    </row>
    <row r="151" spans="1:34" s="277" customFormat="1" x14ac:dyDescent="0.2">
      <c r="A151" s="316"/>
      <c r="B151" s="25" t="s">
        <v>40</v>
      </c>
      <c r="C151" s="24"/>
      <c r="D151" s="24"/>
      <c r="E151" s="35">
        <f>IF(E$141=1,Calculations!E1149,0)</f>
        <v>500</v>
      </c>
      <c r="F151" s="35">
        <f>IF(F$141=1,Calculations!F1149,0)</f>
        <v>523.14500762195121</v>
      </c>
      <c r="G151" s="35">
        <f>IF(G$141=1,Calculations!G1149,0)</f>
        <v>538.83935785060976</v>
      </c>
      <c r="H151" s="35">
        <f>IF(H$141=1,Calculations!H1149,0)</f>
        <v>567.80993311737814</v>
      </c>
      <c r="I151" s="35">
        <f>IF(I$141=1,Calculations!I1149,0)</f>
        <v>611.22334384527448</v>
      </c>
      <c r="J151" s="35">
        <f>IF(J$141=1,Calculations!J1149,0)</f>
        <v>643.14528721883596</v>
      </c>
      <c r="K151" s="35">
        <f>IF(K$141=1,Calculations!K1149,0)</f>
        <v>722.50630099615864</v>
      </c>
      <c r="L151" s="35">
        <f>IF(L$141=1,Calculations!L1149,0)</f>
        <v>758.59407438649112</v>
      </c>
      <c r="M151" s="35">
        <f>IF(M$141=1,Calculations!M1149,0)</f>
        <v>796.19685850934695</v>
      </c>
      <c r="N151" s="35">
        <f>IF(N$141=1,Calculations!N1149,0)</f>
        <v>835.37307501262637</v>
      </c>
      <c r="O151" s="35">
        <f>IF(O$141=1,Calculations!O1149,0)</f>
        <v>876.18328733344413</v>
      </c>
      <c r="P151" s="35">
        <f>IF(P$141=1,Calculations!P1149,0)</f>
        <v>918.69027662599967</v>
      </c>
      <c r="Q151" s="35">
        <f>IF(Q$141=1,Calculations!Q1149,0)</f>
        <v>962.95912031750822</v>
      </c>
      <c r="R151" s="35">
        <f>IF(R$141=1,Calculations!R1149,0)</f>
        <v>1009.057273381544</v>
      </c>
      <c r="S151" s="35">
        <f>IF(S$141=1,Calculations!S1149,0)</f>
        <v>1057.0546524211361</v>
      </c>
      <c r="T151" s="35">
        <f>IF(T$141=1,Calculations!T1149,0)</f>
        <v>1107.0237226570605</v>
      </c>
      <c r="U151" s="35">
        <f>IF(U$141=1,Calculations!U1149,0)</f>
        <v>1159.0395879199611</v>
      </c>
      <c r="V151" s="35">
        <f>IF(V$141=1,Calculations!V1149,0)</f>
        <v>1213.1800837482444</v>
      </c>
      <c r="W151" s="35">
        <f>IF(W$141=1,Calculations!W1149,0)</f>
        <v>1269.525873697097</v>
      </c>
      <c r="X151" s="35">
        <f>IF(X$141=1,Calculations!X1149,0)</f>
        <v>1328.1605489675073</v>
      </c>
      <c r="Y151" s="35">
        <f>IF(Y$141=1,Calculations!Y1149,0)</f>
        <v>1389.1707314678147</v>
      </c>
      <c r="Z151" s="35">
        <f>IF(Z$141=1,Calculations!Z1149,0)</f>
        <v>1452.6461804240698</v>
      </c>
      <c r="AA151" s="35">
        <f>IF(AA$141=1,Calculations!AA1149,0)</f>
        <v>1518.6799026593794</v>
      </c>
      <c r="AB151" s="35">
        <f>IF(AB$141=1,Calculations!AB1149,0)</f>
        <v>1587.3682666664261</v>
      </c>
      <c r="AC151" s="35">
        <f>IF(AC$141=1,Calculations!AC1149,0)</f>
        <v>1658.8111206015017</v>
      </c>
      <c r="AD151" s="35">
        <f>IF(AD$141=1,Calculations!AD1149,0)</f>
        <v>1733.1119143326819</v>
      </c>
      <c r="AE151" s="35">
        <f>IF(AE$141=1,Calculations!AE1149,0)</f>
        <v>1810.377825679192</v>
      </c>
      <c r="AF151" s="35">
        <f>IF(AF$141=1,Calculations!AF1149,0)</f>
        <v>1890.7198909835929</v>
      </c>
      <c r="AG151" s="35">
        <f>IF(AG$141=1,Calculations!AG1149,0)</f>
        <v>1974.2531401631468</v>
      </c>
      <c r="AH151" s="35">
        <f>IF(AH$141=1,Calculations!AH1149,0)</f>
        <v>2061.0967363915888</v>
      </c>
    </row>
    <row r="152" spans="1:34" s="277" customFormat="1" x14ac:dyDescent="0.2">
      <c r="A152" s="316"/>
      <c r="B152" s="25" t="s">
        <v>90</v>
      </c>
      <c r="C152" s="24"/>
      <c r="D152" s="24"/>
      <c r="E152" s="35">
        <f>IF(E$141=1,Calculations!E1151,0)</f>
        <v>500</v>
      </c>
      <c r="F152" s="35">
        <f>IF(F$141=1,Calculations!F1151,0)</f>
        <v>520.0047637195122</v>
      </c>
      <c r="G152" s="35">
        <f>IF(G$141=1,Calculations!G1151,0)</f>
        <v>532.37045541158545</v>
      </c>
      <c r="H152" s="35">
        <f>IF(H$141=1,Calculations!H1151,0)</f>
        <v>557.81547884908559</v>
      </c>
      <c r="I152" s="35">
        <f>IF(I$141=1,Calculations!I1151,0)</f>
        <v>597.49762665015271</v>
      </c>
      <c r="J152" s="35">
        <f>IF(J$141=1,Calculations!J1151,0)</f>
        <v>625.47342633011669</v>
      </c>
      <c r="K152" s="35">
        <f>IF(K$141=1,Calculations!K1151,0)</f>
        <v>697.9335784303945</v>
      </c>
      <c r="L152" s="35">
        <f>IF(L$141=1,Calculations!L1151,0)</f>
        <v>729.06585276996452</v>
      </c>
      <c r="M152" s="35">
        <f>IF(M$141=1,Calculations!M1151,0)</f>
        <v>761.4379233493213</v>
      </c>
      <c r="N152" s="35">
        <f>IF(N$141=1,Calculations!N1151,0)</f>
        <v>795.09615889594659</v>
      </c>
      <c r="O152" s="35">
        <f>IF(O$141=1,Calculations!O1151,0)</f>
        <v>830.08859444435495</v>
      </c>
      <c r="P152" s="35">
        <f>IF(P$141=1,Calculations!P1151,0)</f>
        <v>866.46498958266147</v>
      </c>
      <c r="Q152" s="35">
        <f>IF(Q$141=1,Calculations!Q1151,0)</f>
        <v>904.27688869426652</v>
      </c>
      <c r="R152" s="35">
        <f>IF(R$141=1,Calculations!R1151,0)</f>
        <v>943.57768326194355</v>
      </c>
      <c r="S152" s="35">
        <f>IF(S$141=1,Calculations!S1151,0)</f>
        <v>984.42267630385652</v>
      </c>
      <c r="T152" s="35">
        <f>IF(T$141=1,Calculations!T1151,0)</f>
        <v>1026.8691490133483</v>
      </c>
      <c r="U152" s="35">
        <f>IF(U$141=1,Calculations!U1151,0)</f>
        <v>1070.9764296767362</v>
      </c>
      <c r="V152" s="35">
        <f>IF(V$141=1,Calculations!V1151,0)</f>
        <v>1116.8059649458153</v>
      </c>
      <c r="W152" s="35">
        <f>IF(W$141=1,Calculations!W1151,0)</f>
        <v>1164.4213935443299</v>
      </c>
      <c r="X152" s="35">
        <f>IF(X$141=1,Calculations!X1151,0)</f>
        <v>1213.8886224903044</v>
      </c>
      <c r="Y152" s="35">
        <f>IF(Y$141=1,Calculations!Y1151,0)</f>
        <v>1265.2759059188475</v>
      </c>
      <c r="Z152" s="35">
        <f>IF(Z$141=1,Calculations!Z1151,0)</f>
        <v>1318.6539265928616</v>
      </c>
      <c r="AA152" s="35">
        <f>IF(AA$141=1,Calculations!AA1151,0)</f>
        <v>1374.0958801919901</v>
      </c>
      <c r="AB152" s="35">
        <f>IF(AB$141=1,Calculations!AB1151,0)</f>
        <v>1431.6775624731322</v>
      </c>
      <c r="AC152" s="35">
        <f>IF(AC$141=1,Calculations!AC1151,0)</f>
        <v>1491.47745939897</v>
      </c>
      <c r="AD152" s="35">
        <f>IF(AD$141=1,Calculations!AD1151,0)</f>
        <v>1553.5768403341324</v>
      </c>
      <c r="AE152" s="35">
        <f>IF(AE$141=1,Calculations!AE1151,0)</f>
        <v>1618.0598544119455</v>
      </c>
      <c r="AF152" s="35">
        <f>IF(AF$141=1,Calculations!AF1151,0)</f>
        <v>1685.0136301781265</v>
      </c>
      <c r="AG152" s="35">
        <f>IF(AG$141=1,Calculations!AG1151,0)</f>
        <v>1754.5283786213076</v>
      </c>
      <c r="AH152" s="35">
        <f>IF(AH$141=1,Calculations!AH1151,0)</f>
        <v>1826.6974997039199</v>
      </c>
    </row>
    <row r="153" spans="1:34" s="277" customFormat="1" x14ac:dyDescent="0.2">
      <c r="A153" s="316"/>
      <c r="B153" s="25" t="s">
        <v>91</v>
      </c>
      <c r="C153" s="24"/>
      <c r="D153" s="24"/>
      <c r="E153" s="35">
        <f>IF(E$141=1,Calculations!E1153,0)</f>
        <v>500</v>
      </c>
      <c r="F153" s="35">
        <f>IF(F$141=1,Calculations!F1153,0)</f>
        <v>526.28525152439022</v>
      </c>
      <c r="G153" s="35">
        <f>IF(G$141=1,Calculations!G1153,0)</f>
        <v>545.30826028963418</v>
      </c>
      <c r="H153" s="35">
        <f>IF(H$141=1,Calculations!H1153,0)</f>
        <v>577.80438738567079</v>
      </c>
      <c r="I153" s="35">
        <f>IF(I$141=1,Calculations!I1153,0)</f>
        <v>624.94906104039649</v>
      </c>
      <c r="J153" s="35">
        <f>IF(J$141=1,Calculations!J1153,0)</f>
        <v>660.81714810755534</v>
      </c>
      <c r="K153" s="35">
        <f>IF(K$141=1,Calculations!K1153,0)</f>
        <v>747.07902356192301</v>
      </c>
      <c r="L153" s="35">
        <f>IF(L$141=1,Calculations!L1153,0)</f>
        <v>788.12229600301816</v>
      </c>
      <c r="M153" s="35">
        <f>IF(M$141=1,Calculations!M1153,0)</f>
        <v>830.95579366937295</v>
      </c>
      <c r="N153" s="35">
        <f>IF(N$141=1,Calculations!N1153,0)</f>
        <v>875.6499911293065</v>
      </c>
      <c r="O153" s="35">
        <f>IF(O$141=1,Calculations!O1153,0)</f>
        <v>922.27798022253353</v>
      </c>
      <c r="P153" s="35">
        <f>IF(P$141=1,Calculations!P1153,0)</f>
        <v>970.91556366933787</v>
      </c>
      <c r="Q153" s="35">
        <f>IF(Q$141=1,Calculations!Q1153,0)</f>
        <v>1021.6413519407502</v>
      </c>
      <c r="R153" s="35">
        <f>IF(R$141=1,Calculations!R1153,0)</f>
        <v>1074.5368635011448</v>
      </c>
      <c r="S153" s="35">
        <f>IF(S$141=1,Calculations!S1153,0)</f>
        <v>1129.6866285384165</v>
      </c>
      <c r="T153" s="35">
        <f>IF(T$141=1,Calculations!T1153,0)</f>
        <v>1187.1782963007736</v>
      </c>
      <c r="U153" s="35">
        <f>IF(U$141=1,Calculations!U1153,0)</f>
        <v>1247.1027461631872</v>
      </c>
      <c r="V153" s="35">
        <f>IF(V$141=1,Calculations!V1153,0)</f>
        <v>1309.5542025506752</v>
      </c>
      <c r="W153" s="35">
        <f>IF(W$141=1,Calculations!W1153,0)</f>
        <v>1374.6303538498655</v>
      </c>
      <c r="X153" s="35">
        <f>IF(X$141=1,Calculations!X1153,0)</f>
        <v>1442.4324754447118</v>
      </c>
      <c r="Y153" s="35">
        <f>IF(Y$141=1,Calculations!Y1153,0)</f>
        <v>1513.0655570167839</v>
      </c>
      <c r="Z153" s="35">
        <f>IF(Z$141=1,Calculations!Z1153,0)</f>
        <v>1586.6384342552801</v>
      </c>
      <c r="AA153" s="35">
        <f>IF(AA$141=1,Calculations!AA1153,0)</f>
        <v>1663.2639251267708</v>
      </c>
      <c r="AB153" s="35">
        <f>IF(AB$141=1,Calculations!AB1153,0)</f>
        <v>1743.0589708597213</v>
      </c>
      <c r="AC153" s="35">
        <f>IF(AC$141=1,Calculations!AC1153,0)</f>
        <v>1826.1447818040347</v>
      </c>
      <c r="AD153" s="35">
        <f>IF(AD$141=1,Calculations!AD1153,0)</f>
        <v>1912.6469883312334</v>
      </c>
      <c r="AE153" s="35">
        <f>IF(AE$141=1,Calculations!AE1153,0)</f>
        <v>2002.6957969464402</v>
      </c>
      <c r="AF153" s="35">
        <f>IF(AF$141=1,Calculations!AF1153,0)</f>
        <v>2096.4261517890614</v>
      </c>
      <c r="AG153" s="35">
        <f>IF(AG$141=1,Calculations!AG1153,0)</f>
        <v>2193.9779017049882</v>
      </c>
      <c r="AH153" s="35">
        <f>IF(AH$141=1,Calculations!AH1153,0)</f>
        <v>2295.4959730792598</v>
      </c>
    </row>
    <row r="154" spans="1:34" s="277" customFormat="1" x14ac:dyDescent="0.2">
      <c r="A154" s="316"/>
      <c r="B154" s="25" t="s">
        <v>42</v>
      </c>
      <c r="C154" s="24"/>
      <c r="D154" s="24"/>
      <c r="E154" s="35">
        <f>IF(E$141=1,Calculations!E1155,0)</f>
        <v>500</v>
      </c>
      <c r="F154" s="35">
        <f>IF(F$141=1,Calculations!F1155,0)</f>
        <v>515</v>
      </c>
      <c r="G154" s="35">
        <f>IF(G$141=1,Calculations!G1155,0)</f>
        <v>530.45000000000005</v>
      </c>
      <c r="H154" s="35">
        <f>IF(H$141=1,Calculations!H1155,0)</f>
        <v>546.36350000000004</v>
      </c>
      <c r="I154" s="35">
        <f>IF(I$141=1,Calculations!I1155,0)</f>
        <v>562.75440500000002</v>
      </c>
      <c r="J154" s="35">
        <f>IF(J$141=1,Calculations!J1155,0)</f>
        <v>579.63703715000008</v>
      </c>
      <c r="K154" s="35">
        <f>IF(K$141=1,Calculations!K1155,0)</f>
        <v>597.02614826449997</v>
      </c>
      <c r="L154" s="35">
        <f>IF(L$141=1,Calculations!L1155,0)</f>
        <v>614.93693271243512</v>
      </c>
      <c r="M154" s="35">
        <f>IF(M$141=1,Calculations!M1155,0)</f>
        <v>633.38504069380815</v>
      </c>
      <c r="N154" s="35">
        <f>IF(N$141=1,Calculations!N1155,0)</f>
        <v>652.38659191462239</v>
      </c>
      <c r="O154" s="35">
        <f>IF(O$141=1,Calculations!O1155,0)</f>
        <v>671.95818967206105</v>
      </c>
      <c r="P154" s="35">
        <f>IF(P$141=1,Calculations!P1155,0)</f>
        <v>692.11693536222288</v>
      </c>
      <c r="Q154" s="35">
        <f>IF(Q$141=1,Calculations!Q1155,0)</f>
        <v>712.88044342308967</v>
      </c>
      <c r="R154" s="35">
        <f>IF(R$141=1,Calculations!R1155,0)</f>
        <v>734.2668567257823</v>
      </c>
      <c r="S154" s="35">
        <f>IF(S$141=1,Calculations!S1155,0)</f>
        <v>756.29486242755581</v>
      </c>
      <c r="T154" s="35">
        <f>IF(T$141=1,Calculations!T1155,0)</f>
        <v>778.98370830038255</v>
      </c>
      <c r="U154" s="35">
        <f>IF(U$141=1,Calculations!U1155,0)</f>
        <v>802.35321954939388</v>
      </c>
      <c r="V154" s="35">
        <f>IF(V$141=1,Calculations!V1155,0)</f>
        <v>826.42381613587577</v>
      </c>
      <c r="W154" s="35">
        <f>IF(W$141=1,Calculations!W1155,0)</f>
        <v>851.2165306199521</v>
      </c>
      <c r="X154" s="35">
        <f>IF(X$141=1,Calculations!X1155,0)</f>
        <v>876.75302653855067</v>
      </c>
      <c r="Y154" s="35">
        <f>IF(Y$141=1,Calculations!Y1155,0)</f>
        <v>903.05561733470722</v>
      </c>
      <c r="Z154" s="35">
        <f>IF(Z$141=1,Calculations!Z1155,0)</f>
        <v>930.14728585474847</v>
      </c>
      <c r="AA154" s="35">
        <f>IF(AA$141=1,Calculations!AA1155,0)</f>
        <v>958.05170443039083</v>
      </c>
      <c r="AB154" s="35">
        <f>IF(AB$141=1,Calculations!AB1155,0)</f>
        <v>986.79325556330275</v>
      </c>
      <c r="AC154" s="35">
        <f>IF(AC$141=1,Calculations!AC1155,0)</f>
        <v>1016.3970532302019</v>
      </c>
      <c r="AD154" s="35">
        <f>IF(AD$141=1,Calculations!AD1155,0)</f>
        <v>1046.8889648271079</v>
      </c>
      <c r="AE154" s="35">
        <f>IF(AE$141=1,Calculations!AE1155,0)</f>
        <v>1078.2956337719211</v>
      </c>
      <c r="AF154" s="35">
        <f>IF(AF$141=1,Calculations!AF1155,0)</f>
        <v>1110.6445027850787</v>
      </c>
      <c r="AG154" s="35">
        <f>IF(AG$141=1,Calculations!AG1155,0)</f>
        <v>1143.9638378686313</v>
      </c>
      <c r="AH154" s="35">
        <f>IF(AH$141=1,Calculations!AH1155,0)</f>
        <v>1178.2827530046902</v>
      </c>
    </row>
    <row r="155" spans="1:34" s="277" customFormat="1" x14ac:dyDescent="0.2">
      <c r="A155" s="316"/>
      <c r="B155" s="25" t="s">
        <v>73</v>
      </c>
      <c r="C155" s="24"/>
      <c r="D155" s="24"/>
      <c r="E155" s="35">
        <f>IF(E$141=1,Calculations!E1157,0)</f>
        <v>500</v>
      </c>
      <c r="F155" s="35">
        <f>IF(F$141=1,Calculations!F1157,0)</f>
        <v>515</v>
      </c>
      <c r="G155" s="35">
        <f>IF(G$141=1,Calculations!G1157,0)</f>
        <v>530.45000000000005</v>
      </c>
      <c r="H155" s="35">
        <f>IF(H$141=1,Calculations!H1157,0)</f>
        <v>546.36350000000004</v>
      </c>
      <c r="I155" s="35">
        <f>IF(I$141=1,Calculations!I1157,0)</f>
        <v>562.75440500000002</v>
      </c>
      <c r="J155" s="35">
        <f>IF(J$141=1,Calculations!J1157,0)</f>
        <v>579.63703715000008</v>
      </c>
      <c r="K155" s="35">
        <f>IF(K$141=1,Calculations!K1157,0)</f>
        <v>597.02614826449997</v>
      </c>
      <c r="L155" s="35">
        <f>IF(L$141=1,Calculations!L1157,0)</f>
        <v>614.93693271243512</v>
      </c>
      <c r="M155" s="35">
        <f>IF(M$141=1,Calculations!M1157,0)</f>
        <v>633.38504069380815</v>
      </c>
      <c r="N155" s="35">
        <f>IF(N$141=1,Calculations!N1157,0)</f>
        <v>652.38659191462239</v>
      </c>
      <c r="O155" s="35">
        <f>IF(O$141=1,Calculations!O1157,0)</f>
        <v>671.95818967206105</v>
      </c>
      <c r="P155" s="35">
        <f>IF(P$141=1,Calculations!P1157,0)</f>
        <v>692.11693536222288</v>
      </c>
      <c r="Q155" s="35">
        <f>IF(Q$141=1,Calculations!Q1157,0)</f>
        <v>712.88044342308967</v>
      </c>
      <c r="R155" s="35">
        <f>IF(R$141=1,Calculations!R1157,0)</f>
        <v>734.2668567257823</v>
      </c>
      <c r="S155" s="35">
        <f>IF(S$141=1,Calculations!S1157,0)</f>
        <v>756.29486242755581</v>
      </c>
      <c r="T155" s="35">
        <f>IF(T$141=1,Calculations!T1157,0)</f>
        <v>778.98370830038255</v>
      </c>
      <c r="U155" s="35">
        <f>IF(U$141=1,Calculations!U1157,0)</f>
        <v>802.35321954939388</v>
      </c>
      <c r="V155" s="35">
        <f>IF(V$141=1,Calculations!V1157,0)</f>
        <v>826.42381613587577</v>
      </c>
      <c r="W155" s="35">
        <f>IF(W$141=1,Calculations!W1157,0)</f>
        <v>851.2165306199521</v>
      </c>
      <c r="X155" s="35">
        <f>IF(X$141=1,Calculations!X1157,0)</f>
        <v>876.75302653855067</v>
      </c>
      <c r="Y155" s="35">
        <f>IF(Y$141=1,Calculations!Y1157,0)</f>
        <v>903.05561733470722</v>
      </c>
      <c r="Z155" s="35">
        <f>IF(Z$141=1,Calculations!Z1157,0)</f>
        <v>930.14728585474847</v>
      </c>
      <c r="AA155" s="35">
        <f>IF(AA$141=1,Calculations!AA1157,0)</f>
        <v>958.05170443039083</v>
      </c>
      <c r="AB155" s="35">
        <f>IF(AB$141=1,Calculations!AB1157,0)</f>
        <v>986.79325556330275</v>
      </c>
      <c r="AC155" s="35">
        <f>IF(AC$141=1,Calculations!AC1157,0)</f>
        <v>1016.3970532302019</v>
      </c>
      <c r="AD155" s="35">
        <f>IF(AD$141=1,Calculations!AD1157,0)</f>
        <v>1046.8889648271079</v>
      </c>
      <c r="AE155" s="35">
        <f>IF(AE$141=1,Calculations!AE1157,0)</f>
        <v>1078.2956337719211</v>
      </c>
      <c r="AF155" s="35">
        <f>IF(AF$141=1,Calculations!AF1157,0)</f>
        <v>1110.6445027850787</v>
      </c>
      <c r="AG155" s="35">
        <f>IF(AG$141=1,Calculations!AG1157,0)</f>
        <v>1143.9638378686313</v>
      </c>
      <c r="AH155" s="35">
        <f>IF(AH$141=1,Calculations!AH1157,0)</f>
        <v>1178.2827530046902</v>
      </c>
    </row>
    <row r="156" spans="1:34" s="277" customFormat="1" x14ac:dyDescent="0.2">
      <c r="A156" s="316"/>
      <c r="B156" s="23" t="s">
        <v>92</v>
      </c>
      <c r="C156" s="24"/>
      <c r="D156" s="24"/>
      <c r="E156" s="36">
        <f t="shared" ref="E156:AH156" si="23">SUM(E150:E155)</f>
        <v>3500</v>
      </c>
      <c r="F156" s="36">
        <f t="shared" si="23"/>
        <v>3698.1016895325206</v>
      </c>
      <c r="G156" s="36">
        <f t="shared" si="23"/>
        <v>3879.7714068851628</v>
      </c>
      <c r="H156" s="36">
        <f t="shared" si="23"/>
        <v>4107.4291993521347</v>
      </c>
      <c r="I156" s="36">
        <f t="shared" si="23"/>
        <v>4459.8572548691573</v>
      </c>
      <c r="J156" s="36">
        <f t="shared" si="23"/>
        <v>4634.408701689842</v>
      </c>
      <c r="K156" s="36">
        <f t="shared" si="23"/>
        <v>4953.6409282228096</v>
      </c>
      <c r="L156" s="36">
        <f t="shared" si="23"/>
        <v>5145.4879091508374</v>
      </c>
      <c r="M156" s="36">
        <f t="shared" si="23"/>
        <v>5344.3874320991463</v>
      </c>
      <c r="N156" s="36">
        <f t="shared" si="23"/>
        <v>5550.5899873061171</v>
      </c>
      <c r="O156" s="36">
        <f t="shared" si="23"/>
        <v>5764.3547471366173</v>
      </c>
      <c r="P156" s="36">
        <f t="shared" si="23"/>
        <v>5985.9498615683724</v>
      </c>
      <c r="Q156" s="36">
        <f t="shared" si="23"/>
        <v>6215.6527635936109</v>
      </c>
      <c r="R156" s="36">
        <f t="shared" si="23"/>
        <v>6453.7504848649505</v>
      </c>
      <c r="S156" s="36">
        <f t="shared" si="23"/>
        <v>6700.5399819253362</v>
      </c>
      <c r="T156" s="36">
        <f t="shared" si="23"/>
        <v>6956.328473372967</v>
      </c>
      <c r="U156" s="36">
        <f t="shared" si="23"/>
        <v>7221.4337883237231</v>
      </c>
      <c r="V156" s="36">
        <f t="shared" si="23"/>
        <v>7496.184726545489</v>
      </c>
      <c r="W156" s="36">
        <f t="shared" si="23"/>
        <v>7780.9214306510694</v>
      </c>
      <c r="X156" s="36">
        <f t="shared" si="23"/>
        <v>8075.995770749093</v>
      </c>
      <c r="Y156" s="36">
        <f t="shared" si="23"/>
        <v>8381.7717419654127</v>
      </c>
      <c r="Z156" s="36">
        <f t="shared" si="23"/>
        <v>8698.6258752610374</v>
      </c>
      <c r="AA156" s="36">
        <f t="shared" si="23"/>
        <v>9026.9476619866309</v>
      </c>
      <c r="AB156" s="36">
        <f t="shared" si="23"/>
        <v>9367.1399926280283</v>
      </c>
      <c r="AC156" s="36">
        <f t="shared" si="23"/>
        <v>9719.6196102121139</v>
      </c>
      <c r="AD156" s="36">
        <f t="shared" si="23"/>
        <v>10084.817578857885</v>
      </c>
      <c r="AE156" s="36">
        <f t="shared" si="23"/>
        <v>10463.179767973208</v>
      </c>
      <c r="AF156" s="36">
        <f t="shared" si="23"/>
        <v>10855.167352614482</v>
      </c>
      <c r="AG156" s="36">
        <f t="shared" si="23"/>
        <v>11261.257330543056</v>
      </c>
      <c r="AH156" s="36">
        <f t="shared" si="23"/>
        <v>11681.94305652999</v>
      </c>
    </row>
    <row r="157" spans="1:34" s="277" customFormat="1" x14ac:dyDescent="0.2">
      <c r="A157" s="316"/>
      <c r="B157" s="23"/>
      <c r="C157" s="24"/>
      <c r="D157" s="24"/>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row>
    <row r="158" spans="1:34" s="20" customFormat="1" x14ac:dyDescent="0.2">
      <c r="A158" s="316"/>
      <c r="B158" s="19" t="s">
        <v>593</v>
      </c>
      <c r="E158" s="37"/>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row>
    <row r="159" spans="1:34" s="277" customFormat="1" x14ac:dyDescent="0.2">
      <c r="A159" s="316"/>
      <c r="B159" s="505" t="s">
        <v>594</v>
      </c>
      <c r="E159" s="506">
        <f>IF(E$141=1,Calculations!E1133+Calculations!E1134+Calculations!E1136-Calculations!E1162-Calculations!E1163-Calculations!E1165,0)</f>
        <v>-550</v>
      </c>
      <c r="F159" s="506">
        <f>IF(F$141=1,Calculations!F1133+Calculations!F1134+Calculations!F1136-Calculations!F1162-Calculations!F1163-Calculations!F1165,0)</f>
        <v>-566.5</v>
      </c>
      <c r="G159" s="506">
        <f>IF(G$141=1,Calculations!G1133+Calculations!G1134+Calculations!G1136-Calculations!G1162-Calculations!G1163-Calculations!G1165,0)</f>
        <v>-583.495</v>
      </c>
      <c r="H159" s="506">
        <f>IF(H$141=1,Calculations!H1133+Calculations!H1134+Calculations!H1136-Calculations!H1162-Calculations!H1163-Calculations!H1165,0)</f>
        <v>-600.99985000000004</v>
      </c>
      <c r="I159" s="506">
        <f>IF(I$141=1,Calculations!I1133+Calculations!I1134+Calculations!I1136-Calculations!I1162-Calculations!I1163-Calculations!I1165,0)</f>
        <v>-619.02984549999996</v>
      </c>
      <c r="J159" s="506">
        <f>IF(J$141=1,Calculations!J1133+Calculations!J1134+Calculations!J1136-Calculations!J1162-Calculations!J1163-Calculations!J1165,0)</f>
        <v>-637.60074086500003</v>
      </c>
      <c r="K159" s="506">
        <f>IF(K$141=1,Calculations!K1133+Calculations!K1134+Calculations!K1136-Calculations!K1162-Calculations!K1163-Calculations!K1165,0)</f>
        <v>-656.72876309095</v>
      </c>
      <c r="L159" s="506">
        <f>IF(L$141=1,Calculations!L1133+Calculations!L1134+Calculations!L1136-Calculations!L1162-Calculations!L1163-Calculations!L1165,0)</f>
        <v>-676.43062598367862</v>
      </c>
      <c r="M159" s="506">
        <f>IF(M$141=1,Calculations!M1133+Calculations!M1134+Calculations!M1136-Calculations!M1162-Calculations!M1163-Calculations!M1165,0)</f>
        <v>-696.72354476318901</v>
      </c>
      <c r="N159" s="506">
        <f>IF(N$141=1,Calculations!N1133+Calculations!N1134+Calculations!N1136-Calculations!N1162-Calculations!N1163-Calculations!N1165,0)</f>
        <v>-717.62525110608465</v>
      </c>
      <c r="O159" s="506">
        <f>IF(O$141=1,Calculations!O1133+Calculations!O1134+Calculations!O1136-Calculations!O1162-Calculations!O1163-Calculations!O1165,0)</f>
        <v>-739.1540086392672</v>
      </c>
      <c r="P159" s="506">
        <f>IF(P$141=1,Calculations!P1133+Calculations!P1134+Calculations!P1136-Calculations!P1162-Calculations!P1163-Calculations!P1165,0)</f>
        <v>-761.32862889844512</v>
      </c>
      <c r="Q159" s="506">
        <f>IF(Q$141=1,Calculations!Q1133+Calculations!Q1134+Calculations!Q1136-Calculations!Q1162-Calculations!Q1163-Calculations!Q1165,0)</f>
        <v>-784.1684877653986</v>
      </c>
      <c r="R159" s="506">
        <f>IF(R$141=1,Calculations!R1133+Calculations!R1134+Calculations!R1136-Calculations!R1162-Calculations!R1163-Calculations!R1165,0)</f>
        <v>-807.69354239836048</v>
      </c>
      <c r="S159" s="506">
        <f>IF(S$141=1,Calculations!S1133+Calculations!S1134+Calculations!S1136-Calculations!S1162-Calculations!S1163-Calculations!S1165,0)</f>
        <v>-831.92434867031136</v>
      </c>
      <c r="T159" s="506">
        <f>IF(T$141=1,Calculations!T1133+Calculations!T1134+Calculations!T1136-Calculations!T1162-Calculations!T1163-Calculations!T1165,0)</f>
        <v>-856.88207913042083</v>
      </c>
      <c r="U159" s="506">
        <f>IF(U$141=1,Calculations!U1133+Calculations!U1134+Calculations!U1136-Calculations!U1162-Calculations!U1163-Calculations!U1165,0)</f>
        <v>-882.58854150433331</v>
      </c>
      <c r="V159" s="506">
        <f>IF(V$141=1,Calculations!V1133+Calculations!V1134+Calculations!V1136-Calculations!V1162-Calculations!V1163-Calculations!V1165,0)</f>
        <v>-909.0661977494633</v>
      </c>
      <c r="W159" s="506">
        <f>IF(W$141=1,Calculations!W1133+Calculations!W1134+Calculations!W1136-Calculations!W1162-Calculations!W1163-Calculations!W1165,0)</f>
        <v>-936.33818368194727</v>
      </c>
      <c r="X159" s="506">
        <f>IF(X$141=1,Calculations!X1133+Calculations!X1134+Calculations!X1136-Calculations!X1162-Calculations!X1163-Calculations!X1165,0)</f>
        <v>-964.42832919240573</v>
      </c>
      <c r="Y159" s="506">
        <f>IF(Y$141=1,Calculations!Y1133+Calculations!Y1134+Calculations!Y1136-Calculations!Y1162-Calculations!Y1163-Calculations!Y1165,0)</f>
        <v>-993.36117906817799</v>
      </c>
      <c r="Z159" s="506">
        <f>IF(Z$141=1,Calculations!Z1133+Calculations!Z1134+Calculations!Z1136-Calculations!Z1162-Calculations!Z1163-Calculations!Z1165,0)</f>
        <v>-1023.1620144402233</v>
      </c>
      <c r="AA159" s="506">
        <f>IF(AA$141=1,Calculations!AA1133+Calculations!AA1134+Calculations!AA1136-Calculations!AA1162-Calculations!AA1163-Calculations!AA1165,0)</f>
        <v>-1053.8568748734299</v>
      </c>
      <c r="AB159" s="506">
        <f>IF(AB$141=1,Calculations!AB1133+Calculations!AB1134+Calculations!AB1136-Calculations!AB1162-Calculations!AB1163-Calculations!AB1165,0)</f>
        <v>-1085.4725811196331</v>
      </c>
      <c r="AC159" s="506">
        <f>IF(AC$141=1,Calculations!AC1133+Calculations!AC1134+Calculations!AC1136-Calculations!AC1162-Calculations!AC1163-Calculations!AC1165,0)</f>
        <v>-1118.0367585532222</v>
      </c>
      <c r="AD159" s="506">
        <f>IF(AD$141=1,Calculations!AD1133+Calculations!AD1134+Calculations!AD1136-Calculations!AD1162-Calculations!AD1163-Calculations!AD1165,0)</f>
        <v>-1151.5778613098187</v>
      </c>
      <c r="AE159" s="506">
        <f>IF(AE$141=1,Calculations!AE1133+Calculations!AE1134+Calculations!AE1136-Calculations!AE1162-Calculations!AE1163-Calculations!AE1165,0)</f>
        <v>-1186.1251971491131</v>
      </c>
      <c r="AF159" s="506">
        <f>IF(AF$141=1,Calculations!AF1133+Calculations!AF1134+Calculations!AF1136-Calculations!AF1162-Calculations!AF1163-Calculations!AF1165,0)</f>
        <v>-1221.7089530635865</v>
      </c>
      <c r="AG159" s="506">
        <f>IF(AG$141=1,Calculations!AG1133+Calculations!AG1134+Calculations!AG1136-Calculations!AG1162-Calculations!AG1163-Calculations!AG1165,0)</f>
        <v>-1258.3602216554943</v>
      </c>
      <c r="AH159" s="506">
        <f>IF(AH$141=1,Calculations!AH1133+Calculations!AH1134+Calculations!AH1136-Calculations!AH1162-Calculations!AH1163-Calculations!AH1165,0)</f>
        <v>-1296.1110283051592</v>
      </c>
    </row>
    <row r="160" spans="1:34" s="277" customFormat="1" x14ac:dyDescent="0.2">
      <c r="A160" s="316"/>
      <c r="B160" s="23"/>
      <c r="C160" s="24"/>
      <c r="D160" s="24"/>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row>
    <row r="161" spans="1:34" s="277" customFormat="1" x14ac:dyDescent="0.2">
      <c r="A161" s="316"/>
      <c r="B161" s="27" t="s">
        <v>93</v>
      </c>
      <c r="C161" s="24"/>
      <c r="D161" s="24"/>
      <c r="E161" s="36">
        <f>IF(E$141=1,E147-E156+E159,0)</f>
        <v>37414.5</v>
      </c>
      <c r="F161" s="36">
        <f t="shared" ref="F161:AH161" si="24">IF(F$141=1,F147-F156+F159,0)</f>
        <v>39077.811677722166</v>
      </c>
      <c r="G161" s="36">
        <f t="shared" si="24"/>
        <v>40166.196068675097</v>
      </c>
      <c r="H161" s="36">
        <f t="shared" si="24"/>
        <v>42269.950104249445</v>
      </c>
      <c r="I161" s="36">
        <f t="shared" si="24"/>
        <v>45404.752745792721</v>
      </c>
      <c r="J161" s="36">
        <f t="shared" si="24"/>
        <v>47798.533399641281</v>
      </c>
      <c r="K161" s="36">
        <f t="shared" si="24"/>
        <v>53867.075368152684</v>
      </c>
      <c r="L161" s="36">
        <f t="shared" si="24"/>
        <v>56578.428778575901</v>
      </c>
      <c r="M161" s="36">
        <f t="shared" si="24"/>
        <v>59404.416274166208</v>
      </c>
      <c r="N161" s="36">
        <f t="shared" si="24"/>
        <v>62349.466415338284</v>
      </c>
      <c r="O161" s="36">
        <f t="shared" si="24"/>
        <v>65418.19848960224</v>
      </c>
      <c r="P161" s="36">
        <f t="shared" si="24"/>
        <v>68615.381550573467</v>
      </c>
      <c r="Q161" s="36">
        <f t="shared" si="24"/>
        <v>71945.792794962486</v>
      </c>
      <c r="R161" s="36">
        <f t="shared" si="24"/>
        <v>75414.483714560265</v>
      </c>
      <c r="S161" s="36">
        <f t="shared" si="24"/>
        <v>79027.351427791975</v>
      </c>
      <c r="T161" s="36">
        <f t="shared" si="24"/>
        <v>82789.020696134554</v>
      </c>
      <c r="U161" s="36">
        <f t="shared" si="24"/>
        <v>86706.306731311051</v>
      </c>
      <c r="V161" s="36">
        <f t="shared" si="24"/>
        <v>90784.551658858836</v>
      </c>
      <c r="W161" s="36">
        <f t="shared" si="24"/>
        <v>95029.887392525605</v>
      </c>
      <c r="X161" s="36">
        <f t="shared" si="24"/>
        <v>99448.668909718894</v>
      </c>
      <c r="Y161" s="36">
        <f t="shared" si="24"/>
        <v>104047.48211368528</v>
      </c>
      <c r="Z161" s="36">
        <f t="shared" si="24"/>
        <v>108833.15196749565</v>
      </c>
      <c r="AA161" s="36">
        <f t="shared" si="24"/>
        <v>113812.7509088034</v>
      </c>
      <c r="AB161" s="36">
        <f t="shared" si="24"/>
        <v>118993.60755472718</v>
      </c>
      <c r="AC161" s="36">
        <f t="shared" si="24"/>
        <v>124383.31570657846</v>
      </c>
      <c r="AD161" s="36">
        <f t="shared" si="24"/>
        <v>129989.74366451173</v>
      </c>
      <c r="AE161" s="36">
        <f t="shared" si="24"/>
        <v>135821.04386253527</v>
      </c>
      <c r="AF161" s="36">
        <f t="shared" si="24"/>
        <v>141885.66283468204</v>
      </c>
      <c r="AG161" s="36">
        <f t="shared" si="24"/>
        <v>148192.17043595188</v>
      </c>
      <c r="AH161" s="36">
        <f t="shared" si="24"/>
        <v>154744.90949574334</v>
      </c>
    </row>
    <row r="162" spans="1:34" s="277" customFormat="1" x14ac:dyDescent="0.2">
      <c r="A162" s="316"/>
      <c r="B162" s="23"/>
      <c r="C162" s="24"/>
      <c r="D162" s="24"/>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c r="AC162" s="39"/>
      <c r="AD162" s="39"/>
      <c r="AE162" s="39"/>
      <c r="AF162" s="39"/>
      <c r="AG162" s="39"/>
      <c r="AH162" s="39"/>
    </row>
    <row r="163" spans="1:34" s="277" customFormat="1" x14ac:dyDescent="0.2">
      <c r="A163" s="316"/>
      <c r="B163" s="25" t="s">
        <v>94</v>
      </c>
      <c r="C163" s="24"/>
      <c r="D163" s="24"/>
      <c r="E163" s="35">
        <f>IF(Calculations!E19=1,IF(E4=1,'Assumptions - Infrastructure'!$E$60,IF(E$141=1,Calculations!E935+Calculations!E942+Calculations!E951+Calculations!E958+Calculations!E967+Calculations!E974+Calculations!E983+Calculations!E990+Calculations!E999+Calculations!E1006+Calculations!E1015+Calculations!E1022, " ")),0)</f>
        <v>50</v>
      </c>
      <c r="F163" s="35">
        <f>IF(Calculations!F19=1,IF(F4=1,'Assumptions - Infrastructure'!$E$60,IF(F$141=1,Calculations!F935+Calculations!F942+Calculations!F951+Calculations!F958+Calculations!F967+Calculations!F974+Calculations!F983+Calculations!F990+Calculations!F999+Calculations!F1006+Calculations!F1015+Calculations!F1022, " ")),0)</f>
        <v>50.318937464629315</v>
      </c>
      <c r="G163" s="35">
        <f>IF(Calculations!G19=1,IF(G4=1,'Assumptions - Infrastructure'!$E$60,IF(G$141=1,Calculations!G935+Calculations!G942+Calculations!G951+Calculations!G958+Calculations!G967+Calculations!G974+Calculations!G983+Calculations!G990+Calculations!G999+Calculations!G1006+Calculations!G1015+Calculations!G1022, " ")),0)</f>
        <v>66.353357390991192</v>
      </c>
      <c r="H163" s="35">
        <f>IF(Calculations!H19=1,IF(H4=1,'Assumptions - Infrastructure'!$E$60,IF(H$141=1,Calculations!H935+Calculations!H942+Calculations!H951+Calculations!H958+Calculations!H967+Calculations!H974+Calculations!H983+Calculations!H990+Calculations!H999+Calculations!H1006+Calculations!H1015+Calculations!H1022, " ")),0)</f>
        <v>78.031650835139601</v>
      </c>
      <c r="I163" s="35">
        <f>IF(Calculations!I19=1,IF(I4=1,'Assumptions - Infrastructure'!$E$60,IF(I$141=1,Calculations!I935+Calculations!I942+Calculations!I951+Calculations!I958+Calculations!I967+Calculations!I974+Calculations!I983+Calculations!I990+Calculations!I999+Calculations!I1006+Calculations!I1015+Calculations!I1022, " ")),0)</f>
        <v>89.709944279288052</v>
      </c>
      <c r="J163" s="35">
        <f>IF(Calculations!J19=1,IF(J4=1,'Assumptions - Infrastructure'!$E$60,IF(J$141=1,Calculations!J935+Calculations!J942+Calculations!J951+Calculations!J958+Calculations!J967+Calculations!J974+Calculations!J983+Calculations!J990+Calculations!J999+Calculations!J1006+Calculations!J1015+Calculations!J1022, " ")),0)</f>
        <v>101.38823772343648</v>
      </c>
      <c r="K163" s="35">
        <f>IF(Calculations!K19=1,IF(K4=1,'Assumptions - Infrastructure'!$E$60,IF(K$141=1,Calculations!K935+Calculations!K942+Calculations!K951+Calculations!K958+Calculations!K967+Calculations!K974+Calculations!K983+Calculations!K990+Calculations!K999+Calculations!K1006+Calculations!K1015+Calculations!K1022, " ")),0)</f>
        <v>113.0665311675849</v>
      </c>
      <c r="L163" s="35">
        <f>IF(Calculations!L19=1,IF(L4=1,'Assumptions - Infrastructure'!$E$60,IF(L$141=1,Calculations!L935+Calculations!L942+Calculations!L951+Calculations!L958+Calculations!L967+Calculations!L974+Calculations!L983+Calculations!L990+Calculations!L999+Calculations!L1006+Calculations!L1015+Calculations!L1022, " ")),0)</f>
        <v>124.74482461173334</v>
      </c>
      <c r="M163" s="35">
        <f>IF(Calculations!M19=1,IF(M4=1,'Assumptions - Infrastructure'!$E$60,IF(M$141=1,Calculations!M935+Calculations!M942+Calculations!M951+Calculations!M958+Calculations!M967+Calculations!M974+Calculations!M983+Calculations!M990+Calculations!M999+Calculations!M1006+Calculations!M1015+Calculations!M1022, " ")),0)</f>
        <v>136.42311805588176</v>
      </c>
      <c r="N163" s="35">
        <f>IF(Calculations!N19=1,IF(N4=1,'Assumptions - Infrastructure'!$E$60,IF(N$141=1,Calculations!N935+Calculations!N942+Calculations!N951+Calculations!N958+Calculations!N967+Calculations!N974+Calculations!N983+Calculations!N990+Calculations!N999+Calculations!N1006+Calculations!N1015+Calculations!N1022, " ")),0)</f>
        <v>147.8945391297637</v>
      </c>
      <c r="O163" s="35">
        <f>IF(Calculations!O19=1,IF(O4=1,'Assumptions - Infrastructure'!$E$60,IF(O$141=1,Calculations!O935+Calculations!O942+Calculations!O951+Calculations!O958+Calculations!O967+Calculations!O974+Calculations!O983+Calculations!O990+Calculations!O999+Calculations!O1006+Calculations!O1015+Calculations!O1022, " ")),0)</f>
        <v>159.62542724431887</v>
      </c>
      <c r="P163" s="35">
        <f>IF(Calculations!P19=1,IF(P4=1,'Assumptions - Infrastructure'!$E$60,IF(P$141=1,Calculations!P935+Calculations!P942+Calculations!P951+Calculations!P958+Calculations!P967+Calculations!P974+Calculations!P983+Calculations!P990+Calculations!P999+Calculations!P1006+Calculations!P1015+Calculations!P1022, " ")),0)</f>
        <v>171.46501101104795</v>
      </c>
      <c r="Q163" s="35">
        <f>IF(Calculations!Q19=1,IF(Q4=1,'Assumptions - Infrastructure'!$E$60,IF(Q$141=1,Calculations!Q935+Calculations!Q942+Calculations!Q951+Calculations!Q958+Calculations!Q967+Calculations!Q974+Calculations!Q983+Calculations!Q990+Calculations!Q999+Calculations!Q1006+Calculations!Q1015+Calculations!Q1022, " ")),0)</f>
        <v>179.30459477777706</v>
      </c>
      <c r="R163" s="35">
        <f>IF(Calculations!R19=1,IF(R4=1,'Assumptions - Infrastructure'!$E$60,IF(R$141=1,Calculations!R935+Calculations!R942+Calculations!R951+Calculations!R958+Calculations!R967+Calculations!R974+Calculations!R983+Calculations!R990+Calculations!R999+Calculations!R1006+Calculations!R1015+Calculations!R1022, " ")),0)</f>
        <v>181.36881622566551</v>
      </c>
      <c r="S163" s="35">
        <f>IF(Calculations!S19=1,IF(S4=1,'Assumptions - Infrastructure'!$E$60,IF(S$141=1,Calculations!S935+Calculations!S942+Calculations!S951+Calculations!S958+Calculations!S967+Calculations!S974+Calculations!S983+Calculations!S990+Calculations!S999+Calculations!S1006+Calculations!S1015+Calculations!S1022, " ")),0)</f>
        <v>192.43303767355403</v>
      </c>
      <c r="T163" s="35">
        <f>IF(Calculations!T19=1,IF(T4=1,'Assumptions - Infrastructure'!$E$60,IF(T$141=1,Calculations!T935+Calculations!T942+Calculations!T951+Calculations!T958+Calculations!T967+Calculations!T974+Calculations!T983+Calculations!T990+Calculations!T999+Calculations!T1006+Calculations!T1015+Calculations!T1022, " ")),0)</f>
        <v>190.29271366689707</v>
      </c>
      <c r="U163" s="35">
        <f>IF(Calculations!U19=1,IF(U4=1,'Assumptions - Infrastructure'!$E$60,IF(U$141=1,Calculations!U935+Calculations!U942+Calculations!U951+Calculations!U958+Calculations!U967+Calculations!U974+Calculations!U983+Calculations!U990+Calculations!U999+Calculations!U1006+Calculations!U1015+Calculations!U1022, " ")),0)</f>
        <v>202.51791996327037</v>
      </c>
      <c r="V163" s="35">
        <f>IF(Calculations!V19=1,IF(V4=1,'Assumptions - Infrastructure'!$E$60,IF(V$141=1,Calculations!V935+Calculations!V942+Calculations!V951+Calculations!V958+Calculations!V967+Calculations!V974+Calculations!V983+Calculations!V990+Calculations!V999+Calculations!V1006+Calculations!V1015+Calculations!V1022, " ")),0)</f>
        <v>214.74312625964379</v>
      </c>
      <c r="W163" s="35">
        <f>IF(Calculations!W19=1,IF(W4=1,'Assumptions - Infrastructure'!$E$60,IF(W$141=1,Calculations!W935+Calculations!W942+Calculations!W951+Calculations!W958+Calculations!W967+Calculations!W974+Calculations!W983+Calculations!W990+Calculations!W999+Calculations!W1006+Calculations!W1015+Calculations!W1022, " ")),0)</f>
        <v>226.96833255601709</v>
      </c>
      <c r="X163" s="35">
        <f>IF(Calculations!X19=1,IF(X4=1,'Assumptions - Infrastructure'!$E$60,IF(X$141=1,Calculations!X935+Calculations!X942+Calculations!X951+Calculations!X958+Calculations!X967+Calculations!X974+Calculations!X983+Calculations!X990+Calculations!X999+Calculations!X1006+Calculations!X1015+Calculations!X1022, " ")),0)</f>
        <v>239.19353885239042</v>
      </c>
      <c r="Y163" s="35">
        <f>IF(Calculations!Y19=1,IF(Y4=1,'Assumptions - Infrastructure'!$E$60,IF(Y$141=1,Calculations!Y935+Calculations!Y942+Calculations!Y951+Calculations!Y958+Calculations!Y967+Calculations!Y974+Calculations!Y983+Calculations!Y990+Calculations!Y999+Calculations!Y1006+Calculations!Y1015+Calculations!Y1022, " ")),0)</f>
        <v>251.4187451487638</v>
      </c>
      <c r="Z163" s="35">
        <f>IF(Calculations!Z19=1,IF(Z4=1,'Assumptions - Infrastructure'!$E$60,IF(Z$141=1,Calculations!Z935+Calculations!Z942+Calculations!Z951+Calculations!Z958+Calculations!Z967+Calculations!Z974+Calculations!Z983+Calculations!Z990+Calculations!Z999+Calculations!Z1006+Calculations!Z1015+Calculations!Z1022, " ")),0)</f>
        <v>263.64395144513713</v>
      </c>
      <c r="AA163" s="35">
        <f>IF(Calculations!AA19=1,IF(AA4=1,'Assumptions - Infrastructure'!$E$60,IF(AA$141=1,Calculations!AA935+Calculations!AA942+Calculations!AA951+Calculations!AA958+Calculations!AA967+Calculations!AA974+Calculations!AA983+Calculations!AA990+Calculations!AA999+Calculations!AA1006+Calculations!AA1015+Calculations!AA1022, " ")),0)</f>
        <v>275.86915774151049</v>
      </c>
      <c r="AB163" s="35">
        <f>IF(Calculations!AB19=1,IF(AB4=1,'Assumptions - Infrastructure'!$E$60,IF(AB$141=1,Calculations!AB935+Calculations!AB942+Calculations!AB951+Calculations!AB958+Calculations!AB967+Calculations!AB974+Calculations!AB983+Calculations!AB990+Calculations!AB999+Calculations!AB1006+Calculations!AB1015+Calculations!AB1022, " ")),0)</f>
        <v>288.09436403788385</v>
      </c>
      <c r="AC163" s="35">
        <f>IF(Calculations!AC19=1,IF(AC4=1,'Assumptions - Infrastructure'!$E$60,IF(AC$141=1,Calculations!AC935+Calculations!AC942+Calculations!AC951+Calculations!AC958+Calculations!AC967+Calculations!AC974+Calculations!AC983+Calculations!AC990+Calculations!AC999+Calculations!AC1006+Calculations!AC1015+Calculations!AC1022, " ")),0)</f>
        <v>300.31957033425715</v>
      </c>
      <c r="AD163" s="35">
        <f>IF(Calculations!AD19=1,IF(AD4=1,'Assumptions - Infrastructure'!$E$60,IF(AD$141=1,Calculations!AD935+Calculations!AD942+Calculations!AD951+Calculations!AD958+Calculations!AD967+Calculations!AD974+Calculations!AD983+Calculations!AD990+Calculations!AD999+Calculations!AD1006+Calculations!AD1015+Calculations!AD1022, " ")),0)</f>
        <v>312.54477663063057</v>
      </c>
      <c r="AE163" s="35">
        <f>IF(Calculations!AE19=1,IF(AE4=1,'Assumptions - Infrastructure'!$E$60,IF(AE$141=1,Calculations!AE935+Calculations!AE942+Calculations!AE951+Calculations!AE958+Calculations!AE967+Calculations!AE974+Calculations!AE983+Calculations!AE990+Calculations!AE999+Calculations!AE1006+Calculations!AE1015+Calculations!AE1022, " ")),0)</f>
        <v>324.76998292700387</v>
      </c>
      <c r="AF163" s="35">
        <f>IF(Calculations!AF19=1,IF(AF4=1,'Assumptions - Infrastructure'!$E$60,IF(AF$141=1,Calculations!AF935+Calculations!AF942+Calculations!AF951+Calculations!AF958+Calculations!AF967+Calculations!AF974+Calculations!AF983+Calculations!AF990+Calculations!AF999+Calculations!AF1006+Calculations!AF1015+Calculations!AF1022, " ")),0)</f>
        <v>336.99518922337722</v>
      </c>
      <c r="AG163" s="35">
        <f>IF(Calculations!AG19=1,IF(AG4=1,'Assumptions - Infrastructure'!$E$60,IF(AG$141=1,Calculations!AG935+Calculations!AG942+Calculations!AG951+Calculations!AG958+Calculations!AG967+Calculations!AG974+Calculations!AG983+Calculations!AG990+Calculations!AG999+Calculations!AG1006+Calculations!AG1015+Calculations!AG1022, " ")),0)</f>
        <v>344.8611277851968</v>
      </c>
      <c r="AH163" s="35">
        <f>IF(Calculations!AH19=1,IF(AH4=1,'Assumptions - Infrastructure'!$E$60,IF(AH$141=1,Calculations!AH935+Calculations!AH942+Calculations!AH951+Calculations!AH958+Calculations!AH967+Calculations!AH974+Calculations!AH983+Calculations!AH990+Calculations!AH999+Calculations!AH1006+Calculations!AH1015+Calculations!AH1022, " ")),0)</f>
        <v>298.33385505792404</v>
      </c>
    </row>
    <row r="164" spans="1:34" s="277" customFormat="1" x14ac:dyDescent="0.2">
      <c r="A164" s="316"/>
      <c r="B164" s="25"/>
      <c r="C164" s="24"/>
      <c r="D164" s="24"/>
      <c r="E164" s="35"/>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row>
    <row r="165" spans="1:34" s="277" customFormat="1" x14ac:dyDescent="0.2">
      <c r="A165" s="316"/>
      <c r="B165" s="27" t="s">
        <v>95</v>
      </c>
      <c r="C165" s="24"/>
      <c r="D165" s="24"/>
      <c r="E165" s="36">
        <f t="shared" ref="E165:AH165" si="25">IF(E141=1,E161-E163,0)</f>
        <v>37364.5</v>
      </c>
      <c r="F165" s="36">
        <f t="shared" si="25"/>
        <v>39027.492740257534</v>
      </c>
      <c r="G165" s="36">
        <f t="shared" si="25"/>
        <v>40099.842711284109</v>
      </c>
      <c r="H165" s="36">
        <f t="shared" si="25"/>
        <v>42191.918453414306</v>
      </c>
      <c r="I165" s="36">
        <f t="shared" si="25"/>
        <v>45315.042801513431</v>
      </c>
      <c r="J165" s="36">
        <f t="shared" si="25"/>
        <v>47697.145161917848</v>
      </c>
      <c r="K165" s="36">
        <f t="shared" si="25"/>
        <v>53754.0088369851</v>
      </c>
      <c r="L165" s="36">
        <f t="shared" si="25"/>
        <v>56453.683953964166</v>
      </c>
      <c r="M165" s="36">
        <f t="shared" si="25"/>
        <v>59267.993156110329</v>
      </c>
      <c r="N165" s="36">
        <f t="shared" si="25"/>
        <v>62201.571876208523</v>
      </c>
      <c r="O165" s="36">
        <f t="shared" si="25"/>
        <v>65258.573062357922</v>
      </c>
      <c r="P165" s="36">
        <f t="shared" si="25"/>
        <v>68443.916539562415</v>
      </c>
      <c r="Q165" s="36">
        <f t="shared" si="25"/>
        <v>71766.488200184715</v>
      </c>
      <c r="R165" s="36">
        <f t="shared" si="25"/>
        <v>75233.114898334607</v>
      </c>
      <c r="S165" s="36">
        <f t="shared" si="25"/>
        <v>78834.918390118415</v>
      </c>
      <c r="T165" s="36">
        <f t="shared" si="25"/>
        <v>82598.727982467652</v>
      </c>
      <c r="U165" s="36">
        <f t="shared" si="25"/>
        <v>86503.788811347782</v>
      </c>
      <c r="V165" s="36">
        <f t="shared" si="25"/>
        <v>90569.808532599185</v>
      </c>
      <c r="W165" s="36">
        <f t="shared" si="25"/>
        <v>94802.919059969587</v>
      </c>
      <c r="X165" s="36">
        <f t="shared" si="25"/>
        <v>99209.475370866508</v>
      </c>
      <c r="Y165" s="36">
        <f t="shared" si="25"/>
        <v>103796.06336853652</v>
      </c>
      <c r="Z165" s="36">
        <f t="shared" si="25"/>
        <v>108569.50801605052</v>
      </c>
      <c r="AA165" s="36">
        <f t="shared" si="25"/>
        <v>113536.88175106188</v>
      </c>
      <c r="AB165" s="36">
        <f t="shared" si="25"/>
        <v>118705.51319068929</v>
      </c>
      <c r="AC165" s="36">
        <f t="shared" si="25"/>
        <v>124082.99613624421</v>
      </c>
      <c r="AD165" s="36">
        <f t="shared" si="25"/>
        <v>129677.1988878811</v>
      </c>
      <c r="AE165" s="36">
        <f t="shared" si="25"/>
        <v>135496.27387960826</v>
      </c>
      <c r="AF165" s="36">
        <f t="shared" si="25"/>
        <v>141548.66764545866</v>
      </c>
      <c r="AG165" s="36">
        <f t="shared" si="25"/>
        <v>147847.30930816667</v>
      </c>
      <c r="AH165" s="36">
        <f t="shared" si="25"/>
        <v>154446.57564068542</v>
      </c>
    </row>
    <row r="166" spans="1:34" s="277" customFormat="1" x14ac:dyDescent="0.2">
      <c r="A166" s="316"/>
      <c r="B166" s="23"/>
      <c r="C166" s="24"/>
      <c r="D166" s="24"/>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c r="AC166" s="39"/>
      <c r="AD166" s="39"/>
      <c r="AE166" s="39"/>
      <c r="AF166" s="39"/>
      <c r="AG166" s="39"/>
      <c r="AH166" s="39"/>
    </row>
    <row r="167" spans="1:34" s="277" customFormat="1" x14ac:dyDescent="0.2">
      <c r="A167" s="316"/>
      <c r="B167" s="25" t="s">
        <v>96</v>
      </c>
      <c r="C167" s="24"/>
      <c r="D167" s="24"/>
      <c r="E167" s="35">
        <f>IF(E141=1,Calculations!E1229+Calculations!E1245+Calculations!E1261+Calculations!E1288+Calculations!E1289+Calculations!E1291+Calculations!E1318+Calculations!E1319+Calculations!E1321+Calculations!E1348+Calculations!E1349+Calculations!E1351+Calculations!E1378+Calculations!E1379+Calculations!E1381-Calculations!E1211,0)</f>
        <v>19.5</v>
      </c>
      <c r="F167" s="35">
        <f>IF(F141=1,Calculations!F1229+Calculations!F1245+Calculations!F1261+Calculations!F1288+Calculations!F1289+Calculations!F1291+Calculations!F1318+Calculations!F1319+Calculations!F1321+Calculations!F1348+Calculations!F1349+Calculations!F1351+Calculations!F1378+Calculations!F1379+Calculations!F1381-Calculations!F1211,0)</f>
        <v>7.2450000000000001</v>
      </c>
      <c r="G167" s="35">
        <f>IF(G141=1,Calculations!G1229+Calculations!G1245+Calculations!G1261+Calculations!G1288+Calculations!G1289+Calculations!G1291+Calculations!G1318+Calculations!G1319+Calculations!G1321+Calculations!G1348+Calculations!G1349+Calculations!G1351+Calculations!G1378+Calculations!G1379+Calculations!G1381-Calculations!G1211,0)</f>
        <v>-316.00564432840537</v>
      </c>
      <c r="H167" s="35">
        <f>IF(H141=1,Calculations!H1229+Calculations!H1245+Calculations!H1261+Calculations!H1288+Calculations!H1289+Calculations!H1291+Calculations!H1318+Calculations!H1319+Calculations!H1321+Calculations!H1348+Calculations!H1349+Calculations!H1351+Calculations!H1378+Calculations!H1379+Calculations!H1381-Calculations!H1211,0)</f>
        <v>-810.08015097402654</v>
      </c>
      <c r="I167" s="35">
        <f>IF(I141=1,Calculations!I1229+Calculations!I1245+Calculations!I1261+Calculations!I1288+Calculations!I1289+Calculations!I1291+Calculations!I1318+Calculations!I1319+Calculations!I1321+Calculations!I1348+Calculations!I1349+Calculations!I1351+Calculations!I1378+Calculations!I1379+Calculations!I1381-Calculations!I1211,0)</f>
        <v>-1424.7899161765931</v>
      </c>
      <c r="J167" s="35">
        <f>IF(J141=1,Calculations!J1229+Calculations!J1245+Calculations!J1261+Calculations!J1288+Calculations!J1289+Calculations!J1291+Calculations!J1318+Calculations!J1319+Calculations!J1321+Calculations!J1348+Calculations!J1349+Calculations!J1351+Calculations!J1378+Calculations!J1379+Calculations!J1381-Calculations!J1211,0)</f>
        <v>-2125.2297449137395</v>
      </c>
      <c r="K167" s="35">
        <f>IF(K141=1,Calculations!K1229+Calculations!K1245+Calculations!K1261+Calculations!K1288+Calculations!K1289+Calculations!K1291+Calculations!K1318+Calculations!K1319+Calculations!K1321+Calculations!K1348+Calculations!K1349+Calculations!K1351+Calculations!K1378+Calculations!K1379+Calculations!K1381-Calculations!K1211,0)</f>
        <v>-2888.5071181564531</v>
      </c>
      <c r="L167" s="35">
        <f>IF(L141=1,Calculations!L1229+Calculations!L1245+Calculations!L1261+Calculations!L1288+Calculations!L1289+Calculations!L1291+Calculations!L1318+Calculations!L1319+Calculations!L1321+Calculations!L1348+Calculations!L1349+Calculations!L1351+Calculations!L1378+Calculations!L1379+Calculations!L1381-Calculations!L1211,0)</f>
        <v>-3738.9775632664255</v>
      </c>
      <c r="M167" s="35">
        <f>IF(M141=1,Calculations!M1229+Calculations!M1245+Calculations!M1261+Calculations!M1288+Calculations!M1289+Calculations!M1291+Calculations!M1318+Calculations!M1319+Calculations!M1321+Calculations!M1348+Calculations!M1349+Calculations!M1351+Calculations!M1378+Calculations!M1379+Calculations!M1381-Calculations!M1211,0)</f>
        <v>-4700.0933323855106</v>
      </c>
      <c r="N167" s="35">
        <f>IF(N141=1,Calculations!N1229+Calculations!N1245+Calculations!N1261+Calculations!N1288+Calculations!N1289+Calculations!N1291+Calculations!N1318+Calculations!N1319+Calculations!N1321+Calculations!N1348+Calculations!N1349+Calculations!N1351+Calculations!N1378+Calculations!N1379+Calculations!N1381-Calculations!N1211,0)</f>
        <v>-5716.6979612770556</v>
      </c>
      <c r="O167" s="35">
        <f>IF(O141=1,Calculations!O1229+Calculations!O1245+Calculations!O1261+Calculations!O1288+Calculations!O1289+Calculations!O1291+Calculations!O1318+Calculations!O1319+Calculations!O1321+Calculations!O1348+Calculations!O1349+Calculations!O1351+Calculations!O1378+Calculations!O1379+Calculations!O1381-Calculations!O1211,0)</f>
        <v>-5868.6355854175845</v>
      </c>
      <c r="P167" s="35">
        <f>IF(P141=1,Calculations!P1229+Calculations!P1245+Calculations!P1261+Calculations!P1288+Calculations!P1289+Calculations!P1291+Calculations!P1318+Calculations!P1319+Calculations!P1321+Calculations!P1348+Calculations!P1349+Calculations!P1351+Calculations!P1378+Calculations!P1379+Calculations!P1381-Calculations!P1211,0)</f>
        <v>-6698.1657570023854</v>
      </c>
      <c r="Q167" s="35">
        <f>IF(Q141=1,Calculations!Q1229+Calculations!Q1245+Calculations!Q1261+Calculations!Q1288+Calculations!Q1289+Calculations!Q1291+Calculations!Q1318+Calculations!Q1319+Calculations!Q1321+Calculations!Q1348+Calculations!Q1349+Calculations!Q1351+Calculations!Q1378+Calculations!Q1379+Calculations!Q1381-Calculations!Q1211,0)</f>
        <v>-7636.2814861923844</v>
      </c>
      <c r="R167" s="35">
        <f>IF(R141=1,Calculations!R1229+Calculations!R1245+Calculations!R1261+Calculations!R1288+Calculations!R1289+Calculations!R1291+Calculations!R1318+Calculations!R1319+Calculations!R1321+Calculations!R1348+Calculations!R1349+Calculations!R1351+Calculations!R1378+Calculations!R1379+Calculations!R1381-Calculations!R1211,0)</f>
        <v>-8627.9250627337988</v>
      </c>
      <c r="S167" s="35">
        <f>IF(S141=1,Calculations!S1229+Calculations!S1245+Calculations!S1261+Calculations!S1288+Calculations!S1289+Calculations!S1291+Calculations!S1318+Calculations!S1319+Calculations!S1321+Calculations!S1348+Calculations!S1349+Calculations!S1351+Calculations!S1378+Calculations!S1379+Calculations!S1381-Calculations!S1211,0)</f>
        <v>-9675.4747504774932</v>
      </c>
      <c r="T167" s="35">
        <f>IF(T141=1,Calculations!T1229+Calculations!T1245+Calculations!T1261+Calculations!T1288+Calculations!T1289+Calculations!T1291+Calculations!T1318+Calculations!T1319+Calculations!T1321+Calculations!T1348+Calculations!T1349+Calculations!T1351+Calculations!T1378+Calculations!T1379+Calculations!T1381-Calculations!T1211,0)</f>
        <v>-10781.481939997982</v>
      </c>
      <c r="U167" s="35">
        <f>IF(U141=1,Calculations!U1229+Calculations!U1245+Calculations!U1261+Calculations!U1288+Calculations!U1289+Calculations!U1291+Calculations!U1318+Calculations!U1319+Calculations!U1321+Calculations!U1348+Calculations!U1349+Calculations!U1351+Calculations!U1378+Calculations!U1379+Calculations!U1381-Calculations!U1211,0)</f>
        <v>-11954.483988761449</v>
      </c>
      <c r="V167" s="35">
        <f>IF(V141=1,Calculations!V1229+Calculations!V1245+Calculations!V1261+Calculations!V1288+Calculations!V1289+Calculations!V1291+Calculations!V1318+Calculations!V1319+Calculations!V1321+Calculations!V1348+Calculations!V1349+Calculations!V1351+Calculations!V1378+Calculations!V1379+Calculations!V1381-Calculations!V1211,0)</f>
        <v>-13187.740201454033</v>
      </c>
      <c r="W167" s="35">
        <f>IF(W141=1,Calculations!W1229+Calculations!W1245+Calculations!W1261+Calculations!W1288+Calculations!W1289+Calculations!W1291+Calculations!W1318+Calculations!W1319+Calculations!W1321+Calculations!W1348+Calculations!W1349+Calculations!W1351+Calculations!W1378+Calculations!W1379+Calculations!W1381-Calculations!W1211,0)</f>
        <v>-14485.224558861195</v>
      </c>
      <c r="X167" s="35">
        <f>IF(X141=1,Calculations!X1229+Calculations!X1245+Calculations!X1261+Calculations!X1288+Calculations!X1289+Calculations!X1291+Calculations!X1318+Calculations!X1319+Calculations!X1321+Calculations!X1348+Calculations!X1349+Calculations!X1351+Calculations!X1378+Calculations!X1379+Calculations!X1381-Calculations!X1211,0)</f>
        <v>-15852.237893472446</v>
      </c>
      <c r="Y167" s="35">
        <f>IF(Y141=1,Calculations!Y1229+Calculations!Y1245+Calculations!Y1261+Calculations!Y1288+Calculations!Y1289+Calculations!Y1291+Calculations!Y1318+Calculations!Y1319+Calculations!Y1321+Calculations!Y1348+Calculations!Y1349+Calculations!Y1351+Calculations!Y1378+Calculations!Y1379+Calculations!Y1381-Calculations!Y1211,0)</f>
        <v>-17291.827401221177</v>
      </c>
      <c r="Z167" s="35">
        <f>IF(Z141=1,Calculations!Z1229+Calculations!Z1245+Calculations!Z1261+Calculations!Z1288+Calculations!Z1289+Calculations!Z1291+Calculations!Z1318+Calculations!Z1319+Calculations!Z1321+Calculations!Z1348+Calculations!Z1349+Calculations!Z1351+Calculations!Z1378+Calculations!Z1379+Calculations!Z1381-Calculations!Z1211,0)</f>
        <v>-18807.161137591072</v>
      </c>
      <c r="AA167" s="35">
        <f>IF(AA141=1,Calculations!AA1229+Calculations!AA1245+Calculations!AA1261+Calculations!AA1288+Calculations!AA1289+Calculations!AA1291+Calculations!AA1318+Calculations!AA1319+Calculations!AA1321+Calculations!AA1348+Calculations!AA1349+Calculations!AA1351+Calculations!AA1378+Calculations!AA1379+Calculations!AA1381-Calculations!AA1211,0)</f>
        <v>-20401.532534284699</v>
      </c>
      <c r="AB167" s="35">
        <f>IF(AB141=1,Calculations!AB1229+Calculations!AB1245+Calculations!AB1261+Calculations!AB1288+Calculations!AB1289+Calculations!AB1291+Calculations!AB1318+Calculations!AB1319+Calculations!AB1321+Calculations!AB1348+Calculations!AB1349+Calculations!AB1351+Calculations!AB1378+Calculations!AB1379+Calculations!AB1381-Calculations!AB1211,0)</f>
        <v>-22078.365078222199</v>
      </c>
      <c r="AC167" s="35">
        <f>IF(AC141=1,Calculations!AC1229+Calculations!AC1245+Calculations!AC1261+Calculations!AC1288+Calculations!AC1289+Calculations!AC1291+Calculations!AC1318+Calculations!AC1319+Calculations!AC1321+Calculations!AC1348+Calculations!AC1349+Calculations!AC1351+Calculations!AC1378+Calculations!AC1379+Calculations!AC1381-Calculations!AC1211,0)</f>
        <v>-23841.217158544106</v>
      </c>
      <c r="AD167" s="35">
        <f>IF(AD141=1,Calculations!AD1229+Calculations!AD1245+Calculations!AD1261+Calculations!AD1288+Calculations!AD1289+Calculations!AD1291+Calculations!AD1318+Calculations!AD1319+Calculations!AD1321+Calculations!AD1348+Calculations!AD1349+Calculations!AD1351+Calculations!AD1378+Calculations!AD1379+Calculations!AD1381-Calculations!AD1211,0)</f>
        <v>-25693.787087487235</v>
      </c>
      <c r="AE167" s="35">
        <f>IF(AE141=1,Calculations!AE1229+Calculations!AE1245+Calculations!AE1261+Calculations!AE1288+Calculations!AE1289+Calculations!AE1291+Calculations!AE1318+Calculations!AE1319+Calculations!AE1321+Calculations!AE1348+Calculations!AE1349+Calculations!AE1351+Calculations!AE1378+Calculations!AE1379+Calculations!AE1381-Calculations!AE1211,0)</f>
        <v>-27639.918301203863</v>
      </c>
      <c r="AF167" s="35">
        <f>IF(AF141=1,Calculations!AF1229+Calculations!AF1245+Calculations!AF1261+Calculations!AF1288+Calculations!AF1289+Calculations!AF1291+Calculations!AF1318+Calculations!AF1319+Calculations!AF1321+Calculations!AF1348+Calculations!AF1349+Calculations!AF1351+Calculations!AF1378+Calculations!AF1379+Calculations!AF1381-Calculations!AF1211,0)</f>
        <v>-29683.604746802623</v>
      </c>
      <c r="AG167" s="35">
        <f>IF(AG141=1,Calculations!AG1229+Calculations!AG1245+Calculations!AG1261+Calculations!AG1288+Calculations!AG1289+Calculations!AG1291+Calculations!AG1318+Calculations!AG1319+Calculations!AG1321+Calculations!AG1348+Calculations!AG1349+Calculations!AG1351+Calculations!AG1378+Calculations!AG1379+Calculations!AG1381-Calculations!AG1211,0)</f>
        <v>-31828.996462104267</v>
      </c>
      <c r="AH167" s="35">
        <f>IF(AH141=1,Calculations!AH1229+Calculations!AH1245+Calculations!AH1261+Calculations!AH1288+Calculations!AH1289+Calculations!AH1291+Calculations!AH1318+Calculations!AH1319+Calculations!AH1321+Calculations!AH1348+Calculations!AH1349+Calculations!AH1351+Calculations!AH1378+Calculations!AH1379+Calculations!AH1381-Calculations!AH1211,0)</f>
        <v>-34080.382792654898</v>
      </c>
    </row>
    <row r="168" spans="1:34" s="277" customFormat="1" x14ac:dyDescent="0.2">
      <c r="A168" s="316"/>
      <c r="B168" s="25" t="s">
        <v>97</v>
      </c>
      <c r="C168" s="24"/>
      <c r="D168" s="24"/>
      <c r="E168" s="35">
        <f>IF(AND(E141=1,(E165-E167)&gt;0),'Assumptions - Infrastructure'!$E$339*(E165-E167),0)</f>
        <v>11203.5</v>
      </c>
      <c r="F168" s="35">
        <f>IF(AND(F141=1,(F165-F167)&gt;0),'Assumptions - Infrastructure'!$E$339*(F165-F167),0)</f>
        <v>11706.074322077258</v>
      </c>
      <c r="G168" s="35">
        <f>IF(AND(G141=1,(G165-G167)&gt;0),'Assumptions - Infrastructure'!$E$339*(G165-G167),0)</f>
        <v>12124.754506683754</v>
      </c>
      <c r="H168" s="35">
        <f>IF(AND(H141=1,(H165-H167)&gt;0),'Assumptions - Infrastructure'!$E$339*(H165-H167),0)</f>
        <v>12900.599581316499</v>
      </c>
      <c r="I168" s="35">
        <f>IF(AND(I141=1,(I165-I167)&gt;0),'Assumptions - Infrastructure'!$E$339*(I165-I167),0)</f>
        <v>14021.949815307007</v>
      </c>
      <c r="J168" s="35">
        <f>IF(AND(J141=1,(J165-J167)&gt;0),'Assumptions - Infrastructure'!$E$339*(J165-J167),0)</f>
        <v>14946.712472049476</v>
      </c>
      <c r="K168" s="35">
        <f>IF(AND(K141=1,(K165-K167)&gt;0),'Assumptions - Infrastructure'!$E$339*(K165-K167),0)</f>
        <v>16992.754786542468</v>
      </c>
      <c r="L168" s="35">
        <f>IF(AND(L141=1,(L165-L167)&gt;0),'Assumptions - Infrastructure'!$E$339*(L165-L167),0)</f>
        <v>18057.798455169177</v>
      </c>
      <c r="M168" s="35">
        <f>IF(AND(M141=1,(M165-M167)&gt;0),'Assumptions - Infrastructure'!$E$339*(M165-M167),0)</f>
        <v>19190.425946548752</v>
      </c>
      <c r="N168" s="35">
        <f>IF(AND(N141=1,(N165-N167)&gt;0),'Assumptions - Infrastructure'!$E$339*(N165-N167),0)</f>
        <v>20375.480951245674</v>
      </c>
      <c r="O168" s="35">
        <f>IF(AND(O141=1,(O165-O167)&gt;0),'Assumptions - Infrastructure'!$E$339*(O165-O167),0)</f>
        <v>21338.162594332651</v>
      </c>
      <c r="P168" s="35">
        <f>IF(AND(P141=1,(P165-P167)&gt;0),'Assumptions - Infrastructure'!$E$339*(P165-P167),0)</f>
        <v>22542.624688969438</v>
      </c>
      <c r="Q168" s="35">
        <f>IF(AND(Q141=1,(Q165-Q167)&gt;0),'Assumptions - Infrastructure'!$E$339*(Q165-Q167),0)</f>
        <v>23820.830905913128</v>
      </c>
      <c r="R168" s="35">
        <f>IF(AND(R141=1,(R165-R167)&gt;0),'Assumptions - Infrastructure'!$E$339*(R165-R167),0)</f>
        <v>25158.311988320522</v>
      </c>
      <c r="S168" s="35">
        <f>IF(AND(S141=1,(S165-S167)&gt;0),'Assumptions - Infrastructure'!$E$339*(S165-S167),0)</f>
        <v>26553.117942178771</v>
      </c>
      <c r="T168" s="35">
        <f>IF(AND(T141=1,(T165-T167)&gt;0),'Assumptions - Infrastructure'!$E$339*(T165-T167),0)</f>
        <v>28014.062976739693</v>
      </c>
      <c r="U168" s="35">
        <f>IF(AND(U141=1,(U165-U167)&gt;0),'Assumptions - Infrastructure'!$E$339*(U165-U167),0)</f>
        <v>29537.481840032768</v>
      </c>
      <c r="V168" s="35">
        <f>IF(AND(V141=1,(V165-V167)&gt;0),'Assumptions - Infrastructure'!$E$339*(V165-V167),0)</f>
        <v>31127.264620215963</v>
      </c>
      <c r="W168" s="35">
        <f>IF(AND(W141=1,(W165-W167)&gt;0),'Assumptions - Infrastructure'!$E$339*(W165-W167),0)</f>
        <v>32786.443085649233</v>
      </c>
      <c r="X168" s="35">
        <f>IF(AND(X141=1,(X165-X167)&gt;0),'Assumptions - Infrastructure'!$E$339*(X165-X167),0)</f>
        <v>34518.513979301686</v>
      </c>
      <c r="Y168" s="35">
        <f>IF(AND(Y141=1,(Y165-Y167)&gt;0),'Assumptions - Infrastructure'!$E$339*(Y165-Y167),0)</f>
        <v>36326.36723092731</v>
      </c>
      <c r="Z168" s="35">
        <f>IF(AND(Z141=1,(Z165-Z167)&gt;0),'Assumptions - Infrastructure'!$E$339*(Z165-Z167),0)</f>
        <v>38213.000746092475</v>
      </c>
      <c r="AA168" s="35">
        <f>IF(AND(AA141=1,(AA165-AA167)&gt;0),'Assumptions - Infrastructure'!$E$339*(AA165-AA167),0)</f>
        <v>40181.524285603969</v>
      </c>
      <c r="AB168" s="35">
        <f>IF(AND(AB141=1,(AB165-AB167)&gt;0),'Assumptions - Infrastructure'!$E$339*(AB165-AB167),0)</f>
        <v>42235.163480673451</v>
      </c>
      <c r="AC168" s="35">
        <f>IF(AND(AC141=1,(AC165-AC167)&gt;0),'Assumptions - Infrastructure'!$E$339*(AC165-AC167),0)</f>
        <v>44377.263988436498</v>
      </c>
      <c r="AD168" s="35">
        <f>IF(AND(AD141=1,(AD165-AD167)&gt;0),'Assumptions - Infrastructure'!$E$339*(AD165-AD167),0)</f>
        <v>46611.295792610494</v>
      </c>
      <c r="AE168" s="35">
        <f>IF(AND(AE141=1,(AE165-AE167)&gt;0),'Assumptions - Infrastructure'!$E$339*(AE165-AE167),0)</f>
        <v>48940.857654243635</v>
      </c>
      <c r="AF168" s="35">
        <f>IF(AND(AF141=1,(AF165-AF167)&gt;0),'Assumptions - Infrastructure'!$E$339*(AF165-AF167),0)</f>
        <v>51369.681717678381</v>
      </c>
      <c r="AG168" s="35">
        <f>IF(AND(AG141=1,(AG165-AG167)&gt;0),'Assumptions - Infrastructure'!$E$339*(AG165-AG167),0)</f>
        <v>53902.891731081276</v>
      </c>
      <c r="AH168" s="35">
        <f>IF(AND(AH141=1,(AH165-AH167)&gt;0),'Assumptions - Infrastructure'!$E$339*(AH165-AH167),0)</f>
        <v>56558.087530002093</v>
      </c>
    </row>
    <row r="169" spans="1:34" s="277" customFormat="1" x14ac:dyDescent="0.2">
      <c r="A169" s="316"/>
      <c r="B169" s="25"/>
      <c r="C169" s="24"/>
      <c r="D169" s="24"/>
      <c r="E169" s="35"/>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row>
    <row r="170" spans="1:34" s="277" customFormat="1" ht="16" thickBot="1" x14ac:dyDescent="0.25">
      <c r="A170" s="316"/>
      <c r="B170" s="27" t="s">
        <v>98</v>
      </c>
      <c r="C170" s="24"/>
      <c r="D170" s="24"/>
      <c r="E170" s="40">
        <f>IF(E141=1,E165-E167-E168,0)</f>
        <v>26141.5</v>
      </c>
      <c r="F170" s="40">
        <f t="shared" ref="F170:AH170" si="26">IF(F141=1,F165-F167-F168,0)</f>
        <v>27314.173418180275</v>
      </c>
      <c r="G170" s="40">
        <f t="shared" si="26"/>
        <v>28291.093848928758</v>
      </c>
      <c r="H170" s="40">
        <f t="shared" si="26"/>
        <v>30101.399023071834</v>
      </c>
      <c r="I170" s="40">
        <f t="shared" si="26"/>
        <v>32717.882902383019</v>
      </c>
      <c r="J170" s="40">
        <f t="shared" si="26"/>
        <v>34875.662434782113</v>
      </c>
      <c r="K170" s="40">
        <f t="shared" si="26"/>
        <v>39649.761168599085</v>
      </c>
      <c r="L170" s="40">
        <f t="shared" si="26"/>
        <v>42134.863062061413</v>
      </c>
      <c r="M170" s="40">
        <f t="shared" si="26"/>
        <v>44777.660541947087</v>
      </c>
      <c r="N170" s="40">
        <f t="shared" si="26"/>
        <v>47542.788886239912</v>
      </c>
      <c r="O170" s="40">
        <f t="shared" si="26"/>
        <v>49789.046053442857</v>
      </c>
      <c r="P170" s="40">
        <f t="shared" si="26"/>
        <v>52599.457607595359</v>
      </c>
      <c r="Q170" s="40">
        <f t="shared" si="26"/>
        <v>55581.93878046397</v>
      </c>
      <c r="R170" s="40">
        <f t="shared" si="26"/>
        <v>58702.727972747889</v>
      </c>
      <c r="S170" s="40">
        <f t="shared" si="26"/>
        <v>61957.275198417134</v>
      </c>
      <c r="T170" s="40">
        <f t="shared" si="26"/>
        <v>65366.146945725952</v>
      </c>
      <c r="U170" s="40">
        <f t="shared" si="26"/>
        <v>68920.790960076469</v>
      </c>
      <c r="V170" s="40">
        <f t="shared" si="26"/>
        <v>72630.284113837246</v>
      </c>
      <c r="W170" s="40">
        <f t="shared" si="26"/>
        <v>76501.700533181545</v>
      </c>
      <c r="X170" s="40">
        <f t="shared" si="26"/>
        <v>80543.199285037263</v>
      </c>
      <c r="Y170" s="40">
        <f t="shared" si="26"/>
        <v>84761.523538830384</v>
      </c>
      <c r="Z170" s="40">
        <f t="shared" si="26"/>
        <v>89163.668407549121</v>
      </c>
      <c r="AA170" s="40">
        <f t="shared" si="26"/>
        <v>93756.889999742605</v>
      </c>
      <c r="AB170" s="40">
        <f t="shared" si="26"/>
        <v>98548.714788238052</v>
      </c>
      <c r="AC170" s="40">
        <f t="shared" si="26"/>
        <v>103546.94930635183</v>
      </c>
      <c r="AD170" s="40">
        <f t="shared" si="26"/>
        <v>108759.69018275783</v>
      </c>
      <c r="AE170" s="40">
        <f t="shared" si="26"/>
        <v>114195.33452656849</v>
      </c>
      <c r="AF170" s="40">
        <f t="shared" si="26"/>
        <v>119862.5906745829</v>
      </c>
      <c r="AG170" s="40">
        <f t="shared" si="26"/>
        <v>125773.41403918967</v>
      </c>
      <c r="AH170" s="40">
        <f t="shared" si="26"/>
        <v>131968.87090333822</v>
      </c>
    </row>
    <row r="171" spans="1:34" s="277" customFormat="1" x14ac:dyDescent="0.2">
      <c r="A171" s="316"/>
      <c r="B171" s="26"/>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row>
    <row r="172" spans="1:34" x14ac:dyDescent="0.2">
      <c r="A172" s="316"/>
    </row>
    <row r="173" spans="1:34" x14ac:dyDescent="0.2">
      <c r="A173" s="316"/>
    </row>
    <row r="174" spans="1:34" x14ac:dyDescent="0.2">
      <c r="A174" s="316"/>
    </row>
    <row r="175" spans="1:34" x14ac:dyDescent="0.2">
      <c r="A175" s="316"/>
    </row>
    <row r="176" spans="1:34" x14ac:dyDescent="0.2">
      <c r="A176" s="316"/>
    </row>
    <row r="177" spans="1:1" x14ac:dyDescent="0.2">
      <c r="A177" s="316"/>
    </row>
    <row r="178" spans="1:1" x14ac:dyDescent="0.2">
      <c r="A178" s="316"/>
    </row>
    <row r="179" spans="1:1" x14ac:dyDescent="0.2">
      <c r="A179" s="316"/>
    </row>
    <row r="180" spans="1:1" x14ac:dyDescent="0.2">
      <c r="A180" s="316"/>
    </row>
    <row r="181" spans="1:1" x14ac:dyDescent="0.2">
      <c r="A181" s="316"/>
    </row>
    <row r="182" spans="1:1" x14ac:dyDescent="0.2">
      <c r="A182" s="316"/>
    </row>
  </sheetData>
  <pageMargins left="0.70866141732283472" right="0.70866141732283472" top="0.74803149606299213" bottom="0.74803149606299213" header="0.31496062992125984" footer="0.31496062992125984"/>
  <pageSetup paperSize="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K186"/>
  <sheetViews>
    <sheetView zoomScale="75" zoomScaleNormal="75" workbookViewId="0">
      <pane xSplit="4" ySplit="6" topLeftCell="E49" activePane="bottomRight" state="frozen"/>
      <selection pane="topRight" activeCell="E1" sqref="E1"/>
      <selection pane="bottomLeft" activeCell="A7" sqref="A7"/>
      <selection pane="bottomRight" activeCell="G59" sqref="G59"/>
    </sheetView>
  </sheetViews>
  <sheetFormatPr baseColWidth="10" defaultColWidth="0" defaultRowHeight="15" x14ac:dyDescent="0.2"/>
  <cols>
    <col min="1" max="1" width="8" style="22" customWidth="1"/>
    <col min="2" max="2" width="24.5" style="22" customWidth="1"/>
    <col min="3" max="3" width="10.1640625" style="22" customWidth="1"/>
    <col min="4" max="4" width="9.1640625" style="22" customWidth="1"/>
    <col min="5" max="5" width="10.5" style="22" bestFit="1" customWidth="1"/>
    <col min="6" max="11" width="10.6640625" style="22" bestFit="1" customWidth="1"/>
    <col min="12" max="27" width="11" style="22" bestFit="1" customWidth="1"/>
    <col min="28" max="34" width="12.5" style="22" bestFit="1" customWidth="1"/>
    <col min="35" max="35" width="9.1640625" style="22" customWidth="1"/>
    <col min="36" max="16384" width="9.1640625" style="22" hidden="1"/>
  </cols>
  <sheetData>
    <row r="1" spans="1:37" s="476" customFormat="1" x14ac:dyDescent="0.2">
      <c r="A1" s="477"/>
      <c r="B1" s="478" t="s">
        <v>101</v>
      </c>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row>
    <row r="2" spans="1:37" s="18" customFormat="1" x14ac:dyDescent="0.2">
      <c r="A2" s="479"/>
      <c r="B2" s="480"/>
      <c r="C2" s="479"/>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c r="AD2" s="479"/>
      <c r="AE2" s="479"/>
      <c r="AF2" s="479"/>
      <c r="AG2" s="479"/>
      <c r="AH2" s="479"/>
    </row>
    <row r="3" spans="1:37" s="18" customFormat="1" x14ac:dyDescent="0.2">
      <c r="A3" s="479"/>
      <c r="B3" s="480" t="str">
        <f>"All units in "  &amp;'Assumptions - General'!E27&amp;  " millions unless otherwise stated"</f>
        <v>All units in R$ millions unless otherwise stated</v>
      </c>
      <c r="C3" s="481"/>
      <c r="D3" s="479"/>
      <c r="E3" s="479"/>
      <c r="F3" s="479"/>
      <c r="G3" s="479"/>
      <c r="H3" s="479"/>
      <c r="I3" s="479"/>
      <c r="J3" s="479"/>
      <c r="K3" s="479"/>
      <c r="L3" s="479"/>
      <c r="M3" s="479"/>
      <c r="N3" s="479"/>
      <c r="O3" s="479"/>
      <c r="P3" s="479"/>
      <c r="Q3" s="479"/>
      <c r="R3" s="479"/>
      <c r="S3" s="479"/>
      <c r="T3" s="479"/>
      <c r="U3" s="479"/>
      <c r="V3" s="479"/>
      <c r="W3" s="479"/>
      <c r="X3" s="479"/>
      <c r="Y3" s="479"/>
      <c r="Z3" s="479"/>
      <c r="AA3" s="479"/>
      <c r="AB3" s="479"/>
      <c r="AC3" s="479"/>
      <c r="AD3" s="479"/>
      <c r="AE3" s="479"/>
      <c r="AF3" s="479"/>
      <c r="AG3" s="479"/>
      <c r="AH3" s="479"/>
    </row>
    <row r="4" spans="1:37" s="20" customFormat="1" x14ac:dyDescent="0.2">
      <c r="A4" s="18"/>
      <c r="B4" s="7" t="s">
        <v>99</v>
      </c>
      <c r="C4" s="8"/>
      <c r="D4" s="8"/>
      <c r="E4" s="8">
        <v>1</v>
      </c>
      <c r="F4" s="8">
        <v>2</v>
      </c>
      <c r="G4" s="8">
        <v>3</v>
      </c>
      <c r="H4" s="8">
        <v>4</v>
      </c>
      <c r="I4" s="8">
        <v>5</v>
      </c>
      <c r="J4" s="8">
        <v>6</v>
      </c>
      <c r="K4" s="8">
        <v>7</v>
      </c>
      <c r="L4" s="8">
        <v>8</v>
      </c>
      <c r="M4" s="8">
        <v>9</v>
      </c>
      <c r="N4" s="8">
        <v>10</v>
      </c>
      <c r="O4" s="8">
        <v>11</v>
      </c>
      <c r="P4" s="8">
        <v>12</v>
      </c>
      <c r="Q4" s="8">
        <v>13</v>
      </c>
      <c r="R4" s="8">
        <v>14</v>
      </c>
      <c r="S4" s="8">
        <v>15</v>
      </c>
      <c r="T4" s="8">
        <v>16</v>
      </c>
      <c r="U4" s="8">
        <v>17</v>
      </c>
      <c r="V4" s="8">
        <v>18</v>
      </c>
      <c r="W4" s="8">
        <v>19</v>
      </c>
      <c r="X4" s="8">
        <v>20</v>
      </c>
      <c r="Y4" s="8">
        <v>21</v>
      </c>
      <c r="Z4" s="8">
        <v>22</v>
      </c>
      <c r="AA4" s="8">
        <v>23</v>
      </c>
      <c r="AB4" s="8">
        <v>24</v>
      </c>
      <c r="AC4" s="8">
        <v>25</v>
      </c>
      <c r="AD4" s="8">
        <v>26</v>
      </c>
      <c r="AE4" s="8">
        <v>27</v>
      </c>
      <c r="AF4" s="8">
        <v>28</v>
      </c>
      <c r="AG4" s="8">
        <v>29</v>
      </c>
      <c r="AH4" s="8">
        <v>30</v>
      </c>
    </row>
    <row r="5" spans="1:37" s="20" customFormat="1" x14ac:dyDescent="0.2">
      <c r="A5" s="18"/>
      <c r="B5" s="7" t="s">
        <v>12</v>
      </c>
      <c r="C5" s="8"/>
      <c r="D5" s="8"/>
      <c r="E5" s="9">
        <f>'Assumptions - General'!$E$28</f>
        <v>40179</v>
      </c>
      <c r="F5" s="9">
        <f t="shared" ref="F5:AH5" si="0">E6+1</f>
        <v>40544</v>
      </c>
      <c r="G5" s="9">
        <f t="shared" si="0"/>
        <v>40909</v>
      </c>
      <c r="H5" s="9">
        <f t="shared" si="0"/>
        <v>41275</v>
      </c>
      <c r="I5" s="9">
        <f t="shared" si="0"/>
        <v>41640</v>
      </c>
      <c r="J5" s="9">
        <f t="shared" si="0"/>
        <v>42005</v>
      </c>
      <c r="K5" s="9">
        <f t="shared" si="0"/>
        <v>42370</v>
      </c>
      <c r="L5" s="9">
        <f t="shared" si="0"/>
        <v>42736</v>
      </c>
      <c r="M5" s="9">
        <f t="shared" si="0"/>
        <v>43101</v>
      </c>
      <c r="N5" s="9">
        <f t="shared" si="0"/>
        <v>43466</v>
      </c>
      <c r="O5" s="9">
        <f t="shared" si="0"/>
        <v>43831</v>
      </c>
      <c r="P5" s="9">
        <f t="shared" si="0"/>
        <v>44197</v>
      </c>
      <c r="Q5" s="9">
        <f t="shared" si="0"/>
        <v>44562</v>
      </c>
      <c r="R5" s="9">
        <f t="shared" si="0"/>
        <v>44927</v>
      </c>
      <c r="S5" s="9">
        <f t="shared" si="0"/>
        <v>45292</v>
      </c>
      <c r="T5" s="9">
        <f t="shared" si="0"/>
        <v>45658</v>
      </c>
      <c r="U5" s="9">
        <f t="shared" si="0"/>
        <v>46023</v>
      </c>
      <c r="V5" s="9">
        <f t="shared" si="0"/>
        <v>46388</v>
      </c>
      <c r="W5" s="9">
        <f t="shared" si="0"/>
        <v>46753</v>
      </c>
      <c r="X5" s="9">
        <f t="shared" si="0"/>
        <v>47119</v>
      </c>
      <c r="Y5" s="9">
        <f t="shared" si="0"/>
        <v>47484</v>
      </c>
      <c r="Z5" s="9">
        <f t="shared" si="0"/>
        <v>47849</v>
      </c>
      <c r="AA5" s="9">
        <f t="shared" si="0"/>
        <v>48214</v>
      </c>
      <c r="AB5" s="9">
        <f t="shared" si="0"/>
        <v>48580</v>
      </c>
      <c r="AC5" s="9">
        <f t="shared" si="0"/>
        <v>48945</v>
      </c>
      <c r="AD5" s="9">
        <f t="shared" si="0"/>
        <v>49310</v>
      </c>
      <c r="AE5" s="9">
        <f t="shared" si="0"/>
        <v>49675</v>
      </c>
      <c r="AF5" s="9">
        <f t="shared" si="0"/>
        <v>50041</v>
      </c>
      <c r="AG5" s="9">
        <f t="shared" si="0"/>
        <v>50406</v>
      </c>
      <c r="AH5" s="9">
        <f t="shared" si="0"/>
        <v>50771</v>
      </c>
    </row>
    <row r="6" spans="1:37" s="20" customFormat="1" x14ac:dyDescent="0.2">
      <c r="A6" s="18"/>
      <c r="B6" s="7" t="s">
        <v>13</v>
      </c>
      <c r="C6" s="8"/>
      <c r="D6" s="8"/>
      <c r="E6" s="9">
        <f>DATE(YEAR(E5)+1, MONTH(E5), DAY(E5)-1)</f>
        <v>40543</v>
      </c>
      <c r="F6" s="9">
        <f t="shared" ref="F6:AH6" si="1">DATE(YEAR(F5)+1, MONTH(F5), DAY(F5)-1)</f>
        <v>40908</v>
      </c>
      <c r="G6" s="9">
        <f t="shared" si="1"/>
        <v>41274</v>
      </c>
      <c r="H6" s="9">
        <f t="shared" si="1"/>
        <v>41639</v>
      </c>
      <c r="I6" s="9">
        <f t="shared" si="1"/>
        <v>42004</v>
      </c>
      <c r="J6" s="9">
        <f t="shared" si="1"/>
        <v>42369</v>
      </c>
      <c r="K6" s="9">
        <f t="shared" si="1"/>
        <v>42735</v>
      </c>
      <c r="L6" s="9">
        <f t="shared" si="1"/>
        <v>43100</v>
      </c>
      <c r="M6" s="9">
        <f t="shared" si="1"/>
        <v>43465</v>
      </c>
      <c r="N6" s="9">
        <f t="shared" si="1"/>
        <v>43830</v>
      </c>
      <c r="O6" s="9">
        <f t="shared" si="1"/>
        <v>44196</v>
      </c>
      <c r="P6" s="9">
        <f t="shared" si="1"/>
        <v>44561</v>
      </c>
      <c r="Q6" s="9">
        <f t="shared" si="1"/>
        <v>44926</v>
      </c>
      <c r="R6" s="9">
        <f t="shared" si="1"/>
        <v>45291</v>
      </c>
      <c r="S6" s="9">
        <f t="shared" si="1"/>
        <v>45657</v>
      </c>
      <c r="T6" s="9">
        <f t="shared" si="1"/>
        <v>46022</v>
      </c>
      <c r="U6" s="9">
        <f t="shared" si="1"/>
        <v>46387</v>
      </c>
      <c r="V6" s="9">
        <f t="shared" si="1"/>
        <v>46752</v>
      </c>
      <c r="W6" s="9">
        <f t="shared" si="1"/>
        <v>47118</v>
      </c>
      <c r="X6" s="9">
        <f t="shared" si="1"/>
        <v>47483</v>
      </c>
      <c r="Y6" s="9">
        <f t="shared" si="1"/>
        <v>47848</v>
      </c>
      <c r="Z6" s="9">
        <f t="shared" si="1"/>
        <v>48213</v>
      </c>
      <c r="AA6" s="9">
        <f t="shared" si="1"/>
        <v>48579</v>
      </c>
      <c r="AB6" s="9">
        <f t="shared" si="1"/>
        <v>48944</v>
      </c>
      <c r="AC6" s="9">
        <f t="shared" si="1"/>
        <v>49309</v>
      </c>
      <c r="AD6" s="9">
        <f t="shared" si="1"/>
        <v>49674</v>
      </c>
      <c r="AE6" s="9">
        <f t="shared" si="1"/>
        <v>50040</v>
      </c>
      <c r="AF6" s="9">
        <f t="shared" si="1"/>
        <v>50405</v>
      </c>
      <c r="AG6" s="9">
        <f t="shared" si="1"/>
        <v>50770</v>
      </c>
      <c r="AH6" s="9">
        <f t="shared" si="1"/>
        <v>51135</v>
      </c>
    </row>
    <row r="7" spans="1:37" s="18" customFormat="1" ht="19" x14ac:dyDescent="0.25">
      <c r="A7" s="2"/>
      <c r="B7" s="483" t="str">
        <f>'Assumptions - General'!$E$23</f>
        <v xml:space="preserve">Ruritania Railways </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row>
    <row r="8" spans="1:37" s="18" customFormat="1" x14ac:dyDescent="0.2">
      <c r="A8" s="2"/>
      <c r="B8" s="3"/>
      <c r="C8" s="6"/>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row>
    <row r="9" spans="1:37" s="20" customFormat="1" hidden="1" x14ac:dyDescent="0.2">
      <c r="A9" s="2"/>
      <c r="B9" s="7" t="s">
        <v>226</v>
      </c>
      <c r="C9" s="8"/>
      <c r="D9" s="8"/>
      <c r="E9" s="29">
        <f>Calculations!E21</f>
        <v>1</v>
      </c>
      <c r="F9" s="29">
        <f>Calculations!F21</f>
        <v>1</v>
      </c>
      <c r="G9" s="29">
        <f>Calculations!G21</f>
        <v>1</v>
      </c>
      <c r="H9" s="29">
        <f>Calculations!H21</f>
        <v>1</v>
      </c>
      <c r="I9" s="29">
        <f>Calculations!I21</f>
        <v>1</v>
      </c>
      <c r="J9" s="29">
        <f>Calculations!J21</f>
        <v>1</v>
      </c>
      <c r="K9" s="29">
        <f>Calculations!K21</f>
        <v>1</v>
      </c>
      <c r="L9" s="29">
        <f>Calculations!L21</f>
        <v>1</v>
      </c>
      <c r="M9" s="29">
        <f>Calculations!M21</f>
        <v>1</v>
      </c>
      <c r="N9" s="29">
        <f>Calculations!N21</f>
        <v>1</v>
      </c>
      <c r="O9" s="29">
        <f>Calculations!O21</f>
        <v>1</v>
      </c>
      <c r="P9" s="29">
        <f>Calculations!P21</f>
        <v>1</v>
      </c>
      <c r="Q9" s="29">
        <f>Calculations!Q21</f>
        <v>1</v>
      </c>
      <c r="R9" s="29">
        <f>Calculations!R21</f>
        <v>1</v>
      </c>
      <c r="S9" s="29">
        <f>Calculations!S21</f>
        <v>1</v>
      </c>
      <c r="T9" s="29">
        <f>Calculations!T21</f>
        <v>1</v>
      </c>
      <c r="U9" s="29">
        <f>Calculations!U21</f>
        <v>1</v>
      </c>
      <c r="V9" s="29">
        <f>Calculations!V21</f>
        <v>1</v>
      </c>
      <c r="W9" s="29">
        <f>Calculations!W21</f>
        <v>1</v>
      </c>
      <c r="X9" s="29">
        <f>Calculations!X21</f>
        <v>1</v>
      </c>
      <c r="Y9" s="29">
        <f>Calculations!Y21</f>
        <v>1</v>
      </c>
      <c r="Z9" s="29">
        <f>Calculations!Z21</f>
        <v>1</v>
      </c>
      <c r="AA9" s="29">
        <f>Calculations!AA21</f>
        <v>1</v>
      </c>
      <c r="AB9" s="29">
        <f>Calculations!AB21</f>
        <v>1</v>
      </c>
      <c r="AC9" s="29">
        <f>Calculations!AC21</f>
        <v>1</v>
      </c>
      <c r="AD9" s="29">
        <f>Calculations!AD21</f>
        <v>1</v>
      </c>
      <c r="AE9" s="29">
        <f>Calculations!AE21</f>
        <v>1</v>
      </c>
      <c r="AF9" s="29">
        <f>Calculations!AF21</f>
        <v>1</v>
      </c>
      <c r="AG9" s="29">
        <f>Calculations!AG21</f>
        <v>1</v>
      </c>
      <c r="AH9" s="29">
        <f>Calculations!AH21</f>
        <v>1</v>
      </c>
    </row>
    <row r="10" spans="1:37" s="278" customFormat="1" x14ac:dyDescent="0.2">
      <c r="A10" s="2"/>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row>
    <row r="11" spans="1:37" s="20" customFormat="1" x14ac:dyDescent="0.2">
      <c r="A11" s="2"/>
      <c r="B11" s="19" t="s">
        <v>100</v>
      </c>
    </row>
    <row r="12" spans="1:37" s="277" customFormat="1" x14ac:dyDescent="0.2">
      <c r="A12" s="2"/>
      <c r="B12" s="25" t="s">
        <v>102</v>
      </c>
      <c r="C12" s="24"/>
      <c r="D12" s="24"/>
      <c r="E12" s="35">
        <v>0</v>
      </c>
      <c r="F12" s="35">
        <f>IF(F9=1,'Income statement'!F41,0)</f>
        <v>51076.180647190602</v>
      </c>
      <c r="G12" s="35">
        <f>IF(G9=1,'Income statement'!G41,0)</f>
        <v>52833.882010083762</v>
      </c>
      <c r="H12" s="35">
        <f>IF(H9=1,'Income statement'!H41,0)</f>
        <v>56012.92755942855</v>
      </c>
      <c r="I12" s="35">
        <f>IF(I9=1,'Income statement'!I41,0)</f>
        <v>60789.006702455954</v>
      </c>
      <c r="J12" s="35">
        <f>IF(J9=1,'Income statement'!J41,0)</f>
        <v>64675.893370528727</v>
      </c>
      <c r="K12" s="35">
        <f>IF(K9=1,'Income statement'!K41,0)</f>
        <v>73586.957923887676</v>
      </c>
      <c r="L12" s="35">
        <f>IF(L9=1,'Income statement'!L41,0)</f>
        <v>78067.126185957284</v>
      </c>
      <c r="M12" s="35">
        <f>IF(M9=1,'Income statement'!M41,0)</f>
        <v>82816.584936701809</v>
      </c>
      <c r="N12" s="35">
        <f>IF(N9=1,'Income statement'!N41,0)</f>
        <v>87780.244924841885</v>
      </c>
      <c r="O12" s="35">
        <f>IF(O9=1,'Income statement'!O41,0)</f>
        <v>91864.589175435191</v>
      </c>
      <c r="P12" s="35">
        <f>IF(P9=1,'Income statement'!P41,0)</f>
        <v>96926.216854716826</v>
      </c>
      <c r="Q12" s="35">
        <f>IF(Q9=1,'Income statement'!Q41,0)</f>
        <v>102289.0940854557</v>
      </c>
      <c r="R12" s="35">
        <f>IF(R9=1,'Income statement'!R41,0)</f>
        <v>107894.53008474925</v>
      </c>
      <c r="S12" s="35">
        <f>IF(S9=1,'Income statement'!S41,0)</f>
        <v>113742.63224968793</v>
      </c>
      <c r="T12" s="35">
        <f>IF(T9=1,'Income statement'!T41,0)</f>
        <v>119857.00399171299</v>
      </c>
      <c r="U12" s="35">
        <f>IF(U9=1,'Income statement'!U41,0)</f>
        <v>126243.01316232259</v>
      </c>
      <c r="V12" s="35">
        <f>IF(V9=1,'Income statement'!V41,0)</f>
        <v>132905.06401470795</v>
      </c>
      <c r="W12" s="35">
        <f>IF(W9=1,'Income statement'!W41,0)</f>
        <v>139857.17967443334</v>
      </c>
      <c r="X12" s="35">
        <f>IF(X9=1,'Income statement'!X41,0)</f>
        <v>147100.2732670941</v>
      </c>
      <c r="Y12" s="35">
        <f>IF(Y9=1,'Income statement'!Y41,0)</f>
        <v>154663.24131945026</v>
      </c>
      <c r="Z12" s="35">
        <f>IF(Z9=1,'Income statement'!Z41,0)</f>
        <v>162541.54000811907</v>
      </c>
      <c r="AA12" s="35">
        <f>IF(AA9=1,'Income statement'!AA41,0)</f>
        <v>170754.43608073692</v>
      </c>
      <c r="AB12" s="35">
        <f>IF(AB9=1,'Income statement'!AB41,0)</f>
        <v>179316.40455152997</v>
      </c>
      <c r="AC12" s="35">
        <f>IF(AC9=1,'Income statement'!AC41,0)</f>
        <v>188242.08543988143</v>
      </c>
      <c r="AD12" s="35">
        <f>IF(AD9=1,'Income statement'!AD41,0)</f>
        <v>197542.41570191426</v>
      </c>
      <c r="AE12" s="35">
        <f>IF(AE9=1,'Income statement'!AE41,0)</f>
        <v>207233.80817187973</v>
      </c>
      <c r="AF12" s="35">
        <f>IF(AF9=1,'Income statement'!AF41,0)</f>
        <v>217329.18222586409</v>
      </c>
      <c r="AG12" s="35">
        <f>IF(AG9=1,'Income statement'!AG41,0)</f>
        <v>227847.57530096141</v>
      </c>
      <c r="AH12" s="35">
        <f>IF(AH9=1,'Income statement'!AH41,0)</f>
        <v>238833.98395016085</v>
      </c>
      <c r="AI12" s="405"/>
      <c r="AJ12" s="405"/>
      <c r="AK12" s="405"/>
    </row>
    <row r="13" spans="1:37" s="277" customFormat="1" x14ac:dyDescent="0.2">
      <c r="A13" s="2"/>
      <c r="B13" s="25" t="s">
        <v>664</v>
      </c>
      <c r="C13" s="24"/>
      <c r="D13" s="24"/>
      <c r="E13" s="35">
        <v>0</v>
      </c>
      <c r="F13" s="35">
        <f>IF(F9,'Income statement'!F38+Calculations!F1484,0)</f>
        <v>34.074249999999992</v>
      </c>
      <c r="G13" s="35">
        <f>IF(G9,'Income statement'!G38+Calculations!G1484,0)</f>
        <v>38.919499999999857</v>
      </c>
      <c r="H13" s="35">
        <f>IF(H9,'Income statement'!H38+Calculations!H1484,0)</f>
        <v>42.692250000000058</v>
      </c>
      <c r="I13" s="35">
        <f>IF(I9,'Income statement'!I38+Calculations!I1484,0)</f>
        <v>49.486624999999549</v>
      </c>
      <c r="J13" s="35">
        <f>IF(J9,'Income statement'!J38+Calculations!J1484,0)</f>
        <v>56.132500000000618</v>
      </c>
      <c r="K13" s="35">
        <f>IF(K9,'Income statement'!K38+Calculations!K1484,0)</f>
        <v>62.637749999999869</v>
      </c>
      <c r="L13" s="35">
        <f>IF(L9,'Income statement'!L38+Calculations!L1484,0)</f>
        <v>63.971624999999221</v>
      </c>
      <c r="M13" s="35">
        <f>IF(M9,'Income statement'!M38+Calculations!M1484,0)</f>
        <v>59.866439168310535</v>
      </c>
      <c r="N13" s="35">
        <f>IF(N9,'Income statement'!N38+Calculations!N1484,0)</f>
        <v>55.462483591983982</v>
      </c>
      <c r="O13" s="35">
        <f>IF(O9,'Income statement'!O38+Calculations!O1484,0)</f>
        <v>48.585341802581752</v>
      </c>
      <c r="P13" s="35">
        <f>IF(P9,'Income statement'!P38+Calculations!P1484,0)</f>
        <v>46.312091308835079</v>
      </c>
      <c r="Q13" s="35">
        <f>IF(Q9,'Income statement'!Q38+Calculations!Q1484,0)</f>
        <v>45.732360541545859</v>
      </c>
      <c r="R13" s="35">
        <f>IF(R9,'Income statement'!R38+Calculations!R1484,0)</f>
        <v>45.116880535928431</v>
      </c>
      <c r="S13" s="35">
        <f>IF(S9,'Income statement'!S38+Calculations!S1484,0)</f>
        <v>44.463390441083902</v>
      </c>
      <c r="T13" s="35">
        <f>IF(T9,'Income statement'!T38+Calculations!T1484,0)</f>
        <v>43.76948322631506</v>
      </c>
      <c r="U13" s="35">
        <f>IF(U9,'Income statement'!U38+Calculations!U1484,0)</f>
        <v>23.657596052558802</v>
      </c>
      <c r="V13" s="35">
        <f>IF(V9,'Income statement'!V38+Calculations!V1484,0)</f>
        <v>3.5000000000109139</v>
      </c>
      <c r="W13" s="35">
        <f>IF(W9,'Income statement'!W38+Calculations!W1484,0)</f>
        <v>3.500000000003638</v>
      </c>
      <c r="X13" s="35">
        <f>IF(X9,'Income statement'!X38+Calculations!X1484,0)</f>
        <v>3.499999999992724</v>
      </c>
      <c r="Y13" s="35">
        <f>IF(Y9,'Income statement'!Y38+Calculations!Y1484,0)</f>
        <v>3.4999999999890861</v>
      </c>
      <c r="Z13" s="35">
        <f>IF(Z9,'Income statement'!Z38+Calculations!Z1484,0)</f>
        <v>3.5</v>
      </c>
      <c r="AA13" s="35">
        <f>IF(AA9,'Income statement'!AA38+Calculations!AA1484,0)</f>
        <v>3.500000000007276</v>
      </c>
      <c r="AB13" s="35">
        <f>IF(AB9,'Income statement'!AB38+Calculations!AB1484,0)</f>
        <v>3.4999999999854481</v>
      </c>
      <c r="AC13" s="35">
        <f>IF(AC9,'Income statement'!AC38+Calculations!AC1484,0)</f>
        <v>3.500000000007276</v>
      </c>
      <c r="AD13" s="35">
        <f>IF(AD9,'Income statement'!AD38+Calculations!AD1484,0)</f>
        <v>3.4999999999854481</v>
      </c>
      <c r="AE13" s="35">
        <f>IF(AE9,'Income statement'!AE38+Calculations!AE1484,0)</f>
        <v>2.2499999999854481</v>
      </c>
      <c r="AF13" s="35">
        <f>IF(AF9,'Income statement'!AF38+Calculations!AF1484,0)</f>
        <v>1</v>
      </c>
      <c r="AG13" s="35">
        <f>IF(AG9,'Income statement'!AG38+Calculations!AG1484,0)</f>
        <v>1.000000000007276</v>
      </c>
      <c r="AH13" s="35">
        <f>IF(AH9,'Income statement'!AH38+Calculations!AH1484,0)</f>
        <v>1.000000000007276</v>
      </c>
      <c r="AI13" s="405"/>
      <c r="AJ13" s="405"/>
      <c r="AK13" s="405"/>
    </row>
    <row r="14" spans="1:37" s="277" customFormat="1" x14ac:dyDescent="0.2">
      <c r="A14" s="2"/>
      <c r="B14" s="504" t="s">
        <v>699</v>
      </c>
      <c r="E14" s="405">
        <v>0</v>
      </c>
      <c r="F14" s="405">
        <f>IF(F9=1,F59+F104+F149,0)</f>
        <v>0</v>
      </c>
      <c r="G14" s="405">
        <f t="shared" ref="G14:AH14" si="2">IF(G9=1,G59+G104+G149,0)</f>
        <v>0</v>
      </c>
      <c r="H14" s="405">
        <f t="shared" si="2"/>
        <v>0</v>
      </c>
      <c r="I14" s="405">
        <f t="shared" si="2"/>
        <v>0</v>
      </c>
      <c r="J14" s="405">
        <f t="shared" si="2"/>
        <v>0</v>
      </c>
      <c r="K14" s="405">
        <f t="shared" si="2"/>
        <v>0</v>
      </c>
      <c r="L14" s="405">
        <f t="shared" si="2"/>
        <v>0</v>
      </c>
      <c r="M14" s="405">
        <f t="shared" si="2"/>
        <v>0</v>
      </c>
      <c r="N14" s="405">
        <f t="shared" si="2"/>
        <v>0</v>
      </c>
      <c r="O14" s="405">
        <f t="shared" si="2"/>
        <v>0</v>
      </c>
      <c r="P14" s="405">
        <f t="shared" si="2"/>
        <v>0</v>
      </c>
      <c r="Q14" s="405">
        <f t="shared" si="2"/>
        <v>0</v>
      </c>
      <c r="R14" s="405">
        <f t="shared" si="2"/>
        <v>0</v>
      </c>
      <c r="S14" s="405">
        <f t="shared" si="2"/>
        <v>0</v>
      </c>
      <c r="T14" s="405">
        <f t="shared" si="2"/>
        <v>0</v>
      </c>
      <c r="U14" s="405">
        <f t="shared" si="2"/>
        <v>0</v>
      </c>
      <c r="V14" s="405">
        <f t="shared" si="2"/>
        <v>0</v>
      </c>
      <c r="W14" s="405">
        <f t="shared" si="2"/>
        <v>0</v>
      </c>
      <c r="X14" s="405">
        <f t="shared" si="2"/>
        <v>0</v>
      </c>
      <c r="Y14" s="405">
        <f t="shared" si="2"/>
        <v>0</v>
      </c>
      <c r="Z14" s="405">
        <f t="shared" si="2"/>
        <v>0</v>
      </c>
      <c r="AA14" s="405">
        <f t="shared" si="2"/>
        <v>0</v>
      </c>
      <c r="AB14" s="405">
        <f t="shared" si="2"/>
        <v>0</v>
      </c>
      <c r="AC14" s="405">
        <f t="shared" si="2"/>
        <v>0</v>
      </c>
      <c r="AD14" s="405">
        <f t="shared" si="2"/>
        <v>0</v>
      </c>
      <c r="AE14" s="405">
        <f t="shared" si="2"/>
        <v>0</v>
      </c>
      <c r="AF14" s="405">
        <f t="shared" si="2"/>
        <v>0</v>
      </c>
      <c r="AG14" s="405">
        <f t="shared" si="2"/>
        <v>0</v>
      </c>
      <c r="AH14" s="405">
        <f t="shared" si="2"/>
        <v>0</v>
      </c>
      <c r="AI14" s="405"/>
      <c r="AJ14" s="405"/>
      <c r="AK14" s="405"/>
    </row>
    <row r="15" spans="1:37" s="277" customFormat="1" x14ac:dyDescent="0.2">
      <c r="A15" s="2"/>
      <c r="B15" s="23" t="s">
        <v>103</v>
      </c>
      <c r="C15" s="24"/>
      <c r="D15" s="24"/>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405"/>
      <c r="AJ15" s="405"/>
      <c r="AK15" s="405"/>
    </row>
    <row r="16" spans="1:37" s="277" customFormat="1" x14ac:dyDescent="0.2">
      <c r="A16" s="2"/>
      <c r="B16" s="25" t="s">
        <v>94</v>
      </c>
      <c r="C16" s="24"/>
      <c r="D16" s="24"/>
      <c r="E16" s="35">
        <v>0</v>
      </c>
      <c r="F16" s="35">
        <f>IF(F9=1,'Income statement'!F34,0)</f>
        <v>148.87500153785587</v>
      </c>
      <c r="G16" s="35">
        <f>IF(G9=1,'Income statement'!G34,0)</f>
        <v>190.40915694969374</v>
      </c>
      <c r="H16" s="35">
        <f>IF(H9=1,'Income statement'!H34,0)</f>
        <v>216.19378433714462</v>
      </c>
      <c r="I16" s="35">
        <f>IF(I9=1,'Income statement'!I34,0)</f>
        <v>241.97841172459556</v>
      </c>
      <c r="J16" s="35">
        <f>IF(J9=1,'Income statement'!J34,0)</f>
        <v>267.76303911204656</v>
      </c>
      <c r="K16" s="35">
        <f>IF(K9=1,'Income statement'!K34,0)</f>
        <v>293.5476664994975</v>
      </c>
      <c r="L16" s="35">
        <f>IF(L9=1,'Income statement'!L34,0)</f>
        <v>304.33229388694843</v>
      </c>
      <c r="M16" s="35">
        <f>IF(M9=1,'Income statement'!M34,0)</f>
        <v>329.15263556011365</v>
      </c>
      <c r="N16" s="35">
        <f>IF(N9=1,'Income statement'!N34,0)</f>
        <v>355.41206759593166</v>
      </c>
      <c r="O16" s="35">
        <f>IF(O9=1,'Income statement'!O34,0)</f>
        <v>381.49618406372724</v>
      </c>
      <c r="P16" s="35">
        <f>IF(P9=1,'Income statement'!P34,0)</f>
        <v>408.12377879239227</v>
      </c>
      <c r="Q16" s="35">
        <f>IF(Q9=1,'Income statement'!Q34,0)</f>
        <v>430.75137352105753</v>
      </c>
      <c r="R16" s="35">
        <f>IF(R9=1,'Income statement'!R34,0)</f>
        <v>447.603605930882</v>
      </c>
      <c r="S16" s="35">
        <f>IF(S9=1,'Income statement'!S34,0)</f>
        <v>473.45583834070658</v>
      </c>
      <c r="T16" s="35">
        <f>IF(T9=1,'Income statement'!T34,0)</f>
        <v>486.10352529598572</v>
      </c>
      <c r="U16" s="35">
        <f>IF(U9=1,'Income statement'!U34,0)</f>
        <v>513.11674255429512</v>
      </c>
      <c r="V16" s="35">
        <f>IF(V9=1,'Income statement'!V34,0)</f>
        <v>530.9924790138333</v>
      </c>
      <c r="W16" s="35">
        <f>IF(W9=1,'Income statement'!W34,0)</f>
        <v>540.24916785432401</v>
      </c>
      <c r="X16" s="35">
        <f>IF(X9=1,'Income statement'!X34,0)</f>
        <v>564.46237843394488</v>
      </c>
      <c r="Y16" s="35">
        <f>IF(Y9=1,'Income statement'!Y34,0)</f>
        <v>575.85241643897962</v>
      </c>
      <c r="Z16" s="35">
        <f>IF(Z9=1,'Income statement'!Z34,0)</f>
        <v>600.84085261335053</v>
      </c>
      <c r="AA16" s="35">
        <f>IF(AA9=1,'Income statement'!AA34,0)</f>
        <v>628.32928878772145</v>
      </c>
      <c r="AB16" s="35">
        <f>IF(AB9=1,'Income statement'!AB34,0)</f>
        <v>655.81772496209237</v>
      </c>
      <c r="AC16" s="35">
        <f>IF(AC9=1,'Income statement'!AC34,0)</f>
        <v>681.07624423895618</v>
      </c>
      <c r="AD16" s="35">
        <f>IF(AD9=1,'Income statement'!AD34,0)</f>
        <v>708.5646804133271</v>
      </c>
      <c r="AE16" s="35">
        <f>IF(AE9=1,'Income statement'!AE34,0)</f>
        <v>736.05311658769801</v>
      </c>
      <c r="AF16" s="35">
        <f>IF(AF9=1,'Income statement'!AF34,0)</f>
        <v>763.54155276206893</v>
      </c>
      <c r="AG16" s="35">
        <f>IF(AG9=1,'Income statement'!AG34,0)</f>
        <v>786.67072120188595</v>
      </c>
      <c r="AH16" s="35">
        <f>IF(AH9=1,'Income statement'!AH34,0)</f>
        <v>755.40667835261081</v>
      </c>
      <c r="AI16" s="405"/>
      <c r="AJ16" s="405"/>
      <c r="AK16" s="405"/>
    </row>
    <row r="17" spans="1:37" s="277" customFormat="1" x14ac:dyDescent="0.2">
      <c r="A17" s="2"/>
      <c r="B17" s="25" t="s">
        <v>611</v>
      </c>
      <c r="C17" s="24"/>
      <c r="D17" s="24"/>
      <c r="E17" s="35">
        <v>0</v>
      </c>
      <c r="F17" s="35">
        <f t="shared" ref="F17:AH17" si="3">IF(F9=1,F62+F107+F152,0)</f>
        <v>6.1174714573952418</v>
      </c>
      <c r="G17" s="35">
        <f t="shared" si="3"/>
        <v>10.070303952822549</v>
      </c>
      <c r="H17" s="35">
        <f t="shared" si="3"/>
        <v>11.458986080830897</v>
      </c>
      <c r="I17" s="35">
        <f t="shared" si="3"/>
        <v>12.874130989873541</v>
      </c>
      <c r="J17" s="35">
        <f t="shared" si="3"/>
        <v>14.329666816249629</v>
      </c>
      <c r="K17" s="35">
        <f t="shared" si="3"/>
        <v>15.830365765719923</v>
      </c>
      <c r="L17" s="35">
        <f t="shared" si="3"/>
        <v>16.778954375487181</v>
      </c>
      <c r="M17" s="35">
        <f t="shared" si="3"/>
        <v>18.336759794684635</v>
      </c>
      <c r="N17" s="35">
        <f t="shared" si="3"/>
        <v>20.00366244019196</v>
      </c>
      <c r="O17" s="35">
        <f t="shared" si="3"/>
        <v>21.713272588651957</v>
      </c>
      <c r="P17" s="35">
        <f t="shared" si="3"/>
        <v>23.50496193830217</v>
      </c>
      <c r="Q17" s="35">
        <f t="shared" si="3"/>
        <v>25.193474821585227</v>
      </c>
      <c r="R17" s="35">
        <f t="shared" si="3"/>
        <v>26.706161733693683</v>
      </c>
      <c r="S17" s="35">
        <f t="shared" si="3"/>
        <v>28.628565938147652</v>
      </c>
      <c r="T17" s="35">
        <f t="shared" si="3"/>
        <v>30.079800058632472</v>
      </c>
      <c r="U17" s="35">
        <f t="shared" si="3"/>
        <v>32.168485854722597</v>
      </c>
      <c r="V17" s="35">
        <f t="shared" si="3"/>
        <v>33.954865679691984</v>
      </c>
      <c r="W17" s="35">
        <f t="shared" si="3"/>
        <v>35.459322859431573</v>
      </c>
      <c r="X17" s="35">
        <f t="shared" si="3"/>
        <v>37.61669161039751</v>
      </c>
      <c r="Y17" s="35">
        <f t="shared" si="3"/>
        <v>39.267720743919043</v>
      </c>
      <c r="Z17" s="35">
        <f t="shared" si="3"/>
        <v>41.601587321055881</v>
      </c>
      <c r="AA17" s="35">
        <f t="shared" si="3"/>
        <v>44.109007922645944</v>
      </c>
      <c r="AB17" s="35">
        <f t="shared" si="3"/>
        <v>46.692135429779078</v>
      </c>
      <c r="AC17" s="35">
        <f t="shared" si="3"/>
        <v>49.249483612244575</v>
      </c>
      <c r="AD17" s="35">
        <f t="shared" si="3"/>
        <v>51.985599349404829</v>
      </c>
      <c r="AE17" s="35">
        <f t="shared" si="3"/>
        <v>54.803982205579842</v>
      </c>
      <c r="AF17" s="35">
        <f t="shared" si="3"/>
        <v>57.707067198269215</v>
      </c>
      <c r="AG17" s="35">
        <f t="shared" si="3"/>
        <v>60.516278749488649</v>
      </c>
      <c r="AH17" s="35">
        <f t="shared" si="3"/>
        <v>58.511023362935987</v>
      </c>
      <c r="AI17" s="405"/>
      <c r="AJ17" s="405"/>
      <c r="AK17" s="405"/>
    </row>
    <row r="18" spans="1:37" s="277" customFormat="1" x14ac:dyDescent="0.2">
      <c r="A18" s="2"/>
      <c r="B18" s="23" t="s">
        <v>104</v>
      </c>
      <c r="C18" s="24"/>
      <c r="D18" s="24"/>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405"/>
      <c r="AJ18" s="405"/>
      <c r="AK18" s="405"/>
    </row>
    <row r="19" spans="1:37" s="277" customFormat="1" x14ac:dyDescent="0.2">
      <c r="A19" s="2"/>
      <c r="B19" s="25" t="s">
        <v>71</v>
      </c>
      <c r="C19" s="24"/>
      <c r="D19" s="24"/>
      <c r="E19" s="35">
        <v>0</v>
      </c>
      <c r="F19" s="35">
        <f>IF(F9=1,'Balance sheet'!F14-'Balance sheet'!E14,0)</f>
        <v>618.11194815988893</v>
      </c>
      <c r="G19" s="35">
        <f>IF(G9=1,'Balance sheet'!G14-'Balance sheet'!F14,0)</f>
        <v>381.39164794182943</v>
      </c>
      <c r="H19" s="35">
        <f>IF(H9=1,'Balance sheet'!H14-'Balance sheet'!G14,0)</f>
        <v>796.51957842000775</v>
      </c>
      <c r="I19" s="35">
        <f>IF(I9=1,'Balance sheet'!I14-'Balance sheet'!H14,0)</f>
        <v>1248.3297935856335</v>
      </c>
      <c r="J19" s="35">
        <f>IF(J9=1,'Balance sheet'!J14-'Balance sheet'!I14,0)</f>
        <v>882.10829216572893</v>
      </c>
      <c r="K19" s="35">
        <f>IF(K9=1,'Balance sheet'!K14-'Balance sheet'!J14,0)</f>
        <v>1867.937863040479</v>
      </c>
      <c r="L19" s="35">
        <f>IF(L9=1,'Balance sheet'!L14-'Balance sheet'!K14,0)</f>
        <v>988.70661986810956</v>
      </c>
      <c r="M19" s="35">
        <f>IF(M9=1,'Balance sheet'!M14-'Balance sheet'!L14,0)</f>
        <v>1031.7938145364169</v>
      </c>
      <c r="N19" s="35">
        <f>IF(N9=1,'Balance sheet'!N14-'Balance sheet'!M14,0)</f>
        <v>1076.5789544707986</v>
      </c>
      <c r="O19" s="35">
        <f>IF(O9=1,'Balance sheet'!O14-'Balance sheet'!N14,0)</f>
        <v>1123.1251682700131</v>
      </c>
      <c r="P19" s="35">
        <f>IF(P9=1,'Balance sheet'!P14-'Balance sheet'!O14,0)</f>
        <v>1171.4978445138986</v>
      </c>
      <c r="Q19" s="35">
        <f>IF(Q9=1,'Balance sheet'!Q14-'Balance sheet'!P14,0)</f>
        <v>1221.7647105532451</v>
      </c>
      <c r="R19" s="35">
        <f>IF(R9=1,'Balance sheet'!R14-'Balance sheet'!Q14,0)</f>
        <v>1273.9959139937528</v>
      </c>
      <c r="S19" s="35">
        <f>IF(S9=1,'Balance sheet'!S14-'Balance sheet'!R14,0)</f>
        <v>1328.2641069637721</v>
      </c>
      <c r="T19" s="35">
        <f>IF(T9=1,'Balance sheet'!T14-'Balance sheet'!S14,0)</f>
        <v>1384.6445332603216</v>
      </c>
      <c r="U19" s="35">
        <f>IF(U9=1,'Balance sheet'!U14-'Balance sheet'!T14,0)</f>
        <v>1443.2151184700087</v>
      </c>
      <c r="V19" s="35">
        <f>IF(V9=1,'Balance sheet'!V14-'Balance sheet'!U14,0)</f>
        <v>1504.0565631645077</v>
      </c>
      <c r="W19" s="35">
        <f>IF(W9=1,'Balance sheet'!W14-'Balance sheet'!V14,0)</f>
        <v>1567.2524392747073</v>
      </c>
      <c r="X19" s="35">
        <f>IF(X9=1,'Balance sheet'!X14-'Balance sheet'!W14,0)</f>
        <v>1632.8892897498736</v>
      </c>
      <c r="Y19" s="35">
        <f>IF(Y9=1,'Balance sheet'!Y14-'Balance sheet'!X14,0)</f>
        <v>1701.0567316120359</v>
      </c>
      <c r="Z19" s="35">
        <f>IF(Z9=1,'Balance sheet'!Z14-'Balance sheet'!Y14,0)</f>
        <v>1771.8475625204155</v>
      </c>
      <c r="AA19" s="35">
        <f>IF(AA9=1,'Balance sheet'!AA14-'Balance sheet'!Z14,0)</f>
        <v>1845.3578709627109</v>
      </c>
      <c r="AB19" s="35">
        <f>IF(AB9=1,'Balance sheet'!AB14-'Balance sheet'!AA14,0)</f>
        <v>1921.6871501958158</v>
      </c>
      <c r="AC19" s="35">
        <f>IF(AC9=1,'Balance sheet'!AC14-'Balance sheet'!AB14,0)</f>
        <v>2000.9384160612972</v>
      </c>
      <c r="AD19" s="35">
        <f>IF(AD9=1,'Balance sheet'!AD14-'Balance sheet'!AC14,0)</f>
        <v>2083.218328805684</v>
      </c>
      <c r="AE19" s="35">
        <f>IF(AE9=1,'Balance sheet'!AE14-'Balance sheet'!AD14,0)</f>
        <v>2168.6373190398735</v>
      </c>
      <c r="AF19" s="35">
        <f>IF(AF9=1,'Balance sheet'!AF14-'Balance sheet'!AE14,0)</f>
        <v>2257.3097179763936</v>
      </c>
      <c r="AG19" s="35">
        <f>IF(AG9=1,'Balance sheet'!AG14-'Balance sheet'!AF14,0)</f>
        <v>2349.3538920876017</v>
      </c>
      <c r="AH19" s="35">
        <f>IF(AH9=1,'Balance sheet'!AH14-'Balance sheet'!AG14,0)</f>
        <v>2444.8923823333535</v>
      </c>
      <c r="AI19" s="405"/>
      <c r="AJ19" s="405"/>
      <c r="AK19" s="405"/>
    </row>
    <row r="20" spans="1:37" s="277" customFormat="1" x14ac:dyDescent="0.2">
      <c r="A20" s="2"/>
      <c r="B20" s="25" t="s">
        <v>72</v>
      </c>
      <c r="C20" s="24"/>
      <c r="D20" s="24"/>
      <c r="E20" s="35">
        <v>0</v>
      </c>
      <c r="F20" s="35">
        <f>IF(F9=1,'Balance sheet'!F15-'Balance sheet'!E15,0)</f>
        <v>13.235403963414626</v>
      </c>
      <c r="G20" s="35">
        <f>IF(G9=1,'Balance sheet'!G15-'Balance sheet'!F15,0)</f>
        <v>8.0385926067073683</v>
      </c>
      <c r="H20" s="35">
        <f>IF(H9=1,'Balance sheet'!H15-'Balance sheet'!G15,0)</f>
        <v>17.629618955792694</v>
      </c>
      <c r="I20" s="35">
        <f>IF(I9=1,'Balance sheet'!I15-'Balance sheet'!H15,0)</f>
        <v>28.070590832164669</v>
      </c>
      <c r="J20" s="35">
        <f>IF(J9=1,'Balance sheet'!J15-'Balance sheet'!I15,0)</f>
        <v>19.487301452105669</v>
      </c>
      <c r="K20" s="35">
        <f>IF(K9=1,'Balance sheet'!K15-'Balance sheet'!J15,0)</f>
        <v>42.955920034907194</v>
      </c>
      <c r="L20" s="35">
        <f>IF(L9=1,'Balance sheet'!L15-'Balance sheet'!K15,0)</f>
        <v>21.680058069356107</v>
      </c>
      <c r="M20" s="35">
        <f>IF(M9=1,'Balance sheet'!M15-'Balance sheet'!L15,0)</f>
        <v>22.594385868456868</v>
      </c>
      <c r="N20" s="35">
        <f>IF(N9=1,'Balance sheet'!N15-'Balance sheet'!M15,0)</f>
        <v>23.544061283241376</v>
      </c>
      <c r="O20" s="35">
        <f>IF(O9=1,'Balance sheet'!O15-'Balance sheet'!N15,0)</f>
        <v>24.530382275631155</v>
      </c>
      <c r="P20" s="35">
        <f>IF(P9=1,'Balance sheet'!P15-'Balance sheet'!O15,0)</f>
        <v>25.554692872409532</v>
      </c>
      <c r="Q20" s="35">
        <f>IF(Q9=1,'Balance sheet'!Q15-'Balance sheet'!P15,0)</f>
        <v>26.618384760946583</v>
      </c>
      <c r="R20" s="35">
        <f>IF(R9=1,'Balance sheet'!R15-'Balance sheet'!Q15,0)</f>
        <v>27.722898939210495</v>
      </c>
      <c r="S20" s="35">
        <f>IF(S9=1,'Balance sheet'!S15-'Balance sheet'!R15,0)</f>
        <v>28.869727421885727</v>
      </c>
      <c r="T20" s="35">
        <f>IF(T9=1,'Balance sheet'!T15-'Balance sheet'!S15,0)</f>
        <v>30.060415004475658</v>
      </c>
      <c r="U20" s="35">
        <f>IF(U9=1,'Balance sheet'!U15-'Balance sheet'!T15,0)</f>
        <v>31.296561087341843</v>
      </c>
      <c r="V20" s="35">
        <f>IF(V9=1,'Balance sheet'!V15-'Balance sheet'!U15,0)</f>
        <v>32.579821561675544</v>
      </c>
      <c r="W20" s="35">
        <f>IF(W9=1,'Balance sheet'!W15-'Balance sheet'!V15,0)</f>
        <v>33.911910759490866</v>
      </c>
      <c r="X20" s="35">
        <f>IF(X9=1,'Balance sheet'!X15-'Balance sheet'!W15,0)</f>
        <v>35.29460346976964</v>
      </c>
      <c r="Y20" s="35">
        <f>IF(Y9=1,'Balance sheet'!Y15-'Balance sheet'!X15,0)</f>
        <v>36.72973702298134</v>
      </c>
      <c r="Z20" s="35">
        <f>IF(Z9=1,'Balance sheet'!Z15-'Balance sheet'!Y15,0)</f>
        <v>38.219213446263211</v>
      </c>
      <c r="AA20" s="35">
        <f>IF(AA9=1,'Balance sheet'!AA15-'Balance sheet'!Z15,0)</f>
        <v>39.765001691621364</v>
      </c>
      <c r="AB20" s="35">
        <f>IF(AB9=1,'Balance sheet'!AB15-'Balance sheet'!AA15,0)</f>
        <v>41.369139939599108</v>
      </c>
      <c r="AC20" s="35">
        <f>IF(AC9=1,'Balance sheet'!AC15-'Balance sheet'!AB15,0)</f>
        <v>43.033737980933211</v>
      </c>
      <c r="AD20" s="35">
        <f>IF(AD9=1,'Balance sheet'!AD15-'Balance sheet'!AC15,0)</f>
        <v>44.760979678801505</v>
      </c>
      <c r="AE20" s="35">
        <f>IF(AE9=1,'Balance sheet'!AE15-'Balance sheet'!AD15,0)</f>
        <v>46.553125514359635</v>
      </c>
      <c r="AF20" s="35">
        <f>IF(AF9=1,'Balance sheet'!AF15-'Balance sheet'!AE15,0)</f>
        <v>48.412515218339649</v>
      </c>
      <c r="AG20" s="35">
        <f>IF(AG9=1,'Balance sheet'!AG15-'Balance sheet'!AF15,0)</f>
        <v>50.34157049159603</v>
      </c>
      <c r="AH20" s="35">
        <f>IF(AH9=1,'Balance sheet'!AH15-'Balance sheet'!AG15,0)</f>
        <v>52.342797817551173</v>
      </c>
      <c r="AI20" s="405"/>
      <c r="AJ20" s="405"/>
      <c r="AK20" s="405"/>
    </row>
    <row r="21" spans="1:37" s="277" customFormat="1" x14ac:dyDescent="0.2">
      <c r="A21" s="2"/>
      <c r="B21" s="25" t="s">
        <v>288</v>
      </c>
      <c r="C21" s="24"/>
      <c r="D21" s="24"/>
      <c r="E21" s="35">
        <v>0</v>
      </c>
      <c r="F21" s="35">
        <f>IF(F9=1,'Balance sheet'!F16-'Balance sheet'!E16,0)</f>
        <v>2.2023809523810201</v>
      </c>
      <c r="G21" s="35">
        <f>IF(G9=1,'Balance sheet'!G16-'Balance sheet'!F16,0)</f>
        <v>2.2684523809523398</v>
      </c>
      <c r="H21" s="35">
        <f>IF(H9=1,'Balance sheet'!H16-'Balance sheet'!G16,0)</f>
        <v>2.3365059523809464</v>
      </c>
      <c r="I21" s="35">
        <f>IF(I9=1,'Balance sheet'!I16-'Balance sheet'!H16,0)</f>
        <v>2.4066011309523674</v>
      </c>
      <c r="J21" s="35">
        <f>IF(J9=1,'Balance sheet'!J16-'Balance sheet'!I16,0)</f>
        <v>2.4787991648810248</v>
      </c>
      <c r="K21" s="35">
        <f>IF(K9=1,'Balance sheet'!K16-'Balance sheet'!J16,0)</f>
        <v>2.5531631398273475</v>
      </c>
      <c r="L21" s="35">
        <f>IF(L9=1,'Balance sheet'!L16-'Balance sheet'!K16,0)</f>
        <v>2.6297580340221884</v>
      </c>
      <c r="M21" s="35">
        <f>IF(M9=1,'Balance sheet'!M16-'Balance sheet'!L16,0)</f>
        <v>2.7086507750428837</v>
      </c>
      <c r="N21" s="35">
        <f>IF(N9=1,'Balance sheet'!N16-'Balance sheet'!M16,0)</f>
        <v>2.7899102982941599</v>
      </c>
      <c r="O21" s="35">
        <f>IF(O9=1,'Balance sheet'!O16-'Balance sheet'!N16,0)</f>
        <v>2.8736076072429455</v>
      </c>
      <c r="P21" s="35">
        <f>IF(P9=1,'Balance sheet'!P16-'Balance sheet'!O16,0)</f>
        <v>2.9598158354602901</v>
      </c>
      <c r="Q21" s="35">
        <f>IF(Q9=1,'Balance sheet'!Q16-'Balance sheet'!P16,0)</f>
        <v>3.0486103105240545</v>
      </c>
      <c r="R21" s="35">
        <f>IF(R9=1,'Balance sheet'!R16-'Balance sheet'!Q16,0)</f>
        <v>3.1400686198398375</v>
      </c>
      <c r="S21" s="35">
        <f>IF(S9=1,'Balance sheet'!S16-'Balance sheet'!R16,0)</f>
        <v>3.2342706784349957</v>
      </c>
      <c r="T21" s="35">
        <f>IF(T9=1,'Balance sheet'!T16-'Balance sheet'!S16,0)</f>
        <v>3.3312987987879978</v>
      </c>
      <c r="U21" s="35">
        <f>IF(U9=1,'Balance sheet'!U16-'Balance sheet'!T16,0)</f>
        <v>3.4312377627516639</v>
      </c>
      <c r="V21" s="35">
        <f>IF(V9=1,'Balance sheet'!V16-'Balance sheet'!U16,0)</f>
        <v>3.534174895634294</v>
      </c>
      <c r="W21" s="35">
        <f>IF(W9=1,'Balance sheet'!W16-'Balance sheet'!V16,0)</f>
        <v>3.6402001425032608</v>
      </c>
      <c r="X21" s="35">
        <f>IF(X9=1,'Balance sheet'!X16-'Balance sheet'!W16,0)</f>
        <v>3.7494061467783695</v>
      </c>
      <c r="Y21" s="35">
        <f>IF(Y9=1,'Balance sheet'!Y16-'Balance sheet'!X16,0)</f>
        <v>3.8618883311817171</v>
      </c>
      <c r="Z21" s="35">
        <f>IF(Z9=1,'Balance sheet'!Z16-'Balance sheet'!Y16,0)</f>
        <v>3.977744981117155</v>
      </c>
      <c r="AA21" s="35">
        <f>IF(AA9=1,'Balance sheet'!AA16-'Balance sheet'!Z16,0)</f>
        <v>4.0970773305506896</v>
      </c>
      <c r="AB21" s="35">
        <f>IF(AB9=1,'Balance sheet'!AB16-'Balance sheet'!AA16,0)</f>
        <v>4.2199896504671983</v>
      </c>
      <c r="AC21" s="35">
        <f>IF(AC9=1,'Balance sheet'!AC16-'Balance sheet'!AB16,0)</f>
        <v>4.3465893399812217</v>
      </c>
      <c r="AD21" s="35">
        <f>IF(AD9=1,'Balance sheet'!AD16-'Balance sheet'!AC16,0)</f>
        <v>4.4769870201806157</v>
      </c>
      <c r="AE21" s="35">
        <f>IF(AE9=1,'Balance sheet'!AE16-'Balance sheet'!AD16,0)</f>
        <v>4.6112966307861143</v>
      </c>
      <c r="AF21" s="35">
        <f>IF(AF9=1,'Balance sheet'!AF16-'Balance sheet'!AE16,0)</f>
        <v>4.7496355297096784</v>
      </c>
      <c r="AG21" s="35">
        <f>IF(AG9=1,'Balance sheet'!AG16-'Balance sheet'!AF16,0)</f>
        <v>4.8921245956009329</v>
      </c>
      <c r="AH21" s="35">
        <f>IF(AH9=1,'Balance sheet'!AH16-'Balance sheet'!AG16,0)</f>
        <v>5.0388883334690036</v>
      </c>
      <c r="AI21" s="405"/>
      <c r="AJ21" s="405"/>
      <c r="AK21" s="405"/>
    </row>
    <row r="22" spans="1:37" s="277" customFormat="1" x14ac:dyDescent="0.2">
      <c r="A22" s="2"/>
      <c r="B22" s="25" t="s">
        <v>78</v>
      </c>
      <c r="C22" s="24"/>
      <c r="D22" s="24"/>
      <c r="E22" s="35">
        <v>0</v>
      </c>
      <c r="F22" s="35">
        <f>IF(F9=1,'Balance sheet'!F27-'Balance sheet'!E27,0)</f>
        <v>62.329824902173186</v>
      </c>
      <c r="G22" s="35">
        <f>IF(G9=1,'Balance sheet'!G27-'Balance sheet'!F27,0)</f>
        <v>53.987436342891669</v>
      </c>
      <c r="H22" s="35">
        <f>IF(H9=1,'Balance sheet'!H27-'Balance sheet'!G27,0)</f>
        <v>101.6702882470272</v>
      </c>
      <c r="I22" s="35">
        <f>IF(I9=1,'Balance sheet'!I27-'Balance sheet'!H27,0)</f>
        <v>126.97931032954057</v>
      </c>
      <c r="J22" s="35">
        <f>IF(J9=1,'Balance sheet'!J27-'Balance sheet'!I27,0)</f>
        <v>72.112274655389683</v>
      </c>
      <c r="K22" s="35">
        <f>IF(K9=1,'Balance sheet'!K27-'Balance sheet'!J27,0)</f>
        <v>125.67313547614185</v>
      </c>
      <c r="L22" s="35">
        <f>IF(L9=1,'Balance sheet'!L27-'Balance sheet'!K27,0)</f>
        <v>79.248583749767931</v>
      </c>
      <c r="M22" s="35">
        <f>IF(M9=1,'Balance sheet'!M27-'Balance sheet'!L27,0)</f>
        <v>82.254609769635408</v>
      </c>
      <c r="N22" s="35">
        <f>IF(N9=1,'Balance sheet'!N27-'Balance sheet'!M27,0)</f>
        <v>85.369673625322321</v>
      </c>
      <c r="O22" s="35">
        <f>IF(O9=1,'Balance sheet'!O27-'Balance sheet'!N27,0)</f>
        <v>88.597612163553094</v>
      </c>
      <c r="P22" s="35">
        <f>IF(P9=1,'Balance sheet'!P27-'Balance sheet'!O27,0)</f>
        <v>91.942394307819086</v>
      </c>
      <c r="Q22" s="35">
        <f>IF(Q9=1,'Balance sheet'!Q27-'Balance sheet'!P27,0)</f>
        <v>95.408125529792414</v>
      </c>
      <c r="R22" s="35">
        <f>IF(R9=1,'Balance sheet'!R27-'Balance sheet'!Q27,0)</f>
        <v>98.999052470207971</v>
      </c>
      <c r="S22" s="35">
        <f>IF(S9=1,'Balance sheet'!S27-'Balance sheet'!R27,0)</f>
        <v>102.71956771407167</v>
      </c>
      <c r="T22" s="35">
        <f>IF(T9=1,'Balance sheet'!T27-'Balance sheet'!S27,0)</f>
        <v>106.57421472534043</v>
      </c>
      <c r="U22" s="35">
        <f>IF(U9=1,'Balance sheet'!U27-'Balance sheet'!T27,0)</f>
        <v>110.56769294634523</v>
      </c>
      <c r="V22" s="35">
        <f>IF(V9=1,'Balance sheet'!V27-'Balance sheet'!U27,0)</f>
        <v>114.70486306736075</v>
      </c>
      <c r="W22" s="35">
        <f>IF(W9=1,'Balance sheet'!W27-'Balance sheet'!V27,0)</f>
        <v>118.99075247197834</v>
      </c>
      <c r="X22" s="35">
        <f>IF(X9=1,'Balance sheet'!X27-'Balance sheet'!W27,0)</f>
        <v>123.43056086411798</v>
      </c>
      <c r="Y22" s="35">
        <f>IF(Y9=1,'Balance sheet'!Y27-'Balance sheet'!X27,0)</f>
        <v>128.02966608256065</v>
      </c>
      <c r="Z22" s="35">
        <f>IF(Z9=1,'Balance sheet'!Z27-'Balance sheet'!Y27,0)</f>
        <v>132.79363010933139</v>
      </c>
      <c r="AA22" s="35">
        <f>IF(AA9=1,'Balance sheet'!AA27-'Balance sheet'!Z27,0)</f>
        <v>137.72820527823478</v>
      </c>
      <c r="AB22" s="35">
        <f>IF(AB9=1,'Balance sheet'!AB27-'Balance sheet'!AA27,0)</f>
        <v>142.83934069016959</v>
      </c>
      <c r="AC22" s="35">
        <f>IF(AC9=1,'Balance sheet'!AC27-'Balance sheet'!AB27,0)</f>
        <v>148.13318884207456</v>
      </c>
      <c r="AD22" s="35">
        <f>IF(AD9=1,'Balance sheet'!AD27-'Balance sheet'!AC27,0)</f>
        <v>153.61611247647033</v>
      </c>
      <c r="AE22" s="35">
        <f>IF(AE9=1,'Balance sheet'!AE27-'Balance sheet'!AD27,0)</f>
        <v>159.29469165897535</v>
      </c>
      <c r="AF22" s="35">
        <f>IF(AF9=1,'Balance sheet'!AF27-'Balance sheet'!AE27,0)</f>
        <v>165.17573109119985</v>
      </c>
      <c r="AG22" s="35">
        <f>IF(AG9=1,'Balance sheet'!AG27-'Balance sheet'!AF27,0)</f>
        <v>171.2662676668624</v>
      </c>
      <c r="AH22" s="35">
        <f>IF(AH9=1,'Balance sheet'!AH27-'Balance sheet'!AG27,0)</f>
        <v>177.57357827908709</v>
      </c>
      <c r="AI22" s="405"/>
      <c r="AJ22" s="405"/>
      <c r="AK22" s="405"/>
    </row>
    <row r="23" spans="1:37" s="277" customFormat="1" x14ac:dyDescent="0.2">
      <c r="A23" s="2"/>
      <c r="B23" s="25" t="s">
        <v>290</v>
      </c>
      <c r="C23" s="24"/>
      <c r="D23" s="24"/>
      <c r="E23" s="35">
        <v>0</v>
      </c>
      <c r="F23" s="35">
        <f>IF(F9=1,'Balance sheet'!F28-'Balance sheet'!E28,0)</f>
        <v>9</v>
      </c>
      <c r="G23" s="35">
        <f>IF(G9=1,'Balance sheet'!G28-'Balance sheet'!F28,0)</f>
        <v>9.2700000000000387</v>
      </c>
      <c r="H23" s="35">
        <f>IF(H9=1,'Balance sheet'!H28-'Balance sheet'!G28,0)</f>
        <v>9.5480999999999767</v>
      </c>
      <c r="I23" s="35">
        <f>IF(I9=1,'Balance sheet'!I28-'Balance sheet'!H28,0)</f>
        <v>9.8345429999999965</v>
      </c>
      <c r="J23" s="35">
        <f>IF(J9=1,'Balance sheet'!J28-'Balance sheet'!I28,0)</f>
        <v>10.129579290000038</v>
      </c>
      <c r="K23" s="35">
        <f>IF(K9=1,'Balance sheet'!K28-'Balance sheet'!J28,0)</f>
        <v>10.433466668699964</v>
      </c>
      <c r="L23" s="35">
        <f>IF(L9=1,'Balance sheet'!L28-'Balance sheet'!K28,0)</f>
        <v>10.746470668761049</v>
      </c>
      <c r="M23" s="35">
        <f>IF(M9=1,'Balance sheet'!M28-'Balance sheet'!L28,0)</f>
        <v>11.068864788823817</v>
      </c>
      <c r="N23" s="35">
        <f>IF(N9=1,'Balance sheet'!N28-'Balance sheet'!M28,0)</f>
        <v>11.400930732488575</v>
      </c>
      <c r="O23" s="35">
        <f>IF(O9=1,'Balance sheet'!O28-'Balance sheet'!N28,0)</f>
        <v>11.742958654463223</v>
      </c>
      <c r="P23" s="35">
        <f>IF(P9=1,'Balance sheet'!P28-'Balance sheet'!O28,0)</f>
        <v>12.095247414097116</v>
      </c>
      <c r="Q23" s="35">
        <f>IF(Q9=1,'Balance sheet'!Q28-'Balance sheet'!P28,0)</f>
        <v>12.458104836519965</v>
      </c>
      <c r="R23" s="35">
        <f>IF(R9=1,'Balance sheet'!R28-'Balance sheet'!Q28,0)</f>
        <v>12.831847981615681</v>
      </c>
      <c r="S23" s="35">
        <f>IF(S9=1,'Balance sheet'!S28-'Balance sheet'!R28,0)</f>
        <v>13.216803421064014</v>
      </c>
      <c r="T23" s="35">
        <f>IF(T9=1,'Balance sheet'!T28-'Balance sheet'!S28,0)</f>
        <v>13.613307523695994</v>
      </c>
      <c r="U23" s="35">
        <f>IF(U9=1,'Balance sheet'!U28-'Balance sheet'!T28,0)</f>
        <v>14.02170674940686</v>
      </c>
      <c r="V23" s="35">
        <f>IF(V9=1,'Balance sheet'!V28-'Balance sheet'!U28,0)</f>
        <v>14.442357951889051</v>
      </c>
      <c r="W23" s="35">
        <f>IF(W9=1,'Balance sheet'!W28-'Balance sheet'!V28,0)</f>
        <v>14.875628690445808</v>
      </c>
      <c r="X23" s="35">
        <f>IF(X9=1,'Balance sheet'!X28-'Balance sheet'!W28,0)</f>
        <v>15.321897551159168</v>
      </c>
      <c r="Y23" s="35">
        <f>IF(Y9=1,'Balance sheet'!Y28-'Balance sheet'!X28,0)</f>
        <v>15.781554477694044</v>
      </c>
      <c r="Z23" s="35">
        <f>IF(Z9=1,'Balance sheet'!Z28-'Balance sheet'!Y28,0)</f>
        <v>16.255001112024729</v>
      </c>
      <c r="AA23" s="35">
        <f>IF(AA9=1,'Balance sheet'!AA28-'Balance sheet'!Z28,0)</f>
        <v>16.74265114538548</v>
      </c>
      <c r="AB23" s="35">
        <f>IF(AB9=1,'Balance sheet'!AB28-'Balance sheet'!AA28,0)</f>
        <v>17.244930679747085</v>
      </c>
      <c r="AC23" s="35">
        <f>IF(AC9=1,'Balance sheet'!AC28-'Balance sheet'!AB28,0)</f>
        <v>17.762278600139439</v>
      </c>
      <c r="AD23" s="35">
        <f>IF(AD9=1,'Balance sheet'!AD28-'Balance sheet'!AC28,0)</f>
        <v>18.295146958143619</v>
      </c>
      <c r="AE23" s="35">
        <f>IF(AE9=1,'Balance sheet'!AE28-'Balance sheet'!AD28,0)</f>
        <v>18.84400136688771</v>
      </c>
      <c r="AF23" s="35">
        <f>IF(AF9=1,'Balance sheet'!AF28-'Balance sheet'!AE28,0)</f>
        <v>19.409321407894708</v>
      </c>
      <c r="AG23" s="35">
        <f>IF(AG9=1,'Balance sheet'!AG28-'Balance sheet'!AF28,0)</f>
        <v>19.991601050131521</v>
      </c>
      <c r="AH23" s="35">
        <f>IF(AH9=1,'Balance sheet'!AH28-'Balance sheet'!AG28,0)</f>
        <v>20.591349081635371</v>
      </c>
      <c r="AI23" s="405"/>
      <c r="AJ23" s="405"/>
      <c r="AK23" s="405"/>
    </row>
    <row r="24" spans="1:37" s="277" customFormat="1" x14ac:dyDescent="0.2">
      <c r="A24" s="2"/>
      <c r="B24" s="23"/>
      <c r="C24" s="24"/>
      <c r="D24" s="24"/>
      <c r="E24" s="36">
        <f>SUM(E12:E23)</f>
        <v>0</v>
      </c>
      <c r="F24" s="36">
        <f>IF(F9=1,-F19-F20-F21+F22+F23,0)</f>
        <v>-562.21990817351139</v>
      </c>
      <c r="G24" s="36">
        <f t="shared" ref="G24:AH24" si="4">IF(G9=1,-G19-G20-G21+G22+G23,0)</f>
        <v>-328.44125658659743</v>
      </c>
      <c r="H24" s="36">
        <f t="shared" si="4"/>
        <v>-705.26731508115427</v>
      </c>
      <c r="I24" s="36">
        <f t="shared" si="4"/>
        <v>-1141.9931322192101</v>
      </c>
      <c r="J24" s="36">
        <f t="shared" si="4"/>
        <v>-821.83253883732584</v>
      </c>
      <c r="K24" s="36">
        <f t="shared" si="4"/>
        <v>-1777.3403440703717</v>
      </c>
      <c r="L24" s="36">
        <f t="shared" si="4"/>
        <v>-923.02138155295893</v>
      </c>
      <c r="M24" s="36">
        <f t="shared" si="4"/>
        <v>-963.77337662145726</v>
      </c>
      <c r="N24" s="36">
        <f t="shared" si="4"/>
        <v>-1006.1423216945232</v>
      </c>
      <c r="O24" s="36">
        <f t="shared" si="4"/>
        <v>-1050.188587334871</v>
      </c>
      <c r="P24" s="36">
        <f t="shared" si="4"/>
        <v>-1095.9747114998522</v>
      </c>
      <c r="Q24" s="36">
        <f t="shared" si="4"/>
        <v>-1143.5654752584032</v>
      </c>
      <c r="R24" s="36">
        <f t="shared" si="4"/>
        <v>-1193.0279811009796</v>
      </c>
      <c r="S24" s="36">
        <f t="shared" si="4"/>
        <v>-1244.4317339289571</v>
      </c>
      <c r="T24" s="36">
        <f t="shared" si="4"/>
        <v>-1297.8487248145486</v>
      </c>
      <c r="U24" s="36">
        <f t="shared" si="4"/>
        <v>-1353.3535176243502</v>
      </c>
      <c r="V24" s="36">
        <f t="shared" si="4"/>
        <v>-1411.0233386025677</v>
      </c>
      <c r="W24" s="36">
        <f t="shared" si="4"/>
        <v>-1470.9381690142773</v>
      </c>
      <c r="X24" s="36">
        <f t="shared" si="4"/>
        <v>-1533.1808409511445</v>
      </c>
      <c r="Y24" s="36">
        <f t="shared" si="4"/>
        <v>-1597.8371364059442</v>
      </c>
      <c r="Z24" s="36">
        <f t="shared" si="4"/>
        <v>-1664.9958897264398</v>
      </c>
      <c r="AA24" s="36">
        <f t="shared" si="4"/>
        <v>-1734.7490935612627</v>
      </c>
      <c r="AB24" s="36">
        <f t="shared" si="4"/>
        <v>-1807.1920084159653</v>
      </c>
      <c r="AC24" s="36">
        <f t="shared" si="4"/>
        <v>-1882.4232759399979</v>
      </c>
      <c r="AD24" s="36">
        <f t="shared" si="4"/>
        <v>-1960.5450360700524</v>
      </c>
      <c r="AE24" s="36">
        <f t="shared" si="4"/>
        <v>-2041.663048159156</v>
      </c>
      <c r="AF24" s="36">
        <f t="shared" si="4"/>
        <v>-2125.8868162253484</v>
      </c>
      <c r="AG24" s="36">
        <f t="shared" si="4"/>
        <v>-2213.3297184578046</v>
      </c>
      <c r="AH24" s="36">
        <f t="shared" si="4"/>
        <v>-2304.1091411236512</v>
      </c>
      <c r="AI24" s="405"/>
      <c r="AJ24" s="405"/>
      <c r="AK24" s="405"/>
    </row>
    <row r="25" spans="1:37" s="277" customFormat="1" ht="16" thickBot="1" x14ac:dyDescent="0.25">
      <c r="A25" s="2"/>
      <c r="B25" s="507" t="s">
        <v>105</v>
      </c>
      <c r="E25" s="508">
        <f>E22+E24</f>
        <v>0</v>
      </c>
      <c r="F25" s="508">
        <f>IF(F9=1,F12+F13+F14+F16-F17+F24,0)</f>
        <v>50690.792519097551</v>
      </c>
      <c r="G25" s="508">
        <f t="shared" ref="G25:AH25" si="5">IF(G9=1,G12+G13+G14+G16-G17+G24,0)</f>
        <v>52724.69910649403</v>
      </c>
      <c r="H25" s="508">
        <f t="shared" si="5"/>
        <v>55555.087292603705</v>
      </c>
      <c r="I25" s="508">
        <f t="shared" si="5"/>
        <v>59925.604475971457</v>
      </c>
      <c r="J25" s="508">
        <f t="shared" si="5"/>
        <v>64163.626703987196</v>
      </c>
      <c r="K25" s="508">
        <f t="shared" si="5"/>
        <v>72149.97263055107</v>
      </c>
      <c r="L25" s="508">
        <f t="shared" si="5"/>
        <v>77495.629768915795</v>
      </c>
      <c r="M25" s="508">
        <f t="shared" si="5"/>
        <v>82223.493875014101</v>
      </c>
      <c r="N25" s="508">
        <f t="shared" si="5"/>
        <v>87164.973491895071</v>
      </c>
      <c r="O25" s="508">
        <f t="shared" si="5"/>
        <v>91222.768841377983</v>
      </c>
      <c r="P25" s="508">
        <f t="shared" si="5"/>
        <v>96261.173051379898</v>
      </c>
      <c r="Q25" s="508">
        <f t="shared" si="5"/>
        <v>101596.8188694383</v>
      </c>
      <c r="R25" s="508">
        <f t="shared" si="5"/>
        <v>107167.51642838139</v>
      </c>
      <c r="S25" s="508">
        <f t="shared" si="5"/>
        <v>112987.49117860262</v>
      </c>
      <c r="T25" s="508">
        <f t="shared" si="5"/>
        <v>119058.94847536211</v>
      </c>
      <c r="U25" s="508">
        <f t="shared" si="5"/>
        <v>125394.26549745037</v>
      </c>
      <c r="V25" s="508">
        <f t="shared" si="5"/>
        <v>131994.57828943952</v>
      </c>
      <c r="W25" s="508">
        <f t="shared" si="5"/>
        <v>138894.53135041392</v>
      </c>
      <c r="X25" s="508">
        <f t="shared" si="5"/>
        <v>146097.43811296648</v>
      </c>
      <c r="Y25" s="508">
        <f t="shared" si="5"/>
        <v>153605.48887873936</v>
      </c>
      <c r="Z25" s="508">
        <f t="shared" si="5"/>
        <v>161439.28338368493</v>
      </c>
      <c r="AA25" s="508">
        <f t="shared" si="5"/>
        <v>169607.40726804076</v>
      </c>
      <c r="AB25" s="508">
        <f t="shared" si="5"/>
        <v>178121.83813264631</v>
      </c>
      <c r="AC25" s="508">
        <f t="shared" si="5"/>
        <v>186994.98892456814</v>
      </c>
      <c r="AD25" s="508">
        <f t="shared" si="5"/>
        <v>196241.9497469081</v>
      </c>
      <c r="AE25" s="508">
        <f t="shared" si="5"/>
        <v>205875.64425810269</v>
      </c>
      <c r="AF25" s="508">
        <f t="shared" si="5"/>
        <v>215910.12989520255</v>
      </c>
      <c r="AG25" s="508">
        <f t="shared" si="5"/>
        <v>226361.40002495603</v>
      </c>
      <c r="AH25" s="508">
        <f t="shared" si="5"/>
        <v>237227.77046402689</v>
      </c>
      <c r="AI25" s="405"/>
      <c r="AJ25" s="405"/>
      <c r="AK25" s="405"/>
    </row>
    <row r="26" spans="1:37" s="277" customFormat="1" x14ac:dyDescent="0.2">
      <c r="A26" s="2"/>
      <c r="B26" s="24"/>
      <c r="C26" s="24"/>
      <c r="D26" s="24"/>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405"/>
      <c r="AJ26" s="405"/>
      <c r="AK26" s="405"/>
    </row>
    <row r="27" spans="1:37" s="20" customFormat="1" x14ac:dyDescent="0.2">
      <c r="A27" s="2"/>
      <c r="B27" s="19" t="s">
        <v>106</v>
      </c>
      <c r="E27" s="37"/>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row>
    <row r="28" spans="1:37" s="277" customFormat="1" x14ac:dyDescent="0.2">
      <c r="A28" s="2"/>
      <c r="B28" s="25" t="s">
        <v>107</v>
      </c>
      <c r="C28" s="24"/>
      <c r="D28" s="24"/>
      <c r="E28" s="35">
        <f t="shared" ref="E28:AH28" si="6">IF(E$9=1,E73+E118+E163,0)</f>
        <v>0</v>
      </c>
      <c r="F28" s="35">
        <f t="shared" si="6"/>
        <v>540</v>
      </c>
      <c r="G28" s="35">
        <f t="shared" si="6"/>
        <v>850</v>
      </c>
      <c r="H28" s="35">
        <f t="shared" si="6"/>
        <v>850</v>
      </c>
      <c r="I28" s="35">
        <f t="shared" si="6"/>
        <v>850</v>
      </c>
      <c r="J28" s="35">
        <f t="shared" si="6"/>
        <v>850</v>
      </c>
      <c r="K28" s="35">
        <f t="shared" si="6"/>
        <v>850</v>
      </c>
      <c r="L28" s="35">
        <f t="shared" si="6"/>
        <v>850</v>
      </c>
      <c r="M28" s="35">
        <f t="shared" si="6"/>
        <v>850</v>
      </c>
      <c r="N28" s="35">
        <f t="shared" si="6"/>
        <v>850</v>
      </c>
      <c r="O28" s="35">
        <f t="shared" si="6"/>
        <v>850</v>
      </c>
      <c r="P28" s="35">
        <f t="shared" si="6"/>
        <v>850</v>
      </c>
      <c r="Q28" s="35">
        <f t="shared" si="6"/>
        <v>850</v>
      </c>
      <c r="R28" s="35">
        <f t="shared" si="6"/>
        <v>850</v>
      </c>
      <c r="S28" s="35">
        <f t="shared" si="6"/>
        <v>850</v>
      </c>
      <c r="T28" s="35">
        <f t="shared" si="6"/>
        <v>850</v>
      </c>
      <c r="U28" s="35">
        <f t="shared" si="6"/>
        <v>850</v>
      </c>
      <c r="V28" s="35">
        <f t="shared" si="6"/>
        <v>850</v>
      </c>
      <c r="W28" s="35">
        <f t="shared" si="6"/>
        <v>850</v>
      </c>
      <c r="X28" s="35">
        <f t="shared" si="6"/>
        <v>850</v>
      </c>
      <c r="Y28" s="35">
        <f t="shared" si="6"/>
        <v>850</v>
      </c>
      <c r="Z28" s="35">
        <f t="shared" si="6"/>
        <v>850</v>
      </c>
      <c r="AA28" s="35">
        <f t="shared" si="6"/>
        <v>850</v>
      </c>
      <c r="AB28" s="35">
        <f t="shared" si="6"/>
        <v>850</v>
      </c>
      <c r="AC28" s="35">
        <f t="shared" si="6"/>
        <v>850</v>
      </c>
      <c r="AD28" s="35">
        <f t="shared" si="6"/>
        <v>850</v>
      </c>
      <c r="AE28" s="35">
        <f t="shared" si="6"/>
        <v>850</v>
      </c>
      <c r="AF28" s="35">
        <f t="shared" si="6"/>
        <v>850</v>
      </c>
      <c r="AG28" s="35">
        <f t="shared" si="6"/>
        <v>850</v>
      </c>
      <c r="AH28" s="35">
        <f t="shared" si="6"/>
        <v>850</v>
      </c>
      <c r="AI28" s="405"/>
      <c r="AJ28" s="405"/>
      <c r="AK28" s="405"/>
    </row>
    <row r="29" spans="1:37" s="277" customFormat="1" x14ac:dyDescent="0.2">
      <c r="A29" s="2"/>
      <c r="B29" s="25" t="s">
        <v>108</v>
      </c>
      <c r="C29" s="24"/>
      <c r="D29" s="24"/>
      <c r="E29" s="35">
        <f t="shared" ref="E29:AH29" si="7">IF(E$9=1,E74+E119+E164,0)</f>
        <v>0</v>
      </c>
      <c r="F29" s="35">
        <f t="shared" si="7"/>
        <v>80</v>
      </c>
      <c r="G29" s="35">
        <f t="shared" si="7"/>
        <v>80</v>
      </c>
      <c r="H29" s="35">
        <f t="shared" si="7"/>
        <v>80</v>
      </c>
      <c r="I29" s="35">
        <f t="shared" si="7"/>
        <v>75</v>
      </c>
      <c r="J29" s="35">
        <f t="shared" si="7"/>
        <v>75</v>
      </c>
      <c r="K29" s="35">
        <f t="shared" si="7"/>
        <v>75</v>
      </c>
      <c r="L29" s="35">
        <f t="shared" si="7"/>
        <v>75</v>
      </c>
      <c r="M29" s="35">
        <f t="shared" si="7"/>
        <v>75</v>
      </c>
      <c r="N29" s="35">
        <f t="shared" si="7"/>
        <v>70</v>
      </c>
      <c r="O29" s="35">
        <f t="shared" si="7"/>
        <v>70</v>
      </c>
      <c r="P29" s="35">
        <f t="shared" si="7"/>
        <v>65</v>
      </c>
      <c r="Q29" s="35">
        <f t="shared" si="7"/>
        <v>65</v>
      </c>
      <c r="R29" s="35">
        <f t="shared" si="7"/>
        <v>65</v>
      </c>
      <c r="S29" s="35">
        <f t="shared" si="7"/>
        <v>65</v>
      </c>
      <c r="T29" s="35">
        <f t="shared" si="7"/>
        <v>65</v>
      </c>
      <c r="U29" s="35">
        <f t="shared" si="7"/>
        <v>65</v>
      </c>
      <c r="V29" s="35">
        <f t="shared" si="7"/>
        <v>65</v>
      </c>
      <c r="W29" s="35">
        <f t="shared" si="7"/>
        <v>65</v>
      </c>
      <c r="X29" s="35">
        <f t="shared" si="7"/>
        <v>65</v>
      </c>
      <c r="Y29" s="35">
        <f t="shared" si="7"/>
        <v>65</v>
      </c>
      <c r="Z29" s="35">
        <f t="shared" si="7"/>
        <v>60</v>
      </c>
      <c r="AA29" s="35">
        <f t="shared" si="7"/>
        <v>60</v>
      </c>
      <c r="AB29" s="35">
        <f t="shared" si="7"/>
        <v>60</v>
      </c>
      <c r="AC29" s="35">
        <f t="shared" si="7"/>
        <v>60</v>
      </c>
      <c r="AD29" s="35">
        <f t="shared" si="7"/>
        <v>60</v>
      </c>
      <c r="AE29" s="35">
        <f t="shared" si="7"/>
        <v>60</v>
      </c>
      <c r="AF29" s="35">
        <f t="shared" si="7"/>
        <v>60</v>
      </c>
      <c r="AG29" s="35">
        <f t="shared" si="7"/>
        <v>60</v>
      </c>
      <c r="AH29" s="35">
        <f t="shared" si="7"/>
        <v>60</v>
      </c>
      <c r="AI29" s="405"/>
      <c r="AJ29" s="405"/>
      <c r="AK29" s="405"/>
    </row>
    <row r="30" spans="1:37" s="277" customFormat="1" x14ac:dyDescent="0.2">
      <c r="A30" s="2"/>
      <c r="B30" s="25" t="s">
        <v>328</v>
      </c>
      <c r="C30" s="24"/>
      <c r="D30" s="24"/>
      <c r="E30" s="35">
        <f t="shared" ref="E30:AH30" si="8">IF(E$9=1,E75+E120+E165,0)</f>
        <v>0</v>
      </c>
      <c r="F30" s="35">
        <f t="shared" si="8"/>
        <v>0</v>
      </c>
      <c r="G30" s="35">
        <f t="shared" si="8"/>
        <v>0</v>
      </c>
      <c r="H30" s="35">
        <f t="shared" si="8"/>
        <v>0</v>
      </c>
      <c r="I30" s="35">
        <f t="shared" si="8"/>
        <v>0</v>
      </c>
      <c r="J30" s="35">
        <f t="shared" si="8"/>
        <v>0</v>
      </c>
      <c r="K30" s="35">
        <f t="shared" si="8"/>
        <v>0</v>
      </c>
      <c r="L30" s="35">
        <f t="shared" si="8"/>
        <v>0</v>
      </c>
      <c r="M30" s="35">
        <f t="shared" si="8"/>
        <v>0</v>
      </c>
      <c r="N30" s="35">
        <f t="shared" si="8"/>
        <v>0</v>
      </c>
      <c r="O30" s="35">
        <f t="shared" si="8"/>
        <v>0</v>
      </c>
      <c r="P30" s="35">
        <f t="shared" si="8"/>
        <v>0</v>
      </c>
      <c r="Q30" s="35">
        <f t="shared" si="8"/>
        <v>0</v>
      </c>
      <c r="R30" s="35">
        <f t="shared" si="8"/>
        <v>0</v>
      </c>
      <c r="S30" s="35">
        <f t="shared" si="8"/>
        <v>0</v>
      </c>
      <c r="T30" s="35">
        <f t="shared" si="8"/>
        <v>0</v>
      </c>
      <c r="U30" s="35">
        <f t="shared" si="8"/>
        <v>0</v>
      </c>
      <c r="V30" s="35">
        <f t="shared" si="8"/>
        <v>0</v>
      </c>
      <c r="W30" s="35">
        <f t="shared" si="8"/>
        <v>0</v>
      </c>
      <c r="X30" s="35">
        <f t="shared" si="8"/>
        <v>0</v>
      </c>
      <c r="Y30" s="35">
        <f t="shared" si="8"/>
        <v>0</v>
      </c>
      <c r="Z30" s="35">
        <f t="shared" si="8"/>
        <v>0</v>
      </c>
      <c r="AA30" s="35">
        <f t="shared" si="8"/>
        <v>0</v>
      </c>
      <c r="AB30" s="35">
        <f t="shared" si="8"/>
        <v>0</v>
      </c>
      <c r="AC30" s="35">
        <f t="shared" si="8"/>
        <v>0</v>
      </c>
      <c r="AD30" s="35">
        <f t="shared" si="8"/>
        <v>0</v>
      </c>
      <c r="AE30" s="35">
        <f t="shared" si="8"/>
        <v>0</v>
      </c>
      <c r="AF30" s="35">
        <f t="shared" si="8"/>
        <v>0</v>
      </c>
      <c r="AG30" s="35">
        <f t="shared" si="8"/>
        <v>0</v>
      </c>
      <c r="AH30" s="35">
        <f t="shared" si="8"/>
        <v>0</v>
      </c>
      <c r="AI30" s="405"/>
      <c r="AJ30" s="405"/>
      <c r="AK30" s="405"/>
    </row>
    <row r="31" spans="1:37" s="277" customFormat="1" x14ac:dyDescent="0.2">
      <c r="A31" s="2"/>
      <c r="B31" s="25"/>
      <c r="C31" s="24"/>
      <c r="D31" s="24"/>
      <c r="E31" s="35"/>
      <c r="F31" s="35"/>
      <c r="G31" s="35"/>
      <c r="H31" s="35"/>
      <c r="I31" s="35"/>
      <c r="J31" s="35"/>
      <c r="K31" s="35"/>
      <c r="L31" s="35"/>
      <c r="M31" s="35"/>
      <c r="N31" s="35"/>
      <c r="O31" s="35"/>
      <c r="P31" s="35"/>
      <c r="Q31" s="35"/>
      <c r="R31" s="35"/>
      <c r="S31" s="35"/>
      <c r="T31" s="35"/>
      <c r="U31" s="35"/>
      <c r="V31" s="35"/>
      <c r="W31" s="35"/>
      <c r="X31" s="35"/>
      <c r="Y31" s="35"/>
      <c r="Z31" s="35"/>
      <c r="AA31" s="35"/>
      <c r="AB31" s="35"/>
      <c r="AC31" s="35"/>
      <c r="AD31" s="35"/>
      <c r="AE31" s="35"/>
      <c r="AF31" s="35"/>
      <c r="AG31" s="35"/>
      <c r="AH31" s="35"/>
      <c r="AI31" s="405"/>
      <c r="AJ31" s="405"/>
      <c r="AK31" s="405"/>
    </row>
    <row r="32" spans="1:37" s="277" customFormat="1" x14ac:dyDescent="0.2">
      <c r="A32" s="2"/>
      <c r="B32" s="27" t="s">
        <v>109</v>
      </c>
      <c r="C32" s="24"/>
      <c r="D32" s="24"/>
      <c r="E32" s="43">
        <f>IF(E9=1,-E28+E29-E30,0)</f>
        <v>0</v>
      </c>
      <c r="F32" s="43">
        <f t="shared" ref="F32:AH32" si="9">IF(F9=1,-F28+F29-F30,0)</f>
        <v>-460</v>
      </c>
      <c r="G32" s="43">
        <f t="shared" si="9"/>
        <v>-770</v>
      </c>
      <c r="H32" s="43">
        <f t="shared" si="9"/>
        <v>-770</v>
      </c>
      <c r="I32" s="43">
        <f t="shared" si="9"/>
        <v>-775</v>
      </c>
      <c r="J32" s="43">
        <f t="shared" si="9"/>
        <v>-775</v>
      </c>
      <c r="K32" s="43">
        <f t="shared" si="9"/>
        <v>-775</v>
      </c>
      <c r="L32" s="43">
        <f t="shared" si="9"/>
        <v>-775</v>
      </c>
      <c r="M32" s="43">
        <f t="shared" si="9"/>
        <v>-775</v>
      </c>
      <c r="N32" s="43">
        <f t="shared" si="9"/>
        <v>-780</v>
      </c>
      <c r="O32" s="43">
        <f t="shared" si="9"/>
        <v>-780</v>
      </c>
      <c r="P32" s="43">
        <f t="shared" si="9"/>
        <v>-785</v>
      </c>
      <c r="Q32" s="43">
        <f t="shared" si="9"/>
        <v>-785</v>
      </c>
      <c r="R32" s="43">
        <f t="shared" si="9"/>
        <v>-785</v>
      </c>
      <c r="S32" s="43">
        <f t="shared" si="9"/>
        <v>-785</v>
      </c>
      <c r="T32" s="43">
        <f t="shared" si="9"/>
        <v>-785</v>
      </c>
      <c r="U32" s="43">
        <f t="shared" si="9"/>
        <v>-785</v>
      </c>
      <c r="V32" s="43">
        <f t="shared" si="9"/>
        <v>-785</v>
      </c>
      <c r="W32" s="43">
        <f t="shared" si="9"/>
        <v>-785</v>
      </c>
      <c r="X32" s="43">
        <f t="shared" si="9"/>
        <v>-785</v>
      </c>
      <c r="Y32" s="43">
        <f t="shared" si="9"/>
        <v>-785</v>
      </c>
      <c r="Z32" s="43">
        <f t="shared" si="9"/>
        <v>-790</v>
      </c>
      <c r="AA32" s="43">
        <f t="shared" si="9"/>
        <v>-790</v>
      </c>
      <c r="AB32" s="43">
        <f t="shared" si="9"/>
        <v>-790</v>
      </c>
      <c r="AC32" s="43">
        <f t="shared" si="9"/>
        <v>-790</v>
      </c>
      <c r="AD32" s="43">
        <f t="shared" si="9"/>
        <v>-790</v>
      </c>
      <c r="AE32" s="43">
        <f t="shared" si="9"/>
        <v>-790</v>
      </c>
      <c r="AF32" s="43">
        <f t="shared" si="9"/>
        <v>-790</v>
      </c>
      <c r="AG32" s="43">
        <f t="shared" si="9"/>
        <v>-790</v>
      </c>
      <c r="AH32" s="43">
        <f t="shared" si="9"/>
        <v>-790</v>
      </c>
      <c r="AI32" s="405"/>
      <c r="AJ32" s="405"/>
      <c r="AK32" s="405"/>
    </row>
    <row r="33" spans="1:37" s="277" customFormat="1" x14ac:dyDescent="0.2">
      <c r="A33" s="2"/>
      <c r="B33" s="23"/>
      <c r="C33" s="24"/>
      <c r="D33" s="24"/>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405"/>
      <c r="AJ33" s="405"/>
      <c r="AK33" s="405"/>
    </row>
    <row r="34" spans="1:37" s="20" customFormat="1" x14ac:dyDescent="0.2">
      <c r="A34" s="2"/>
      <c r="B34" s="19" t="s">
        <v>110</v>
      </c>
      <c r="E34" s="37"/>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row>
    <row r="35" spans="1:37" s="277" customFormat="1" x14ac:dyDescent="0.2">
      <c r="A35" s="2"/>
      <c r="B35" s="25" t="s">
        <v>416</v>
      </c>
      <c r="C35" s="24"/>
      <c r="D35" s="24"/>
      <c r="E35" s="35">
        <v>0</v>
      </c>
      <c r="F35" s="35">
        <f t="shared" ref="F35:AH35" si="10">IF(F$9=1,F80+F125+F170,0)</f>
        <v>47.5</v>
      </c>
      <c r="G35" s="35">
        <f t="shared" si="10"/>
        <v>107.5</v>
      </c>
      <c r="H35" s="35">
        <f t="shared" si="10"/>
        <v>77.5</v>
      </c>
      <c r="I35" s="35">
        <f t="shared" si="10"/>
        <v>77.5</v>
      </c>
      <c r="J35" s="35">
        <f t="shared" si="10"/>
        <v>77.5</v>
      </c>
      <c r="K35" s="35">
        <f t="shared" si="10"/>
        <v>77.5</v>
      </c>
      <c r="L35" s="35">
        <f t="shared" si="10"/>
        <v>84.939506666915292</v>
      </c>
      <c r="M35" s="35">
        <f t="shared" si="10"/>
        <v>85.307442498607458</v>
      </c>
      <c r="N35" s="35">
        <f t="shared" si="10"/>
        <v>85.738398074929933</v>
      </c>
      <c r="O35" s="35">
        <f t="shared" si="10"/>
        <v>64.094414864335292</v>
      </c>
      <c r="P35" s="35">
        <f t="shared" si="10"/>
        <v>9.6624153580774621</v>
      </c>
      <c r="Q35" s="35">
        <f t="shared" si="10"/>
        <v>10.24214612536878</v>
      </c>
      <c r="R35" s="35">
        <f t="shared" si="10"/>
        <v>10.857626130981783</v>
      </c>
      <c r="S35" s="35">
        <f t="shared" si="10"/>
        <v>11.511116225829554</v>
      </c>
      <c r="T35" s="35">
        <f t="shared" si="10"/>
        <v>12.205023440600621</v>
      </c>
      <c r="U35" s="35">
        <f t="shared" si="10"/>
        <v>687.94191061435379</v>
      </c>
      <c r="V35" s="35">
        <f t="shared" si="10"/>
        <v>0</v>
      </c>
      <c r="W35" s="35">
        <f t="shared" si="10"/>
        <v>0</v>
      </c>
      <c r="X35" s="35">
        <f t="shared" si="10"/>
        <v>0</v>
      </c>
      <c r="Y35" s="35">
        <f t="shared" si="10"/>
        <v>0</v>
      </c>
      <c r="Z35" s="35">
        <f t="shared" si="10"/>
        <v>0</v>
      </c>
      <c r="AA35" s="35">
        <f t="shared" si="10"/>
        <v>0</v>
      </c>
      <c r="AB35" s="35">
        <f t="shared" si="10"/>
        <v>0</v>
      </c>
      <c r="AC35" s="35">
        <f t="shared" si="10"/>
        <v>0</v>
      </c>
      <c r="AD35" s="35">
        <f t="shared" si="10"/>
        <v>0</v>
      </c>
      <c r="AE35" s="35">
        <f t="shared" si="10"/>
        <v>50</v>
      </c>
      <c r="AF35" s="35">
        <f t="shared" si="10"/>
        <v>0</v>
      </c>
      <c r="AG35" s="35">
        <f t="shared" si="10"/>
        <v>0</v>
      </c>
      <c r="AH35" s="35">
        <f t="shared" si="10"/>
        <v>0</v>
      </c>
      <c r="AI35" s="405"/>
      <c r="AJ35" s="405"/>
      <c r="AK35" s="405"/>
    </row>
    <row r="36" spans="1:37" s="277" customFormat="1" x14ac:dyDescent="0.2">
      <c r="A36" s="2"/>
      <c r="B36" s="25" t="s">
        <v>417</v>
      </c>
      <c r="C36" s="24"/>
      <c r="D36" s="24"/>
      <c r="E36" s="35">
        <v>0</v>
      </c>
      <c r="F36" s="35">
        <f t="shared" ref="F36:AH36" si="11">IF(F$9=1,F81+F126+F171,0)</f>
        <v>0</v>
      </c>
      <c r="G36" s="35">
        <f t="shared" si="11"/>
        <v>175</v>
      </c>
      <c r="H36" s="35">
        <f t="shared" si="11"/>
        <v>175</v>
      </c>
      <c r="I36" s="35">
        <f t="shared" si="11"/>
        <v>175</v>
      </c>
      <c r="J36" s="35">
        <f t="shared" si="11"/>
        <v>175</v>
      </c>
      <c r="K36" s="35">
        <f t="shared" si="11"/>
        <v>175</v>
      </c>
      <c r="L36" s="35">
        <f t="shared" si="11"/>
        <v>0</v>
      </c>
      <c r="M36" s="35">
        <f t="shared" si="11"/>
        <v>0</v>
      </c>
      <c r="N36" s="35">
        <f t="shared" si="11"/>
        <v>0</v>
      </c>
      <c r="O36" s="35">
        <f t="shared" si="11"/>
        <v>0</v>
      </c>
      <c r="P36" s="35">
        <f t="shared" si="11"/>
        <v>0</v>
      </c>
      <c r="Q36" s="35">
        <f t="shared" si="11"/>
        <v>0</v>
      </c>
      <c r="R36" s="35">
        <f t="shared" si="11"/>
        <v>0</v>
      </c>
      <c r="S36" s="35">
        <f t="shared" si="11"/>
        <v>0</v>
      </c>
      <c r="T36" s="35">
        <f t="shared" si="11"/>
        <v>0</v>
      </c>
      <c r="U36" s="35">
        <f t="shared" si="11"/>
        <v>0</v>
      </c>
      <c r="V36" s="35">
        <f t="shared" si="11"/>
        <v>0</v>
      </c>
      <c r="W36" s="35">
        <f t="shared" si="11"/>
        <v>0</v>
      </c>
      <c r="X36" s="35">
        <f t="shared" si="11"/>
        <v>0</v>
      </c>
      <c r="Y36" s="35">
        <f t="shared" si="11"/>
        <v>0</v>
      </c>
      <c r="Z36" s="35">
        <f t="shared" si="11"/>
        <v>0</v>
      </c>
      <c r="AA36" s="35">
        <f t="shared" si="11"/>
        <v>0</v>
      </c>
      <c r="AB36" s="35">
        <f t="shared" si="11"/>
        <v>0</v>
      </c>
      <c r="AC36" s="35">
        <f t="shared" si="11"/>
        <v>0</v>
      </c>
      <c r="AD36" s="35">
        <f t="shared" si="11"/>
        <v>0</v>
      </c>
      <c r="AE36" s="35">
        <f t="shared" si="11"/>
        <v>0</v>
      </c>
      <c r="AF36" s="35">
        <f t="shared" si="11"/>
        <v>0</v>
      </c>
      <c r="AG36" s="35">
        <f t="shared" si="11"/>
        <v>0</v>
      </c>
      <c r="AH36" s="35">
        <f t="shared" si="11"/>
        <v>0</v>
      </c>
      <c r="AI36" s="405"/>
      <c r="AJ36" s="405"/>
      <c r="AK36" s="405"/>
    </row>
    <row r="37" spans="1:37" s="277" customFormat="1" x14ac:dyDescent="0.2">
      <c r="A37" s="2"/>
      <c r="B37" s="25" t="s">
        <v>609</v>
      </c>
      <c r="C37" s="24"/>
      <c r="D37" s="24"/>
      <c r="E37" s="35">
        <v>0</v>
      </c>
      <c r="F37" s="35">
        <f t="shared" ref="F37:AH37" si="12">IF(F$9=1,F82+F127+F172,0)</f>
        <v>41.2</v>
      </c>
      <c r="G37" s="35">
        <f t="shared" si="12"/>
        <v>42.436</v>
      </c>
      <c r="H37" s="35">
        <f t="shared" si="12"/>
        <v>43.70908</v>
      </c>
      <c r="I37" s="35">
        <f t="shared" si="12"/>
        <v>45.0203524</v>
      </c>
      <c r="J37" s="35">
        <f t="shared" si="12"/>
        <v>46.370962972000001</v>
      </c>
      <c r="K37" s="35">
        <f t="shared" si="12"/>
        <v>47.762091861160002</v>
      </c>
      <c r="L37" s="35">
        <f t="shared" si="12"/>
        <v>49.194954616994806</v>
      </c>
      <c r="M37" s="35">
        <f t="shared" si="12"/>
        <v>50.670803255504651</v>
      </c>
      <c r="N37" s="35">
        <f t="shared" si="12"/>
        <v>52.190927353169798</v>
      </c>
      <c r="O37" s="35">
        <f t="shared" si="12"/>
        <v>53.756655173764884</v>
      </c>
      <c r="P37" s="35">
        <f t="shared" si="12"/>
        <v>55.369354828977833</v>
      </c>
      <c r="Q37" s="35">
        <f t="shared" si="12"/>
        <v>57.03043547384717</v>
      </c>
      <c r="R37" s="35">
        <f t="shared" si="12"/>
        <v>58.741348538062581</v>
      </c>
      <c r="S37" s="35">
        <f t="shared" si="12"/>
        <v>60.50358899420447</v>
      </c>
      <c r="T37" s="35">
        <f t="shared" si="12"/>
        <v>62.318696664030611</v>
      </c>
      <c r="U37" s="35">
        <f t="shared" si="12"/>
        <v>64.188257563951538</v>
      </c>
      <c r="V37" s="35">
        <f t="shared" si="12"/>
        <v>66.113905290870065</v>
      </c>
      <c r="W37" s="35">
        <f t="shared" si="12"/>
        <v>68.097322449596192</v>
      </c>
      <c r="X37" s="35">
        <f t="shared" si="12"/>
        <v>70.140242123084064</v>
      </c>
      <c r="Y37" s="35">
        <f t="shared" si="12"/>
        <v>72.244449386776594</v>
      </c>
      <c r="Z37" s="35">
        <f t="shared" si="12"/>
        <v>74.411782868379902</v>
      </c>
      <c r="AA37" s="35">
        <f t="shared" si="12"/>
        <v>76.644136354431296</v>
      </c>
      <c r="AB37" s="35">
        <f t="shared" si="12"/>
        <v>78.943460445064233</v>
      </c>
      <c r="AC37" s="35">
        <f t="shared" si="12"/>
        <v>81.311764258416162</v>
      </c>
      <c r="AD37" s="35">
        <f t="shared" si="12"/>
        <v>83.751117186168642</v>
      </c>
      <c r="AE37" s="35">
        <f t="shared" si="12"/>
        <v>86.263650701753704</v>
      </c>
      <c r="AF37" s="35">
        <f t="shared" si="12"/>
        <v>88.851560222806313</v>
      </c>
      <c r="AG37" s="35">
        <f t="shared" si="12"/>
        <v>91.517107029490504</v>
      </c>
      <c r="AH37" s="35">
        <f t="shared" si="12"/>
        <v>94.262620240375227</v>
      </c>
      <c r="AI37" s="405"/>
      <c r="AJ37" s="405"/>
      <c r="AK37" s="405"/>
    </row>
    <row r="38" spans="1:37" s="277" customFormat="1" x14ac:dyDescent="0.2">
      <c r="A38" s="2"/>
      <c r="B38" s="25" t="s">
        <v>411</v>
      </c>
      <c r="C38" s="24"/>
      <c r="D38" s="24"/>
      <c r="E38" s="35">
        <v>0</v>
      </c>
      <c r="F38" s="35">
        <f>IF(F9=1,'Balance sheet'!F33-'Balance sheet'!E33,0)</f>
        <v>0</v>
      </c>
      <c r="G38" s="35">
        <f>IF(G9=1,'Balance sheet'!G33-'Balance sheet'!F33,0)</f>
        <v>0</v>
      </c>
      <c r="H38" s="35">
        <f>IF(H9=1,'Balance sheet'!H33-'Balance sheet'!G33,0)</f>
        <v>0</v>
      </c>
      <c r="I38" s="35">
        <f>IF(I9=1,'Balance sheet'!I33-'Balance sheet'!H33,0)</f>
        <v>0</v>
      </c>
      <c r="J38" s="35">
        <f>IF(J9=1,'Balance sheet'!J33-'Balance sheet'!I33,0)</f>
        <v>0</v>
      </c>
      <c r="K38" s="35">
        <f>IF(K9=1,'Balance sheet'!K33-'Balance sheet'!J33,0)</f>
        <v>0</v>
      </c>
      <c r="L38" s="35">
        <f>IF(L9=1,'Balance sheet'!L33-'Balance sheet'!K33,0)</f>
        <v>0</v>
      </c>
      <c r="M38" s="35">
        <f>IF(M9=1,'Balance sheet'!M33-'Balance sheet'!L33,0)</f>
        <v>0</v>
      </c>
      <c r="N38" s="35">
        <f>IF(N9=1,'Balance sheet'!N33-'Balance sheet'!M33,0)</f>
        <v>0</v>
      </c>
      <c r="O38" s="35">
        <f>IF(O9=1,'Balance sheet'!O33-'Balance sheet'!N33,0)</f>
        <v>0</v>
      </c>
      <c r="P38" s="35">
        <f>IF(P9=1,'Balance sheet'!P33-'Balance sheet'!O33,0)</f>
        <v>0</v>
      </c>
      <c r="Q38" s="35">
        <f>IF(Q9=1,'Balance sheet'!Q33-'Balance sheet'!P33,0)</f>
        <v>0</v>
      </c>
      <c r="R38" s="35">
        <f>IF(R9=1,'Balance sheet'!R33-'Balance sheet'!Q33,0)</f>
        <v>0</v>
      </c>
      <c r="S38" s="35">
        <f>IF(S9=1,'Balance sheet'!S33-'Balance sheet'!R33,0)</f>
        <v>0</v>
      </c>
      <c r="T38" s="35">
        <f>IF(T9=1,'Balance sheet'!T33-'Balance sheet'!S33,0)</f>
        <v>0</v>
      </c>
      <c r="U38" s="35">
        <f>IF(U9=1,'Balance sheet'!U33-'Balance sheet'!T33,0)</f>
        <v>0</v>
      </c>
      <c r="V38" s="35">
        <f>IF(V9=1,'Balance sheet'!V33-'Balance sheet'!U33,0)</f>
        <v>0</v>
      </c>
      <c r="W38" s="35">
        <f>IF(W9=1,'Balance sheet'!W33-'Balance sheet'!V33,0)</f>
        <v>0</v>
      </c>
      <c r="X38" s="35">
        <f>IF(X9=1,'Balance sheet'!X33-'Balance sheet'!W33,0)</f>
        <v>0</v>
      </c>
      <c r="Y38" s="35">
        <f>IF(Y9=1,'Balance sheet'!Y33-'Balance sheet'!X33,0)</f>
        <v>0</v>
      </c>
      <c r="Z38" s="35">
        <f>IF(Z9=1,'Balance sheet'!Z33-'Balance sheet'!Y33,0)</f>
        <v>0</v>
      </c>
      <c r="AA38" s="35">
        <f>IF(AA9=1,'Balance sheet'!AA33-'Balance sheet'!Z33,0)</f>
        <v>0</v>
      </c>
      <c r="AB38" s="35">
        <f>IF(AB9=1,'Balance sheet'!AB33-'Balance sheet'!AA33,0)</f>
        <v>0</v>
      </c>
      <c r="AC38" s="35">
        <f>IF(AC9=1,'Balance sheet'!AC33-'Balance sheet'!AB33,0)</f>
        <v>0</v>
      </c>
      <c r="AD38" s="35">
        <f>IF(AD9=1,'Balance sheet'!AD33-'Balance sheet'!AC33,0)</f>
        <v>0</v>
      </c>
      <c r="AE38" s="35">
        <f>IF(AE9=1,'Balance sheet'!AE33-'Balance sheet'!AD33,0)</f>
        <v>0</v>
      </c>
      <c r="AF38" s="35">
        <f>IF(AF9=1,'Balance sheet'!AF33-'Balance sheet'!AE33,0)</f>
        <v>0</v>
      </c>
      <c r="AG38" s="35">
        <f>IF(AG9=1,'Balance sheet'!AG33-'Balance sheet'!AF33,0)</f>
        <v>0</v>
      </c>
      <c r="AH38" s="35">
        <f>IF(AH9=1,'Balance sheet'!AH33-'Balance sheet'!AG33,0)</f>
        <v>0</v>
      </c>
      <c r="AI38" s="405"/>
      <c r="AJ38" s="405"/>
      <c r="AK38" s="405"/>
    </row>
    <row r="39" spans="1:37" s="277" customFormat="1" x14ac:dyDescent="0.2">
      <c r="A39" s="2"/>
      <c r="B39" s="25" t="s">
        <v>116</v>
      </c>
      <c r="C39" s="24"/>
      <c r="D39" s="24"/>
      <c r="E39" s="35">
        <v>0</v>
      </c>
      <c r="F39" s="35">
        <f>IF(F9=1,'Balance sheet'!F38-'Balance sheet'!E38,0)</f>
        <v>0</v>
      </c>
      <c r="G39" s="35">
        <f>IF(G9=1,'Balance sheet'!G38-'Balance sheet'!F38,0)</f>
        <v>0</v>
      </c>
      <c r="H39" s="35">
        <f>IF(H9=1,'Balance sheet'!H38-'Balance sheet'!G38,0)</f>
        <v>0</v>
      </c>
      <c r="I39" s="35">
        <f>IF(I9=1,'Balance sheet'!I38-'Balance sheet'!H38,0)</f>
        <v>0</v>
      </c>
      <c r="J39" s="35">
        <f>IF(J9=1,'Balance sheet'!J38-'Balance sheet'!I38,0)</f>
        <v>0</v>
      </c>
      <c r="K39" s="35">
        <f>IF(K9=1,'Balance sheet'!K38-'Balance sheet'!J38,0)</f>
        <v>0</v>
      </c>
      <c r="L39" s="35">
        <f>IF(L9=1,'Balance sheet'!L38-'Balance sheet'!K38,0)</f>
        <v>0</v>
      </c>
      <c r="M39" s="35">
        <f>IF(M9=1,'Balance sheet'!M38-'Balance sheet'!L38,0)</f>
        <v>0</v>
      </c>
      <c r="N39" s="35">
        <f>IF(N9=1,'Balance sheet'!N38-'Balance sheet'!M38,0)</f>
        <v>0</v>
      </c>
      <c r="O39" s="35">
        <f>IF(O9=1,'Balance sheet'!O38-'Balance sheet'!N38,0)</f>
        <v>0</v>
      </c>
      <c r="P39" s="35">
        <f>IF(P9=1,'Balance sheet'!P38-'Balance sheet'!O38,0)</f>
        <v>0</v>
      </c>
      <c r="Q39" s="35">
        <f>IF(Q9=1,'Balance sheet'!Q38-'Balance sheet'!P38,0)</f>
        <v>0</v>
      </c>
      <c r="R39" s="35">
        <f>IF(R9=1,'Balance sheet'!R38-'Balance sheet'!Q38,0)</f>
        <v>0</v>
      </c>
      <c r="S39" s="35">
        <f>IF(S9=1,'Balance sheet'!S38-'Balance sheet'!R38,0)</f>
        <v>0</v>
      </c>
      <c r="T39" s="35">
        <f>IF(T9=1,'Balance sheet'!T38-'Balance sheet'!S38,0)</f>
        <v>0</v>
      </c>
      <c r="U39" s="35">
        <f>IF(U9=1,'Balance sheet'!U38-'Balance sheet'!T38,0)</f>
        <v>0</v>
      </c>
      <c r="V39" s="35">
        <f>IF(V9=1,'Balance sheet'!V38-'Balance sheet'!U38,0)</f>
        <v>0</v>
      </c>
      <c r="W39" s="35">
        <f>IF(W9=1,'Balance sheet'!W38-'Balance sheet'!V38,0)</f>
        <v>0</v>
      </c>
      <c r="X39" s="35">
        <f>IF(X9=1,'Balance sheet'!X38-'Balance sheet'!W38,0)</f>
        <v>0</v>
      </c>
      <c r="Y39" s="35">
        <f>IF(Y9=1,'Balance sheet'!Y38-'Balance sheet'!X38,0)</f>
        <v>0</v>
      </c>
      <c r="Z39" s="35">
        <f>IF(Z9=1,'Balance sheet'!Z38-'Balance sheet'!Y38,0)</f>
        <v>0</v>
      </c>
      <c r="AA39" s="35">
        <f>IF(AA9=1,'Balance sheet'!AA38-'Balance sheet'!Z38,0)</f>
        <v>0</v>
      </c>
      <c r="AB39" s="35">
        <f>IF(AB9=1,'Balance sheet'!AB38-'Balance sheet'!AA38,0)</f>
        <v>0</v>
      </c>
      <c r="AC39" s="35">
        <f>IF(AC9=1,'Balance sheet'!AC38-'Balance sheet'!AB38,0)</f>
        <v>0</v>
      </c>
      <c r="AD39" s="35">
        <f>IF(AD9=1,'Balance sheet'!AD38-'Balance sheet'!AC38,0)</f>
        <v>0</v>
      </c>
      <c r="AE39" s="35">
        <f>IF(AE9=1,'Balance sheet'!AE38-'Balance sheet'!AD38,0)</f>
        <v>0</v>
      </c>
      <c r="AF39" s="35">
        <f>IF(AF9=1,'Balance sheet'!AF38-'Balance sheet'!AE38,0)</f>
        <v>0</v>
      </c>
      <c r="AG39" s="35">
        <f>IF(AG9=1,'Balance sheet'!AG38-'Balance sheet'!AF38,0)</f>
        <v>0</v>
      </c>
      <c r="AH39" s="35">
        <f>IF(AH9=1,'Balance sheet'!AH38-'Balance sheet'!AG38,0)</f>
        <v>0</v>
      </c>
      <c r="AI39" s="405"/>
      <c r="AJ39" s="405"/>
      <c r="AK39" s="405"/>
    </row>
    <row r="40" spans="1:37" s="277" customFormat="1" x14ac:dyDescent="0.2">
      <c r="A40" s="2"/>
      <c r="B40" s="25" t="s">
        <v>663</v>
      </c>
      <c r="C40" s="24"/>
      <c r="D40" s="24"/>
      <c r="E40" s="35">
        <v>0</v>
      </c>
      <c r="F40" s="35">
        <f>F13</f>
        <v>34.074249999999992</v>
      </c>
      <c r="G40" s="35">
        <f t="shared" ref="G40:AH40" si="13">G13</f>
        <v>38.919499999999857</v>
      </c>
      <c r="H40" s="35">
        <f t="shared" si="13"/>
        <v>42.692250000000058</v>
      </c>
      <c r="I40" s="35">
        <f t="shared" si="13"/>
        <v>49.486624999999549</v>
      </c>
      <c r="J40" s="35">
        <f t="shared" si="13"/>
        <v>56.132500000000618</v>
      </c>
      <c r="K40" s="35">
        <f t="shared" si="13"/>
        <v>62.637749999999869</v>
      </c>
      <c r="L40" s="35">
        <f t="shared" si="13"/>
        <v>63.971624999999221</v>
      </c>
      <c r="M40" s="35">
        <f t="shared" si="13"/>
        <v>59.866439168310535</v>
      </c>
      <c r="N40" s="35">
        <f t="shared" si="13"/>
        <v>55.462483591983982</v>
      </c>
      <c r="O40" s="35">
        <f t="shared" si="13"/>
        <v>48.585341802581752</v>
      </c>
      <c r="P40" s="35">
        <f t="shared" si="13"/>
        <v>46.312091308835079</v>
      </c>
      <c r="Q40" s="35">
        <f t="shared" si="13"/>
        <v>45.732360541545859</v>
      </c>
      <c r="R40" s="35">
        <f t="shared" si="13"/>
        <v>45.116880535928431</v>
      </c>
      <c r="S40" s="35">
        <f t="shared" si="13"/>
        <v>44.463390441083902</v>
      </c>
      <c r="T40" s="35">
        <f t="shared" si="13"/>
        <v>43.76948322631506</v>
      </c>
      <c r="U40" s="35">
        <f t="shared" si="13"/>
        <v>23.657596052558802</v>
      </c>
      <c r="V40" s="35">
        <f t="shared" si="13"/>
        <v>3.5000000000109139</v>
      </c>
      <c r="W40" s="35">
        <f t="shared" si="13"/>
        <v>3.500000000003638</v>
      </c>
      <c r="X40" s="35">
        <f t="shared" si="13"/>
        <v>3.499999999992724</v>
      </c>
      <c r="Y40" s="35">
        <f t="shared" si="13"/>
        <v>3.4999999999890861</v>
      </c>
      <c r="Z40" s="35">
        <f t="shared" si="13"/>
        <v>3.5</v>
      </c>
      <c r="AA40" s="35">
        <f t="shared" si="13"/>
        <v>3.500000000007276</v>
      </c>
      <c r="AB40" s="35">
        <f t="shared" si="13"/>
        <v>3.4999999999854481</v>
      </c>
      <c r="AC40" s="35">
        <f t="shared" si="13"/>
        <v>3.500000000007276</v>
      </c>
      <c r="AD40" s="35">
        <f t="shared" si="13"/>
        <v>3.4999999999854481</v>
      </c>
      <c r="AE40" s="35">
        <f t="shared" si="13"/>
        <v>2.2499999999854481</v>
      </c>
      <c r="AF40" s="35">
        <f t="shared" si="13"/>
        <v>1</v>
      </c>
      <c r="AG40" s="35">
        <f t="shared" si="13"/>
        <v>1.000000000007276</v>
      </c>
      <c r="AH40" s="35">
        <f t="shared" si="13"/>
        <v>1.000000000007276</v>
      </c>
      <c r="AI40" s="405"/>
      <c r="AJ40" s="405"/>
      <c r="AK40" s="405"/>
    </row>
    <row r="41" spans="1:37" s="277" customFormat="1" x14ac:dyDescent="0.2">
      <c r="A41" s="2"/>
      <c r="B41" s="25" t="s">
        <v>111</v>
      </c>
      <c r="C41" s="24"/>
      <c r="D41" s="24"/>
      <c r="E41" s="35">
        <v>0</v>
      </c>
      <c r="F41" s="35">
        <f>IF(F9=1,Calculations!F1443,0)</f>
        <v>35111.332491345485</v>
      </c>
      <c r="G41" s="35">
        <f>IF(G9=1,Calculations!G1443,0)</f>
        <v>36373.575895897797</v>
      </c>
      <c r="H41" s="35">
        <f>IF(H9=1,Calculations!H1443,0)</f>
        <v>38410.307538107183</v>
      </c>
      <c r="I41" s="35">
        <f>IF(I9=1,Calculations!I1443,0)</f>
        <v>41440.206875796313</v>
      </c>
      <c r="J41" s="35">
        <f>IF(J9=1,Calculations!J1443,0)</f>
        <v>44358.624339988368</v>
      </c>
      <c r="K41" s="35">
        <f>IF(K9=1,Calculations!K1443,0)</f>
        <v>50086.956185961229</v>
      </c>
      <c r="L41" s="35">
        <f>IF(L9=1,Calculations!L1443,0)</f>
        <v>53743.342858310134</v>
      </c>
      <c r="M41" s="35">
        <f>IF(M9=1,Calculations!M1443,0)</f>
        <v>57103.623383135331</v>
      </c>
      <c r="N41" s="35">
        <f>IF(N9=1,Calculations!N1443,0)</f>
        <v>60619.997197637553</v>
      </c>
      <c r="O41" s="35">
        <f>IF(O9=1,Calculations!O1443,0)</f>
        <v>63414.882193721845</v>
      </c>
      <c r="P41" s="35">
        <f>IF(P9=1,Calculations!P1443,0)</f>
        <v>66996.838806571293</v>
      </c>
      <c r="Q41" s="35">
        <f>IF(Q9=1,Calculations!Q1443,0)</f>
        <v>70769.865697055488</v>
      </c>
      <c r="R41" s="35">
        <f>IF(R9=1,Calculations!R1443,0)</f>
        <v>74714.3929470398</v>
      </c>
      <c r="S41" s="35">
        <f>IF(S9=1,Calculations!S1443,0)</f>
        <v>78840.515344163679</v>
      </c>
      <c r="T41" s="35">
        <f>IF(T9=1,Calculations!T1443,0)</f>
        <v>83151.183172028323</v>
      </c>
      <c r="U41" s="35">
        <f>IF(U9=1,Calculations!U1443,0)</f>
        <v>87206.006007881486</v>
      </c>
      <c r="V41" s="35">
        <f>IF(V9=1,Calculations!V1443,0)</f>
        <v>92387.772174757163</v>
      </c>
      <c r="W41" s="35">
        <f>IF(W9=1,Calculations!W1443,0)</f>
        <v>97306.49180990427</v>
      </c>
      <c r="X41" s="35">
        <f>IF(X9=1,Calculations!X1443,0)</f>
        <v>102448.77479444376</v>
      </c>
      <c r="Y41" s="35">
        <f>IF(Y9=1,Calculations!Y1443,0)</f>
        <v>107817.97320115482</v>
      </c>
      <c r="Z41" s="35">
        <f>IF(Z9=1,Calculations!Z1443,0)</f>
        <v>113424.39512110522</v>
      </c>
      <c r="AA41" s="35">
        <f>IF(AA9=1,Calculations!AA1443,0)</f>
        <v>119281.54195346916</v>
      </c>
      <c r="AB41" s="35">
        <f>IF(AB9=1,Calculations!AB1443,0)</f>
        <v>125396.39799338669</v>
      </c>
      <c r="AC41" s="35">
        <f>IF(AC9=1,Calculations!AC1443,0)</f>
        <v>131779.04065523282</v>
      </c>
      <c r="AD41" s="35">
        <f>IF(AD9=1,Calculations!AD1443,0)</f>
        <v>138440.89451048782</v>
      </c>
      <c r="AE41" s="35">
        <f>IF(AE9=1,Calculations!AE1443,0)</f>
        <v>145368.28740758781</v>
      </c>
      <c r="AF41" s="35">
        <f>IF(AF9=1,Calculations!AF1443,0)</f>
        <v>152646.89529751957</v>
      </c>
      <c r="AG41" s="35">
        <f>IF(AG9=1,Calculations!AG1443,0)</f>
        <v>160213.51308990608</v>
      </c>
      <c r="AH41" s="35">
        <f>IF(AH9=1,Calculations!AH1443,0)</f>
        <v>168096.05694573803</v>
      </c>
      <c r="AI41" s="405"/>
      <c r="AJ41" s="405"/>
      <c r="AK41" s="405"/>
    </row>
    <row r="42" spans="1:37" s="277" customFormat="1" x14ac:dyDescent="0.2">
      <c r="A42" s="2"/>
      <c r="B42" s="25"/>
      <c r="C42" s="24"/>
      <c r="D42" s="24"/>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405"/>
      <c r="AJ42" s="405"/>
      <c r="AK42" s="405"/>
    </row>
    <row r="43" spans="1:37" s="277" customFormat="1" x14ac:dyDescent="0.2">
      <c r="A43" s="2"/>
      <c r="B43" s="27" t="s">
        <v>112</v>
      </c>
      <c r="C43" s="24"/>
      <c r="D43" s="24"/>
      <c r="E43" s="43">
        <f>IF(E9=1,-E35+E36+E37+E38+E39-E40-E41,0)</f>
        <v>0</v>
      </c>
      <c r="F43" s="43">
        <f t="shared" ref="F43:AH43" si="14">IF(F9=1,-F35+F36+F37+F38+F39-F40-F41,0)</f>
        <v>-35151.706741345486</v>
      </c>
      <c r="G43" s="43">
        <f t="shared" si="14"/>
        <v>-36302.559395897799</v>
      </c>
      <c r="H43" s="43">
        <f t="shared" si="14"/>
        <v>-38311.790708107183</v>
      </c>
      <c r="I43" s="43">
        <f t="shared" si="14"/>
        <v>-41347.173148396316</v>
      </c>
      <c r="J43" s="43">
        <f t="shared" si="14"/>
        <v>-44270.885877016372</v>
      </c>
      <c r="K43" s="43">
        <f t="shared" si="14"/>
        <v>-50004.331844100067</v>
      </c>
      <c r="L43" s="43">
        <f t="shared" si="14"/>
        <v>-53843.059035360056</v>
      </c>
      <c r="M43" s="43">
        <f t="shared" si="14"/>
        <v>-57198.126461546744</v>
      </c>
      <c r="N43" s="43">
        <f t="shared" si="14"/>
        <v>-60709.0071519513</v>
      </c>
      <c r="O43" s="43">
        <f t="shared" si="14"/>
        <v>-63473.805295214996</v>
      </c>
      <c r="P43" s="43">
        <f t="shared" si="14"/>
        <v>-66997.443958409232</v>
      </c>
      <c r="Q43" s="43">
        <f t="shared" si="14"/>
        <v>-70768.809768248553</v>
      </c>
      <c r="R43" s="43">
        <f t="shared" si="14"/>
        <v>-74711.626105168645</v>
      </c>
      <c r="S43" s="43">
        <f t="shared" si="14"/>
        <v>-78835.986261836384</v>
      </c>
      <c r="T43" s="43">
        <f t="shared" si="14"/>
        <v>-83144.8389820312</v>
      </c>
      <c r="U43" s="43">
        <f t="shared" si="14"/>
        <v>-87853.417256984452</v>
      </c>
      <c r="V43" s="43">
        <f t="shared" si="14"/>
        <v>-92325.158269466308</v>
      </c>
      <c r="W43" s="43">
        <f t="shared" si="14"/>
        <v>-97241.894487454672</v>
      </c>
      <c r="X43" s="43">
        <f t="shared" si="14"/>
        <v>-102382.13455232067</v>
      </c>
      <c r="Y43" s="43">
        <f t="shared" si="14"/>
        <v>-107749.22875176804</v>
      </c>
      <c r="Z43" s="43">
        <f t="shared" si="14"/>
        <v>-113353.48333823684</v>
      </c>
      <c r="AA43" s="43">
        <f t="shared" si="14"/>
        <v>-119208.39781711473</v>
      </c>
      <c r="AB43" s="43">
        <f t="shared" si="14"/>
        <v>-125320.95453294161</v>
      </c>
      <c r="AC43" s="43">
        <f t="shared" si="14"/>
        <v>-131701.22889097442</v>
      </c>
      <c r="AD43" s="43">
        <f t="shared" si="14"/>
        <v>-138360.64339330164</v>
      </c>
      <c r="AE43" s="43">
        <f t="shared" si="14"/>
        <v>-145334.27375688605</v>
      </c>
      <c r="AF43" s="43">
        <f t="shared" si="14"/>
        <v>-152559.04373729677</v>
      </c>
      <c r="AG43" s="43">
        <f t="shared" si="14"/>
        <v>-160122.9959828766</v>
      </c>
      <c r="AH43" s="43">
        <f t="shared" si="14"/>
        <v>-168002.79432549767</v>
      </c>
      <c r="AI43" s="405"/>
      <c r="AJ43" s="405"/>
      <c r="AK43" s="405"/>
    </row>
    <row r="44" spans="1:37" s="277" customFormat="1" x14ac:dyDescent="0.2">
      <c r="A44" s="2"/>
      <c r="B44" s="26"/>
      <c r="C44" s="24"/>
      <c r="D44" s="24"/>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405"/>
      <c r="AJ44" s="405"/>
      <c r="AK44" s="405"/>
    </row>
    <row r="45" spans="1:37" s="277" customFormat="1" ht="16" thickBot="1" x14ac:dyDescent="0.25">
      <c r="A45" s="2"/>
      <c r="B45" s="26" t="s">
        <v>113</v>
      </c>
      <c r="C45" s="24"/>
      <c r="D45" s="24"/>
      <c r="E45" s="40">
        <f>E36+E44</f>
        <v>0</v>
      </c>
      <c r="F45" s="48">
        <f>IF(F9=1,F25+F32+F43,0)</f>
        <v>15079.085777752065</v>
      </c>
      <c r="G45" s="48">
        <f t="shared" ref="G45:AH45" si="15">IF(G9=1,G25+G32+G43,0)</f>
        <v>15652.139710596231</v>
      </c>
      <c r="H45" s="48">
        <f t="shared" si="15"/>
        <v>16473.296584496522</v>
      </c>
      <c r="I45" s="48">
        <f t="shared" si="15"/>
        <v>17803.431327575141</v>
      </c>
      <c r="J45" s="48">
        <f t="shared" si="15"/>
        <v>19117.740826970825</v>
      </c>
      <c r="K45" s="48">
        <f t="shared" si="15"/>
        <v>21370.640786451004</v>
      </c>
      <c r="L45" s="48">
        <f t="shared" si="15"/>
        <v>22877.570733555738</v>
      </c>
      <c r="M45" s="48">
        <f t="shared" si="15"/>
        <v>24250.367413467357</v>
      </c>
      <c r="N45" s="48">
        <f t="shared" si="15"/>
        <v>25675.96633994377</v>
      </c>
      <c r="O45" s="48">
        <f t="shared" si="15"/>
        <v>26968.963546162988</v>
      </c>
      <c r="P45" s="48">
        <f t="shared" si="15"/>
        <v>28478.729092970665</v>
      </c>
      <c r="Q45" s="48">
        <f t="shared" si="15"/>
        <v>30043.009101189746</v>
      </c>
      <c r="R45" s="48">
        <f t="shared" si="15"/>
        <v>31670.890323212749</v>
      </c>
      <c r="S45" s="48">
        <f t="shared" si="15"/>
        <v>33366.504916766236</v>
      </c>
      <c r="T45" s="48">
        <f t="shared" si="15"/>
        <v>35129.109493330907</v>
      </c>
      <c r="U45" s="48">
        <f t="shared" si="15"/>
        <v>36755.848240465915</v>
      </c>
      <c r="V45" s="48">
        <f t="shared" si="15"/>
        <v>38884.420019973215</v>
      </c>
      <c r="W45" s="48">
        <f t="shared" si="15"/>
        <v>40867.636862959247</v>
      </c>
      <c r="X45" s="48">
        <f t="shared" si="15"/>
        <v>42930.303560645814</v>
      </c>
      <c r="Y45" s="48">
        <f t="shared" si="15"/>
        <v>45071.26012697132</v>
      </c>
      <c r="Z45" s="48">
        <f t="shared" si="15"/>
        <v>47295.800045448093</v>
      </c>
      <c r="AA45" s="48">
        <f t="shared" si="15"/>
        <v>49609.009450926023</v>
      </c>
      <c r="AB45" s="48">
        <f t="shared" si="15"/>
        <v>52010.883599704699</v>
      </c>
      <c r="AC45" s="48">
        <f t="shared" si="15"/>
        <v>54503.760033593717</v>
      </c>
      <c r="AD45" s="48">
        <f t="shared" si="15"/>
        <v>57091.306353606458</v>
      </c>
      <c r="AE45" s="48">
        <f t="shared" si="15"/>
        <v>59751.370501216647</v>
      </c>
      <c r="AF45" s="48">
        <f t="shared" si="15"/>
        <v>62561.086157905782</v>
      </c>
      <c r="AG45" s="48">
        <f t="shared" si="15"/>
        <v>65448.404042079434</v>
      </c>
      <c r="AH45" s="48">
        <f t="shared" si="15"/>
        <v>68434.976138529222</v>
      </c>
      <c r="AI45" s="405"/>
      <c r="AJ45" s="405"/>
      <c r="AK45" s="405"/>
    </row>
    <row r="46" spans="1:37" s="278" customFormat="1" x14ac:dyDescent="0.2">
      <c r="A46" s="2"/>
      <c r="B46" s="22"/>
      <c r="C46" s="22"/>
      <c r="D46" s="22"/>
      <c r="E46" s="49"/>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406"/>
      <c r="AJ46" s="406"/>
      <c r="AK46" s="406"/>
    </row>
    <row r="47" spans="1:37" s="277" customFormat="1" x14ac:dyDescent="0.2">
      <c r="A47" s="2"/>
      <c r="B47" s="82" t="s">
        <v>114</v>
      </c>
      <c r="C47" s="24"/>
      <c r="D47" s="24"/>
      <c r="E47" s="35"/>
      <c r="F47" s="35">
        <f>IF(F9=1,'Balance sheet'!E13,0)</f>
        <v>300</v>
      </c>
      <c r="G47" s="35">
        <f>IF(G9=1,'Balance sheet'!F13,0)</f>
        <v>15379.085777752065</v>
      </c>
      <c r="H47" s="35">
        <f>IF(H9=1,'Balance sheet'!G13,0)</f>
        <v>31031.225488348296</v>
      </c>
      <c r="I47" s="35">
        <f>IF(I9=1,'Balance sheet'!H13,0)</f>
        <v>47504.522072844818</v>
      </c>
      <c r="J47" s="35">
        <f>IF(J9=1,'Balance sheet'!I13,0)</f>
        <v>65307.95340041996</v>
      </c>
      <c r="K47" s="35">
        <f>IF(K9=1,'Balance sheet'!J13,0)</f>
        <v>84425.694227390777</v>
      </c>
      <c r="L47" s="35">
        <f>IF(L9=1,'Balance sheet'!K13,0)</f>
        <v>105796.33501384177</v>
      </c>
      <c r="M47" s="35">
        <f>IF(M9=1,'Balance sheet'!L13,0)</f>
        <v>128673.90574739751</v>
      </c>
      <c r="N47" s="35">
        <f>IF(N9=1,'Balance sheet'!M13,0)</f>
        <v>152924.27316086486</v>
      </c>
      <c r="O47" s="35">
        <f>IF(O9=1,'Balance sheet'!N13,0)</f>
        <v>178600.23950080865</v>
      </c>
      <c r="P47" s="35">
        <f>IF(P9=1,'Balance sheet'!O13,0)</f>
        <v>205569.20304697164</v>
      </c>
      <c r="Q47" s="35">
        <f>IF(Q9=1,'Balance sheet'!P13,0)</f>
        <v>234047.93213994231</v>
      </c>
      <c r="R47" s="35">
        <f>IF(R9=1,'Balance sheet'!Q13,0)</f>
        <v>264090.94124113204</v>
      </c>
      <c r="S47" s="35">
        <f>IF(S9=1,'Balance sheet'!R13,0)</f>
        <v>295761.83156434481</v>
      </c>
      <c r="T47" s="35">
        <f>IF(T9=1,'Balance sheet'!S13,0)</f>
        <v>329128.33648111107</v>
      </c>
      <c r="U47" s="35">
        <f>IF(U9=1,'Balance sheet'!T13,0)</f>
        <v>364257.44597444194</v>
      </c>
      <c r="V47" s="35">
        <f>IF(V9=1,'Balance sheet'!U13,0)</f>
        <v>401013.29421490786</v>
      </c>
      <c r="W47" s="35">
        <f>IF(W9=1,'Balance sheet'!V13,0)</f>
        <v>439897.7142348811</v>
      </c>
      <c r="X47" s="35">
        <f>IF(X9=1,'Balance sheet'!W13,0)</f>
        <v>480765.35109784035</v>
      </c>
      <c r="Y47" s="35">
        <f>IF(Y9=1,'Balance sheet'!X13,0)</f>
        <v>523695.65465848614</v>
      </c>
      <c r="Z47" s="35">
        <f>IF(Z9=1,'Balance sheet'!Y13,0)</f>
        <v>568766.91478545743</v>
      </c>
      <c r="AA47" s="35">
        <f>IF(AA9=1,'Balance sheet'!Z13,0)</f>
        <v>616062.71483090555</v>
      </c>
      <c r="AB47" s="35">
        <f>IF(AB9=1,'Balance sheet'!AA13,0)</f>
        <v>665671.72428183153</v>
      </c>
      <c r="AC47" s="35">
        <f>IF(AC9=1,'Balance sheet'!AB13,0)</f>
        <v>717682.60788153624</v>
      </c>
      <c r="AD47" s="35">
        <f>IF(AD9=1,'Balance sheet'!AC13,0)</f>
        <v>772186.36791512999</v>
      </c>
      <c r="AE47" s="35">
        <f>IF(AE9=1,'Balance sheet'!AD13,0)</f>
        <v>829277.6742687365</v>
      </c>
      <c r="AF47" s="35">
        <f>IF(AF9=1,'Balance sheet'!AE13,0)</f>
        <v>889029.04476995312</v>
      </c>
      <c r="AG47" s="35">
        <f>IF(AG9=1,'Balance sheet'!AF13,0)</f>
        <v>951590.13092785887</v>
      </c>
      <c r="AH47" s="35">
        <f>IF(AH9=1,'Balance sheet'!AG13,0)</f>
        <v>1017038.5349699383</v>
      </c>
    </row>
    <row r="48" spans="1:37" s="277" customFormat="1" x14ac:dyDescent="0.2">
      <c r="A48" s="2"/>
      <c r="B48" s="82" t="s">
        <v>115</v>
      </c>
      <c r="C48" s="24"/>
      <c r="D48" s="24"/>
      <c r="E48" s="34">
        <f>'Balance sheet'!E13</f>
        <v>300</v>
      </c>
      <c r="F48" s="35">
        <f>IF(F9=1,'Balance sheet'!F13,0)</f>
        <v>15379.085777752065</v>
      </c>
      <c r="G48" s="35">
        <f>IF(G9=1,'Balance sheet'!G13,0)</f>
        <v>31031.225488348296</v>
      </c>
      <c r="H48" s="35">
        <f>IF(H9=1,'Balance sheet'!H13,0)</f>
        <v>47504.522072844818</v>
      </c>
      <c r="I48" s="35">
        <f>IF(I9=1,'Balance sheet'!I13,0)</f>
        <v>65307.95340041996</v>
      </c>
      <c r="J48" s="35">
        <f>IF(J9=1,'Balance sheet'!J13,0)</f>
        <v>84425.694227390777</v>
      </c>
      <c r="K48" s="35">
        <f>IF(K9=1,'Balance sheet'!K13,0)</f>
        <v>105796.33501384177</v>
      </c>
      <c r="L48" s="35">
        <f>IF(L9=1,'Balance sheet'!L13,0)</f>
        <v>128673.90574739751</v>
      </c>
      <c r="M48" s="35">
        <f>IF(M9=1,'Balance sheet'!M13,0)</f>
        <v>152924.27316086486</v>
      </c>
      <c r="N48" s="35">
        <f>IF(N9=1,'Balance sheet'!N13,0)</f>
        <v>178600.23950080865</v>
      </c>
      <c r="O48" s="35">
        <f>IF(O9=1,'Balance sheet'!O13,0)</f>
        <v>205569.20304697164</v>
      </c>
      <c r="P48" s="35">
        <f>IF(P9=1,'Balance sheet'!P13,0)</f>
        <v>234047.93213994231</v>
      </c>
      <c r="Q48" s="35">
        <f>IF(Q9=1,'Balance sheet'!Q13,0)</f>
        <v>264090.94124113204</v>
      </c>
      <c r="R48" s="35">
        <f>IF(R9=1,'Balance sheet'!R13,0)</f>
        <v>295761.83156434481</v>
      </c>
      <c r="S48" s="35">
        <f>IF(S9=1,'Balance sheet'!S13,0)</f>
        <v>329128.33648111107</v>
      </c>
      <c r="T48" s="35">
        <f>IF(T9=1,'Balance sheet'!T13,0)</f>
        <v>364257.44597444194</v>
      </c>
      <c r="U48" s="35">
        <f>IF(U9=1,'Balance sheet'!U13,0)</f>
        <v>401013.29421490786</v>
      </c>
      <c r="V48" s="35">
        <f>IF(V9=1,'Balance sheet'!V13,0)</f>
        <v>439897.7142348811</v>
      </c>
      <c r="W48" s="35">
        <f>IF(W9=1,'Balance sheet'!W13,0)</f>
        <v>480765.35109784035</v>
      </c>
      <c r="X48" s="35">
        <f>IF(X9=1,'Balance sheet'!X13,0)</f>
        <v>523695.65465848614</v>
      </c>
      <c r="Y48" s="35">
        <f>IF(Y9=1,'Balance sheet'!Y13,0)</f>
        <v>568766.91478545743</v>
      </c>
      <c r="Z48" s="35">
        <f>IF(Z9=1,'Balance sheet'!Z13,0)</f>
        <v>616062.71483090555</v>
      </c>
      <c r="AA48" s="35">
        <f>IF(AA9=1,'Balance sheet'!AA13,0)</f>
        <v>665671.72428183153</v>
      </c>
      <c r="AB48" s="35">
        <f>IF(AB9=1,'Balance sheet'!AB13,0)</f>
        <v>717682.60788153624</v>
      </c>
      <c r="AC48" s="35">
        <f>IF(AC9=1,'Balance sheet'!AC13,0)</f>
        <v>772186.36791512999</v>
      </c>
      <c r="AD48" s="35">
        <f>IF(AD9=1,'Balance sheet'!AD13,0)</f>
        <v>829277.6742687365</v>
      </c>
      <c r="AE48" s="35">
        <f>IF(AE9=1,'Balance sheet'!AE13,0)</f>
        <v>889029.04476995312</v>
      </c>
      <c r="AF48" s="35">
        <f>IF(AF9=1,'Balance sheet'!AF13,0)</f>
        <v>951590.13092785887</v>
      </c>
      <c r="AG48" s="35">
        <f>IF(AG9=1,'Balance sheet'!AG13,0)</f>
        <v>1017038.5349699383</v>
      </c>
      <c r="AH48" s="35">
        <f>IF(AH9=1,'Balance sheet'!AH13,0)</f>
        <v>1085473.5111084676</v>
      </c>
    </row>
    <row r="49" spans="1:37" s="278" customFormat="1" x14ac:dyDescent="0.2">
      <c r="A49" s="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row>
    <row r="50" spans="1:37" s="278" customFormat="1" x14ac:dyDescent="0.2">
      <c r="A50" s="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row>
    <row r="51" spans="1:37" s="278" customFormat="1" x14ac:dyDescent="0.2">
      <c r="A51" s="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row>
    <row r="52" spans="1:37" s="18" customFormat="1" ht="19" x14ac:dyDescent="0.25">
      <c r="A52" s="320"/>
      <c r="B52" s="482" t="str">
        <f>'Assumptions - General'!$E$24</f>
        <v>Ruritania Freight Rail Company</v>
      </c>
      <c r="C52" s="320"/>
      <c r="D52" s="320"/>
      <c r="E52" s="320"/>
      <c r="F52" s="320"/>
      <c r="G52" s="320"/>
      <c r="H52" s="320"/>
      <c r="I52" s="320"/>
      <c r="J52" s="320"/>
      <c r="K52" s="320"/>
      <c r="L52" s="320"/>
      <c r="M52" s="320"/>
      <c r="N52" s="320"/>
      <c r="O52" s="320"/>
      <c r="P52" s="320"/>
      <c r="Q52" s="320"/>
      <c r="R52" s="320"/>
      <c r="S52" s="320"/>
      <c r="T52" s="320"/>
      <c r="U52" s="320"/>
      <c r="V52" s="320"/>
      <c r="W52" s="320"/>
      <c r="X52" s="320"/>
      <c r="Y52" s="320"/>
      <c r="Z52" s="320"/>
      <c r="AA52" s="320"/>
      <c r="AB52" s="320"/>
      <c r="AC52" s="320"/>
      <c r="AD52" s="320"/>
      <c r="AE52" s="320"/>
      <c r="AF52" s="320"/>
      <c r="AG52" s="320"/>
      <c r="AH52" s="320"/>
    </row>
    <row r="53" spans="1:37" s="18" customFormat="1" x14ac:dyDescent="0.2">
      <c r="A53" s="320"/>
      <c r="B53" s="321"/>
      <c r="C53" s="322"/>
      <c r="D53" s="320"/>
      <c r="E53" s="320"/>
      <c r="F53" s="320"/>
      <c r="G53" s="320"/>
      <c r="H53" s="320"/>
      <c r="I53" s="320"/>
      <c r="J53" s="320"/>
      <c r="K53" s="320"/>
      <c r="L53" s="320"/>
      <c r="M53" s="320"/>
      <c r="N53" s="320"/>
      <c r="O53" s="320"/>
      <c r="P53" s="320"/>
      <c r="Q53" s="320"/>
      <c r="R53" s="320"/>
      <c r="S53" s="320"/>
      <c r="T53" s="320"/>
      <c r="U53" s="320"/>
      <c r="V53" s="320"/>
      <c r="W53" s="320"/>
      <c r="X53" s="320"/>
      <c r="Y53" s="320"/>
      <c r="Z53" s="320"/>
      <c r="AA53" s="320"/>
      <c r="AB53" s="320"/>
      <c r="AC53" s="320"/>
      <c r="AD53" s="320"/>
      <c r="AE53" s="320"/>
      <c r="AF53" s="320"/>
      <c r="AG53" s="320"/>
      <c r="AH53" s="320"/>
    </row>
    <row r="54" spans="1:37" s="20" customFormat="1" hidden="1" x14ac:dyDescent="0.2">
      <c r="A54" s="320"/>
      <c r="B54" s="7" t="s">
        <v>226</v>
      </c>
      <c r="C54" s="8"/>
      <c r="D54" s="8"/>
      <c r="E54" s="29">
        <f>Calculations!E16</f>
        <v>1</v>
      </c>
      <c r="F54" s="29">
        <f>Calculations!F16</f>
        <v>1</v>
      </c>
      <c r="G54" s="29">
        <f>Calculations!G16</f>
        <v>1</v>
      </c>
      <c r="H54" s="29">
        <f>Calculations!H16</f>
        <v>1</v>
      </c>
      <c r="I54" s="29">
        <f>Calculations!I16</f>
        <v>1</v>
      </c>
      <c r="J54" s="29">
        <f>Calculations!J16</f>
        <v>1</v>
      </c>
      <c r="K54" s="29">
        <f>Calculations!K16</f>
        <v>1</v>
      </c>
      <c r="L54" s="29">
        <f>Calculations!L16</f>
        <v>1</v>
      </c>
      <c r="M54" s="29">
        <f>Calculations!M16</f>
        <v>1</v>
      </c>
      <c r="N54" s="29">
        <f>Calculations!N16</f>
        <v>1</v>
      </c>
      <c r="O54" s="29">
        <f>Calculations!O16</f>
        <v>1</v>
      </c>
      <c r="P54" s="29">
        <f>Calculations!P16</f>
        <v>1</v>
      </c>
      <c r="Q54" s="29">
        <f>Calculations!Q16</f>
        <v>1</v>
      </c>
      <c r="R54" s="29">
        <f>Calculations!R16</f>
        <v>1</v>
      </c>
      <c r="S54" s="29">
        <f>Calculations!S16</f>
        <v>1</v>
      </c>
      <c r="T54" s="29">
        <f>Calculations!T16</f>
        <v>1</v>
      </c>
      <c r="U54" s="29">
        <f>Calculations!U16</f>
        <v>1</v>
      </c>
      <c r="V54" s="29">
        <f>Calculations!V16</f>
        <v>1</v>
      </c>
      <c r="W54" s="29">
        <f>Calculations!W16</f>
        <v>1</v>
      </c>
      <c r="X54" s="29">
        <f>Calculations!X16</f>
        <v>1</v>
      </c>
      <c r="Y54" s="29">
        <f>Calculations!Y16</f>
        <v>1</v>
      </c>
      <c r="Z54" s="29">
        <f>Calculations!Z16</f>
        <v>1</v>
      </c>
      <c r="AA54" s="29">
        <f>Calculations!AA16</f>
        <v>1</v>
      </c>
      <c r="AB54" s="29">
        <f>Calculations!AB16</f>
        <v>1</v>
      </c>
      <c r="AC54" s="29">
        <f>Calculations!AC16</f>
        <v>1</v>
      </c>
      <c r="AD54" s="29">
        <f>Calculations!AD16</f>
        <v>1</v>
      </c>
      <c r="AE54" s="29">
        <f>Calculations!AE16</f>
        <v>1</v>
      </c>
      <c r="AF54" s="29">
        <f>Calculations!AF16</f>
        <v>1</v>
      </c>
      <c r="AG54" s="29">
        <f>Calculations!AG16</f>
        <v>1</v>
      </c>
      <c r="AH54" s="29">
        <f>Calculations!AH16</f>
        <v>1</v>
      </c>
    </row>
    <row r="55" spans="1:37" s="278" customFormat="1" x14ac:dyDescent="0.2">
      <c r="A55" s="320"/>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row>
    <row r="56" spans="1:37" s="20" customFormat="1" x14ac:dyDescent="0.2">
      <c r="A56" s="320"/>
      <c r="B56" s="19" t="s">
        <v>100</v>
      </c>
    </row>
    <row r="57" spans="1:37" s="277" customFormat="1" x14ac:dyDescent="0.2">
      <c r="A57" s="320"/>
      <c r="B57" s="25" t="s">
        <v>102</v>
      </c>
      <c r="C57" s="24"/>
      <c r="D57" s="24"/>
      <c r="E57" s="35">
        <v>0</v>
      </c>
      <c r="F57" s="35">
        <f>IF(F54=1,'Income statement'!F83,0)</f>
        <v>16398.503756097562</v>
      </c>
      <c r="G57" s="35">
        <f>IF(G54=1,'Income statement'!G83,0)</f>
        <v>16934.650108831229</v>
      </c>
      <c r="H57" s="35">
        <f>IF(H54=1,'Income statement'!H83,0)</f>
        <v>17408.716575931285</v>
      </c>
      <c r="I57" s="35">
        <f>IF(I54=1,'Income statement'!I83,0)</f>
        <v>17975.73370741844</v>
      </c>
      <c r="J57" s="35">
        <f>IF(J54=1,'Income statement'!J83,0)</f>
        <v>18671.027798976676</v>
      </c>
      <c r="K57" s="35">
        <f>IF(K54=1,'Income statement'!K83,0)</f>
        <v>21885.75129201691</v>
      </c>
      <c r="L57" s="35">
        <f>IF(L54=1,'Income statement'!L83,0)</f>
        <v>22732.329536299705</v>
      </c>
      <c r="M57" s="35">
        <f>IF(M54=1,'Income statement'!M83,0)</f>
        <v>23621.09488976431</v>
      </c>
      <c r="N57" s="35">
        <f>IF(N54=1,'Income statement'!N83,0)</f>
        <v>24536.178962854865</v>
      </c>
      <c r="O57" s="35">
        <f>IF(O54=1,'Income statement'!O83,0)</f>
        <v>25149.430265943956</v>
      </c>
      <c r="P57" s="35">
        <f>IF(P54=1,'Income statement'!P83,0)</f>
        <v>26016.456550660572</v>
      </c>
      <c r="Q57" s="35">
        <f>IF(Q54=1,'Income statement'!Q83,0)</f>
        <v>26931.124416550127</v>
      </c>
      <c r="R57" s="35">
        <f>IF(R54=1,'Income statement'!R83,0)</f>
        <v>27873.892480266215</v>
      </c>
      <c r="S57" s="35">
        <f>IF(S54=1,'Income statement'!S83,0)</f>
        <v>28845.586078833745</v>
      </c>
      <c r="T57" s="35">
        <f>IF(T54=1,'Income statement'!T83,0)</f>
        <v>29847.054613394546</v>
      </c>
      <c r="U57" s="35">
        <f>IF(U54=1,'Income statement'!U83,0)</f>
        <v>30887.053498369169</v>
      </c>
      <c r="V57" s="35">
        <f>IF(V54=1,'Income statement'!V83,0)</f>
        <v>31959.42149335982</v>
      </c>
      <c r="W57" s="35">
        <f>IF(W54=1,'Income statement'!W83,0)</f>
        <v>33066.73024980435</v>
      </c>
      <c r="X57" s="35">
        <f>IF(X54=1,'Income statement'!X83,0)</f>
        <v>34196.165384359992</v>
      </c>
      <c r="Y57" s="35">
        <f>IF(Y54=1,'Income statement'!Y83,0)</f>
        <v>35360.009462233807</v>
      </c>
      <c r="Z57" s="35">
        <f>IF(Z54=1,'Income statement'!Z83,0)</f>
        <v>36560.831693052154</v>
      </c>
      <c r="AA57" s="35">
        <f>IF(AA54=1,'Income statement'!AA83,0)</f>
        <v>37796.540878254134</v>
      </c>
      <c r="AB57" s="35">
        <f>IF(AB54=1,'Income statement'!AB83,0)</f>
        <v>39069.775636810737</v>
      </c>
      <c r="AC57" s="35">
        <f>IF(AC54=1,'Income statement'!AC83,0)</f>
        <v>40381.636031771588</v>
      </c>
      <c r="AD57" s="35">
        <f>IF(AD54=1,'Income statement'!AD83,0)</f>
        <v>41733.254192413115</v>
      </c>
      <c r="AE57" s="35">
        <f>IF(AE54=1,'Income statement'!AE83,0)</f>
        <v>43125.795248651106</v>
      </c>
      <c r="AF57" s="35">
        <f>IF(AF54=1,'Income statement'!AF83,0)</f>
        <v>44560.458292809715</v>
      </c>
      <c r="AG57" s="35">
        <f>IF(AG54=1,'Income statement'!AG83,0)</f>
        <v>46038.477369527012</v>
      </c>
      <c r="AH57" s="35">
        <f>IF(AH54=1,'Income statement'!AH83,0)</f>
        <v>47561.122494605428</v>
      </c>
      <c r="AI57" s="405"/>
      <c r="AJ57" s="405"/>
      <c r="AK57" s="405"/>
    </row>
    <row r="58" spans="1:37" s="277" customFormat="1" x14ac:dyDescent="0.2">
      <c r="A58" s="320"/>
      <c r="B58" s="25" t="s">
        <v>664</v>
      </c>
      <c r="C58" s="24"/>
      <c r="D58" s="24"/>
      <c r="E58" s="35">
        <v>0</v>
      </c>
      <c r="F58" s="35">
        <f>IF(F54,'Income statement'!F80+Calculations!F321,0)</f>
        <v>12.849999999999998</v>
      </c>
      <c r="G58" s="35">
        <f>IF(G54,'Income statement'!G80+Calculations!G321,0)</f>
        <v>16.436749999999989</v>
      </c>
      <c r="H58" s="35">
        <f>IF(H54,'Income statement'!H80+Calculations!H321,0)</f>
        <v>19.229249999999979</v>
      </c>
      <c r="I58" s="35">
        <f>IF(I54,'Income statement'!I80+Calculations!I321,0)</f>
        <v>23.421875</v>
      </c>
      <c r="J58" s="35">
        <f>IF(J54,'Income statement'!J80+Calculations!J321,0)</f>
        <v>27.439000000000078</v>
      </c>
      <c r="K58" s="35">
        <f>IF(K54,'Income statement'!K80+Calculations!K321,0)</f>
        <v>31.326749999999947</v>
      </c>
      <c r="L58" s="35">
        <f>IF(L54,'Income statement'!L80+Calculations!L321,0)</f>
        <v>32.479374999999891</v>
      </c>
      <c r="M58" s="35">
        <f>IF(M54,'Income statement'!M80+Calculations!M321,0)</f>
        <v>31.020625000000109</v>
      </c>
      <c r="N58" s="35">
        <f>IF(N54,'Income statement'!N80+Calculations!N321,0)</f>
        <v>29.410624999999982</v>
      </c>
      <c r="O58" s="35">
        <f>IF(O54,'Income statement'!O80+Calculations!O321,0)</f>
        <v>26.21875</v>
      </c>
      <c r="P58" s="35">
        <f>IF(P54,'Income statement'!P80+Calculations!P321,0)</f>
        <v>25.25</v>
      </c>
      <c r="Q58" s="35">
        <f>IF(Q54,'Income statement'!Q80+Calculations!Q321,0)</f>
        <v>25.25</v>
      </c>
      <c r="R58" s="35">
        <f>IF(R54,'Income statement'!R80+Calculations!R321,0)</f>
        <v>25.25</v>
      </c>
      <c r="S58" s="35">
        <f>IF(S54,'Income statement'!S80+Calculations!S321,0)</f>
        <v>25.25</v>
      </c>
      <c r="T58" s="35">
        <f>IF(T54,'Income statement'!T80+Calculations!T321,0)</f>
        <v>25.25</v>
      </c>
      <c r="U58" s="35">
        <f>IF(U54,'Income statement'!U80+Calculations!U321,0)</f>
        <v>13.125</v>
      </c>
      <c r="V58" s="35">
        <f>IF(V54,'Income statement'!V80+Calculations!V321,0)</f>
        <v>1</v>
      </c>
      <c r="W58" s="35">
        <f>IF(W54,'Income statement'!W80+Calculations!W321,0)</f>
        <v>1</v>
      </c>
      <c r="X58" s="35">
        <f>IF(X54,'Income statement'!X80+Calculations!X321,0)</f>
        <v>1</v>
      </c>
      <c r="Y58" s="35">
        <f>IF(Y54,'Income statement'!Y80+Calculations!Y321,0)</f>
        <v>1</v>
      </c>
      <c r="Z58" s="35">
        <f>IF(Z54,'Income statement'!Z80+Calculations!Z321,0)</f>
        <v>1</v>
      </c>
      <c r="AA58" s="35">
        <f>IF(AA54,'Income statement'!AA80+Calculations!AA321,0)</f>
        <v>1</v>
      </c>
      <c r="AB58" s="35">
        <f>IF(AB54,'Income statement'!AB80+Calculations!AB321,0)</f>
        <v>1</v>
      </c>
      <c r="AC58" s="35">
        <f>IF(AC54,'Income statement'!AC80+Calculations!AC321,0)</f>
        <v>1</v>
      </c>
      <c r="AD58" s="35">
        <f>IF(AD54,'Income statement'!AD80+Calculations!AD321,0)</f>
        <v>1</v>
      </c>
      <c r="AE58" s="35">
        <f>IF(AE54,'Income statement'!AE80+Calculations!AE321,0)</f>
        <v>1</v>
      </c>
      <c r="AF58" s="35">
        <f>IF(AF54,'Income statement'!AF80+Calculations!AF321,0)</f>
        <v>1</v>
      </c>
      <c r="AG58" s="35">
        <f>IF(AG54,'Income statement'!AG80+Calculations!AG321,0)</f>
        <v>1</v>
      </c>
      <c r="AH58" s="35">
        <f>IF(AH54,'Income statement'!AH80+Calculations!AH321,0)</f>
        <v>1</v>
      </c>
      <c r="AI58" s="405"/>
      <c r="AJ58" s="405"/>
      <c r="AK58" s="405"/>
    </row>
    <row r="59" spans="1:37" s="277" customFormat="1" x14ac:dyDescent="0.2">
      <c r="A59" s="320"/>
      <c r="B59" s="504" t="s">
        <v>699</v>
      </c>
      <c r="E59" s="405">
        <v>0</v>
      </c>
      <c r="F59" s="405">
        <f>Calculations!F277-Calculations!F248</f>
        <v>0</v>
      </c>
      <c r="G59" s="405">
        <f>Calculations!G277-Calculations!G248</f>
        <v>0</v>
      </c>
      <c r="H59" s="405">
        <f>Calculations!H277-Calculations!H248</f>
        <v>0</v>
      </c>
      <c r="I59" s="405">
        <f>Calculations!I277-Calculations!I248</f>
        <v>0</v>
      </c>
      <c r="J59" s="405">
        <f>Calculations!J277-Calculations!J248</f>
        <v>0</v>
      </c>
      <c r="K59" s="405">
        <f>Calculations!K277-Calculations!K248</f>
        <v>0</v>
      </c>
      <c r="L59" s="405">
        <f>Calculations!L277-Calculations!L248</f>
        <v>0</v>
      </c>
      <c r="M59" s="405">
        <f>Calculations!M277-Calculations!M248</f>
        <v>0</v>
      </c>
      <c r="N59" s="405">
        <f>Calculations!N277-Calculations!N248</f>
        <v>0</v>
      </c>
      <c r="O59" s="405">
        <f>Calculations!O277-Calculations!O248</f>
        <v>0</v>
      </c>
      <c r="P59" s="405">
        <f>Calculations!P277-Calculations!P248</f>
        <v>0</v>
      </c>
      <c r="Q59" s="405">
        <f>Calculations!Q277-Calculations!Q248</f>
        <v>0</v>
      </c>
      <c r="R59" s="405">
        <f>Calculations!R277-Calculations!R248</f>
        <v>0</v>
      </c>
      <c r="S59" s="405">
        <f>Calculations!S277-Calculations!S248</f>
        <v>0</v>
      </c>
      <c r="T59" s="405">
        <f>Calculations!T277-Calculations!T248</f>
        <v>0</v>
      </c>
      <c r="U59" s="405">
        <f>Calculations!U277-Calculations!U248</f>
        <v>0</v>
      </c>
      <c r="V59" s="405">
        <f>Calculations!V277-Calculations!V248</f>
        <v>0</v>
      </c>
      <c r="W59" s="405">
        <f>Calculations!W277-Calculations!W248</f>
        <v>0</v>
      </c>
      <c r="X59" s="405">
        <f>Calculations!X277-Calculations!X248</f>
        <v>0</v>
      </c>
      <c r="Y59" s="405">
        <f>Calculations!Y277-Calculations!Y248</f>
        <v>0</v>
      </c>
      <c r="Z59" s="405">
        <f>Calculations!Z277-Calculations!Z248</f>
        <v>0</v>
      </c>
      <c r="AA59" s="405">
        <f>Calculations!AA277-Calculations!AA248</f>
        <v>0</v>
      </c>
      <c r="AB59" s="405">
        <f>Calculations!AB277-Calculations!AB248</f>
        <v>0</v>
      </c>
      <c r="AC59" s="405">
        <f>Calculations!AC277-Calculations!AC248</f>
        <v>0</v>
      </c>
      <c r="AD59" s="405">
        <f>Calculations!AD277-Calculations!AD248</f>
        <v>0</v>
      </c>
      <c r="AE59" s="405">
        <f>Calculations!AE277-Calculations!AE248</f>
        <v>0</v>
      </c>
      <c r="AF59" s="405">
        <f>Calculations!AF277-Calculations!AF248</f>
        <v>0</v>
      </c>
      <c r="AG59" s="405">
        <f>Calculations!AG277-Calculations!AG248</f>
        <v>0</v>
      </c>
      <c r="AH59" s="405">
        <f>Calculations!AH277-Calculations!AH248</f>
        <v>0</v>
      </c>
      <c r="AI59" s="405"/>
      <c r="AJ59" s="405"/>
      <c r="AK59" s="405"/>
    </row>
    <row r="60" spans="1:37" s="277" customFormat="1" x14ac:dyDescent="0.2">
      <c r="A60" s="320"/>
      <c r="B60" s="23" t="s">
        <v>103</v>
      </c>
      <c r="C60" s="24"/>
      <c r="D60" s="24"/>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405"/>
      <c r="AJ60" s="405"/>
      <c r="AK60" s="405"/>
    </row>
    <row r="61" spans="1:37" s="277" customFormat="1" x14ac:dyDescent="0.2">
      <c r="A61" s="320"/>
      <c r="B61" s="25" t="s">
        <v>94</v>
      </c>
      <c r="C61" s="24"/>
      <c r="D61" s="24"/>
      <c r="E61" s="35">
        <v>0</v>
      </c>
      <c r="F61" s="35">
        <f>IF(F54=1,'Income statement'!F76,0)</f>
        <v>62</v>
      </c>
      <c r="G61" s="35">
        <f>IF(G54=1,'Income statement'!G76,0)</f>
        <v>74.86482334869433</v>
      </c>
      <c r="H61" s="35">
        <f>IF(H54=1,'Income statement'!H76,0)</f>
        <v>83.111367127496166</v>
      </c>
      <c r="I61" s="35">
        <f>IF(I54=1,'Income statement'!I76,0)</f>
        <v>91.357910906297988</v>
      </c>
      <c r="J61" s="35">
        <f>IF(J54=1,'Income statement'!J76,0)</f>
        <v>99.604454685099853</v>
      </c>
      <c r="K61" s="35">
        <f>IF(K54=1,'Income statement'!K76,0)</f>
        <v>107.8509984639017</v>
      </c>
      <c r="L61" s="35">
        <f>IF(L54=1,'Income statement'!L76,0)</f>
        <v>101.09754224270353</v>
      </c>
      <c r="M61" s="35">
        <f>IF(M54=1,'Income statement'!M76,0)</f>
        <v>108.37980030721967</v>
      </c>
      <c r="N61" s="35">
        <f>IF(N54=1,'Income statement'!N76,0)</f>
        <v>117.09062980030723</v>
      </c>
      <c r="O61" s="35">
        <f>IF(O54=1,'Income statement'!O76,0)</f>
        <v>125.80145929339477</v>
      </c>
      <c r="P61" s="35">
        <f>IF(P54=1,'Income statement'!P76,0)</f>
        <v>134.51228878648232</v>
      </c>
      <c r="Q61" s="35">
        <f>IF(Q54=1,'Income statement'!Q76,0)</f>
        <v>143.22311827956992</v>
      </c>
      <c r="R61" s="35">
        <f>IF(R54=1,'Income statement'!R76,0)</f>
        <v>151.93394777265746</v>
      </c>
      <c r="S61" s="35">
        <f>IF(S54=1,'Income statement'!S76,0)</f>
        <v>160.64477726574498</v>
      </c>
      <c r="T61" s="35">
        <f>IF(T54=1,'Income statement'!T76,0)</f>
        <v>169.35560675883258</v>
      </c>
      <c r="U61" s="35">
        <f>IF(U54=1,'Income statement'!U76,0)</f>
        <v>178.06643625192015</v>
      </c>
      <c r="V61" s="35">
        <f>IF(V54=1,'Income statement'!V76,0)</f>
        <v>177.63978494623655</v>
      </c>
      <c r="W61" s="35">
        <f>IF(W54=1,'Income statement'!W76,0)</f>
        <v>168.5940860215054</v>
      </c>
      <c r="X61" s="35">
        <f>IF(X54=1,'Income statement'!X76,0)</f>
        <v>177.54838709677418</v>
      </c>
      <c r="Y61" s="35">
        <f>IF(Y54=1,'Income statement'!Y76,0)</f>
        <v>186.50268817204298</v>
      </c>
      <c r="Z61" s="35">
        <f>IF(Z54=1,'Income statement'!Z76,0)</f>
        <v>192.95698924731184</v>
      </c>
      <c r="AA61" s="35">
        <f>IF(AA54=1,'Income statement'!AA76,0)</f>
        <v>201.91129032258067</v>
      </c>
      <c r="AB61" s="35">
        <f>IF(AB54=1,'Income statement'!AB76,0)</f>
        <v>210.86559139784947</v>
      </c>
      <c r="AC61" s="35">
        <f>IF(AC54=1,'Income statement'!AC76,0)</f>
        <v>219.81989247311827</v>
      </c>
      <c r="AD61" s="35">
        <f>IF(AD54=1,'Income statement'!AD76,0)</f>
        <v>228.7741935483871</v>
      </c>
      <c r="AE61" s="35">
        <f>IF(AE54=1,'Income statement'!AE76,0)</f>
        <v>237.72849462365591</v>
      </c>
      <c r="AF61" s="35">
        <f>IF(AF54=1,'Income statement'!AF76,0)</f>
        <v>246.68279569892474</v>
      </c>
      <c r="AG61" s="35">
        <f>IF(AG54=1,'Income statement'!AG76,0)</f>
        <v>255.63709677419357</v>
      </c>
      <c r="AH61" s="35">
        <f>IF(AH54=1,'Income statement'!AH76,0)</f>
        <v>264.5913978494624</v>
      </c>
      <c r="AI61" s="405"/>
      <c r="AJ61" s="405"/>
      <c r="AK61" s="405"/>
    </row>
    <row r="62" spans="1:37" s="277" customFormat="1" x14ac:dyDescent="0.2">
      <c r="A62" s="320"/>
      <c r="B62" s="25" t="s">
        <v>611</v>
      </c>
      <c r="C62" s="24"/>
      <c r="D62" s="24"/>
      <c r="E62" s="35">
        <v>0</v>
      </c>
      <c r="F62" s="35">
        <f>IF(F54=1,Calculations!F256,0)</f>
        <v>2.48</v>
      </c>
      <c r="G62" s="35">
        <f>IF(G54=1,Calculations!G256,0)</f>
        <v>3.5145725834897883</v>
      </c>
      <c r="H62" s="35">
        <f>IF(H54=1,Calculations!H256,0)</f>
        <v>3.8305909231502353</v>
      </c>
      <c r="I62" s="35">
        <f>IF(I54=1,Calculations!I256,0)</f>
        <v>4.1606137600309614</v>
      </c>
      <c r="J62" s="35">
        <f>IF(J54=1,Calculations!J256,0)</f>
        <v>4.5031966187950427</v>
      </c>
      <c r="K62" s="35">
        <f>IF(K54=1,Calculations!K256,0)</f>
        <v>4.8582163490764172</v>
      </c>
      <c r="L62" s="35">
        <f>IF(L54=1,Calculations!L256,0)</f>
        <v>4.6258545097833208</v>
      </c>
      <c r="M62" s="35">
        <f>IF(M54=1,Calculations!M256,0)</f>
        <v>4.9656475422793864</v>
      </c>
      <c r="N62" s="35">
        <f>IF(N54=1,Calculations!N256,0)</f>
        <v>5.3759564060824481</v>
      </c>
      <c r="O62" s="35">
        <f>IF(O54=1,Calculations!O256,0)</f>
        <v>5.79985701465327</v>
      </c>
      <c r="P62" s="35">
        <f>IF(P54=1,Calculations!P256,0)</f>
        <v>6.2376434526647886</v>
      </c>
      <c r="Q62" s="35">
        <f>IF(Q54=1,Calculations!Q256,0)</f>
        <v>6.6896576145081612</v>
      </c>
      <c r="R62" s="35">
        <f>IF(R54=1,Calculations!R256,0)</f>
        <v>7.1562751363319146</v>
      </c>
      <c r="S62" s="35">
        <f>IF(S54=1,Calculations!S256,0)</f>
        <v>7.6378977754211697</v>
      </c>
      <c r="T62" s="35">
        <f>IF(T54=1,Calculations!T256,0)</f>
        <v>8.1349491183758147</v>
      </c>
      <c r="U62" s="35">
        <f>IF(U54=1,Calculations!U256,0)</f>
        <v>8.6478721148744118</v>
      </c>
      <c r="V62" s="35">
        <f>IF(V54=1,Calculations!V256,0)</f>
        <v>8.8098791301024324</v>
      </c>
      <c r="W62" s="35">
        <f>IF(W54=1,Calculations!W256,0)</f>
        <v>8.6399453563639064</v>
      </c>
      <c r="X62" s="35">
        <f>IF(X54=1,Calculations!X256,0)</f>
        <v>9.206709999965808</v>
      </c>
      <c r="Y62" s="35">
        <f>IF(Y54=1,Calculations!Y256,0)</f>
        <v>9.7906344545065043</v>
      </c>
      <c r="Z62" s="35">
        <f>IF(Z54=1,Calculations!Z256,0)</f>
        <v>10.292201200173249</v>
      </c>
      <c r="AA62" s="35">
        <f>IF(AA54=1,Calculations!AA256,0)</f>
        <v>10.911912778364274</v>
      </c>
      <c r="AB62" s="35">
        <f>IF(AB54=1,Calculations!AB256,0)</f>
        <v>11.550291172155207</v>
      </c>
      <c r="AC62" s="35">
        <f>IF(AC54=1,Calculations!AC256,0)</f>
        <v>12.207877475809065</v>
      </c>
      <c r="AD62" s="35">
        <f>IF(AD54=1,Calculations!AD256,0)</f>
        <v>12.885231774894047</v>
      </c>
      <c r="AE62" s="35">
        <f>IF(AE54=1,Calculations!AE256,0)</f>
        <v>13.582933183373807</v>
      </c>
      <c r="AF62" s="35">
        <f>IF(AF54=1,Calculations!AF256,0)</f>
        <v>14.301580000399996</v>
      </c>
      <c r="AG62" s="35">
        <f>IF(AG54=1,Calculations!AG256,0)</f>
        <v>15.041789960540127</v>
      </c>
      <c r="AH62" s="35">
        <f>IF(AH54=1,Calculations!AH256,0)</f>
        <v>15.804200558700584</v>
      </c>
      <c r="AI62" s="405"/>
      <c r="AJ62" s="405"/>
      <c r="AK62" s="405"/>
    </row>
    <row r="63" spans="1:37" s="277" customFormat="1" x14ac:dyDescent="0.2">
      <c r="A63" s="320"/>
      <c r="B63" s="23" t="s">
        <v>104</v>
      </c>
      <c r="C63" s="24"/>
      <c r="D63" s="24"/>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405"/>
      <c r="AJ63" s="405"/>
      <c r="AK63" s="405"/>
    </row>
    <row r="64" spans="1:37" s="277" customFormat="1" x14ac:dyDescent="0.2">
      <c r="A64" s="320"/>
      <c r="B64" s="25" t="s">
        <v>71</v>
      </c>
      <c r="C64" s="24"/>
      <c r="D64" s="24"/>
      <c r="E64" s="35">
        <v>0</v>
      </c>
      <c r="F64" s="35">
        <f>IF(F54=1,'Balance sheet'!F59-'Balance sheet'!E59,0)</f>
        <v>12.423799073397277</v>
      </c>
      <c r="G64" s="35">
        <f>IF(G54=1,'Balance sheet'!G59-'Balance sheet'!F59,0)</f>
        <v>138.2072713972193</v>
      </c>
      <c r="H64" s="35">
        <f>IF(H54=1,'Balance sheet'!H59-'Balance sheet'!G59,0)</f>
        <v>142.18218156839794</v>
      </c>
      <c r="I64" s="35">
        <f>IF(I54=1,'Balance sheet'!I59-'Balance sheet'!H59,0)</f>
        <v>146.27333647718297</v>
      </c>
      <c r="J64" s="35">
        <f>IF(J54=1,'Balance sheet'!J59-'Balance sheet'!I59,0)</f>
        <v>150.48415861456942</v>
      </c>
      <c r="K64" s="35">
        <f>IF(K54=1,'Balance sheet'!K59-'Balance sheet'!J59,0)</f>
        <v>872.68481059224905</v>
      </c>
      <c r="L64" s="35">
        <f>IF(L54=1,'Balance sheet'!L59-'Balance sheet'!K59,0)</f>
        <v>179.18341896240145</v>
      </c>
      <c r="M64" s="35">
        <f>IF(M54=1,'Balance sheet'!M59-'Balance sheet'!L59,0)</f>
        <v>184.34856274756021</v>
      </c>
      <c r="N64" s="35">
        <f>IF(N54=1,'Balance sheet'!N59-'Balance sheet'!M59,0)</f>
        <v>189.66489962661399</v>
      </c>
      <c r="O64" s="35">
        <f>IF(O54=1,'Balance sheet'!O59-'Balance sheet'!N59,0)</f>
        <v>195.13688291381095</v>
      </c>
      <c r="P64" s="35">
        <f>IF(P54=1,'Balance sheet'!P59-'Balance sheet'!O59,0)</f>
        <v>200.76909746427827</v>
      </c>
      <c r="Q64" s="35">
        <f>IF(Q54=1,'Balance sheet'!Q59-'Balance sheet'!P59,0)</f>
        <v>206.56626356546076</v>
      </c>
      <c r="R64" s="35">
        <f>IF(R54=1,'Balance sheet'!R59-'Balance sheet'!Q59,0)</f>
        <v>212.53324094383515</v>
      </c>
      <c r="S64" s="35">
        <f>IF(S54=1,'Balance sheet'!S59-'Balance sheet'!R59,0)</f>
        <v>218.67503289028355</v>
      </c>
      <c r="T64" s="35">
        <f>IF(T54=1,'Balance sheet'!T59-'Balance sheet'!S59,0)</f>
        <v>224.99679050761733</v>
      </c>
      <c r="U64" s="35">
        <f>IF(U54=1,'Balance sheet'!U59-'Balance sheet'!T59,0)</f>
        <v>231.50381708397435</v>
      </c>
      <c r="V64" s="35">
        <f>IF(V54=1,'Balance sheet'!V59-'Balance sheet'!U59,0)</f>
        <v>238.2015725956262</v>
      </c>
      <c r="W64" s="35">
        <f>IF(W54=1,'Balance sheet'!W59-'Balance sheet'!V59,0)</f>
        <v>245.09567834327936</v>
      </c>
      <c r="X64" s="35">
        <f>IF(X54=1,'Balance sheet'!X59-'Balance sheet'!W59,0)</f>
        <v>252.19192172561816</v>
      </c>
      <c r="Y64" s="35">
        <f>IF(Y54=1,'Balance sheet'!Y59-'Balance sheet'!X59,0)</f>
        <v>259.49626115425235</v>
      </c>
      <c r="Z64" s="35">
        <f>IF(Z54=1,'Balance sheet'!Z59-'Balance sheet'!Y59,0)</f>
        <v>267.01483111429843</v>
      </c>
      <c r="AA64" s="35">
        <f>IF(AA54=1,'Balance sheet'!AA59-'Balance sheet'!Z59,0)</f>
        <v>274.75394737477836</v>
      </c>
      <c r="AB64" s="35">
        <f>IF(AB54=1,'Balance sheet'!AB59-'Balance sheet'!AA59,0)</f>
        <v>282.7201123534287</v>
      </c>
      <c r="AC64" s="35">
        <f>IF(AC54=1,'Balance sheet'!AC59-'Balance sheet'!AB59,0)</f>
        <v>290.9200206404148</v>
      </c>
      <c r="AD64" s="35">
        <f>IF(AD54=1,'Balance sheet'!AD59-'Balance sheet'!AC59,0)</f>
        <v>299.36056468564857</v>
      </c>
      <c r="AE64" s="35">
        <f>IF(AE54=1,'Balance sheet'!AE59-'Balance sheet'!AD59,0)</f>
        <v>308.04884065463011</v>
      </c>
      <c r="AF64" s="35">
        <f>IF(AF54=1,'Balance sheet'!AF59-'Balance sheet'!AE59,0)</f>
        <v>316.99215445770824</v>
      </c>
      <c r="AG64" s="35">
        <f>IF(AG54=1,'Balance sheet'!AG59-'Balance sheet'!AF59,0)</f>
        <v>326.19802795804389</v>
      </c>
      <c r="AH64" s="35">
        <f>IF(AH54=1,'Balance sheet'!AH59-'Balance sheet'!AG59,0)</f>
        <v>335.67420536341706</v>
      </c>
      <c r="AI64" s="405"/>
      <c r="AJ64" s="405"/>
      <c r="AK64" s="405"/>
    </row>
    <row r="65" spans="1:37" s="277" customFormat="1" x14ac:dyDescent="0.2">
      <c r="A65" s="320"/>
      <c r="B65" s="25" t="s">
        <v>72</v>
      </c>
      <c r="C65" s="24"/>
      <c r="D65" s="24"/>
      <c r="E65" s="35">
        <v>0</v>
      </c>
      <c r="F65" s="35">
        <f>IF(F54=1,'Balance sheet'!F60-'Balance sheet'!E60,0)</f>
        <v>-0.51707317073169179</v>
      </c>
      <c r="G65" s="35">
        <f>IF(G54=1,'Balance sheet'!G60-'Balance sheet'!F60,0)</f>
        <v>1.9494634146341383</v>
      </c>
      <c r="H65" s="35">
        <f>IF(H54=1,'Balance sheet'!H60-'Balance sheet'!G60,0)</f>
        <v>1.97689658536585</v>
      </c>
      <c r="I65" s="35">
        <f>IF(I54=1,'Balance sheet'!I60-'Balance sheet'!H60,0)</f>
        <v>2.0042212292682962</v>
      </c>
      <c r="J65" s="35">
        <f>IF(J54=1,'Balance sheet'!J60-'Balance sheet'!I60,0)</f>
        <v>2.031406144878062</v>
      </c>
      <c r="K65" s="35">
        <f>IF(K54=1,'Balance sheet'!K60-'Balance sheet'!J60,0)</f>
        <v>15.746334926284632</v>
      </c>
      <c r="L65" s="35">
        <f>IF(L54=1,'Balance sheet'!L60-'Balance sheet'!K60,0)</f>
        <v>2.3458759142783094</v>
      </c>
      <c r="M65" s="35">
        <f>IF(M54=1,'Balance sheet'!M60-'Balance sheet'!L60,0)</f>
        <v>2.3757563449182726</v>
      </c>
      <c r="N65" s="35">
        <f>IF(N54=1,'Balance sheet'!N60-'Balance sheet'!M60,0)</f>
        <v>2.4053183130737921</v>
      </c>
      <c r="O65" s="35">
        <f>IF(O54=1,'Balance sheet'!O60-'Balance sheet'!N60,0)</f>
        <v>2.4345158186082188</v>
      </c>
      <c r="P65" s="35">
        <f>IF(P54=1,'Balance sheet'!P60-'Balance sheet'!O60,0)</f>
        <v>2.4633003879929447</v>
      </c>
      <c r="Q65" s="35">
        <f>IF(Q54=1,'Balance sheet'!Q60-'Balance sheet'!P60,0)</f>
        <v>2.4916209673040157</v>
      </c>
      <c r="R65" s="35">
        <f>IF(R54=1,'Balance sheet'!R60-'Balance sheet'!Q60,0)</f>
        <v>2.5194238110245237</v>
      </c>
      <c r="S65" s="35">
        <f>IF(S54=1,'Balance sheet'!S60-'Balance sheet'!R60,0)</f>
        <v>2.5466523664977672</v>
      </c>
      <c r="T65" s="35">
        <f>IF(T54=1,'Balance sheet'!T60-'Balance sheet'!S60,0)</f>
        <v>2.5732471538693176</v>
      </c>
      <c r="U65" s="35">
        <f>IF(U54=1,'Balance sheet'!U60-'Balance sheet'!T60,0)</f>
        <v>2.5991456413534593</v>
      </c>
      <c r="V65" s="35">
        <f>IF(V54=1,'Balance sheet'!V60-'Balance sheet'!U60,0)</f>
        <v>2.6242821156481853</v>
      </c>
      <c r="W65" s="35">
        <f>IF(W54=1,'Balance sheet'!W60-'Balance sheet'!V60,0)</f>
        <v>2.6485875473232738</v>
      </c>
      <c r="X65" s="35">
        <f>IF(X54=1,'Balance sheet'!X60-'Balance sheet'!W60,0)</f>
        <v>2.6719894509948006</v>
      </c>
      <c r="Y65" s="35">
        <f>IF(Y54=1,'Balance sheet'!Y60-'Balance sheet'!X60,0)</f>
        <v>2.6944117400940968</v>
      </c>
      <c r="Z65" s="35">
        <f>IF(Z54=1,'Balance sheet'!Z60-'Balance sheet'!Y60,0)</f>
        <v>2.7157745760333682</v>
      </c>
      <c r="AA65" s="35">
        <f>IF(AA54=1,'Balance sheet'!AA60-'Balance sheet'!Z60,0)</f>
        <v>2.7359942115630247</v>
      </c>
      <c r="AB65" s="35">
        <f>IF(AB54=1,'Balance sheet'!AB60-'Balance sheet'!AA60,0)</f>
        <v>2.7549828281058808</v>
      </c>
      <c r="AC65" s="35">
        <f>IF(AC54=1,'Balance sheet'!AC60-'Balance sheet'!AB60,0)</f>
        <v>2.7726483668510582</v>
      </c>
      <c r="AD65" s="35">
        <f>IF(AD54=1,'Balance sheet'!AD60-'Balance sheet'!AC60,0)</f>
        <v>2.7888943533755537</v>
      </c>
      <c r="AE65" s="35">
        <f>IF(AE54=1,'Balance sheet'!AE60-'Balance sheet'!AD60,0)</f>
        <v>2.803619715561382</v>
      </c>
      <c r="AF65" s="35">
        <f>IF(AF54=1,'Balance sheet'!AF60-'Balance sheet'!AE60,0)</f>
        <v>2.8167185945602853</v>
      </c>
      <c r="AG65" s="35">
        <f>IF(AG54=1,'Balance sheet'!AG60-'Balance sheet'!AF60,0)</f>
        <v>2.8280801485551876</v>
      </c>
      <c r="AH65" s="35">
        <f>IF(AH54=1,'Balance sheet'!AH60-'Balance sheet'!AG60,0)</f>
        <v>2.8375883490546414</v>
      </c>
      <c r="AI65" s="405"/>
      <c r="AJ65" s="405"/>
      <c r="AK65" s="405"/>
    </row>
    <row r="66" spans="1:37" s="277" customFormat="1" x14ac:dyDescent="0.2">
      <c r="A66" s="320"/>
      <c r="B66" s="25" t="s">
        <v>288</v>
      </c>
      <c r="C66" s="24"/>
      <c r="D66" s="24"/>
      <c r="E66" s="35">
        <v>0</v>
      </c>
      <c r="F66" s="35">
        <f>IF(F54=1,'Balance sheet'!F61-'Balance sheet'!E61,0)</f>
        <v>0.9166666666666714</v>
      </c>
      <c r="G66" s="35">
        <f>IF(G54=1,'Balance sheet'!G61-'Balance sheet'!F61,0)</f>
        <v>0.94416666666667481</v>
      </c>
      <c r="H66" s="35">
        <f>IF(H54=1,'Balance sheet'!H61-'Balance sheet'!G61,0)</f>
        <v>0.97249166666665587</v>
      </c>
      <c r="I66" s="35">
        <f>IF(I54=1,'Balance sheet'!I61-'Balance sheet'!H61,0)</f>
        <v>1.0016664166666658</v>
      </c>
      <c r="J66" s="35">
        <f>IF(J54=1,'Balance sheet'!J61-'Balance sheet'!I61,0)</f>
        <v>1.0317164091666626</v>
      </c>
      <c r="K66" s="35">
        <f>IF(K54=1,'Balance sheet'!K61-'Balance sheet'!J61,0)</f>
        <v>1.0626679014416709</v>
      </c>
      <c r="L66" s="35">
        <f>IF(L54=1,'Balance sheet'!L61-'Balance sheet'!K61,0)</f>
        <v>1.0945479384849222</v>
      </c>
      <c r="M66" s="35">
        <f>IF(M54=1,'Balance sheet'!M61-'Balance sheet'!L61,0)</f>
        <v>1.1273843766394691</v>
      </c>
      <c r="N66" s="35">
        <f>IF(N54=1,'Balance sheet'!N61-'Balance sheet'!M61,0)</f>
        <v>1.1612059079386512</v>
      </c>
      <c r="O66" s="35">
        <f>IF(O54=1,'Balance sheet'!O61-'Balance sheet'!N61,0)</f>
        <v>1.1960420851767992</v>
      </c>
      <c r="P66" s="35">
        <f>IF(P54=1,'Balance sheet'!P61-'Balance sheet'!O61,0)</f>
        <v>1.2319233477321205</v>
      </c>
      <c r="Q66" s="35">
        <f>IF(Q54=1,'Balance sheet'!Q61-'Balance sheet'!P61,0)</f>
        <v>1.2688810481640616</v>
      </c>
      <c r="R66" s="35">
        <f>IF(R54=1,'Balance sheet'!R61-'Balance sheet'!Q61,0)</f>
        <v>1.3069474796090077</v>
      </c>
      <c r="S66" s="35">
        <f>IF(S54=1,'Balance sheet'!S61-'Balance sheet'!R61,0)</f>
        <v>1.3461559039972855</v>
      </c>
      <c r="T66" s="35">
        <f>IF(T54=1,'Balance sheet'!T61-'Balance sheet'!S61,0)</f>
        <v>1.3865405811171598</v>
      </c>
      <c r="U66" s="35">
        <f>IF(U54=1,'Balance sheet'!U61-'Balance sheet'!T61,0)</f>
        <v>1.4281367985506961</v>
      </c>
      <c r="V66" s="35">
        <f>IF(V54=1,'Balance sheet'!V61-'Balance sheet'!U61,0)</f>
        <v>1.470980902507236</v>
      </c>
      <c r="W66" s="35">
        <f>IF(W54=1,'Balance sheet'!W61-'Balance sheet'!V61,0)</f>
        <v>1.5151103295824555</v>
      </c>
      <c r="X66" s="35">
        <f>IF(X54=1,'Balance sheet'!X61-'Balance sheet'!W61,0)</f>
        <v>1.5605636394699047</v>
      </c>
      <c r="Y66" s="35">
        <f>IF(Y54=1,'Balance sheet'!Y61-'Balance sheet'!X61,0)</f>
        <v>1.6073805486540067</v>
      </c>
      <c r="Z66" s="35">
        <f>IF(Z54=1,'Balance sheet'!Z61-'Balance sheet'!Y61,0)</f>
        <v>1.6556019651136467</v>
      </c>
      <c r="AA66" s="35">
        <f>IF(AA54=1,'Balance sheet'!AA61-'Balance sheet'!Z61,0)</f>
        <v>1.7052700240670333</v>
      </c>
      <c r="AB66" s="35">
        <f>IF(AB54=1,'Balance sheet'!AB61-'Balance sheet'!AA61,0)</f>
        <v>1.7564281247890392</v>
      </c>
      <c r="AC66" s="35">
        <f>IF(AC54=1,'Balance sheet'!AC61-'Balance sheet'!AB61,0)</f>
        <v>1.8091209685327101</v>
      </c>
      <c r="AD66" s="35">
        <f>IF(AD54=1,'Balance sheet'!AD61-'Balance sheet'!AC61,0)</f>
        <v>1.8633945975886945</v>
      </c>
      <c r="AE66" s="35">
        <f>IF(AE54=1,'Balance sheet'!AE61-'Balance sheet'!AD61,0)</f>
        <v>1.9192964355164008</v>
      </c>
      <c r="AF66" s="35">
        <f>IF(AF54=1,'Balance sheet'!AF61-'Balance sheet'!AE61,0)</f>
        <v>1.9768753285818548</v>
      </c>
      <c r="AG66" s="35">
        <f>IF(AG54=1,'Balance sheet'!AG61-'Balance sheet'!AF61,0)</f>
        <v>2.0361815884393195</v>
      </c>
      <c r="AH66" s="35">
        <f>IF(AH54=1,'Balance sheet'!AH61-'Balance sheet'!AG61,0)</f>
        <v>2.0972670360924894</v>
      </c>
      <c r="AI66" s="405"/>
      <c r="AJ66" s="405"/>
      <c r="AK66" s="405"/>
    </row>
    <row r="67" spans="1:37" s="277" customFormat="1" x14ac:dyDescent="0.2">
      <c r="A67" s="320"/>
      <c r="B67" s="25" t="s">
        <v>78</v>
      </c>
      <c r="C67" s="24"/>
      <c r="D67" s="24"/>
      <c r="E67" s="35">
        <v>0</v>
      </c>
      <c r="F67" s="35">
        <f>IF(F54=1,'Balance sheet'!F72-'Balance sheet'!E72,0)</f>
        <v>15.996607101609243</v>
      </c>
      <c r="G67" s="35">
        <f>IF(G54=1,'Balance sheet'!G72-'Balance sheet'!F72,0)</f>
        <v>60.479898213047818</v>
      </c>
      <c r="H67" s="35">
        <f>IF(H54=1,'Balance sheet'!H72-'Balance sheet'!G72,0)</f>
        <v>89.438577103238003</v>
      </c>
      <c r="I67" s="35">
        <f>IF(I54=1,'Balance sheet'!I72-'Balance sheet'!H72,0)</f>
        <v>83.616526073943987</v>
      </c>
      <c r="J67" s="35">
        <f>IF(J54=1,'Balance sheet'!J72-'Balance sheet'!I72,0)</f>
        <v>67.485948254755385</v>
      </c>
      <c r="K67" s="35">
        <f>IF(K54=1,'Balance sheet'!K72-'Balance sheet'!J72,0)</f>
        <v>324.57048954410493</v>
      </c>
      <c r="L67" s="35">
        <f>IF(L54=1,'Balance sheet'!L72-'Balance sheet'!K72,0)</f>
        <v>79.247641388721149</v>
      </c>
      <c r="M67" s="35">
        <f>IF(M54=1,'Balance sheet'!M72-'Balance sheet'!L72,0)</f>
        <v>81.625070630382652</v>
      </c>
      <c r="N67" s="35">
        <f>IF(N54=1,'Balance sheet'!N72-'Balance sheet'!M72,0)</f>
        <v>84.073822749293868</v>
      </c>
      <c r="O67" s="35">
        <f>IF(O54=1,'Balance sheet'!O72-'Balance sheet'!N72,0)</f>
        <v>86.596037431772857</v>
      </c>
      <c r="P67" s="35">
        <f>IF(P54=1,'Balance sheet'!P72-'Balance sheet'!O72,0)</f>
        <v>89.193918554726224</v>
      </c>
      <c r="Q67" s="35">
        <f>IF(Q54=1,'Balance sheet'!Q72-'Balance sheet'!P72,0)</f>
        <v>91.869736111367729</v>
      </c>
      <c r="R67" s="35">
        <f>IF(R54=1,'Balance sheet'!R72-'Balance sheet'!Q72,0)</f>
        <v>94.625828194709811</v>
      </c>
      <c r="S67" s="35">
        <f>IF(S54=1,'Balance sheet'!S72-'Balance sheet'!R72,0)</f>
        <v>97.464603040550173</v>
      </c>
      <c r="T67" s="35">
        <f>IF(T54=1,'Balance sheet'!T72-'Balance sheet'!S72,0)</f>
        <v>100.38854113176649</v>
      </c>
      <c r="U67" s="35">
        <f>IF(U54=1,'Balance sheet'!U72-'Balance sheet'!T72,0)</f>
        <v>103.40019736572003</v>
      </c>
      <c r="V67" s="35">
        <f>IF(V54=1,'Balance sheet'!V72-'Balance sheet'!U72,0)</f>
        <v>106.50220328669138</v>
      </c>
      <c r="W67" s="35">
        <f>IF(W54=1,'Balance sheet'!W72-'Balance sheet'!V72,0)</f>
        <v>109.6972693852922</v>
      </c>
      <c r="X67" s="35">
        <f>IF(X54=1,'Balance sheet'!X72-'Balance sheet'!W72,0)</f>
        <v>112.98818746685083</v>
      </c>
      <c r="Y67" s="35">
        <f>IF(Y54=1,'Balance sheet'!Y72-'Balance sheet'!X72,0)</f>
        <v>116.37783309085671</v>
      </c>
      <c r="Z67" s="35">
        <f>IF(Z54=1,'Balance sheet'!Z72-'Balance sheet'!Y72,0)</f>
        <v>119.86916808358274</v>
      </c>
      <c r="AA67" s="35">
        <f>IF(AA54=1,'Balance sheet'!AA72-'Balance sheet'!Z72,0)</f>
        <v>123.46524312608926</v>
      </c>
      <c r="AB67" s="35">
        <f>IF(AB54=1,'Balance sheet'!AB72-'Balance sheet'!AA72,0)</f>
        <v>127.16920041987305</v>
      </c>
      <c r="AC67" s="35">
        <f>IF(AC54=1,'Balance sheet'!AC72-'Balance sheet'!AB72,0)</f>
        <v>130.9842764324685</v>
      </c>
      <c r="AD67" s="35">
        <f>IF(AD54=1,'Balance sheet'!AD72-'Balance sheet'!AC72,0)</f>
        <v>134.91380472544188</v>
      </c>
      <c r="AE67" s="35">
        <f>IF(AE54=1,'Balance sheet'!AE72-'Balance sheet'!AD72,0)</f>
        <v>138.96121886720539</v>
      </c>
      <c r="AF67" s="35">
        <f>IF(AF54=1,'Balance sheet'!AF72-'Balance sheet'!AE72,0)</f>
        <v>143.13005543322197</v>
      </c>
      <c r="AG67" s="35">
        <f>IF(AG54=1,'Balance sheet'!AG72-'Balance sheet'!AF72,0)</f>
        <v>147.42395709621815</v>
      </c>
      <c r="AH67" s="35">
        <f>IF(AH54=1,'Balance sheet'!AH72-'Balance sheet'!AG72,0)</f>
        <v>151.84667580910627</v>
      </c>
      <c r="AI67" s="405"/>
      <c r="AJ67" s="405"/>
      <c r="AK67" s="405"/>
    </row>
    <row r="68" spans="1:37" s="277" customFormat="1" x14ac:dyDescent="0.2">
      <c r="A68" s="320"/>
      <c r="B68" s="25" t="s">
        <v>290</v>
      </c>
      <c r="C68" s="24"/>
      <c r="D68" s="24"/>
      <c r="E68" s="35">
        <v>0</v>
      </c>
      <c r="F68" s="35">
        <f>IF(F54=1,'Balance sheet'!F73-'Balance sheet'!E73,0)</f>
        <v>3.0000000000000142</v>
      </c>
      <c r="G68" s="35">
        <f>IF(G54=1,'Balance sheet'!G73-'Balance sheet'!F73,0)</f>
        <v>3.0900000000000034</v>
      </c>
      <c r="H68" s="35">
        <f>IF(H54=1,'Balance sheet'!H73-'Balance sheet'!G73,0)</f>
        <v>3.182699999999997</v>
      </c>
      <c r="I68" s="35">
        <f>IF(I54=1,'Balance sheet'!I73-'Balance sheet'!H73,0)</f>
        <v>3.2781810000000036</v>
      </c>
      <c r="J68" s="35">
        <f>IF(J54=1,'Balance sheet'!J73-'Balance sheet'!I73,0)</f>
        <v>3.3765264299999984</v>
      </c>
      <c r="K68" s="35">
        <f>IF(K54=1,'Balance sheet'!K73-'Balance sheet'!J73,0)</f>
        <v>3.477822222899988</v>
      </c>
      <c r="L68" s="35">
        <f>IF(L54=1,'Balance sheet'!L73-'Balance sheet'!K73,0)</f>
        <v>3.5821568895870257</v>
      </c>
      <c r="M68" s="35">
        <f>IF(M54=1,'Balance sheet'!M73-'Balance sheet'!L73,0)</f>
        <v>3.6896215962746055</v>
      </c>
      <c r="N68" s="35">
        <f>IF(N54=1,'Balance sheet'!N73-'Balance sheet'!M73,0)</f>
        <v>3.8003102441628585</v>
      </c>
      <c r="O68" s="35">
        <f>IF(O54=1,'Balance sheet'!O73-'Balance sheet'!N73,0)</f>
        <v>3.914319551487722</v>
      </c>
      <c r="P68" s="35">
        <f>IF(P54=1,'Balance sheet'!P73-'Balance sheet'!O73,0)</f>
        <v>4.0317491380323816</v>
      </c>
      <c r="Q68" s="35">
        <f>IF(Q54=1,'Balance sheet'!Q73-'Balance sheet'!P73,0)</f>
        <v>4.1527016121733027</v>
      </c>
      <c r="R68" s="35">
        <f>IF(R54=1,'Balance sheet'!R73-'Balance sheet'!Q73,0)</f>
        <v>4.2772826605385887</v>
      </c>
      <c r="S68" s="35">
        <f>IF(S54=1,'Balance sheet'!S73-'Balance sheet'!R73,0)</f>
        <v>4.405601140354662</v>
      </c>
      <c r="T68" s="35">
        <f>IF(T54=1,'Balance sheet'!T73-'Balance sheet'!S73,0)</f>
        <v>4.5377691745653408</v>
      </c>
      <c r="U68" s="35">
        <f>IF(U54=1,'Balance sheet'!U73-'Balance sheet'!T73,0)</f>
        <v>4.6739022498022678</v>
      </c>
      <c r="V68" s="35">
        <f>IF(V54=1,'Balance sheet'!V73-'Balance sheet'!U73,0)</f>
        <v>4.8141193172963597</v>
      </c>
      <c r="W68" s="35">
        <f>IF(W54=1,'Balance sheet'!W73-'Balance sheet'!V73,0)</f>
        <v>4.9585428968152598</v>
      </c>
      <c r="X68" s="35">
        <f>IF(X54=1,'Balance sheet'!X73-'Balance sheet'!W73,0)</f>
        <v>5.1072991837197605</v>
      </c>
      <c r="Y68" s="35">
        <f>IF(Y54=1,'Balance sheet'!Y73-'Balance sheet'!X73,0)</f>
        <v>5.2605181592313102</v>
      </c>
      <c r="Z68" s="35">
        <f>IF(Z54=1,'Balance sheet'!Z73-'Balance sheet'!Y73,0)</f>
        <v>5.4183337040082336</v>
      </c>
      <c r="AA68" s="35">
        <f>IF(AA54=1,'Balance sheet'!AA73-'Balance sheet'!Z73,0)</f>
        <v>5.5808837151284933</v>
      </c>
      <c r="AB68" s="35">
        <f>IF(AB54=1,'Balance sheet'!AB73-'Balance sheet'!AA73,0)</f>
        <v>5.7483102265823618</v>
      </c>
      <c r="AC68" s="35">
        <f>IF(AC54=1,'Balance sheet'!AC73-'Balance sheet'!AB73,0)</f>
        <v>5.9207595333798224</v>
      </c>
      <c r="AD68" s="35">
        <f>IF(AD54=1,'Balance sheet'!AD73-'Balance sheet'!AC73,0)</f>
        <v>6.0983823193811872</v>
      </c>
      <c r="AE68" s="35">
        <f>IF(AE54=1,'Balance sheet'!AE73-'Balance sheet'!AD73,0)</f>
        <v>6.2813337889625984</v>
      </c>
      <c r="AF68" s="35">
        <f>IF(AF54=1,'Balance sheet'!AF73-'Balance sheet'!AE73,0)</f>
        <v>6.4697738026315506</v>
      </c>
      <c r="AG68" s="35">
        <f>IF(AG54=1,'Balance sheet'!AG73-'Balance sheet'!AF73,0)</f>
        <v>6.6638670167105261</v>
      </c>
      <c r="AH68" s="35">
        <f>IF(AH54=1,'Balance sheet'!AH73-'Balance sheet'!AG73,0)</f>
        <v>6.8637830272118094</v>
      </c>
      <c r="AI68" s="405"/>
      <c r="AJ68" s="405"/>
      <c r="AK68" s="405"/>
    </row>
    <row r="69" spans="1:37" s="277" customFormat="1" x14ac:dyDescent="0.2">
      <c r="A69" s="320"/>
      <c r="B69" s="23"/>
      <c r="C69" s="24"/>
      <c r="D69" s="24"/>
      <c r="E69" s="36">
        <f>SUM(E57:E68)</f>
        <v>0</v>
      </c>
      <c r="F69" s="36">
        <f>IF(F54=1,-F64-F65-F66+F67+F68,0)</f>
        <v>6.1732145322770009</v>
      </c>
      <c r="G69" s="36">
        <f t="shared" ref="G69:AH69" si="16">IF(G54=1,-G64-G65-G66+G67+G68,0)</f>
        <v>-77.531003265472265</v>
      </c>
      <c r="H69" s="36">
        <f t="shared" si="16"/>
        <v>-52.510292717192456</v>
      </c>
      <c r="I69" s="36">
        <f t="shared" si="16"/>
        <v>-62.384517049173937</v>
      </c>
      <c r="J69" s="36">
        <f t="shared" si="16"/>
        <v>-82.684806483858793</v>
      </c>
      <c r="K69" s="36">
        <f t="shared" si="16"/>
        <v>-561.44550165297051</v>
      </c>
      <c r="L69" s="36">
        <f t="shared" si="16"/>
        <v>-99.794044536856489</v>
      </c>
      <c r="M69" s="36">
        <f t="shared" si="16"/>
        <v>-102.53701124246069</v>
      </c>
      <c r="N69" s="36">
        <f t="shared" si="16"/>
        <v>-105.35729085416972</v>
      </c>
      <c r="O69" s="36">
        <f t="shared" si="16"/>
        <v>-108.25708383433539</v>
      </c>
      <c r="P69" s="36">
        <f t="shared" si="16"/>
        <v>-111.23865350724472</v>
      </c>
      <c r="Q69" s="36">
        <f t="shared" si="16"/>
        <v>-114.30432785738782</v>
      </c>
      <c r="R69" s="36">
        <f t="shared" si="16"/>
        <v>-117.45650137922027</v>
      </c>
      <c r="S69" s="36">
        <f t="shared" si="16"/>
        <v>-120.69763697987375</v>
      </c>
      <c r="T69" s="36">
        <f t="shared" si="16"/>
        <v>-124.030267936272</v>
      </c>
      <c r="U69" s="36">
        <f t="shared" si="16"/>
        <v>-127.45699990835621</v>
      </c>
      <c r="V69" s="36">
        <f t="shared" si="16"/>
        <v>-130.9805130097939</v>
      </c>
      <c r="W69" s="36">
        <f t="shared" si="16"/>
        <v>-134.60356393807763</v>
      </c>
      <c r="X69" s="36">
        <f t="shared" si="16"/>
        <v>-138.32898816551227</v>
      </c>
      <c r="Y69" s="36">
        <f t="shared" si="16"/>
        <v>-142.15970219291245</v>
      </c>
      <c r="Z69" s="36">
        <f t="shared" si="16"/>
        <v>-146.09870586785448</v>
      </c>
      <c r="AA69" s="36">
        <f t="shared" si="16"/>
        <v>-150.14908476919067</v>
      </c>
      <c r="AB69" s="36">
        <f t="shared" si="16"/>
        <v>-154.31401265986824</v>
      </c>
      <c r="AC69" s="36">
        <f t="shared" si="16"/>
        <v>-158.59675400995027</v>
      </c>
      <c r="AD69" s="36">
        <f t="shared" si="16"/>
        <v>-163.00066659178975</v>
      </c>
      <c r="AE69" s="36">
        <f t="shared" si="16"/>
        <v>-167.52920414953988</v>
      </c>
      <c r="AF69" s="36">
        <f t="shared" si="16"/>
        <v>-172.18591914499683</v>
      </c>
      <c r="AG69" s="36">
        <f t="shared" si="16"/>
        <v>-176.9744655821097</v>
      </c>
      <c r="AH69" s="36">
        <f t="shared" si="16"/>
        <v>-181.89860191224608</v>
      </c>
      <c r="AI69" s="405"/>
      <c r="AJ69" s="405"/>
      <c r="AK69" s="405"/>
    </row>
    <row r="70" spans="1:37" s="277" customFormat="1" ht="16" thickBot="1" x14ac:dyDescent="0.25">
      <c r="A70" s="320"/>
      <c r="B70" s="507" t="s">
        <v>105</v>
      </c>
      <c r="E70" s="508">
        <f>E67+E69</f>
        <v>0</v>
      </c>
      <c r="F70" s="508">
        <f>IF(F54=1,F57+F58+F59+F61-F62+F69,0)</f>
        <v>16477.046970629839</v>
      </c>
      <c r="G70" s="508">
        <f t="shared" ref="G70:AH70" si="17">IF(G54=1,G57+G58+G59+G61-G62+G69,0)</f>
        <v>16944.906106330964</v>
      </c>
      <c r="H70" s="508">
        <f t="shared" si="17"/>
        <v>17454.71630941844</v>
      </c>
      <c r="I70" s="508">
        <f t="shared" si="17"/>
        <v>18023.968362515534</v>
      </c>
      <c r="J70" s="508">
        <f t="shared" si="17"/>
        <v>18710.88325055912</v>
      </c>
      <c r="K70" s="508">
        <f t="shared" si="17"/>
        <v>21458.625322478765</v>
      </c>
      <c r="L70" s="508">
        <f t="shared" si="17"/>
        <v>22761.486554495768</v>
      </c>
      <c r="M70" s="508">
        <f t="shared" si="17"/>
        <v>23652.992656286791</v>
      </c>
      <c r="N70" s="508">
        <f t="shared" si="17"/>
        <v>24571.946970394922</v>
      </c>
      <c r="O70" s="508">
        <f t="shared" si="17"/>
        <v>25187.393534388364</v>
      </c>
      <c r="P70" s="508">
        <f t="shared" si="17"/>
        <v>26058.742542487147</v>
      </c>
      <c r="Q70" s="508">
        <f t="shared" si="17"/>
        <v>26978.603549357798</v>
      </c>
      <c r="R70" s="508">
        <f t="shared" si="17"/>
        <v>27926.463651523321</v>
      </c>
      <c r="S70" s="508">
        <f t="shared" si="17"/>
        <v>28903.145321344196</v>
      </c>
      <c r="T70" s="508">
        <f t="shared" si="17"/>
        <v>29909.495003098731</v>
      </c>
      <c r="U70" s="508">
        <f t="shared" si="17"/>
        <v>30942.140062597857</v>
      </c>
      <c r="V70" s="508">
        <f t="shared" si="17"/>
        <v>31998.270886166159</v>
      </c>
      <c r="W70" s="508">
        <f t="shared" si="17"/>
        <v>33093.080826531412</v>
      </c>
      <c r="X70" s="508">
        <f t="shared" si="17"/>
        <v>34227.178073291288</v>
      </c>
      <c r="Y70" s="508">
        <f t="shared" si="17"/>
        <v>35395.561813758432</v>
      </c>
      <c r="Z70" s="508">
        <f t="shared" si="17"/>
        <v>36598.397775231439</v>
      </c>
      <c r="AA70" s="508">
        <f t="shared" si="17"/>
        <v>37838.391171029165</v>
      </c>
      <c r="AB70" s="508">
        <f t="shared" si="17"/>
        <v>39115.776924376565</v>
      </c>
      <c r="AC70" s="508">
        <f t="shared" si="17"/>
        <v>40431.651292758943</v>
      </c>
      <c r="AD70" s="508">
        <f t="shared" si="17"/>
        <v>41787.142487594814</v>
      </c>
      <c r="AE70" s="508">
        <f t="shared" si="17"/>
        <v>43183.411605941845</v>
      </c>
      <c r="AF70" s="508">
        <f t="shared" si="17"/>
        <v>44621.653589363239</v>
      </c>
      <c r="AG70" s="508">
        <f t="shared" si="17"/>
        <v>46103.098210758559</v>
      </c>
      <c r="AH70" s="508">
        <f t="shared" si="17"/>
        <v>47629.011089983949</v>
      </c>
      <c r="AI70" s="405"/>
      <c r="AJ70" s="405"/>
      <c r="AK70" s="405"/>
    </row>
    <row r="71" spans="1:37" s="277" customFormat="1" x14ac:dyDescent="0.2">
      <c r="A71" s="320"/>
      <c r="B71" s="24"/>
      <c r="C71" s="24"/>
      <c r="D71" s="24"/>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405"/>
      <c r="AJ71" s="405"/>
      <c r="AK71" s="405"/>
    </row>
    <row r="72" spans="1:37" s="20" customFormat="1" x14ac:dyDescent="0.2">
      <c r="A72" s="320"/>
      <c r="B72" s="19" t="s">
        <v>106</v>
      </c>
      <c r="E72" s="37"/>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row>
    <row r="73" spans="1:37" s="277" customFormat="1" x14ac:dyDescent="0.2">
      <c r="A73" s="320"/>
      <c r="B73" s="25" t="s">
        <v>107</v>
      </c>
      <c r="C73" s="24"/>
      <c r="D73" s="24"/>
      <c r="E73" s="35">
        <f>IF(E54=1,Calculations!E37+Calculations!E53+Calculations!E69+Calculations!E85+Calculations!E101+Calculations!E117,0)</f>
        <v>0</v>
      </c>
      <c r="F73" s="35">
        <f>IF(F54=1,Calculations!F37+Calculations!F53+Calculations!F69+Calculations!F85+Calculations!F101+Calculations!F117,0)</f>
        <v>125</v>
      </c>
      <c r="G73" s="35">
        <f>IF(G54=1,Calculations!G37+Calculations!G53+Calculations!G69+Calculations!G85+Calculations!G101+Calculations!G117,0)</f>
        <v>280</v>
      </c>
      <c r="H73" s="35">
        <f>IF(H54=1,Calculations!H37+Calculations!H53+Calculations!H69+Calculations!H85+Calculations!H101+Calculations!H117,0)</f>
        <v>280</v>
      </c>
      <c r="I73" s="35">
        <f>IF(I54=1,Calculations!I37+Calculations!I53+Calculations!I69+Calculations!I85+Calculations!I101+Calculations!I117,0)</f>
        <v>280</v>
      </c>
      <c r="J73" s="35">
        <f>IF(J54=1,Calculations!J37+Calculations!J53+Calculations!J69+Calculations!J85+Calculations!J101+Calculations!J117,0)</f>
        <v>280</v>
      </c>
      <c r="K73" s="35">
        <f>IF(K54=1,Calculations!K37+Calculations!K53+Calculations!K69+Calculations!K85+Calculations!K101+Calculations!K117,0)</f>
        <v>280</v>
      </c>
      <c r="L73" s="35">
        <f>IF(L54=1,Calculations!L37+Calculations!L53+Calculations!L69+Calculations!L85+Calculations!L101+Calculations!L117,0)</f>
        <v>280</v>
      </c>
      <c r="M73" s="35">
        <f>IF(M54=1,Calculations!M37+Calculations!M53+Calculations!M69+Calculations!M85+Calculations!M101+Calculations!M117,0)</f>
        <v>280</v>
      </c>
      <c r="N73" s="35">
        <f>IF(N54=1,Calculations!N37+Calculations!N53+Calculations!N69+Calculations!N85+Calculations!N101+Calculations!N117,0)</f>
        <v>280</v>
      </c>
      <c r="O73" s="35">
        <f>IF(O54=1,Calculations!O37+Calculations!O53+Calculations!O69+Calculations!O85+Calculations!O101+Calculations!O117,0)</f>
        <v>280</v>
      </c>
      <c r="P73" s="35">
        <f>IF(P54=1,Calculations!P37+Calculations!P53+Calculations!P69+Calculations!P85+Calculations!P101+Calculations!P117,0)</f>
        <v>280</v>
      </c>
      <c r="Q73" s="35">
        <f>IF(Q54=1,Calculations!Q37+Calculations!Q53+Calculations!Q69+Calculations!Q85+Calculations!Q101+Calculations!Q117,0)</f>
        <v>280</v>
      </c>
      <c r="R73" s="35">
        <f>IF(R54=1,Calculations!R37+Calculations!R53+Calculations!R69+Calculations!R85+Calculations!R101+Calculations!R117,0)</f>
        <v>280</v>
      </c>
      <c r="S73" s="35">
        <f>IF(S54=1,Calculations!S37+Calculations!S53+Calculations!S69+Calculations!S85+Calculations!S101+Calculations!S117,0)</f>
        <v>280</v>
      </c>
      <c r="T73" s="35">
        <f>IF(T54=1,Calculations!T37+Calculations!T53+Calculations!T69+Calculations!T85+Calculations!T101+Calculations!T117,0)</f>
        <v>280</v>
      </c>
      <c r="U73" s="35">
        <f>IF(U54=1,Calculations!U37+Calculations!U53+Calculations!U69+Calculations!U85+Calculations!U101+Calculations!U117,0)</f>
        <v>280</v>
      </c>
      <c r="V73" s="35">
        <f>IF(V54=1,Calculations!V37+Calculations!V53+Calculations!V69+Calculations!V85+Calculations!V101+Calculations!V117,0)</f>
        <v>280</v>
      </c>
      <c r="W73" s="35">
        <f>IF(W54=1,Calculations!W37+Calculations!W53+Calculations!W69+Calculations!W85+Calculations!W101+Calculations!W117,0)</f>
        <v>280</v>
      </c>
      <c r="X73" s="35">
        <f>IF(X54=1,Calculations!X37+Calculations!X53+Calculations!X69+Calculations!X85+Calculations!X101+Calculations!X117,0)</f>
        <v>280</v>
      </c>
      <c r="Y73" s="35">
        <f>IF(Y54=1,Calculations!Y37+Calculations!Y53+Calculations!Y69+Calculations!Y85+Calculations!Y101+Calculations!Y117,0)</f>
        <v>280</v>
      </c>
      <c r="Z73" s="35">
        <f>IF(Z54=1,Calculations!Z37+Calculations!Z53+Calculations!Z69+Calculations!Z85+Calculations!Z101+Calculations!Z117,0)</f>
        <v>280</v>
      </c>
      <c r="AA73" s="35">
        <f>IF(AA54=1,Calculations!AA37+Calculations!AA53+Calculations!AA69+Calculations!AA85+Calculations!AA101+Calculations!AA117,0)</f>
        <v>280</v>
      </c>
      <c r="AB73" s="35">
        <f>IF(AB54=1,Calculations!AB37+Calculations!AB53+Calculations!AB69+Calculations!AB85+Calculations!AB101+Calculations!AB117,0)</f>
        <v>280</v>
      </c>
      <c r="AC73" s="35">
        <f>IF(AC54=1,Calculations!AC37+Calculations!AC53+Calculations!AC69+Calculations!AC85+Calculations!AC101+Calculations!AC117,0)</f>
        <v>280</v>
      </c>
      <c r="AD73" s="35">
        <f>IF(AD54=1,Calculations!AD37+Calculations!AD53+Calculations!AD69+Calculations!AD85+Calculations!AD101+Calculations!AD117,0)</f>
        <v>280</v>
      </c>
      <c r="AE73" s="35">
        <f>IF(AE54=1,Calculations!AE37+Calculations!AE53+Calculations!AE69+Calculations!AE85+Calculations!AE101+Calculations!AE117,0)</f>
        <v>280</v>
      </c>
      <c r="AF73" s="35">
        <f>IF(AF54=1,Calculations!AF37+Calculations!AF53+Calculations!AF69+Calculations!AF85+Calculations!AF101+Calculations!AF117,0)</f>
        <v>280</v>
      </c>
      <c r="AG73" s="35">
        <f>IF(AG54=1,Calculations!AG37+Calculations!AG53+Calculations!AG69+Calculations!AG85+Calculations!AG101+Calculations!AG117,0)</f>
        <v>280</v>
      </c>
      <c r="AH73" s="35">
        <f>IF(AH54=1,Calculations!AH37+Calculations!AH53+Calculations!AH69+Calculations!AH85+Calculations!AH101+Calculations!AH117,0)</f>
        <v>280</v>
      </c>
      <c r="AI73" s="405"/>
      <c r="AJ73" s="405"/>
      <c r="AK73" s="405"/>
    </row>
    <row r="74" spans="1:37" s="277" customFormat="1" x14ac:dyDescent="0.2">
      <c r="A74" s="320"/>
      <c r="B74" s="25" t="s">
        <v>108</v>
      </c>
      <c r="C74" s="24"/>
      <c r="D74" s="24"/>
      <c r="E74" s="35">
        <v>0</v>
      </c>
      <c r="F74" s="35">
        <f>IF(F54=1,'Assumptions - Freight'!F54,0)</f>
        <v>20</v>
      </c>
      <c r="G74" s="35">
        <f>IF(G54=1,'Assumptions - Freight'!G54,0)</f>
        <v>20</v>
      </c>
      <c r="H74" s="35">
        <f>IF(H54=1,'Assumptions - Freight'!H54,0)</f>
        <v>20</v>
      </c>
      <c r="I74" s="35">
        <f>IF(I54=1,'Assumptions - Freight'!I54,0)</f>
        <v>20</v>
      </c>
      <c r="J74" s="35">
        <f>IF(J54=1,'Assumptions - Freight'!J54,0)</f>
        <v>20</v>
      </c>
      <c r="K74" s="35">
        <f>IF(K54=1,'Assumptions - Freight'!K54,0)</f>
        <v>20</v>
      </c>
      <c r="L74" s="35">
        <f>IF(L54=1,'Assumptions - Freight'!L54,0)</f>
        <v>20</v>
      </c>
      <c r="M74" s="35">
        <f>IF(M54=1,'Assumptions - Freight'!M54,0)</f>
        <v>20</v>
      </c>
      <c r="N74" s="35">
        <f>IF(N54=1,'Assumptions - Freight'!N54,0)</f>
        <v>20</v>
      </c>
      <c r="O74" s="35">
        <f>IF(O54=1,'Assumptions - Freight'!O54,0)</f>
        <v>20</v>
      </c>
      <c r="P74" s="35">
        <f>IF(P54=1,'Assumptions - Freight'!P54,0)</f>
        <v>20</v>
      </c>
      <c r="Q74" s="35">
        <f>IF(Q54=1,'Assumptions - Freight'!Q54,0)</f>
        <v>20</v>
      </c>
      <c r="R74" s="35">
        <f>IF(R54=1,'Assumptions - Freight'!R54,0)</f>
        <v>20</v>
      </c>
      <c r="S74" s="35">
        <f>IF(S54=1,'Assumptions - Freight'!S54,0)</f>
        <v>20</v>
      </c>
      <c r="T74" s="35">
        <f>IF(T54=1,'Assumptions - Freight'!T54,0)</f>
        <v>20</v>
      </c>
      <c r="U74" s="35">
        <f>IF(U54=1,'Assumptions - Freight'!U54,0)</f>
        <v>20</v>
      </c>
      <c r="V74" s="35">
        <f>IF(V54=1,'Assumptions - Freight'!V54,0)</f>
        <v>20</v>
      </c>
      <c r="W74" s="35">
        <f>IF(W54=1,'Assumptions - Freight'!W54,0)</f>
        <v>20</v>
      </c>
      <c r="X74" s="35">
        <f>IF(X54=1,'Assumptions - Freight'!X54,0)</f>
        <v>20</v>
      </c>
      <c r="Y74" s="35">
        <f>IF(Y54=1,'Assumptions - Freight'!Y54,0)</f>
        <v>20</v>
      </c>
      <c r="Z74" s="35">
        <f>IF(Z54=1,'Assumptions - Freight'!Z54,0)</f>
        <v>20</v>
      </c>
      <c r="AA74" s="35">
        <f>IF(AA54=1,'Assumptions - Freight'!AA54,0)</f>
        <v>20</v>
      </c>
      <c r="AB74" s="35">
        <f>IF(AB54=1,'Assumptions - Freight'!AB54,0)</f>
        <v>20</v>
      </c>
      <c r="AC74" s="35">
        <f>IF(AC54=1,'Assumptions - Freight'!AC54,0)</f>
        <v>20</v>
      </c>
      <c r="AD74" s="35">
        <f>IF(AD54=1,'Assumptions - Freight'!AD54,0)</f>
        <v>20</v>
      </c>
      <c r="AE74" s="35">
        <f>IF(AE54=1,'Assumptions - Freight'!AE54,0)</f>
        <v>20</v>
      </c>
      <c r="AF74" s="35">
        <f>IF(AF54=1,'Assumptions - Freight'!AF54,0)</f>
        <v>20</v>
      </c>
      <c r="AG74" s="35">
        <f>IF(AG54=1,'Assumptions - Freight'!AG54,0)</f>
        <v>20</v>
      </c>
      <c r="AH74" s="35">
        <f>IF(AH54=1,'Assumptions - Freight'!AH54,0)</f>
        <v>20</v>
      </c>
      <c r="AI74" s="405"/>
      <c r="AJ74" s="405"/>
      <c r="AK74" s="405"/>
    </row>
    <row r="75" spans="1:37" s="277" customFormat="1" x14ac:dyDescent="0.2">
      <c r="A75" s="320"/>
      <c r="B75" s="25" t="s">
        <v>328</v>
      </c>
      <c r="C75" s="24"/>
      <c r="D75" s="24"/>
      <c r="E75" s="35">
        <v>0</v>
      </c>
      <c r="F75" s="35">
        <f>IF(F54=1,'Balance sheet'!F65-'Balance sheet'!E65,0)</f>
        <v>0</v>
      </c>
      <c r="G75" s="35">
        <f>IF(G54=1,'Balance sheet'!G65-'Balance sheet'!F65,0)</f>
        <v>0</v>
      </c>
      <c r="H75" s="35">
        <f>IF(H54=1,'Balance sheet'!H65-'Balance sheet'!G65,0)</f>
        <v>0</v>
      </c>
      <c r="I75" s="35">
        <f>IF(I54=1,'Balance sheet'!I65-'Balance sheet'!H65,0)</f>
        <v>0</v>
      </c>
      <c r="J75" s="35">
        <f>IF(J54=1,'Balance sheet'!J65-'Balance sheet'!I65,0)</f>
        <v>0</v>
      </c>
      <c r="K75" s="35">
        <f>IF(K54=1,'Balance sheet'!K65-'Balance sheet'!J65,0)</f>
        <v>0</v>
      </c>
      <c r="L75" s="35">
        <f>IF(L54=1,'Balance sheet'!L65-'Balance sheet'!K65,0)</f>
        <v>0</v>
      </c>
      <c r="M75" s="35">
        <f>IF(M54=1,'Balance sheet'!M65-'Balance sheet'!L65,0)</f>
        <v>0</v>
      </c>
      <c r="N75" s="35">
        <f>IF(N54=1,'Balance sheet'!N65-'Balance sheet'!M65,0)</f>
        <v>0</v>
      </c>
      <c r="O75" s="35">
        <f>IF(O54=1,'Balance sheet'!O65-'Balance sheet'!N65,0)</f>
        <v>0</v>
      </c>
      <c r="P75" s="35">
        <f>IF(P54=1,'Balance sheet'!P65-'Balance sheet'!O65,0)</f>
        <v>0</v>
      </c>
      <c r="Q75" s="35">
        <f>IF(Q54=1,'Balance sheet'!Q65-'Balance sheet'!P65,0)</f>
        <v>0</v>
      </c>
      <c r="R75" s="35">
        <f>IF(R54=1,'Balance sheet'!R65-'Balance sheet'!Q65,0)</f>
        <v>0</v>
      </c>
      <c r="S75" s="35">
        <f>IF(S54=1,'Balance sheet'!S65-'Balance sheet'!R65,0)</f>
        <v>0</v>
      </c>
      <c r="T75" s="35">
        <f>IF(T54=1,'Balance sheet'!T65-'Balance sheet'!S65,0)</f>
        <v>0</v>
      </c>
      <c r="U75" s="35">
        <f>IF(U54=1,'Balance sheet'!U65-'Balance sheet'!T65,0)</f>
        <v>0</v>
      </c>
      <c r="V75" s="35">
        <f>IF(V54=1,'Balance sheet'!V65-'Balance sheet'!U65,0)</f>
        <v>0</v>
      </c>
      <c r="W75" s="35">
        <f>IF(W54=1,'Balance sheet'!W65-'Balance sheet'!V65,0)</f>
        <v>0</v>
      </c>
      <c r="X75" s="35">
        <f>IF(X54=1,'Balance sheet'!X65-'Balance sheet'!W65,0)</f>
        <v>0</v>
      </c>
      <c r="Y75" s="35">
        <f>IF(Y54=1,'Balance sheet'!Y65-'Balance sheet'!X65,0)</f>
        <v>0</v>
      </c>
      <c r="Z75" s="35">
        <f>IF(Z54=1,'Balance sheet'!Z65-'Balance sheet'!Y65,0)</f>
        <v>0</v>
      </c>
      <c r="AA75" s="35">
        <f>IF(AA54=1,'Balance sheet'!AA65-'Balance sheet'!Z65,0)</f>
        <v>0</v>
      </c>
      <c r="AB75" s="35">
        <f>IF(AB54=1,'Balance sheet'!AB65-'Balance sheet'!AA65,0)</f>
        <v>0</v>
      </c>
      <c r="AC75" s="35">
        <f>IF(AC54=1,'Balance sheet'!AC65-'Balance sheet'!AB65,0)</f>
        <v>0</v>
      </c>
      <c r="AD75" s="35">
        <f>IF(AD54=1,'Balance sheet'!AD65-'Balance sheet'!AC65,0)</f>
        <v>0</v>
      </c>
      <c r="AE75" s="35">
        <f>IF(AE54=1,'Balance sheet'!AE65-'Balance sheet'!AD65,0)</f>
        <v>0</v>
      </c>
      <c r="AF75" s="35">
        <f>IF(AF54=1,'Balance sheet'!AF65-'Balance sheet'!AE65,0)</f>
        <v>0</v>
      </c>
      <c r="AG75" s="35">
        <f>IF(AG54=1,'Balance sheet'!AG65-'Balance sheet'!AF65,0)</f>
        <v>0</v>
      </c>
      <c r="AH75" s="35">
        <f>IF(AH54=1,'Balance sheet'!AH65-'Balance sheet'!AG65,0)</f>
        <v>0</v>
      </c>
      <c r="AI75" s="405"/>
      <c r="AJ75" s="405"/>
      <c r="AK75" s="405"/>
    </row>
    <row r="76" spans="1:37" s="277" customFormat="1" x14ac:dyDescent="0.2">
      <c r="A76" s="320"/>
      <c r="B76" s="25"/>
      <c r="C76" s="24"/>
      <c r="D76" s="24"/>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405"/>
      <c r="AJ76" s="405"/>
      <c r="AK76" s="405"/>
    </row>
    <row r="77" spans="1:37" s="277" customFormat="1" x14ac:dyDescent="0.2">
      <c r="A77" s="320"/>
      <c r="B77" s="27" t="s">
        <v>109</v>
      </c>
      <c r="C77" s="24"/>
      <c r="D77" s="24"/>
      <c r="E77" s="43">
        <f>IF(E54=1,-E73+E74-E75,0)</f>
        <v>0</v>
      </c>
      <c r="F77" s="43">
        <f t="shared" ref="F77:AH77" si="18">IF(F54=1,-F73+F74-F75,0)</f>
        <v>-105</v>
      </c>
      <c r="G77" s="43">
        <f t="shared" si="18"/>
        <v>-260</v>
      </c>
      <c r="H77" s="43">
        <f t="shared" si="18"/>
        <v>-260</v>
      </c>
      <c r="I77" s="43">
        <f t="shared" si="18"/>
        <v>-260</v>
      </c>
      <c r="J77" s="43">
        <f t="shared" si="18"/>
        <v>-260</v>
      </c>
      <c r="K77" s="43">
        <f t="shared" si="18"/>
        <v>-260</v>
      </c>
      <c r="L77" s="43">
        <f t="shared" si="18"/>
        <v>-260</v>
      </c>
      <c r="M77" s="43">
        <f t="shared" si="18"/>
        <v>-260</v>
      </c>
      <c r="N77" s="43">
        <f t="shared" si="18"/>
        <v>-260</v>
      </c>
      <c r="O77" s="43">
        <f t="shared" si="18"/>
        <v>-260</v>
      </c>
      <c r="P77" s="43">
        <f t="shared" si="18"/>
        <v>-260</v>
      </c>
      <c r="Q77" s="43">
        <f t="shared" si="18"/>
        <v>-260</v>
      </c>
      <c r="R77" s="43">
        <f t="shared" si="18"/>
        <v>-260</v>
      </c>
      <c r="S77" s="43">
        <f t="shared" si="18"/>
        <v>-260</v>
      </c>
      <c r="T77" s="43">
        <f t="shared" si="18"/>
        <v>-260</v>
      </c>
      <c r="U77" s="43">
        <f t="shared" si="18"/>
        <v>-260</v>
      </c>
      <c r="V77" s="43">
        <f t="shared" si="18"/>
        <v>-260</v>
      </c>
      <c r="W77" s="43">
        <f t="shared" si="18"/>
        <v>-260</v>
      </c>
      <c r="X77" s="43">
        <f t="shared" si="18"/>
        <v>-260</v>
      </c>
      <c r="Y77" s="43">
        <f t="shared" si="18"/>
        <v>-260</v>
      </c>
      <c r="Z77" s="43">
        <f t="shared" si="18"/>
        <v>-260</v>
      </c>
      <c r="AA77" s="43">
        <f t="shared" si="18"/>
        <v>-260</v>
      </c>
      <c r="AB77" s="43">
        <f t="shared" si="18"/>
        <v>-260</v>
      </c>
      <c r="AC77" s="43">
        <f t="shared" si="18"/>
        <v>-260</v>
      </c>
      <c r="AD77" s="43">
        <f t="shared" si="18"/>
        <v>-260</v>
      </c>
      <c r="AE77" s="43">
        <f t="shared" si="18"/>
        <v>-260</v>
      </c>
      <c r="AF77" s="43">
        <f t="shared" si="18"/>
        <v>-260</v>
      </c>
      <c r="AG77" s="43">
        <f t="shared" si="18"/>
        <v>-260</v>
      </c>
      <c r="AH77" s="43">
        <f t="shared" si="18"/>
        <v>-260</v>
      </c>
      <c r="AI77" s="405"/>
      <c r="AJ77" s="405"/>
      <c r="AK77" s="405"/>
    </row>
    <row r="78" spans="1:37" s="277" customFormat="1" x14ac:dyDescent="0.2">
      <c r="A78" s="320"/>
      <c r="B78" s="23"/>
      <c r="C78" s="24"/>
      <c r="D78" s="24"/>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405"/>
      <c r="AJ78" s="405"/>
      <c r="AK78" s="405"/>
    </row>
    <row r="79" spans="1:37" s="20" customFormat="1" x14ac:dyDescent="0.2">
      <c r="A79" s="320"/>
      <c r="B79" s="19" t="s">
        <v>110</v>
      </c>
      <c r="E79" s="37"/>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row>
    <row r="80" spans="1:37" s="277" customFormat="1" x14ac:dyDescent="0.2">
      <c r="A80" s="320"/>
      <c r="B80" s="25" t="s">
        <v>416</v>
      </c>
      <c r="C80" s="24"/>
      <c r="D80" s="24"/>
      <c r="E80" s="35">
        <v>0</v>
      </c>
      <c r="F80" s="35">
        <f>IF(F54=1,Calculations!F337+Calculations!F353+Calculations!F369+Calculations!F395+Calculations!F425+Calculations!F455+Calculations!F485,0)</f>
        <v>17.5</v>
      </c>
      <c r="G80" s="35">
        <f>IF(G54=1,Calculations!G337+Calculations!G353+Calculations!G369+Calculations!G395+Calculations!G425+Calculations!G455+Calculations!G485,0)</f>
        <v>42.5</v>
      </c>
      <c r="H80" s="35">
        <f>IF(H54=1,Calculations!H337+Calculations!H353+Calculations!H369+Calculations!H395+Calculations!H425+Calculations!H455+Calculations!H485,0)</f>
        <v>30</v>
      </c>
      <c r="I80" s="35">
        <f>IF(I54=1,Calculations!I337+Calculations!I353+Calculations!I369+Calculations!I395+Calculations!I425+Calculations!I455+Calculations!I485,0)</f>
        <v>30</v>
      </c>
      <c r="J80" s="35">
        <f>IF(J54=1,Calculations!J337+Calculations!J353+Calculations!J369+Calculations!J395+Calculations!J425+Calculations!J455+Calculations!J485,0)</f>
        <v>30</v>
      </c>
      <c r="K80" s="35">
        <f>IF(K54=1,Calculations!K337+Calculations!K353+Calculations!K369+Calculations!K395+Calculations!K425+Calculations!K455+Calculations!K485,0)</f>
        <v>30</v>
      </c>
      <c r="L80" s="35">
        <f>IF(L54=1,Calculations!L337+Calculations!L353+Calculations!L369+Calculations!L395+Calculations!L425+Calculations!L455+Calculations!L485,0)</f>
        <v>30</v>
      </c>
      <c r="M80" s="35">
        <f>IF(M54=1,Calculations!M337+Calculations!M353+Calculations!M369+Calculations!M395+Calculations!M425+Calculations!M455+Calculations!M485,0)</f>
        <v>30</v>
      </c>
      <c r="N80" s="35">
        <f>IF(N54=1,Calculations!N337+Calculations!N353+Calculations!N369+Calculations!N395+Calculations!N425+Calculations!N455+Calculations!N485,0)</f>
        <v>30</v>
      </c>
      <c r="O80" s="35">
        <f>IF(O54=1,Calculations!O337+Calculations!O353+Calculations!O369+Calculations!O395+Calculations!O425+Calculations!O455+Calculations!O485,0)</f>
        <v>30</v>
      </c>
      <c r="P80" s="35">
        <f>IF(P54=1,Calculations!P337+Calculations!P353+Calculations!P369+Calculations!P395+Calculations!P425+Calculations!P455+Calculations!P485,0)</f>
        <v>0</v>
      </c>
      <c r="Q80" s="35">
        <f>IF(Q54=1,Calculations!Q337+Calculations!Q353+Calculations!Q369+Calculations!Q395+Calculations!Q425+Calculations!Q455+Calculations!Q485,0)</f>
        <v>0</v>
      </c>
      <c r="R80" s="35">
        <f>IF(R54=1,Calculations!R337+Calculations!R353+Calculations!R369+Calculations!R395+Calculations!R425+Calculations!R455+Calculations!R485,0)</f>
        <v>0</v>
      </c>
      <c r="S80" s="35">
        <f>IF(S54=1,Calculations!S337+Calculations!S353+Calculations!S369+Calculations!S395+Calculations!S425+Calculations!S455+Calculations!S485,0)</f>
        <v>0</v>
      </c>
      <c r="T80" s="35">
        <f>IF(T54=1,Calculations!T337+Calculations!T353+Calculations!T369+Calculations!T395+Calculations!T425+Calculations!T455+Calculations!T485,0)</f>
        <v>0</v>
      </c>
      <c r="U80" s="35">
        <f>IF(U54=1,Calculations!U337+Calculations!U353+Calculations!U369+Calculations!U395+Calculations!U425+Calculations!U455+Calculations!U485,0)</f>
        <v>425</v>
      </c>
      <c r="V80" s="35">
        <f>IF(V54=1,Calculations!V337+Calculations!V353+Calculations!V369+Calculations!V395+Calculations!V425+Calculations!V455+Calculations!V485,0)</f>
        <v>0</v>
      </c>
      <c r="W80" s="35">
        <f>IF(W54=1,Calculations!W337+Calculations!W353+Calculations!W369+Calculations!W395+Calculations!W425+Calculations!W455+Calculations!W485,0)</f>
        <v>0</v>
      </c>
      <c r="X80" s="35">
        <f>IF(X54=1,Calculations!X337+Calculations!X353+Calculations!X369+Calculations!X395+Calculations!X425+Calculations!X455+Calculations!X485,0)</f>
        <v>0</v>
      </c>
      <c r="Y80" s="35">
        <f>IF(Y54=1,Calculations!Y337+Calculations!Y353+Calculations!Y369+Calculations!Y395+Calculations!Y425+Calculations!Y455+Calculations!Y485,0)</f>
        <v>0</v>
      </c>
      <c r="Z80" s="35">
        <f>IF(Z54=1,Calculations!Z337+Calculations!Z353+Calculations!Z369+Calculations!Z395+Calculations!Z425+Calculations!Z455+Calculations!Z485,0)</f>
        <v>0</v>
      </c>
      <c r="AA80" s="35">
        <f>IF(AA54=1,Calculations!AA337+Calculations!AA353+Calculations!AA369+Calculations!AA395+Calculations!AA425+Calculations!AA455+Calculations!AA485,0)</f>
        <v>0</v>
      </c>
      <c r="AB80" s="35">
        <f>IF(AB54=1,Calculations!AB337+Calculations!AB353+Calculations!AB369+Calculations!AB395+Calculations!AB425+Calculations!AB455+Calculations!AB485,0)</f>
        <v>0</v>
      </c>
      <c r="AC80" s="35">
        <f>IF(AC54=1,Calculations!AC337+Calculations!AC353+Calculations!AC369+Calculations!AC395+Calculations!AC425+Calculations!AC455+Calculations!AC485,0)</f>
        <v>0</v>
      </c>
      <c r="AD80" s="35">
        <f>IF(AD54=1,Calculations!AD337+Calculations!AD353+Calculations!AD369+Calculations!AD395+Calculations!AD425+Calculations!AD455+Calculations!AD485,0)</f>
        <v>0</v>
      </c>
      <c r="AE80" s="35">
        <f>IF(AE54=1,Calculations!AE337+Calculations!AE353+Calculations!AE369+Calculations!AE395+Calculations!AE425+Calculations!AE455+Calculations!AE485,0)</f>
        <v>0</v>
      </c>
      <c r="AF80" s="35">
        <f>IF(AF54=1,Calculations!AF337+Calculations!AF353+Calculations!AF369+Calculations!AF395+Calculations!AF425+Calculations!AF455+Calculations!AF485,0)</f>
        <v>0</v>
      </c>
      <c r="AG80" s="35">
        <f>IF(AG54=1,Calculations!AG337+Calculations!AG353+Calculations!AG369+Calculations!AG395+Calculations!AG425+Calculations!AG455+Calculations!AG485,0)</f>
        <v>0</v>
      </c>
      <c r="AH80" s="35">
        <f>IF(AH54=1,Calculations!AH337+Calculations!AH353+Calculations!AH369+Calculations!AH395+Calculations!AH425+Calculations!AH455+Calculations!AH485,0)</f>
        <v>0</v>
      </c>
      <c r="AI80" s="405"/>
      <c r="AJ80" s="405"/>
      <c r="AK80" s="405"/>
    </row>
    <row r="81" spans="1:37" s="277" customFormat="1" x14ac:dyDescent="0.2">
      <c r="A81" s="320"/>
      <c r="B81" s="25" t="s">
        <v>417</v>
      </c>
      <c r="C81" s="24"/>
      <c r="D81" s="24"/>
      <c r="E81" s="35">
        <v>0</v>
      </c>
      <c r="F81" s="35">
        <f>IF(F54=1,Calculations!F396+Calculations!F426+Calculations!F456+Calculations!F486,0)</f>
        <v>0</v>
      </c>
      <c r="G81" s="35">
        <f>IF(G54=1,Calculations!G396+Calculations!G426+Calculations!G456+Calculations!G486,0)</f>
        <v>95</v>
      </c>
      <c r="H81" s="35">
        <f>IF(H54=1,Calculations!H396+Calculations!H426+Calculations!H456+Calculations!H486,0)</f>
        <v>95</v>
      </c>
      <c r="I81" s="35">
        <f>IF(I54=1,Calculations!I396+Calculations!I426+Calculations!I456+Calculations!I486,0)</f>
        <v>95</v>
      </c>
      <c r="J81" s="35">
        <f>IF(J54=1,Calculations!J396+Calculations!J426+Calculations!J456+Calculations!J486,0)</f>
        <v>95</v>
      </c>
      <c r="K81" s="35">
        <f>IF(K54=1,Calculations!K396+Calculations!K426+Calculations!K456+Calculations!K486,0)</f>
        <v>95</v>
      </c>
      <c r="L81" s="35">
        <f>IF(L54=1,Calculations!L396+Calculations!L426+Calculations!L456+Calculations!L486,0)</f>
        <v>0</v>
      </c>
      <c r="M81" s="35">
        <f>IF(M54=1,Calculations!M396+Calculations!M426+Calculations!M456+Calculations!M486,0)</f>
        <v>0</v>
      </c>
      <c r="N81" s="35">
        <f>IF(N54=1,Calculations!N396+Calculations!N426+Calculations!N456+Calculations!N486,0)</f>
        <v>0</v>
      </c>
      <c r="O81" s="35">
        <f>IF(O54=1,Calculations!O396+Calculations!O426+Calculations!O456+Calculations!O486,0)</f>
        <v>0</v>
      </c>
      <c r="P81" s="35">
        <f>IF(P54=1,Calculations!P396+Calculations!P426+Calculations!P456+Calculations!P486,0)</f>
        <v>0</v>
      </c>
      <c r="Q81" s="35">
        <f>IF(Q54=1,Calculations!Q396+Calculations!Q426+Calculations!Q456+Calculations!Q486,0)</f>
        <v>0</v>
      </c>
      <c r="R81" s="35">
        <f>IF(R54=1,Calculations!R396+Calculations!R426+Calculations!R456+Calculations!R486,0)</f>
        <v>0</v>
      </c>
      <c r="S81" s="35">
        <f>IF(S54=1,Calculations!S396+Calculations!S426+Calculations!S456+Calculations!S486,0)</f>
        <v>0</v>
      </c>
      <c r="T81" s="35">
        <f>IF(T54=1,Calculations!T396+Calculations!T426+Calculations!T456+Calculations!T486,0)</f>
        <v>0</v>
      </c>
      <c r="U81" s="35">
        <f>IF(U54=1,Calculations!U396+Calculations!U426+Calculations!U456+Calculations!U486,0)</f>
        <v>0</v>
      </c>
      <c r="V81" s="35">
        <f>IF(V54=1,Calculations!V396+Calculations!V426+Calculations!V456+Calculations!V486,0)</f>
        <v>0</v>
      </c>
      <c r="W81" s="35">
        <f>IF(W54=1,Calculations!W396+Calculations!W426+Calculations!W456+Calculations!W486,0)</f>
        <v>0</v>
      </c>
      <c r="X81" s="35">
        <f>IF(X54=1,Calculations!X396+Calculations!X426+Calculations!X456+Calculations!X486,0)</f>
        <v>0</v>
      </c>
      <c r="Y81" s="35">
        <f>IF(Y54=1,Calculations!Y396+Calculations!Y426+Calculations!Y456+Calculations!Y486,0)</f>
        <v>0</v>
      </c>
      <c r="Z81" s="35">
        <f>IF(Z54=1,Calculations!Z396+Calculations!Z426+Calculations!Z456+Calculations!Z486,0)</f>
        <v>0</v>
      </c>
      <c r="AA81" s="35">
        <f>IF(AA54=1,Calculations!AA396+Calculations!AA426+Calculations!AA456+Calculations!AA486,0)</f>
        <v>0</v>
      </c>
      <c r="AB81" s="35">
        <f>IF(AB54=1,Calculations!AB396+Calculations!AB426+Calculations!AB456+Calculations!AB486,0)</f>
        <v>0</v>
      </c>
      <c r="AC81" s="35">
        <f>IF(AC54=1,Calculations!AC396+Calculations!AC426+Calculations!AC456+Calculations!AC486,0)</f>
        <v>0</v>
      </c>
      <c r="AD81" s="35">
        <f>IF(AD54=1,Calculations!AD396+Calculations!AD426+Calculations!AD456+Calculations!AD486,0)</f>
        <v>0</v>
      </c>
      <c r="AE81" s="35">
        <f>IF(AE54=1,Calculations!AE396+Calculations!AE426+Calculations!AE456+Calculations!AE486,0)</f>
        <v>0</v>
      </c>
      <c r="AF81" s="35">
        <f>IF(AF54=1,Calculations!AF396+Calculations!AF426+Calculations!AF456+Calculations!AF486,0)</f>
        <v>0</v>
      </c>
      <c r="AG81" s="35">
        <f>IF(AG54=1,Calculations!AG396+Calculations!AG426+Calculations!AG456+Calculations!AG486,0)</f>
        <v>0</v>
      </c>
      <c r="AH81" s="35">
        <f>IF(AH54=1,Calculations!AH396+Calculations!AH426+Calculations!AH456+Calculations!AH486,0)</f>
        <v>0</v>
      </c>
      <c r="AI81" s="405"/>
      <c r="AJ81" s="405"/>
      <c r="AK81" s="405"/>
    </row>
    <row r="82" spans="1:37" s="277" customFormat="1" x14ac:dyDescent="0.2">
      <c r="A82" s="320"/>
      <c r="B82" s="25" t="s">
        <v>609</v>
      </c>
      <c r="C82" s="24"/>
      <c r="D82" s="24"/>
      <c r="E82" s="35">
        <v>0</v>
      </c>
      <c r="F82" s="35">
        <f>IF(F54=1,Calculations!F255,0)</f>
        <v>10.3</v>
      </c>
      <c r="G82" s="35">
        <f>IF(G54=1,Calculations!G255,0)</f>
        <v>10.609000000000002</v>
      </c>
      <c r="H82" s="35">
        <f>IF(H54=1,Calculations!H255,0)</f>
        <v>10.927270000000002</v>
      </c>
      <c r="I82" s="35">
        <f>IF(I54=1,Calculations!I255,0)</f>
        <v>11.255088100000002</v>
      </c>
      <c r="J82" s="35">
        <f>IF(J54=1,Calculations!J255,0)</f>
        <v>11.592740743000002</v>
      </c>
      <c r="K82" s="35">
        <f>IF(K54=1,Calculations!K255,0)</f>
        <v>11.940522965290002</v>
      </c>
      <c r="L82" s="35">
        <f>IF(L54=1,Calculations!L255,0)</f>
        <v>12.298738654248703</v>
      </c>
      <c r="M82" s="35">
        <f>IF(M54=1,Calculations!M255,0)</f>
        <v>12.667700813876165</v>
      </c>
      <c r="N82" s="35">
        <f>IF(N54=1,Calculations!N255,0)</f>
        <v>13.047731838292449</v>
      </c>
      <c r="O82" s="35">
        <f>IF(O54=1,Calculations!O255,0)</f>
        <v>13.439163793441223</v>
      </c>
      <c r="P82" s="35">
        <f>IF(P54=1,Calculations!P255,0)</f>
        <v>13.84233870724446</v>
      </c>
      <c r="Q82" s="35">
        <f>IF(Q54=1,Calculations!Q255,0)</f>
        <v>14.257608868461794</v>
      </c>
      <c r="R82" s="35">
        <f>IF(R54=1,Calculations!R255,0)</f>
        <v>14.685337134515649</v>
      </c>
      <c r="S82" s="35">
        <f>IF(S54=1,Calculations!S255,0)</f>
        <v>15.125897248551119</v>
      </c>
      <c r="T82" s="35">
        <f>IF(T54=1,Calculations!T255,0)</f>
        <v>15.579674166007653</v>
      </c>
      <c r="U82" s="35">
        <f>IF(U54=1,Calculations!U255,0)</f>
        <v>16.047064390987885</v>
      </c>
      <c r="V82" s="35">
        <f>IF(V54=1,Calculations!V255,0)</f>
        <v>16.52847632271752</v>
      </c>
      <c r="W82" s="35">
        <f>IF(W54=1,Calculations!W255,0)</f>
        <v>17.024330612399044</v>
      </c>
      <c r="X82" s="35">
        <f>IF(X54=1,Calculations!X255,0)</f>
        <v>17.535060530771016</v>
      </c>
      <c r="Y82" s="35">
        <f>IF(Y54=1,Calculations!Y255,0)</f>
        <v>18.061112346694149</v>
      </c>
      <c r="Z82" s="35">
        <f>IF(Z54=1,Calculations!Z255,0)</f>
        <v>18.602945717094972</v>
      </c>
      <c r="AA82" s="35">
        <f>IF(AA54=1,Calculations!AA255,0)</f>
        <v>19.161034088607821</v>
      </c>
      <c r="AB82" s="35">
        <f>IF(AB54=1,Calculations!AB255,0)</f>
        <v>19.735865111266055</v>
      </c>
      <c r="AC82" s="35">
        <f>IF(AC54=1,Calculations!AC255,0)</f>
        <v>20.327941064604037</v>
      </c>
      <c r="AD82" s="35">
        <f>IF(AD54=1,Calculations!AD255,0)</f>
        <v>20.937779296542157</v>
      </c>
      <c r="AE82" s="35">
        <f>IF(AE54=1,Calculations!AE255,0)</f>
        <v>21.565912675438422</v>
      </c>
      <c r="AF82" s="35">
        <f>IF(AF54=1,Calculations!AF255,0)</f>
        <v>22.212890055701575</v>
      </c>
      <c r="AG82" s="35">
        <f>IF(AG54=1,Calculations!AG255,0)</f>
        <v>22.879276757372622</v>
      </c>
      <c r="AH82" s="35">
        <f>IF(AH54=1,Calculations!AH255,0)</f>
        <v>23.565655060093803</v>
      </c>
      <c r="AI82" s="405"/>
      <c r="AJ82" s="405"/>
      <c r="AK82" s="405"/>
    </row>
    <row r="83" spans="1:37" s="277" customFormat="1" x14ac:dyDescent="0.2">
      <c r="A83" s="320"/>
      <c r="B83" s="25" t="s">
        <v>411</v>
      </c>
      <c r="C83" s="24"/>
      <c r="D83" s="24"/>
      <c r="E83" s="35">
        <v>0</v>
      </c>
      <c r="F83" s="35">
        <f>IF(F54=1,'Balance sheet'!F78-'Balance sheet'!E78,0)</f>
        <v>0</v>
      </c>
      <c r="G83" s="35">
        <f>IF(G54=1,'Balance sheet'!G78-'Balance sheet'!F78,0)</f>
        <v>0</v>
      </c>
      <c r="H83" s="35">
        <f>IF(H54=1,'Balance sheet'!H78-'Balance sheet'!G78,0)</f>
        <v>0</v>
      </c>
      <c r="I83" s="35">
        <f>IF(I54=1,'Balance sheet'!I78-'Balance sheet'!H78,0)</f>
        <v>0</v>
      </c>
      <c r="J83" s="35">
        <f>IF(J54=1,'Balance sheet'!J78-'Balance sheet'!I78,0)</f>
        <v>0</v>
      </c>
      <c r="K83" s="35">
        <f>IF(K54=1,'Balance sheet'!K78-'Balance sheet'!J78,0)</f>
        <v>0</v>
      </c>
      <c r="L83" s="35">
        <f>IF(L54=1,'Balance sheet'!L78-'Balance sheet'!K78,0)</f>
        <v>0</v>
      </c>
      <c r="M83" s="35">
        <f>IF(M54=1,'Balance sheet'!M78-'Balance sheet'!L78,0)</f>
        <v>0</v>
      </c>
      <c r="N83" s="35">
        <f>IF(N54=1,'Balance sheet'!N78-'Balance sheet'!M78,0)</f>
        <v>0</v>
      </c>
      <c r="O83" s="35">
        <f>IF(O54=1,'Balance sheet'!O78-'Balance sheet'!N78,0)</f>
        <v>0</v>
      </c>
      <c r="P83" s="35">
        <f>IF(P54=1,'Balance sheet'!P78-'Balance sheet'!O78,0)</f>
        <v>0</v>
      </c>
      <c r="Q83" s="35">
        <f>IF(Q54=1,'Balance sheet'!Q78-'Balance sheet'!P78,0)</f>
        <v>0</v>
      </c>
      <c r="R83" s="35">
        <f>IF(R54=1,'Balance sheet'!R78-'Balance sheet'!Q78,0)</f>
        <v>0</v>
      </c>
      <c r="S83" s="35">
        <f>IF(S54=1,'Balance sheet'!S78-'Balance sheet'!R78,0)</f>
        <v>0</v>
      </c>
      <c r="T83" s="35">
        <f>IF(T54=1,'Balance sheet'!T78-'Balance sheet'!S78,0)</f>
        <v>0</v>
      </c>
      <c r="U83" s="35">
        <f>IF(U54=1,'Balance sheet'!U78-'Balance sheet'!T78,0)</f>
        <v>0</v>
      </c>
      <c r="V83" s="35">
        <f>IF(V54=1,'Balance sheet'!V78-'Balance sheet'!U78,0)</f>
        <v>0</v>
      </c>
      <c r="W83" s="35">
        <f>IF(W54=1,'Balance sheet'!W78-'Balance sheet'!V78,0)</f>
        <v>0</v>
      </c>
      <c r="X83" s="35">
        <f>IF(X54=1,'Balance sheet'!X78-'Balance sheet'!W78,0)</f>
        <v>0</v>
      </c>
      <c r="Y83" s="35">
        <f>IF(Y54=1,'Balance sheet'!Y78-'Balance sheet'!X78,0)</f>
        <v>0</v>
      </c>
      <c r="Z83" s="35">
        <f>IF(Z54=1,'Balance sheet'!Z78-'Balance sheet'!Y78,0)</f>
        <v>0</v>
      </c>
      <c r="AA83" s="35">
        <f>IF(AA54=1,'Balance sheet'!AA78-'Balance sheet'!Z78,0)</f>
        <v>0</v>
      </c>
      <c r="AB83" s="35">
        <f>IF(AB54=1,'Balance sheet'!AB78-'Balance sheet'!AA78,0)</f>
        <v>0</v>
      </c>
      <c r="AC83" s="35">
        <f>IF(AC54=1,'Balance sheet'!AC78-'Balance sheet'!AB78,0)</f>
        <v>0</v>
      </c>
      <c r="AD83" s="35">
        <f>IF(AD54=1,'Balance sheet'!AD78-'Balance sheet'!AC78,0)</f>
        <v>0</v>
      </c>
      <c r="AE83" s="35">
        <f>IF(AE54=1,'Balance sheet'!AE78-'Balance sheet'!AD78,0)</f>
        <v>0</v>
      </c>
      <c r="AF83" s="35">
        <f>IF(AF54=1,'Balance sheet'!AF78-'Balance sheet'!AE78,0)</f>
        <v>0</v>
      </c>
      <c r="AG83" s="35">
        <f>IF(AG54=1,'Balance sheet'!AG78-'Balance sheet'!AF78,0)</f>
        <v>0</v>
      </c>
      <c r="AH83" s="35">
        <f>IF(AH54=1,'Balance sheet'!AH78-'Balance sheet'!AG78,0)</f>
        <v>0</v>
      </c>
      <c r="AI83" s="405"/>
      <c r="AJ83" s="405"/>
      <c r="AK83" s="405"/>
    </row>
    <row r="84" spans="1:37" s="277" customFormat="1" x14ac:dyDescent="0.2">
      <c r="A84" s="320"/>
      <c r="B84" s="25" t="s">
        <v>116</v>
      </c>
      <c r="C84" s="24"/>
      <c r="D84" s="24"/>
      <c r="E84" s="35">
        <v>0</v>
      </c>
      <c r="F84" s="35">
        <f>IF(F54=1,'Balance sheet'!F83-'Balance sheet'!E83,0)</f>
        <v>0</v>
      </c>
      <c r="G84" s="35">
        <f>IF(G54=1,'Balance sheet'!G83-'Balance sheet'!F83,0)</f>
        <v>0</v>
      </c>
      <c r="H84" s="35">
        <f>IF(H54=1,'Balance sheet'!H83-'Balance sheet'!G83,0)</f>
        <v>0</v>
      </c>
      <c r="I84" s="35">
        <f>IF(I54=1,'Balance sheet'!I83-'Balance sheet'!H83,0)</f>
        <v>0</v>
      </c>
      <c r="J84" s="35">
        <f>IF(J54=1,'Balance sheet'!J83-'Balance sheet'!I83,0)</f>
        <v>0</v>
      </c>
      <c r="K84" s="35">
        <f>IF(K54=1,'Balance sheet'!K83-'Balance sheet'!J83,0)</f>
        <v>0</v>
      </c>
      <c r="L84" s="35">
        <f>IF(L54=1,'Balance sheet'!L83-'Balance sheet'!K83,0)</f>
        <v>0</v>
      </c>
      <c r="M84" s="35">
        <f>IF(M54=1,'Balance sheet'!M83-'Balance sheet'!L83,0)</f>
        <v>0</v>
      </c>
      <c r="N84" s="35">
        <f>IF(N54=1,'Balance sheet'!N83-'Balance sheet'!M83,0)</f>
        <v>0</v>
      </c>
      <c r="O84" s="35">
        <f>IF(O54=1,'Balance sheet'!O83-'Balance sheet'!N83,0)</f>
        <v>0</v>
      </c>
      <c r="P84" s="35">
        <f>IF(P54=1,'Balance sheet'!P83-'Balance sheet'!O83,0)</f>
        <v>0</v>
      </c>
      <c r="Q84" s="35">
        <f>IF(Q54=1,'Balance sheet'!Q83-'Balance sheet'!P83,0)</f>
        <v>0</v>
      </c>
      <c r="R84" s="35">
        <f>IF(R54=1,'Balance sheet'!R83-'Balance sheet'!Q83,0)</f>
        <v>0</v>
      </c>
      <c r="S84" s="35">
        <f>IF(S54=1,'Balance sheet'!S83-'Balance sheet'!R83,0)</f>
        <v>0</v>
      </c>
      <c r="T84" s="35">
        <f>IF(T54=1,'Balance sheet'!T83-'Balance sheet'!S83,0)</f>
        <v>0</v>
      </c>
      <c r="U84" s="35">
        <f>IF(U54=1,'Balance sheet'!U83-'Balance sheet'!T83,0)</f>
        <v>0</v>
      </c>
      <c r="V84" s="35">
        <f>IF(V54=1,'Balance sheet'!V83-'Balance sheet'!U83,0)</f>
        <v>0</v>
      </c>
      <c r="W84" s="35">
        <f>IF(W54=1,'Balance sheet'!W83-'Balance sheet'!V83,0)</f>
        <v>0</v>
      </c>
      <c r="X84" s="35">
        <f>IF(X54=1,'Balance sheet'!X83-'Balance sheet'!W83,0)</f>
        <v>0</v>
      </c>
      <c r="Y84" s="35">
        <f>IF(Y54=1,'Balance sheet'!Y83-'Balance sheet'!X83,0)</f>
        <v>0</v>
      </c>
      <c r="Z84" s="35">
        <f>IF(Z54=1,'Balance sheet'!Z83-'Balance sheet'!Y83,0)</f>
        <v>0</v>
      </c>
      <c r="AA84" s="35">
        <f>IF(AA54=1,'Balance sheet'!AA83-'Balance sheet'!Z83,0)</f>
        <v>0</v>
      </c>
      <c r="AB84" s="35">
        <f>IF(AB54=1,'Balance sheet'!AB83-'Balance sheet'!AA83,0)</f>
        <v>0</v>
      </c>
      <c r="AC84" s="35">
        <f>IF(AC54=1,'Balance sheet'!AC83-'Balance sheet'!AB83,0)</f>
        <v>0</v>
      </c>
      <c r="AD84" s="35">
        <f>IF(AD54=1,'Balance sheet'!AD83-'Balance sheet'!AC83,0)</f>
        <v>0</v>
      </c>
      <c r="AE84" s="35">
        <f>IF(AE54=1,'Balance sheet'!AE83-'Balance sheet'!AD83,0)</f>
        <v>0</v>
      </c>
      <c r="AF84" s="35">
        <f>IF(AF54=1,'Balance sheet'!AF83-'Balance sheet'!AE83,0)</f>
        <v>0</v>
      </c>
      <c r="AG84" s="35">
        <f>IF(AG54=1,'Balance sheet'!AG83-'Balance sheet'!AF83,0)</f>
        <v>0</v>
      </c>
      <c r="AH84" s="35">
        <f>IF(AH54=1,'Balance sheet'!AH83-'Balance sheet'!AG83,0)</f>
        <v>0</v>
      </c>
      <c r="AI84" s="405"/>
      <c r="AJ84" s="405"/>
      <c r="AK84" s="405"/>
    </row>
    <row r="85" spans="1:37" s="277" customFormat="1" x14ac:dyDescent="0.2">
      <c r="A85" s="320"/>
      <c r="B85" s="25" t="s">
        <v>663</v>
      </c>
      <c r="C85" s="24"/>
      <c r="D85" s="24"/>
      <c r="E85" s="35">
        <v>0</v>
      </c>
      <c r="F85" s="35">
        <f>F58</f>
        <v>12.849999999999998</v>
      </c>
      <c r="G85" s="35">
        <f t="shared" ref="G85:AH85" si="19">G58</f>
        <v>16.436749999999989</v>
      </c>
      <c r="H85" s="35">
        <f t="shared" si="19"/>
        <v>19.229249999999979</v>
      </c>
      <c r="I85" s="35">
        <f t="shared" si="19"/>
        <v>23.421875</v>
      </c>
      <c r="J85" s="35">
        <f t="shared" si="19"/>
        <v>27.439000000000078</v>
      </c>
      <c r="K85" s="35">
        <f t="shared" si="19"/>
        <v>31.326749999999947</v>
      </c>
      <c r="L85" s="35">
        <f t="shared" si="19"/>
        <v>32.479374999999891</v>
      </c>
      <c r="M85" s="35">
        <f t="shared" si="19"/>
        <v>31.020625000000109</v>
      </c>
      <c r="N85" s="35">
        <f t="shared" si="19"/>
        <v>29.410624999999982</v>
      </c>
      <c r="O85" s="35">
        <f t="shared" si="19"/>
        <v>26.21875</v>
      </c>
      <c r="P85" s="35">
        <f t="shared" si="19"/>
        <v>25.25</v>
      </c>
      <c r="Q85" s="35">
        <f t="shared" si="19"/>
        <v>25.25</v>
      </c>
      <c r="R85" s="35">
        <f t="shared" si="19"/>
        <v>25.25</v>
      </c>
      <c r="S85" s="35">
        <f t="shared" si="19"/>
        <v>25.25</v>
      </c>
      <c r="T85" s="35">
        <f t="shared" si="19"/>
        <v>25.25</v>
      </c>
      <c r="U85" s="35">
        <f t="shared" si="19"/>
        <v>13.125</v>
      </c>
      <c r="V85" s="35">
        <f t="shared" si="19"/>
        <v>1</v>
      </c>
      <c r="W85" s="35">
        <f t="shared" si="19"/>
        <v>1</v>
      </c>
      <c r="X85" s="35">
        <f t="shared" si="19"/>
        <v>1</v>
      </c>
      <c r="Y85" s="35">
        <f t="shared" si="19"/>
        <v>1</v>
      </c>
      <c r="Z85" s="35">
        <f t="shared" si="19"/>
        <v>1</v>
      </c>
      <c r="AA85" s="35">
        <f t="shared" si="19"/>
        <v>1</v>
      </c>
      <c r="AB85" s="35">
        <f t="shared" si="19"/>
        <v>1</v>
      </c>
      <c r="AC85" s="35">
        <f t="shared" si="19"/>
        <v>1</v>
      </c>
      <c r="AD85" s="35">
        <f t="shared" si="19"/>
        <v>1</v>
      </c>
      <c r="AE85" s="35">
        <f t="shared" si="19"/>
        <v>1</v>
      </c>
      <c r="AF85" s="35">
        <f t="shared" si="19"/>
        <v>1</v>
      </c>
      <c r="AG85" s="35">
        <f t="shared" si="19"/>
        <v>1</v>
      </c>
      <c r="AH85" s="35">
        <f t="shared" si="19"/>
        <v>1</v>
      </c>
      <c r="AI85" s="405"/>
      <c r="AJ85" s="405"/>
      <c r="AK85" s="405"/>
    </row>
    <row r="86" spans="1:37" s="277" customFormat="1" x14ac:dyDescent="0.2">
      <c r="A86" s="320"/>
      <c r="B86" s="25" t="s">
        <v>111</v>
      </c>
      <c r="C86" s="24"/>
      <c r="D86" s="24"/>
      <c r="E86" s="35">
        <v>0</v>
      </c>
      <c r="F86" s="35">
        <f>IF(F54=1,Calculations!F289,0)</f>
        <v>11446.397879440887</v>
      </c>
      <c r="G86" s="35">
        <f>IF(G54=1,Calculations!G289,0)</f>
        <v>11712.104849431673</v>
      </c>
      <c r="H86" s="35">
        <f>IF(H54=1,Calculations!H289,0)</f>
        <v>12075.990030592908</v>
      </c>
      <c r="I86" s="35">
        <f>IF(I54=1,Calculations!I289,0)</f>
        <v>12471.761102930872</v>
      </c>
      <c r="J86" s="35">
        <f>IF(J54=1,Calculations!J289,0)</f>
        <v>12950.025893911483</v>
      </c>
      <c r="K86" s="35">
        <f>IF(K54=1,Calculations!K289,0)</f>
        <v>14870.967366810839</v>
      </c>
      <c r="L86" s="35">
        <f>IF(L54=1,Calculations!L289,0)</f>
        <v>15715.914142705011</v>
      </c>
      <c r="M86" s="35">
        <f>IF(M54=1,Calculations!M289,0)</f>
        <v>16341.247812470465</v>
      </c>
      <c r="N86" s="35">
        <f>IF(N54=1,Calculations!N289,0)</f>
        <v>16985.908854063247</v>
      </c>
      <c r="O86" s="35">
        <f>IF(O54=1,Calculations!O289,0)</f>
        <v>17419.229763727264</v>
      </c>
      <c r="P86" s="35">
        <f>IF(P54=1,Calculations!P289,0)</f>
        <v>18051.134416836074</v>
      </c>
      <c r="Q86" s="35">
        <f>IF(Q54=1,Calculations!Q289,0)</f>
        <v>18695.327810758379</v>
      </c>
      <c r="R86" s="35">
        <f>IF(R54=1,Calculations!R289,0)</f>
        <v>19359.129292060486</v>
      </c>
      <c r="S86" s="35">
        <f>IF(S54=1,Calculations!S289,0)</f>
        <v>20043.114853014922</v>
      </c>
      <c r="T86" s="35">
        <f>IF(T54=1,Calculations!T289,0)</f>
        <v>20747.877274085316</v>
      </c>
      <c r="U86" s="35">
        <f>IF(U54=1,Calculations!U289,0)</f>
        <v>21182.043488892188</v>
      </c>
      <c r="V86" s="35">
        <f>IF(V54=1,Calculations!V289,0)</f>
        <v>22227.659553742211</v>
      </c>
      <c r="W86" s="35">
        <f>IF(W54=1,Calculations!W289,0)</f>
        <v>22994.373610000664</v>
      </c>
      <c r="X86" s="35">
        <f>IF(X54=1,Calculations!X289,0)</f>
        <v>23788.59919367544</v>
      </c>
      <c r="Y86" s="35">
        <f>IF(Y54=1,Calculations!Y289,0)</f>
        <v>24606.836048273588</v>
      </c>
      <c r="Z86" s="35">
        <f>IF(Z54=1,Calculations!Z289,0)</f>
        <v>25449.200504663972</v>
      </c>
      <c r="AA86" s="35">
        <f>IF(AA54=1,Calculations!AA289,0)</f>
        <v>26317.586543582442</v>
      </c>
      <c r="AB86" s="35">
        <f>IF(AB54=1,Calculations!AB289,0)</f>
        <v>27212.158952641479</v>
      </c>
      <c r="AC86" s="35">
        <f>IF(AC54=1,Calculations!AC289,0)</f>
        <v>28133.685463676484</v>
      </c>
      <c r="AD86" s="35">
        <f>IF(AD54=1,Calculations!AD289,0)</f>
        <v>29082.956186823943</v>
      </c>
      <c r="AE86" s="35">
        <f>IF(AE54=1,Calculations!AE289,0)</f>
        <v>30060.784263032096</v>
      </c>
      <c r="AF86" s="35">
        <f>IF(AF54=1,Calculations!AF289,0)</f>
        <v>31068.006535593257</v>
      </c>
      <c r="AG86" s="35">
        <f>IF(AG54=1,Calculations!AG289,0)</f>
        <v>32105.484241261151</v>
      </c>
      <c r="AH86" s="35">
        <f>IF(AH54=1,Calculations!AH289,0)</f>
        <v>33174.103721530824</v>
      </c>
      <c r="AI86" s="405"/>
      <c r="AJ86" s="405"/>
      <c r="AK86" s="405"/>
    </row>
    <row r="87" spans="1:37" s="277" customFormat="1" x14ac:dyDescent="0.2">
      <c r="A87" s="320"/>
      <c r="B87" s="25"/>
      <c r="C87" s="24"/>
      <c r="D87" s="24"/>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405"/>
      <c r="AJ87" s="405"/>
      <c r="AK87" s="405"/>
    </row>
    <row r="88" spans="1:37" s="277" customFormat="1" x14ac:dyDescent="0.2">
      <c r="A88" s="320"/>
      <c r="B88" s="27" t="s">
        <v>112</v>
      </c>
      <c r="C88" s="24"/>
      <c r="D88" s="24"/>
      <c r="E88" s="43">
        <f>IF(E54=1,-E80+E81+E82+E83+E84-E85-E86,0)</f>
        <v>0</v>
      </c>
      <c r="F88" s="43">
        <f>IF(F54=1,-F80+F81+F82+F83+F84-F85-F86,0)</f>
        <v>-11466.447879440886</v>
      </c>
      <c r="G88" s="43">
        <f t="shared" ref="G88:AH88" si="20">IF(G54=1,-G80+G81+G82+G83+G84-G85-G86,0)</f>
        <v>-11665.432599431673</v>
      </c>
      <c r="H88" s="43">
        <f t="shared" si="20"/>
        <v>-12019.292010592908</v>
      </c>
      <c r="I88" s="43">
        <f t="shared" si="20"/>
        <v>-12418.927889830871</v>
      </c>
      <c r="J88" s="43">
        <f t="shared" si="20"/>
        <v>-12900.872153168482</v>
      </c>
      <c r="K88" s="43">
        <f t="shared" si="20"/>
        <v>-14825.35359384555</v>
      </c>
      <c r="L88" s="43">
        <f t="shared" si="20"/>
        <v>-15766.094779050762</v>
      </c>
      <c r="M88" s="43">
        <f t="shared" si="20"/>
        <v>-16389.60073665659</v>
      </c>
      <c r="N88" s="43">
        <f t="shared" si="20"/>
        <v>-17032.271747224953</v>
      </c>
      <c r="O88" s="43">
        <f t="shared" si="20"/>
        <v>-17462.009349933822</v>
      </c>
      <c r="P88" s="43">
        <f t="shared" si="20"/>
        <v>-18062.54207812883</v>
      </c>
      <c r="Q88" s="43">
        <f t="shared" si="20"/>
        <v>-18706.320201889917</v>
      </c>
      <c r="R88" s="43">
        <f t="shared" si="20"/>
        <v>-19369.69395492597</v>
      </c>
      <c r="S88" s="43">
        <f t="shared" si="20"/>
        <v>-20053.23895576637</v>
      </c>
      <c r="T88" s="43">
        <f t="shared" si="20"/>
        <v>-20757.547599919308</v>
      </c>
      <c r="U88" s="43">
        <f t="shared" si="20"/>
        <v>-21604.121424501202</v>
      </c>
      <c r="V88" s="43">
        <f t="shared" si="20"/>
        <v>-22212.131077419494</v>
      </c>
      <c r="W88" s="43">
        <f t="shared" si="20"/>
        <v>-22978.349279388265</v>
      </c>
      <c r="X88" s="43">
        <f t="shared" si="20"/>
        <v>-23772.064133144668</v>
      </c>
      <c r="Y88" s="43">
        <f t="shared" si="20"/>
        <v>-24589.774935926893</v>
      </c>
      <c r="Z88" s="43">
        <f t="shared" si="20"/>
        <v>-25431.597558946876</v>
      </c>
      <c r="AA88" s="43">
        <f t="shared" si="20"/>
        <v>-26299.425509493834</v>
      </c>
      <c r="AB88" s="43">
        <f t="shared" si="20"/>
        <v>-27193.423087530213</v>
      </c>
      <c r="AC88" s="43">
        <f t="shared" si="20"/>
        <v>-28114.357522611881</v>
      </c>
      <c r="AD88" s="43">
        <f t="shared" si="20"/>
        <v>-29063.018407527401</v>
      </c>
      <c r="AE88" s="43">
        <f t="shared" si="20"/>
        <v>-30040.218350356656</v>
      </c>
      <c r="AF88" s="43">
        <f t="shared" si="20"/>
        <v>-31046.793645537557</v>
      </c>
      <c r="AG88" s="43">
        <f t="shared" si="20"/>
        <v>-32083.604964503778</v>
      </c>
      <c r="AH88" s="43">
        <f t="shared" si="20"/>
        <v>-33151.538066470734</v>
      </c>
      <c r="AI88" s="405"/>
      <c r="AJ88" s="405"/>
      <c r="AK88" s="405"/>
    </row>
    <row r="89" spans="1:37" s="277" customFormat="1" x14ac:dyDescent="0.2">
      <c r="A89" s="320"/>
      <c r="B89" s="26"/>
      <c r="C89" s="24"/>
      <c r="D89" s="24"/>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405"/>
      <c r="AJ89" s="405"/>
      <c r="AK89" s="405"/>
    </row>
    <row r="90" spans="1:37" s="277" customFormat="1" ht="16" thickBot="1" x14ac:dyDescent="0.25">
      <c r="A90" s="320"/>
      <c r="B90" s="26" t="s">
        <v>113</v>
      </c>
      <c r="C90" s="24"/>
      <c r="D90" s="24"/>
      <c r="E90" s="40">
        <f>E81+E89</f>
        <v>0</v>
      </c>
      <c r="F90" s="48">
        <f>IF(F54=1,F70+F77+F88,0)</f>
        <v>4905.599091188953</v>
      </c>
      <c r="G90" s="48">
        <f t="shared" ref="G90:AH90" si="21">IF(G54=1,G70+G77+G88,0)</f>
        <v>5019.4735068992904</v>
      </c>
      <c r="H90" s="48">
        <f t="shared" si="21"/>
        <v>5175.4242988255319</v>
      </c>
      <c r="I90" s="48">
        <f t="shared" si="21"/>
        <v>5345.0404726846627</v>
      </c>
      <c r="J90" s="48">
        <f t="shared" si="21"/>
        <v>5550.0110973906376</v>
      </c>
      <c r="K90" s="48">
        <f t="shared" si="21"/>
        <v>6373.2717286332154</v>
      </c>
      <c r="L90" s="48">
        <f t="shared" si="21"/>
        <v>6735.3917754450067</v>
      </c>
      <c r="M90" s="48">
        <f t="shared" si="21"/>
        <v>7003.3919196302013</v>
      </c>
      <c r="N90" s="48">
        <f t="shared" si="21"/>
        <v>7279.6752231699684</v>
      </c>
      <c r="O90" s="48">
        <f t="shared" si="21"/>
        <v>7465.3841844545423</v>
      </c>
      <c r="P90" s="48">
        <f t="shared" si="21"/>
        <v>7736.2004643583168</v>
      </c>
      <c r="Q90" s="48">
        <f t="shared" si="21"/>
        <v>8012.283347467881</v>
      </c>
      <c r="R90" s="48">
        <f t="shared" si="21"/>
        <v>8296.7696965973519</v>
      </c>
      <c r="S90" s="48">
        <f t="shared" si="21"/>
        <v>8589.9063655778264</v>
      </c>
      <c r="T90" s="48">
        <f t="shared" si="21"/>
        <v>8891.9474031794234</v>
      </c>
      <c r="U90" s="48">
        <f t="shared" si="21"/>
        <v>9078.0186380966552</v>
      </c>
      <c r="V90" s="48">
        <f t="shared" si="21"/>
        <v>9526.1398087466659</v>
      </c>
      <c r="W90" s="48">
        <f t="shared" si="21"/>
        <v>9854.7315471431466</v>
      </c>
      <c r="X90" s="48">
        <f t="shared" si="21"/>
        <v>10195.113940146621</v>
      </c>
      <c r="Y90" s="48">
        <f t="shared" si="21"/>
        <v>10545.786877831539</v>
      </c>
      <c r="Z90" s="48">
        <f t="shared" si="21"/>
        <v>10906.800216284562</v>
      </c>
      <c r="AA90" s="48">
        <f t="shared" si="21"/>
        <v>11278.965661535331</v>
      </c>
      <c r="AB90" s="48">
        <f t="shared" si="21"/>
        <v>11662.353836846352</v>
      </c>
      <c r="AC90" s="48">
        <f t="shared" si="21"/>
        <v>12057.293770147062</v>
      </c>
      <c r="AD90" s="48">
        <f t="shared" si="21"/>
        <v>12464.124080067413</v>
      </c>
      <c r="AE90" s="48">
        <f t="shared" si="21"/>
        <v>12883.193255585189</v>
      </c>
      <c r="AF90" s="48">
        <f t="shared" si="21"/>
        <v>13314.859943825682</v>
      </c>
      <c r="AG90" s="48">
        <f t="shared" si="21"/>
        <v>13759.49324625478</v>
      </c>
      <c r="AH90" s="48">
        <f t="shared" si="21"/>
        <v>14217.473023513216</v>
      </c>
      <c r="AI90" s="405"/>
      <c r="AJ90" s="405"/>
      <c r="AK90" s="405"/>
    </row>
    <row r="91" spans="1:37" s="278" customFormat="1" x14ac:dyDescent="0.2">
      <c r="A91" s="320"/>
      <c r="B91" s="22"/>
      <c r="C91" s="22"/>
      <c r="D91" s="22"/>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06"/>
      <c r="AJ91" s="406"/>
      <c r="AK91" s="406"/>
    </row>
    <row r="92" spans="1:37" s="277" customFormat="1" x14ac:dyDescent="0.2">
      <c r="A92" s="320"/>
      <c r="B92" s="82" t="s">
        <v>114</v>
      </c>
      <c r="C92" s="24"/>
      <c r="D92" s="24"/>
      <c r="E92" s="35"/>
      <c r="F92" s="35">
        <f>IF(F54=1,'Balance sheet'!E58,0)</f>
        <v>100</v>
      </c>
      <c r="G92" s="35">
        <f>IF(G54=1,'Balance sheet'!F58,0)</f>
        <v>5005.599091188953</v>
      </c>
      <c r="H92" s="35">
        <f>IF(H54=1,'Balance sheet'!G58,0)</f>
        <v>10025.072598088243</v>
      </c>
      <c r="I92" s="35">
        <f>IF(I54=1,'Balance sheet'!H58,0)</f>
        <v>15200.496896913775</v>
      </c>
      <c r="J92" s="35">
        <f>IF(J54=1,'Balance sheet'!I58,0)</f>
        <v>20545.537369598438</v>
      </c>
      <c r="K92" s="35">
        <f>IF(K54=1,'Balance sheet'!J58,0)</f>
        <v>26095.548466989076</v>
      </c>
      <c r="L92" s="35">
        <f>IF(L54=1,'Balance sheet'!K58,0)</f>
        <v>32468.820195622291</v>
      </c>
      <c r="M92" s="35">
        <f>IF(M54=1,'Balance sheet'!L58,0)</f>
        <v>39204.2119710673</v>
      </c>
      <c r="N92" s="35">
        <f>IF(N54=1,'Balance sheet'!M58,0)</f>
        <v>46207.603890697501</v>
      </c>
      <c r="O92" s="35">
        <f>IF(O54=1,'Balance sheet'!N58,0)</f>
        <v>53487.279113867466</v>
      </c>
      <c r="P92" s="35">
        <f>IF(P54=1,'Balance sheet'!O58,0)</f>
        <v>60952.663298322004</v>
      </c>
      <c r="Q92" s="35">
        <f>IF(Q54=1,'Balance sheet'!P58,0)</f>
        <v>68688.863762680325</v>
      </c>
      <c r="R92" s="35">
        <f>IF(R54=1,'Balance sheet'!Q58,0)</f>
        <v>76701.147110148202</v>
      </c>
      <c r="S92" s="35">
        <f>IF(S54=1,'Balance sheet'!R58,0)</f>
        <v>84997.916806745547</v>
      </c>
      <c r="T92" s="35">
        <f>IF(T54=1,'Balance sheet'!S58,0)</f>
        <v>93587.823172323377</v>
      </c>
      <c r="U92" s="35">
        <f>IF(U54=1,'Balance sheet'!T58,0)</f>
        <v>102479.7705755028</v>
      </c>
      <c r="V92" s="35">
        <f>IF(V54=1,'Balance sheet'!U58,0)</f>
        <v>111557.78921359946</v>
      </c>
      <c r="W92" s="35">
        <f>IF(W54=1,'Balance sheet'!V58,0)</f>
        <v>121083.92902234613</v>
      </c>
      <c r="X92" s="35">
        <f>IF(X54=1,'Balance sheet'!W58,0)</f>
        <v>130938.66056948928</v>
      </c>
      <c r="Y92" s="35">
        <f>IF(Y54=1,'Balance sheet'!X58,0)</f>
        <v>141133.7745096359</v>
      </c>
      <c r="Z92" s="35">
        <f>IF(Z54=1,'Balance sheet'!Y58,0)</f>
        <v>151679.56138746743</v>
      </c>
      <c r="AA92" s="35">
        <f>IF(AA54=1,'Balance sheet'!Z58,0)</f>
        <v>162586.36160375198</v>
      </c>
      <c r="AB92" s="35">
        <f>IF(AB54=1,'Balance sheet'!AA58,0)</f>
        <v>173865.32726528731</v>
      </c>
      <c r="AC92" s="35">
        <f>IF(AC54=1,'Balance sheet'!AB58,0)</f>
        <v>185527.68110213368</v>
      </c>
      <c r="AD92" s="35">
        <f>IF(AD54=1,'Balance sheet'!AC58,0)</f>
        <v>197584.97487228073</v>
      </c>
      <c r="AE92" s="35">
        <f>IF(AE54=1,'Balance sheet'!AD58,0)</f>
        <v>210049.09895234814</v>
      </c>
      <c r="AF92" s="35">
        <f>IF(AF54=1,'Balance sheet'!AE58,0)</f>
        <v>222932.29220793332</v>
      </c>
      <c r="AG92" s="35">
        <f>IF(AG54=1,'Balance sheet'!AF58,0)</f>
        <v>236247.15215175902</v>
      </c>
      <c r="AH92" s="35">
        <f>IF(AH54=1,'Balance sheet'!AG58,0)</f>
        <v>250006.64539801379</v>
      </c>
    </row>
    <row r="93" spans="1:37" s="277" customFormat="1" x14ac:dyDescent="0.2">
      <c r="A93" s="320"/>
      <c r="B93" s="82" t="s">
        <v>115</v>
      </c>
      <c r="C93" s="24"/>
      <c r="D93" s="24"/>
      <c r="E93" s="35">
        <f>'Balance sheet'!E58</f>
        <v>100</v>
      </c>
      <c r="F93" s="35">
        <f>IF(F54=1,'Balance sheet'!F58,0)</f>
        <v>5005.599091188953</v>
      </c>
      <c r="G93" s="35">
        <f>IF(G54=1,'Balance sheet'!G58,0)</f>
        <v>10025.072598088243</v>
      </c>
      <c r="H93" s="35">
        <f>IF(H54=1,'Balance sheet'!H58,0)</f>
        <v>15200.496896913775</v>
      </c>
      <c r="I93" s="35">
        <f>IF(I54=1,'Balance sheet'!I58,0)</f>
        <v>20545.537369598438</v>
      </c>
      <c r="J93" s="35">
        <f>IF(J54=1,'Balance sheet'!J58,0)</f>
        <v>26095.548466989076</v>
      </c>
      <c r="K93" s="35">
        <f>IF(K54=1,'Balance sheet'!K58,0)</f>
        <v>32468.820195622291</v>
      </c>
      <c r="L93" s="35">
        <f>IF(L54=1,'Balance sheet'!L58,0)</f>
        <v>39204.2119710673</v>
      </c>
      <c r="M93" s="35">
        <f>IF(M54=1,'Balance sheet'!M58,0)</f>
        <v>46207.603890697501</v>
      </c>
      <c r="N93" s="35">
        <f>IF(N54=1,'Balance sheet'!N58,0)</f>
        <v>53487.279113867466</v>
      </c>
      <c r="O93" s="35">
        <f>IF(O54=1,'Balance sheet'!O58,0)</f>
        <v>60952.663298322004</v>
      </c>
      <c r="P93" s="35">
        <f>IF(P54=1,'Balance sheet'!P58,0)</f>
        <v>68688.863762680325</v>
      </c>
      <c r="Q93" s="35">
        <f>IF(Q54=1,'Balance sheet'!Q58,0)</f>
        <v>76701.147110148202</v>
      </c>
      <c r="R93" s="35">
        <f>IF(R54=1,'Balance sheet'!R58,0)</f>
        <v>84997.916806745547</v>
      </c>
      <c r="S93" s="35">
        <f>IF(S54=1,'Balance sheet'!S58,0)</f>
        <v>93587.823172323377</v>
      </c>
      <c r="T93" s="35">
        <f>IF(T54=1,'Balance sheet'!T58,0)</f>
        <v>102479.7705755028</v>
      </c>
      <c r="U93" s="35">
        <f>IF(U54=1,'Balance sheet'!U58,0)</f>
        <v>111557.78921359946</v>
      </c>
      <c r="V93" s="35">
        <f>IF(V54=1,'Balance sheet'!V58,0)</f>
        <v>121083.92902234613</v>
      </c>
      <c r="W93" s="35">
        <f>IF(W54=1,'Balance sheet'!W58,0)</f>
        <v>130938.66056948928</v>
      </c>
      <c r="X93" s="35">
        <f>IF(X54=1,'Balance sheet'!X58,0)</f>
        <v>141133.7745096359</v>
      </c>
      <c r="Y93" s="35">
        <f>IF(Y54=1,'Balance sheet'!Y58,0)</f>
        <v>151679.56138746743</v>
      </c>
      <c r="Z93" s="35">
        <f>IF(Z54=1,'Balance sheet'!Z58,0)</f>
        <v>162586.36160375198</v>
      </c>
      <c r="AA93" s="35">
        <f>IF(AA54=1,'Balance sheet'!AA58,0)</f>
        <v>173865.32726528731</v>
      </c>
      <c r="AB93" s="35">
        <f>IF(AB54=1,'Balance sheet'!AB58,0)</f>
        <v>185527.68110213368</v>
      </c>
      <c r="AC93" s="35">
        <f>IF(AC54=1,'Balance sheet'!AC58,0)</f>
        <v>197584.97487228073</v>
      </c>
      <c r="AD93" s="35">
        <f>IF(AD54=1,'Balance sheet'!AD58,0)</f>
        <v>210049.09895234814</v>
      </c>
      <c r="AE93" s="35">
        <f>IF(AE54=1,'Balance sheet'!AE58,0)</f>
        <v>222932.29220793332</v>
      </c>
      <c r="AF93" s="35">
        <f>IF(AF54=1,'Balance sheet'!AF58,0)</f>
        <v>236247.15215175902</v>
      </c>
      <c r="AG93" s="35">
        <f>IF(AG54=1,'Balance sheet'!AG58,0)</f>
        <v>250006.64539801379</v>
      </c>
      <c r="AH93" s="35">
        <f>IF(AH54=1,'Balance sheet'!AH58,0)</f>
        <v>264224.11842152697</v>
      </c>
    </row>
    <row r="94" spans="1:37" s="277" customFormat="1" x14ac:dyDescent="0.2">
      <c r="A94" s="320"/>
      <c r="B94" s="82"/>
      <c r="C94" s="24"/>
      <c r="D94" s="24"/>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row>
    <row r="95" spans="1:37" s="278" customFormat="1" x14ac:dyDescent="0.2">
      <c r="A95" s="320"/>
      <c r="B95" s="22"/>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7" s="278" customFormat="1" x14ac:dyDescent="0.2">
      <c r="A96" s="320"/>
      <c r="B96" s="22"/>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7" s="18" customFormat="1" ht="19" x14ac:dyDescent="0.25">
      <c r="A97" s="324"/>
      <c r="B97" s="484" t="str">
        <f>'Assumptions - General'!$E$25</f>
        <v>Ruritania Passenger Rail Company</v>
      </c>
      <c r="C97" s="324"/>
      <c r="D97" s="324"/>
      <c r="E97" s="324"/>
      <c r="F97" s="324"/>
      <c r="G97" s="324"/>
      <c r="H97" s="324"/>
      <c r="I97" s="324"/>
      <c r="J97" s="324"/>
      <c r="K97" s="324"/>
      <c r="L97" s="324"/>
      <c r="M97" s="324"/>
      <c r="N97" s="324"/>
      <c r="O97" s="324"/>
      <c r="P97" s="324"/>
      <c r="Q97" s="324"/>
      <c r="R97" s="324"/>
      <c r="S97" s="324"/>
      <c r="T97" s="324"/>
      <c r="U97" s="324"/>
      <c r="V97" s="324"/>
      <c r="W97" s="324"/>
      <c r="X97" s="324"/>
      <c r="Y97" s="324"/>
      <c r="Z97" s="324"/>
      <c r="AA97" s="324"/>
      <c r="AB97" s="324"/>
      <c r="AC97" s="324"/>
      <c r="AD97" s="324"/>
      <c r="AE97" s="324"/>
      <c r="AF97" s="324"/>
      <c r="AG97" s="324"/>
      <c r="AH97" s="324"/>
    </row>
    <row r="98" spans="1:37" s="18" customFormat="1" x14ac:dyDescent="0.2">
      <c r="A98" s="324"/>
      <c r="B98" s="325"/>
      <c r="C98" s="326"/>
      <c r="D98" s="324"/>
      <c r="E98" s="324"/>
      <c r="F98" s="324"/>
      <c r="G98" s="324"/>
      <c r="H98" s="324"/>
      <c r="I98" s="324"/>
      <c r="J98" s="324"/>
      <c r="K98" s="324"/>
      <c r="L98" s="324"/>
      <c r="M98" s="324"/>
      <c r="N98" s="324"/>
      <c r="O98" s="324"/>
      <c r="P98" s="324"/>
      <c r="Q98" s="324"/>
      <c r="R98" s="324"/>
      <c r="S98" s="324"/>
      <c r="T98" s="324"/>
      <c r="U98" s="324"/>
      <c r="V98" s="324"/>
      <c r="W98" s="324"/>
      <c r="X98" s="324"/>
      <c r="Y98" s="324"/>
      <c r="Z98" s="324"/>
      <c r="AA98" s="324"/>
      <c r="AB98" s="324"/>
      <c r="AC98" s="324"/>
      <c r="AD98" s="324"/>
      <c r="AE98" s="324"/>
      <c r="AF98" s="324"/>
      <c r="AG98" s="324"/>
      <c r="AH98" s="324"/>
    </row>
    <row r="99" spans="1:37" s="20" customFormat="1" hidden="1" x14ac:dyDescent="0.2">
      <c r="A99" s="324"/>
      <c r="B99" s="7" t="s">
        <v>226</v>
      </c>
      <c r="C99" s="8"/>
      <c r="D99" s="8"/>
      <c r="E99" s="29">
        <f>Calculations!E17</f>
        <v>1</v>
      </c>
      <c r="F99" s="29">
        <f>Calculations!F17</f>
        <v>1</v>
      </c>
      <c r="G99" s="29">
        <f>Calculations!G17</f>
        <v>1</v>
      </c>
      <c r="H99" s="29">
        <f>Calculations!H17</f>
        <v>1</v>
      </c>
      <c r="I99" s="29">
        <f>Calculations!I17</f>
        <v>1</v>
      </c>
      <c r="J99" s="29">
        <f>Calculations!J17</f>
        <v>1</v>
      </c>
      <c r="K99" s="29">
        <f>Calculations!K17</f>
        <v>1</v>
      </c>
      <c r="L99" s="29">
        <f>Calculations!L17</f>
        <v>1</v>
      </c>
      <c r="M99" s="29">
        <f>Calculations!M17</f>
        <v>1</v>
      </c>
      <c r="N99" s="29">
        <f>Calculations!N17</f>
        <v>1</v>
      </c>
      <c r="O99" s="29">
        <f>Calculations!O17</f>
        <v>1</v>
      </c>
      <c r="P99" s="29">
        <f>Calculations!P17</f>
        <v>1</v>
      </c>
      <c r="Q99" s="29">
        <f>Calculations!Q17</f>
        <v>1</v>
      </c>
      <c r="R99" s="29">
        <f>Calculations!R17</f>
        <v>1</v>
      </c>
      <c r="S99" s="29">
        <f>Calculations!S17</f>
        <v>1</v>
      </c>
      <c r="T99" s="29">
        <f>Calculations!T17</f>
        <v>1</v>
      </c>
      <c r="U99" s="29">
        <f>Calculations!U17</f>
        <v>1</v>
      </c>
      <c r="V99" s="29">
        <f>Calculations!V17</f>
        <v>1</v>
      </c>
      <c r="W99" s="29">
        <f>Calculations!W17</f>
        <v>1</v>
      </c>
      <c r="X99" s="29">
        <f>Calculations!X17</f>
        <v>1</v>
      </c>
      <c r="Y99" s="29">
        <f>Calculations!Y17</f>
        <v>1</v>
      </c>
      <c r="Z99" s="29">
        <f>Calculations!Z17</f>
        <v>1</v>
      </c>
      <c r="AA99" s="29">
        <f>Calculations!AA17</f>
        <v>1</v>
      </c>
      <c r="AB99" s="29">
        <f>Calculations!AB17</f>
        <v>1</v>
      </c>
      <c r="AC99" s="29">
        <f>Calculations!AC17</f>
        <v>1</v>
      </c>
      <c r="AD99" s="29">
        <f>Calculations!AD17</f>
        <v>1</v>
      </c>
      <c r="AE99" s="29">
        <f>Calculations!AE17</f>
        <v>1</v>
      </c>
      <c r="AF99" s="29">
        <f>Calculations!AF17</f>
        <v>1</v>
      </c>
      <c r="AG99" s="29">
        <f>Calculations!AG17</f>
        <v>1</v>
      </c>
      <c r="AH99" s="29">
        <f>Calculations!AH17</f>
        <v>1</v>
      </c>
    </row>
    <row r="100" spans="1:37" s="278" customFormat="1" x14ac:dyDescent="0.2">
      <c r="A100" s="324"/>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7" s="20" customFormat="1" x14ac:dyDescent="0.2">
      <c r="A101" s="324"/>
      <c r="B101" s="19" t="s">
        <v>100</v>
      </c>
    </row>
    <row r="102" spans="1:37" s="277" customFormat="1" x14ac:dyDescent="0.2">
      <c r="A102" s="324"/>
      <c r="B102" s="25" t="s">
        <v>102</v>
      </c>
      <c r="C102" s="24"/>
      <c r="D102" s="24"/>
      <c r="E102" s="35">
        <v>0</v>
      </c>
      <c r="F102" s="35">
        <f>IF(F99=1,'Income statement'!F127,0)</f>
        <v>10031.017079919908</v>
      </c>
      <c r="G102" s="35">
        <f>IF(G99=1,'Income statement'!G127,0)</f>
        <v>10443.747632481924</v>
      </c>
      <c r="H102" s="35">
        <f>IF(H99=1,'Income statement'!H127,0)</f>
        <v>11662.664651275843</v>
      </c>
      <c r="I102" s="35">
        <f>IF(I99=1,'Income statement'!I127,0)</f>
        <v>13730.126663933072</v>
      </c>
      <c r="J102" s="35">
        <f>IF(J99=1,'Income statement'!J127,0)</f>
        <v>15191.429591808224</v>
      </c>
      <c r="K102" s="35">
        <f>IF(K99=1,'Income statement'!K127,0)</f>
        <v>16759.096229498435</v>
      </c>
      <c r="L102" s="35">
        <f>IF(L99=1,'Income statement'!L127,0)</f>
        <v>18425.354855749618</v>
      </c>
      <c r="M102" s="35">
        <f>IF(M99=1,'Income statement'!M127,0)</f>
        <v>20217.354527755851</v>
      </c>
      <c r="N102" s="35">
        <f>IF(N99=1,'Income statement'!N127,0)</f>
        <v>22118.521191125903</v>
      </c>
      <c r="O102" s="35">
        <f>IF(O99=1,'Income statement'!O127,0)</f>
        <v>23691.633027638738</v>
      </c>
      <c r="P102" s="35">
        <f>IF(P99=1,'Income statement'!P127,0)</f>
        <v>25666.462253361551</v>
      </c>
      <c r="Q102" s="35">
        <f>IF(Q99=1,'Income statement'!Q127,0)</f>
        <v>27783.319097874337</v>
      </c>
      <c r="R102" s="35">
        <f>IF(R99=1,'Income statement'!R127,0)</f>
        <v>30020.170710239188</v>
      </c>
      <c r="S102" s="35">
        <f>IF(S99=1,'Income statement'!S127,0)</f>
        <v>32382.635367497634</v>
      </c>
      <c r="T102" s="35">
        <f>IF(T99=1,'Income statement'!T127,0)</f>
        <v>34876.567378973668</v>
      </c>
      <c r="U102" s="35">
        <f>IF(U99=1,'Income statement'!U127,0)</f>
        <v>37508.941338439588</v>
      </c>
      <c r="V102" s="35">
        <f>IF(V99=1,'Income statement'!V127,0)</f>
        <v>40284.205097140119</v>
      </c>
      <c r="W102" s="35">
        <f>IF(W99=1,'Income statement'!W127,0)</f>
        <v>43209.887673062716</v>
      </c>
      <c r="X102" s="35">
        <f>IF(X99=1,'Income statement'!X127,0)</f>
        <v>46295.016627994177</v>
      </c>
      <c r="Y102" s="35">
        <f>IF(Y99=1,'Income statement'!Y127,0)</f>
        <v>49553.289191685326</v>
      </c>
      <c r="Z102" s="35">
        <f>IF(Z99=1,'Income statement'!Z127,0)</f>
        <v>52972.759212714962</v>
      </c>
      <c r="AA102" s="35">
        <f>IF(AA99=1,'Income statement'!AA127,0)</f>
        <v>56571.971402402938</v>
      </c>
      <c r="AB102" s="35">
        <f>IF(AB99=1,'Income statement'!AB127,0)</f>
        <v>60359.132730547892</v>
      </c>
      <c r="AC102" s="35">
        <f>IF(AC99=1,'Income statement'!AC127,0)</f>
        <v>64344.168386687095</v>
      </c>
      <c r="AD102" s="35">
        <f>IF(AD99=1,'Income statement'!AD127,0)</f>
        <v>68532.8670720542</v>
      </c>
      <c r="AE102" s="35">
        <f>IF(AE99=1,'Income statement'!AE127,0)</f>
        <v>72936.74994894542</v>
      </c>
      <c r="AF102" s="35">
        <f>IF(AF99=1,'Income statement'!AF127,0)</f>
        <v>77563.424355170093</v>
      </c>
      <c r="AG102" s="35">
        <f>IF(AG99=1,'Income statement'!AG127,0)</f>
        <v>82423.994599495432</v>
      </c>
      <c r="AH102" s="35">
        <f>IF(AH99=1,'Income statement'!AH127,0)</f>
        <v>87528.592118720233</v>
      </c>
      <c r="AI102" s="405"/>
      <c r="AJ102" s="405"/>
      <c r="AK102" s="405"/>
    </row>
    <row r="103" spans="1:37" s="277" customFormat="1" x14ac:dyDescent="0.2">
      <c r="A103" s="324"/>
      <c r="B103" s="25" t="s">
        <v>664</v>
      </c>
      <c r="C103" s="24"/>
      <c r="D103" s="24"/>
      <c r="E103" s="35">
        <v>0</v>
      </c>
      <c r="F103" s="35">
        <f>IF(F99,'Income statement'!F124+Calculations!F739,0)</f>
        <v>11.349249999999998</v>
      </c>
      <c r="G103" s="35">
        <f>IF(G99,'Income statement'!G124+Calculations!G739,0)</f>
        <v>12.235749999999996</v>
      </c>
      <c r="H103" s="35">
        <f>IF(H99,'Income statement'!H124+Calculations!H739,0)</f>
        <v>12.868499999999983</v>
      </c>
      <c r="I103" s="35">
        <f>IF(I99,'Income statement'!I124+Calculations!I739,0)</f>
        <v>14.062249999999949</v>
      </c>
      <c r="J103" s="35">
        <f>IF(J99,'Income statement'!J124+Calculations!J739,0)</f>
        <v>15.174999999999955</v>
      </c>
      <c r="K103" s="35">
        <f>IF(K99,'Income statement'!K124+Calculations!K739,0)</f>
        <v>16.231500000000096</v>
      </c>
      <c r="L103" s="35">
        <f>IF(L99,'Income statement'!L124+Calculations!L739,0)</f>
        <v>16.109750000000076</v>
      </c>
      <c r="M103" s="35">
        <f>IF(M99,'Income statement'!M124+Calculations!M739,0)</f>
        <v>14.388314168307716</v>
      </c>
      <c r="N103" s="35">
        <f>IF(N99,'Income statement'!N124+Calculations!N739,0)</f>
        <v>12.57935859198551</v>
      </c>
      <c r="O103" s="35">
        <f>IF(O99,'Income statement'!O124+Calculations!O739,0)</f>
        <v>10.306591802579987</v>
      </c>
      <c r="P103" s="35">
        <f>IF(P99,'Income statement'!P124+Calculations!P739,0)</f>
        <v>9.0620913088378074</v>
      </c>
      <c r="Q103" s="35">
        <f>IF(Q99,'Income statement'!Q124+Calculations!Q739,0)</f>
        <v>8.4823605415467682</v>
      </c>
      <c r="R103" s="35">
        <f>IF(R99,'Income statement'!R124+Calculations!R739,0)</f>
        <v>7.8668805359338876</v>
      </c>
      <c r="S103" s="35">
        <f>IF(S99,'Income statement'!S124+Calculations!S739,0)</f>
        <v>7.2133904410857212</v>
      </c>
      <c r="T103" s="35">
        <f>IF(T99,'Income statement'!T124+Calculations!T739,0)</f>
        <v>6.5194832263150602</v>
      </c>
      <c r="U103" s="35">
        <f>IF(U99,'Income statement'!U124+Calculations!U739,0)</f>
        <v>4.5325960525606206</v>
      </c>
      <c r="V103" s="35">
        <f>IF(V99,'Income statement'!V124+Calculations!V739,0)</f>
        <v>2.5</v>
      </c>
      <c r="W103" s="35">
        <f>IF(W99,'Income statement'!W124+Calculations!W739,0)</f>
        <v>2.5</v>
      </c>
      <c r="X103" s="35">
        <f>IF(X99,'Income statement'!X124+Calculations!X739,0)</f>
        <v>2.5</v>
      </c>
      <c r="Y103" s="35">
        <f>IF(Y99,'Income statement'!Y124+Calculations!Y739,0)</f>
        <v>2.5</v>
      </c>
      <c r="Z103" s="35">
        <f>IF(Z99,'Income statement'!Z124+Calculations!Z739,0)</f>
        <v>2.5</v>
      </c>
      <c r="AA103" s="35">
        <f>IF(AA99,'Income statement'!AA124+Calculations!AA739,0)</f>
        <v>2.5</v>
      </c>
      <c r="AB103" s="35">
        <f>IF(AB99,'Income statement'!AB124+Calculations!AB739,0)</f>
        <v>2.5</v>
      </c>
      <c r="AC103" s="35">
        <f>IF(AC99,'Income statement'!AC124+Calculations!AC739,0)</f>
        <v>2.5</v>
      </c>
      <c r="AD103" s="35">
        <f>IF(AD99,'Income statement'!AD124+Calculations!AD739,0)</f>
        <v>2.5</v>
      </c>
      <c r="AE103" s="35">
        <f>IF(AE99,'Income statement'!AE124+Calculations!AE739,0)</f>
        <v>1.25</v>
      </c>
      <c r="AF103" s="35">
        <f>IF(AF99,'Income statement'!AF124+Calculations!AF739,0)</f>
        <v>0</v>
      </c>
      <c r="AG103" s="35">
        <f>IF(AG99,'Income statement'!AG124+Calculations!AG739,0)</f>
        <v>0</v>
      </c>
      <c r="AH103" s="35">
        <f>IF(AH99,'Income statement'!AH124+Calculations!AH739,0)</f>
        <v>0</v>
      </c>
      <c r="AI103" s="405"/>
      <c r="AJ103" s="405"/>
      <c r="AK103" s="405"/>
    </row>
    <row r="104" spans="1:37" s="277" customFormat="1" x14ac:dyDescent="0.2">
      <c r="A104" s="324"/>
      <c r="B104" s="504" t="s">
        <v>699</v>
      </c>
      <c r="E104" s="405">
        <v>0</v>
      </c>
      <c r="F104" s="405">
        <f>Calculations!F695-Calculations!F666</f>
        <v>0</v>
      </c>
      <c r="G104" s="405">
        <f>Calculations!G695-Calculations!G666</f>
        <v>0</v>
      </c>
      <c r="H104" s="405">
        <f>Calculations!H695-Calculations!H666</f>
        <v>0</v>
      </c>
      <c r="I104" s="405">
        <f>Calculations!I695-Calculations!I666</f>
        <v>0</v>
      </c>
      <c r="J104" s="405">
        <f>Calculations!J695-Calculations!J666</f>
        <v>0</v>
      </c>
      <c r="K104" s="405">
        <f>Calculations!K695-Calculations!K666</f>
        <v>0</v>
      </c>
      <c r="L104" s="405">
        <f>Calculations!L695-Calculations!L666</f>
        <v>0</v>
      </c>
      <c r="M104" s="405">
        <f>Calculations!M695-Calculations!M666</f>
        <v>0</v>
      </c>
      <c r="N104" s="405">
        <f>Calculations!N695-Calculations!N666</f>
        <v>0</v>
      </c>
      <c r="O104" s="405">
        <f>Calculations!O695-Calculations!O666</f>
        <v>0</v>
      </c>
      <c r="P104" s="405">
        <f>Calculations!P695-Calculations!P666</f>
        <v>0</v>
      </c>
      <c r="Q104" s="405">
        <f>Calculations!Q695-Calculations!Q666</f>
        <v>0</v>
      </c>
      <c r="R104" s="405">
        <f>Calculations!R695-Calculations!R666</f>
        <v>0</v>
      </c>
      <c r="S104" s="405">
        <f>Calculations!S695-Calculations!S666</f>
        <v>0</v>
      </c>
      <c r="T104" s="405">
        <f>Calculations!T695-Calculations!T666</f>
        <v>0</v>
      </c>
      <c r="U104" s="405">
        <f>Calculations!U695-Calculations!U666</f>
        <v>0</v>
      </c>
      <c r="V104" s="405">
        <f>Calculations!V695-Calculations!V666</f>
        <v>0</v>
      </c>
      <c r="W104" s="405">
        <f>Calculations!W695-Calculations!W666</f>
        <v>0</v>
      </c>
      <c r="X104" s="405">
        <f>Calculations!X695-Calculations!X666</f>
        <v>0</v>
      </c>
      <c r="Y104" s="405">
        <f>Calculations!Y695-Calculations!Y666</f>
        <v>0</v>
      </c>
      <c r="Z104" s="405">
        <f>Calculations!Z695-Calculations!Z666</f>
        <v>0</v>
      </c>
      <c r="AA104" s="405">
        <f>Calculations!AA695-Calculations!AA666</f>
        <v>0</v>
      </c>
      <c r="AB104" s="405">
        <f>Calculations!AB695-Calculations!AB666</f>
        <v>0</v>
      </c>
      <c r="AC104" s="405">
        <f>Calculations!AC695-Calculations!AC666</f>
        <v>0</v>
      </c>
      <c r="AD104" s="405">
        <f>Calculations!AD695-Calculations!AD666</f>
        <v>0</v>
      </c>
      <c r="AE104" s="405">
        <f>Calculations!AE695-Calculations!AE666</f>
        <v>0</v>
      </c>
      <c r="AF104" s="405">
        <f>Calculations!AF695-Calculations!AF666</f>
        <v>0</v>
      </c>
      <c r="AG104" s="405">
        <f>Calculations!AG695-Calculations!AG666</f>
        <v>0</v>
      </c>
      <c r="AH104" s="405">
        <f>Calculations!AH695-Calculations!AH666</f>
        <v>0</v>
      </c>
      <c r="AI104" s="405"/>
      <c r="AJ104" s="405"/>
      <c r="AK104" s="405"/>
    </row>
    <row r="105" spans="1:37" s="277" customFormat="1" x14ac:dyDescent="0.2">
      <c r="A105" s="324"/>
      <c r="B105" s="23" t="s">
        <v>103</v>
      </c>
      <c r="C105" s="24"/>
      <c r="D105" s="24"/>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405"/>
      <c r="AJ105" s="405"/>
      <c r="AK105" s="405"/>
    </row>
    <row r="106" spans="1:37" s="277" customFormat="1" x14ac:dyDescent="0.2">
      <c r="A106" s="324"/>
      <c r="B106" s="25" t="s">
        <v>94</v>
      </c>
      <c r="C106" s="24"/>
      <c r="D106" s="24"/>
      <c r="E106" s="35">
        <v>0</v>
      </c>
      <c r="F106" s="35">
        <f>IF(F99=1,'Income statement'!F120,0)</f>
        <v>36.556064073226551</v>
      </c>
      <c r="G106" s="35">
        <f>IF(G99=1,'Income statement'!G120,0)</f>
        <v>49.190976210008202</v>
      </c>
      <c r="H106" s="35">
        <f>IF(H99=1,'Income statement'!H120,0)</f>
        <v>55.050766374508868</v>
      </c>
      <c r="I106" s="35">
        <f>IF(I99=1,'Income statement'!I120,0)</f>
        <v>60.910556539009548</v>
      </c>
      <c r="J106" s="35">
        <f>IF(J99=1,'Income statement'!J120,0)</f>
        <v>66.770346703510214</v>
      </c>
      <c r="K106" s="35">
        <f>IF(K99=1,'Income statement'!K120,0)</f>
        <v>72.630136868010865</v>
      </c>
      <c r="L106" s="35">
        <f>IF(L99=1,'Income statement'!L120,0)</f>
        <v>78.489927032511545</v>
      </c>
      <c r="M106" s="35">
        <f>IF(M99=1,'Income statement'!M120,0)</f>
        <v>84.349717197012225</v>
      </c>
      <c r="N106" s="35">
        <f>IF(N99=1,'Income statement'!N120,0)</f>
        <v>90.426898665860719</v>
      </c>
      <c r="O106" s="35">
        <f>IF(O99=1,'Income statement'!O120,0)</f>
        <v>96.069297526013571</v>
      </c>
      <c r="P106" s="35">
        <f>IF(P99=1,'Income statement'!P120,0)</f>
        <v>102.14647899486205</v>
      </c>
      <c r="Q106" s="35">
        <f>IF(Q99=1,'Income statement'!Q120,0)</f>
        <v>108.22366046371056</v>
      </c>
      <c r="R106" s="35">
        <f>IF(R99=1,'Income statement'!R120,0)</f>
        <v>114.30084193255905</v>
      </c>
      <c r="S106" s="35">
        <f>IF(S99=1,'Income statement'!S120,0)</f>
        <v>120.37802340140753</v>
      </c>
      <c r="T106" s="35">
        <f>IF(T99=1,'Income statement'!T120,0)</f>
        <v>126.45520487025603</v>
      </c>
      <c r="U106" s="35">
        <f>IF(U99=1,'Income statement'!U120,0)</f>
        <v>132.53238633910453</v>
      </c>
      <c r="V106" s="35">
        <f>IF(V99=1,'Income statement'!V120,0)</f>
        <v>138.609567807953</v>
      </c>
      <c r="W106" s="35">
        <f>IF(W99=1,'Income statement'!W120,0)</f>
        <v>144.68674927680155</v>
      </c>
      <c r="X106" s="35">
        <f>IF(X99=1,'Income statement'!X120,0)</f>
        <v>147.72045248478037</v>
      </c>
      <c r="Y106" s="35">
        <f>IF(Y99=1,'Income statement'!Y120,0)</f>
        <v>137.9309831181728</v>
      </c>
      <c r="Z106" s="35">
        <f>IF(Z99=1,'Income statement'!Z120,0)</f>
        <v>144.23991192090151</v>
      </c>
      <c r="AA106" s="35">
        <f>IF(AA99=1,'Income statement'!AA120,0)</f>
        <v>150.54884072363024</v>
      </c>
      <c r="AB106" s="35">
        <f>IF(AB99=1,'Income statement'!AB120,0)</f>
        <v>156.85776952635896</v>
      </c>
      <c r="AC106" s="35">
        <f>IF(AC99=1,'Income statement'!AC120,0)</f>
        <v>160.93678143158075</v>
      </c>
      <c r="AD106" s="35">
        <f>IF(AD99=1,'Income statement'!AD120,0)</f>
        <v>167.24571023430948</v>
      </c>
      <c r="AE106" s="35">
        <f>IF(AE99=1,'Income statement'!AE120,0)</f>
        <v>173.55463903703821</v>
      </c>
      <c r="AF106" s="35">
        <f>IF(AF99=1,'Income statement'!AF120,0)</f>
        <v>179.86356783976694</v>
      </c>
      <c r="AG106" s="35">
        <f>IF(AG99=1,'Income statement'!AG120,0)</f>
        <v>186.17249664249564</v>
      </c>
      <c r="AH106" s="35">
        <f>IF(AH99=1,'Income statement'!AH120,0)</f>
        <v>192.48142544522437</v>
      </c>
      <c r="AI106" s="405"/>
      <c r="AJ106" s="405"/>
      <c r="AK106" s="405"/>
    </row>
    <row r="107" spans="1:37" s="277" customFormat="1" x14ac:dyDescent="0.2">
      <c r="A107" s="324"/>
      <c r="B107" s="25" t="s">
        <v>611</v>
      </c>
      <c r="C107" s="24"/>
      <c r="D107" s="24"/>
      <c r="E107" s="35">
        <v>0</v>
      </c>
      <c r="F107" s="35">
        <f>IF(F99=1,Calculations!F674,0)</f>
        <v>1.624713958810069</v>
      </c>
      <c r="G107" s="35">
        <f>IF(G99=1,Calculations!G674,0)</f>
        <v>2.7058838578518354</v>
      </c>
      <c r="H107" s="35">
        <f>IF(H99=1,Calculations!H674,0)</f>
        <v>3.061810946355104</v>
      </c>
      <c r="I107" s="35">
        <f>IF(I99=1,Calculations!I674,0)</f>
        <v>3.4296362899238444</v>
      </c>
      <c r="J107" s="35">
        <f>IF(J99=1,Calculations!J674,0)</f>
        <v>3.8097168362100216</v>
      </c>
      <c r="K107" s="35">
        <f>IF(K99=1,Calculations!K674,0)</f>
        <v>4.2024202412951563</v>
      </c>
      <c r="L107" s="35">
        <f>IF(L99=1,Calculations!L674,0)</f>
        <v>4.6081251909432197</v>
      </c>
      <c r="M107" s="35">
        <f>IF(M99=1,Calculations!M674,0)</f>
        <v>5.0272217314910987</v>
      </c>
      <c r="N107" s="35">
        <f>IF(N99=1,Calculations!N674,0)</f>
        <v>5.4697734464145791</v>
      </c>
      <c r="O107" s="35">
        <f>IF(O99=1,Calculations!O674,0)</f>
        <v>5.9072086286260914</v>
      </c>
      <c r="P107" s="35">
        <f>IF(P99=1,Calculations!P674,0)</f>
        <v>6.3786008352843702</v>
      </c>
      <c r="Q107" s="35">
        <f>IF(Q99=1,Calculations!Q674,0)</f>
        <v>6.8650653954803067</v>
      </c>
      <c r="R107" s="35">
        <f>IF(R99=1,Calculations!R674,0)</f>
        <v>7.3670544798200304</v>
      </c>
      <c r="S107" s="35">
        <f>IF(S99=1,Calculations!S674,0)</f>
        <v>7.8850338240278601</v>
      </c>
      <c r="T107" s="35">
        <f>IF(T99=1,Calculations!T674,0)</f>
        <v>8.4194831358998314</v>
      </c>
      <c r="U107" s="35">
        <f>IF(U99=1,Calculations!U674,0)</f>
        <v>8.9708965144658723</v>
      </c>
      <c r="V107" s="35">
        <f>IF(V99=1,Calculations!V674,0)</f>
        <v>9.5397828817268042</v>
      </c>
      <c r="W107" s="35">
        <f>IF(W99=1,Calculations!W674,0)</f>
        <v>10.126666427343475</v>
      </c>
      <c r="X107" s="35">
        <f>IF(X99=1,Calculations!X674,0)</f>
        <v>10.596821366183459</v>
      </c>
      <c r="Y107" s="35">
        <f>IF(Y99=1,Calculations!Y674,0)</f>
        <v>10.509578971798215</v>
      </c>
      <c r="Z107" s="35">
        <f>IF(Z99=1,Calculations!Z674,0)</f>
        <v>11.152643124917637</v>
      </c>
      <c r="AA107" s="35">
        <f>IF(AA99=1,Calculations!AA674,0)</f>
        <v>11.815202914774906</v>
      </c>
      <c r="AB107" s="35">
        <f>IF(AB99=1,Calculations!AB674,0)</f>
        <v>12.497830000947729</v>
      </c>
      <c r="AC107" s="35">
        <f>IF(AC99=1,Calculations!AC674,0)</f>
        <v>13.097403244006497</v>
      </c>
      <c r="AD107" s="35">
        <f>IF(AD99=1,Calculations!AD674,0)</f>
        <v>13.816780570797858</v>
      </c>
      <c r="AE107" s="35">
        <f>IF(AE99=1,Calculations!AE674,0)</f>
        <v>14.557717892969226</v>
      </c>
      <c r="AF107" s="35">
        <f>IF(AF99=1,Calculations!AF674,0)</f>
        <v>15.320850983973695</v>
      </c>
      <c r="AG107" s="35">
        <f>IF(AG99=1,Calculations!AG674,0)</f>
        <v>16.106835912809736</v>
      </c>
      <c r="AH107" s="35">
        <f>IF(AH99=1,Calculations!AH674,0)</f>
        <v>16.916349442060309</v>
      </c>
      <c r="AI107" s="405"/>
      <c r="AJ107" s="405"/>
      <c r="AK107" s="405"/>
    </row>
    <row r="108" spans="1:37" s="277" customFormat="1" x14ac:dyDescent="0.2">
      <c r="A108" s="324"/>
      <c r="B108" s="23" t="s">
        <v>104</v>
      </c>
      <c r="C108" s="24"/>
      <c r="D108" s="24"/>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405"/>
      <c r="AJ108" s="405"/>
      <c r="AK108" s="405"/>
    </row>
    <row r="109" spans="1:37" s="277" customFormat="1" x14ac:dyDescent="0.2">
      <c r="A109" s="324"/>
      <c r="B109" s="25" t="s">
        <v>71</v>
      </c>
      <c r="C109" s="24"/>
      <c r="D109" s="24"/>
      <c r="E109" s="35">
        <v>0</v>
      </c>
      <c r="F109" s="35">
        <f>IF(F99=1,'Balance sheet'!F104-'Balance sheet'!E104,0)</f>
        <v>471.74094127446915</v>
      </c>
      <c r="G109" s="35">
        <f>IF(G99=1,'Balance sheet'!G104-'Balance sheet'!F104,0)</f>
        <v>164.15222823823387</v>
      </c>
      <c r="H109" s="35">
        <f>IF(H99=1,'Balance sheet'!H104-'Balance sheet'!G104,0)</f>
        <v>510.41175968346579</v>
      </c>
      <c r="I109" s="35">
        <f>IF(I99=1,'Balance sheet'!I104-'Balance sheet'!H104,0)</f>
        <v>887.53917494793859</v>
      </c>
      <c r="J109" s="35">
        <f>IF(J99=1,'Balance sheet'!J104-'Balance sheet'!I104,0)</f>
        <v>573.13758706643057</v>
      </c>
      <c r="K109" s="35">
        <f>IF(K99=1,'Balance sheet'!K104-'Balance sheet'!J104,0)</f>
        <v>601.19538259668843</v>
      </c>
      <c r="L109" s="35">
        <f>IF(L99=1,'Balance sheet'!L104-'Balance sheet'!K104,0)</f>
        <v>630.42082203039718</v>
      </c>
      <c r="M109" s="35">
        <f>IF(M99=1,'Balance sheet'!M104-'Balance sheet'!L104,0)</f>
        <v>660.85871198579662</v>
      </c>
      <c r="N109" s="35">
        <f>IF(N99=1,'Balance sheet'!N104-'Balance sheet'!M104,0)</f>
        <v>692.55549659869212</v>
      </c>
      <c r="O109" s="35">
        <f>IF(O99=1,'Balance sheet'!O104-'Balance sheet'!N104,0)</f>
        <v>725.55931544756641</v>
      </c>
      <c r="P109" s="35">
        <f>IF(P99=1,'Balance sheet'!P104-'Balance sheet'!O104,0)</f>
        <v>759.92006348044924</v>
      </c>
      <c r="Q109" s="35">
        <f>IF(Q99=1,'Balance sheet'!Q104-'Balance sheet'!P104,0)</f>
        <v>795.68945301138592</v>
      </c>
      <c r="R109" s="35">
        <f>IF(R99=1,'Balance sheet'!R104-'Balance sheet'!Q104,0)</f>
        <v>832.92107785705957</v>
      </c>
      <c r="S109" s="35">
        <f>IF(S99=1,'Balance sheet'!S104-'Balance sheet'!R104,0)</f>
        <v>871.67047968575753</v>
      </c>
      <c r="T109" s="35">
        <f>IF(T99=1,'Balance sheet'!T104-'Balance sheet'!S104,0)</f>
        <v>911.99521665409884</v>
      </c>
      <c r="U109" s="35">
        <f>IF(U99=1,'Balance sheet'!U104-'Balance sheet'!T104,0)</f>
        <v>953.95493440884093</v>
      </c>
      <c r="V109" s="35">
        <f>IF(V99=1,'Balance sheet'!V104-'Balance sheet'!U104,0)</f>
        <v>997.61143953386636</v>
      </c>
      <c r="W109" s="35">
        <f>IF(W99=1,'Balance sheet'!W104-'Balance sheet'!V104,0)</f>
        <v>1043.0287755254212</v>
      </c>
      <c r="X109" s="35">
        <f>IF(X99=1,'Balance sheet'!X104-'Balance sheet'!W104,0)</f>
        <v>1090.2733013809011</v>
      </c>
      <c r="Y109" s="35">
        <f>IF(Y99=1,'Balance sheet'!Y104-'Balance sheet'!X104,0)</f>
        <v>1139.4137728897294</v>
      </c>
      <c r="Z109" s="35">
        <f>IF(Z99=1,'Balance sheet'!Z104-'Balance sheet'!Y104,0)</f>
        <v>1190.521426717849</v>
      </c>
      <c r="AA109" s="35">
        <f>IF(AA99=1,'Balance sheet'!AA104-'Balance sheet'!Z104,0)</f>
        <v>1243.6700673800515</v>
      </c>
      <c r="AB109" s="35">
        <f>IF(AB99=1,'Balance sheet'!AB104-'Balance sheet'!AA104,0)</f>
        <v>1298.9361571979425</v>
      </c>
      <c r="AC109" s="35">
        <f>IF(AC99=1,'Balance sheet'!AC104-'Balance sheet'!AB104,0)</f>
        <v>1356.3989093442578</v>
      </c>
      <c r="AD109" s="35">
        <f>IF(AD99=1,'Balance sheet'!AD104-'Balance sheet'!AC104,0)</f>
        <v>1416.1403840778803</v>
      </c>
      <c r="AE109" s="35">
        <f>IF(AE99=1,'Balance sheet'!AE104-'Balance sheet'!AD104,0)</f>
        <v>1478.2455882771137</v>
      </c>
      <c r="AF109" s="35">
        <f>IF(AF99=1,'Balance sheet'!AF104-'Balance sheet'!AE104,0)</f>
        <v>1542.8025783826306</v>
      </c>
      <c r="AG109" s="35">
        <f>IF(AG99=1,'Balance sheet'!AG104-'Balance sheet'!AF104,0)</f>
        <v>1609.9025668650102</v>
      </c>
      <c r="AH109" s="35">
        <f>IF(AH99=1,'Balance sheet'!AH104-'Balance sheet'!AG104,0)</f>
        <v>1679.6400323358248</v>
      </c>
      <c r="AI109" s="405"/>
      <c r="AJ109" s="405"/>
      <c r="AK109" s="405"/>
    </row>
    <row r="110" spans="1:37" s="277" customFormat="1" x14ac:dyDescent="0.2">
      <c r="A110" s="324"/>
      <c r="B110" s="25" t="s">
        <v>72</v>
      </c>
      <c r="C110" s="24"/>
      <c r="D110" s="24"/>
      <c r="E110" s="35">
        <v>0</v>
      </c>
      <c r="F110" s="35">
        <f>IF(F99=1,'Balance sheet'!F105-'Balance sheet'!E105,0)</f>
        <v>9.4375</v>
      </c>
      <c r="G110" s="35">
        <f>IF(G99=1,'Balance sheet'!G105-'Balance sheet'!F105,0)</f>
        <v>3.2831249999999983</v>
      </c>
      <c r="H110" s="35">
        <f>IF(H99=1,'Balance sheet'!H105-'Balance sheet'!G105,0)</f>
        <v>10.211162500000029</v>
      </c>
      <c r="I110" s="35">
        <f>IF(I99=1,'Balance sheet'!I105-'Balance sheet'!H105,0)</f>
        <v>17.756813750000006</v>
      </c>
      <c r="J110" s="35">
        <f>IF(J99=1,'Balance sheet'!J105-'Balance sheet'!I105,0)</f>
        <v>11.466121001875052</v>
      </c>
      <c r="K110" s="35">
        <f>IF(K99=1,'Balance sheet'!K105-'Balance sheet'!J105,0)</f>
        <v>12.027468520862527</v>
      </c>
      <c r="L110" s="35">
        <f>IF(L99=1,'Balance sheet'!L105-'Balance sheet'!K105,0)</f>
        <v>12.612177382087566</v>
      </c>
      <c r="M110" s="35">
        <f>IF(M99=1,'Balance sheet'!M105-'Balance sheet'!L105,0)</f>
        <v>13.221144053317346</v>
      </c>
      <c r="N110" s="35">
        <f>IF(N99=1,'Balance sheet'!N105-'Balance sheet'!M105,0)</f>
        <v>13.855297765177085</v>
      </c>
      <c r="O110" s="35">
        <f>IF(O99=1,'Balance sheet'!O105-'Balance sheet'!N105,0)</f>
        <v>14.515601670100324</v>
      </c>
      <c r="P110" s="35">
        <f>IF(P99=1,'Balance sheet'!P105-'Balance sheet'!O105,0)</f>
        <v>15.203054041330432</v>
      </c>
      <c r="Q110" s="35">
        <f>IF(Q99=1,'Balance sheet'!Q105-'Balance sheet'!P105,0)</f>
        <v>15.918689513331117</v>
      </c>
      <c r="R110" s="35">
        <f>IF(R99=1,'Balance sheet'!R105-'Balance sheet'!Q105,0)</f>
        <v>16.663580365014724</v>
      </c>
      <c r="S110" s="35">
        <f>IF(S99=1,'Balance sheet'!S105-'Balance sheet'!R105,0)</f>
        <v>17.43883784723738</v>
      </c>
      <c r="T110" s="35">
        <f>IF(T99=1,'Balance sheet'!T105-'Balance sheet'!S105,0)</f>
        <v>18.245613556064825</v>
      </c>
      <c r="U110" s="35">
        <f>IF(U99=1,'Balance sheet'!U105-'Balance sheet'!T105,0)</f>
        <v>19.08510085335945</v>
      </c>
      <c r="V110" s="35">
        <f>IF(V99=1,'Balance sheet'!V105-'Balance sheet'!U105,0)</f>
        <v>19.958536336291161</v>
      </c>
      <c r="W110" s="35">
        <f>IF(W99=1,'Balance sheet'!W105-'Balance sheet'!V105,0)</f>
        <v>20.867201357430872</v>
      </c>
      <c r="X110" s="35">
        <f>IF(X99=1,'Balance sheet'!X105-'Balance sheet'!W105,0)</f>
        <v>21.812423597136274</v>
      </c>
      <c r="Y110" s="35">
        <f>IF(Y99=1,'Balance sheet'!Y105-'Balance sheet'!X105,0)</f>
        <v>22.795578690002287</v>
      </c>
      <c r="Z110" s="35">
        <f>IF(Z99=1,'Balance sheet'!Z105-'Balance sheet'!Y105,0)</f>
        <v>23.81809190720287</v>
      </c>
      <c r="AA110" s="35">
        <f>IF(AA99=1,'Balance sheet'!AA105-'Balance sheet'!Z105,0)</f>
        <v>24.881439896614552</v>
      </c>
      <c r="AB110" s="35">
        <f>IF(AB99=1,'Balance sheet'!AB105-'Balance sheet'!AA105,0)</f>
        <v>25.987152482674333</v>
      </c>
      <c r="AC110" s="35">
        <f>IF(AC99=1,'Balance sheet'!AC105-'Balance sheet'!AB105,0)</f>
        <v>27.13681452799085</v>
      </c>
      <c r="AD110" s="35">
        <f>IF(AD99=1,'Balance sheet'!AD105-'Balance sheet'!AC105,0)</f>
        <v>28.332067858791788</v>
      </c>
      <c r="AE110" s="35">
        <f>IF(AE99=1,'Balance sheet'!AE105-'Balance sheet'!AD105,0)</f>
        <v>29.574613256365865</v>
      </c>
      <c r="AF110" s="35">
        <f>IF(AF99=1,'Balance sheet'!AF105-'Balance sheet'!AE105,0)</f>
        <v>30.866212516721134</v>
      </c>
      <c r="AG110" s="35">
        <f>IF(AG99=1,'Balance sheet'!AG105-'Balance sheet'!AF105,0)</f>
        <v>32.208690580767438</v>
      </c>
      <c r="AH110" s="35">
        <f>IF(AH99=1,'Balance sheet'!AH105-'Balance sheet'!AG105,0)</f>
        <v>33.603937737390993</v>
      </c>
      <c r="AI110" s="405"/>
      <c r="AJ110" s="405"/>
      <c r="AK110" s="405"/>
    </row>
    <row r="111" spans="1:37" s="277" customFormat="1" x14ac:dyDescent="0.2">
      <c r="A111" s="324"/>
      <c r="B111" s="25" t="s">
        <v>288</v>
      </c>
      <c r="C111" s="24"/>
      <c r="D111" s="24"/>
      <c r="E111" s="35">
        <v>0</v>
      </c>
      <c r="F111" s="35">
        <f>IF(F99=1,'Balance sheet'!F106-'Balance sheet'!E106,0)</f>
        <v>0.42857142857144481</v>
      </c>
      <c r="G111" s="35">
        <f>IF(G99=1,'Balance sheet'!G106-'Balance sheet'!F106,0)</f>
        <v>0.44142857142857395</v>
      </c>
      <c r="H111" s="35">
        <f>IF(H99=1,'Balance sheet'!H106-'Balance sheet'!G106,0)</f>
        <v>0.45467142857141596</v>
      </c>
      <c r="I111" s="35">
        <f>IF(I99=1,'Balance sheet'!I106-'Balance sheet'!H106,0)</f>
        <v>0.46831157142858615</v>
      </c>
      <c r="J111" s="35">
        <f>IF(J99=1,'Balance sheet'!J106-'Balance sheet'!I106,0)</f>
        <v>0.48236091857143037</v>
      </c>
      <c r="K111" s="35">
        <f>IF(K99=1,'Balance sheet'!K106-'Balance sheet'!J106,0)</f>
        <v>0.49683174612857783</v>
      </c>
      <c r="L111" s="35">
        <f>IF(L99=1,'Balance sheet'!L106-'Balance sheet'!K106,0)</f>
        <v>0.51173669851240788</v>
      </c>
      <c r="M111" s="35">
        <f>IF(M99=1,'Balance sheet'!M106-'Balance sheet'!L106,0)</f>
        <v>0.52708879946780485</v>
      </c>
      <c r="N111" s="35">
        <f>IF(N99=1,'Balance sheet'!N106-'Balance sheet'!M106,0)</f>
        <v>0.54290146345184098</v>
      </c>
      <c r="O111" s="35">
        <f>IF(O99=1,'Balance sheet'!O106-'Balance sheet'!N106,0)</f>
        <v>0.55918850735538683</v>
      </c>
      <c r="P111" s="35">
        <f>IF(P99=1,'Balance sheet'!P106-'Balance sheet'!O106,0)</f>
        <v>0.57596416257605654</v>
      </c>
      <c r="Q111" s="35">
        <f>IF(Q99=1,'Balance sheet'!Q106-'Balance sheet'!P106,0)</f>
        <v>0.59324308745331678</v>
      </c>
      <c r="R111" s="35">
        <f>IF(R99=1,'Balance sheet'!R106-'Balance sheet'!Q106,0)</f>
        <v>0.61104038007695749</v>
      </c>
      <c r="S111" s="35">
        <f>IF(S99=1,'Balance sheet'!S106-'Balance sheet'!R106,0)</f>
        <v>0.62937159147922728</v>
      </c>
      <c r="T111" s="35">
        <f>IF(T99=1,'Balance sheet'!T106-'Balance sheet'!S106,0)</f>
        <v>0.64825273922362214</v>
      </c>
      <c r="U111" s="35">
        <f>IF(U99=1,'Balance sheet'!U106-'Balance sheet'!T106,0)</f>
        <v>0.66770032140033209</v>
      </c>
      <c r="V111" s="35">
        <f>IF(V99=1,'Balance sheet'!V106-'Balance sheet'!U106,0)</f>
        <v>0.68773133104232897</v>
      </c>
      <c r="W111" s="35">
        <f>IF(W99=1,'Balance sheet'!W106-'Balance sheet'!V106,0)</f>
        <v>0.70836327097360652</v>
      </c>
      <c r="X111" s="35">
        <f>IF(X99=1,'Balance sheet'!X106-'Balance sheet'!W106,0)</f>
        <v>0.72961416910283106</v>
      </c>
      <c r="Y111" s="35">
        <f>IF(Y99=1,'Balance sheet'!Y106-'Balance sheet'!X106,0)</f>
        <v>0.75150259417590348</v>
      </c>
      <c r="Z111" s="35">
        <f>IF(Z99=1,'Balance sheet'!Z106-'Balance sheet'!Y106,0)</f>
        <v>0.77404767200117419</v>
      </c>
      <c r="AA111" s="35">
        <f>IF(AA99=1,'Balance sheet'!AA106-'Balance sheet'!Z106,0)</f>
        <v>0.79726910216120928</v>
      </c>
      <c r="AB111" s="35">
        <f>IF(AB99=1,'Balance sheet'!AB106-'Balance sheet'!AA106,0)</f>
        <v>0.82118717522604356</v>
      </c>
      <c r="AC111" s="35">
        <f>IF(AC99=1,'Balance sheet'!AC106-'Balance sheet'!AB106,0)</f>
        <v>0.84582279048284192</v>
      </c>
      <c r="AD111" s="35">
        <f>IF(AD99=1,'Balance sheet'!AD106-'Balance sheet'!AC106,0)</f>
        <v>0.87119747419731652</v>
      </c>
      <c r="AE111" s="35">
        <f>IF(AE99=1,'Balance sheet'!AE106-'Balance sheet'!AD106,0)</f>
        <v>0.89733339842322835</v>
      </c>
      <c r="AF111" s="35">
        <f>IF(AF99=1,'Balance sheet'!AF106-'Balance sheet'!AE106,0)</f>
        <v>0.92425340037594594</v>
      </c>
      <c r="AG111" s="35">
        <f>IF(AG99=1,'Balance sheet'!AG106-'Balance sheet'!AF106,0)</f>
        <v>0.95198100238721395</v>
      </c>
      <c r="AH111" s="35">
        <f>IF(AH99=1,'Balance sheet'!AH106-'Balance sheet'!AG106,0)</f>
        <v>0.98054043245880962</v>
      </c>
      <c r="AI111" s="405"/>
      <c r="AJ111" s="405"/>
      <c r="AK111" s="405"/>
    </row>
    <row r="112" spans="1:37" s="277" customFormat="1" x14ac:dyDescent="0.2">
      <c r="A112" s="324"/>
      <c r="B112" s="25" t="s">
        <v>78</v>
      </c>
      <c r="C112" s="24"/>
      <c r="D112" s="24"/>
      <c r="E112" s="35">
        <v>0</v>
      </c>
      <c r="F112" s="35">
        <f>IF(F99=1,'Balance sheet'!F117-'Balance sheet'!E117,0)</f>
        <v>113.30769230769215</v>
      </c>
      <c r="G112" s="35">
        <f>IF(G99=1,'Balance sheet'!G117-'Balance sheet'!F117,0)</f>
        <v>45.399230769230826</v>
      </c>
      <c r="H112" s="35">
        <f>IF(H99=1,'Balance sheet'!H117-'Balance sheet'!G117,0)</f>
        <v>122.41153846153838</v>
      </c>
      <c r="I112" s="35">
        <f>IF(I99=1,'Balance sheet'!I117-'Balance sheet'!H117,0)</f>
        <v>206.27323523076961</v>
      </c>
      <c r="J112" s="35">
        <f>IF(J99=1,'Balance sheet'!J117-'Balance sheet'!I117,0)</f>
        <v>136.87918681615383</v>
      </c>
      <c r="K112" s="35">
        <f>IF(K99=1,'Balance sheet'!K117-'Balance sheet'!J117,0)</f>
        <v>143.39328549803054</v>
      </c>
      <c r="L112" s="35">
        <f>IF(L99=1,'Balance sheet'!L117-'Balance sheet'!K117,0)</f>
        <v>150.17503883268591</v>
      </c>
      <c r="M112" s="35">
        <f>IF(M99=1,'Balance sheet'!M117-'Balance sheet'!L117,0)</f>
        <v>157.23464341047202</v>
      </c>
      <c r="N112" s="35">
        <f>IF(N99=1,'Balance sheet'!N117-'Balance sheet'!M117,0)</f>
        <v>164.58266672797572</v>
      </c>
      <c r="O112" s="35">
        <f>IF(O99=1,'Balance sheet'!O117-'Balance sheet'!N117,0)</f>
        <v>172.23006026546045</v>
      </c>
      <c r="P112" s="35">
        <f>IF(P99=1,'Balance sheet'!P117-'Balance sheet'!O117,0)</f>
        <v>180.188173015139</v>
      </c>
      <c r="Q112" s="35">
        <f>IF(Q99=1,'Balance sheet'!Q117-'Balance sheet'!P117,0)</f>
        <v>188.46876547555894</v>
      </c>
      <c r="R112" s="35">
        <f>IF(R99=1,'Balance sheet'!R117-'Balance sheet'!Q117,0)</f>
        <v>197.08402412789155</v>
      </c>
      <c r="S112" s="35">
        <f>IF(S99=1,'Balance sheet'!S117-'Balance sheet'!R117,0)</f>
        <v>206.04657641043514</v>
      </c>
      <c r="T112" s="35">
        <f>IF(T99=1,'Balance sheet'!T117-'Balance sheet'!S117,0)</f>
        <v>215.36950620821654</v>
      </c>
      <c r="U112" s="35">
        <f>IF(U99=1,'Balance sheet'!U117-'Balance sheet'!T117,0)</f>
        <v>225.06636987509546</v>
      </c>
      <c r="V112" s="35">
        <f>IF(V99=1,'Balance sheet'!V117-'Balance sheet'!U117,0)</f>
        <v>235.15121280640005</v>
      </c>
      <c r="W112" s="35">
        <f>IF(W99=1,'Balance sheet'!W117-'Balance sheet'!V117,0)</f>
        <v>245.63858658069421</v>
      </c>
      <c r="X112" s="35">
        <f>IF(X99=1,'Balance sheet'!X117-'Balance sheet'!W117,0)</f>
        <v>256.54356668992023</v>
      </c>
      <c r="Y112" s="35">
        <f>IF(Y99=1,'Balance sheet'!Y117-'Balance sheet'!X117,0)</f>
        <v>267.88177087777967</v>
      </c>
      <c r="Z112" s="35">
        <f>IF(Z99=1,'Balance sheet'!Z117-'Balance sheet'!Y117,0)</f>
        <v>279.66937810688705</v>
      </c>
      <c r="AA112" s="35">
        <f>IF(AA99=1,'Balance sheet'!AA117-'Balance sheet'!Z117,0)</f>
        <v>291.92314817595343</v>
      </c>
      <c r="AB112" s="35">
        <f>IF(AB99=1,'Balance sheet'!AB117-'Balance sheet'!AA117,0)</f>
        <v>304.66044200886427</v>
      </c>
      <c r="AC112" s="35">
        <f>IF(AC99=1,'Balance sheet'!AC117-'Balance sheet'!AB117,0)</f>
        <v>317.89924263839293</v>
      </c>
      <c r="AD112" s="35">
        <f>IF(AD99=1,'Balance sheet'!AD117-'Balance sheet'!AC117,0)</f>
        <v>331.65817690788572</v>
      </c>
      <c r="AE112" s="35">
        <f>IF(AE99=1,'Balance sheet'!AE117-'Balance sheet'!AD117,0)</f>
        <v>345.95653791517452</v>
      </c>
      <c r="AF112" s="35">
        <f>IF(AF99=1,'Balance sheet'!AF117-'Balance sheet'!AE117,0)</f>
        <v>360.81430822368111</v>
      </c>
      <c r="AG112" s="35">
        <f>IF(AG99=1,'Balance sheet'!AG117-'Balance sheet'!AF117,0)</f>
        <v>376.25218386657525</v>
      </c>
      <c r="AH112" s="35">
        <f>IF(AH99=1,'Balance sheet'!AH117-'Balance sheet'!AG117,0)</f>
        <v>392.29159917064317</v>
      </c>
      <c r="AI112" s="405"/>
      <c r="AJ112" s="405"/>
      <c r="AK112" s="405"/>
    </row>
    <row r="113" spans="1:37" s="277" customFormat="1" x14ac:dyDescent="0.2">
      <c r="A113" s="324"/>
      <c r="B113" s="25" t="s">
        <v>290</v>
      </c>
      <c r="C113" s="24"/>
      <c r="D113" s="24"/>
      <c r="E113" s="35">
        <v>0</v>
      </c>
      <c r="F113" s="35">
        <f>IF(F99=1,'Balance sheet'!F118-'Balance sheet'!E118,0)</f>
        <v>3.0000000000000142</v>
      </c>
      <c r="G113" s="35">
        <f>IF(G99=1,'Balance sheet'!G118-'Balance sheet'!F118,0)</f>
        <v>3.0900000000000034</v>
      </c>
      <c r="H113" s="35">
        <f>IF(H99=1,'Balance sheet'!H118-'Balance sheet'!G118,0)</f>
        <v>3.182699999999997</v>
      </c>
      <c r="I113" s="35">
        <f>IF(I99=1,'Balance sheet'!I118-'Balance sheet'!H118,0)</f>
        <v>3.2781810000000036</v>
      </c>
      <c r="J113" s="35">
        <f>IF(J99=1,'Balance sheet'!J118-'Balance sheet'!I118,0)</f>
        <v>3.3765264299999984</v>
      </c>
      <c r="K113" s="35">
        <f>IF(K99=1,'Balance sheet'!K118-'Balance sheet'!J118,0)</f>
        <v>3.477822222899988</v>
      </c>
      <c r="L113" s="35">
        <f>IF(L99=1,'Balance sheet'!L118-'Balance sheet'!K118,0)</f>
        <v>3.5821568895870257</v>
      </c>
      <c r="M113" s="35">
        <f>IF(M99=1,'Balance sheet'!M118-'Balance sheet'!L118,0)</f>
        <v>3.6896215962746055</v>
      </c>
      <c r="N113" s="35">
        <f>IF(N99=1,'Balance sheet'!N118-'Balance sheet'!M118,0)</f>
        <v>3.8003102441628585</v>
      </c>
      <c r="O113" s="35">
        <f>IF(O99=1,'Balance sheet'!O118-'Balance sheet'!N118,0)</f>
        <v>3.914319551487722</v>
      </c>
      <c r="P113" s="35">
        <f>IF(P99=1,'Balance sheet'!P118-'Balance sheet'!O118,0)</f>
        <v>4.0317491380323816</v>
      </c>
      <c r="Q113" s="35">
        <f>IF(Q99=1,'Balance sheet'!Q118-'Balance sheet'!P118,0)</f>
        <v>4.1527016121733027</v>
      </c>
      <c r="R113" s="35">
        <f>IF(R99=1,'Balance sheet'!R118-'Balance sheet'!Q118,0)</f>
        <v>4.2772826605385887</v>
      </c>
      <c r="S113" s="35">
        <f>IF(S99=1,'Balance sheet'!S118-'Balance sheet'!R118,0)</f>
        <v>4.405601140354662</v>
      </c>
      <c r="T113" s="35">
        <f>IF(T99=1,'Balance sheet'!T118-'Balance sheet'!S118,0)</f>
        <v>4.5377691745653408</v>
      </c>
      <c r="U113" s="35">
        <f>IF(U99=1,'Balance sheet'!U118-'Balance sheet'!T118,0)</f>
        <v>4.6739022498022678</v>
      </c>
      <c r="V113" s="35">
        <f>IF(V99=1,'Balance sheet'!V118-'Balance sheet'!U118,0)</f>
        <v>4.8141193172963597</v>
      </c>
      <c r="W113" s="35">
        <f>IF(W99=1,'Balance sheet'!W118-'Balance sheet'!V118,0)</f>
        <v>4.9585428968152598</v>
      </c>
      <c r="X113" s="35">
        <f>IF(X99=1,'Balance sheet'!X118-'Balance sheet'!W118,0)</f>
        <v>5.1072991837197605</v>
      </c>
      <c r="Y113" s="35">
        <f>IF(Y99=1,'Balance sheet'!Y118-'Balance sheet'!X118,0)</f>
        <v>5.2605181592313102</v>
      </c>
      <c r="Z113" s="35">
        <f>IF(Z99=1,'Balance sheet'!Z118-'Balance sheet'!Y118,0)</f>
        <v>5.4183337040082336</v>
      </c>
      <c r="AA113" s="35">
        <f>IF(AA99=1,'Balance sheet'!AA118-'Balance sheet'!Z118,0)</f>
        <v>5.5808837151284933</v>
      </c>
      <c r="AB113" s="35">
        <f>IF(AB99=1,'Balance sheet'!AB118-'Balance sheet'!AA118,0)</f>
        <v>5.7483102265823618</v>
      </c>
      <c r="AC113" s="35">
        <f>IF(AC99=1,'Balance sheet'!AC118-'Balance sheet'!AB118,0)</f>
        <v>5.9207595333798224</v>
      </c>
      <c r="AD113" s="35">
        <f>IF(AD99=1,'Balance sheet'!AD118-'Balance sheet'!AC118,0)</f>
        <v>6.0983823193811872</v>
      </c>
      <c r="AE113" s="35">
        <f>IF(AE99=1,'Balance sheet'!AE118-'Balance sheet'!AD118,0)</f>
        <v>6.2813337889625984</v>
      </c>
      <c r="AF113" s="35">
        <f>IF(AF99=1,'Balance sheet'!AF118-'Balance sheet'!AE118,0)</f>
        <v>6.4697738026315506</v>
      </c>
      <c r="AG113" s="35">
        <f>IF(AG99=1,'Balance sheet'!AG118-'Balance sheet'!AF118,0)</f>
        <v>6.6638670167105261</v>
      </c>
      <c r="AH113" s="35">
        <f>IF(AH99=1,'Balance sheet'!AH118-'Balance sheet'!AG118,0)</f>
        <v>6.8637830272118094</v>
      </c>
      <c r="AI113" s="405"/>
      <c r="AJ113" s="405"/>
      <c r="AK113" s="405"/>
    </row>
    <row r="114" spans="1:37" s="277" customFormat="1" x14ac:dyDescent="0.2">
      <c r="A114" s="324"/>
      <c r="B114" s="23"/>
      <c r="C114" s="24"/>
      <c r="D114" s="24"/>
      <c r="E114" s="36">
        <f>SUM(E102:E113)</f>
        <v>0</v>
      </c>
      <c r="F114" s="36">
        <f>IF(F99=1,-F109-F110-F111+F112+F113,0)</f>
        <v>-365.29932039534845</v>
      </c>
      <c r="G114" s="36">
        <f t="shared" ref="G114:AH114" si="22">IF(G99=1,-G109-G110-G111+G112+G113,0)</f>
        <v>-119.38755104043159</v>
      </c>
      <c r="H114" s="36">
        <f t="shared" si="22"/>
        <v>-395.48335515049877</v>
      </c>
      <c r="I114" s="36">
        <f t="shared" si="22"/>
        <v>-696.21288403859751</v>
      </c>
      <c r="J114" s="36">
        <f t="shared" si="22"/>
        <v>-444.83035574072323</v>
      </c>
      <c r="K114" s="36">
        <f t="shared" si="22"/>
        <v>-466.84857514274898</v>
      </c>
      <c r="L114" s="36">
        <f t="shared" si="22"/>
        <v>-489.78754038872421</v>
      </c>
      <c r="M114" s="36">
        <f t="shared" si="22"/>
        <v>-513.68267983183523</v>
      </c>
      <c r="N114" s="36">
        <f t="shared" si="22"/>
        <v>-538.57071885518235</v>
      </c>
      <c r="O114" s="36">
        <f t="shared" si="22"/>
        <v>-564.4897258080739</v>
      </c>
      <c r="P114" s="36">
        <f t="shared" si="22"/>
        <v>-591.47915953118434</v>
      </c>
      <c r="Q114" s="36">
        <f t="shared" si="22"/>
        <v>-619.5799185244382</v>
      </c>
      <c r="R114" s="36">
        <f t="shared" si="22"/>
        <v>-648.83439181372103</v>
      </c>
      <c r="S114" s="36">
        <f t="shared" si="22"/>
        <v>-679.28651157368438</v>
      </c>
      <c r="T114" s="36">
        <f t="shared" si="22"/>
        <v>-710.98180756660543</v>
      </c>
      <c r="U114" s="36">
        <f t="shared" si="22"/>
        <v>-743.96746345870292</v>
      </c>
      <c r="V114" s="36">
        <f t="shared" si="22"/>
        <v>-778.29237507750349</v>
      </c>
      <c r="W114" s="36">
        <f t="shared" si="22"/>
        <v>-814.00721067631639</v>
      </c>
      <c r="X114" s="36">
        <f t="shared" si="22"/>
        <v>-851.16447327350033</v>
      </c>
      <c r="Y114" s="36">
        <f t="shared" si="22"/>
        <v>-889.81856513689661</v>
      </c>
      <c r="Z114" s="36">
        <f t="shared" si="22"/>
        <v>-930.02585448615775</v>
      </c>
      <c r="AA114" s="36">
        <f t="shared" si="22"/>
        <v>-971.8447444877454</v>
      </c>
      <c r="AB114" s="36">
        <f t="shared" si="22"/>
        <v>-1015.3357446203963</v>
      </c>
      <c r="AC114" s="36">
        <f t="shared" si="22"/>
        <v>-1060.5615444909586</v>
      </c>
      <c r="AD114" s="36">
        <f t="shared" si="22"/>
        <v>-1107.5870901836024</v>
      </c>
      <c r="AE114" s="36">
        <f t="shared" si="22"/>
        <v>-1156.4796632277655</v>
      </c>
      <c r="AF114" s="36">
        <f t="shared" si="22"/>
        <v>-1207.3089622734149</v>
      </c>
      <c r="AG114" s="36">
        <f t="shared" si="22"/>
        <v>-1260.1471875648788</v>
      </c>
      <c r="AH114" s="36">
        <f t="shared" si="22"/>
        <v>-1315.0691283078195</v>
      </c>
      <c r="AI114" s="405"/>
      <c r="AJ114" s="405"/>
      <c r="AK114" s="405"/>
    </row>
    <row r="115" spans="1:37" s="277" customFormat="1" ht="16" thickBot="1" x14ac:dyDescent="0.25">
      <c r="A115" s="324"/>
      <c r="B115" s="507" t="s">
        <v>105</v>
      </c>
      <c r="E115" s="508">
        <f>E112+E114</f>
        <v>0</v>
      </c>
      <c r="F115" s="508">
        <f>IF(F99=1,F102+F103+F104+F106-F107+F114,0)</f>
        <v>9711.9983596389757</v>
      </c>
      <c r="G115" s="508">
        <f t="shared" ref="G115:AH115" si="23">IF(G99=1,G102+G103+G104+G106-G107+G114,0)</f>
        <v>10383.080923793646</v>
      </c>
      <c r="H115" s="508">
        <f t="shared" si="23"/>
        <v>11332.038751553499</v>
      </c>
      <c r="I115" s="508">
        <f t="shared" si="23"/>
        <v>13105.456950143558</v>
      </c>
      <c r="J115" s="508">
        <f t="shared" si="23"/>
        <v>14824.734865934801</v>
      </c>
      <c r="K115" s="508">
        <f t="shared" si="23"/>
        <v>16376.906870982404</v>
      </c>
      <c r="L115" s="508">
        <f t="shared" si="23"/>
        <v>18025.558867202464</v>
      </c>
      <c r="M115" s="508">
        <f t="shared" si="23"/>
        <v>19797.382657557842</v>
      </c>
      <c r="N115" s="508">
        <f t="shared" si="23"/>
        <v>21677.486956082153</v>
      </c>
      <c r="O115" s="508">
        <f t="shared" si="23"/>
        <v>23227.61198253063</v>
      </c>
      <c r="P115" s="508">
        <f t="shared" si="23"/>
        <v>25179.813063298785</v>
      </c>
      <c r="Q115" s="508">
        <f t="shared" si="23"/>
        <v>27273.580134959677</v>
      </c>
      <c r="R115" s="508">
        <f t="shared" si="23"/>
        <v>29486.136986414142</v>
      </c>
      <c r="S115" s="508">
        <f t="shared" si="23"/>
        <v>31823.055235942418</v>
      </c>
      <c r="T115" s="508">
        <f t="shared" si="23"/>
        <v>34290.140776367734</v>
      </c>
      <c r="U115" s="508">
        <f t="shared" si="23"/>
        <v>36893.067960858076</v>
      </c>
      <c r="V115" s="508">
        <f t="shared" si="23"/>
        <v>39637.482506988839</v>
      </c>
      <c r="W115" s="508">
        <f t="shared" si="23"/>
        <v>42532.940545235855</v>
      </c>
      <c r="X115" s="508">
        <f t="shared" si="23"/>
        <v>45583.475785839277</v>
      </c>
      <c r="Y115" s="508">
        <f t="shared" si="23"/>
        <v>48793.392030694806</v>
      </c>
      <c r="Z115" s="508">
        <f t="shared" si="23"/>
        <v>52178.32062702479</v>
      </c>
      <c r="AA115" s="508">
        <f t="shared" si="23"/>
        <v>55741.360295724051</v>
      </c>
      <c r="AB115" s="508">
        <f t="shared" si="23"/>
        <v>59490.656925452909</v>
      </c>
      <c r="AC115" s="508">
        <f t="shared" si="23"/>
        <v>63433.94622038371</v>
      </c>
      <c r="AD115" s="508">
        <f t="shared" si="23"/>
        <v>67581.208911534108</v>
      </c>
      <c r="AE115" s="508">
        <f t="shared" si="23"/>
        <v>71940.517206861725</v>
      </c>
      <c r="AF115" s="508">
        <f t="shared" si="23"/>
        <v>76520.658109752476</v>
      </c>
      <c r="AG115" s="508">
        <f t="shared" si="23"/>
        <v>81333.913072660231</v>
      </c>
      <c r="AH115" s="508">
        <f t="shared" si="23"/>
        <v>86389.08806641557</v>
      </c>
      <c r="AI115" s="405"/>
      <c r="AJ115" s="405"/>
      <c r="AK115" s="405"/>
    </row>
    <row r="116" spans="1:37" s="277" customFormat="1" x14ac:dyDescent="0.2">
      <c r="A116" s="324"/>
      <c r="B116" s="24"/>
      <c r="C116" s="24"/>
      <c r="D116" s="24"/>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405"/>
      <c r="AJ116" s="405"/>
      <c r="AK116" s="405"/>
    </row>
    <row r="117" spans="1:37" s="20" customFormat="1" x14ac:dyDescent="0.2">
      <c r="A117" s="324"/>
      <c r="B117" s="19" t="s">
        <v>106</v>
      </c>
      <c r="E117" s="37"/>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row>
    <row r="118" spans="1:37" s="277" customFormat="1" x14ac:dyDescent="0.2">
      <c r="A118" s="324"/>
      <c r="B118" s="25" t="s">
        <v>107</v>
      </c>
      <c r="C118" s="24"/>
      <c r="D118" s="24"/>
      <c r="E118" s="35">
        <f>IF(E99=1,Calculations!E522+Calculations!E538+Calculations!E554+Calculations!E570+Calculations!E586+Calculations!E602,0)</f>
        <v>0</v>
      </c>
      <c r="F118" s="35">
        <f>IF(F99=1,Calculations!F522+Calculations!F538+Calculations!F554+Calculations!F570+Calculations!F586+Calculations!F602,0)</f>
        <v>280</v>
      </c>
      <c r="G118" s="35">
        <f>IF(G99=1,Calculations!G522+Calculations!G538+Calculations!G554+Calculations!G570+Calculations!G586+Calculations!G602,0)</f>
        <v>280</v>
      </c>
      <c r="H118" s="35">
        <f>IF(H99=1,Calculations!H522+Calculations!H538+Calculations!H554+Calculations!H570+Calculations!H586+Calculations!H602,0)</f>
        <v>280</v>
      </c>
      <c r="I118" s="35">
        <f>IF(I99=1,Calculations!I522+Calculations!I538+Calculations!I554+Calculations!I570+Calculations!I586+Calculations!I602,0)</f>
        <v>280</v>
      </c>
      <c r="J118" s="35">
        <f>IF(J99=1,Calculations!J522+Calculations!J538+Calculations!J554+Calculations!J570+Calculations!J586+Calculations!J602,0)</f>
        <v>280</v>
      </c>
      <c r="K118" s="35">
        <f>IF(K99=1,Calculations!K522+Calculations!K538+Calculations!K554+Calculations!K570+Calculations!K586+Calculations!K602,0)</f>
        <v>280</v>
      </c>
      <c r="L118" s="35">
        <f>IF(L99=1,Calculations!L522+Calculations!L538+Calculations!L554+Calculations!L570+Calculations!L586+Calculations!L602,0)</f>
        <v>280</v>
      </c>
      <c r="M118" s="35">
        <f>IF(M99=1,Calculations!M522+Calculations!M538+Calculations!M554+Calculations!M570+Calculations!M586+Calculations!M602,0)</f>
        <v>280</v>
      </c>
      <c r="N118" s="35">
        <f>IF(N99=1,Calculations!N522+Calculations!N538+Calculations!N554+Calculations!N570+Calculations!N586+Calculations!N602,0)</f>
        <v>280</v>
      </c>
      <c r="O118" s="35">
        <f>IF(O99=1,Calculations!O522+Calculations!O538+Calculations!O554+Calculations!O570+Calculations!O586+Calculations!O602,0)</f>
        <v>280</v>
      </c>
      <c r="P118" s="35">
        <f>IF(P99=1,Calculations!P522+Calculations!P538+Calculations!P554+Calculations!P570+Calculations!P586+Calculations!P602,0)</f>
        <v>280</v>
      </c>
      <c r="Q118" s="35">
        <f>IF(Q99=1,Calculations!Q522+Calculations!Q538+Calculations!Q554+Calculations!Q570+Calculations!Q586+Calculations!Q602,0)</f>
        <v>280</v>
      </c>
      <c r="R118" s="35">
        <f>IF(R99=1,Calculations!R522+Calculations!R538+Calculations!R554+Calculations!R570+Calculations!R586+Calculations!R602,0)</f>
        <v>280</v>
      </c>
      <c r="S118" s="35">
        <f>IF(S99=1,Calculations!S522+Calculations!S538+Calculations!S554+Calculations!S570+Calculations!S586+Calculations!S602,0)</f>
        <v>280</v>
      </c>
      <c r="T118" s="35">
        <f>IF(T99=1,Calculations!T522+Calculations!T538+Calculations!T554+Calculations!T570+Calculations!T586+Calculations!T602,0)</f>
        <v>280</v>
      </c>
      <c r="U118" s="35">
        <f>IF(U99=1,Calculations!U522+Calculations!U538+Calculations!U554+Calculations!U570+Calculations!U586+Calculations!U602,0)</f>
        <v>280</v>
      </c>
      <c r="V118" s="35">
        <f>IF(V99=1,Calculations!V522+Calculations!V538+Calculations!V554+Calculations!V570+Calculations!V586+Calculations!V602,0)</f>
        <v>280</v>
      </c>
      <c r="W118" s="35">
        <f>IF(W99=1,Calculations!W522+Calculations!W538+Calculations!W554+Calculations!W570+Calculations!W586+Calculations!W602,0)</f>
        <v>280</v>
      </c>
      <c r="X118" s="35">
        <f>IF(X99=1,Calculations!X522+Calculations!X538+Calculations!X554+Calculations!X570+Calculations!X586+Calculations!X602,0)</f>
        <v>280</v>
      </c>
      <c r="Y118" s="35">
        <f>IF(Y99=1,Calculations!Y522+Calculations!Y538+Calculations!Y554+Calculations!Y570+Calculations!Y586+Calculations!Y602,0)</f>
        <v>280</v>
      </c>
      <c r="Z118" s="35">
        <f>IF(Z99=1,Calculations!Z522+Calculations!Z538+Calculations!Z554+Calculations!Z570+Calculations!Z586+Calculations!Z602,0)</f>
        <v>280</v>
      </c>
      <c r="AA118" s="35">
        <f>IF(AA99=1,Calculations!AA522+Calculations!AA538+Calculations!AA554+Calculations!AA570+Calculations!AA586+Calculations!AA602,0)</f>
        <v>280</v>
      </c>
      <c r="AB118" s="35">
        <f>IF(AB99=1,Calculations!AB522+Calculations!AB538+Calculations!AB554+Calculations!AB570+Calculations!AB586+Calculations!AB602,0)</f>
        <v>280</v>
      </c>
      <c r="AC118" s="35">
        <f>IF(AC99=1,Calculations!AC522+Calculations!AC538+Calculations!AC554+Calculations!AC570+Calculations!AC586+Calculations!AC602,0)</f>
        <v>280</v>
      </c>
      <c r="AD118" s="35">
        <f>IF(AD99=1,Calculations!AD522+Calculations!AD538+Calculations!AD554+Calculations!AD570+Calculations!AD586+Calculations!AD602,0)</f>
        <v>280</v>
      </c>
      <c r="AE118" s="35">
        <f>IF(AE99=1,Calculations!AE522+Calculations!AE538+Calculations!AE554+Calculations!AE570+Calculations!AE586+Calculations!AE602,0)</f>
        <v>280</v>
      </c>
      <c r="AF118" s="35">
        <f>IF(AF99=1,Calculations!AF522+Calculations!AF538+Calculations!AF554+Calculations!AF570+Calculations!AF586+Calculations!AF602,0)</f>
        <v>280</v>
      </c>
      <c r="AG118" s="35">
        <f>IF(AG99=1,Calculations!AG522+Calculations!AG538+Calculations!AG554+Calculations!AG570+Calculations!AG586+Calculations!AG602,0)</f>
        <v>280</v>
      </c>
      <c r="AH118" s="35">
        <f>IF(AH99=1,Calculations!AH522+Calculations!AH538+Calculations!AH554+Calculations!AH570+Calculations!AH586+Calculations!AH602,0)</f>
        <v>280</v>
      </c>
      <c r="AI118" s="405"/>
      <c r="AJ118" s="405"/>
      <c r="AK118" s="405"/>
    </row>
    <row r="119" spans="1:37" s="277" customFormat="1" x14ac:dyDescent="0.2">
      <c r="A119" s="324"/>
      <c r="B119" s="25" t="s">
        <v>108</v>
      </c>
      <c r="C119" s="24"/>
      <c r="D119" s="24"/>
      <c r="E119" s="35">
        <v>0</v>
      </c>
      <c r="F119" s="35">
        <f>IF(F99=1,'Assumptions - Passenger'!F54,0)</f>
        <v>30</v>
      </c>
      <c r="G119" s="35">
        <f>IF(G99=1,'Assumptions - Passenger'!G54,0)</f>
        <v>30</v>
      </c>
      <c r="H119" s="35">
        <f>IF(H99=1,'Assumptions - Passenger'!H54,0)</f>
        <v>30</v>
      </c>
      <c r="I119" s="35">
        <f>IF(I99=1,'Assumptions - Passenger'!I54,0)</f>
        <v>30</v>
      </c>
      <c r="J119" s="35">
        <f>IF(J99=1,'Assumptions - Passenger'!J54,0)</f>
        <v>30</v>
      </c>
      <c r="K119" s="35">
        <f>IF(K99=1,'Assumptions - Passenger'!K54,0)</f>
        <v>30</v>
      </c>
      <c r="L119" s="35">
        <f>IF(L99=1,'Assumptions - Passenger'!L54,0)</f>
        <v>30</v>
      </c>
      <c r="M119" s="35">
        <f>IF(M99=1,'Assumptions - Passenger'!M54,0)</f>
        <v>30</v>
      </c>
      <c r="N119" s="35">
        <f>IF(N99=1,'Assumptions - Passenger'!N54,0)</f>
        <v>25</v>
      </c>
      <c r="O119" s="35">
        <f>IF(O99=1,'Assumptions - Passenger'!O54,0)</f>
        <v>25</v>
      </c>
      <c r="P119" s="35">
        <f>IF(P99=1,'Assumptions - Passenger'!P54,0)</f>
        <v>25</v>
      </c>
      <c r="Q119" s="35">
        <f>IF(Q99=1,'Assumptions - Passenger'!Q54,0)</f>
        <v>25</v>
      </c>
      <c r="R119" s="35">
        <f>IF(R99=1,'Assumptions - Passenger'!R54,0)</f>
        <v>25</v>
      </c>
      <c r="S119" s="35">
        <f>IF(S99=1,'Assumptions - Passenger'!S54,0)</f>
        <v>25</v>
      </c>
      <c r="T119" s="35">
        <f>IF(T99=1,'Assumptions - Passenger'!T54,0)</f>
        <v>25</v>
      </c>
      <c r="U119" s="35">
        <f>IF(U99=1,'Assumptions - Passenger'!U54,0)</f>
        <v>25</v>
      </c>
      <c r="V119" s="35">
        <f>IF(V99=1,'Assumptions - Passenger'!V54,0)</f>
        <v>25</v>
      </c>
      <c r="W119" s="35">
        <f>IF(W99=1,'Assumptions - Passenger'!W54,0)</f>
        <v>25</v>
      </c>
      <c r="X119" s="35">
        <f>IF(X99=1,'Assumptions - Passenger'!X54,0)</f>
        <v>25</v>
      </c>
      <c r="Y119" s="35">
        <f>IF(Y99=1,'Assumptions - Passenger'!Y54,0)</f>
        <v>25</v>
      </c>
      <c r="Z119" s="35">
        <f>IF(Z99=1,'Assumptions - Passenger'!Z54,0)</f>
        <v>20</v>
      </c>
      <c r="AA119" s="35">
        <f>IF(AA99=1,'Assumptions - Passenger'!AA54,0)</f>
        <v>20</v>
      </c>
      <c r="AB119" s="35">
        <f>IF(AB99=1,'Assumptions - Passenger'!AB54,0)</f>
        <v>20</v>
      </c>
      <c r="AC119" s="35">
        <f>IF(AC99=1,'Assumptions - Passenger'!AC54,0)</f>
        <v>20</v>
      </c>
      <c r="AD119" s="35">
        <f>IF(AD99=1,'Assumptions - Passenger'!AD54,0)</f>
        <v>20</v>
      </c>
      <c r="AE119" s="35">
        <f>IF(AE99=1,'Assumptions - Passenger'!AE54,0)</f>
        <v>20</v>
      </c>
      <c r="AF119" s="35">
        <f>IF(AF99=1,'Assumptions - Passenger'!AF54,0)</f>
        <v>20</v>
      </c>
      <c r="AG119" s="35">
        <f>IF(AG99=1,'Assumptions - Passenger'!AG54,0)</f>
        <v>20</v>
      </c>
      <c r="AH119" s="35">
        <f>IF(AH99=1,'Assumptions - Passenger'!AH54,0)</f>
        <v>20</v>
      </c>
      <c r="AI119" s="405"/>
      <c r="AJ119" s="405"/>
      <c r="AK119" s="405"/>
    </row>
    <row r="120" spans="1:37" s="277" customFormat="1" x14ac:dyDescent="0.2">
      <c r="A120" s="324"/>
      <c r="B120" s="25" t="s">
        <v>328</v>
      </c>
      <c r="C120" s="24"/>
      <c r="D120" s="24"/>
      <c r="E120" s="35">
        <v>0</v>
      </c>
      <c r="F120" s="35">
        <f>IF(F99=1,'Balance sheet'!F110-'Balance sheet'!E110,0)</f>
        <v>0</v>
      </c>
      <c r="G120" s="35">
        <f>IF(G99=1,'Balance sheet'!G110-'Balance sheet'!F110,0)</f>
        <v>0</v>
      </c>
      <c r="H120" s="35">
        <f>IF(H99=1,'Balance sheet'!H110-'Balance sheet'!G110,0)</f>
        <v>0</v>
      </c>
      <c r="I120" s="35">
        <f>IF(I99=1,'Balance sheet'!I110-'Balance sheet'!H110,0)</f>
        <v>0</v>
      </c>
      <c r="J120" s="35">
        <f>IF(J99=1,'Balance sheet'!J110-'Balance sheet'!I110,0)</f>
        <v>0</v>
      </c>
      <c r="K120" s="35">
        <f>IF(K99=1,'Balance sheet'!K110-'Balance sheet'!J110,0)</f>
        <v>0</v>
      </c>
      <c r="L120" s="35">
        <f>IF(L99=1,'Balance sheet'!L110-'Balance sheet'!K110,0)</f>
        <v>0</v>
      </c>
      <c r="M120" s="35">
        <f>IF(M99=1,'Balance sheet'!M110-'Balance sheet'!L110,0)</f>
        <v>0</v>
      </c>
      <c r="N120" s="35">
        <f>IF(N99=1,'Balance sheet'!N110-'Balance sheet'!M110,0)</f>
        <v>0</v>
      </c>
      <c r="O120" s="35">
        <f>IF(O99=1,'Balance sheet'!O110-'Balance sheet'!N110,0)</f>
        <v>0</v>
      </c>
      <c r="P120" s="35">
        <f>IF(P99=1,'Balance sheet'!P110-'Balance sheet'!O110,0)</f>
        <v>0</v>
      </c>
      <c r="Q120" s="35">
        <f>IF(Q99=1,'Balance sheet'!Q110-'Balance sheet'!P110,0)</f>
        <v>0</v>
      </c>
      <c r="R120" s="35">
        <f>IF(R99=1,'Balance sheet'!R110-'Balance sheet'!Q110,0)</f>
        <v>0</v>
      </c>
      <c r="S120" s="35">
        <f>IF(S99=1,'Balance sheet'!S110-'Balance sheet'!R110,0)</f>
        <v>0</v>
      </c>
      <c r="T120" s="35">
        <f>IF(T99=1,'Balance sheet'!T110-'Balance sheet'!S110,0)</f>
        <v>0</v>
      </c>
      <c r="U120" s="35">
        <f>IF(U99=1,'Balance sheet'!U110-'Balance sheet'!T110,0)</f>
        <v>0</v>
      </c>
      <c r="V120" s="35">
        <f>IF(V99=1,'Balance sheet'!V110-'Balance sheet'!U110,0)</f>
        <v>0</v>
      </c>
      <c r="W120" s="35">
        <f>IF(W99=1,'Balance sheet'!W110-'Balance sheet'!V110,0)</f>
        <v>0</v>
      </c>
      <c r="X120" s="35">
        <f>IF(X99=1,'Balance sheet'!X110-'Balance sheet'!W110,0)</f>
        <v>0</v>
      </c>
      <c r="Y120" s="35">
        <f>IF(Y99=1,'Balance sheet'!Y110-'Balance sheet'!X110,0)</f>
        <v>0</v>
      </c>
      <c r="Z120" s="35">
        <f>IF(Z99=1,'Balance sheet'!Z110-'Balance sheet'!Y110,0)</f>
        <v>0</v>
      </c>
      <c r="AA120" s="35">
        <f>IF(AA99=1,'Balance sheet'!AA110-'Balance sheet'!Z110,0)</f>
        <v>0</v>
      </c>
      <c r="AB120" s="35">
        <f>IF(AB99=1,'Balance sheet'!AB110-'Balance sheet'!AA110,0)</f>
        <v>0</v>
      </c>
      <c r="AC120" s="35">
        <f>IF(AC99=1,'Balance sheet'!AC110-'Balance sheet'!AB110,0)</f>
        <v>0</v>
      </c>
      <c r="AD120" s="35">
        <f>IF(AD99=1,'Balance sheet'!AD110-'Balance sheet'!AC110,0)</f>
        <v>0</v>
      </c>
      <c r="AE120" s="35">
        <f>IF(AE99=1,'Balance sheet'!AE110-'Balance sheet'!AD110,0)</f>
        <v>0</v>
      </c>
      <c r="AF120" s="35">
        <f>IF(AF99=1,'Balance sheet'!AF110-'Balance sheet'!AE110,0)</f>
        <v>0</v>
      </c>
      <c r="AG120" s="35">
        <f>IF(AG99=1,'Balance sheet'!AG110-'Balance sheet'!AF110,0)</f>
        <v>0</v>
      </c>
      <c r="AH120" s="35">
        <f>IF(AH99=1,'Balance sheet'!AH110-'Balance sheet'!AG110,0)</f>
        <v>0</v>
      </c>
      <c r="AI120" s="405"/>
      <c r="AJ120" s="405"/>
      <c r="AK120" s="405"/>
    </row>
    <row r="121" spans="1:37" s="277" customFormat="1" x14ac:dyDescent="0.2">
      <c r="A121" s="324"/>
      <c r="B121" s="25"/>
      <c r="C121" s="24"/>
      <c r="D121" s="24"/>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405"/>
      <c r="AJ121" s="405"/>
      <c r="AK121" s="405"/>
    </row>
    <row r="122" spans="1:37" s="277" customFormat="1" x14ac:dyDescent="0.2">
      <c r="A122" s="324"/>
      <c r="B122" s="27" t="s">
        <v>109</v>
      </c>
      <c r="C122" s="24"/>
      <c r="D122" s="24"/>
      <c r="E122" s="43">
        <f t="shared" ref="E122:AH122" si="24">IF(E99=1,-E118+E119-E120,0)</f>
        <v>0</v>
      </c>
      <c r="F122" s="43">
        <f t="shared" si="24"/>
        <v>-250</v>
      </c>
      <c r="G122" s="43">
        <f t="shared" si="24"/>
        <v>-250</v>
      </c>
      <c r="H122" s="43">
        <f t="shared" si="24"/>
        <v>-250</v>
      </c>
      <c r="I122" s="43">
        <f t="shared" si="24"/>
        <v>-250</v>
      </c>
      <c r="J122" s="43">
        <f t="shared" si="24"/>
        <v>-250</v>
      </c>
      <c r="K122" s="43">
        <f t="shared" si="24"/>
        <v>-250</v>
      </c>
      <c r="L122" s="43">
        <f t="shared" si="24"/>
        <v>-250</v>
      </c>
      <c r="M122" s="43">
        <f t="shared" si="24"/>
        <v>-250</v>
      </c>
      <c r="N122" s="43">
        <f t="shared" si="24"/>
        <v>-255</v>
      </c>
      <c r="O122" s="43">
        <f t="shared" si="24"/>
        <v>-255</v>
      </c>
      <c r="P122" s="43">
        <f t="shared" si="24"/>
        <v>-255</v>
      </c>
      <c r="Q122" s="43">
        <f t="shared" si="24"/>
        <v>-255</v>
      </c>
      <c r="R122" s="43">
        <f t="shared" si="24"/>
        <v>-255</v>
      </c>
      <c r="S122" s="43">
        <f t="shared" si="24"/>
        <v>-255</v>
      </c>
      <c r="T122" s="43">
        <f t="shared" si="24"/>
        <v>-255</v>
      </c>
      <c r="U122" s="43">
        <f t="shared" si="24"/>
        <v>-255</v>
      </c>
      <c r="V122" s="43">
        <f t="shared" si="24"/>
        <v>-255</v>
      </c>
      <c r="W122" s="43">
        <f t="shared" si="24"/>
        <v>-255</v>
      </c>
      <c r="X122" s="43">
        <f t="shared" si="24"/>
        <v>-255</v>
      </c>
      <c r="Y122" s="43">
        <f t="shared" si="24"/>
        <v>-255</v>
      </c>
      <c r="Z122" s="43">
        <f t="shared" si="24"/>
        <v>-260</v>
      </c>
      <c r="AA122" s="43">
        <f t="shared" si="24"/>
        <v>-260</v>
      </c>
      <c r="AB122" s="43">
        <f t="shared" si="24"/>
        <v>-260</v>
      </c>
      <c r="AC122" s="43">
        <f t="shared" si="24"/>
        <v>-260</v>
      </c>
      <c r="AD122" s="43">
        <f t="shared" si="24"/>
        <v>-260</v>
      </c>
      <c r="AE122" s="43">
        <f t="shared" si="24"/>
        <v>-260</v>
      </c>
      <c r="AF122" s="43">
        <f t="shared" si="24"/>
        <v>-260</v>
      </c>
      <c r="AG122" s="43">
        <f t="shared" si="24"/>
        <v>-260</v>
      </c>
      <c r="AH122" s="43">
        <f t="shared" si="24"/>
        <v>-260</v>
      </c>
      <c r="AI122" s="405"/>
      <c r="AJ122" s="405"/>
      <c r="AK122" s="405"/>
    </row>
    <row r="123" spans="1:37" s="277" customFormat="1" x14ac:dyDescent="0.2">
      <c r="A123" s="324"/>
      <c r="B123" s="23"/>
      <c r="C123" s="24"/>
      <c r="D123" s="24"/>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c r="AG123" s="39"/>
      <c r="AH123" s="39"/>
      <c r="AI123" s="405"/>
      <c r="AJ123" s="405"/>
      <c r="AK123" s="405"/>
    </row>
    <row r="124" spans="1:37" s="20" customFormat="1" x14ac:dyDescent="0.2">
      <c r="A124" s="324"/>
      <c r="B124" s="19" t="s">
        <v>110</v>
      </c>
      <c r="E124" s="37"/>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row>
    <row r="125" spans="1:37" s="277" customFormat="1" x14ac:dyDescent="0.2">
      <c r="A125" s="324"/>
      <c r="B125" s="25" t="s">
        <v>416</v>
      </c>
      <c r="C125" s="24"/>
      <c r="D125" s="24"/>
      <c r="E125" s="35">
        <v>0</v>
      </c>
      <c r="F125" s="35">
        <f>IF(F99=1,Calculations!F755+Calculations!F771+Calculations!F787+Calculations!F813+Calculations!F843+Calculations!F873+Calculations!F903,0)</f>
        <v>20</v>
      </c>
      <c r="G125" s="35">
        <f>IF(G99=1,Calculations!G755+Calculations!G771+Calculations!G787+Calculations!G813+Calculations!G843+Calculations!G873+Calculations!G903,0)</f>
        <v>30</v>
      </c>
      <c r="H125" s="35">
        <f>IF(H99=1,Calculations!H755+Calculations!H771+Calculations!H787+Calculations!H813+Calculations!H843+Calculations!H873+Calculations!H903,0)</f>
        <v>25</v>
      </c>
      <c r="I125" s="35">
        <f>IF(I99=1,Calculations!I755+Calculations!I771+Calculations!I787+Calculations!I813+Calculations!I843+Calculations!I873+Calculations!I903,0)</f>
        <v>25</v>
      </c>
      <c r="J125" s="35">
        <f>IF(J99=1,Calculations!J755+Calculations!J771+Calculations!J787+Calculations!J813+Calculations!J843+Calculations!J873+Calculations!J903,0)</f>
        <v>25</v>
      </c>
      <c r="K125" s="35">
        <f>IF(K99=1,Calculations!K755+Calculations!K771+Calculations!K787+Calculations!K813+Calculations!K843+Calculations!K873+Calculations!K903,0)</f>
        <v>25</v>
      </c>
      <c r="L125" s="35">
        <f>IF(L99=1,Calculations!L755+Calculations!L771+Calculations!L787+Calculations!L813+Calculations!L843+Calculations!L873+Calculations!L903,0)</f>
        <v>32.4395066669153</v>
      </c>
      <c r="M125" s="35">
        <f>IF(M99=1,Calculations!M755+Calculations!M771+Calculations!M787+Calculations!M813+Calculations!M843+Calculations!M873+Calculations!M903,0)</f>
        <v>32.807442498607458</v>
      </c>
      <c r="N125" s="35">
        <f>IF(N99=1,Calculations!N755+Calculations!N771+Calculations!N787+Calculations!N813+Calculations!N843+Calculations!N873+Calculations!N903,0)</f>
        <v>33.238398074929925</v>
      </c>
      <c r="O125" s="35">
        <f>IF(O99=1,Calculations!O755+Calculations!O771+Calculations!O787+Calculations!O813+Calculations!O843+Calculations!O873+Calculations!O903,0)</f>
        <v>34.094414864335292</v>
      </c>
      <c r="P125" s="35">
        <f>IF(P99=1,Calculations!P755+Calculations!P771+Calculations!P787+Calculations!P813+Calculations!P843+Calculations!P873+Calculations!P903,0)</f>
        <v>9.6624153580774621</v>
      </c>
      <c r="Q125" s="35">
        <f>IF(Q99=1,Calculations!Q755+Calculations!Q771+Calculations!Q787+Calculations!Q813+Calculations!Q843+Calculations!Q873+Calculations!Q903,0)</f>
        <v>10.24214612536878</v>
      </c>
      <c r="R125" s="35">
        <f>IF(R99=1,Calculations!R755+Calculations!R771+Calculations!R787+Calculations!R813+Calculations!R843+Calculations!R873+Calculations!R903,0)</f>
        <v>10.857626130981783</v>
      </c>
      <c r="S125" s="35">
        <f>IF(S99=1,Calculations!S755+Calculations!S771+Calculations!S787+Calculations!S813+Calculations!S843+Calculations!S873+Calculations!S903,0)</f>
        <v>11.511116225829554</v>
      </c>
      <c r="T125" s="35">
        <f>IF(T99=1,Calculations!T755+Calculations!T771+Calculations!T787+Calculations!T813+Calculations!T843+Calculations!T873+Calculations!T903,0)</f>
        <v>12.205023440600621</v>
      </c>
      <c r="U125" s="35">
        <f>IF(U99=1,Calculations!U755+Calculations!U771+Calculations!U787+Calculations!U813+Calculations!U843+Calculations!U873+Calculations!U903,0)</f>
        <v>62.941910614353816</v>
      </c>
      <c r="V125" s="35">
        <f>IF(V99=1,Calculations!V755+Calculations!V771+Calculations!V787+Calculations!V813+Calculations!V843+Calculations!V873+Calculations!V903,0)</f>
        <v>0</v>
      </c>
      <c r="W125" s="35">
        <f>IF(W99=1,Calculations!W755+Calculations!W771+Calculations!W787+Calculations!W813+Calculations!W843+Calculations!W873+Calculations!W903,0)</f>
        <v>0</v>
      </c>
      <c r="X125" s="35">
        <f>IF(X99=1,Calculations!X755+Calculations!X771+Calculations!X787+Calculations!X813+Calculations!X843+Calculations!X873+Calculations!X903,0)</f>
        <v>0</v>
      </c>
      <c r="Y125" s="35">
        <f>IF(Y99=1,Calculations!Y755+Calculations!Y771+Calculations!Y787+Calculations!Y813+Calculations!Y843+Calculations!Y873+Calculations!Y903,0)</f>
        <v>0</v>
      </c>
      <c r="Z125" s="35">
        <f>IF(Z99=1,Calculations!Z755+Calculations!Z771+Calculations!Z787+Calculations!Z813+Calculations!Z843+Calculations!Z873+Calculations!Z903,0)</f>
        <v>0</v>
      </c>
      <c r="AA125" s="35">
        <f>IF(AA99=1,Calculations!AA755+Calculations!AA771+Calculations!AA787+Calculations!AA813+Calculations!AA843+Calculations!AA873+Calculations!AA903,0)</f>
        <v>0</v>
      </c>
      <c r="AB125" s="35">
        <f>IF(AB99=1,Calculations!AB755+Calculations!AB771+Calculations!AB787+Calculations!AB813+Calculations!AB843+Calculations!AB873+Calculations!AB903,0)</f>
        <v>0</v>
      </c>
      <c r="AC125" s="35">
        <f>IF(AC99=1,Calculations!AC755+Calculations!AC771+Calculations!AC787+Calculations!AC813+Calculations!AC843+Calculations!AC873+Calculations!AC903,0)</f>
        <v>0</v>
      </c>
      <c r="AD125" s="35">
        <f>IF(AD99=1,Calculations!AD755+Calculations!AD771+Calculations!AD787+Calculations!AD813+Calculations!AD843+Calculations!AD873+Calculations!AD903,0)</f>
        <v>0</v>
      </c>
      <c r="AE125" s="35">
        <f>IF(AE99=1,Calculations!AE755+Calculations!AE771+Calculations!AE787+Calculations!AE813+Calculations!AE843+Calculations!AE873+Calculations!AE903,0)</f>
        <v>50</v>
      </c>
      <c r="AF125" s="35">
        <f>IF(AF99=1,Calculations!AF755+Calculations!AF771+Calculations!AF787+Calculations!AF813+Calculations!AF843+Calculations!AF873+Calculations!AF903,0)</f>
        <v>0</v>
      </c>
      <c r="AG125" s="35">
        <f>IF(AG99=1,Calculations!AG755+Calculations!AG771+Calculations!AG787+Calculations!AG813+Calculations!AG843+Calculations!AG873+Calculations!AG903,0)</f>
        <v>0</v>
      </c>
      <c r="AH125" s="35">
        <f>IF(AH99=1,Calculations!AH755+Calculations!AH771+Calculations!AH787+Calculations!AH813+Calculations!AH843+Calculations!AH873+Calculations!AH903,0)</f>
        <v>0</v>
      </c>
      <c r="AI125" s="405"/>
      <c r="AJ125" s="405"/>
      <c r="AK125" s="405"/>
    </row>
    <row r="126" spans="1:37" s="277" customFormat="1" x14ac:dyDescent="0.2">
      <c r="A126" s="324"/>
      <c r="B126" s="25" t="s">
        <v>417</v>
      </c>
      <c r="C126" s="24"/>
      <c r="D126" s="24"/>
      <c r="E126" s="35">
        <v>0</v>
      </c>
      <c r="F126" s="35">
        <f>IF(F99=1,Calculations!F814+Calculations!F844+Calculations!F874+Calculations!F904,0)</f>
        <v>0</v>
      </c>
      <c r="G126" s="35">
        <f>IF(G99=1,Calculations!G814+Calculations!G844+Calculations!G874+Calculations!G904,0)</f>
        <v>40</v>
      </c>
      <c r="H126" s="35">
        <f>IF(H99=1,Calculations!H814+Calculations!H844+Calculations!H874+Calculations!H904,0)</f>
        <v>40</v>
      </c>
      <c r="I126" s="35">
        <f>IF(I99=1,Calculations!I814+Calculations!I844+Calculations!I874+Calculations!I904,0)</f>
        <v>40</v>
      </c>
      <c r="J126" s="35">
        <f>IF(J99=1,Calculations!J814+Calculations!J844+Calculations!J874+Calculations!J904,0)</f>
        <v>40</v>
      </c>
      <c r="K126" s="35">
        <f>IF(K99=1,Calculations!K814+Calculations!K844+Calculations!K874+Calculations!K904,0)</f>
        <v>40</v>
      </c>
      <c r="L126" s="35">
        <f>IF(L99=1,Calculations!L814+Calculations!L844+Calculations!L874+Calculations!L904,0)</f>
        <v>0</v>
      </c>
      <c r="M126" s="35">
        <f>IF(M99=1,Calculations!M814+Calculations!M844+Calculations!M874+Calculations!M904,0)</f>
        <v>0</v>
      </c>
      <c r="N126" s="35">
        <f>IF(N99=1,Calculations!N814+Calculations!N844+Calculations!N874+Calculations!N904,0)</f>
        <v>0</v>
      </c>
      <c r="O126" s="35">
        <f>IF(O99=1,Calculations!O814+Calculations!O844+Calculations!O874+Calculations!O904,0)</f>
        <v>0</v>
      </c>
      <c r="P126" s="35">
        <f>IF(P99=1,Calculations!P814+Calculations!P844+Calculations!P874+Calculations!P904,0)</f>
        <v>0</v>
      </c>
      <c r="Q126" s="35">
        <f>IF(Q99=1,Calculations!Q814+Calculations!Q844+Calculations!Q874+Calculations!Q904,0)</f>
        <v>0</v>
      </c>
      <c r="R126" s="35">
        <f>IF(R99=1,Calculations!R814+Calculations!R844+Calculations!R874+Calculations!R904,0)</f>
        <v>0</v>
      </c>
      <c r="S126" s="35">
        <f>IF(S99=1,Calculations!S814+Calculations!S844+Calculations!S874+Calculations!S904,0)</f>
        <v>0</v>
      </c>
      <c r="T126" s="35">
        <f>IF(T99=1,Calculations!T814+Calculations!T844+Calculations!T874+Calculations!T904,0)</f>
        <v>0</v>
      </c>
      <c r="U126" s="35">
        <f>IF(U99=1,Calculations!U814+Calculations!U844+Calculations!U874+Calculations!U904,0)</f>
        <v>0</v>
      </c>
      <c r="V126" s="35">
        <f>IF(V99=1,Calculations!V814+Calculations!V844+Calculations!V874+Calculations!V904,0)</f>
        <v>0</v>
      </c>
      <c r="W126" s="35">
        <f>IF(W99=1,Calculations!W814+Calculations!W844+Calculations!W874+Calculations!W904,0)</f>
        <v>0</v>
      </c>
      <c r="X126" s="35">
        <f>IF(X99=1,Calculations!X814+Calculations!X844+Calculations!X874+Calculations!X904,0)</f>
        <v>0</v>
      </c>
      <c r="Y126" s="35">
        <f>IF(Y99=1,Calculations!Y814+Calculations!Y844+Calculations!Y874+Calculations!Y904,0)</f>
        <v>0</v>
      </c>
      <c r="Z126" s="35">
        <f>IF(Z99=1,Calculations!Z814+Calculations!Z844+Calculations!Z874+Calculations!Z904,0)</f>
        <v>0</v>
      </c>
      <c r="AA126" s="35">
        <f>IF(AA99=1,Calculations!AA814+Calculations!AA844+Calculations!AA874+Calculations!AA904,0)</f>
        <v>0</v>
      </c>
      <c r="AB126" s="35">
        <f>IF(AB99=1,Calculations!AB814+Calculations!AB844+Calculations!AB874+Calculations!AB904,0)</f>
        <v>0</v>
      </c>
      <c r="AC126" s="35">
        <f>IF(AC99=1,Calculations!AC814+Calculations!AC844+Calculations!AC874+Calculations!AC904,0)</f>
        <v>0</v>
      </c>
      <c r="AD126" s="35">
        <f>IF(AD99=1,Calculations!AD814+Calculations!AD844+Calculations!AD874+Calculations!AD904,0)</f>
        <v>0</v>
      </c>
      <c r="AE126" s="35">
        <f>IF(AE99=1,Calculations!AE814+Calculations!AE844+Calculations!AE874+Calculations!AE904,0)</f>
        <v>0</v>
      </c>
      <c r="AF126" s="35">
        <f>IF(AF99=1,Calculations!AF814+Calculations!AF844+Calculations!AF874+Calculations!AF904,0)</f>
        <v>0</v>
      </c>
      <c r="AG126" s="35">
        <f>IF(AG99=1,Calculations!AG814+Calculations!AG844+Calculations!AG874+Calculations!AG904,0)</f>
        <v>0</v>
      </c>
      <c r="AH126" s="35">
        <f>IF(AH99=1,Calculations!AH814+Calculations!AH844+Calculations!AH874+Calculations!AH904,0)</f>
        <v>0</v>
      </c>
      <c r="AI126" s="405"/>
      <c r="AJ126" s="405"/>
      <c r="AK126" s="405"/>
    </row>
    <row r="127" spans="1:37" s="277" customFormat="1" x14ac:dyDescent="0.2">
      <c r="A127" s="324"/>
      <c r="B127" s="25" t="s">
        <v>609</v>
      </c>
      <c r="C127" s="24"/>
      <c r="D127" s="24"/>
      <c r="E127" s="35">
        <v>0</v>
      </c>
      <c r="F127" s="35">
        <f>IF(F99=1,Calculations!F673,0)</f>
        <v>15.450000000000001</v>
      </c>
      <c r="G127" s="35">
        <f>IF(G99=1,Calculations!G673,0)</f>
        <v>15.913500000000001</v>
      </c>
      <c r="H127" s="35">
        <f>IF(H99=1,Calculations!H673,0)</f>
        <v>16.390905</v>
      </c>
      <c r="I127" s="35">
        <f>IF(I99=1,Calculations!I673,0)</f>
        <v>16.882632149999999</v>
      </c>
      <c r="J127" s="35">
        <f>IF(J99=1,Calculations!J673,0)</f>
        <v>17.3891111145</v>
      </c>
      <c r="K127" s="35">
        <f>IF(K99=1,Calculations!K673,0)</f>
        <v>17.910784447935001</v>
      </c>
      <c r="L127" s="35">
        <f>IF(L99=1,Calculations!L673,0)</f>
        <v>18.448107981373052</v>
      </c>
      <c r="M127" s="35">
        <f>IF(M99=1,Calculations!M673,0)</f>
        <v>19.001551220814246</v>
      </c>
      <c r="N127" s="35">
        <f>IF(N99=1,Calculations!N673,0)</f>
        <v>19.571597757438674</v>
      </c>
      <c r="O127" s="35">
        <f>IF(O99=1,Calculations!O673,0)</f>
        <v>20.158745690161833</v>
      </c>
      <c r="P127" s="35">
        <f>IF(P99=1,Calculations!P673,0)</f>
        <v>20.763508060866688</v>
      </c>
      <c r="Q127" s="35">
        <f>IF(Q99=1,Calculations!Q673,0)</f>
        <v>21.386413302692688</v>
      </c>
      <c r="R127" s="35">
        <f>IF(R99=1,Calculations!R673,0)</f>
        <v>22.02800570177347</v>
      </c>
      <c r="S127" s="35">
        <f>IF(S99=1,Calculations!S673,0)</f>
        <v>22.688845872826676</v>
      </c>
      <c r="T127" s="35">
        <f>IF(T99=1,Calculations!T673,0)</f>
        <v>23.369511249011477</v>
      </c>
      <c r="U127" s="35">
        <f>IF(U99=1,Calculations!U673,0)</f>
        <v>24.070596586481823</v>
      </c>
      <c r="V127" s="35">
        <f>IF(V99=1,Calculations!V673,0)</f>
        <v>24.792714484076278</v>
      </c>
      <c r="W127" s="35">
        <f>IF(W99=1,Calculations!W673,0)</f>
        <v>25.536495918598568</v>
      </c>
      <c r="X127" s="35">
        <f>IF(X99=1,Calculations!X673,0)</f>
        <v>26.302590796156526</v>
      </c>
      <c r="Y127" s="35">
        <f>IF(Y99=1,Calculations!Y673,0)</f>
        <v>27.091668520041221</v>
      </c>
      <c r="Z127" s="35">
        <f>IF(Z99=1,Calculations!Z673,0)</f>
        <v>27.90441857564246</v>
      </c>
      <c r="AA127" s="35">
        <f>IF(AA99=1,Calculations!AA673,0)</f>
        <v>28.741551132911734</v>
      </c>
      <c r="AB127" s="35">
        <f>IF(AB99=1,Calculations!AB673,0)</f>
        <v>29.603797666899087</v>
      </c>
      <c r="AC127" s="35">
        <f>IF(AC99=1,Calculations!AC673,0)</f>
        <v>30.491911596906061</v>
      </c>
      <c r="AD127" s="35">
        <f>IF(AD99=1,Calculations!AD673,0)</f>
        <v>31.406668944813244</v>
      </c>
      <c r="AE127" s="35">
        <f>IF(AE99=1,Calculations!AE673,0)</f>
        <v>32.348869013157639</v>
      </c>
      <c r="AF127" s="35">
        <f>IF(AF99=1,Calculations!AF673,0)</f>
        <v>33.319335083552367</v>
      </c>
      <c r="AG127" s="35">
        <f>IF(AG99=1,Calculations!AG673,0)</f>
        <v>34.318915136058941</v>
      </c>
      <c r="AH127" s="35">
        <f>IF(AH99=1,Calculations!AH673,0)</f>
        <v>35.348482590140712</v>
      </c>
      <c r="AI127" s="405"/>
      <c r="AJ127" s="405"/>
      <c r="AK127" s="405"/>
    </row>
    <row r="128" spans="1:37" s="277" customFormat="1" x14ac:dyDescent="0.2">
      <c r="A128" s="324"/>
      <c r="B128" s="25" t="s">
        <v>411</v>
      </c>
      <c r="C128" s="24"/>
      <c r="D128" s="24"/>
      <c r="E128" s="35">
        <v>0</v>
      </c>
      <c r="F128" s="35">
        <f>IF(F99=1,'Balance sheet'!F123-'Balance sheet'!E123,0)</f>
        <v>0</v>
      </c>
      <c r="G128" s="35">
        <f>IF(G99=1,'Balance sheet'!G123-'Balance sheet'!F123,0)</f>
        <v>0</v>
      </c>
      <c r="H128" s="35">
        <f>IF(H99=1,'Balance sheet'!H123-'Balance sheet'!G123,0)</f>
        <v>0</v>
      </c>
      <c r="I128" s="35">
        <f>IF(I99=1,'Balance sheet'!I123-'Balance sheet'!H123,0)</f>
        <v>0</v>
      </c>
      <c r="J128" s="35">
        <f>IF(J99=1,'Balance sheet'!J123-'Balance sheet'!I123,0)</f>
        <v>0</v>
      </c>
      <c r="K128" s="35">
        <f>IF(K99=1,'Balance sheet'!K123-'Balance sheet'!J123,0)</f>
        <v>0</v>
      </c>
      <c r="L128" s="35">
        <f>IF(L99=1,'Balance sheet'!L123-'Balance sheet'!K123,0)</f>
        <v>0</v>
      </c>
      <c r="M128" s="35">
        <f>IF(M99=1,'Balance sheet'!M123-'Balance sheet'!L123,0)</f>
        <v>0</v>
      </c>
      <c r="N128" s="35">
        <f>IF(N99=1,'Balance sheet'!N123-'Balance sheet'!M123,0)</f>
        <v>0</v>
      </c>
      <c r="O128" s="35">
        <f>IF(O99=1,'Balance sheet'!O123-'Balance sheet'!N123,0)</f>
        <v>0</v>
      </c>
      <c r="P128" s="35">
        <f>IF(P99=1,'Balance sheet'!P123-'Balance sheet'!O123,0)</f>
        <v>0</v>
      </c>
      <c r="Q128" s="35">
        <f>IF(Q99=1,'Balance sheet'!Q123-'Balance sheet'!P123,0)</f>
        <v>0</v>
      </c>
      <c r="R128" s="35">
        <f>IF(R99=1,'Balance sheet'!R123-'Balance sheet'!Q123,0)</f>
        <v>0</v>
      </c>
      <c r="S128" s="35">
        <f>IF(S99=1,'Balance sheet'!S123-'Balance sheet'!R123,0)</f>
        <v>0</v>
      </c>
      <c r="T128" s="35">
        <f>IF(T99=1,'Balance sheet'!T123-'Balance sheet'!S123,0)</f>
        <v>0</v>
      </c>
      <c r="U128" s="35">
        <f>IF(U99=1,'Balance sheet'!U123-'Balance sheet'!T123,0)</f>
        <v>0</v>
      </c>
      <c r="V128" s="35">
        <f>IF(V99=1,'Balance sheet'!V123-'Balance sheet'!U123,0)</f>
        <v>0</v>
      </c>
      <c r="W128" s="35">
        <f>IF(W99=1,'Balance sheet'!W123-'Balance sheet'!V123,0)</f>
        <v>0</v>
      </c>
      <c r="X128" s="35">
        <f>IF(X99=1,'Balance sheet'!X123-'Balance sheet'!W123,0)</f>
        <v>0</v>
      </c>
      <c r="Y128" s="35">
        <f>IF(Y99=1,'Balance sheet'!Y123-'Balance sheet'!X123,0)</f>
        <v>0</v>
      </c>
      <c r="Z128" s="35">
        <f>IF(Z99=1,'Balance sheet'!Z123-'Balance sheet'!Y123,0)</f>
        <v>0</v>
      </c>
      <c r="AA128" s="35">
        <f>IF(AA99=1,'Balance sheet'!AA123-'Balance sheet'!Z123,0)</f>
        <v>0</v>
      </c>
      <c r="AB128" s="35">
        <f>IF(AB99=1,'Balance sheet'!AB123-'Balance sheet'!AA123,0)</f>
        <v>0</v>
      </c>
      <c r="AC128" s="35">
        <f>IF(AC99=1,'Balance sheet'!AC123-'Balance sheet'!AB123,0)</f>
        <v>0</v>
      </c>
      <c r="AD128" s="35">
        <f>IF(AD99=1,'Balance sheet'!AD123-'Balance sheet'!AC123,0)</f>
        <v>0</v>
      </c>
      <c r="AE128" s="35">
        <f>IF(AE99=1,'Balance sheet'!AE123-'Balance sheet'!AD123,0)</f>
        <v>0</v>
      </c>
      <c r="AF128" s="35">
        <f>IF(AF99=1,'Balance sheet'!AF123-'Balance sheet'!AE123,0)</f>
        <v>0</v>
      </c>
      <c r="AG128" s="35">
        <f>IF(AG99=1,'Balance sheet'!AG123-'Balance sheet'!AF123,0)</f>
        <v>0</v>
      </c>
      <c r="AH128" s="35">
        <f>IF(AH99=1,'Balance sheet'!AH123-'Balance sheet'!AG123,0)</f>
        <v>0</v>
      </c>
      <c r="AI128" s="405"/>
      <c r="AJ128" s="405"/>
      <c r="AK128" s="405"/>
    </row>
    <row r="129" spans="1:37" s="277" customFormat="1" x14ac:dyDescent="0.2">
      <c r="A129" s="324"/>
      <c r="B129" s="25" t="s">
        <v>116</v>
      </c>
      <c r="C129" s="24"/>
      <c r="D129" s="24"/>
      <c r="E129" s="35">
        <v>0</v>
      </c>
      <c r="F129" s="35">
        <f>IF(F99=1,'Balance sheet'!F128-'Balance sheet'!E128,0)</f>
        <v>0</v>
      </c>
      <c r="G129" s="35">
        <f>IF(G99=1,'Balance sheet'!G128-'Balance sheet'!F128,0)</f>
        <v>0</v>
      </c>
      <c r="H129" s="35">
        <f>IF(H99=1,'Balance sheet'!H128-'Balance sheet'!G128,0)</f>
        <v>0</v>
      </c>
      <c r="I129" s="35">
        <f>IF(I99=1,'Balance sheet'!I128-'Balance sheet'!H128,0)</f>
        <v>0</v>
      </c>
      <c r="J129" s="35">
        <f>IF(J99=1,'Balance sheet'!J128-'Balance sheet'!I128,0)</f>
        <v>0</v>
      </c>
      <c r="K129" s="35">
        <f>IF(K99=1,'Balance sheet'!K128-'Balance sheet'!J128,0)</f>
        <v>0</v>
      </c>
      <c r="L129" s="35">
        <f>IF(L99=1,'Balance sheet'!L128-'Balance sheet'!K128,0)</f>
        <v>0</v>
      </c>
      <c r="M129" s="35">
        <f>IF(M99=1,'Balance sheet'!M128-'Balance sheet'!L128,0)</f>
        <v>0</v>
      </c>
      <c r="N129" s="35">
        <f>IF(N99=1,'Balance sheet'!N128-'Balance sheet'!M128,0)</f>
        <v>0</v>
      </c>
      <c r="O129" s="35">
        <f>IF(O99=1,'Balance sheet'!O128-'Balance sheet'!N128,0)</f>
        <v>0</v>
      </c>
      <c r="P129" s="35">
        <f>IF(P99=1,'Balance sheet'!P128-'Balance sheet'!O128,0)</f>
        <v>0</v>
      </c>
      <c r="Q129" s="35">
        <f>IF(Q99=1,'Balance sheet'!Q128-'Balance sheet'!P128,0)</f>
        <v>0</v>
      </c>
      <c r="R129" s="35">
        <f>IF(R99=1,'Balance sheet'!R128-'Balance sheet'!Q128,0)</f>
        <v>0</v>
      </c>
      <c r="S129" s="35">
        <f>IF(S99=1,'Balance sheet'!S128-'Balance sheet'!R128,0)</f>
        <v>0</v>
      </c>
      <c r="T129" s="35">
        <f>IF(T99=1,'Balance sheet'!T128-'Balance sheet'!S128,0)</f>
        <v>0</v>
      </c>
      <c r="U129" s="35">
        <f>IF(U99=1,'Balance sheet'!U128-'Balance sheet'!T128,0)</f>
        <v>0</v>
      </c>
      <c r="V129" s="35">
        <f>IF(V99=1,'Balance sheet'!V128-'Balance sheet'!U128,0)</f>
        <v>0</v>
      </c>
      <c r="W129" s="35">
        <f>IF(W99=1,'Balance sheet'!W128-'Balance sheet'!V128,0)</f>
        <v>0</v>
      </c>
      <c r="X129" s="35">
        <f>IF(X99=1,'Balance sheet'!X128-'Balance sheet'!W128,0)</f>
        <v>0</v>
      </c>
      <c r="Y129" s="35">
        <f>IF(Y99=1,'Balance sheet'!Y128-'Balance sheet'!X128,0)</f>
        <v>0</v>
      </c>
      <c r="Z129" s="35">
        <f>IF(Z99=1,'Balance sheet'!Z128-'Balance sheet'!Y128,0)</f>
        <v>0</v>
      </c>
      <c r="AA129" s="35">
        <f>IF(AA99=1,'Balance sheet'!AA128-'Balance sheet'!Z128,0)</f>
        <v>0</v>
      </c>
      <c r="AB129" s="35">
        <f>IF(AB99=1,'Balance sheet'!AB128-'Balance sheet'!AA128,0)</f>
        <v>0</v>
      </c>
      <c r="AC129" s="35">
        <f>IF(AC99=1,'Balance sheet'!AC128-'Balance sheet'!AB128,0)</f>
        <v>0</v>
      </c>
      <c r="AD129" s="35">
        <f>IF(AD99=1,'Balance sheet'!AD128-'Balance sheet'!AC128,0)</f>
        <v>0</v>
      </c>
      <c r="AE129" s="35">
        <f>IF(AE99=1,'Balance sheet'!AE128-'Balance sheet'!AD128,0)</f>
        <v>0</v>
      </c>
      <c r="AF129" s="35">
        <f>IF(AF99=1,'Balance sheet'!AF128-'Balance sheet'!AE128,0)</f>
        <v>0</v>
      </c>
      <c r="AG129" s="35">
        <f>IF(AG99=1,'Balance sheet'!AG128-'Balance sheet'!AF128,0)</f>
        <v>0</v>
      </c>
      <c r="AH129" s="35">
        <f>IF(AH99=1,'Balance sheet'!AH128-'Balance sheet'!AG128,0)</f>
        <v>0</v>
      </c>
      <c r="AI129" s="405"/>
      <c r="AJ129" s="405"/>
      <c r="AK129" s="405"/>
    </row>
    <row r="130" spans="1:37" s="277" customFormat="1" x14ac:dyDescent="0.2">
      <c r="A130" s="324"/>
      <c r="B130" s="25" t="s">
        <v>663</v>
      </c>
      <c r="C130" s="24"/>
      <c r="D130" s="24"/>
      <c r="E130" s="35">
        <v>0</v>
      </c>
      <c r="F130" s="35">
        <f>F103</f>
        <v>11.349249999999998</v>
      </c>
      <c r="G130" s="35">
        <f t="shared" ref="G130:AH130" si="25">G103</f>
        <v>12.235749999999996</v>
      </c>
      <c r="H130" s="35">
        <f t="shared" si="25"/>
        <v>12.868499999999983</v>
      </c>
      <c r="I130" s="35">
        <f t="shared" si="25"/>
        <v>14.062249999999949</v>
      </c>
      <c r="J130" s="35">
        <f t="shared" si="25"/>
        <v>15.174999999999955</v>
      </c>
      <c r="K130" s="35">
        <f t="shared" si="25"/>
        <v>16.231500000000096</v>
      </c>
      <c r="L130" s="35">
        <f t="shared" si="25"/>
        <v>16.109750000000076</v>
      </c>
      <c r="M130" s="35">
        <f t="shared" si="25"/>
        <v>14.388314168307716</v>
      </c>
      <c r="N130" s="35">
        <f t="shared" si="25"/>
        <v>12.57935859198551</v>
      </c>
      <c r="O130" s="35">
        <f t="shared" si="25"/>
        <v>10.306591802579987</v>
      </c>
      <c r="P130" s="35">
        <f t="shared" si="25"/>
        <v>9.0620913088378074</v>
      </c>
      <c r="Q130" s="35">
        <f t="shared" si="25"/>
        <v>8.4823605415467682</v>
      </c>
      <c r="R130" s="35">
        <f t="shared" si="25"/>
        <v>7.8668805359338876</v>
      </c>
      <c r="S130" s="35">
        <f t="shared" si="25"/>
        <v>7.2133904410857212</v>
      </c>
      <c r="T130" s="35">
        <f t="shared" si="25"/>
        <v>6.5194832263150602</v>
      </c>
      <c r="U130" s="35">
        <f t="shared" si="25"/>
        <v>4.5325960525606206</v>
      </c>
      <c r="V130" s="35">
        <f t="shared" si="25"/>
        <v>2.5</v>
      </c>
      <c r="W130" s="35">
        <f t="shared" si="25"/>
        <v>2.5</v>
      </c>
      <c r="X130" s="35">
        <f t="shared" si="25"/>
        <v>2.5</v>
      </c>
      <c r="Y130" s="35">
        <f t="shared" si="25"/>
        <v>2.5</v>
      </c>
      <c r="Z130" s="35">
        <f t="shared" si="25"/>
        <v>2.5</v>
      </c>
      <c r="AA130" s="35">
        <f t="shared" si="25"/>
        <v>2.5</v>
      </c>
      <c r="AB130" s="35">
        <f t="shared" si="25"/>
        <v>2.5</v>
      </c>
      <c r="AC130" s="35">
        <f t="shared" si="25"/>
        <v>2.5</v>
      </c>
      <c r="AD130" s="35">
        <f t="shared" si="25"/>
        <v>2.5</v>
      </c>
      <c r="AE130" s="35">
        <f t="shared" si="25"/>
        <v>1.25</v>
      </c>
      <c r="AF130" s="35">
        <f t="shared" si="25"/>
        <v>0</v>
      </c>
      <c r="AG130" s="35">
        <f t="shared" si="25"/>
        <v>0</v>
      </c>
      <c r="AH130" s="35">
        <f t="shared" si="25"/>
        <v>0</v>
      </c>
      <c r="AI130" s="405"/>
      <c r="AJ130" s="405"/>
      <c r="AK130" s="405"/>
    </row>
    <row r="131" spans="1:37" s="277" customFormat="1" x14ac:dyDescent="0.2">
      <c r="A131" s="324"/>
      <c r="B131" s="25" t="s">
        <v>111</v>
      </c>
      <c r="C131" s="24"/>
      <c r="D131" s="24"/>
      <c r="E131" s="35">
        <v>0</v>
      </c>
      <c r="F131" s="35">
        <f>IF(F99=1,Calculations!F707,0)</f>
        <v>4723.0495548194885</v>
      </c>
      <c r="G131" s="35">
        <f>IF(G99=1,Calculations!G707,0)</f>
        <v>5073.3793368968236</v>
      </c>
      <c r="H131" s="35">
        <f>IF(H99=1,Calculations!H707,0)</f>
        <v>5550.2805782767491</v>
      </c>
      <c r="I131" s="35">
        <f>IF(I99=1,Calculations!I707,0)</f>
        <v>6436.6386661467786</v>
      </c>
      <c r="J131" s="35">
        <f>IF(J99=1,Calculations!J707,0)</f>
        <v>7295.974488524651</v>
      </c>
      <c r="K131" s="35">
        <f>IF(K99=1,Calculations!K707,0)</f>
        <v>8071.7930777151696</v>
      </c>
      <c r="L131" s="35">
        <f>IF(L99=1,Calculations!L707,0)</f>
        <v>8872.7288592584609</v>
      </c>
      <c r="M131" s="35">
        <f>IF(M99=1,Calculations!M707,0)</f>
        <v>9759.5942260558713</v>
      </c>
      <c r="N131" s="35">
        <f>IF(N99=1,Calculations!N707,0)</f>
        <v>10698.120398586339</v>
      </c>
      <c r="O131" s="35">
        <f>IF(O99=1,Calculations!O707,0)</f>
        <v>11474.184860776939</v>
      </c>
      <c r="P131" s="35">
        <f>IF(P99=1,Calculations!P707,0)</f>
        <v>12463.426032346368</v>
      </c>
      <c r="Q131" s="35">
        <f>IF(Q99=1,Calculations!Q707,0)</f>
        <v>13510.621020797726</v>
      </c>
      <c r="R131" s="35">
        <f>IF(R99=1,Calculations!R707,0)</f>
        <v>14617.220242724499</v>
      </c>
      <c r="S131" s="35">
        <f>IF(S99=1,Calculations!S707,0)</f>
        <v>15786.009787574165</v>
      </c>
      <c r="T131" s="35">
        <f>IF(T99=1,Calculations!T707,0)</f>
        <v>17019.892890474915</v>
      </c>
      <c r="U131" s="35">
        <f>IF(U99=1,Calculations!U707,0)</f>
        <v>18297.332025388823</v>
      </c>
      <c r="V131" s="35">
        <f>IF(V99=1,Calculations!V707,0)</f>
        <v>19702.387610736459</v>
      </c>
      <c r="W131" s="35">
        <f>IF(W99=1,Calculations!W707,0)</f>
        <v>21150.488520577226</v>
      </c>
      <c r="X131" s="35">
        <f>IF(X99=1,Calculations!X707,0)</f>
        <v>22676.139188317717</v>
      </c>
      <c r="Y131" s="35">
        <f>IF(Y99=1,Calculations!Y707,0)</f>
        <v>24281.491849607424</v>
      </c>
      <c r="Z131" s="35">
        <f>IF(Z99=1,Calculations!Z707,0)</f>
        <v>25971.862522800217</v>
      </c>
      <c r="AA131" s="35">
        <f>IF(AA99=1,Calculations!AA707,0)</f>
        <v>27753.80092342848</v>
      </c>
      <c r="AB131" s="35">
        <f>IF(AB99=1,Calculations!AB707,0)</f>
        <v>29628.880361559903</v>
      </c>
      <c r="AC131" s="35">
        <f>IF(AC99=1,Calculations!AC707,0)</f>
        <v>31600.96906599031</v>
      </c>
      <c r="AD131" s="35">
        <f>IF(AD99=1,Calculations!AD707,0)</f>
        <v>33675.057790239458</v>
      </c>
      <c r="AE131" s="35">
        <f>IF(AE99=1,Calculations!AE707,0)</f>
        <v>35830.808037937444</v>
      </c>
      <c r="AF131" s="35">
        <f>IF(AF99=1,Calculations!AF707,0)</f>
        <v>38146.988722418013</v>
      </c>
      <c r="AG131" s="35">
        <f>IF(AG99=1,Calculations!AG707,0)</f>
        <v>40554.115993898144</v>
      </c>
      <c r="AH131" s="35">
        <f>IF(AH99=1,Calculations!AH707,0)</f>
        <v>43082.218274502855</v>
      </c>
      <c r="AI131" s="405"/>
      <c r="AJ131" s="405"/>
      <c r="AK131" s="405"/>
    </row>
    <row r="132" spans="1:37" s="277" customFormat="1" x14ac:dyDescent="0.2">
      <c r="A132" s="324"/>
      <c r="B132" s="25"/>
      <c r="C132" s="24"/>
      <c r="D132" s="24"/>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405"/>
      <c r="AJ132" s="405"/>
      <c r="AK132" s="405"/>
    </row>
    <row r="133" spans="1:37" s="277" customFormat="1" x14ac:dyDescent="0.2">
      <c r="A133" s="324"/>
      <c r="B133" s="27" t="s">
        <v>112</v>
      </c>
      <c r="C133" s="24"/>
      <c r="D133" s="24"/>
      <c r="E133" s="43">
        <f t="shared" ref="E133:AH133" si="26">IF(E99=1,-E125+E126+E127+E128+E129-E130-E131,0)</f>
        <v>0</v>
      </c>
      <c r="F133" s="43">
        <f t="shared" si="26"/>
        <v>-4738.9488048194889</v>
      </c>
      <c r="G133" s="43">
        <f t="shared" si="26"/>
        <v>-5059.7015868968238</v>
      </c>
      <c r="H133" s="43">
        <f t="shared" si="26"/>
        <v>-5531.7581732767494</v>
      </c>
      <c r="I133" s="43">
        <f t="shared" si="26"/>
        <v>-6418.8182839967785</v>
      </c>
      <c r="J133" s="43">
        <f t="shared" si="26"/>
        <v>-7278.7603774101508</v>
      </c>
      <c r="K133" s="43">
        <f t="shared" si="26"/>
        <v>-8055.1137932672345</v>
      </c>
      <c r="L133" s="43">
        <f t="shared" si="26"/>
        <v>-8902.8300079440032</v>
      </c>
      <c r="M133" s="43">
        <f t="shared" si="26"/>
        <v>-9787.7884315019728</v>
      </c>
      <c r="N133" s="43">
        <f t="shared" si="26"/>
        <v>-10724.366557495816</v>
      </c>
      <c r="O133" s="43">
        <f t="shared" si="26"/>
        <v>-11498.427121753692</v>
      </c>
      <c r="P133" s="43">
        <f t="shared" si="26"/>
        <v>-12461.387030952415</v>
      </c>
      <c r="Q133" s="43">
        <f t="shared" si="26"/>
        <v>-13507.959114161948</v>
      </c>
      <c r="R133" s="43">
        <f t="shared" si="26"/>
        <v>-14613.916743689642</v>
      </c>
      <c r="S133" s="43">
        <f t="shared" si="26"/>
        <v>-15782.045448368253</v>
      </c>
      <c r="T133" s="43">
        <f t="shared" si="26"/>
        <v>-17015.247885892819</v>
      </c>
      <c r="U133" s="43">
        <f t="shared" si="26"/>
        <v>-18340.735935469256</v>
      </c>
      <c r="V133" s="43">
        <f t="shared" si="26"/>
        <v>-19680.094896252383</v>
      </c>
      <c r="W133" s="43">
        <f t="shared" si="26"/>
        <v>-21127.452024658629</v>
      </c>
      <c r="X133" s="43">
        <f t="shared" si="26"/>
        <v>-22652.33659752156</v>
      </c>
      <c r="Y133" s="43">
        <f t="shared" si="26"/>
        <v>-24256.900181087381</v>
      </c>
      <c r="Z133" s="43">
        <f t="shared" si="26"/>
        <v>-25946.458104224574</v>
      </c>
      <c r="AA133" s="43">
        <f t="shared" si="26"/>
        <v>-27727.559372295567</v>
      </c>
      <c r="AB133" s="43">
        <f t="shared" si="26"/>
        <v>-29601.776563893003</v>
      </c>
      <c r="AC133" s="43">
        <f t="shared" si="26"/>
        <v>-31572.977154393404</v>
      </c>
      <c r="AD133" s="43">
        <f t="shared" si="26"/>
        <v>-33646.151121294643</v>
      </c>
      <c r="AE133" s="43">
        <f t="shared" si="26"/>
        <v>-35849.709168924288</v>
      </c>
      <c r="AF133" s="43">
        <f t="shared" si="26"/>
        <v>-38113.669387334463</v>
      </c>
      <c r="AG133" s="43">
        <f t="shared" si="26"/>
        <v>-40519.797078762087</v>
      </c>
      <c r="AH133" s="43">
        <f t="shared" si="26"/>
        <v>-43046.869791912715</v>
      </c>
      <c r="AI133" s="405"/>
      <c r="AJ133" s="405"/>
      <c r="AK133" s="405"/>
    </row>
    <row r="134" spans="1:37" s="277" customFormat="1" x14ac:dyDescent="0.2">
      <c r="A134" s="324"/>
      <c r="B134" s="26"/>
      <c r="C134" s="24"/>
      <c r="D134" s="24"/>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405"/>
      <c r="AJ134" s="405"/>
      <c r="AK134" s="405"/>
    </row>
    <row r="135" spans="1:37" s="277" customFormat="1" ht="16" thickBot="1" x14ac:dyDescent="0.25">
      <c r="A135" s="324"/>
      <c r="B135" s="26" t="s">
        <v>113</v>
      </c>
      <c r="C135" s="24"/>
      <c r="D135" s="24"/>
      <c r="E135" s="40">
        <f>E126+E134</f>
        <v>0</v>
      </c>
      <c r="F135" s="48">
        <f>IF(F99=1,F115+F122+F133,0)</f>
        <v>4723.0495548194867</v>
      </c>
      <c r="G135" s="48">
        <f t="shared" ref="G135:AH135" si="27">IF(G99=1,G115+G122+G133,0)</f>
        <v>5073.3793368968227</v>
      </c>
      <c r="H135" s="48">
        <f t="shared" si="27"/>
        <v>5550.2805782767491</v>
      </c>
      <c r="I135" s="48">
        <f t="shared" si="27"/>
        <v>6436.6386661467795</v>
      </c>
      <c r="J135" s="48">
        <f t="shared" si="27"/>
        <v>7295.97448852465</v>
      </c>
      <c r="K135" s="48">
        <f t="shared" si="27"/>
        <v>8071.7930777151696</v>
      </c>
      <c r="L135" s="48">
        <f t="shared" si="27"/>
        <v>8872.7288592584609</v>
      </c>
      <c r="M135" s="48">
        <f t="shared" si="27"/>
        <v>9759.5942260558695</v>
      </c>
      <c r="N135" s="48">
        <f t="shared" si="27"/>
        <v>10698.120398586338</v>
      </c>
      <c r="O135" s="48">
        <f t="shared" si="27"/>
        <v>11474.184860776939</v>
      </c>
      <c r="P135" s="48">
        <f t="shared" si="27"/>
        <v>12463.42603234637</v>
      </c>
      <c r="Q135" s="48">
        <f t="shared" si="27"/>
        <v>13510.621020797729</v>
      </c>
      <c r="R135" s="48">
        <f t="shared" si="27"/>
        <v>14617.220242724499</v>
      </c>
      <c r="S135" s="48">
        <f t="shared" si="27"/>
        <v>15786.009787574165</v>
      </c>
      <c r="T135" s="48">
        <f t="shared" si="27"/>
        <v>17019.892890474915</v>
      </c>
      <c r="U135" s="48">
        <f t="shared" si="27"/>
        <v>18297.33202538882</v>
      </c>
      <c r="V135" s="48">
        <f t="shared" si="27"/>
        <v>19702.387610736456</v>
      </c>
      <c r="W135" s="48">
        <f t="shared" si="27"/>
        <v>21150.488520577226</v>
      </c>
      <c r="X135" s="48">
        <f t="shared" si="27"/>
        <v>22676.139188317717</v>
      </c>
      <c r="Y135" s="48">
        <f t="shared" si="27"/>
        <v>24281.491849607424</v>
      </c>
      <c r="Z135" s="48">
        <f t="shared" si="27"/>
        <v>25971.862522800217</v>
      </c>
      <c r="AA135" s="48">
        <f t="shared" si="27"/>
        <v>27753.800923428484</v>
      </c>
      <c r="AB135" s="48">
        <f t="shared" si="27"/>
        <v>29628.880361559906</v>
      </c>
      <c r="AC135" s="48">
        <f t="shared" si="27"/>
        <v>31600.969065990306</v>
      </c>
      <c r="AD135" s="48">
        <f t="shared" si="27"/>
        <v>33675.057790239465</v>
      </c>
      <c r="AE135" s="48">
        <f t="shared" si="27"/>
        <v>35830.808037937437</v>
      </c>
      <c r="AF135" s="48">
        <f t="shared" si="27"/>
        <v>38146.988722418013</v>
      </c>
      <c r="AG135" s="48">
        <f t="shared" si="27"/>
        <v>40554.115993898144</v>
      </c>
      <c r="AH135" s="48">
        <f t="shared" si="27"/>
        <v>43082.218274502855</v>
      </c>
      <c r="AI135" s="405"/>
      <c r="AJ135" s="405"/>
      <c r="AK135" s="405"/>
    </row>
    <row r="136" spans="1:37" s="278" customFormat="1" x14ac:dyDescent="0.2">
      <c r="A136" s="324"/>
      <c r="B136" s="22"/>
      <c r="C136" s="22"/>
      <c r="D136" s="22"/>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G136" s="49"/>
      <c r="AH136" s="49"/>
      <c r="AI136" s="406"/>
      <c r="AJ136" s="406"/>
      <c r="AK136" s="406"/>
    </row>
    <row r="137" spans="1:37" s="277" customFormat="1" x14ac:dyDescent="0.2">
      <c r="A137" s="324"/>
      <c r="B137" s="82" t="s">
        <v>114</v>
      </c>
      <c r="C137" s="24"/>
      <c r="D137" s="24"/>
      <c r="E137" s="35"/>
      <c r="F137" s="35">
        <f>IF(F99=1,'Balance sheet'!E103,0)</f>
        <v>100</v>
      </c>
      <c r="G137" s="35">
        <f>IF(G99=1,'Balance sheet'!F103,0)</f>
        <v>4823.0495548194867</v>
      </c>
      <c r="H137" s="35">
        <f>IF(H99=1,'Balance sheet'!G103,0)</f>
        <v>9896.4288917163103</v>
      </c>
      <c r="I137" s="35">
        <f>IF(I99=1,'Balance sheet'!H103,0)</f>
        <v>15446.70946999306</v>
      </c>
      <c r="J137" s="35">
        <f>IF(J99=1,'Balance sheet'!I103,0)</f>
        <v>21883.348136139841</v>
      </c>
      <c r="K137" s="35">
        <f>IF(K99=1,'Balance sheet'!J103,0)</f>
        <v>29179.322624664492</v>
      </c>
      <c r="L137" s="35">
        <f>IF(L99=1,'Balance sheet'!K103,0)</f>
        <v>37251.115702379662</v>
      </c>
      <c r="M137" s="35">
        <f>IF(M99=1,'Balance sheet'!L103,0)</f>
        <v>46123.844561638121</v>
      </c>
      <c r="N137" s="35">
        <f>IF(N99=1,'Balance sheet'!M103,0)</f>
        <v>55883.438787693987</v>
      </c>
      <c r="O137" s="35">
        <f>IF(O99=1,'Balance sheet'!N103,0)</f>
        <v>66581.559186280327</v>
      </c>
      <c r="P137" s="35">
        <f>IF(P99=1,'Balance sheet'!O103,0)</f>
        <v>78055.744047057262</v>
      </c>
      <c r="Q137" s="35">
        <f>IF(Q99=1,'Balance sheet'!P103,0)</f>
        <v>90519.17007940363</v>
      </c>
      <c r="R137" s="35">
        <f>IF(R99=1,'Balance sheet'!Q103,0)</f>
        <v>104029.79110020136</v>
      </c>
      <c r="S137" s="35">
        <f>IF(S99=1,'Balance sheet'!R103,0)</f>
        <v>118647.01134292586</v>
      </c>
      <c r="T137" s="35">
        <f>IF(T99=1,'Balance sheet'!S103,0)</f>
        <v>134433.02113050004</v>
      </c>
      <c r="U137" s="35">
        <f>IF(U99=1,'Balance sheet'!T103,0)</f>
        <v>151452.91402097495</v>
      </c>
      <c r="V137" s="35">
        <f>IF(V99=1,'Balance sheet'!U103,0)</f>
        <v>169750.24604636375</v>
      </c>
      <c r="W137" s="35">
        <f>IF(W99=1,'Balance sheet'!V103,0)</f>
        <v>189452.6336571002</v>
      </c>
      <c r="X137" s="35">
        <f>IF(X99=1,'Balance sheet'!W103,0)</f>
        <v>210603.12217767743</v>
      </c>
      <c r="Y137" s="35">
        <f>IF(Y99=1,'Balance sheet'!X103,0)</f>
        <v>233279.26136599516</v>
      </c>
      <c r="Z137" s="35">
        <f>IF(Z99=1,'Balance sheet'!Y103,0)</f>
        <v>257560.7532156026</v>
      </c>
      <c r="AA137" s="35">
        <f>IF(AA99=1,'Balance sheet'!Z103,0)</f>
        <v>283532.61573840282</v>
      </c>
      <c r="AB137" s="35">
        <f>IF(AB99=1,'Balance sheet'!AA103,0)</f>
        <v>311286.41666183132</v>
      </c>
      <c r="AC137" s="35">
        <f>IF(AC99=1,'Balance sheet'!AB103,0)</f>
        <v>340915.29702339123</v>
      </c>
      <c r="AD137" s="35">
        <f>IF(AD99=1,'Balance sheet'!AC103,0)</f>
        <v>372516.26608938153</v>
      </c>
      <c r="AE137" s="35">
        <f>IF(AE99=1,'Balance sheet'!AD103,0)</f>
        <v>406191.32387962099</v>
      </c>
      <c r="AF137" s="35">
        <f>IF(AF99=1,'Balance sheet'!AE103,0)</f>
        <v>442022.13191755844</v>
      </c>
      <c r="AG137" s="35">
        <f>IF(AG99=1,'Balance sheet'!AF103,0)</f>
        <v>480169.12063997646</v>
      </c>
      <c r="AH137" s="35">
        <f>IF(AH99=1,'Balance sheet'!AG103,0)</f>
        <v>520723.23663387459</v>
      </c>
    </row>
    <row r="138" spans="1:37" s="277" customFormat="1" x14ac:dyDescent="0.2">
      <c r="A138" s="324"/>
      <c r="B138" s="82" t="s">
        <v>115</v>
      </c>
      <c r="C138" s="24"/>
      <c r="D138" s="24"/>
      <c r="E138" s="35">
        <f>'Balance sheet'!E103</f>
        <v>100</v>
      </c>
      <c r="F138" s="35">
        <f>IF(F99=1,'Balance sheet'!F103,0)</f>
        <v>4823.0495548194867</v>
      </c>
      <c r="G138" s="35">
        <f>IF(G99=1,'Balance sheet'!G103,0)</f>
        <v>9896.4288917163103</v>
      </c>
      <c r="H138" s="35">
        <f>IF(H99=1,'Balance sheet'!H103,0)</f>
        <v>15446.70946999306</v>
      </c>
      <c r="I138" s="35">
        <f>IF(I99=1,'Balance sheet'!I103,0)</f>
        <v>21883.348136139841</v>
      </c>
      <c r="J138" s="35">
        <f>IF(J99=1,'Balance sheet'!J103,0)</f>
        <v>29179.322624664492</v>
      </c>
      <c r="K138" s="35">
        <f>IF(K99=1,'Balance sheet'!K103,0)</f>
        <v>37251.115702379662</v>
      </c>
      <c r="L138" s="35">
        <f>IF(L99=1,'Balance sheet'!L103,0)</f>
        <v>46123.844561638121</v>
      </c>
      <c r="M138" s="35">
        <f>IF(M99=1,'Balance sheet'!M103,0)</f>
        <v>55883.438787693987</v>
      </c>
      <c r="N138" s="35">
        <f>IF(N99=1,'Balance sheet'!N103,0)</f>
        <v>66581.559186280327</v>
      </c>
      <c r="O138" s="35">
        <f>IF(O99=1,'Balance sheet'!O103,0)</f>
        <v>78055.744047057262</v>
      </c>
      <c r="P138" s="35">
        <f>IF(P99=1,'Balance sheet'!P103,0)</f>
        <v>90519.17007940363</v>
      </c>
      <c r="Q138" s="35">
        <f>IF(Q99=1,'Balance sheet'!Q103,0)</f>
        <v>104029.79110020136</v>
      </c>
      <c r="R138" s="35">
        <f>IF(R99=1,'Balance sheet'!R103,0)</f>
        <v>118647.01134292586</v>
      </c>
      <c r="S138" s="35">
        <f>IF(S99=1,'Balance sheet'!S103,0)</f>
        <v>134433.02113050004</v>
      </c>
      <c r="T138" s="35">
        <f>IF(T99=1,'Balance sheet'!T103,0)</f>
        <v>151452.91402097495</v>
      </c>
      <c r="U138" s="35">
        <f>IF(U99=1,'Balance sheet'!U103,0)</f>
        <v>169750.24604636375</v>
      </c>
      <c r="V138" s="35">
        <f>IF(V99=1,'Balance sheet'!V103,0)</f>
        <v>189452.6336571002</v>
      </c>
      <c r="W138" s="35">
        <f>IF(W99=1,'Balance sheet'!W103,0)</f>
        <v>210603.12217767743</v>
      </c>
      <c r="X138" s="35">
        <f>IF(X99=1,'Balance sheet'!X103,0)</f>
        <v>233279.26136599516</v>
      </c>
      <c r="Y138" s="35">
        <f>IF(Y99=1,'Balance sheet'!Y103,0)</f>
        <v>257560.7532156026</v>
      </c>
      <c r="Z138" s="35">
        <f>IF(Z99=1,'Balance sheet'!Z103,0)</f>
        <v>283532.61573840282</v>
      </c>
      <c r="AA138" s="35">
        <f>IF(AA99=1,'Balance sheet'!AA103,0)</f>
        <v>311286.41666183132</v>
      </c>
      <c r="AB138" s="35">
        <f>IF(AB99=1,'Balance sheet'!AB103,0)</f>
        <v>340915.29702339123</v>
      </c>
      <c r="AC138" s="35">
        <f>IF(AC99=1,'Balance sheet'!AC103,0)</f>
        <v>372516.26608938153</v>
      </c>
      <c r="AD138" s="35">
        <f>IF(AD99=1,'Balance sheet'!AD103,0)</f>
        <v>406191.32387962099</v>
      </c>
      <c r="AE138" s="35">
        <f>IF(AE99=1,'Balance sheet'!AE103,0)</f>
        <v>442022.13191755844</v>
      </c>
      <c r="AF138" s="35">
        <f>IF(AF99=1,'Balance sheet'!AF103,0)</f>
        <v>480169.12063997646</v>
      </c>
      <c r="AG138" s="35">
        <f>IF(AG99=1,'Balance sheet'!AG103,0)</f>
        <v>520723.23663387459</v>
      </c>
      <c r="AH138" s="35">
        <f>IF(AH99=1,'Balance sheet'!AH103,0)</f>
        <v>563805.45490837749</v>
      </c>
    </row>
    <row r="139" spans="1:37" s="277" customFormat="1" x14ac:dyDescent="0.2">
      <c r="A139" s="324"/>
      <c r="B139" s="82"/>
      <c r="C139" s="24"/>
      <c r="D139" s="24"/>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row>
    <row r="140" spans="1:37" s="278" customFormat="1" x14ac:dyDescent="0.2">
      <c r="A140" s="324"/>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7" s="278" customFormat="1" x14ac:dyDescent="0.2">
      <c r="A141" s="324"/>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7" s="18" customFormat="1" ht="19" x14ac:dyDescent="0.25">
      <c r="A142" s="316"/>
      <c r="B142" s="485" t="str">
        <f>'Assumptions - General'!$E$26</f>
        <v>Ruritania Railway Infrastructure Company</v>
      </c>
      <c r="C142" s="316"/>
      <c r="D142" s="316"/>
      <c r="E142" s="316"/>
      <c r="F142" s="316"/>
      <c r="G142" s="316"/>
      <c r="H142" s="316"/>
      <c r="I142" s="316"/>
      <c r="J142" s="316"/>
      <c r="K142" s="316"/>
      <c r="L142" s="316"/>
      <c r="M142" s="316"/>
      <c r="N142" s="316"/>
      <c r="O142" s="316"/>
      <c r="P142" s="316"/>
      <c r="Q142" s="316"/>
      <c r="R142" s="316"/>
      <c r="S142" s="316"/>
      <c r="T142" s="316"/>
      <c r="U142" s="316"/>
      <c r="V142" s="316"/>
      <c r="W142" s="316"/>
      <c r="X142" s="316"/>
      <c r="Y142" s="316"/>
      <c r="Z142" s="316"/>
      <c r="AA142" s="316"/>
      <c r="AB142" s="316"/>
      <c r="AC142" s="316"/>
      <c r="AD142" s="316"/>
      <c r="AE142" s="316"/>
      <c r="AF142" s="316"/>
      <c r="AG142" s="316"/>
      <c r="AH142" s="316"/>
    </row>
    <row r="143" spans="1:37" s="18" customFormat="1" x14ac:dyDescent="0.2">
      <c r="A143" s="316"/>
      <c r="B143" s="317"/>
      <c r="C143" s="318"/>
      <c r="D143" s="316"/>
      <c r="E143" s="316"/>
      <c r="F143" s="316"/>
      <c r="G143" s="316"/>
      <c r="H143" s="316"/>
      <c r="I143" s="316"/>
      <c r="J143" s="316"/>
      <c r="K143" s="316"/>
      <c r="L143" s="316"/>
      <c r="M143" s="316"/>
      <c r="N143" s="316"/>
      <c r="O143" s="316"/>
      <c r="P143" s="316"/>
      <c r="Q143" s="316"/>
      <c r="R143" s="316"/>
      <c r="S143" s="316"/>
      <c r="T143" s="316"/>
      <c r="U143" s="316"/>
      <c r="V143" s="316"/>
      <c r="W143" s="316"/>
      <c r="X143" s="316"/>
      <c r="Y143" s="316"/>
      <c r="Z143" s="316"/>
      <c r="AA143" s="316"/>
      <c r="AB143" s="316"/>
      <c r="AC143" s="316"/>
      <c r="AD143" s="316"/>
      <c r="AE143" s="316"/>
      <c r="AF143" s="316"/>
      <c r="AG143" s="316"/>
      <c r="AH143" s="316"/>
    </row>
    <row r="144" spans="1:37" s="20" customFormat="1" hidden="1" x14ac:dyDescent="0.2">
      <c r="A144" s="316"/>
      <c r="B144" s="7" t="s">
        <v>226</v>
      </c>
      <c r="C144" s="8"/>
      <c r="D144" s="8"/>
      <c r="E144" s="29">
        <f>Calculations!E19</f>
        <v>1</v>
      </c>
      <c r="F144" s="29">
        <f>Calculations!F19</f>
        <v>1</v>
      </c>
      <c r="G144" s="29">
        <f>Calculations!G19</f>
        <v>1</v>
      </c>
      <c r="H144" s="29">
        <f>Calculations!H19</f>
        <v>1</v>
      </c>
      <c r="I144" s="29">
        <f>Calculations!I19</f>
        <v>1</v>
      </c>
      <c r="J144" s="29">
        <f>Calculations!J19</f>
        <v>1</v>
      </c>
      <c r="K144" s="29">
        <f>Calculations!K19</f>
        <v>1</v>
      </c>
      <c r="L144" s="29">
        <f>Calculations!L19</f>
        <v>1</v>
      </c>
      <c r="M144" s="29">
        <f>Calculations!M19</f>
        <v>1</v>
      </c>
      <c r="N144" s="29">
        <f>Calculations!N19</f>
        <v>1</v>
      </c>
      <c r="O144" s="29">
        <f>Calculations!O19</f>
        <v>1</v>
      </c>
      <c r="P144" s="29">
        <f>Calculations!P19</f>
        <v>1</v>
      </c>
      <c r="Q144" s="29">
        <f>Calculations!Q19</f>
        <v>1</v>
      </c>
      <c r="R144" s="29">
        <f>Calculations!R19</f>
        <v>1</v>
      </c>
      <c r="S144" s="29">
        <f>Calculations!S19</f>
        <v>1</v>
      </c>
      <c r="T144" s="29">
        <f>Calculations!T19</f>
        <v>1</v>
      </c>
      <c r="U144" s="29">
        <f>Calculations!U19</f>
        <v>1</v>
      </c>
      <c r="V144" s="29">
        <f>Calculations!V19</f>
        <v>1</v>
      </c>
      <c r="W144" s="29">
        <f>Calculations!W19</f>
        <v>1</v>
      </c>
      <c r="X144" s="29">
        <f>Calculations!X19</f>
        <v>1</v>
      </c>
      <c r="Y144" s="29">
        <f>Calculations!Y19</f>
        <v>1</v>
      </c>
      <c r="Z144" s="29">
        <f>Calculations!Z19</f>
        <v>1</v>
      </c>
      <c r="AA144" s="29">
        <f>Calculations!AA19</f>
        <v>1</v>
      </c>
      <c r="AB144" s="29">
        <f>Calculations!AB19</f>
        <v>1</v>
      </c>
      <c r="AC144" s="29">
        <f>Calculations!AC19</f>
        <v>1</v>
      </c>
      <c r="AD144" s="29">
        <f>Calculations!AD19</f>
        <v>1</v>
      </c>
      <c r="AE144" s="29">
        <f>Calculations!AE19</f>
        <v>1</v>
      </c>
      <c r="AF144" s="29">
        <f>Calculations!AF19</f>
        <v>1</v>
      </c>
      <c r="AG144" s="29">
        <f>Calculations!AG19</f>
        <v>1</v>
      </c>
      <c r="AH144" s="29">
        <f>Calculations!AH19</f>
        <v>1</v>
      </c>
    </row>
    <row r="145" spans="1:37" s="278" customFormat="1" x14ac:dyDescent="0.2">
      <c r="A145" s="316"/>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7" s="20" customFormat="1" x14ac:dyDescent="0.2">
      <c r="A146" s="316"/>
      <c r="B146" s="19" t="s">
        <v>100</v>
      </c>
    </row>
    <row r="147" spans="1:37" s="277" customFormat="1" x14ac:dyDescent="0.2">
      <c r="A147" s="316"/>
      <c r="B147" s="25" t="s">
        <v>102</v>
      </c>
      <c r="C147" s="24"/>
      <c r="D147" s="24"/>
      <c r="E147" s="35">
        <v>0</v>
      </c>
      <c r="F147" s="35">
        <f>IF(F144=1,'Income statement'!F170,0)</f>
        <v>27314.173418180275</v>
      </c>
      <c r="G147" s="35">
        <f>IF(G144=1,'Income statement'!G170,0)</f>
        <v>28291.093848928758</v>
      </c>
      <c r="H147" s="35">
        <f>IF(H144=1,'Income statement'!H170,0)</f>
        <v>30101.399023071834</v>
      </c>
      <c r="I147" s="35">
        <f>IF(I144=1,'Income statement'!I170,0)</f>
        <v>32717.882902383019</v>
      </c>
      <c r="J147" s="35">
        <f>IF(J144=1,'Income statement'!J170,0)</f>
        <v>34875.662434782113</v>
      </c>
      <c r="K147" s="35">
        <f>IF(K144=1,'Income statement'!K170,0)</f>
        <v>39649.761168599085</v>
      </c>
      <c r="L147" s="35">
        <f>IF(L144=1,'Income statement'!L170,0)</f>
        <v>42134.863062061413</v>
      </c>
      <c r="M147" s="35">
        <f>IF(M144=1,'Income statement'!M170,0)</f>
        <v>44777.660541947087</v>
      </c>
      <c r="N147" s="35">
        <f>IF(N144=1,'Income statement'!N170,0)</f>
        <v>47542.788886239912</v>
      </c>
      <c r="O147" s="35">
        <f>IF(O144=1,'Income statement'!O170,0)</f>
        <v>49789.046053442857</v>
      </c>
      <c r="P147" s="35">
        <f>IF(P144=1,'Income statement'!P170,0)</f>
        <v>52599.457607595359</v>
      </c>
      <c r="Q147" s="35">
        <f>IF(Q144=1,'Income statement'!Q170,0)</f>
        <v>55581.93878046397</v>
      </c>
      <c r="R147" s="35">
        <f>IF(R144=1,'Income statement'!R170,0)</f>
        <v>58702.727972747889</v>
      </c>
      <c r="S147" s="35">
        <f>IF(S144=1,'Income statement'!S170,0)</f>
        <v>61957.275198417134</v>
      </c>
      <c r="T147" s="35">
        <f>IF(T144=1,'Income statement'!T170,0)</f>
        <v>65366.146945725952</v>
      </c>
      <c r="U147" s="35">
        <f>IF(U144=1,'Income statement'!U170,0)</f>
        <v>68920.790960076469</v>
      </c>
      <c r="V147" s="35">
        <f>IF(V144=1,'Income statement'!V170,0)</f>
        <v>72630.284113837246</v>
      </c>
      <c r="W147" s="35">
        <f>IF(W144=1,'Income statement'!W170,0)</f>
        <v>76501.700533181545</v>
      </c>
      <c r="X147" s="35">
        <f>IF(X144=1,'Income statement'!X170,0)</f>
        <v>80543.199285037263</v>
      </c>
      <c r="Y147" s="35">
        <f>IF(Y144=1,'Income statement'!Y170,0)</f>
        <v>84761.523538830384</v>
      </c>
      <c r="Z147" s="35">
        <f>IF(Z144=1,'Income statement'!Z170,0)</f>
        <v>89163.668407549121</v>
      </c>
      <c r="AA147" s="35">
        <f>IF(AA144=1,'Income statement'!AA170,0)</f>
        <v>93756.889999742605</v>
      </c>
      <c r="AB147" s="35">
        <f>IF(AB144=1,'Income statement'!AB170,0)</f>
        <v>98548.714788238052</v>
      </c>
      <c r="AC147" s="35">
        <f>IF(AC144=1,'Income statement'!AC170,0)</f>
        <v>103546.94930635183</v>
      </c>
      <c r="AD147" s="35">
        <f>IF(AD144=1,'Income statement'!AD170,0)</f>
        <v>108759.69018275783</v>
      </c>
      <c r="AE147" s="35">
        <f>IF(AE144=1,'Income statement'!AE170,0)</f>
        <v>114195.33452656849</v>
      </c>
      <c r="AF147" s="35">
        <f>IF(AF144=1,'Income statement'!AF170,0)</f>
        <v>119862.5906745829</v>
      </c>
      <c r="AG147" s="35">
        <f>IF(AG144=1,'Income statement'!AG170,0)</f>
        <v>125773.41403918967</v>
      </c>
      <c r="AH147" s="35">
        <f>IF(AH144=1,'Income statement'!AH170,0)</f>
        <v>131968.87090333822</v>
      </c>
      <c r="AI147" s="405"/>
      <c r="AJ147" s="405"/>
      <c r="AK147" s="405"/>
    </row>
    <row r="148" spans="1:37" s="277" customFormat="1" x14ac:dyDescent="0.2">
      <c r="A148" s="316"/>
      <c r="B148" s="25" t="s">
        <v>664</v>
      </c>
      <c r="C148" s="24"/>
      <c r="D148" s="24"/>
      <c r="E148" s="35">
        <v>0</v>
      </c>
      <c r="F148" s="35">
        <f>IF(F144,'Income statement'!F167+Calculations!F1211,0)</f>
        <v>9.875</v>
      </c>
      <c r="G148" s="35">
        <f>IF(G144,'Income statement'!G167+Calculations!G1211,0)</f>
        <v>10.247000000000014</v>
      </c>
      <c r="H148" s="35">
        <f>IF(H144,'Income statement'!H167+Calculations!H1211,0)</f>
        <v>10.594500000000039</v>
      </c>
      <c r="I148" s="35">
        <f>IF(I144,'Income statement'!I167+Calculations!I1211,0)</f>
        <v>12.002500000000055</v>
      </c>
      <c r="J148" s="35">
        <f>IF(J144,'Income statement'!J167+Calculations!J1211,0)</f>
        <v>13.518500000000131</v>
      </c>
      <c r="K148" s="35">
        <f>IF(K144,'Income statement'!K167+Calculations!K1211,0)</f>
        <v>15.079499999999825</v>
      </c>
      <c r="L148" s="35">
        <f>IF(L144,'Income statement'!L167+Calculations!L1211,0)</f>
        <v>15.382500000000164</v>
      </c>
      <c r="M148" s="35">
        <f>IF(M144,'Income statement'!M167+Calculations!M1211,0)</f>
        <v>14.457500000000437</v>
      </c>
      <c r="N148" s="35">
        <f>IF(N144,'Income statement'!N167+Calculations!N1211,0)</f>
        <v>13.472499999999854</v>
      </c>
      <c r="O148" s="35">
        <f>IF(O144,'Income statement'!O167+Calculations!O1211,0)</f>
        <v>12.0600000000004</v>
      </c>
      <c r="P148" s="35">
        <f>IF(P144,'Income statement'!P167+Calculations!P1211,0)</f>
        <v>12</v>
      </c>
      <c r="Q148" s="35">
        <f>IF(Q144,'Income statement'!Q167+Calculations!Q1211,0)</f>
        <v>12</v>
      </c>
      <c r="R148" s="35">
        <f>IF(R144,'Income statement'!R167+Calculations!R1211,0)</f>
        <v>12</v>
      </c>
      <c r="S148" s="35">
        <f>IF(S144,'Income statement'!S167+Calculations!S1211,0)</f>
        <v>12</v>
      </c>
      <c r="T148" s="35">
        <f>IF(T144,'Income statement'!T167+Calculations!T1211,0)</f>
        <v>12</v>
      </c>
      <c r="U148" s="35">
        <f>IF(U144,'Income statement'!U167+Calculations!U1211,0)</f>
        <v>6</v>
      </c>
      <c r="V148" s="35">
        <f>IF(V144,'Income statement'!V167+Calculations!V1211,0)</f>
        <v>0</v>
      </c>
      <c r="W148" s="35">
        <f>IF(W144,'Income statement'!W167+Calculations!W1211,0)</f>
        <v>0</v>
      </c>
      <c r="X148" s="35">
        <f>IF(X144,'Income statement'!X167+Calculations!X1211,0)</f>
        <v>0</v>
      </c>
      <c r="Y148" s="35">
        <f>IF(Y144,'Income statement'!Y167+Calculations!Y1211,0)</f>
        <v>0</v>
      </c>
      <c r="Z148" s="35">
        <f>IF(Z144,'Income statement'!Z167+Calculations!Z1211,0)</f>
        <v>0</v>
      </c>
      <c r="AA148" s="35">
        <f>IF(AA144,'Income statement'!AA167+Calculations!AA1211,0)</f>
        <v>0</v>
      </c>
      <c r="AB148" s="35">
        <f>IF(AB144,'Income statement'!AB167+Calculations!AB1211,0)</f>
        <v>0</v>
      </c>
      <c r="AC148" s="35">
        <f>IF(AC144,'Income statement'!AC167+Calculations!AC1211,0)</f>
        <v>0</v>
      </c>
      <c r="AD148" s="35">
        <f>IF(AD144,'Income statement'!AD167+Calculations!AD1211,0)</f>
        <v>0</v>
      </c>
      <c r="AE148" s="35">
        <f>IF(AE144,'Income statement'!AE167+Calculations!AE1211,0)</f>
        <v>0</v>
      </c>
      <c r="AF148" s="35">
        <f>IF(AF144,'Income statement'!AF167+Calculations!AF1211,0)</f>
        <v>0</v>
      </c>
      <c r="AG148" s="35">
        <f>IF(AG144,'Income statement'!AG167+Calculations!AG1211,0)</f>
        <v>0</v>
      </c>
      <c r="AH148" s="35">
        <f>IF(AH144,'Income statement'!AH167+Calculations!AH1211,0)</f>
        <v>0</v>
      </c>
      <c r="AI148" s="405"/>
      <c r="AJ148" s="405"/>
      <c r="AK148" s="405"/>
    </row>
    <row r="149" spans="1:37" s="277" customFormat="1" x14ac:dyDescent="0.2">
      <c r="A149" s="316"/>
      <c r="B149" s="504" t="s">
        <v>699</v>
      </c>
      <c r="E149" s="405">
        <v>0</v>
      </c>
      <c r="F149" s="405">
        <f>Calculations!F1164-Calculations!F1135</f>
        <v>0</v>
      </c>
      <c r="G149" s="405">
        <f>Calculations!G1164-Calculations!G1135</f>
        <v>0</v>
      </c>
      <c r="H149" s="405">
        <f>Calculations!H1164-Calculations!H1135</f>
        <v>0</v>
      </c>
      <c r="I149" s="405">
        <f>Calculations!I1164-Calculations!I1135</f>
        <v>0</v>
      </c>
      <c r="J149" s="405">
        <f>Calculations!J1164-Calculations!J1135</f>
        <v>0</v>
      </c>
      <c r="K149" s="405">
        <f>Calculations!K1164-Calculations!K1135</f>
        <v>0</v>
      </c>
      <c r="L149" s="405">
        <f>Calculations!L1164-Calculations!L1135</f>
        <v>0</v>
      </c>
      <c r="M149" s="405">
        <f>Calculations!M1164-Calculations!M1135</f>
        <v>0</v>
      </c>
      <c r="N149" s="405">
        <f>Calculations!N1164-Calculations!N1135</f>
        <v>0</v>
      </c>
      <c r="O149" s="405">
        <f>Calculations!O1164-Calculations!O1135</f>
        <v>0</v>
      </c>
      <c r="P149" s="405">
        <f>Calculations!P1164-Calculations!P1135</f>
        <v>0</v>
      </c>
      <c r="Q149" s="405">
        <f>Calculations!Q1164-Calculations!Q1135</f>
        <v>0</v>
      </c>
      <c r="R149" s="405">
        <f>Calculations!R1164-Calculations!R1135</f>
        <v>0</v>
      </c>
      <c r="S149" s="405">
        <f>Calculations!S1164-Calculations!S1135</f>
        <v>0</v>
      </c>
      <c r="T149" s="405">
        <f>Calculations!T1164-Calculations!T1135</f>
        <v>0</v>
      </c>
      <c r="U149" s="405">
        <f>Calculations!U1164-Calculations!U1135</f>
        <v>0</v>
      </c>
      <c r="V149" s="405">
        <f>Calculations!V1164-Calculations!V1135</f>
        <v>0</v>
      </c>
      <c r="W149" s="405">
        <f>Calculations!W1164-Calculations!W1135</f>
        <v>0</v>
      </c>
      <c r="X149" s="405">
        <f>Calculations!X1164-Calculations!X1135</f>
        <v>0</v>
      </c>
      <c r="Y149" s="405">
        <f>Calculations!Y1164-Calculations!Y1135</f>
        <v>0</v>
      </c>
      <c r="Z149" s="405">
        <f>Calculations!Z1164-Calculations!Z1135</f>
        <v>0</v>
      </c>
      <c r="AA149" s="405">
        <f>Calculations!AA1164-Calculations!AA1135</f>
        <v>0</v>
      </c>
      <c r="AB149" s="405">
        <f>Calculations!AB1164-Calculations!AB1135</f>
        <v>0</v>
      </c>
      <c r="AC149" s="405">
        <f>Calculations!AC1164-Calculations!AC1135</f>
        <v>0</v>
      </c>
      <c r="AD149" s="405">
        <f>Calculations!AD1164-Calculations!AD1135</f>
        <v>0</v>
      </c>
      <c r="AE149" s="405">
        <f>Calculations!AE1164-Calculations!AE1135</f>
        <v>0</v>
      </c>
      <c r="AF149" s="405">
        <f>Calculations!AF1164-Calculations!AF1135</f>
        <v>0</v>
      </c>
      <c r="AG149" s="405">
        <f>Calculations!AG1164-Calculations!AG1135</f>
        <v>0</v>
      </c>
      <c r="AH149" s="405">
        <f>Calculations!AH1164-Calculations!AH1135</f>
        <v>0</v>
      </c>
      <c r="AI149" s="405"/>
      <c r="AJ149" s="405"/>
      <c r="AK149" s="405"/>
    </row>
    <row r="150" spans="1:37" s="277" customFormat="1" x14ac:dyDescent="0.2">
      <c r="A150" s="316"/>
      <c r="B150" s="23" t="s">
        <v>103</v>
      </c>
      <c r="C150" s="24"/>
      <c r="D150" s="24"/>
      <c r="E150" s="35"/>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405"/>
      <c r="AJ150" s="405"/>
      <c r="AK150" s="405"/>
    </row>
    <row r="151" spans="1:37" s="277" customFormat="1" x14ac:dyDescent="0.2">
      <c r="A151" s="316"/>
      <c r="B151" s="25" t="s">
        <v>94</v>
      </c>
      <c r="C151" s="24"/>
      <c r="D151" s="24"/>
      <c r="E151" s="35">
        <v>0</v>
      </c>
      <c r="F151" s="35">
        <f>IF(F144=1,'Income statement'!F163,0)</f>
        <v>50.318937464629315</v>
      </c>
      <c r="G151" s="35">
        <f>IF(G144=1,'Income statement'!G163,0)</f>
        <v>66.353357390991192</v>
      </c>
      <c r="H151" s="35">
        <f>IF(H144=1,'Income statement'!H163,0)</f>
        <v>78.031650835139601</v>
      </c>
      <c r="I151" s="35">
        <f>IF(I144=1,'Income statement'!I163,0)</f>
        <v>89.709944279288052</v>
      </c>
      <c r="J151" s="35">
        <f>IF(J144=1,'Income statement'!J163,0)</f>
        <v>101.38823772343648</v>
      </c>
      <c r="K151" s="35">
        <f>IF(K144=1,'Income statement'!K163,0)</f>
        <v>113.0665311675849</v>
      </c>
      <c r="L151" s="35">
        <f>IF(L144=1,'Income statement'!L163,0)</f>
        <v>124.74482461173334</v>
      </c>
      <c r="M151" s="35">
        <f>IF(M144=1,'Income statement'!M163,0)</f>
        <v>136.42311805588176</v>
      </c>
      <c r="N151" s="35">
        <f>IF(N144=1,'Income statement'!N163,0)</f>
        <v>147.8945391297637</v>
      </c>
      <c r="O151" s="35">
        <f>IF(O144=1,'Income statement'!O163,0)</f>
        <v>159.62542724431887</v>
      </c>
      <c r="P151" s="35">
        <f>IF(P144=1,'Income statement'!P163,0)</f>
        <v>171.46501101104795</v>
      </c>
      <c r="Q151" s="35">
        <f>IF(Q144=1,'Income statement'!Q163,0)</f>
        <v>179.30459477777706</v>
      </c>
      <c r="R151" s="35">
        <f>IF(R144=1,'Income statement'!R163,0)</f>
        <v>181.36881622566551</v>
      </c>
      <c r="S151" s="35">
        <f>IF(S144=1,'Income statement'!S163,0)</f>
        <v>192.43303767355403</v>
      </c>
      <c r="T151" s="35">
        <f>IF(T144=1,'Income statement'!T163,0)</f>
        <v>190.29271366689707</v>
      </c>
      <c r="U151" s="35">
        <f>IF(U144=1,'Income statement'!U163,0)</f>
        <v>202.51791996327037</v>
      </c>
      <c r="V151" s="35">
        <f>IF(V144=1,'Income statement'!V163,0)</f>
        <v>214.74312625964379</v>
      </c>
      <c r="W151" s="35">
        <f>IF(W144=1,'Income statement'!W163,0)</f>
        <v>226.96833255601709</v>
      </c>
      <c r="X151" s="35">
        <f>IF(X144=1,'Income statement'!X163,0)</f>
        <v>239.19353885239042</v>
      </c>
      <c r="Y151" s="35">
        <f>IF(Y144=1,'Income statement'!Y163,0)</f>
        <v>251.4187451487638</v>
      </c>
      <c r="Z151" s="35">
        <f>IF(Z144=1,'Income statement'!Z163,0)</f>
        <v>263.64395144513713</v>
      </c>
      <c r="AA151" s="35">
        <f>IF(AA144=1,'Income statement'!AA163,0)</f>
        <v>275.86915774151049</v>
      </c>
      <c r="AB151" s="35">
        <f>IF(AB144=1,'Income statement'!AB163,0)</f>
        <v>288.09436403788385</v>
      </c>
      <c r="AC151" s="35">
        <f>IF(AC144=1,'Income statement'!AC163,0)</f>
        <v>300.31957033425715</v>
      </c>
      <c r="AD151" s="35">
        <f>IF(AD144=1,'Income statement'!AD163,0)</f>
        <v>312.54477663063057</v>
      </c>
      <c r="AE151" s="35">
        <f>IF(AE144=1,'Income statement'!AE163,0)</f>
        <v>324.76998292700387</v>
      </c>
      <c r="AF151" s="35">
        <f>IF(AF144=1,'Income statement'!AF163,0)</f>
        <v>336.99518922337722</v>
      </c>
      <c r="AG151" s="35">
        <f>IF(AG144=1,'Income statement'!AG163,0)</f>
        <v>344.8611277851968</v>
      </c>
      <c r="AH151" s="35">
        <f>IF(AH144=1,'Income statement'!AH163,0)</f>
        <v>298.33385505792404</v>
      </c>
      <c r="AI151" s="405"/>
      <c r="AJ151" s="405"/>
      <c r="AK151" s="405"/>
    </row>
    <row r="152" spans="1:37" s="277" customFormat="1" x14ac:dyDescent="0.2">
      <c r="A152" s="316"/>
      <c r="B152" s="25" t="s">
        <v>611</v>
      </c>
      <c r="C152" s="24"/>
      <c r="D152" s="24"/>
      <c r="E152" s="35">
        <v>0</v>
      </c>
      <c r="F152" s="35">
        <f>IF(F144=1,Calculations!F1143,0)</f>
        <v>2.0127574985851728</v>
      </c>
      <c r="G152" s="35">
        <f>IF(G144=1,Calculations!G1143,0)</f>
        <v>3.8498475114809247</v>
      </c>
      <c r="H152" s="35">
        <f>IF(H144=1,Calculations!H1143,0)</f>
        <v>4.5665842113255577</v>
      </c>
      <c r="I152" s="35">
        <f>IF(I144=1,Calculations!I1143,0)</f>
        <v>5.2838809399187348</v>
      </c>
      <c r="J152" s="35">
        <f>IF(J144=1,Calculations!J1143,0)</f>
        <v>6.0167533612445645</v>
      </c>
      <c r="K152" s="35">
        <f>IF(K144=1,Calculations!K1143,0)</f>
        <v>6.7697291753483508</v>
      </c>
      <c r="L152" s="35">
        <f>IF(L144=1,Calculations!L1143,0)</f>
        <v>7.5449746747606437</v>
      </c>
      <c r="M152" s="35">
        <f>IF(M144=1,Calculations!M1143,0)</f>
        <v>8.343890520914151</v>
      </c>
      <c r="N152" s="35">
        <f>IF(N144=1,Calculations!N1143,0)</f>
        <v>9.1579325876949333</v>
      </c>
      <c r="O152" s="35">
        <f>IF(O144=1,Calculations!O1143,0)</f>
        <v>10.006206945372597</v>
      </c>
      <c r="P152" s="35">
        <f>IF(P144=1,Calculations!P1143,0)</f>
        <v>10.888717650353012</v>
      </c>
      <c r="Q152" s="35">
        <f>IF(Q144=1,Calculations!Q1143,0)</f>
        <v>11.638751811596757</v>
      </c>
      <c r="R152" s="35">
        <f>IF(R144=1,Calculations!R1143,0)</f>
        <v>12.182832117541741</v>
      </c>
      <c r="S152" s="35">
        <f>IF(S144=1,Calculations!S1143,0)</f>
        <v>13.105634338698621</v>
      </c>
      <c r="T152" s="35">
        <f>IF(T144=1,Calculations!T1143,0)</f>
        <v>13.525367804356828</v>
      </c>
      <c r="U152" s="35">
        <f>IF(U144=1,Calculations!U1143,0)</f>
        <v>14.549717225382311</v>
      </c>
      <c r="V152" s="35">
        <f>IF(V144=1,Calculations!V1143,0)</f>
        <v>15.605203667862748</v>
      </c>
      <c r="W152" s="35">
        <f>IF(W144=1,Calculations!W1143,0)</f>
        <v>16.692711075724191</v>
      </c>
      <c r="X152" s="35">
        <f>IF(X144=1,Calculations!X1143,0)</f>
        <v>17.813160244248245</v>
      </c>
      <c r="Y152" s="35">
        <f>IF(Y144=1,Calculations!Y1143,0)</f>
        <v>18.967507317614327</v>
      </c>
      <c r="Z152" s="35">
        <f>IF(Z144=1,Calculations!Z1143,0)</f>
        <v>20.156742995964997</v>
      </c>
      <c r="AA152" s="35">
        <f>IF(AA144=1,Calculations!AA1143,0)</f>
        <v>21.381892229506761</v>
      </c>
      <c r="AB152" s="35">
        <f>IF(AB144=1,Calculations!AB1143,0)</f>
        <v>22.644014256676144</v>
      </c>
      <c r="AC152" s="35">
        <f>IF(AC144=1,Calculations!AC1143,0)</f>
        <v>23.944202892429015</v>
      </c>
      <c r="AD152" s="35">
        <f>IF(AD144=1,Calculations!AD1143,0)</f>
        <v>25.283587003712924</v>
      </c>
      <c r="AE152" s="35">
        <f>IF(AE144=1,Calculations!AE1143,0)</f>
        <v>26.663331129236809</v>
      </c>
      <c r="AF152" s="35">
        <f>IF(AF144=1,Calculations!AF1143,0)</f>
        <v>28.084636213895521</v>
      </c>
      <c r="AG152" s="35">
        <f>IF(AG144=1,Calculations!AG1143,0)</f>
        <v>29.367652876138781</v>
      </c>
      <c r="AH152" s="35">
        <f>IF(AH144=1,Calculations!AH1143,0)</f>
        <v>25.790473362175096</v>
      </c>
      <c r="AI152" s="405"/>
      <c r="AJ152" s="405"/>
      <c r="AK152" s="405"/>
    </row>
    <row r="153" spans="1:37" s="277" customFormat="1" x14ac:dyDescent="0.2">
      <c r="A153" s="316"/>
      <c r="B153" s="23" t="s">
        <v>104</v>
      </c>
      <c r="C153" s="24"/>
      <c r="D153" s="24"/>
      <c r="E153" s="35"/>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405"/>
      <c r="AJ153" s="405"/>
      <c r="AK153" s="405"/>
    </row>
    <row r="154" spans="1:37" s="277" customFormat="1" x14ac:dyDescent="0.2">
      <c r="A154" s="316"/>
      <c r="B154" s="25" t="s">
        <v>71</v>
      </c>
      <c r="C154" s="24"/>
      <c r="D154" s="24"/>
      <c r="E154" s="35">
        <v>0</v>
      </c>
      <c r="F154" s="35">
        <f>IF(F144=1,'Balance sheet'!F149-'Balance sheet'!E149,0)</f>
        <v>229.22192368094056</v>
      </c>
      <c r="G154" s="35">
        <f>IF(G144=1,'Balance sheet'!G149-'Balance sheet'!F149,0)</f>
        <v>156.87665771042703</v>
      </c>
      <c r="H154" s="35">
        <f>IF(H144=1,'Balance sheet'!H149-'Balance sheet'!G149,0)</f>
        <v>286.6280062668875</v>
      </c>
      <c r="I154" s="35">
        <f>IF(I144=1,'Balance sheet'!I149-'Balance sheet'!H149,0)</f>
        <v>427.77459820954664</v>
      </c>
      <c r="J154" s="35">
        <f>IF(J144=1,'Balance sheet'!J149-'Balance sheet'!I149,0)</f>
        <v>315.67532787463006</v>
      </c>
      <c r="K154" s="35">
        <f>IF(K144=1,'Balance sheet'!K149-'Balance sheet'!J149,0)</f>
        <v>781.9529132079615</v>
      </c>
      <c r="L154" s="35">
        <f>IF(L144=1,'Balance sheet'!L149-'Balance sheet'!K149,0)</f>
        <v>356.68318690809338</v>
      </c>
      <c r="M154" s="35">
        <f>IF(M144=1,'Balance sheet'!M149-'Balance sheet'!L149,0)</f>
        <v>371.60586163832522</v>
      </c>
      <c r="N154" s="35">
        <f>IF(N144=1,'Balance sheet'!N149-'Balance sheet'!M149,0)</f>
        <v>387.10288198415037</v>
      </c>
      <c r="O154" s="35">
        <f>IF(O144=1,'Balance sheet'!O149-'Balance sheet'!N149,0)</f>
        <v>403.19527827524871</v>
      </c>
      <c r="P154" s="35">
        <f>IF(P144=1,'Balance sheet'!P149-'Balance sheet'!O149,0)</f>
        <v>419.90482575003625</v>
      </c>
      <c r="Q154" s="35">
        <f>IF(Q144=1,'Balance sheet'!Q149-'Balance sheet'!P149,0)</f>
        <v>437.25407032285329</v>
      </c>
      <c r="R154" s="35">
        <f>IF(R144=1,'Balance sheet'!R149-'Balance sheet'!Q149,0)</f>
        <v>455.26635522687138</v>
      </c>
      <c r="S154" s="35">
        <f>IF(S144=1,'Balance sheet'!S149-'Balance sheet'!R149,0)</f>
        <v>473.96584856183836</v>
      </c>
      <c r="T154" s="35">
        <f>IF(T144=1,'Balance sheet'!T149-'Balance sheet'!S149,0)</f>
        <v>493.37757177719504</v>
      </c>
      <c r="U154" s="35">
        <f>IF(U144=1,'Balance sheet'!U149-'Balance sheet'!T149,0)</f>
        <v>513.52742912177382</v>
      </c>
      <c r="V154" s="35">
        <f>IF(V144=1,'Balance sheet'!V149-'Balance sheet'!U149,0)</f>
        <v>534.44223809242612</v>
      </c>
      <c r="W154" s="35">
        <f>IF(W144=1,'Balance sheet'!W149-'Balance sheet'!V149,0)</f>
        <v>556.14976091510289</v>
      </c>
      <c r="X154" s="35">
        <f>IF(X144=1,'Balance sheet'!X149-'Balance sheet'!W149,0)</f>
        <v>578.67873709285959</v>
      </c>
      <c r="Y154" s="35">
        <f>IF(Y144=1,'Balance sheet'!Y149-'Balance sheet'!X149,0)</f>
        <v>602.05891705646718</v>
      </c>
      <c r="Z154" s="35">
        <f>IF(Z144=1,'Balance sheet'!Z149-'Balance sheet'!Y149,0)</f>
        <v>626.32109695449253</v>
      </c>
      <c r="AA154" s="35">
        <f>IF(AA144=1,'Balance sheet'!AA149-'Balance sheet'!Z149,0)</f>
        <v>651.49715462105814</v>
      </c>
      <c r="AB154" s="35">
        <f>IF(AB144=1,'Balance sheet'!AB149-'Balance sheet'!AA149,0)</f>
        <v>677.62008676035657</v>
      </c>
      <c r="AC154" s="35">
        <f>IF(AC144=1,'Balance sheet'!AC149-'Balance sheet'!AB149,0)</f>
        <v>704.72404738885416</v>
      </c>
      <c r="AD154" s="35">
        <f>IF(AD144=1,'Balance sheet'!AD149-'Balance sheet'!AC149,0)</f>
        <v>732.84438757697353</v>
      </c>
      <c r="AE154" s="35">
        <f>IF(AE144=1,'Balance sheet'!AE149-'Balance sheet'!AD149,0)</f>
        <v>762.01769653373412</v>
      </c>
      <c r="AF154" s="35">
        <f>IF(AF144=1,'Balance sheet'!AF149-'Balance sheet'!AE149,0)</f>
        <v>792.28184407907975</v>
      </c>
      <c r="AG154" s="35">
        <f>IF(AG144=1,'Balance sheet'!AG149-'Balance sheet'!AF149,0)</f>
        <v>823.67602455027372</v>
      </c>
      <c r="AH154" s="35">
        <f>IF(AH144=1,'Balance sheet'!AH149-'Balance sheet'!AG149,0)</f>
        <v>856.24080219005555</v>
      </c>
      <c r="AI154" s="405"/>
      <c r="AJ154" s="405"/>
      <c r="AK154" s="405"/>
    </row>
    <row r="155" spans="1:37" s="24" customFormat="1" x14ac:dyDescent="0.2">
      <c r="A155" s="316"/>
      <c r="B155" s="25" t="s">
        <v>72</v>
      </c>
      <c r="E155" s="35">
        <v>0</v>
      </c>
      <c r="F155" s="35">
        <f>IF(F144=1,'Balance sheet'!F150-'Balance sheet'!E150,0)</f>
        <v>4.3149771341463321</v>
      </c>
      <c r="G155" s="35">
        <f>IF(G144=1,'Balance sheet'!G150-'Balance sheet'!F150,0)</f>
        <v>2.8060041920731891</v>
      </c>
      <c r="H155" s="35">
        <f>IF(H144=1,'Balance sheet'!H150-'Balance sheet'!G150,0)</f>
        <v>5.4415598704268433</v>
      </c>
      <c r="I155" s="35">
        <f>IF(I144=1,'Balance sheet'!I150-'Balance sheet'!H150,0)</f>
        <v>8.3095558528963522</v>
      </c>
      <c r="J155" s="35">
        <f>IF(J144=1,'Balance sheet'!J150-'Balance sheet'!I150,0)</f>
        <v>5.9897743053525545</v>
      </c>
      <c r="K155" s="35">
        <f>IF(K144=1,'Balance sheet'!K150-'Balance sheet'!J150,0)</f>
        <v>15.182116587760049</v>
      </c>
      <c r="L155" s="35">
        <f>IF(L144=1,'Balance sheet'!L150-'Balance sheet'!K150,0)</f>
        <v>6.7220047729902319</v>
      </c>
      <c r="M155" s="35">
        <f>IF(M144=1,'Balance sheet'!M150-'Balance sheet'!L150,0)</f>
        <v>6.9974854702212781</v>
      </c>
      <c r="N155" s="35">
        <f>IF(N144=1,'Balance sheet'!N150-'Balance sheet'!M150,0)</f>
        <v>7.2834452049904712</v>
      </c>
      <c r="O155" s="35">
        <f>IF(O144=1,'Balance sheet'!O150-'Balance sheet'!N150,0)</f>
        <v>7.5802647869226121</v>
      </c>
      <c r="P155" s="35">
        <f>IF(P144=1,'Balance sheet'!P150-'Balance sheet'!O150,0)</f>
        <v>7.8883384430862122</v>
      </c>
      <c r="Q155" s="35">
        <f>IF(Q144=1,'Balance sheet'!Q150-'Balance sheet'!P150,0)</f>
        <v>8.2080742803113651</v>
      </c>
      <c r="R155" s="35">
        <f>IF(R144=1,'Balance sheet'!R150-'Balance sheet'!Q150,0)</f>
        <v>8.5398947631712474</v>
      </c>
      <c r="S155" s="35">
        <f>IF(S144=1,'Balance sheet'!S150-'Balance sheet'!R150,0)</f>
        <v>8.8842372081505516</v>
      </c>
      <c r="T155" s="35">
        <f>IF(T144=1,'Balance sheet'!T150-'Balance sheet'!S150,0)</f>
        <v>9.2415542945415723</v>
      </c>
      <c r="U155" s="35">
        <f>IF(U144=1,'Balance sheet'!U150-'Balance sheet'!T150,0)</f>
        <v>9.6123145926289055</v>
      </c>
      <c r="V155" s="35">
        <f>IF(V144=1,'Balance sheet'!V150-'Balance sheet'!U150,0)</f>
        <v>9.9970031097362266</v>
      </c>
      <c r="W155" s="35">
        <f>IF(W144=1,'Balance sheet'!W150-'Balance sheet'!V150,0)</f>
        <v>10.396121854736691</v>
      </c>
      <c r="X155" s="35">
        <f>IF(X144=1,'Balance sheet'!X150-'Balance sheet'!W150,0)</f>
        <v>10.810190421638538</v>
      </c>
      <c r="Y155" s="35">
        <f>IF(Y144=1,'Balance sheet'!Y150-'Balance sheet'!X150,0)</f>
        <v>11.239746592885012</v>
      </c>
      <c r="Z155" s="35">
        <f>IF(Z144=1,'Balance sheet'!Z150-'Balance sheet'!Y150,0)</f>
        <v>11.685346963026916</v>
      </c>
      <c r="AA155" s="35">
        <f>IF(AA144=1,'Balance sheet'!AA150-'Balance sheet'!Z150,0)</f>
        <v>12.147567583443788</v>
      </c>
      <c r="AB155" s="35">
        <f>IF(AB144=1,'Balance sheet'!AB150-'Balance sheet'!AA150,0)</f>
        <v>12.627004628818895</v>
      </c>
      <c r="AC155" s="35">
        <f>IF(AC144=1,'Balance sheet'!AC150-'Balance sheet'!AB150,0)</f>
        <v>13.124275086091359</v>
      </c>
      <c r="AD155" s="35">
        <f>IF(AD144=1,'Balance sheet'!AD150-'Balance sheet'!AC150,0)</f>
        <v>13.64001746663422</v>
      </c>
      <c r="AE155" s="35">
        <f>IF(AE144=1,'Balance sheet'!AE150-'Balance sheet'!AD150,0)</f>
        <v>14.17489254243236</v>
      </c>
      <c r="AF155" s="35">
        <f>IF(AF144=1,'Balance sheet'!AF150-'Balance sheet'!AE150,0)</f>
        <v>14.729584107058145</v>
      </c>
      <c r="AG155" s="35">
        <f>IF(AG144=1,'Balance sheet'!AG150-'Balance sheet'!AF150,0)</f>
        <v>15.304799762273547</v>
      </c>
      <c r="AH155" s="35">
        <f>IF(AH144=1,'Balance sheet'!AH150-'Balance sheet'!AG150,0)</f>
        <v>15.901271731105396</v>
      </c>
      <c r="AI155" s="35"/>
      <c r="AJ155" s="35"/>
      <c r="AK155" s="35"/>
    </row>
    <row r="156" spans="1:37" s="24" customFormat="1" x14ac:dyDescent="0.2">
      <c r="A156" s="316"/>
      <c r="B156" s="25" t="s">
        <v>288</v>
      </c>
      <c r="E156" s="35">
        <v>0</v>
      </c>
      <c r="F156" s="35">
        <f>IF(F144=1,'Balance sheet'!F151-'Balance sheet'!E151,0)</f>
        <v>0.85714285714287541</v>
      </c>
      <c r="G156" s="35">
        <f>IF(G144=1,'Balance sheet'!G151-'Balance sheet'!F151,0)</f>
        <v>0.88285714285714789</v>
      </c>
      <c r="H156" s="35">
        <f>IF(H144=1,'Balance sheet'!H151-'Balance sheet'!G151,0)</f>
        <v>0.90934285714284613</v>
      </c>
      <c r="I156" s="35">
        <f>IF(I144=1,'Balance sheet'!I151-'Balance sheet'!H151,0)</f>
        <v>0.93662314285714388</v>
      </c>
      <c r="J156" s="35">
        <f>IF(J144=1,'Balance sheet'!J151-'Balance sheet'!I151,0)</f>
        <v>0.96472183714286075</v>
      </c>
      <c r="K156" s="35">
        <f>IF(K144=1,'Balance sheet'!K151-'Balance sheet'!J151,0)</f>
        <v>0.99366349225714146</v>
      </c>
      <c r="L156" s="35">
        <f>IF(L144=1,'Balance sheet'!L151-'Balance sheet'!K151,0)</f>
        <v>1.0234733970248584</v>
      </c>
      <c r="M156" s="35">
        <f>IF(M144=1,'Balance sheet'!M151-'Balance sheet'!L151,0)</f>
        <v>1.0541775989355955</v>
      </c>
      <c r="N156" s="35">
        <f>IF(N144=1,'Balance sheet'!N151-'Balance sheet'!M151,0)</f>
        <v>1.085802926903682</v>
      </c>
      <c r="O156" s="35">
        <f>IF(O144=1,'Balance sheet'!O151-'Balance sheet'!N151,0)</f>
        <v>1.1183770147107737</v>
      </c>
      <c r="P156" s="35">
        <f>IF(P144=1,'Balance sheet'!P151-'Balance sheet'!O151,0)</f>
        <v>1.1519283251521131</v>
      </c>
      <c r="Q156" s="35">
        <f>IF(Q144=1,'Balance sheet'!Q151-'Balance sheet'!P151,0)</f>
        <v>1.186486174906662</v>
      </c>
      <c r="R156" s="35">
        <f>IF(R144=1,'Balance sheet'!R151-'Balance sheet'!Q151,0)</f>
        <v>1.2220807601538723</v>
      </c>
      <c r="S156" s="35">
        <f>IF(S144=1,'Balance sheet'!S151-'Balance sheet'!R151,0)</f>
        <v>1.2587431829584688</v>
      </c>
      <c r="T156" s="35">
        <f>IF(T144=1,'Balance sheet'!T151-'Balance sheet'!S151,0)</f>
        <v>1.2965054784472443</v>
      </c>
      <c r="U156" s="35">
        <f>IF(U144=1,'Balance sheet'!U151-'Balance sheet'!T151,0)</f>
        <v>1.33540064280065</v>
      </c>
      <c r="V156" s="35">
        <f>IF(V144=1,'Balance sheet'!V151-'Balance sheet'!U151,0)</f>
        <v>1.3754626620846864</v>
      </c>
      <c r="W156" s="35">
        <f>IF(W144=1,'Balance sheet'!W151-'Balance sheet'!V151,0)</f>
        <v>1.416726541947213</v>
      </c>
      <c r="X156" s="35">
        <f>IF(X144=1,'Balance sheet'!X151-'Balance sheet'!W151,0)</f>
        <v>1.4592283382056479</v>
      </c>
      <c r="Y156" s="35">
        <f>IF(Y144=1,'Balance sheet'!Y151-'Balance sheet'!X151,0)</f>
        <v>1.5030051883517928</v>
      </c>
      <c r="Z156" s="35">
        <f>IF(Z144=1,'Balance sheet'!Z151-'Balance sheet'!Y151,0)</f>
        <v>1.5480953440023626</v>
      </c>
      <c r="AA156" s="35">
        <f>IF(AA144=1,'Balance sheet'!AA151-'Balance sheet'!Z151,0)</f>
        <v>1.5945382043224328</v>
      </c>
      <c r="AB156" s="35">
        <f>IF(AB144=1,'Balance sheet'!AB151-'Balance sheet'!AA151,0)</f>
        <v>1.6423743504521013</v>
      </c>
      <c r="AC156" s="35">
        <f>IF(AC144=1,'Balance sheet'!AC151-'Balance sheet'!AB151,0)</f>
        <v>1.6916455809656412</v>
      </c>
      <c r="AD156" s="35">
        <f>IF(AD144=1,'Balance sheet'!AD151-'Balance sheet'!AC151,0)</f>
        <v>1.742394948394633</v>
      </c>
      <c r="AE156" s="35">
        <f>IF(AE144=1,'Balance sheet'!AE151-'Balance sheet'!AD151,0)</f>
        <v>1.7946667968464851</v>
      </c>
      <c r="AF156" s="35">
        <f>IF(AF144=1,'Balance sheet'!AF151-'Balance sheet'!AE151,0)</f>
        <v>1.848506800751835</v>
      </c>
      <c r="AG156" s="35">
        <f>IF(AG144=1,'Balance sheet'!AG151-'Balance sheet'!AF151,0)</f>
        <v>1.9039620047744563</v>
      </c>
      <c r="AH156" s="35">
        <f>IF(AH144=1,'Balance sheet'!AH151-'Balance sheet'!AG151,0)</f>
        <v>1.9610808649176761</v>
      </c>
      <c r="AI156" s="35"/>
      <c r="AJ156" s="35"/>
      <c r="AK156" s="35"/>
    </row>
    <row r="157" spans="1:37" s="24" customFormat="1" x14ac:dyDescent="0.2">
      <c r="A157" s="316"/>
      <c r="B157" s="25" t="s">
        <v>78</v>
      </c>
      <c r="E157" s="35">
        <v>0</v>
      </c>
      <c r="F157" s="35">
        <f>IF(F144=1,'Balance sheet'!F162-'Balance sheet'!E162,0)</f>
        <v>28.300241361788721</v>
      </c>
      <c r="G157" s="35">
        <f>IF(G144=1,'Balance sheet'!G162-'Balance sheet'!F162,0)</f>
        <v>25.952816764663226</v>
      </c>
      <c r="H157" s="35">
        <f>IF(H144=1,'Balance sheet'!H162-'Balance sheet'!G162,0)</f>
        <v>32.522541780995994</v>
      </c>
      <c r="I157" s="35">
        <f>IF(I144=1,'Balance sheet'!I162-'Balance sheet'!H162,0)</f>
        <v>50.346865073860272</v>
      </c>
      <c r="J157" s="35">
        <f>IF(J144=1,'Balance sheet'!J162-'Balance sheet'!I162,0)</f>
        <v>24.935920974383635</v>
      </c>
      <c r="K157" s="35">
        <f>IF(K144=1,'Balance sheet'!K162-'Balance sheet'!J162,0)</f>
        <v>45.60460379042388</v>
      </c>
      <c r="L157" s="35">
        <f>IF(L144=1,'Balance sheet'!L162-'Balance sheet'!K162,0)</f>
        <v>27.406711561146835</v>
      </c>
      <c r="M157" s="35">
        <f>IF(M144=1,'Balance sheet'!M162-'Balance sheet'!L162,0)</f>
        <v>28.414217564044179</v>
      </c>
      <c r="N157" s="35">
        <f>IF(N144=1,'Balance sheet'!N162-'Balance sheet'!M162,0)</f>
        <v>29.457507886710118</v>
      </c>
      <c r="O157" s="35">
        <f>IF(O144=1,'Balance sheet'!O162-'Balance sheet'!N162,0)</f>
        <v>30.537822832928555</v>
      </c>
      <c r="P157" s="35">
        <f>IF(P144=1,'Balance sheet'!P162-'Balance sheet'!O162,0)</f>
        <v>31.656444918822217</v>
      </c>
      <c r="Q157" s="35">
        <f>IF(Q144=1,'Balance sheet'!Q162-'Balance sheet'!P162,0)</f>
        <v>32.814700289319717</v>
      </c>
      <c r="R157" s="35">
        <f>IF(R144=1,'Balance sheet'!R162-'Balance sheet'!Q162,0)</f>
        <v>34.01396018161995</v>
      </c>
      <c r="S157" s="35">
        <f>IF(S144=1,'Balance sheet'!S162-'Balance sheet'!R162,0)</f>
        <v>35.255642437198048</v>
      </c>
      <c r="T157" s="35">
        <f>IF(T144=1,'Balance sheet'!T162-'Balance sheet'!S162,0)</f>
        <v>36.541213063947225</v>
      </c>
      <c r="U157" s="35">
        <f>IF(U144=1,'Balance sheet'!U162-'Balance sheet'!T162,0)</f>
        <v>37.872187850107935</v>
      </c>
      <c r="V157" s="35">
        <f>IF(V144=1,'Balance sheet'!V162-'Balance sheet'!U162,0)</f>
        <v>39.250134031681</v>
      </c>
      <c r="W157" s="35">
        <f>IF(W144=1,'Balance sheet'!W162-'Balance sheet'!V162,0)</f>
        <v>40.676672015082886</v>
      </c>
      <c r="X157" s="35">
        <f>IF(X144=1,'Balance sheet'!X162-'Balance sheet'!W162,0)</f>
        <v>42.15347715686039</v>
      </c>
      <c r="Y157" s="35">
        <f>IF(Y144=1,'Balance sheet'!Y162-'Balance sheet'!X162,0)</f>
        <v>43.682281602331386</v>
      </c>
      <c r="Z157" s="35">
        <f>IF(Z144=1,'Balance sheet'!Z162-'Balance sheet'!Y162,0)</f>
        <v>45.264876185089406</v>
      </c>
      <c r="AA157" s="35">
        <f>IF(AA144=1,'Balance sheet'!AA162-'Balance sheet'!Z162,0)</f>
        <v>46.903112389370563</v>
      </c>
      <c r="AB157" s="35">
        <f>IF(AB144=1,'Balance sheet'!AB162-'Balance sheet'!AA162,0)</f>
        <v>48.598904377342478</v>
      </c>
      <c r="AC157" s="35">
        <f>IF(AC144=1,'Balance sheet'!AC162-'Balance sheet'!AB162,0)</f>
        <v>50.354231083440709</v>
      </c>
      <c r="AD157" s="35">
        <f>IF(AD144=1,'Balance sheet'!AD162-'Balance sheet'!AC162,0)</f>
        <v>52.171138377967281</v>
      </c>
      <c r="AE157" s="35">
        <f>IF(AE144=1,'Balance sheet'!AE162-'Balance sheet'!AD162,0)</f>
        <v>54.05174130218893</v>
      </c>
      <c r="AF157" s="35">
        <f>IF(AF144=1,'Balance sheet'!AF162-'Balance sheet'!AE162,0)</f>
        <v>55.998226377324954</v>
      </c>
      <c r="AG157" s="35">
        <f>IF(AG144=1,'Balance sheet'!AG162-'Balance sheet'!AF162,0)</f>
        <v>58.012853989796213</v>
      </c>
      <c r="AH157" s="35">
        <f>IF(AH144=1,'Balance sheet'!AH162-'Balance sheet'!AG162,0)</f>
        <v>60.097960855276369</v>
      </c>
      <c r="AI157" s="35"/>
      <c r="AJ157" s="35"/>
      <c r="AK157" s="35"/>
    </row>
    <row r="158" spans="1:37" s="24" customFormat="1" x14ac:dyDescent="0.2">
      <c r="A158" s="316"/>
      <c r="B158" s="25" t="s">
        <v>290</v>
      </c>
      <c r="E158" s="35">
        <v>0</v>
      </c>
      <c r="F158" s="35">
        <f>IF(F144=1,'Balance sheet'!F163-'Balance sheet'!E163,0)</f>
        <v>3</v>
      </c>
      <c r="G158" s="35">
        <f>IF(G144=1,'Balance sheet'!G163-'Balance sheet'!F163,0)</f>
        <v>3.0900000000000034</v>
      </c>
      <c r="H158" s="35">
        <f>IF(H144=1,'Balance sheet'!H163-'Balance sheet'!G163,0)</f>
        <v>3.182699999999997</v>
      </c>
      <c r="I158" s="35">
        <f>IF(I144=1,'Balance sheet'!I163-'Balance sheet'!H163,0)</f>
        <v>3.2781809999999894</v>
      </c>
      <c r="J158" s="35">
        <f>IF(J144=1,'Balance sheet'!J163-'Balance sheet'!I163,0)</f>
        <v>3.3765264299999984</v>
      </c>
      <c r="K158" s="35">
        <f>IF(K144=1,'Balance sheet'!K163-'Balance sheet'!J163,0)</f>
        <v>3.4778222229000164</v>
      </c>
      <c r="L158" s="35">
        <f>IF(L144=1,'Balance sheet'!L163-'Balance sheet'!K163,0)</f>
        <v>3.5821568895870115</v>
      </c>
      <c r="M158" s="35">
        <f>IF(M144=1,'Balance sheet'!M163-'Balance sheet'!L163,0)</f>
        <v>3.6896215962746055</v>
      </c>
      <c r="N158" s="35">
        <f>IF(N144=1,'Balance sheet'!N163-'Balance sheet'!M163,0)</f>
        <v>3.8003102441628442</v>
      </c>
      <c r="O158" s="35">
        <f>IF(O144=1,'Balance sheet'!O163-'Balance sheet'!N163,0)</f>
        <v>3.9143195514877505</v>
      </c>
      <c r="P158" s="35">
        <f>IF(P144=1,'Balance sheet'!P163-'Balance sheet'!O163,0)</f>
        <v>4.0317491380323816</v>
      </c>
      <c r="Q158" s="35">
        <f>IF(Q144=1,'Balance sheet'!Q163-'Balance sheet'!P163,0)</f>
        <v>4.1527016121733311</v>
      </c>
      <c r="R158" s="35">
        <f>IF(R144=1,'Balance sheet'!R163-'Balance sheet'!Q163,0)</f>
        <v>4.2772826605385319</v>
      </c>
      <c r="S158" s="35">
        <f>IF(S144=1,'Balance sheet'!S163-'Balance sheet'!R163,0)</f>
        <v>4.4056011403546904</v>
      </c>
      <c r="T158" s="35">
        <f>IF(T144=1,'Balance sheet'!T163-'Balance sheet'!S163,0)</f>
        <v>4.5377691745653124</v>
      </c>
      <c r="U158" s="35">
        <f>IF(U144=1,'Balance sheet'!U163-'Balance sheet'!T163,0)</f>
        <v>4.6739022498022962</v>
      </c>
      <c r="V158" s="35">
        <f>IF(V144=1,'Balance sheet'!V163-'Balance sheet'!U163,0)</f>
        <v>4.8141193172963597</v>
      </c>
      <c r="W158" s="35">
        <f>IF(W144=1,'Balance sheet'!W163-'Balance sheet'!V163,0)</f>
        <v>4.9585428968152883</v>
      </c>
      <c r="X158" s="35">
        <f>IF(X144=1,'Balance sheet'!X163-'Balance sheet'!W163,0)</f>
        <v>5.1072991837197037</v>
      </c>
      <c r="Y158" s="35">
        <f>IF(Y144=1,'Balance sheet'!Y163-'Balance sheet'!X163,0)</f>
        <v>5.2605181592313386</v>
      </c>
      <c r="Z158" s="35">
        <f>IF(Z144=1,'Balance sheet'!Z163-'Balance sheet'!Y163,0)</f>
        <v>5.4183337040082336</v>
      </c>
      <c r="AA158" s="35">
        <f>IF(AA144=1,'Balance sheet'!AA163-'Balance sheet'!Z163,0)</f>
        <v>5.5808837151284933</v>
      </c>
      <c r="AB158" s="35">
        <f>IF(AB144=1,'Balance sheet'!AB163-'Balance sheet'!AA163,0)</f>
        <v>5.7483102265823618</v>
      </c>
      <c r="AC158" s="35">
        <f>IF(AC144=1,'Balance sheet'!AC163-'Balance sheet'!AB163,0)</f>
        <v>5.9207595333798508</v>
      </c>
      <c r="AD158" s="35">
        <f>IF(AD144=1,'Balance sheet'!AD163-'Balance sheet'!AC163,0)</f>
        <v>6.0983823193811872</v>
      </c>
      <c r="AE158" s="35">
        <f>IF(AE144=1,'Balance sheet'!AE163-'Balance sheet'!AD163,0)</f>
        <v>6.2813337889625984</v>
      </c>
      <c r="AF158" s="35">
        <f>IF(AF144=1,'Balance sheet'!AF163-'Balance sheet'!AE163,0)</f>
        <v>6.4697738026315221</v>
      </c>
      <c r="AG158" s="35">
        <f>IF(AG144=1,'Balance sheet'!AG163-'Balance sheet'!AF163,0)</f>
        <v>6.6638670167105261</v>
      </c>
      <c r="AH158" s="35">
        <f>IF(AH144=1,'Balance sheet'!AH163-'Balance sheet'!AG163,0)</f>
        <v>6.863783027211781</v>
      </c>
      <c r="AI158" s="35"/>
      <c r="AJ158" s="35"/>
      <c r="AK158" s="35"/>
    </row>
    <row r="159" spans="1:37" s="24" customFormat="1" x14ac:dyDescent="0.2">
      <c r="A159" s="316"/>
      <c r="B159" s="23"/>
      <c r="E159" s="36">
        <f>SUM(E147:E158)</f>
        <v>0</v>
      </c>
      <c r="F159" s="36">
        <f>IF(F144=1,-F154-F155-F156+F157+F158,0)</f>
        <v>-203.09380231044105</v>
      </c>
      <c r="G159" s="36">
        <f t="shared" ref="G159:AH159" si="28">IF(G144=1,-G154-G155-G156+G157+G158,0)</f>
        <v>-131.52270228069415</v>
      </c>
      <c r="H159" s="36">
        <f t="shared" si="28"/>
        <v>-257.27366721346118</v>
      </c>
      <c r="I159" s="36">
        <f t="shared" si="28"/>
        <v>-383.39573113143979</v>
      </c>
      <c r="J159" s="36">
        <f t="shared" si="28"/>
        <v>-294.31737661274184</v>
      </c>
      <c r="K159" s="36">
        <f t="shared" si="28"/>
        <v>-749.04626727465472</v>
      </c>
      <c r="L159" s="36">
        <f t="shared" si="28"/>
        <v>-333.43979662737462</v>
      </c>
      <c r="M159" s="36">
        <f t="shared" si="28"/>
        <v>-347.5536855471633</v>
      </c>
      <c r="N159" s="36">
        <f t="shared" si="28"/>
        <v>-362.21431198517155</v>
      </c>
      <c r="O159" s="36">
        <f t="shared" si="28"/>
        <v>-377.44177769246573</v>
      </c>
      <c r="P159" s="36">
        <f t="shared" si="28"/>
        <v>-393.25689846141995</v>
      </c>
      <c r="Q159" s="36">
        <f t="shared" si="28"/>
        <v>-409.6812288765783</v>
      </c>
      <c r="R159" s="36">
        <f t="shared" si="28"/>
        <v>-426.73708790803801</v>
      </c>
      <c r="S159" s="36">
        <f t="shared" si="28"/>
        <v>-444.44758537539468</v>
      </c>
      <c r="T159" s="36">
        <f t="shared" si="28"/>
        <v>-462.83664931167135</v>
      </c>
      <c r="U159" s="36">
        <f t="shared" si="28"/>
        <v>-481.92905425729316</v>
      </c>
      <c r="V159" s="36">
        <f t="shared" si="28"/>
        <v>-501.75045051526968</v>
      </c>
      <c r="W159" s="36">
        <f t="shared" si="28"/>
        <v>-522.3273943998887</v>
      </c>
      <c r="X159" s="36">
        <f t="shared" si="28"/>
        <v>-543.6873795121237</v>
      </c>
      <c r="Y159" s="36">
        <f t="shared" si="28"/>
        <v>-565.85886907614133</v>
      </c>
      <c r="Z159" s="36">
        <f t="shared" si="28"/>
        <v>-588.87132937242416</v>
      </c>
      <c r="AA159" s="36">
        <f t="shared" si="28"/>
        <v>-612.75526430432535</v>
      </c>
      <c r="AB159" s="36">
        <f t="shared" si="28"/>
        <v>-637.54225113570271</v>
      </c>
      <c r="AC159" s="36">
        <f t="shared" si="28"/>
        <v>-663.26497743909056</v>
      </c>
      <c r="AD159" s="36">
        <f t="shared" si="28"/>
        <v>-689.95727929465374</v>
      </c>
      <c r="AE159" s="36">
        <f t="shared" si="28"/>
        <v>-717.65418078186156</v>
      </c>
      <c r="AF159" s="36">
        <f t="shared" si="28"/>
        <v>-746.39193480693325</v>
      </c>
      <c r="AG159" s="36">
        <f t="shared" si="28"/>
        <v>-776.20806531081507</v>
      </c>
      <c r="AH159" s="36">
        <f t="shared" si="28"/>
        <v>-807.14141090359055</v>
      </c>
      <c r="AI159" s="35"/>
      <c r="AJ159" s="35"/>
      <c r="AK159" s="35"/>
    </row>
    <row r="160" spans="1:37" s="277" customFormat="1" ht="16" thickBot="1" x14ac:dyDescent="0.25">
      <c r="A160" s="316"/>
      <c r="B160" s="507" t="s">
        <v>105</v>
      </c>
      <c r="E160" s="508">
        <f>E157+E159</f>
        <v>0</v>
      </c>
      <c r="F160" s="508">
        <f>IF(F144=1,F147+F148+F149+F151-F152+F159,0)</f>
        <v>27169.260795835875</v>
      </c>
      <c r="G160" s="508">
        <f t="shared" ref="G160:AH160" si="29">IF(G144=1,G147+G148+G149+G151-G152+G159,0)</f>
        <v>28232.321656527576</v>
      </c>
      <c r="H160" s="508">
        <f t="shared" si="29"/>
        <v>29928.184922482185</v>
      </c>
      <c r="I160" s="508">
        <f t="shared" si="29"/>
        <v>32430.915734590944</v>
      </c>
      <c r="J160" s="508">
        <f t="shared" si="29"/>
        <v>34690.235042531553</v>
      </c>
      <c r="K160" s="508">
        <f t="shared" si="29"/>
        <v>39022.091203316661</v>
      </c>
      <c r="L160" s="508">
        <f t="shared" si="29"/>
        <v>41934.00561537101</v>
      </c>
      <c r="M160" s="508">
        <f t="shared" si="29"/>
        <v>44572.643583934892</v>
      </c>
      <c r="N160" s="508">
        <f t="shared" si="29"/>
        <v>47332.783680796812</v>
      </c>
      <c r="O160" s="508">
        <f t="shared" si="29"/>
        <v>49573.283496049335</v>
      </c>
      <c r="P160" s="508">
        <f t="shared" si="29"/>
        <v>52378.777002494629</v>
      </c>
      <c r="Q160" s="508">
        <f t="shared" si="29"/>
        <v>55351.923394553574</v>
      </c>
      <c r="R160" s="508">
        <f t="shared" si="29"/>
        <v>58457.176868947972</v>
      </c>
      <c r="S160" s="508">
        <f t="shared" si="29"/>
        <v>61704.155016376593</v>
      </c>
      <c r="T160" s="508">
        <f t="shared" si="29"/>
        <v>65092.077642276832</v>
      </c>
      <c r="U160" s="508">
        <f t="shared" si="29"/>
        <v>68632.830108557057</v>
      </c>
      <c r="V160" s="508">
        <f t="shared" si="29"/>
        <v>72327.671585913762</v>
      </c>
      <c r="W160" s="508">
        <f t="shared" si="29"/>
        <v>76189.648760261945</v>
      </c>
      <c r="X160" s="508">
        <f t="shared" si="29"/>
        <v>80220.892284133282</v>
      </c>
      <c r="Y160" s="508">
        <f t="shared" si="29"/>
        <v>84428.115907585394</v>
      </c>
      <c r="Z160" s="508">
        <f t="shared" si="29"/>
        <v>88818.284286625858</v>
      </c>
      <c r="AA160" s="508">
        <f t="shared" si="29"/>
        <v>93398.622000950287</v>
      </c>
      <c r="AB160" s="508">
        <f t="shared" si="29"/>
        <v>98176.622886883561</v>
      </c>
      <c r="AC160" s="508">
        <f t="shared" si="29"/>
        <v>103160.05969635457</v>
      </c>
      <c r="AD160" s="508">
        <f t="shared" si="29"/>
        <v>108356.99409309009</v>
      </c>
      <c r="AE160" s="508">
        <f t="shared" si="29"/>
        <v>113775.78699758439</v>
      </c>
      <c r="AF160" s="508">
        <f t="shared" si="29"/>
        <v>119425.10929278545</v>
      </c>
      <c r="AG160" s="508">
        <f t="shared" si="29"/>
        <v>125312.69944878791</v>
      </c>
      <c r="AH160" s="508">
        <f t="shared" si="29"/>
        <v>131434.27287413037</v>
      </c>
      <c r="AI160" s="405"/>
      <c r="AJ160" s="405"/>
      <c r="AK160" s="405"/>
    </row>
    <row r="161" spans="1:37" s="24" customFormat="1" x14ac:dyDescent="0.2">
      <c r="A161" s="316"/>
      <c r="E161" s="35"/>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row>
    <row r="162" spans="1:37" s="20" customFormat="1" x14ac:dyDescent="0.2">
      <c r="A162" s="316"/>
      <c r="B162" s="19" t="s">
        <v>106</v>
      </c>
      <c r="E162" s="37"/>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row>
    <row r="163" spans="1:37" s="24" customFormat="1" x14ac:dyDescent="0.2">
      <c r="A163" s="316"/>
      <c r="B163" s="25" t="s">
        <v>107</v>
      </c>
      <c r="E163" s="35">
        <f>IF(E144=1,Calculations!E940+Calculations!E956+Calculations!E972+Calculations!E988+Calculations!E1004+Calculations!E1020,0)</f>
        <v>0</v>
      </c>
      <c r="F163" s="35">
        <f>IF(F144=1,Calculations!F940+Calculations!F956+Calculations!F972+Calculations!F988+Calculations!F1004+Calculations!F1020,0)</f>
        <v>135</v>
      </c>
      <c r="G163" s="35">
        <f>IF(G144=1,Calculations!G940+Calculations!G956+Calculations!G972+Calculations!G988+Calculations!G1004+Calculations!G1020,0)</f>
        <v>290</v>
      </c>
      <c r="H163" s="35">
        <f>IF(H144=1,Calculations!H940+Calculations!H956+Calculations!H972+Calculations!H988+Calculations!H1004+Calculations!H1020,0)</f>
        <v>290</v>
      </c>
      <c r="I163" s="35">
        <f>IF(I144=1,Calculations!I940+Calculations!I956+Calculations!I972+Calculations!I988+Calculations!I1004+Calculations!I1020,0)</f>
        <v>290</v>
      </c>
      <c r="J163" s="35">
        <f>IF(J144=1,Calculations!J940+Calculations!J956+Calculations!J972+Calculations!J988+Calculations!J1004+Calculations!J1020,0)</f>
        <v>290</v>
      </c>
      <c r="K163" s="35">
        <f>IF(K144=1,Calculations!K940+Calculations!K956+Calculations!K972+Calculations!K988+Calculations!K1004+Calculations!K1020,0)</f>
        <v>290</v>
      </c>
      <c r="L163" s="35">
        <f>IF(L144=1,Calculations!L940+Calculations!L956+Calculations!L972+Calculations!L988+Calculations!L1004+Calculations!L1020,0)</f>
        <v>290</v>
      </c>
      <c r="M163" s="35">
        <f>IF(M144=1,Calculations!M940+Calculations!M956+Calculations!M972+Calculations!M988+Calculations!M1004+Calculations!M1020,0)</f>
        <v>290</v>
      </c>
      <c r="N163" s="35">
        <f>IF(N144=1,Calculations!N940+Calculations!N956+Calculations!N972+Calculations!N988+Calculations!N1004+Calculations!N1020,0)</f>
        <v>290</v>
      </c>
      <c r="O163" s="35">
        <f>IF(O144=1,Calculations!O940+Calculations!O956+Calculations!O972+Calculations!O988+Calculations!O1004+Calculations!O1020,0)</f>
        <v>290</v>
      </c>
      <c r="P163" s="35">
        <f>IF(P144=1,Calculations!P940+Calculations!P956+Calculations!P972+Calculations!P988+Calculations!P1004+Calculations!P1020,0)</f>
        <v>290</v>
      </c>
      <c r="Q163" s="35">
        <f>IF(Q144=1,Calculations!Q940+Calculations!Q956+Calculations!Q972+Calculations!Q988+Calculations!Q1004+Calculations!Q1020,0)</f>
        <v>290</v>
      </c>
      <c r="R163" s="35">
        <f>IF(R144=1,Calculations!R940+Calculations!R956+Calculations!R972+Calculations!R988+Calculations!R1004+Calculations!R1020,0)</f>
        <v>290</v>
      </c>
      <c r="S163" s="35">
        <f>IF(S144=1,Calculations!S940+Calculations!S956+Calculations!S972+Calculations!S988+Calculations!S1004+Calculations!S1020,0)</f>
        <v>290</v>
      </c>
      <c r="T163" s="35">
        <f>IF(T144=1,Calculations!T940+Calculations!T956+Calculations!T972+Calculations!T988+Calculations!T1004+Calculations!T1020,0)</f>
        <v>290</v>
      </c>
      <c r="U163" s="35">
        <f>IF(U144=1,Calculations!U940+Calculations!U956+Calculations!U972+Calculations!U988+Calculations!U1004+Calculations!U1020,0)</f>
        <v>290</v>
      </c>
      <c r="V163" s="35">
        <f>IF(V144=1,Calculations!V940+Calculations!V956+Calculations!V972+Calculations!V988+Calculations!V1004+Calculations!V1020,0)</f>
        <v>290</v>
      </c>
      <c r="W163" s="35">
        <f>IF(W144=1,Calculations!W940+Calculations!W956+Calculations!W972+Calculations!W988+Calculations!W1004+Calculations!W1020,0)</f>
        <v>290</v>
      </c>
      <c r="X163" s="35">
        <f>IF(X144=1,Calculations!X940+Calculations!X956+Calculations!X972+Calculations!X988+Calculations!X1004+Calculations!X1020,0)</f>
        <v>290</v>
      </c>
      <c r="Y163" s="35">
        <f>IF(Y144=1,Calculations!Y940+Calculations!Y956+Calculations!Y972+Calculations!Y988+Calculations!Y1004+Calculations!Y1020,0)</f>
        <v>290</v>
      </c>
      <c r="Z163" s="35">
        <f>IF(Z144=1,Calculations!Z940+Calculations!Z956+Calculations!Z972+Calculations!Z988+Calculations!Z1004+Calculations!Z1020,0)</f>
        <v>290</v>
      </c>
      <c r="AA163" s="35">
        <f>IF(AA144=1,Calculations!AA940+Calculations!AA956+Calculations!AA972+Calculations!AA988+Calculations!AA1004+Calculations!AA1020,0)</f>
        <v>290</v>
      </c>
      <c r="AB163" s="35">
        <f>IF(AB144=1,Calculations!AB940+Calculations!AB956+Calculations!AB972+Calculations!AB988+Calculations!AB1004+Calculations!AB1020,0)</f>
        <v>290</v>
      </c>
      <c r="AC163" s="35">
        <f>IF(AC144=1,Calculations!AC940+Calculations!AC956+Calculations!AC972+Calculations!AC988+Calculations!AC1004+Calculations!AC1020,0)</f>
        <v>290</v>
      </c>
      <c r="AD163" s="35">
        <f>IF(AD144=1,Calculations!AD940+Calculations!AD956+Calculations!AD972+Calculations!AD988+Calculations!AD1004+Calculations!AD1020,0)</f>
        <v>290</v>
      </c>
      <c r="AE163" s="35">
        <f>IF(AE144=1,Calculations!AE940+Calculations!AE956+Calculations!AE972+Calculations!AE988+Calculations!AE1004+Calculations!AE1020,0)</f>
        <v>290</v>
      </c>
      <c r="AF163" s="35">
        <f>IF(AF144=1,Calculations!AF940+Calculations!AF956+Calculations!AF972+Calculations!AF988+Calculations!AF1004+Calculations!AF1020,0)</f>
        <v>290</v>
      </c>
      <c r="AG163" s="35">
        <f>IF(AG144=1,Calculations!AG940+Calculations!AG956+Calculations!AG972+Calculations!AG988+Calculations!AG1004+Calculations!AG1020,0)</f>
        <v>290</v>
      </c>
      <c r="AH163" s="35">
        <f>IF(AH144=1,Calculations!AH940+Calculations!AH956+Calculations!AH972+Calculations!AH988+Calculations!AH1004+Calculations!AH1020,0)</f>
        <v>290</v>
      </c>
      <c r="AI163" s="35"/>
      <c r="AJ163" s="35"/>
      <c r="AK163" s="35"/>
    </row>
    <row r="164" spans="1:37" s="24" customFormat="1" x14ac:dyDescent="0.2">
      <c r="A164" s="316"/>
      <c r="B164" s="25" t="s">
        <v>108</v>
      </c>
      <c r="E164" s="35">
        <v>0</v>
      </c>
      <c r="F164" s="35">
        <f>IF(F144=1,'Assumptions - Infrastructure'!F58,0)</f>
        <v>30</v>
      </c>
      <c r="G164" s="35">
        <f>IF(G144=1,'Assumptions - Infrastructure'!G58,0)</f>
        <v>30</v>
      </c>
      <c r="H164" s="35">
        <f>IF(H144=1,'Assumptions - Infrastructure'!H58,0)</f>
        <v>30</v>
      </c>
      <c r="I164" s="35">
        <f>IF(I144=1,'Assumptions - Infrastructure'!I58,0)</f>
        <v>25</v>
      </c>
      <c r="J164" s="35">
        <f>IF(J144=1,'Assumptions - Infrastructure'!J58,0)</f>
        <v>25</v>
      </c>
      <c r="K164" s="35">
        <f>IF(K144=1,'Assumptions - Infrastructure'!K58,0)</f>
        <v>25</v>
      </c>
      <c r="L164" s="35">
        <f>IF(L144=1,'Assumptions - Infrastructure'!L58,0)</f>
        <v>25</v>
      </c>
      <c r="M164" s="35">
        <f>IF(M144=1,'Assumptions - Infrastructure'!M58,0)</f>
        <v>25</v>
      </c>
      <c r="N164" s="35">
        <f>IF(N144=1,'Assumptions - Infrastructure'!N58,0)</f>
        <v>25</v>
      </c>
      <c r="O164" s="35">
        <f>IF(O144=1,'Assumptions - Infrastructure'!O58,0)</f>
        <v>25</v>
      </c>
      <c r="P164" s="35">
        <f>IF(P144=1,'Assumptions - Infrastructure'!P58,0)</f>
        <v>20</v>
      </c>
      <c r="Q164" s="35">
        <f>IF(Q144=1,'Assumptions - Infrastructure'!Q58,0)</f>
        <v>20</v>
      </c>
      <c r="R164" s="35">
        <f>IF(R144=1,'Assumptions - Infrastructure'!R58,0)</f>
        <v>20</v>
      </c>
      <c r="S164" s="35">
        <f>IF(S144=1,'Assumptions - Infrastructure'!S58,0)</f>
        <v>20</v>
      </c>
      <c r="T164" s="35">
        <f>IF(T144=1,'Assumptions - Infrastructure'!T58,0)</f>
        <v>20</v>
      </c>
      <c r="U164" s="35">
        <f>IF(U144=1,'Assumptions - Infrastructure'!U58,0)</f>
        <v>20</v>
      </c>
      <c r="V164" s="35">
        <f>IF(V144=1,'Assumptions - Infrastructure'!V58,0)</f>
        <v>20</v>
      </c>
      <c r="W164" s="35">
        <f>IF(W144=1,'Assumptions - Infrastructure'!W58,0)</f>
        <v>20</v>
      </c>
      <c r="X164" s="35">
        <f>IF(X144=1,'Assumptions - Infrastructure'!X58,0)</f>
        <v>20</v>
      </c>
      <c r="Y164" s="35">
        <f>IF(Y144=1,'Assumptions - Infrastructure'!Y58,0)</f>
        <v>20</v>
      </c>
      <c r="Z164" s="35">
        <f>IF(Z144=1,'Assumptions - Infrastructure'!Z58,0)</f>
        <v>20</v>
      </c>
      <c r="AA164" s="35">
        <f>IF(AA144=1,'Assumptions - Infrastructure'!AA58,0)</f>
        <v>20</v>
      </c>
      <c r="AB164" s="35">
        <f>IF(AB144=1,'Assumptions - Infrastructure'!AB58,0)</f>
        <v>20</v>
      </c>
      <c r="AC164" s="35">
        <f>IF(AC144=1,'Assumptions - Infrastructure'!AC58,0)</f>
        <v>20</v>
      </c>
      <c r="AD164" s="35">
        <f>IF(AD144=1,'Assumptions - Infrastructure'!AD58,0)</f>
        <v>20</v>
      </c>
      <c r="AE164" s="35">
        <f>IF(AE144=1,'Assumptions - Infrastructure'!AE58,0)</f>
        <v>20</v>
      </c>
      <c r="AF164" s="35">
        <f>IF(AF144=1,'Assumptions - Infrastructure'!AF58,0)</f>
        <v>20</v>
      </c>
      <c r="AG164" s="35">
        <f>IF(AG144=1,'Assumptions - Infrastructure'!AG58,0)</f>
        <v>20</v>
      </c>
      <c r="AH164" s="35">
        <f>IF(AH144=1,'Assumptions - Infrastructure'!AH58,0)</f>
        <v>20</v>
      </c>
      <c r="AI164" s="35"/>
      <c r="AJ164" s="35"/>
      <c r="AK164" s="35"/>
    </row>
    <row r="165" spans="1:37" s="24" customFormat="1" x14ac:dyDescent="0.2">
      <c r="A165" s="316"/>
      <c r="B165" s="25" t="s">
        <v>328</v>
      </c>
      <c r="E165" s="35">
        <v>0</v>
      </c>
      <c r="F165" s="35">
        <f>IF(F144=1,'Balance sheet'!F155-'Balance sheet'!E155,0)</f>
        <v>0</v>
      </c>
      <c r="G165" s="35">
        <f>IF(G144=1,'Balance sheet'!G155-'Balance sheet'!F155,0)</f>
        <v>0</v>
      </c>
      <c r="H165" s="35">
        <f>IF(H144=1,'Balance sheet'!H155-'Balance sheet'!G155,0)</f>
        <v>0</v>
      </c>
      <c r="I165" s="35">
        <f>IF(I144=1,'Balance sheet'!I155-'Balance sheet'!H155,0)</f>
        <v>0</v>
      </c>
      <c r="J165" s="35">
        <f>IF(J144=1,'Balance sheet'!J155-'Balance sheet'!I155,0)</f>
        <v>0</v>
      </c>
      <c r="K165" s="35">
        <f>IF(K144=1,'Balance sheet'!K155-'Balance sheet'!J155,0)</f>
        <v>0</v>
      </c>
      <c r="L165" s="35">
        <f>IF(L144=1,'Balance sheet'!L155-'Balance sheet'!K155,0)</f>
        <v>0</v>
      </c>
      <c r="M165" s="35">
        <f>IF(M144=1,'Balance sheet'!M155-'Balance sheet'!L155,0)</f>
        <v>0</v>
      </c>
      <c r="N165" s="35">
        <f>IF(N144=1,'Balance sheet'!N155-'Balance sheet'!M155,0)</f>
        <v>0</v>
      </c>
      <c r="O165" s="35">
        <f>IF(O144=1,'Balance sheet'!O155-'Balance sheet'!N155,0)</f>
        <v>0</v>
      </c>
      <c r="P165" s="35">
        <f>IF(P144=1,'Balance sheet'!P155-'Balance sheet'!O155,0)</f>
        <v>0</v>
      </c>
      <c r="Q165" s="35">
        <f>IF(Q144=1,'Balance sheet'!Q155-'Balance sheet'!P155,0)</f>
        <v>0</v>
      </c>
      <c r="R165" s="35">
        <f>IF(R144=1,'Balance sheet'!R155-'Balance sheet'!Q155,0)</f>
        <v>0</v>
      </c>
      <c r="S165" s="35">
        <f>IF(S144=1,'Balance sheet'!S155-'Balance sheet'!R155,0)</f>
        <v>0</v>
      </c>
      <c r="T165" s="35">
        <f>IF(T144=1,'Balance sheet'!T155-'Balance sheet'!S155,0)</f>
        <v>0</v>
      </c>
      <c r="U165" s="35">
        <f>IF(U144=1,'Balance sheet'!U155-'Balance sheet'!T155,0)</f>
        <v>0</v>
      </c>
      <c r="V165" s="35">
        <f>IF(V144=1,'Balance sheet'!V155-'Balance sheet'!U155,0)</f>
        <v>0</v>
      </c>
      <c r="W165" s="35">
        <f>IF(W144=1,'Balance sheet'!W155-'Balance sheet'!V155,0)</f>
        <v>0</v>
      </c>
      <c r="X165" s="35">
        <f>IF(X144=1,'Balance sheet'!X155-'Balance sheet'!W155,0)</f>
        <v>0</v>
      </c>
      <c r="Y165" s="35">
        <f>IF(Y144=1,'Balance sheet'!Y155-'Balance sheet'!X155,0)</f>
        <v>0</v>
      </c>
      <c r="Z165" s="35">
        <f>IF(Z144=1,'Balance sheet'!Z155-'Balance sheet'!Y155,0)</f>
        <v>0</v>
      </c>
      <c r="AA165" s="35">
        <f>IF(AA144=1,'Balance sheet'!AA155-'Balance sheet'!Z155,0)</f>
        <v>0</v>
      </c>
      <c r="AB165" s="35">
        <f>IF(AB144=1,'Balance sheet'!AB155-'Balance sheet'!AA155,0)</f>
        <v>0</v>
      </c>
      <c r="AC165" s="35">
        <f>IF(AC144=1,'Balance sheet'!AC155-'Balance sheet'!AB155,0)</f>
        <v>0</v>
      </c>
      <c r="AD165" s="35">
        <f>IF(AD144=1,'Balance sheet'!AD155-'Balance sheet'!AC155,0)</f>
        <v>0</v>
      </c>
      <c r="AE165" s="35">
        <f>IF(AE144=1,'Balance sheet'!AE155-'Balance sheet'!AD155,0)</f>
        <v>0</v>
      </c>
      <c r="AF165" s="35">
        <f>IF(AF144=1,'Balance sheet'!AF155-'Balance sheet'!AE155,0)</f>
        <v>0</v>
      </c>
      <c r="AG165" s="35">
        <f>IF(AG144=1,'Balance sheet'!AG155-'Balance sheet'!AF155,0)</f>
        <v>0</v>
      </c>
      <c r="AH165" s="35">
        <f>IF(AH144=1,'Balance sheet'!AH155-'Balance sheet'!AG155,0)</f>
        <v>0</v>
      </c>
      <c r="AI165" s="35"/>
      <c r="AJ165" s="35"/>
      <c r="AK165" s="35"/>
    </row>
    <row r="166" spans="1:37" s="24" customFormat="1" x14ac:dyDescent="0.2">
      <c r="A166" s="316"/>
      <c r="B166" s="25"/>
      <c r="E166" s="35"/>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row>
    <row r="167" spans="1:37" s="24" customFormat="1" x14ac:dyDescent="0.2">
      <c r="A167" s="316"/>
      <c r="B167" s="27" t="s">
        <v>109</v>
      </c>
      <c r="E167" s="43">
        <f>IF(E144=1,-E163+E164-E165,0)</f>
        <v>0</v>
      </c>
      <c r="F167" s="43">
        <f t="shared" ref="F167:AH167" si="30">IF(F144=1,-F163+F164-F165,0)</f>
        <v>-105</v>
      </c>
      <c r="G167" s="43">
        <f t="shared" si="30"/>
        <v>-260</v>
      </c>
      <c r="H167" s="43">
        <f t="shared" si="30"/>
        <v>-260</v>
      </c>
      <c r="I167" s="43">
        <f t="shared" si="30"/>
        <v>-265</v>
      </c>
      <c r="J167" s="43">
        <f t="shared" si="30"/>
        <v>-265</v>
      </c>
      <c r="K167" s="43">
        <f t="shared" si="30"/>
        <v>-265</v>
      </c>
      <c r="L167" s="43">
        <f t="shared" si="30"/>
        <v>-265</v>
      </c>
      <c r="M167" s="43">
        <f t="shared" si="30"/>
        <v>-265</v>
      </c>
      <c r="N167" s="43">
        <f t="shared" si="30"/>
        <v>-265</v>
      </c>
      <c r="O167" s="43">
        <f t="shared" si="30"/>
        <v>-265</v>
      </c>
      <c r="P167" s="43">
        <f t="shared" si="30"/>
        <v>-270</v>
      </c>
      <c r="Q167" s="43">
        <f t="shared" si="30"/>
        <v>-270</v>
      </c>
      <c r="R167" s="43">
        <f t="shared" si="30"/>
        <v>-270</v>
      </c>
      <c r="S167" s="43">
        <f t="shared" si="30"/>
        <v>-270</v>
      </c>
      <c r="T167" s="43">
        <f t="shared" si="30"/>
        <v>-270</v>
      </c>
      <c r="U167" s="43">
        <f t="shared" si="30"/>
        <v>-270</v>
      </c>
      <c r="V167" s="43">
        <f t="shared" si="30"/>
        <v>-270</v>
      </c>
      <c r="W167" s="43">
        <f t="shared" si="30"/>
        <v>-270</v>
      </c>
      <c r="X167" s="43">
        <f t="shared" si="30"/>
        <v>-270</v>
      </c>
      <c r="Y167" s="43">
        <f t="shared" si="30"/>
        <v>-270</v>
      </c>
      <c r="Z167" s="43">
        <f t="shared" si="30"/>
        <v>-270</v>
      </c>
      <c r="AA167" s="43">
        <f t="shared" si="30"/>
        <v>-270</v>
      </c>
      <c r="AB167" s="43">
        <f t="shared" si="30"/>
        <v>-270</v>
      </c>
      <c r="AC167" s="43">
        <f t="shared" si="30"/>
        <v>-270</v>
      </c>
      <c r="AD167" s="43">
        <f t="shared" si="30"/>
        <v>-270</v>
      </c>
      <c r="AE167" s="43">
        <f t="shared" si="30"/>
        <v>-270</v>
      </c>
      <c r="AF167" s="43">
        <f t="shared" si="30"/>
        <v>-270</v>
      </c>
      <c r="AG167" s="43">
        <f t="shared" si="30"/>
        <v>-270</v>
      </c>
      <c r="AH167" s="43">
        <f t="shared" si="30"/>
        <v>-270</v>
      </c>
      <c r="AI167" s="35"/>
      <c r="AJ167" s="35"/>
      <c r="AK167" s="35"/>
    </row>
    <row r="168" spans="1:37" s="24" customFormat="1" x14ac:dyDescent="0.2">
      <c r="A168" s="316"/>
      <c r="B168" s="23"/>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c r="AC168" s="39"/>
      <c r="AD168" s="39"/>
      <c r="AE168" s="39"/>
      <c r="AF168" s="39"/>
      <c r="AG168" s="39"/>
      <c r="AH168" s="39"/>
      <c r="AI168" s="35"/>
      <c r="AJ168" s="35"/>
      <c r="AK168" s="35"/>
    </row>
    <row r="169" spans="1:37" s="20" customFormat="1" x14ac:dyDescent="0.2">
      <c r="A169" s="316"/>
      <c r="B169" s="19" t="s">
        <v>110</v>
      </c>
      <c r="E169" s="37"/>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row>
    <row r="170" spans="1:37" s="24" customFormat="1" x14ac:dyDescent="0.2">
      <c r="A170" s="316"/>
      <c r="B170" s="25" t="s">
        <v>416</v>
      </c>
      <c r="E170" s="35">
        <v>0</v>
      </c>
      <c r="F170" s="35">
        <f>IF(F144=1,Calculations!F1227+Calculations!F1243+Calculations!F1259+Calculations!F1285+Calculations!F1315+Calculations!F1345+Calculations!F1375,0)</f>
        <v>10</v>
      </c>
      <c r="G170" s="35">
        <f>IF(G144=1,Calculations!G1227+Calculations!G1243+Calculations!G1259+Calculations!G1285+Calculations!G1315+Calculations!G1345+Calculations!G1375,0)</f>
        <v>35</v>
      </c>
      <c r="H170" s="35">
        <f>IF(H144=1,Calculations!H1227+Calculations!H1243+Calculations!H1259+Calculations!H1285+Calculations!H1315+Calculations!H1345+Calculations!H1375,0)</f>
        <v>22.5</v>
      </c>
      <c r="I170" s="35">
        <f>IF(I144=1,Calculations!I1227+Calculations!I1243+Calculations!I1259+Calculations!I1285+Calculations!I1315+Calculations!I1345+Calculations!I1375,0)</f>
        <v>22.5</v>
      </c>
      <c r="J170" s="35">
        <f>IF(J144=1,Calculations!J1227+Calculations!J1243+Calculations!J1259+Calculations!J1285+Calculations!J1315+Calculations!J1345+Calculations!J1375,0)</f>
        <v>22.5</v>
      </c>
      <c r="K170" s="35">
        <f>IF(K144=1,Calculations!K1227+Calculations!K1243+Calculations!K1259+Calculations!K1285+Calculations!K1315+Calculations!K1345+Calculations!K1375,0)</f>
        <v>22.5</v>
      </c>
      <c r="L170" s="35">
        <f>IF(L144=1,Calculations!L1227+Calculations!L1243+Calculations!L1259+Calculations!L1285+Calculations!L1315+Calculations!L1345+Calculations!L1375,0)</f>
        <v>22.5</v>
      </c>
      <c r="M170" s="35">
        <f>IF(M144=1,Calculations!M1227+Calculations!M1243+Calculations!M1259+Calculations!M1285+Calculations!M1315+Calculations!M1345+Calculations!M1375,0)</f>
        <v>22.5</v>
      </c>
      <c r="N170" s="35">
        <f>IF(N144=1,Calculations!N1227+Calculations!N1243+Calculations!N1259+Calculations!N1285+Calculations!N1315+Calculations!N1345+Calculations!N1375,0)</f>
        <v>22.5</v>
      </c>
      <c r="O170" s="35">
        <f>IF(O144=1,Calculations!O1227+Calculations!O1243+Calculations!O1259+Calculations!O1285+Calculations!O1315+Calculations!O1345+Calculations!O1375,0)</f>
        <v>0</v>
      </c>
      <c r="P170" s="35">
        <f>IF(P144=1,Calculations!P1227+Calculations!P1243+Calculations!P1259+Calculations!P1285+Calculations!P1315+Calculations!P1345+Calculations!P1375,0)</f>
        <v>0</v>
      </c>
      <c r="Q170" s="35">
        <f>IF(Q144=1,Calculations!Q1227+Calculations!Q1243+Calculations!Q1259+Calculations!Q1285+Calculations!Q1315+Calculations!Q1345+Calculations!Q1375,0)</f>
        <v>0</v>
      </c>
      <c r="R170" s="35">
        <f>IF(R144=1,Calculations!R1227+Calculations!R1243+Calculations!R1259+Calculations!R1285+Calculations!R1315+Calculations!R1345+Calculations!R1375,0)</f>
        <v>0</v>
      </c>
      <c r="S170" s="35">
        <f>IF(S144=1,Calculations!S1227+Calculations!S1243+Calculations!S1259+Calculations!S1285+Calculations!S1315+Calculations!S1345+Calculations!S1375,0)</f>
        <v>0</v>
      </c>
      <c r="T170" s="35">
        <f>IF(T144=1,Calculations!T1227+Calculations!T1243+Calculations!T1259+Calculations!T1285+Calculations!T1315+Calculations!T1345+Calculations!T1375,0)</f>
        <v>0</v>
      </c>
      <c r="U170" s="35">
        <f>IF(U144=1,Calculations!U1227+Calculations!U1243+Calculations!U1259+Calculations!U1285+Calculations!U1315+Calculations!U1345+Calculations!U1375,0)</f>
        <v>200</v>
      </c>
      <c r="V170" s="35">
        <f>IF(V144=1,Calculations!V1227+Calculations!V1243+Calculations!V1259+Calculations!V1285+Calculations!V1315+Calculations!V1345+Calculations!V1375,0)</f>
        <v>0</v>
      </c>
      <c r="W170" s="35">
        <f>IF(W144=1,Calculations!W1227+Calculations!W1243+Calculations!W1259+Calculations!W1285+Calculations!W1315+Calculations!W1345+Calculations!W1375,0)</f>
        <v>0</v>
      </c>
      <c r="X170" s="35">
        <f>IF(X144=1,Calculations!X1227+Calculations!X1243+Calculations!X1259+Calculations!X1285+Calculations!X1315+Calculations!X1345+Calculations!X1375,0)</f>
        <v>0</v>
      </c>
      <c r="Y170" s="35">
        <f>IF(Y144=1,Calculations!Y1227+Calculations!Y1243+Calculations!Y1259+Calculations!Y1285+Calculations!Y1315+Calculations!Y1345+Calculations!Y1375,0)</f>
        <v>0</v>
      </c>
      <c r="Z170" s="35">
        <f>IF(Z144=1,Calculations!Z1227+Calculations!Z1243+Calculations!Z1259+Calculations!Z1285+Calculations!Z1315+Calculations!Z1345+Calculations!Z1375,0)</f>
        <v>0</v>
      </c>
      <c r="AA170" s="35">
        <f>IF(AA144=1,Calculations!AA1227+Calculations!AA1243+Calculations!AA1259+Calculations!AA1285+Calculations!AA1315+Calculations!AA1345+Calculations!AA1375,0)</f>
        <v>0</v>
      </c>
      <c r="AB170" s="35">
        <f>IF(AB144=1,Calculations!AB1227+Calculations!AB1243+Calculations!AB1259+Calculations!AB1285+Calculations!AB1315+Calculations!AB1345+Calculations!AB1375,0)</f>
        <v>0</v>
      </c>
      <c r="AC170" s="35">
        <f>IF(AC144=1,Calculations!AC1227+Calculations!AC1243+Calculations!AC1259+Calculations!AC1285+Calculations!AC1315+Calculations!AC1345+Calculations!AC1375,0)</f>
        <v>0</v>
      </c>
      <c r="AD170" s="35">
        <f>IF(AD144=1,Calculations!AD1227+Calculations!AD1243+Calculations!AD1259+Calculations!AD1285+Calculations!AD1315+Calculations!AD1345+Calculations!AD1375,0)</f>
        <v>0</v>
      </c>
      <c r="AE170" s="35">
        <f>IF(AE144=1,Calculations!AE1227+Calculations!AE1243+Calculations!AE1259+Calculations!AE1285+Calculations!AE1315+Calculations!AE1345+Calculations!AE1375,0)</f>
        <v>0</v>
      </c>
      <c r="AF170" s="35">
        <f>IF(AF144=1,Calculations!AF1227+Calculations!AF1243+Calculations!AF1259+Calculations!AF1285+Calculations!AF1315+Calculations!AF1345+Calculations!AF1375,0)</f>
        <v>0</v>
      </c>
      <c r="AG170" s="35">
        <f>IF(AG144=1,Calculations!AG1227+Calculations!AG1243+Calculations!AG1259+Calculations!AG1285+Calculations!AG1315+Calculations!AG1345+Calculations!AG1375,0)</f>
        <v>0</v>
      </c>
      <c r="AH170" s="35">
        <f>IF(AH144=1,Calculations!AH1227+Calculations!AH1243+Calculations!AH1259+Calculations!AH1285+Calculations!AH1315+Calculations!AH1345+Calculations!AH1375,0)</f>
        <v>0</v>
      </c>
      <c r="AI170" s="35"/>
      <c r="AJ170" s="35"/>
      <c r="AK170" s="35"/>
    </row>
    <row r="171" spans="1:37" s="24" customFormat="1" x14ac:dyDescent="0.2">
      <c r="A171" s="316"/>
      <c r="B171" s="25" t="s">
        <v>417</v>
      </c>
      <c r="E171" s="35">
        <v>0</v>
      </c>
      <c r="F171" s="35">
        <f>IF(F144=1,Calculations!F1286+Calculations!F1316+Calculations!F1346+Calculations!F1376,0)</f>
        <v>0</v>
      </c>
      <c r="G171" s="35">
        <f>IF(G144=1,Calculations!G1286+Calculations!G1316+Calculations!G1346+Calculations!G1376,0)</f>
        <v>40</v>
      </c>
      <c r="H171" s="35">
        <f>IF(H144=1,Calculations!H1286+Calculations!H1316+Calculations!H1346+Calculations!H1376,0)</f>
        <v>40</v>
      </c>
      <c r="I171" s="35">
        <f>IF(I144=1,Calculations!I1286+Calculations!I1316+Calculations!I1346+Calculations!I1376,0)</f>
        <v>40</v>
      </c>
      <c r="J171" s="35">
        <f>IF(J144=1,Calculations!J1286+Calculations!J1316+Calculations!J1346+Calculations!J1376,0)</f>
        <v>40</v>
      </c>
      <c r="K171" s="35">
        <f>IF(K144=1,Calculations!K1286+Calculations!K1316+Calculations!K1346+Calculations!K1376,0)</f>
        <v>40</v>
      </c>
      <c r="L171" s="35">
        <f>IF(L144=1,Calculations!L1286+Calculations!L1316+Calculations!L1346+Calculations!L1376,0)</f>
        <v>0</v>
      </c>
      <c r="M171" s="35">
        <f>IF(M144=1,Calculations!M1286+Calculations!M1316+Calculations!M1346+Calculations!M1376,0)</f>
        <v>0</v>
      </c>
      <c r="N171" s="35">
        <f>IF(N144=1,Calculations!N1286+Calculations!N1316+Calculations!N1346+Calculations!N1376,0)</f>
        <v>0</v>
      </c>
      <c r="O171" s="35">
        <f>IF(O144=1,Calculations!O1286+Calculations!O1316+Calculations!O1346+Calculations!O1376,0)</f>
        <v>0</v>
      </c>
      <c r="P171" s="35">
        <f>IF(P144=1,Calculations!P1286+Calculations!P1316+Calculations!P1346+Calculations!P1376,0)</f>
        <v>0</v>
      </c>
      <c r="Q171" s="35">
        <f>IF(Q144=1,Calculations!Q1286+Calculations!Q1316+Calculations!Q1346+Calculations!Q1376,0)</f>
        <v>0</v>
      </c>
      <c r="R171" s="35">
        <f>IF(R144=1,Calculations!R1286+Calculations!R1316+Calculations!R1346+Calculations!R1376,0)</f>
        <v>0</v>
      </c>
      <c r="S171" s="35">
        <f>IF(S144=1,Calculations!S1286+Calculations!S1316+Calculations!S1346+Calculations!S1376,0)</f>
        <v>0</v>
      </c>
      <c r="T171" s="35">
        <f>IF(T144=1,Calculations!T1286+Calculations!T1316+Calculations!T1346+Calculations!T1376,0)</f>
        <v>0</v>
      </c>
      <c r="U171" s="35">
        <f>IF(U144=1,Calculations!U1286+Calculations!U1316+Calculations!U1346+Calculations!U1376,0)</f>
        <v>0</v>
      </c>
      <c r="V171" s="35">
        <f>IF(V144=1,Calculations!V1286+Calculations!V1316+Calculations!V1346+Calculations!V1376,0)</f>
        <v>0</v>
      </c>
      <c r="W171" s="35">
        <f>IF(W144=1,Calculations!W1286+Calculations!W1316+Calculations!W1346+Calculations!W1376,0)</f>
        <v>0</v>
      </c>
      <c r="X171" s="35">
        <f>IF(X144=1,Calculations!X1286+Calculations!X1316+Calculations!X1346+Calculations!X1376,0)</f>
        <v>0</v>
      </c>
      <c r="Y171" s="35">
        <f>IF(Y144=1,Calculations!Y1286+Calculations!Y1316+Calculations!Y1346+Calculations!Y1376,0)</f>
        <v>0</v>
      </c>
      <c r="Z171" s="35">
        <f>IF(Z144=1,Calculations!Z1286+Calculations!Z1316+Calculations!Z1346+Calculations!Z1376,0)</f>
        <v>0</v>
      </c>
      <c r="AA171" s="35">
        <f>IF(AA144=1,Calculations!AA1286+Calculations!AA1316+Calculations!AA1346+Calculations!AA1376,0)</f>
        <v>0</v>
      </c>
      <c r="AB171" s="35">
        <f>IF(AB144=1,Calculations!AB1286+Calculations!AB1316+Calculations!AB1346+Calculations!AB1376,0)</f>
        <v>0</v>
      </c>
      <c r="AC171" s="35">
        <f>IF(AC144=1,Calculations!AC1286+Calculations!AC1316+Calculations!AC1346+Calculations!AC1376,0)</f>
        <v>0</v>
      </c>
      <c r="AD171" s="35">
        <f>IF(AD144=1,Calculations!AD1286+Calculations!AD1316+Calculations!AD1346+Calculations!AD1376,0)</f>
        <v>0</v>
      </c>
      <c r="AE171" s="35">
        <f>IF(AE144=1,Calculations!AE1286+Calculations!AE1316+Calculations!AE1346+Calculations!AE1376,0)</f>
        <v>0</v>
      </c>
      <c r="AF171" s="35">
        <f>IF(AF144=1,Calculations!AF1286+Calculations!AF1316+Calculations!AF1346+Calculations!AF1376,0)</f>
        <v>0</v>
      </c>
      <c r="AG171" s="35">
        <f>IF(AG144=1,Calculations!AG1286+Calculations!AG1316+Calculations!AG1346+Calculations!AG1376,0)</f>
        <v>0</v>
      </c>
      <c r="AH171" s="35">
        <f>IF(AH144=1,Calculations!AH1286+Calculations!AH1316+Calculations!AH1346+Calculations!AH1376,0)</f>
        <v>0</v>
      </c>
      <c r="AI171" s="35"/>
      <c r="AJ171" s="35"/>
      <c r="AK171" s="35"/>
    </row>
    <row r="172" spans="1:37" s="24" customFormat="1" x14ac:dyDescent="0.2">
      <c r="A172" s="316"/>
      <c r="B172" s="25" t="s">
        <v>609</v>
      </c>
      <c r="E172" s="35">
        <v>0</v>
      </c>
      <c r="F172" s="35">
        <f>IF(F144=1,Calculations!F1142,0)</f>
        <v>15.450000000000001</v>
      </c>
      <c r="G172" s="35">
        <f>IF(G144=1,Calculations!G1142,0)</f>
        <v>15.913500000000001</v>
      </c>
      <c r="H172" s="35">
        <f>IF(H144=1,Calculations!H1142,0)</f>
        <v>16.390905</v>
      </c>
      <c r="I172" s="35">
        <f>IF(I144=1,Calculations!I1142,0)</f>
        <v>16.882632149999999</v>
      </c>
      <c r="J172" s="35">
        <f>IF(J144=1,Calculations!J1142,0)</f>
        <v>17.3891111145</v>
      </c>
      <c r="K172" s="35">
        <f>IF(K144=1,Calculations!K1142,0)</f>
        <v>17.910784447935001</v>
      </c>
      <c r="L172" s="35">
        <f>IF(L144=1,Calculations!L1142,0)</f>
        <v>18.448107981373052</v>
      </c>
      <c r="M172" s="35">
        <f>IF(M144=1,Calculations!M1142,0)</f>
        <v>19.001551220814246</v>
      </c>
      <c r="N172" s="35">
        <f>IF(N144=1,Calculations!N1142,0)</f>
        <v>19.571597757438674</v>
      </c>
      <c r="O172" s="35">
        <f>IF(O144=1,Calculations!O1142,0)</f>
        <v>20.158745690161833</v>
      </c>
      <c r="P172" s="35">
        <f>IF(P144=1,Calculations!P1142,0)</f>
        <v>20.763508060866688</v>
      </c>
      <c r="Q172" s="35">
        <f>IF(Q144=1,Calculations!Q1142,0)</f>
        <v>21.386413302692688</v>
      </c>
      <c r="R172" s="35">
        <f>IF(R144=1,Calculations!R1142,0)</f>
        <v>22.02800570177347</v>
      </c>
      <c r="S172" s="35">
        <f>IF(S144=1,Calculations!S1142,0)</f>
        <v>22.688845872826676</v>
      </c>
      <c r="T172" s="35">
        <f>IF(T144=1,Calculations!T1142,0)</f>
        <v>23.369511249011477</v>
      </c>
      <c r="U172" s="35">
        <f>IF(U144=1,Calculations!U1142,0)</f>
        <v>24.070596586481823</v>
      </c>
      <c r="V172" s="35">
        <f>IF(V144=1,Calculations!V1142,0)</f>
        <v>24.792714484076278</v>
      </c>
      <c r="W172" s="35">
        <f>IF(W144=1,Calculations!W1142,0)</f>
        <v>25.536495918598568</v>
      </c>
      <c r="X172" s="35">
        <f>IF(X144=1,Calculations!X1142,0)</f>
        <v>26.302590796156526</v>
      </c>
      <c r="Y172" s="35">
        <f>IF(Y144=1,Calculations!Y1142,0)</f>
        <v>27.091668520041221</v>
      </c>
      <c r="Z172" s="35">
        <f>IF(Z144=1,Calculations!Z1142,0)</f>
        <v>27.90441857564246</v>
      </c>
      <c r="AA172" s="35">
        <f>IF(AA144=1,Calculations!AA1142,0)</f>
        <v>28.741551132911734</v>
      </c>
      <c r="AB172" s="35">
        <f>IF(AB144=1,Calculations!AB1142,0)</f>
        <v>29.603797666899087</v>
      </c>
      <c r="AC172" s="35">
        <f>IF(AC144=1,Calculations!AC1142,0)</f>
        <v>30.491911596906061</v>
      </c>
      <c r="AD172" s="35">
        <f>IF(AD144=1,Calculations!AD1142,0)</f>
        <v>31.406668944813244</v>
      </c>
      <c r="AE172" s="35">
        <f>IF(AE144=1,Calculations!AE1142,0)</f>
        <v>32.348869013157639</v>
      </c>
      <c r="AF172" s="35">
        <f>IF(AF144=1,Calculations!AF1142,0)</f>
        <v>33.319335083552367</v>
      </c>
      <c r="AG172" s="35">
        <f>IF(AG144=1,Calculations!AG1142,0)</f>
        <v>34.318915136058941</v>
      </c>
      <c r="AH172" s="35">
        <f>IF(AH144=1,Calculations!AH1142,0)</f>
        <v>35.348482590140712</v>
      </c>
      <c r="AI172" s="35"/>
      <c r="AJ172" s="35"/>
      <c r="AK172" s="35"/>
    </row>
    <row r="173" spans="1:37" s="24" customFormat="1" x14ac:dyDescent="0.2">
      <c r="A173" s="316"/>
      <c r="B173" s="25" t="s">
        <v>411</v>
      </c>
      <c r="E173" s="35">
        <v>0</v>
      </c>
      <c r="F173" s="35">
        <f>IF(F144=1,'Balance sheet'!F168-'Balance sheet'!E168,0)</f>
        <v>0</v>
      </c>
      <c r="G173" s="35">
        <f>IF(G144=1,'Balance sheet'!G168-'Balance sheet'!F168,0)</f>
        <v>0</v>
      </c>
      <c r="H173" s="35">
        <f>IF(H144=1,'Balance sheet'!H168-'Balance sheet'!G168,0)</f>
        <v>0</v>
      </c>
      <c r="I173" s="35">
        <f>IF(I144=1,'Balance sheet'!I168-'Balance sheet'!H168,0)</f>
        <v>0</v>
      </c>
      <c r="J173" s="35">
        <f>IF(J144=1,'Balance sheet'!J168-'Balance sheet'!I168,0)</f>
        <v>0</v>
      </c>
      <c r="K173" s="35">
        <f>IF(K144=1,'Balance sheet'!K168-'Balance sheet'!J168,0)</f>
        <v>0</v>
      </c>
      <c r="L173" s="35">
        <f>IF(L144=1,'Balance sheet'!L168-'Balance sheet'!K168,0)</f>
        <v>0</v>
      </c>
      <c r="M173" s="35">
        <f>IF(M144=1,'Balance sheet'!M168-'Balance sheet'!L168,0)</f>
        <v>0</v>
      </c>
      <c r="N173" s="35">
        <f>IF(N144=1,'Balance sheet'!N168-'Balance sheet'!M168,0)</f>
        <v>0</v>
      </c>
      <c r="O173" s="35">
        <f>IF(O144=1,'Balance sheet'!O168-'Balance sheet'!N168,0)</f>
        <v>0</v>
      </c>
      <c r="P173" s="35">
        <f>IF(P144=1,'Balance sheet'!P168-'Balance sheet'!O168,0)</f>
        <v>0</v>
      </c>
      <c r="Q173" s="35">
        <f>IF(Q144=1,'Balance sheet'!Q168-'Balance sheet'!P168,0)</f>
        <v>0</v>
      </c>
      <c r="R173" s="35">
        <f>IF(R144=1,'Balance sheet'!R168-'Balance sheet'!Q168,0)</f>
        <v>0</v>
      </c>
      <c r="S173" s="35">
        <f>IF(S144=1,'Balance sheet'!S168-'Balance sheet'!R168,0)</f>
        <v>0</v>
      </c>
      <c r="T173" s="35">
        <f>IF(T144=1,'Balance sheet'!T168-'Balance sheet'!S168,0)</f>
        <v>0</v>
      </c>
      <c r="U173" s="35">
        <f>IF(U144=1,'Balance sheet'!U168-'Balance sheet'!T168,0)</f>
        <v>0</v>
      </c>
      <c r="V173" s="35">
        <f>IF(V144=1,'Balance sheet'!V168-'Balance sheet'!U168,0)</f>
        <v>0</v>
      </c>
      <c r="W173" s="35">
        <f>IF(W144=1,'Balance sheet'!W168-'Balance sheet'!V168,0)</f>
        <v>0</v>
      </c>
      <c r="X173" s="35">
        <f>IF(X144=1,'Balance sheet'!X168-'Balance sheet'!W168,0)</f>
        <v>0</v>
      </c>
      <c r="Y173" s="35">
        <f>IF(Y144=1,'Balance sheet'!Y168-'Balance sheet'!X168,0)</f>
        <v>0</v>
      </c>
      <c r="Z173" s="35">
        <f>IF(Z144=1,'Balance sheet'!Z168-'Balance sheet'!Y168,0)</f>
        <v>0</v>
      </c>
      <c r="AA173" s="35">
        <f>IF(AA144=1,'Balance sheet'!AA168-'Balance sheet'!Z168,0)</f>
        <v>0</v>
      </c>
      <c r="AB173" s="35">
        <f>IF(AB144=1,'Balance sheet'!AB168-'Balance sheet'!AA168,0)</f>
        <v>0</v>
      </c>
      <c r="AC173" s="35">
        <f>IF(AC144=1,'Balance sheet'!AC168-'Balance sheet'!AB168,0)</f>
        <v>0</v>
      </c>
      <c r="AD173" s="35">
        <f>IF(AD144=1,'Balance sheet'!AD168-'Balance sheet'!AC168,0)</f>
        <v>0</v>
      </c>
      <c r="AE173" s="35">
        <f>IF(AE144=1,'Balance sheet'!AE168-'Balance sheet'!AD168,0)</f>
        <v>0</v>
      </c>
      <c r="AF173" s="35">
        <f>IF(AF144=1,'Balance sheet'!AF168-'Balance sheet'!AE168,0)</f>
        <v>0</v>
      </c>
      <c r="AG173" s="35">
        <f>IF(AG144=1,'Balance sheet'!AG168-'Balance sheet'!AF168,0)</f>
        <v>0</v>
      </c>
      <c r="AH173" s="35">
        <f>IF(AH144=1,'Balance sheet'!AH168-'Balance sheet'!AG168,0)</f>
        <v>0</v>
      </c>
      <c r="AI173" s="35"/>
      <c r="AJ173" s="35"/>
      <c r="AK173" s="35"/>
    </row>
    <row r="174" spans="1:37" s="24" customFormat="1" x14ac:dyDescent="0.2">
      <c r="A174" s="316"/>
      <c r="B174" s="25" t="s">
        <v>116</v>
      </c>
      <c r="E174" s="35">
        <v>0</v>
      </c>
      <c r="F174" s="35">
        <f>IF(F144=1,'Balance sheet'!F173-'Balance sheet'!E173,0)</f>
        <v>0</v>
      </c>
      <c r="G174" s="35">
        <f>IF(G144=1,'Balance sheet'!G173-'Balance sheet'!F173,0)</f>
        <v>0</v>
      </c>
      <c r="H174" s="35">
        <f>IF(H144=1,'Balance sheet'!H173-'Balance sheet'!G173,0)</f>
        <v>0</v>
      </c>
      <c r="I174" s="35">
        <f>IF(I144=1,'Balance sheet'!I173-'Balance sheet'!H173,0)</f>
        <v>0</v>
      </c>
      <c r="J174" s="35">
        <f>IF(J144=1,'Balance sheet'!J173-'Balance sheet'!I173,0)</f>
        <v>0</v>
      </c>
      <c r="K174" s="35">
        <f>IF(K144=1,'Balance sheet'!K173-'Balance sheet'!J173,0)</f>
        <v>0</v>
      </c>
      <c r="L174" s="35">
        <f>IF(L144=1,'Balance sheet'!L173-'Balance sheet'!K173,0)</f>
        <v>0</v>
      </c>
      <c r="M174" s="35">
        <f>IF(M144=1,'Balance sheet'!M173-'Balance sheet'!L173,0)</f>
        <v>0</v>
      </c>
      <c r="N174" s="35">
        <f>IF(N144=1,'Balance sheet'!N173-'Balance sheet'!M173,0)</f>
        <v>0</v>
      </c>
      <c r="O174" s="35">
        <f>IF(O144=1,'Balance sheet'!O173-'Balance sheet'!N173,0)</f>
        <v>0</v>
      </c>
      <c r="P174" s="35">
        <f>IF(P144=1,'Balance sheet'!P173-'Balance sheet'!O173,0)</f>
        <v>0</v>
      </c>
      <c r="Q174" s="35">
        <f>IF(Q144=1,'Balance sheet'!Q173-'Balance sheet'!P173,0)</f>
        <v>0</v>
      </c>
      <c r="R174" s="35">
        <f>IF(R144=1,'Balance sheet'!R173-'Balance sheet'!Q173,0)</f>
        <v>0</v>
      </c>
      <c r="S174" s="35">
        <f>IF(S144=1,'Balance sheet'!S173-'Balance sheet'!R173,0)</f>
        <v>0</v>
      </c>
      <c r="T174" s="35">
        <f>IF(T144=1,'Balance sheet'!T173-'Balance sheet'!S173,0)</f>
        <v>0</v>
      </c>
      <c r="U174" s="35">
        <f>IF(U144=1,'Balance sheet'!U173-'Balance sheet'!T173,0)</f>
        <v>0</v>
      </c>
      <c r="V174" s="35">
        <f>IF(V144=1,'Balance sheet'!V173-'Balance sheet'!U173,0)</f>
        <v>0</v>
      </c>
      <c r="W174" s="35">
        <f>IF(W144=1,'Balance sheet'!W173-'Balance sheet'!V173,0)</f>
        <v>0</v>
      </c>
      <c r="X174" s="35">
        <f>IF(X144=1,'Balance sheet'!X173-'Balance sheet'!W173,0)</f>
        <v>0</v>
      </c>
      <c r="Y174" s="35">
        <f>IF(Y144=1,'Balance sheet'!Y173-'Balance sheet'!X173,0)</f>
        <v>0</v>
      </c>
      <c r="Z174" s="35">
        <f>IF(Z144=1,'Balance sheet'!Z173-'Balance sheet'!Y173,0)</f>
        <v>0</v>
      </c>
      <c r="AA174" s="35">
        <f>IF(AA144=1,'Balance sheet'!AA173-'Balance sheet'!Z173,0)</f>
        <v>0</v>
      </c>
      <c r="AB174" s="35">
        <f>IF(AB144=1,'Balance sheet'!AB173-'Balance sheet'!AA173,0)</f>
        <v>0</v>
      </c>
      <c r="AC174" s="35">
        <f>IF(AC144=1,'Balance sheet'!AC173-'Balance sheet'!AB173,0)</f>
        <v>0</v>
      </c>
      <c r="AD174" s="35">
        <f>IF(AD144=1,'Balance sheet'!AD173-'Balance sheet'!AC173,0)</f>
        <v>0</v>
      </c>
      <c r="AE174" s="35">
        <f>IF(AE144=1,'Balance sheet'!AE173-'Balance sheet'!AD173,0)</f>
        <v>0</v>
      </c>
      <c r="AF174" s="35">
        <f>IF(AF144=1,'Balance sheet'!AF173-'Balance sheet'!AE173,0)</f>
        <v>0</v>
      </c>
      <c r="AG174" s="35">
        <f>IF(AG144=1,'Balance sheet'!AG173-'Balance sheet'!AF173,0)</f>
        <v>0</v>
      </c>
      <c r="AH174" s="35">
        <f>IF(AH144=1,'Balance sheet'!AH173-'Balance sheet'!AG173,0)</f>
        <v>0</v>
      </c>
      <c r="AI174" s="35"/>
      <c r="AJ174" s="35"/>
      <c r="AK174" s="35"/>
    </row>
    <row r="175" spans="1:37" s="24" customFormat="1" x14ac:dyDescent="0.2">
      <c r="A175" s="316"/>
      <c r="B175" s="25" t="s">
        <v>663</v>
      </c>
      <c r="E175" s="35">
        <v>0</v>
      </c>
      <c r="F175" s="35">
        <f>F148</f>
        <v>9.875</v>
      </c>
      <c r="G175" s="35">
        <f t="shared" ref="G175:AH175" si="31">G148</f>
        <v>10.247000000000014</v>
      </c>
      <c r="H175" s="35">
        <f t="shared" si="31"/>
        <v>10.594500000000039</v>
      </c>
      <c r="I175" s="35">
        <f t="shared" si="31"/>
        <v>12.002500000000055</v>
      </c>
      <c r="J175" s="35">
        <f t="shared" si="31"/>
        <v>13.518500000000131</v>
      </c>
      <c r="K175" s="35">
        <f t="shared" si="31"/>
        <v>15.079499999999825</v>
      </c>
      <c r="L175" s="35">
        <f t="shared" si="31"/>
        <v>15.382500000000164</v>
      </c>
      <c r="M175" s="35">
        <f t="shared" si="31"/>
        <v>14.457500000000437</v>
      </c>
      <c r="N175" s="35">
        <f t="shared" si="31"/>
        <v>13.472499999999854</v>
      </c>
      <c r="O175" s="35">
        <f t="shared" si="31"/>
        <v>12.0600000000004</v>
      </c>
      <c r="P175" s="35">
        <f t="shared" si="31"/>
        <v>12</v>
      </c>
      <c r="Q175" s="35">
        <f t="shared" si="31"/>
        <v>12</v>
      </c>
      <c r="R175" s="35">
        <f t="shared" si="31"/>
        <v>12</v>
      </c>
      <c r="S175" s="35">
        <f t="shared" si="31"/>
        <v>12</v>
      </c>
      <c r="T175" s="35">
        <f t="shared" si="31"/>
        <v>12</v>
      </c>
      <c r="U175" s="35">
        <f t="shared" si="31"/>
        <v>6</v>
      </c>
      <c r="V175" s="35">
        <f t="shared" si="31"/>
        <v>0</v>
      </c>
      <c r="W175" s="35">
        <f t="shared" si="31"/>
        <v>0</v>
      </c>
      <c r="X175" s="35">
        <f t="shared" si="31"/>
        <v>0</v>
      </c>
      <c r="Y175" s="35">
        <f t="shared" si="31"/>
        <v>0</v>
      </c>
      <c r="Z175" s="35">
        <f t="shared" si="31"/>
        <v>0</v>
      </c>
      <c r="AA175" s="35">
        <f t="shared" si="31"/>
        <v>0</v>
      </c>
      <c r="AB175" s="35">
        <f t="shared" si="31"/>
        <v>0</v>
      </c>
      <c r="AC175" s="35">
        <f t="shared" si="31"/>
        <v>0</v>
      </c>
      <c r="AD175" s="35">
        <f t="shared" si="31"/>
        <v>0</v>
      </c>
      <c r="AE175" s="35">
        <f t="shared" si="31"/>
        <v>0</v>
      </c>
      <c r="AF175" s="35">
        <f t="shared" si="31"/>
        <v>0</v>
      </c>
      <c r="AG175" s="35">
        <f t="shared" si="31"/>
        <v>0</v>
      </c>
      <c r="AH175" s="35">
        <f t="shared" si="31"/>
        <v>0</v>
      </c>
      <c r="AI175" s="35"/>
      <c r="AJ175" s="35"/>
      <c r="AK175" s="35"/>
    </row>
    <row r="176" spans="1:37" s="24" customFormat="1" x14ac:dyDescent="0.2">
      <c r="A176" s="316"/>
      <c r="B176" s="25" t="s">
        <v>111</v>
      </c>
      <c r="E176" s="35">
        <v>0</v>
      </c>
      <c r="F176" s="35">
        <f>IF(F144=1,Calculations!F1176,0)</f>
        <v>18941.88505708511</v>
      </c>
      <c r="G176" s="35">
        <f>IF(G144=1,Calculations!G1176,0)</f>
        <v>19588.0917095693</v>
      </c>
      <c r="H176" s="35">
        <f>IF(H144=1,Calculations!H1176,0)</f>
        <v>20784.036929237529</v>
      </c>
      <c r="I176" s="35">
        <f>IF(I144=1,Calculations!I1176,0)</f>
        <v>22531.807106718661</v>
      </c>
      <c r="J176" s="35">
        <f>IF(J144=1,Calculations!J1176,0)</f>
        <v>24112.623957552234</v>
      </c>
      <c r="K176" s="35">
        <f>IF(K144=1,Calculations!K1176,0)</f>
        <v>27144.195741435218</v>
      </c>
      <c r="L176" s="35">
        <f>IF(L144=1,Calculations!L1176,0)</f>
        <v>29154.699856346666</v>
      </c>
      <c r="M176" s="35">
        <f>IF(M144=1,Calculations!M1176,0)</f>
        <v>31002.781344608993</v>
      </c>
      <c r="N176" s="35">
        <f>IF(N144=1,Calculations!N1176,0)</f>
        <v>32935.96794498797</v>
      </c>
      <c r="O176" s="35">
        <f>IF(O144=1,Calculations!O1176,0)</f>
        <v>34521.467569217646</v>
      </c>
      <c r="P176" s="35">
        <f>IF(P144=1,Calculations!P1176,0)</f>
        <v>36482.278357388845</v>
      </c>
      <c r="Q176" s="35">
        <f>IF(Q144=1,Calculations!Q1176,0)</f>
        <v>38563.916865499385</v>
      </c>
      <c r="R176" s="35">
        <f>IF(R144=1,Calculations!R1176,0)</f>
        <v>40738.043412254818</v>
      </c>
      <c r="S176" s="35">
        <f>IF(S144=1,Calculations!S1176,0)</f>
        <v>43011.390703574594</v>
      </c>
      <c r="T176" s="35">
        <f>IF(T144=1,Calculations!T1176,0)</f>
        <v>45383.413007468087</v>
      </c>
      <c r="U176" s="35">
        <f>IF(U144=1,Calculations!U1176,0)</f>
        <v>47726.630493600467</v>
      </c>
      <c r="V176" s="35">
        <f>IF(V144=1,Calculations!V1176,0)</f>
        <v>50457.725010278489</v>
      </c>
      <c r="W176" s="35">
        <f>IF(W144=1,Calculations!W1176,0)</f>
        <v>53161.629679326375</v>
      </c>
      <c r="X176" s="35">
        <f>IF(X144=1,Calculations!X1176,0)</f>
        <v>55984.036412450601</v>
      </c>
      <c r="Y176" s="35">
        <f>IF(Y144=1,Calculations!Y1176,0)</f>
        <v>58929.645303273799</v>
      </c>
      <c r="Z176" s="35">
        <f>IF(Z144=1,Calculations!Z1176,0)</f>
        <v>62003.332093641038</v>
      </c>
      <c r="AA176" s="35">
        <f>IF(AA144=1,Calculations!AA1176,0)</f>
        <v>65210.154486458239</v>
      </c>
      <c r="AB176" s="35">
        <f>IF(AB144=1,Calculations!AB1176,0)</f>
        <v>68555.358679185316</v>
      </c>
      <c r="AC176" s="35">
        <f>IF(AC144=1,Calculations!AC1176,0)</f>
        <v>72044.38612556603</v>
      </c>
      <c r="AD176" s="35">
        <f>IF(AD144=1,Calculations!AD1176,0)</f>
        <v>75682.880533424424</v>
      </c>
      <c r="AE176" s="35">
        <f>IF(AE144=1,Calculations!AE1176,0)</f>
        <v>79476.695106618281</v>
      </c>
      <c r="AF176" s="35">
        <f>IF(AF144=1,Calculations!AF1176,0)</f>
        <v>83431.900039508299</v>
      </c>
      <c r="AG176" s="35">
        <f>IF(AG144=1,Calculations!AG1176,0)</f>
        <v>87553.91285474677</v>
      </c>
      <c r="AH176" s="35">
        <f>IF(AH144=1,Calculations!AH1176,0)</f>
        <v>91839.734949704347</v>
      </c>
      <c r="AI176" s="35"/>
      <c r="AJ176" s="35"/>
      <c r="AK176" s="35"/>
    </row>
    <row r="177" spans="1:37" s="24" customFormat="1" x14ac:dyDescent="0.2">
      <c r="A177" s="316"/>
      <c r="B177" s="25"/>
      <c r="E177" s="35"/>
      <c r="F177" s="35"/>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row>
    <row r="178" spans="1:37" s="24" customFormat="1" x14ac:dyDescent="0.2">
      <c r="A178" s="316"/>
      <c r="B178" s="27" t="s">
        <v>112</v>
      </c>
      <c r="E178" s="43">
        <f>IF(E144=1,-E170+E171+E172+E173+E174-E175-E176,0)</f>
        <v>0</v>
      </c>
      <c r="F178" s="43">
        <f t="shared" ref="F178:AH178" si="32">IF(F144=1,-F170+F171+F172+F173+F174-F175-F176,0)</f>
        <v>-18946.310057085109</v>
      </c>
      <c r="G178" s="43">
        <f t="shared" si="32"/>
        <v>-19577.425209569301</v>
      </c>
      <c r="H178" s="43">
        <f t="shared" si="32"/>
        <v>-20760.740524237528</v>
      </c>
      <c r="I178" s="43">
        <f t="shared" si="32"/>
        <v>-22509.426974568662</v>
      </c>
      <c r="J178" s="43">
        <f t="shared" si="32"/>
        <v>-24091.253346437734</v>
      </c>
      <c r="K178" s="43">
        <f t="shared" si="32"/>
        <v>-27123.864456987281</v>
      </c>
      <c r="L178" s="43">
        <f t="shared" si="32"/>
        <v>-29174.134248365292</v>
      </c>
      <c r="M178" s="43">
        <f t="shared" si="32"/>
        <v>-31020.737293388178</v>
      </c>
      <c r="N178" s="43">
        <f t="shared" si="32"/>
        <v>-32952.368847230529</v>
      </c>
      <c r="O178" s="43">
        <f t="shared" si="32"/>
        <v>-34513.368823527482</v>
      </c>
      <c r="P178" s="43">
        <f t="shared" si="32"/>
        <v>-36473.514849327978</v>
      </c>
      <c r="Q178" s="43">
        <f t="shared" si="32"/>
        <v>-38554.53045219669</v>
      </c>
      <c r="R178" s="43">
        <f t="shared" si="32"/>
        <v>-40728.015406553044</v>
      </c>
      <c r="S178" s="43">
        <f t="shared" si="32"/>
        <v>-43000.701857701766</v>
      </c>
      <c r="T178" s="43">
        <f t="shared" si="32"/>
        <v>-45372.043496219077</v>
      </c>
      <c r="U178" s="43">
        <f t="shared" si="32"/>
        <v>-47908.559897013984</v>
      </c>
      <c r="V178" s="43">
        <f t="shared" si="32"/>
        <v>-50432.93229579441</v>
      </c>
      <c r="W178" s="43">
        <f t="shared" si="32"/>
        <v>-53136.093183407778</v>
      </c>
      <c r="X178" s="43">
        <f t="shared" si="32"/>
        <v>-55957.733821654445</v>
      </c>
      <c r="Y178" s="43">
        <f t="shared" si="32"/>
        <v>-58902.553634753756</v>
      </c>
      <c r="Z178" s="43">
        <f t="shared" si="32"/>
        <v>-61975.427675065395</v>
      </c>
      <c r="AA178" s="43">
        <f t="shared" si="32"/>
        <v>-65181.41293532533</v>
      </c>
      <c r="AB178" s="43">
        <f t="shared" si="32"/>
        <v>-68525.754881518413</v>
      </c>
      <c r="AC178" s="43">
        <f t="shared" si="32"/>
        <v>-72013.894213969121</v>
      </c>
      <c r="AD178" s="43">
        <f t="shared" si="32"/>
        <v>-75651.473864479616</v>
      </c>
      <c r="AE178" s="43">
        <f t="shared" si="32"/>
        <v>-79444.346237605117</v>
      </c>
      <c r="AF178" s="43">
        <f t="shared" si="32"/>
        <v>-83398.580704424749</v>
      </c>
      <c r="AG178" s="43">
        <f t="shared" si="32"/>
        <v>-87519.593939610713</v>
      </c>
      <c r="AH178" s="43">
        <f t="shared" si="32"/>
        <v>-91804.386467114207</v>
      </c>
      <c r="AI178" s="35"/>
      <c r="AJ178" s="35"/>
      <c r="AK178" s="35"/>
    </row>
    <row r="179" spans="1:37" s="24" customFormat="1" x14ac:dyDescent="0.2">
      <c r="A179" s="316"/>
      <c r="B179" s="26"/>
      <c r="E179" s="35"/>
      <c r="F179" s="35"/>
      <c r="G179" s="35"/>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row>
    <row r="180" spans="1:37" s="24" customFormat="1" ht="16" thickBot="1" x14ac:dyDescent="0.25">
      <c r="A180" s="316"/>
      <c r="B180" s="26" t="s">
        <v>113</v>
      </c>
      <c r="E180" s="40">
        <f>E171+E179</f>
        <v>0</v>
      </c>
      <c r="F180" s="48">
        <f>IF(F144=1,F160+F167+F178,0)</f>
        <v>8117.9507387507656</v>
      </c>
      <c r="G180" s="48">
        <f t="shared" ref="G180:AH180" si="33">IF(G144=1,G160+G167+G178,0)</f>
        <v>8394.8964469582752</v>
      </c>
      <c r="H180" s="48">
        <f t="shared" si="33"/>
        <v>8907.4443982446574</v>
      </c>
      <c r="I180" s="48">
        <f t="shared" si="33"/>
        <v>9656.4887600222828</v>
      </c>
      <c r="J180" s="48">
        <f t="shared" si="33"/>
        <v>10333.981696093819</v>
      </c>
      <c r="K180" s="48">
        <f t="shared" si="33"/>
        <v>11633.226746329379</v>
      </c>
      <c r="L180" s="48">
        <f t="shared" si="33"/>
        <v>12494.871367005719</v>
      </c>
      <c r="M180" s="48">
        <f t="shared" si="33"/>
        <v>13286.906290546714</v>
      </c>
      <c r="N180" s="48">
        <f t="shared" si="33"/>
        <v>14115.414833566283</v>
      </c>
      <c r="O180" s="48">
        <f t="shared" si="33"/>
        <v>14794.914672521852</v>
      </c>
      <c r="P180" s="48">
        <f t="shared" si="33"/>
        <v>15635.262153166652</v>
      </c>
      <c r="Q180" s="48">
        <f t="shared" si="33"/>
        <v>16527.392942356884</v>
      </c>
      <c r="R180" s="48">
        <f t="shared" si="33"/>
        <v>17459.161462394928</v>
      </c>
      <c r="S180" s="48">
        <f t="shared" si="33"/>
        <v>18433.453158674827</v>
      </c>
      <c r="T180" s="48">
        <f t="shared" si="33"/>
        <v>19450.034146057755</v>
      </c>
      <c r="U180" s="48">
        <f t="shared" si="33"/>
        <v>20454.270211543073</v>
      </c>
      <c r="V180" s="48">
        <f t="shared" si="33"/>
        <v>21624.739290119353</v>
      </c>
      <c r="W180" s="48">
        <f t="shared" si="33"/>
        <v>22783.555576854167</v>
      </c>
      <c r="X180" s="48">
        <f t="shared" si="33"/>
        <v>23993.158462478837</v>
      </c>
      <c r="Y180" s="48">
        <f t="shared" si="33"/>
        <v>25255.562272831638</v>
      </c>
      <c r="Z180" s="48">
        <f t="shared" si="33"/>
        <v>26572.856611560463</v>
      </c>
      <c r="AA180" s="48">
        <f t="shared" si="33"/>
        <v>27947.209065624957</v>
      </c>
      <c r="AB180" s="48">
        <f t="shared" si="33"/>
        <v>29380.868005365148</v>
      </c>
      <c r="AC180" s="48">
        <f t="shared" si="33"/>
        <v>30876.165482385448</v>
      </c>
      <c r="AD180" s="48">
        <f t="shared" si="33"/>
        <v>32435.520228610476</v>
      </c>
      <c r="AE180" s="48">
        <f t="shared" si="33"/>
        <v>34061.440759979276</v>
      </c>
      <c r="AF180" s="48">
        <f t="shared" si="33"/>
        <v>35756.528588360699</v>
      </c>
      <c r="AG180" s="48">
        <f t="shared" si="33"/>
        <v>37523.1055091772</v>
      </c>
      <c r="AH180" s="48">
        <f t="shared" si="33"/>
        <v>39359.886407016165</v>
      </c>
      <c r="AI180" s="35"/>
      <c r="AJ180" s="35"/>
      <c r="AK180" s="35"/>
    </row>
    <row r="181" spans="1:37" x14ac:dyDescent="0.2">
      <c r="A181" s="316"/>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row>
    <row r="182" spans="1:37" s="24" customFormat="1" x14ac:dyDescent="0.2">
      <c r="A182" s="316"/>
      <c r="B182" s="82" t="s">
        <v>114</v>
      </c>
      <c r="E182" s="35"/>
      <c r="F182" s="35">
        <f>IF(F144=1,'Balance sheet'!E148,0)</f>
        <v>100</v>
      </c>
      <c r="G182" s="35">
        <f>IF(G144=1,'Balance sheet'!F148,0)</f>
        <v>8217.9507387507656</v>
      </c>
      <c r="H182" s="35">
        <f>IF(H144=1,'Balance sheet'!G148,0)</f>
        <v>16612.847185709041</v>
      </c>
      <c r="I182" s="35">
        <f>IF(I144=1,'Balance sheet'!H148,0)</f>
        <v>25520.291583953698</v>
      </c>
      <c r="J182" s="35">
        <f>IF(J144=1,'Balance sheet'!I148,0)</f>
        <v>35176.780343975981</v>
      </c>
      <c r="K182" s="35">
        <f>IF(K144=1,'Balance sheet'!J148,0)</f>
        <v>45510.7620400698</v>
      </c>
      <c r="L182" s="35">
        <f>IF(L144=1,'Balance sheet'!K148,0)</f>
        <v>57143.988786399175</v>
      </c>
      <c r="M182" s="35">
        <f>IF(M144=1,'Balance sheet'!L148,0)</f>
        <v>69638.860153404894</v>
      </c>
      <c r="N182" s="35">
        <f>IF(N144=1,'Balance sheet'!M148,0)</f>
        <v>82925.766443951608</v>
      </c>
      <c r="O182" s="35">
        <f>IF(O144=1,'Balance sheet'!N148,0)</f>
        <v>97041.181277517899</v>
      </c>
      <c r="P182" s="35">
        <f>IF(P144=1,'Balance sheet'!O148,0)</f>
        <v>111836.09595003974</v>
      </c>
      <c r="Q182" s="35">
        <f>IF(Q144=1,'Balance sheet'!P148,0)</f>
        <v>127471.3581032064</v>
      </c>
      <c r="R182" s="35">
        <f>IF(R144=1,'Balance sheet'!Q148,0)</f>
        <v>143998.75104556329</v>
      </c>
      <c r="S182" s="35">
        <f>IF(S144=1,'Balance sheet'!R148,0)</f>
        <v>161457.91250795822</v>
      </c>
      <c r="T182" s="35">
        <f>IF(T144=1,'Balance sheet'!S148,0)</f>
        <v>179891.36566663304</v>
      </c>
      <c r="U182" s="35">
        <f>IF(U144=1,'Balance sheet'!T148,0)</f>
        <v>199341.3998126908</v>
      </c>
      <c r="V182" s="35">
        <f>IF(V144=1,'Balance sheet'!U148,0)</f>
        <v>219795.67002423387</v>
      </c>
      <c r="W182" s="35">
        <f>IF(W144=1,'Balance sheet'!V148,0)</f>
        <v>241420.40931435322</v>
      </c>
      <c r="X182" s="35">
        <f>IF(X144=1,'Balance sheet'!W148,0)</f>
        <v>264203.9648912074</v>
      </c>
      <c r="Y182" s="35">
        <f>IF(Y144=1,'Balance sheet'!X148,0)</f>
        <v>288197.12335368624</v>
      </c>
      <c r="Z182" s="35">
        <f>IF(Z144=1,'Balance sheet'!Y148,0)</f>
        <v>313452.68562651786</v>
      </c>
      <c r="AA182" s="35">
        <f>IF(AA144=1,'Balance sheet'!Z148,0)</f>
        <v>340025.54223807831</v>
      </c>
      <c r="AB182" s="35">
        <f>IF(AB144=1,'Balance sheet'!AA148,0)</f>
        <v>367972.75130370329</v>
      </c>
      <c r="AC182" s="35">
        <f>IF(AC144=1,'Balance sheet'!AB148,0)</f>
        <v>397353.61930906842</v>
      </c>
      <c r="AD182" s="35">
        <f>IF(AD144=1,'Balance sheet'!AC148,0)</f>
        <v>428229.78479145386</v>
      </c>
      <c r="AE182" s="35">
        <f>IF(AE144=1,'Balance sheet'!AD148,0)</f>
        <v>460665.30502006435</v>
      </c>
      <c r="AF182" s="35">
        <f>IF(AF144=1,'Balance sheet'!AE148,0)</f>
        <v>494726.74578004365</v>
      </c>
      <c r="AG182" s="35">
        <f>IF(AG144=1,'Balance sheet'!AF148,0)</f>
        <v>530483.27436840441</v>
      </c>
      <c r="AH182" s="35">
        <f>IF(AH144=1,'Balance sheet'!AG148,0)</f>
        <v>568006.37987758161</v>
      </c>
    </row>
    <row r="183" spans="1:37" s="24" customFormat="1" x14ac:dyDescent="0.2">
      <c r="A183" s="316"/>
      <c r="B183" s="82" t="s">
        <v>115</v>
      </c>
      <c r="E183" s="35">
        <f>'Balance sheet'!E148</f>
        <v>100</v>
      </c>
      <c r="F183" s="35">
        <f>IF(F144=1,'Balance sheet'!F148,0)</f>
        <v>8217.9507387507656</v>
      </c>
      <c r="G183" s="35">
        <f>IF(G144=1,'Balance sheet'!G148,0)</f>
        <v>16612.847185709041</v>
      </c>
      <c r="H183" s="35">
        <f>IF(H144=1,'Balance sheet'!H148,0)</f>
        <v>25520.291583953698</v>
      </c>
      <c r="I183" s="35">
        <f>IF(I144=1,'Balance sheet'!I148,0)</f>
        <v>35176.780343975981</v>
      </c>
      <c r="J183" s="35">
        <f>IF(J144=1,'Balance sheet'!J148,0)</f>
        <v>45510.7620400698</v>
      </c>
      <c r="K183" s="35">
        <f>IF(K144=1,'Balance sheet'!K148,0)</f>
        <v>57143.988786399175</v>
      </c>
      <c r="L183" s="35">
        <f>IF(L144=1,'Balance sheet'!L148,0)</f>
        <v>69638.860153404894</v>
      </c>
      <c r="M183" s="35">
        <f>IF(M144=1,'Balance sheet'!M148,0)</f>
        <v>82925.766443951608</v>
      </c>
      <c r="N183" s="35">
        <f>IF(N144=1,'Balance sheet'!N148,0)</f>
        <v>97041.181277517899</v>
      </c>
      <c r="O183" s="35">
        <f>IF(O144=1,'Balance sheet'!O148,0)</f>
        <v>111836.09595003974</v>
      </c>
      <c r="P183" s="35">
        <f>IF(P144=1,'Balance sheet'!P148,0)</f>
        <v>127471.3581032064</v>
      </c>
      <c r="Q183" s="35">
        <f>IF(Q144=1,'Balance sheet'!Q148,0)</f>
        <v>143998.75104556329</v>
      </c>
      <c r="R183" s="35">
        <f>IF(R144=1,'Balance sheet'!R148,0)</f>
        <v>161457.91250795822</v>
      </c>
      <c r="S183" s="35">
        <f>IF(S144=1,'Balance sheet'!S148,0)</f>
        <v>179891.36566663304</v>
      </c>
      <c r="T183" s="35">
        <f>IF(T144=1,'Balance sheet'!T148,0)</f>
        <v>199341.3998126908</v>
      </c>
      <c r="U183" s="35">
        <f>IF(U144=1,'Balance sheet'!U148,0)</f>
        <v>219795.67002423387</v>
      </c>
      <c r="V183" s="35">
        <f>IF(V144=1,'Balance sheet'!V148,0)</f>
        <v>241420.40931435322</v>
      </c>
      <c r="W183" s="35">
        <f>IF(W144=1,'Balance sheet'!W148,0)</f>
        <v>264203.9648912074</v>
      </c>
      <c r="X183" s="35">
        <f>IF(X144=1,'Balance sheet'!X148,0)</f>
        <v>288197.12335368624</v>
      </c>
      <c r="Y183" s="35">
        <f>IF(Y144=1,'Balance sheet'!Y148,0)</f>
        <v>313452.68562651786</v>
      </c>
      <c r="Z183" s="35">
        <f>IF(Z144=1,'Balance sheet'!Z148,0)</f>
        <v>340025.54223807831</v>
      </c>
      <c r="AA183" s="35">
        <f>IF(AA144=1,'Balance sheet'!AA148,0)</f>
        <v>367972.75130370329</v>
      </c>
      <c r="AB183" s="35">
        <f>IF(AB144=1,'Balance sheet'!AB148,0)</f>
        <v>397353.61930906842</v>
      </c>
      <c r="AC183" s="35">
        <f>IF(AC144=1,'Balance sheet'!AC148,0)</f>
        <v>428229.78479145386</v>
      </c>
      <c r="AD183" s="35">
        <f>IF(AD144=1,'Balance sheet'!AD148,0)</f>
        <v>460665.30502006435</v>
      </c>
      <c r="AE183" s="35">
        <f>IF(AE144=1,'Balance sheet'!AE148,0)</f>
        <v>494726.74578004365</v>
      </c>
      <c r="AF183" s="35">
        <f>IF(AF144=1,'Balance sheet'!AF148,0)</f>
        <v>530483.27436840441</v>
      </c>
      <c r="AG183" s="35">
        <f>IF(AG144=1,'Balance sheet'!AG148,0)</f>
        <v>568006.37987758161</v>
      </c>
      <c r="AH183" s="35">
        <f>IF(AH144=1,'Balance sheet'!AH148,0)</f>
        <v>607366.2662845978</v>
      </c>
    </row>
    <row r="184" spans="1:37" x14ac:dyDescent="0.2">
      <c r="A184" s="316"/>
    </row>
    <row r="185" spans="1:37" x14ac:dyDescent="0.2">
      <c r="A185" s="316"/>
    </row>
    <row r="186" spans="1:37" x14ac:dyDescent="0.2">
      <c r="A186" s="316"/>
    </row>
  </sheetData>
  <pageMargins left="0.70866141732283472" right="0.70866141732283472" top="0.74803149606299213" bottom="0.74803149606299213" header="0.31496062992125984" footer="0.31496062992125984"/>
  <pageSetup paperSize="8"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P344"/>
  <sheetViews>
    <sheetView zoomScale="75" zoomScaleNormal="75" workbookViewId="0">
      <selection activeCell="AJ1" sqref="AJ1:XFD1048576"/>
    </sheetView>
  </sheetViews>
  <sheetFormatPr baseColWidth="10" defaultColWidth="0" defaultRowHeight="15" x14ac:dyDescent="0.2"/>
  <cols>
    <col min="1" max="1" width="9.1640625" style="1" customWidth="1"/>
    <col min="2" max="2" width="16" style="1" customWidth="1"/>
    <col min="3" max="3" width="9.1640625" style="1" customWidth="1"/>
    <col min="4" max="4" width="10.5" style="1" bestFit="1" customWidth="1"/>
    <col min="5" max="5" width="11.33203125" style="1" customWidth="1"/>
    <col min="6" max="8" width="10.5" style="1" bestFit="1" customWidth="1"/>
    <col min="9" max="9" width="11.5" style="1" customWidth="1"/>
    <col min="10" max="25" width="10.5" style="1" bestFit="1" customWidth="1"/>
    <col min="26" max="34" width="11.5" style="1" bestFit="1" customWidth="1"/>
    <col min="35" max="35" width="9.1640625" style="18" customWidth="1"/>
    <col min="36" max="16384" width="9.1640625" style="18" hidden="1"/>
  </cols>
  <sheetData>
    <row r="1" spans="1:34" x14ac:dyDescent="0.2">
      <c r="A1" s="2"/>
      <c r="B1" s="4" t="s">
        <v>180</v>
      </c>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row>
    <row r="2" spans="1:34" x14ac:dyDescent="0.2">
      <c r="A2" s="2"/>
      <c r="B2" s="3" t="str">
        <f>'Assumptions - General'!$E$23</f>
        <v xml:space="preserve">Ruritania Railways </v>
      </c>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row>
    <row r="3" spans="1:34" x14ac:dyDescent="0.2">
      <c r="A3" s="2"/>
      <c r="B3" s="3" t="str">
        <f>"All units in "  &amp;'Assumptions - General'!$E$27&amp;  " millions unless otherwise stated"</f>
        <v>All units in R$ millions unless otherwise stated</v>
      </c>
      <c r="C3" s="6"/>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row>
    <row r="4" spans="1:34" x14ac:dyDescent="0.2">
      <c r="A4" s="18"/>
      <c r="B4" s="77"/>
      <c r="C4" s="7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row>
    <row r="20" spans="8:30" ht="16" thickBot="1" x14ac:dyDescent="0.25"/>
    <row r="21" spans="8:30" ht="16" thickBot="1" x14ac:dyDescent="0.25">
      <c r="H21" s="130" t="s">
        <v>297</v>
      </c>
      <c r="I21" s="269">
        <f>SUM(E146:AH146)</f>
        <v>1.9469174057293204E-2</v>
      </c>
      <c r="AC21" s="130" t="s">
        <v>297</v>
      </c>
      <c r="AD21" s="269">
        <f>SUM(E153:AH153)</f>
        <v>2.1092856717537467E-2</v>
      </c>
    </row>
    <row r="127" spans="1:34" s="412" customFormat="1" ht="12" x14ac:dyDescent="0.15">
      <c r="A127" s="80"/>
      <c r="B127" s="90" t="s">
        <v>208</v>
      </c>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row>
    <row r="128" spans="1:34" s="412" customFormat="1" ht="12" x14ac:dyDescent="0.15">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row>
    <row r="129" spans="1:34" s="412" customFormat="1" ht="12" x14ac:dyDescent="0.15">
      <c r="A129" s="80"/>
      <c r="B129" s="91" t="s">
        <v>99</v>
      </c>
      <c r="C129" s="80"/>
      <c r="D129" s="80"/>
      <c r="E129" s="80">
        <v>1</v>
      </c>
      <c r="F129" s="80">
        <v>2</v>
      </c>
      <c r="G129" s="80">
        <v>3</v>
      </c>
      <c r="H129" s="80">
        <v>4</v>
      </c>
      <c r="I129" s="80">
        <v>5</v>
      </c>
      <c r="J129" s="80">
        <v>6</v>
      </c>
      <c r="K129" s="80">
        <v>7</v>
      </c>
      <c r="L129" s="80">
        <v>8</v>
      </c>
      <c r="M129" s="80">
        <v>9</v>
      </c>
      <c r="N129" s="80">
        <v>10</v>
      </c>
      <c r="O129" s="80">
        <v>11</v>
      </c>
      <c r="P129" s="80">
        <v>12</v>
      </c>
      <c r="Q129" s="80">
        <v>13</v>
      </c>
      <c r="R129" s="80">
        <v>14</v>
      </c>
      <c r="S129" s="80">
        <v>15</v>
      </c>
      <c r="T129" s="80">
        <v>16</v>
      </c>
      <c r="U129" s="80">
        <v>17</v>
      </c>
      <c r="V129" s="80">
        <v>18</v>
      </c>
      <c r="W129" s="80">
        <v>19</v>
      </c>
      <c r="X129" s="80">
        <v>20</v>
      </c>
      <c r="Y129" s="80">
        <v>21</v>
      </c>
      <c r="Z129" s="80">
        <v>22</v>
      </c>
      <c r="AA129" s="80">
        <v>23</v>
      </c>
      <c r="AB129" s="80">
        <v>24</v>
      </c>
      <c r="AC129" s="80">
        <v>25</v>
      </c>
      <c r="AD129" s="80">
        <v>26</v>
      </c>
      <c r="AE129" s="80">
        <v>27</v>
      </c>
      <c r="AF129" s="80">
        <v>28</v>
      </c>
      <c r="AG129" s="80">
        <v>29</v>
      </c>
      <c r="AH129" s="80">
        <v>30</v>
      </c>
    </row>
    <row r="130" spans="1:34" s="412" customFormat="1" ht="12" x14ac:dyDescent="0.15">
      <c r="A130" s="80"/>
      <c r="B130" s="91" t="s">
        <v>12</v>
      </c>
      <c r="C130" s="80"/>
      <c r="D130" s="80"/>
      <c r="E130" s="92">
        <f>'Assumptions - General'!$E$28</f>
        <v>40179</v>
      </c>
      <c r="F130" s="92">
        <f t="shared" ref="F130:AH130" si="0">E131+1</f>
        <v>40544</v>
      </c>
      <c r="G130" s="92">
        <f t="shared" si="0"/>
        <v>40909</v>
      </c>
      <c r="H130" s="92">
        <f t="shared" si="0"/>
        <v>41275</v>
      </c>
      <c r="I130" s="92">
        <f t="shared" si="0"/>
        <v>41640</v>
      </c>
      <c r="J130" s="92">
        <f t="shared" si="0"/>
        <v>42005</v>
      </c>
      <c r="K130" s="92">
        <f t="shared" si="0"/>
        <v>42370</v>
      </c>
      <c r="L130" s="92">
        <f t="shared" si="0"/>
        <v>42736</v>
      </c>
      <c r="M130" s="92">
        <f t="shared" si="0"/>
        <v>43101</v>
      </c>
      <c r="N130" s="92">
        <f t="shared" si="0"/>
        <v>43466</v>
      </c>
      <c r="O130" s="92">
        <f t="shared" si="0"/>
        <v>43831</v>
      </c>
      <c r="P130" s="92">
        <f t="shared" si="0"/>
        <v>44197</v>
      </c>
      <c r="Q130" s="92">
        <f t="shared" si="0"/>
        <v>44562</v>
      </c>
      <c r="R130" s="92">
        <f t="shared" si="0"/>
        <v>44927</v>
      </c>
      <c r="S130" s="92">
        <f t="shared" si="0"/>
        <v>45292</v>
      </c>
      <c r="T130" s="92">
        <f t="shared" si="0"/>
        <v>45658</v>
      </c>
      <c r="U130" s="92">
        <f t="shared" si="0"/>
        <v>46023</v>
      </c>
      <c r="V130" s="92">
        <f t="shared" si="0"/>
        <v>46388</v>
      </c>
      <c r="W130" s="92">
        <f t="shared" si="0"/>
        <v>46753</v>
      </c>
      <c r="X130" s="92">
        <f t="shared" si="0"/>
        <v>47119</v>
      </c>
      <c r="Y130" s="92">
        <f t="shared" si="0"/>
        <v>47484</v>
      </c>
      <c r="Z130" s="92">
        <f t="shared" si="0"/>
        <v>47849</v>
      </c>
      <c r="AA130" s="92">
        <f t="shared" si="0"/>
        <v>48214</v>
      </c>
      <c r="AB130" s="92">
        <f t="shared" si="0"/>
        <v>48580</v>
      </c>
      <c r="AC130" s="92">
        <f t="shared" si="0"/>
        <v>48945</v>
      </c>
      <c r="AD130" s="92">
        <f t="shared" si="0"/>
        <v>49310</v>
      </c>
      <c r="AE130" s="92">
        <f t="shared" si="0"/>
        <v>49675</v>
      </c>
      <c r="AF130" s="92">
        <f t="shared" si="0"/>
        <v>50041</v>
      </c>
      <c r="AG130" s="92">
        <f t="shared" si="0"/>
        <v>50406</v>
      </c>
      <c r="AH130" s="92">
        <f t="shared" si="0"/>
        <v>50771</v>
      </c>
    </row>
    <row r="131" spans="1:34" s="412" customFormat="1" ht="12" x14ac:dyDescent="0.15">
      <c r="A131" s="80"/>
      <c r="B131" s="91" t="s">
        <v>13</v>
      </c>
      <c r="C131" s="80"/>
      <c r="D131" s="80"/>
      <c r="E131" s="92">
        <f t="shared" ref="E131:AH131" si="1">DATE(YEAR(E130)+1, MONTH(E130), DAY(E130)-1)</f>
        <v>40543</v>
      </c>
      <c r="F131" s="92">
        <f t="shared" si="1"/>
        <v>40908</v>
      </c>
      <c r="G131" s="92">
        <f t="shared" si="1"/>
        <v>41274</v>
      </c>
      <c r="H131" s="92">
        <f t="shared" si="1"/>
        <v>41639</v>
      </c>
      <c r="I131" s="92">
        <f t="shared" si="1"/>
        <v>42004</v>
      </c>
      <c r="J131" s="92">
        <f t="shared" si="1"/>
        <v>42369</v>
      </c>
      <c r="K131" s="92">
        <f t="shared" si="1"/>
        <v>42735</v>
      </c>
      <c r="L131" s="92">
        <f t="shared" si="1"/>
        <v>43100</v>
      </c>
      <c r="M131" s="92">
        <f t="shared" si="1"/>
        <v>43465</v>
      </c>
      <c r="N131" s="92">
        <f t="shared" si="1"/>
        <v>43830</v>
      </c>
      <c r="O131" s="92">
        <f t="shared" si="1"/>
        <v>44196</v>
      </c>
      <c r="P131" s="92">
        <f t="shared" si="1"/>
        <v>44561</v>
      </c>
      <c r="Q131" s="92">
        <f t="shared" si="1"/>
        <v>44926</v>
      </c>
      <c r="R131" s="92">
        <f t="shared" si="1"/>
        <v>45291</v>
      </c>
      <c r="S131" s="92">
        <f t="shared" si="1"/>
        <v>45657</v>
      </c>
      <c r="T131" s="92">
        <f t="shared" si="1"/>
        <v>46022</v>
      </c>
      <c r="U131" s="92">
        <f t="shared" si="1"/>
        <v>46387</v>
      </c>
      <c r="V131" s="92">
        <f t="shared" si="1"/>
        <v>46752</v>
      </c>
      <c r="W131" s="92">
        <f t="shared" si="1"/>
        <v>47118</v>
      </c>
      <c r="X131" s="92">
        <f t="shared" si="1"/>
        <v>47483</v>
      </c>
      <c r="Y131" s="92">
        <f t="shared" si="1"/>
        <v>47848</v>
      </c>
      <c r="Z131" s="92">
        <f t="shared" si="1"/>
        <v>48213</v>
      </c>
      <c r="AA131" s="92">
        <f t="shared" si="1"/>
        <v>48579</v>
      </c>
      <c r="AB131" s="92">
        <f t="shared" si="1"/>
        <v>48944</v>
      </c>
      <c r="AC131" s="92">
        <f t="shared" si="1"/>
        <v>49309</v>
      </c>
      <c r="AD131" s="92">
        <f t="shared" si="1"/>
        <v>49674</v>
      </c>
      <c r="AE131" s="92">
        <f t="shared" si="1"/>
        <v>50040</v>
      </c>
      <c r="AF131" s="92">
        <f t="shared" si="1"/>
        <v>50405</v>
      </c>
      <c r="AG131" s="92">
        <f t="shared" si="1"/>
        <v>50770</v>
      </c>
      <c r="AH131" s="92">
        <f t="shared" si="1"/>
        <v>51135</v>
      </c>
    </row>
    <row r="132" spans="1:34" s="20" customFormat="1" ht="14" x14ac:dyDescent="0.2">
      <c r="A132" s="8"/>
      <c r="B132" s="7" t="s">
        <v>226</v>
      </c>
      <c r="C132" s="8"/>
      <c r="D132" s="8"/>
      <c r="E132" s="29">
        <f>Calculations!E21</f>
        <v>1</v>
      </c>
      <c r="F132" s="28">
        <f>Calculations!F21</f>
        <v>1</v>
      </c>
      <c r="G132" s="29">
        <f>Calculations!G21</f>
        <v>1</v>
      </c>
      <c r="H132" s="29">
        <f>Calculations!H21</f>
        <v>1</v>
      </c>
      <c r="I132" s="29">
        <f>Calculations!I21</f>
        <v>1</v>
      </c>
      <c r="J132" s="29">
        <f>Calculations!J21</f>
        <v>1</v>
      </c>
      <c r="K132" s="29">
        <f>Calculations!K21</f>
        <v>1</v>
      </c>
      <c r="L132" s="29">
        <f>Calculations!L21</f>
        <v>1</v>
      </c>
      <c r="M132" s="29">
        <f>Calculations!M21</f>
        <v>1</v>
      </c>
      <c r="N132" s="29">
        <f>Calculations!N21</f>
        <v>1</v>
      </c>
      <c r="O132" s="29">
        <f>Calculations!O21</f>
        <v>1</v>
      </c>
      <c r="P132" s="29">
        <f>Calculations!P21</f>
        <v>1</v>
      </c>
      <c r="Q132" s="29">
        <f>Calculations!Q21</f>
        <v>1</v>
      </c>
      <c r="R132" s="29">
        <f>Calculations!R21</f>
        <v>1</v>
      </c>
      <c r="S132" s="29">
        <f>Calculations!S21</f>
        <v>1</v>
      </c>
      <c r="T132" s="29">
        <f>Calculations!T21</f>
        <v>1</v>
      </c>
      <c r="U132" s="29">
        <f>Calculations!U21</f>
        <v>1</v>
      </c>
      <c r="V132" s="29">
        <f>Calculations!V21</f>
        <v>1</v>
      </c>
      <c r="W132" s="29">
        <f>Calculations!W21</f>
        <v>1</v>
      </c>
      <c r="X132" s="29">
        <f>Calculations!X21</f>
        <v>1</v>
      </c>
      <c r="Y132" s="29">
        <f>Calculations!Y21</f>
        <v>1</v>
      </c>
      <c r="Z132" s="29">
        <f>Calculations!Z21</f>
        <v>1</v>
      </c>
      <c r="AA132" s="29">
        <f>Calculations!AA21</f>
        <v>1</v>
      </c>
      <c r="AB132" s="29">
        <f>Calculations!AB21</f>
        <v>1</v>
      </c>
      <c r="AC132" s="29">
        <f>Calculations!AC21</f>
        <v>1</v>
      </c>
      <c r="AD132" s="29">
        <f>Calculations!AD21</f>
        <v>1</v>
      </c>
      <c r="AE132" s="29">
        <f>Calculations!AE21</f>
        <v>1</v>
      </c>
      <c r="AF132" s="29">
        <f>Calculations!AF21</f>
        <v>1</v>
      </c>
      <c r="AG132" s="29">
        <f>Calculations!AG21</f>
        <v>1</v>
      </c>
      <c r="AH132" s="29">
        <f>Calculations!AH21</f>
        <v>1</v>
      </c>
    </row>
    <row r="133" spans="1:34" s="412" customFormat="1" ht="12" x14ac:dyDescent="0.15">
      <c r="A133" s="80"/>
      <c r="B133" s="91"/>
      <c r="C133" s="80"/>
      <c r="D133" s="80"/>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row>
    <row r="134" spans="1:34" s="412" customFormat="1" ht="12" x14ac:dyDescent="0.15">
      <c r="A134" s="80"/>
      <c r="B134" s="80" t="s">
        <v>307</v>
      </c>
      <c r="C134" s="80"/>
      <c r="D134" s="80"/>
      <c r="E134" s="92" t="str">
        <f>'Assumptions - General'!E27&amp;" millions"</f>
        <v>R$ millions</v>
      </c>
      <c r="F134" s="92"/>
      <c r="G134" s="92"/>
      <c r="H134" s="92"/>
      <c r="I134" s="92"/>
      <c r="J134" s="92"/>
      <c r="K134" s="92"/>
      <c r="L134" s="92"/>
      <c r="M134" s="92"/>
      <c r="N134" s="144"/>
      <c r="O134" s="92"/>
      <c r="P134" s="92"/>
      <c r="Q134" s="92"/>
      <c r="R134" s="92"/>
      <c r="S134" s="92"/>
      <c r="T134" s="92"/>
      <c r="U134" s="92"/>
      <c r="V134" s="92"/>
      <c r="W134" s="92"/>
      <c r="X134" s="92"/>
      <c r="Y134" s="92"/>
      <c r="Z134" s="92"/>
      <c r="AA134" s="92"/>
      <c r="AB134" s="92"/>
      <c r="AC134" s="92"/>
      <c r="AD134" s="92"/>
      <c r="AE134" s="92"/>
      <c r="AF134" s="92"/>
      <c r="AG134" s="92"/>
      <c r="AH134" s="92"/>
    </row>
    <row r="135" spans="1:34" s="412" customFormat="1" ht="12" x14ac:dyDescent="0.15">
      <c r="A135" s="80"/>
      <c r="B135" s="91"/>
      <c r="C135" s="80"/>
      <c r="D135" s="80"/>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row>
    <row r="136" spans="1:34" s="412" customFormat="1" ht="12" x14ac:dyDescent="0.15">
      <c r="A136" s="80"/>
      <c r="B136" s="90" t="s">
        <v>199</v>
      </c>
      <c r="C136" s="80"/>
      <c r="D136" s="80"/>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row>
    <row r="137" spans="1:34" s="412" customFormat="1" ht="12" x14ac:dyDescent="0.15">
      <c r="A137" s="80"/>
      <c r="B137" s="91"/>
      <c r="C137" s="80"/>
      <c r="D137" s="80"/>
      <c r="E137" s="93">
        <f>IF(SUM(Calculations!E16:E21)&gt;=1,YEAR('Charts - Consolidated'!E131)," ")</f>
        <v>2010</v>
      </c>
      <c r="F137" s="93">
        <f>IF(SUM(Calculations!F16:F21)&gt;=1,YEAR('Charts - Consolidated'!F131)," ")</f>
        <v>2011</v>
      </c>
      <c r="G137" s="93">
        <f>IF(SUM(Calculations!G16:G21)&gt;=1,YEAR('Charts - Consolidated'!G131)," ")</f>
        <v>2012</v>
      </c>
      <c r="H137" s="93">
        <f>IF(SUM(Calculations!H16:H21)&gt;=1,YEAR('Charts - Consolidated'!H131)," ")</f>
        <v>2013</v>
      </c>
      <c r="I137" s="93">
        <f>IF(SUM(Calculations!I16:I21)&gt;=1,YEAR('Charts - Consolidated'!I131)," ")</f>
        <v>2014</v>
      </c>
      <c r="J137" s="93">
        <f>IF(SUM(Calculations!J16:J21)&gt;=1,YEAR('Charts - Consolidated'!J131)," ")</f>
        <v>2015</v>
      </c>
      <c r="K137" s="93">
        <f>IF(SUM(Calculations!K16:K21)&gt;=1,YEAR('Charts - Consolidated'!K131)," ")</f>
        <v>2016</v>
      </c>
      <c r="L137" s="93">
        <f>IF(SUM(Calculations!L16:L21)&gt;=1,YEAR('Charts - Consolidated'!L131)," ")</f>
        <v>2017</v>
      </c>
      <c r="M137" s="93">
        <f>IF(SUM(Calculations!M16:M21)&gt;=1,YEAR('Charts - Consolidated'!M131)," ")</f>
        <v>2018</v>
      </c>
      <c r="N137" s="93">
        <f>IF(SUM(Calculations!N16:N21)&gt;=1,YEAR('Charts - Consolidated'!N131)," ")</f>
        <v>2019</v>
      </c>
      <c r="O137" s="93">
        <f>IF(SUM(Calculations!O16:O21)&gt;=1,YEAR('Charts - Consolidated'!O131)," ")</f>
        <v>2020</v>
      </c>
      <c r="P137" s="93">
        <f>IF(SUM(Calculations!P16:P21)&gt;=1,YEAR('Charts - Consolidated'!P131)," ")</f>
        <v>2021</v>
      </c>
      <c r="Q137" s="93">
        <f>IF(SUM(Calculations!Q16:Q21)&gt;=1,YEAR('Charts - Consolidated'!Q131)," ")</f>
        <v>2022</v>
      </c>
      <c r="R137" s="93">
        <f>IF(SUM(Calculations!R16:R21)&gt;=1,YEAR('Charts - Consolidated'!R131)," ")</f>
        <v>2023</v>
      </c>
      <c r="S137" s="93">
        <f>IF(SUM(Calculations!S16:S21)&gt;=1,YEAR('Charts - Consolidated'!S131)," ")</f>
        <v>2024</v>
      </c>
      <c r="T137" s="93">
        <f>IF(SUM(Calculations!T16:T21)&gt;=1,YEAR('Charts - Consolidated'!T131)," ")</f>
        <v>2025</v>
      </c>
      <c r="U137" s="93">
        <f>IF(SUM(Calculations!U16:U21)&gt;=1,YEAR('Charts - Consolidated'!U131)," ")</f>
        <v>2026</v>
      </c>
      <c r="V137" s="93">
        <f>IF(SUM(Calculations!V16:V21)&gt;=1,YEAR('Charts - Consolidated'!V131)," ")</f>
        <v>2027</v>
      </c>
      <c r="W137" s="93">
        <f>IF(SUM(Calculations!W16:W21)&gt;=1,YEAR('Charts - Consolidated'!W131)," ")</f>
        <v>2028</v>
      </c>
      <c r="X137" s="93">
        <f>IF(SUM(Calculations!X16:X21)&gt;=1,YEAR('Charts - Consolidated'!X131)," ")</f>
        <v>2029</v>
      </c>
      <c r="Y137" s="93">
        <f>IF(SUM(Calculations!Y16:Y21)&gt;=1,YEAR('Charts - Consolidated'!Y131)," ")</f>
        <v>2030</v>
      </c>
      <c r="Z137" s="93">
        <f>IF(SUM(Calculations!Z16:Z21)&gt;=1,YEAR('Charts - Consolidated'!Z131)," ")</f>
        <v>2031</v>
      </c>
      <c r="AA137" s="93">
        <f>IF(SUM(Calculations!AA16:AA21)&gt;=1,YEAR('Charts - Consolidated'!AA131)," ")</f>
        <v>2032</v>
      </c>
      <c r="AB137" s="93">
        <f>IF(SUM(Calculations!AB16:AB21)&gt;=1,YEAR('Charts - Consolidated'!AB131)," ")</f>
        <v>2033</v>
      </c>
      <c r="AC137" s="93">
        <f>IF(SUM(Calculations!AC16:AC21)&gt;=1,YEAR('Charts - Consolidated'!AC131)," ")</f>
        <v>2034</v>
      </c>
      <c r="AD137" s="93">
        <f>IF(SUM(Calculations!AD16:AD21)&gt;=1,YEAR('Charts - Consolidated'!AD131)," ")</f>
        <v>2035</v>
      </c>
      <c r="AE137" s="93">
        <f>IF(SUM(Calculations!AE16:AE21)&gt;=1,YEAR('Charts - Consolidated'!AE131)," ")</f>
        <v>2036</v>
      </c>
      <c r="AF137" s="93">
        <f>IF(SUM(Calculations!AF16:AF21)&gt;=1,YEAR('Charts - Consolidated'!AF131)," ")</f>
        <v>2037</v>
      </c>
      <c r="AG137" s="93">
        <f>IF(SUM(Calculations!AG16:AG21)&gt;=1,YEAR('Charts - Consolidated'!AG131)," ")</f>
        <v>2038</v>
      </c>
      <c r="AH137" s="93">
        <f>IF(SUM(Calculations!AH16:AH21)&gt;=1,YEAR('Charts - Consolidated'!AH131)," ")</f>
        <v>2039</v>
      </c>
    </row>
    <row r="138" spans="1:34" s="412" customFormat="1" ht="12" x14ac:dyDescent="0.15">
      <c r="A138" s="80"/>
      <c r="B138" s="80" t="s">
        <v>181</v>
      </c>
      <c r="C138" s="80"/>
      <c r="D138" s="80"/>
      <c r="E138" s="94">
        <f>IF(E132=1,'Income statement'!E17,0)</f>
        <v>87011</v>
      </c>
      <c r="F138" s="94">
        <f>IF(F132=1,'Income statement'!F17,0)</f>
        <v>90475.679971457415</v>
      </c>
      <c r="G138" s="94">
        <f>IF(G132=1,'Income statement'!G17,0)</f>
        <v>93048.938718952821</v>
      </c>
      <c r="H138" s="94">
        <f>IF(H132=1,'Income statement'!H17,0)</f>
        <v>97846.613706804841</v>
      </c>
      <c r="I138" s="94">
        <f>IF(I132=1,'Income statement'!I17,0)</f>
        <v>105067.15870969972</v>
      </c>
      <c r="J138" s="94">
        <f>IF(J132=1,'Income statement'!J17," ")</f>
        <v>110353.49303965193</v>
      </c>
      <c r="K138" s="94">
        <f>IF(K132=1,'Income statement'!K17," ")</f>
        <v>123628.0122425671</v>
      </c>
      <c r="L138" s="94">
        <f>IF(L132=1,'Income statement'!L17," ")</f>
        <v>129593.20025983242</v>
      </c>
      <c r="M138" s="94">
        <f>IF(M132=1,'Income statement'!M17," ")</f>
        <v>135808.83873919945</v>
      </c>
      <c r="N138" s="94">
        <f>IF(N132=1,'Income statement'!N17," ")</f>
        <v>142284.07113167556</v>
      </c>
      <c r="O138" s="94">
        <f>IF(O132=1,'Income statement'!O17," ")</f>
        <v>149028.82862423887</v>
      </c>
      <c r="P138" s="94">
        <f>IF(P132=1,'Income statement'!P17," ")</f>
        <v>156053.51473596404</v>
      </c>
      <c r="Q138" s="94">
        <f>IF(Q132=1,'Income statement'!Q17," ")</f>
        <v>163368.68792912355</v>
      </c>
      <c r="R138" s="94">
        <f>IF(R132=1,'Income statement'!R17," ")</f>
        <v>170985.41229274412</v>
      </c>
      <c r="S138" s="94">
        <f>IF(S132=1,'Income statement'!S17," ")</f>
        <v>178915.81704468711</v>
      </c>
      <c r="T138" s="94">
        <f>IF(T132=1,'Income statement'!T17," ")</f>
        <v>187170.9863049869</v>
      </c>
      <c r="U138" s="94">
        <f>IF(U132=1,'Income statement'!U17," ")</f>
        <v>195764.42992999768</v>
      </c>
      <c r="V138" s="94">
        <f>IF(V132=1,'Income statement'!V17," ")</f>
        <v>204708.06103274794</v>
      </c>
      <c r="W138" s="94">
        <f>IF(W132=1,'Income statement'!W17," ")</f>
        <v>214015.2204442111</v>
      </c>
      <c r="X138" s="94">
        <f>IF(X132=1,'Income statement'!X17," ")</f>
        <v>223700.64751416226</v>
      </c>
      <c r="Y138" s="94">
        <f>IF(Y132=1,'Income statement'!Y17," ")</f>
        <v>233777.4886345258</v>
      </c>
      <c r="Z138" s="94">
        <f>IF(Z132=1,'Income statement'!Z17," ")</f>
        <v>244261.75740066011</v>
      </c>
      <c r="AA138" s="94">
        <f>IF(AA132=1,'Income statement'!AA17," ")</f>
        <v>255168.30597817167</v>
      </c>
      <c r="AB138" s="94">
        <f>IF(AB132=1,'Income statement'!AB17," ")</f>
        <v>266512.95388374582</v>
      </c>
      <c r="AC138" s="94">
        <f>IF(AC132=1,'Income statement'!AC17," ")</f>
        <v>278312.09244357492</v>
      </c>
      <c r="AD138" s="94">
        <f>IF(AD132=1,'Income statement'!AD17," ")</f>
        <v>290583.014671201</v>
      </c>
      <c r="AE138" s="94">
        <f>IF(AE132=1,'Income statement'!AE17," ")</f>
        <v>303343.32908722403</v>
      </c>
      <c r="AF138" s="94">
        <f>IF(AF132=1,'Income statement'!AF17," ")</f>
        <v>316611.38132019946</v>
      </c>
      <c r="AG138" s="94">
        <f>IF(AG132=1,'Income statement'!AG17," ")</f>
        <v>330405.99652098806</v>
      </c>
      <c r="AH138" s="94">
        <f>IF(AH132=1,'Income statement'!AH17," ")</f>
        <v>344742.14148318389</v>
      </c>
    </row>
    <row r="139" spans="1:34" s="412" customFormat="1" ht="12" x14ac:dyDescent="0.15">
      <c r="A139" s="80"/>
      <c r="B139" s="80" t="s">
        <v>182</v>
      </c>
      <c r="C139" s="80"/>
      <c r="D139" s="80"/>
      <c r="E139" s="94">
        <f>IF(E132=1,'Income statement'!E27+'Income statement'!E34,0)</f>
        <v>10645</v>
      </c>
      <c r="F139" s="94">
        <f>IF(F132=1,'Income statement'!F27+'Income statement'!F34,0)</f>
        <v>11115.856264241107</v>
      </c>
      <c r="G139" s="94">
        <f>IF(G132=1,'Income statement'!G27+'Income statement'!G34,0)</f>
        <v>11557.12652420071</v>
      </c>
      <c r="H139" s="94">
        <f>IF(H132=1,'Income statement'!H27+'Income statement'!H34,0)</f>
        <v>12356.16587911611</v>
      </c>
      <c r="I139" s="94">
        <f>IF(I132=1,'Income statement'!I27+'Income statement'!I34,0)</f>
        <v>13336.455592091721</v>
      </c>
      <c r="J139" s="94">
        <f>IF(J132=1,'Income statement'!J27+'Income statement'!J34," ")</f>
        <v>13904.512208530425</v>
      </c>
      <c r="K139" s="94">
        <f>IF(K132=1,'Income statement'!K27+'Income statement'!K34," ")</f>
        <v>14849.965879866864</v>
      </c>
      <c r="L139" s="94">
        <f>IF(L132=1,'Income statement'!L27+'Income statement'!L34," ")</f>
        <v>15455.98148162026</v>
      </c>
      <c r="M139" s="94">
        <f>IF(M132=1,'Income statement'!M27+'Income statement'!M34," ")</f>
        <v>16098.6458797293</v>
      </c>
      <c r="N139" s="94">
        <f>IF(N132=1,'Income statement'!N27+'Income statement'!N34," ")</f>
        <v>16766.183527318179</v>
      </c>
      <c r="O139" s="94">
        <f>IF(O132=1,'Income statement'!O27+'Income statement'!O34," ")</f>
        <v>17457.83000835247</v>
      </c>
      <c r="P139" s="94">
        <f>IF(P132=1,'Income statement'!P27+'Income statement'!P34," ")</f>
        <v>18175.184015207877</v>
      </c>
      <c r="Q139" s="94">
        <f>IF(Q132=1,'Income statement'!Q27+'Income statement'!Q34," ")</f>
        <v>18914.612906349019</v>
      </c>
      <c r="R139" s="94">
        <f>IF(R132=1,'Income statement'!R27+'Income statement'!R34," ")</f>
        <v>19675.284158743299</v>
      </c>
      <c r="S139" s="94">
        <f>IF(S132=1,'Income statement'!S27+'Income statement'!S34," ")</f>
        <v>20472.949076957102</v>
      </c>
      <c r="T139" s="94">
        <f>IF(T132=1,'Income statement'!T27+'Income statement'!T34," ")</f>
        <v>21286.413298367064</v>
      </c>
      <c r="U139" s="94">
        <f>IF(U132=1,'Income statement'!U27+'Income statement'!U34," ")</f>
        <v>22144.292498232586</v>
      </c>
      <c r="V139" s="94">
        <f>IF(V132=1,'Income statement'!V27+'Income statement'!V34," ")</f>
        <v>23024.165897460003</v>
      </c>
      <c r="W139" s="94">
        <f>IF(W132=1,'Income statement'!W27+'Income statement'!W34," ")</f>
        <v>23927.672050654335</v>
      </c>
      <c r="X139" s="94">
        <f>IF(X132=1,'Income statement'!X27+'Income statement'!X34," ")</f>
        <v>24879.545837372425</v>
      </c>
      <c r="Y139" s="94">
        <f>IF(Y132=1,'Income statement'!Y27+'Income statement'!Y34," ")</f>
        <v>25853.20740548972</v>
      </c>
      <c r="Z139" s="94">
        <f>IF(Z132=1,'Income statement'!Z27+'Income statement'!Z34," ")</f>
        <v>26876.320088470042</v>
      </c>
      <c r="AA139" s="94">
        <f>IF(AA132=1,'Income statement'!AA27+'Income statement'!AA34," ")</f>
        <v>27939.070606768579</v>
      </c>
      <c r="AB139" s="94">
        <f>IF(AB132=1,'Income statement'!AB27+'Income statement'!AB34," ")</f>
        <v>29040.288918682287</v>
      </c>
      <c r="AC139" s="94">
        <f>IF(AC132=1,'Income statement'!AC27+'Income statement'!AC34," ")</f>
        <v>30179.121439056671</v>
      </c>
      <c r="AD139" s="94">
        <f>IF(AD132=1,'Income statement'!AD27+'Income statement'!AD34," ")</f>
        <v>31361.452292320064</v>
      </c>
      <c r="AE139" s="94">
        <f>IF(AE132=1,'Income statement'!AE27+'Income statement'!AE34," ")</f>
        <v>32586.525449933451</v>
      </c>
      <c r="AF139" s="94">
        <f>IF(AF132=1,'Income statement'!AF27+'Income statement'!AF34," ")</f>
        <v>33855.866091982476</v>
      </c>
      <c r="AG139" s="94">
        <f>IF(AG132=1,'Income statement'!AG27+'Income statement'!AG34," ")</f>
        <v>35166.693173549414</v>
      </c>
      <c r="AH139" s="94">
        <f>IF(AH132=1,'Income statement'!AH27+'Income statement'!AH34," ")</f>
        <v>36470.605826529587</v>
      </c>
    </row>
    <row r="140" spans="1:34" s="412" customFormat="1" ht="12" x14ac:dyDescent="0.15">
      <c r="A140" s="80"/>
      <c r="B140" s="80" t="s">
        <v>177</v>
      </c>
      <c r="C140" s="80"/>
      <c r="D140" s="80"/>
      <c r="E140" s="95">
        <f>IF(E132=1,(E138-E139)/E138,0)</f>
        <v>0.87765914654468979</v>
      </c>
      <c r="F140" s="95">
        <f t="shared" ref="F140:I140" si="2">IF(F132=1,(F138-F139)/F138,0)</f>
        <v>0.87713984279811041</v>
      </c>
      <c r="G140" s="95">
        <f t="shared" si="2"/>
        <v>0.87579518172573556</v>
      </c>
      <c r="H140" s="95">
        <f t="shared" si="2"/>
        <v>0.87371902398031809</v>
      </c>
      <c r="I140" s="95">
        <f t="shared" si="2"/>
        <v>0.87306732421554956</v>
      </c>
      <c r="J140" s="95">
        <f t="shared" ref="J140:AH140" si="3">IF(J132=1,(J138-J139)/J138," ")</f>
        <v>0.87400025295498074</v>
      </c>
      <c r="K140" s="95">
        <f t="shared" si="3"/>
        <v>0.87988186810987334</v>
      </c>
      <c r="L140" s="95">
        <f t="shared" si="3"/>
        <v>0.88073462611748732</v>
      </c>
      <c r="M140" s="95">
        <f t="shared" si="3"/>
        <v>0.88146098568264508</v>
      </c>
      <c r="N140" s="95">
        <f t="shared" si="3"/>
        <v>0.88216401601411831</v>
      </c>
      <c r="O140" s="95">
        <f t="shared" si="3"/>
        <v>0.88285602074769964</v>
      </c>
      <c r="P140" s="95">
        <f t="shared" si="3"/>
        <v>0.88353236358719944</v>
      </c>
      <c r="Q140" s="95">
        <f t="shared" si="3"/>
        <v>0.88422130858665526</v>
      </c>
      <c r="R140" s="95">
        <f t="shared" si="3"/>
        <v>0.88493004230643224</v>
      </c>
      <c r="S140" s="95">
        <f t="shared" si="3"/>
        <v>0.88557216787689796</v>
      </c>
      <c r="T140" s="95">
        <f t="shared" si="3"/>
        <v>0.88627290095227806</v>
      </c>
      <c r="U140" s="95">
        <f t="shared" si="3"/>
        <v>0.8868829618018399</v>
      </c>
      <c r="V140" s="95">
        <f t="shared" si="3"/>
        <v>0.88752682341230937</v>
      </c>
      <c r="W140" s="95">
        <f t="shared" si="3"/>
        <v>0.88819640023270341</v>
      </c>
      <c r="X140" s="95">
        <f t="shared" si="3"/>
        <v>0.88878196771514784</v>
      </c>
      <c r="Y140" s="95">
        <f t="shared" si="3"/>
        <v>0.88941104827288509</v>
      </c>
      <c r="Z140" s="95">
        <f t="shared" si="3"/>
        <v>0.88996918562087857</v>
      </c>
      <c r="AA140" s="95">
        <f t="shared" si="3"/>
        <v>0.89050728498719345</v>
      </c>
      <c r="AB140" s="95">
        <f t="shared" si="3"/>
        <v>0.89103610726797999</v>
      </c>
      <c r="AC140" s="95">
        <f t="shared" si="3"/>
        <v>0.89156374351511447</v>
      </c>
      <c r="AD140" s="95">
        <f t="shared" si="3"/>
        <v>0.89207403492662496</v>
      </c>
      <c r="AE140" s="95">
        <f t="shared" si="3"/>
        <v>0.89257543408655804</v>
      </c>
      <c r="AF140" s="95">
        <f t="shared" si="3"/>
        <v>0.89306806991330823</v>
      </c>
      <c r="AG140" s="95">
        <f t="shared" si="3"/>
        <v>0.89356520903422654</v>
      </c>
      <c r="AH140" s="95">
        <f t="shared" si="3"/>
        <v>0.8942090291902749</v>
      </c>
    </row>
    <row r="141" spans="1:34" s="412" customFormat="1" ht="12" x14ac:dyDescent="0.15">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row>
    <row r="142" spans="1:34" s="412" customFormat="1" ht="12" x14ac:dyDescent="0.15">
      <c r="A142" s="80"/>
      <c r="B142" s="90" t="s">
        <v>296</v>
      </c>
      <c r="C142" s="80"/>
      <c r="D142" s="80"/>
      <c r="E142" s="80" t="s">
        <v>305</v>
      </c>
      <c r="F142" s="80" t="s">
        <v>286</v>
      </c>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row>
    <row r="143" spans="1:34" s="412" customFormat="1" ht="12" x14ac:dyDescent="0.15">
      <c r="A143" s="80"/>
      <c r="B143" s="80"/>
      <c r="C143" s="80"/>
      <c r="D143" s="80"/>
      <c r="E143" s="93">
        <f>YEAR('Charts - Freight'!E$131)</f>
        <v>2010</v>
      </c>
      <c r="F143" s="93">
        <f>YEAR('Charts - Freight'!F$131)</f>
        <v>2011</v>
      </c>
      <c r="G143" s="93">
        <f>YEAR('Charts - Freight'!G$131)</f>
        <v>2012</v>
      </c>
      <c r="H143" s="93">
        <f>YEAR('Charts - Freight'!H$131)</f>
        <v>2013</v>
      </c>
      <c r="I143" s="93">
        <f>YEAR('Charts - Freight'!I$131)</f>
        <v>2014</v>
      </c>
      <c r="J143" s="93">
        <f>YEAR('Charts - Freight'!J$131)</f>
        <v>2015</v>
      </c>
      <c r="K143" s="93">
        <f>YEAR('Charts - Freight'!K$131)</f>
        <v>2016</v>
      </c>
      <c r="L143" s="93">
        <f>YEAR('Charts - Freight'!L$131)</f>
        <v>2017</v>
      </c>
      <c r="M143" s="93">
        <f>YEAR('Charts - Freight'!M$131)</f>
        <v>2018</v>
      </c>
      <c r="N143" s="93">
        <f>YEAR('Charts - Freight'!N$131)</f>
        <v>2019</v>
      </c>
      <c r="O143" s="93">
        <f>YEAR('Charts - Freight'!O$131)</f>
        <v>2020</v>
      </c>
      <c r="P143" s="93">
        <f>YEAR('Charts - Freight'!P$131)</f>
        <v>2021</v>
      </c>
      <c r="Q143" s="93">
        <f>YEAR('Charts - Freight'!Q$131)</f>
        <v>2022</v>
      </c>
      <c r="R143" s="93">
        <f>YEAR('Charts - Freight'!R$131)</f>
        <v>2023</v>
      </c>
      <c r="S143" s="93">
        <f>YEAR('Charts - Freight'!S$131)</f>
        <v>2024</v>
      </c>
      <c r="T143" s="93">
        <f>YEAR('Charts - Freight'!T$131)</f>
        <v>2025</v>
      </c>
      <c r="U143" s="93">
        <f>YEAR('Charts - Freight'!U$131)</f>
        <v>2026</v>
      </c>
      <c r="V143" s="93">
        <f>YEAR('Charts - Freight'!V$131)</f>
        <v>2027</v>
      </c>
      <c r="W143" s="93">
        <f>YEAR('Charts - Freight'!W$131)</f>
        <v>2028</v>
      </c>
      <c r="X143" s="93">
        <f>YEAR('Charts - Freight'!X$131)</f>
        <v>2029</v>
      </c>
      <c r="Y143" s="93">
        <f>YEAR('Charts - Freight'!Y$131)</f>
        <v>2030</v>
      </c>
      <c r="Z143" s="93">
        <f>YEAR('Charts - Freight'!Z$131)</f>
        <v>2031</v>
      </c>
      <c r="AA143" s="93">
        <f>YEAR('Charts - Freight'!AA$131)</f>
        <v>2032</v>
      </c>
      <c r="AB143" s="93">
        <f>YEAR('Charts - Freight'!AB$131)</f>
        <v>2033</v>
      </c>
      <c r="AC143" s="93">
        <f>YEAR('Charts - Freight'!AC$131)</f>
        <v>2034</v>
      </c>
      <c r="AD143" s="93">
        <f>YEAR('Charts - Freight'!AD$131)</f>
        <v>2035</v>
      </c>
      <c r="AE143" s="93">
        <f>YEAR('Charts - Freight'!AE$131)</f>
        <v>2036</v>
      </c>
      <c r="AF143" s="93">
        <f>YEAR('Charts - Freight'!AF$131)</f>
        <v>2037</v>
      </c>
      <c r="AG143" s="93">
        <f>YEAR('Charts - Freight'!AG$131)</f>
        <v>2038</v>
      </c>
      <c r="AH143" s="93">
        <f>YEAR('Charts - Freight'!AH$131)</f>
        <v>2039</v>
      </c>
    </row>
    <row r="144" spans="1:34" s="412" customFormat="1" ht="12" x14ac:dyDescent="0.15">
      <c r="A144" s="80"/>
      <c r="B144" s="80" t="s">
        <v>439</v>
      </c>
      <c r="C144" s="80"/>
      <c r="D144" s="80"/>
      <c r="E144" s="94">
        <f>IF(E132=1,'Charts - Infrastructure'!E145,0)</f>
        <v>100000.00000000001</v>
      </c>
      <c r="F144" s="94">
        <f>IF(F132=1,'Charts - Infrastructure'!F145,0)</f>
        <v>98780.487804878067</v>
      </c>
      <c r="G144" s="94">
        <f>IF(G132=1,'Charts - Infrastructure'!G145,0)</f>
        <v>98780.487804878067</v>
      </c>
      <c r="H144" s="94">
        <f>IF(H132=1,'Charts - Infrastructure'!H145,0)</f>
        <v>98780.487804878067</v>
      </c>
      <c r="I144" s="94">
        <f>IF(I132=1,'Charts - Infrastructure'!I145,0)</f>
        <v>98780.487804878067</v>
      </c>
      <c r="J144" s="94">
        <f>IF(J132=1,'Charts - Infrastructure'!J145," ")</f>
        <v>98780.487804878067</v>
      </c>
      <c r="K144" s="94">
        <f>IF(K132=1,'Charts - Infrastructure'!K145," ")</f>
        <v>111128.04878048781</v>
      </c>
      <c r="L144" s="94">
        <f>IF(L132=1,'Charts - Infrastructure'!L145," ")</f>
        <v>111128.04878048781</v>
      </c>
      <c r="M144" s="94">
        <f>IF(M132=1,'Charts - Infrastructure'!M145," ")</f>
        <v>111128.04878048781</v>
      </c>
      <c r="N144" s="94">
        <f>IF(N132=1,'Charts - Infrastructure'!N145," ")</f>
        <v>111128.04878048781</v>
      </c>
      <c r="O144" s="94">
        <f>IF(O132=1,'Charts - Infrastructure'!O145," ")</f>
        <v>111128.04878048781</v>
      </c>
      <c r="P144" s="94">
        <f>IF(P132=1,'Charts - Infrastructure'!P145," ")</f>
        <v>111128.04878048781</v>
      </c>
      <c r="Q144" s="94">
        <f>IF(Q132=1,'Charts - Infrastructure'!Q145," ")</f>
        <v>111128.04878048781</v>
      </c>
      <c r="R144" s="94">
        <f>IF(R132=1,'Charts - Infrastructure'!R145," ")</f>
        <v>111128.04878048781</v>
      </c>
      <c r="S144" s="94">
        <f>IF(S132=1,'Charts - Infrastructure'!S145," ")</f>
        <v>111128.04878048781</v>
      </c>
      <c r="T144" s="94">
        <f>IF(T132=1,'Charts - Infrastructure'!T145," ")</f>
        <v>111128.04878048781</v>
      </c>
      <c r="U144" s="94">
        <f>IF(U132=1,'Charts - Infrastructure'!U145," ")</f>
        <v>111128.04878048781</v>
      </c>
      <c r="V144" s="94">
        <f>IF(V132=1,'Charts - Infrastructure'!V145," ")</f>
        <v>111128.04878048781</v>
      </c>
      <c r="W144" s="94">
        <f>IF(W132=1,'Charts - Infrastructure'!W145," ")</f>
        <v>111128.04878048781</v>
      </c>
      <c r="X144" s="94">
        <f>IF(X132=1,'Charts - Infrastructure'!X145," ")</f>
        <v>111128.04878048781</v>
      </c>
      <c r="Y144" s="94">
        <f>IF(Y132=1,'Charts - Infrastructure'!Y145," ")</f>
        <v>111128.04878048781</v>
      </c>
      <c r="Z144" s="94">
        <f>IF(Z132=1,'Charts - Infrastructure'!Z145," ")</f>
        <v>111128.04878048781</v>
      </c>
      <c r="AA144" s="94">
        <f>IF(AA132=1,'Charts - Infrastructure'!AA145," ")</f>
        <v>111128.04878048781</v>
      </c>
      <c r="AB144" s="94">
        <f>IF(AB132=1,'Charts - Infrastructure'!AB145," ")</f>
        <v>111128.04878048781</v>
      </c>
      <c r="AC144" s="94">
        <f>IF(AC132=1,'Charts - Infrastructure'!AC145," ")</f>
        <v>111128.04878048781</v>
      </c>
      <c r="AD144" s="94">
        <f>IF(AD132=1,'Charts - Infrastructure'!AD145," ")</f>
        <v>111128.04878048781</v>
      </c>
      <c r="AE144" s="94">
        <f>IF(AE132=1,'Charts - Infrastructure'!AE145," ")</f>
        <v>111128.04878048781</v>
      </c>
      <c r="AF144" s="94">
        <f>IF(AF132=1,'Charts - Infrastructure'!AF145," ")</f>
        <v>111128.04878048781</v>
      </c>
      <c r="AG144" s="94">
        <f>IF(AG132=1,'Charts - Infrastructure'!AG145," ")</f>
        <v>111128.04878048781</v>
      </c>
      <c r="AH144" s="94">
        <f>IF(AH132=1,'Charts - Infrastructure'!AH145," ")</f>
        <v>111128.04878048781</v>
      </c>
    </row>
    <row r="145" spans="1:34" s="412" customFormat="1" ht="12" x14ac:dyDescent="0.15">
      <c r="A145" s="80"/>
      <c r="B145" s="80" t="s">
        <v>440</v>
      </c>
      <c r="C145" s="80"/>
      <c r="D145" s="80"/>
      <c r="E145" s="94">
        <f>IF(E132=1,'Charts - Infrastructure'!E146,0)</f>
        <v>60000</v>
      </c>
      <c r="F145" s="94">
        <f>IF(F132=1,'Charts - Infrastructure'!F146,0)</f>
        <v>63750</v>
      </c>
      <c r="G145" s="94">
        <f>IF(G132=1,'Charts - Infrastructure'!G146,0)</f>
        <v>63750</v>
      </c>
      <c r="H145" s="94">
        <f>IF(H132=1,'Charts - Infrastructure'!H146,0)</f>
        <v>67500</v>
      </c>
      <c r="I145" s="94">
        <f>IF(I132=1,'Charts - Infrastructure'!I146,0)</f>
        <v>75000</v>
      </c>
      <c r="J145" s="94">
        <f>IF(J132=1,'Charts - Infrastructure'!J146," ")</f>
        <v>78750</v>
      </c>
      <c r="K145" s="94">
        <f>IF(K132=1,'Charts - Infrastructure'!K146," ")</f>
        <v>82500</v>
      </c>
      <c r="L145" s="94">
        <f>IF(L132=1,'Charts - Infrastructure'!L146," ")</f>
        <v>86250</v>
      </c>
      <c r="M145" s="94">
        <f>IF(M132=1,'Charts - Infrastructure'!M146," ")</f>
        <v>90000</v>
      </c>
      <c r="N145" s="94">
        <f>IF(N132=1,'Charts - Infrastructure'!N146," ")</f>
        <v>93750</v>
      </c>
      <c r="O145" s="94">
        <f>IF(O132=1,'Charts - Infrastructure'!O146," ")</f>
        <v>97500</v>
      </c>
      <c r="P145" s="94">
        <f>IF(P132=1,'Charts - Infrastructure'!P146," ")</f>
        <v>101250</v>
      </c>
      <c r="Q145" s="94">
        <f>IF(Q132=1,'Charts - Infrastructure'!Q146," ")</f>
        <v>105000</v>
      </c>
      <c r="R145" s="94">
        <f>IF(R132=1,'Charts - Infrastructure'!R146," ")</f>
        <v>108750</v>
      </c>
      <c r="S145" s="94">
        <f>IF(S132=1,'Charts - Infrastructure'!S146," ")</f>
        <v>112500</v>
      </c>
      <c r="T145" s="94">
        <f>IF(T132=1,'Charts - Infrastructure'!T146," ")</f>
        <v>116250</v>
      </c>
      <c r="U145" s="94">
        <f>IF(U132=1,'Charts - Infrastructure'!U146," ")</f>
        <v>120000</v>
      </c>
      <c r="V145" s="94">
        <f>IF(V132=1,'Charts - Infrastructure'!V146," ")</f>
        <v>123750</v>
      </c>
      <c r="W145" s="94">
        <f>IF(W132=1,'Charts - Infrastructure'!W146," ")</f>
        <v>127500</v>
      </c>
      <c r="X145" s="94">
        <f>IF(X132=1,'Charts - Infrastructure'!X146," ")</f>
        <v>131250</v>
      </c>
      <c r="Y145" s="94">
        <f>IF(Y132=1,'Charts - Infrastructure'!Y146," ")</f>
        <v>135000</v>
      </c>
      <c r="Z145" s="94">
        <f>IF(Z132=1,'Charts - Infrastructure'!Z146," ")</f>
        <v>138750</v>
      </c>
      <c r="AA145" s="94">
        <f>IF(AA132=1,'Charts - Infrastructure'!AA146," ")</f>
        <v>142500</v>
      </c>
      <c r="AB145" s="94">
        <f>IF(AB132=1,'Charts - Infrastructure'!AB146," ")</f>
        <v>146250</v>
      </c>
      <c r="AC145" s="94">
        <f>IF(AC132=1,'Charts - Infrastructure'!AC146," ")</f>
        <v>150000</v>
      </c>
      <c r="AD145" s="94">
        <f>IF(AD132=1,'Charts - Infrastructure'!AD146," ")</f>
        <v>153750</v>
      </c>
      <c r="AE145" s="94">
        <f>IF(AE132=1,'Charts - Infrastructure'!AE146," ")</f>
        <v>157500</v>
      </c>
      <c r="AF145" s="94">
        <f>IF(AF132=1,'Charts - Infrastructure'!AF146," ")</f>
        <v>161250</v>
      </c>
      <c r="AG145" s="94">
        <f>IF(AG132=1,'Charts - Infrastructure'!AG146," ")</f>
        <v>165000</v>
      </c>
      <c r="AH145" s="94">
        <f>IF(AH132=1,'Charts - Infrastructure'!AH146," ")</f>
        <v>168750</v>
      </c>
    </row>
    <row r="146" spans="1:34" s="412" customFormat="1" ht="12" x14ac:dyDescent="0.15">
      <c r="A146" s="80"/>
      <c r="B146" s="80" t="s">
        <v>297</v>
      </c>
      <c r="C146" s="80"/>
      <c r="D146" s="80"/>
      <c r="E146" s="94" t="str">
        <f>'Charts - Infrastructure'!E147</f>
        <v xml:space="preserve"> </v>
      </c>
      <c r="F146" s="94" t="str">
        <f>'Charts - Infrastructure'!F147</f>
        <v xml:space="preserve"> </v>
      </c>
      <c r="G146" s="94" t="str">
        <f>'Charts - Infrastructure'!G147</f>
        <v xml:space="preserve"> </v>
      </c>
      <c r="H146" s="94" t="str">
        <f>'Charts - Infrastructure'!H147</f>
        <v xml:space="preserve"> </v>
      </c>
      <c r="I146" s="94" t="str">
        <f>'Charts - Infrastructure'!I147</f>
        <v xml:space="preserve"> </v>
      </c>
      <c r="J146" s="94" t="str">
        <f>'Charts - Infrastructure'!J147</f>
        <v xml:space="preserve"> </v>
      </c>
      <c r="K146" s="94" t="str">
        <f>'Charts - Infrastructure'!K147</f>
        <v xml:space="preserve"> </v>
      </c>
      <c r="L146" s="94" t="str">
        <f>'Charts - Infrastructure'!L147</f>
        <v xml:space="preserve"> </v>
      </c>
      <c r="M146" s="94" t="str">
        <f>'Charts - Infrastructure'!M147</f>
        <v xml:space="preserve"> </v>
      </c>
      <c r="N146" s="94" t="str">
        <f>'Charts - Infrastructure'!N147</f>
        <v xml:space="preserve"> </v>
      </c>
      <c r="O146" s="94" t="str">
        <f>'Charts - Infrastructure'!O147</f>
        <v xml:space="preserve"> </v>
      </c>
      <c r="P146" s="94" t="str">
        <f>'Charts - Infrastructure'!P147</f>
        <v xml:space="preserve"> </v>
      </c>
      <c r="Q146" s="94" t="str">
        <f>'Charts - Infrastructure'!Q147</f>
        <v xml:space="preserve"> </v>
      </c>
      <c r="R146" s="94" t="str">
        <f>'Charts - Infrastructure'!R147</f>
        <v xml:space="preserve"> </v>
      </c>
      <c r="S146" s="94" t="str">
        <f>'Charts - Infrastructure'!S147</f>
        <v xml:space="preserve"> </v>
      </c>
      <c r="T146" s="94" t="str">
        <f>'Charts - Infrastructure'!T147</f>
        <v xml:space="preserve"> </v>
      </c>
      <c r="U146" s="94" t="str">
        <f>'Charts - Infrastructure'!U147</f>
        <v xml:space="preserve"> </v>
      </c>
      <c r="V146" s="94" t="str">
        <f>'Charts - Infrastructure'!V147</f>
        <v xml:space="preserve"> </v>
      </c>
      <c r="W146" s="94" t="str">
        <f>'Charts - Infrastructure'!W147</f>
        <v xml:space="preserve"> </v>
      </c>
      <c r="X146" s="94" t="str">
        <f>'Charts - Infrastructure'!X147</f>
        <v xml:space="preserve"> </v>
      </c>
      <c r="Y146" s="128" t="str">
        <f>'Charts - Infrastructure'!Y147</f>
        <v xml:space="preserve"> </v>
      </c>
      <c r="Z146" s="94" t="str">
        <f>'Charts - Infrastructure'!Z147</f>
        <v xml:space="preserve"> </v>
      </c>
      <c r="AA146" s="94" t="str">
        <f>'Charts - Infrastructure'!AA147</f>
        <v xml:space="preserve"> </v>
      </c>
      <c r="AB146" s="94" t="str">
        <f>'Charts - Infrastructure'!AB147</f>
        <v xml:space="preserve"> </v>
      </c>
      <c r="AC146" s="94" t="str">
        <f>'Charts - Infrastructure'!AC147</f>
        <v xml:space="preserve"> </v>
      </c>
      <c r="AD146" s="94" t="str">
        <f>'Charts - Infrastructure'!AD147</f>
        <v xml:space="preserve"> </v>
      </c>
      <c r="AE146" s="94" t="str">
        <f>'Charts - Infrastructure'!AE147</f>
        <v xml:space="preserve"> </v>
      </c>
      <c r="AF146" s="94" t="str">
        <f>'Charts - Infrastructure'!AF147</f>
        <v xml:space="preserve"> </v>
      </c>
      <c r="AG146" s="94" t="str">
        <f>'Charts - Infrastructure'!AG147</f>
        <v xml:space="preserve"> </v>
      </c>
      <c r="AH146" s="128">
        <f>'Charts - Infrastructure'!AH147</f>
        <v>1.9469174057293204E-2</v>
      </c>
    </row>
    <row r="147" spans="1:34" s="412" customFormat="1" ht="12" x14ac:dyDescent="0.15">
      <c r="A147" s="80"/>
      <c r="B147" s="80" t="s">
        <v>446</v>
      </c>
      <c r="C147" s="80"/>
      <c r="D147" s="80"/>
      <c r="E147" s="95">
        <f>'Charts - Infrastructure'!E148</f>
        <v>0.5</v>
      </c>
      <c r="F147" s="95">
        <f>'Charts - Infrastructure'!F148</f>
        <v>0.50607765897580193</v>
      </c>
      <c r="G147" s="95">
        <f>'Charts - Infrastructure'!G148</f>
        <v>0.51215531795160385</v>
      </c>
      <c r="H147" s="95">
        <f>'Charts - Infrastructure'!H148</f>
        <v>0.51782178217821773</v>
      </c>
      <c r="I147" s="95">
        <f>'Charts - Infrastructure'!I148</f>
        <v>0.52273684210526317</v>
      </c>
      <c r="J147" s="95">
        <f>'Charts - Infrastructure'!J148</f>
        <v>0.52782071097372496</v>
      </c>
      <c r="K147" s="95">
        <f>'Charts - Infrastructure'!K148</f>
        <v>0.53443552196504496</v>
      </c>
      <c r="L147" s="95">
        <f>'Charts - Infrastructure'!L148</f>
        <v>0.53941149212233563</v>
      </c>
      <c r="M147" s="95">
        <f>'Charts - Infrastructure'!M148</f>
        <v>0.54420190995907247</v>
      </c>
      <c r="N147" s="95">
        <f>'Charts - Infrastructure'!N148</f>
        <v>0.54881696428571436</v>
      </c>
      <c r="O147" s="95">
        <f>'Charts - Infrastructure'!O148</f>
        <v>0.55326611135466908</v>
      </c>
      <c r="P147" s="95">
        <f>'Charts - Infrastructure'!P148</f>
        <v>0.55755813953488387</v>
      </c>
      <c r="Q147" s="95">
        <f>'Charts - Infrastructure'!Q148</f>
        <v>0.56170122725349148</v>
      </c>
      <c r="R147" s="95">
        <f>'Charts - Infrastructure'!R148</f>
        <v>0.56570299500831955</v>
      </c>
      <c r="S147" s="95">
        <f>'Charts - Infrastructure'!S148</f>
        <v>0.5695705521472394</v>
      </c>
      <c r="T147" s="95">
        <f>'Charts - Infrastructure'!T148</f>
        <v>0.57331053901850371</v>
      </c>
      <c r="U147" s="95">
        <f>'Charts - Infrastructure'!U148</f>
        <v>0.57692916501780778</v>
      </c>
      <c r="V147" s="95">
        <f>'Charts - Infrastructure'!V148</f>
        <v>0.58043224299065443</v>
      </c>
      <c r="W147" s="95">
        <f>'Charts - Infrastructure'!W148</f>
        <v>0.58382522039095441</v>
      </c>
      <c r="X147" s="95">
        <f>'Charts - Infrastructure'!X148</f>
        <v>0.58711320754717</v>
      </c>
      <c r="Y147" s="95">
        <f>'Charts - Infrastructure'!Y148</f>
        <v>0.59030100334448166</v>
      </c>
      <c r="Z147" s="95">
        <f>'Charts - Infrastructure'!Z148</f>
        <v>0.59339311859443644</v>
      </c>
      <c r="AA147" s="95">
        <f>'Charts - Infrastructure'!AA148</f>
        <v>0.59639379733141007</v>
      </c>
      <c r="AB147" s="95">
        <f>'Charts - Infrastructure'!AB148</f>
        <v>0.59930703624733495</v>
      </c>
      <c r="AC147" s="95">
        <f>'Charts - Infrastructure'!AC148</f>
        <v>0.60213660245183898</v>
      </c>
      <c r="AD147" s="95">
        <f>'Charts - Infrastructure'!AD148</f>
        <v>0.60488604972375704</v>
      </c>
      <c r="AE147" s="95">
        <f>'Charts - Infrastructure'!AE148</f>
        <v>0.60755873340143018</v>
      </c>
      <c r="AF147" s="95">
        <f>'Charts - Infrastructure'!AF148</f>
        <v>0.61015782404298202</v>
      </c>
      <c r="AG147" s="95">
        <f>'Charts - Infrastructure'!AG148</f>
        <v>0.61268631997350131</v>
      </c>
      <c r="AH147" s="95">
        <f>'Charts - Infrastructure'!AH148</f>
        <v>0.6151470588235296</v>
      </c>
    </row>
    <row r="148" spans="1:34" s="412" customFormat="1" ht="12" x14ac:dyDescent="0.15">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row>
    <row r="149" spans="1:34" s="412" customFormat="1" ht="12" x14ac:dyDescent="0.15">
      <c r="A149" s="80"/>
      <c r="B149" s="90" t="s">
        <v>441</v>
      </c>
      <c r="C149" s="80"/>
      <c r="D149" s="80"/>
      <c r="E149" s="80" t="s">
        <v>305</v>
      </c>
      <c r="F149" s="80" t="s">
        <v>441</v>
      </c>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row>
    <row r="150" spans="1:34" s="412" customFormat="1" ht="12" x14ac:dyDescent="0.15">
      <c r="A150" s="80"/>
      <c r="B150" s="80"/>
      <c r="C150" s="80"/>
      <c r="D150" s="80"/>
      <c r="E150" s="93">
        <f>YEAR('Charts - Freight'!E$131)</f>
        <v>2010</v>
      </c>
      <c r="F150" s="93">
        <f>YEAR('Charts - Freight'!F$131)</f>
        <v>2011</v>
      </c>
      <c r="G150" s="93">
        <f>YEAR('Charts - Freight'!G$131)</f>
        <v>2012</v>
      </c>
      <c r="H150" s="93">
        <f>YEAR('Charts - Freight'!H$131)</f>
        <v>2013</v>
      </c>
      <c r="I150" s="93">
        <f>YEAR('Charts - Freight'!I$131)</f>
        <v>2014</v>
      </c>
      <c r="J150" s="93">
        <f>YEAR('Charts - Freight'!J$131)</f>
        <v>2015</v>
      </c>
      <c r="K150" s="93">
        <f>YEAR('Charts - Freight'!K$131)</f>
        <v>2016</v>
      </c>
      <c r="L150" s="93">
        <f>YEAR('Charts - Freight'!L$131)</f>
        <v>2017</v>
      </c>
      <c r="M150" s="93">
        <f>YEAR('Charts - Freight'!M$131)</f>
        <v>2018</v>
      </c>
      <c r="N150" s="93">
        <f>YEAR('Charts - Freight'!N$131)</f>
        <v>2019</v>
      </c>
      <c r="O150" s="93">
        <f>YEAR('Charts - Freight'!O$131)</f>
        <v>2020</v>
      </c>
      <c r="P150" s="93">
        <f>YEAR('Charts - Freight'!P$131)</f>
        <v>2021</v>
      </c>
      <c r="Q150" s="93">
        <f>YEAR('Charts - Freight'!Q$131)</f>
        <v>2022</v>
      </c>
      <c r="R150" s="93">
        <f>YEAR('Charts - Freight'!R$131)</f>
        <v>2023</v>
      </c>
      <c r="S150" s="93">
        <f>YEAR('Charts - Freight'!S$131)</f>
        <v>2024</v>
      </c>
      <c r="T150" s="93">
        <f>YEAR('Charts - Freight'!T$131)</f>
        <v>2025</v>
      </c>
      <c r="U150" s="93">
        <f>YEAR('Charts - Freight'!U$131)</f>
        <v>2026</v>
      </c>
      <c r="V150" s="93">
        <f>YEAR('Charts - Freight'!V$131)</f>
        <v>2027</v>
      </c>
      <c r="W150" s="93">
        <f>YEAR('Charts - Freight'!W$131)</f>
        <v>2028</v>
      </c>
      <c r="X150" s="93">
        <f>YEAR('Charts - Freight'!X$131)</f>
        <v>2029</v>
      </c>
      <c r="Y150" s="93">
        <f>YEAR('Charts - Freight'!Y$131)</f>
        <v>2030</v>
      </c>
      <c r="Z150" s="93">
        <f>YEAR('Charts - Freight'!Z$131)</f>
        <v>2031</v>
      </c>
      <c r="AA150" s="93">
        <f>YEAR('Charts - Freight'!AA$131)</f>
        <v>2032</v>
      </c>
      <c r="AB150" s="93">
        <f>YEAR('Charts - Freight'!AB$131)</f>
        <v>2033</v>
      </c>
      <c r="AC150" s="93">
        <f>YEAR('Charts - Freight'!AC$131)</f>
        <v>2034</v>
      </c>
      <c r="AD150" s="93">
        <f>YEAR('Charts - Freight'!AD$131)</f>
        <v>2035</v>
      </c>
      <c r="AE150" s="93">
        <f>YEAR('Charts - Freight'!AE$131)</f>
        <v>2036</v>
      </c>
      <c r="AF150" s="93">
        <f>YEAR('Charts - Freight'!AF$131)</f>
        <v>2037</v>
      </c>
      <c r="AG150" s="93">
        <f>YEAR('Charts - Freight'!AG$131)</f>
        <v>2038</v>
      </c>
      <c r="AH150" s="93">
        <f>YEAR('Charts - Freight'!AH$131)</f>
        <v>2039</v>
      </c>
    </row>
    <row r="151" spans="1:34" s="412" customFormat="1" ht="12" x14ac:dyDescent="0.15">
      <c r="A151" s="80"/>
      <c r="B151" s="80" t="str">
        <f>B144</f>
        <v>Total freight traffic</v>
      </c>
      <c r="C151" s="80"/>
      <c r="D151" s="80"/>
      <c r="E151" s="94">
        <f>IF(E132=1,IF(Calculations!E19=1,'Charts - Infrastructure'!E152,'Charts - Freight'!E244),0)</f>
        <v>65000</v>
      </c>
      <c r="F151" s="94">
        <f>IF(F132=1,IF(Calculations!F19=1,'Charts - Infrastructure'!F152,'Charts - Freight'!F244),0)</f>
        <v>64000</v>
      </c>
      <c r="G151" s="94">
        <f>IF(G132=1,IF(Calculations!G19=1,'Charts - Infrastructure'!G152,'Charts - Freight'!G244),0)</f>
        <v>64000</v>
      </c>
      <c r="H151" s="94">
        <f>IF(H132=1,IF(Calculations!H19=1,'Charts - Infrastructure'!H152,'Charts - Freight'!H244),0)</f>
        <v>64000</v>
      </c>
      <c r="I151" s="94">
        <f>IF(I132=1,IF(Calculations!I19=1,'Charts - Infrastructure'!I152,'Charts - Freight'!I244),0)</f>
        <v>64000</v>
      </c>
      <c r="J151" s="94">
        <f>IF(J132=1,IF(Calculations!J19=1,'Charts - Infrastructure'!J152,'Charts - Freight'!J244)," ")</f>
        <v>64000</v>
      </c>
      <c r="K151" s="94">
        <f>IF(K132=1,IF(Calculations!K19=1,'Charts - Infrastructure'!K152,'Charts - Freight'!K244)," ")</f>
        <v>72000</v>
      </c>
      <c r="L151" s="94">
        <f>IF(L132=1,IF(Calculations!L19=1,'Charts - Infrastructure'!L152,'Charts - Freight'!L244)," ")</f>
        <v>72000</v>
      </c>
      <c r="M151" s="94">
        <f>IF(M132=1,IF(Calculations!M19=1,'Charts - Infrastructure'!M152,'Charts - Freight'!M244)," ")</f>
        <v>72000</v>
      </c>
      <c r="N151" s="94">
        <f>IF(N132=1,IF(Calculations!N19=1,'Charts - Infrastructure'!N152,'Charts - Freight'!N244)," ")</f>
        <v>72000</v>
      </c>
      <c r="O151" s="94">
        <f>IF(O132=1,IF(Calculations!O19=1,'Charts - Infrastructure'!O152,'Charts - Freight'!O244)," ")</f>
        <v>72000</v>
      </c>
      <c r="P151" s="94">
        <f>IF(P132=1,IF(Calculations!P19=1,'Charts - Infrastructure'!P152,'Charts - Freight'!P244)," ")</f>
        <v>72000</v>
      </c>
      <c r="Q151" s="94">
        <f>IF(Q132=1,IF(Calculations!Q19=1,'Charts - Infrastructure'!Q152,'Charts - Freight'!Q244)," ")</f>
        <v>72000</v>
      </c>
      <c r="R151" s="94">
        <f>IF(R132=1,IF(Calculations!R19=1,'Charts - Infrastructure'!R152,'Charts - Freight'!R244)," ")</f>
        <v>72000</v>
      </c>
      <c r="S151" s="94">
        <f>IF(S132=1,IF(Calculations!S19=1,'Charts - Infrastructure'!S152,'Charts - Freight'!S244)," ")</f>
        <v>72000</v>
      </c>
      <c r="T151" s="94">
        <f>IF(T132=1,IF(Calculations!T19=1,'Charts - Infrastructure'!T152,'Charts - Freight'!T244)," ")</f>
        <v>72000</v>
      </c>
      <c r="U151" s="94">
        <f>IF(U132=1,IF(Calculations!U19=1,'Charts - Infrastructure'!U152,'Charts - Freight'!U244)," ")</f>
        <v>72000</v>
      </c>
      <c r="V151" s="94">
        <f>IF(V132=1,IF(Calculations!V19=1,'Charts - Infrastructure'!V152,'Charts - Freight'!V244)," ")</f>
        <v>72000</v>
      </c>
      <c r="W151" s="94">
        <f>IF(W132=1,IF(Calculations!W19=1,'Charts - Infrastructure'!W152,'Charts - Freight'!W244)," ")</f>
        <v>72000</v>
      </c>
      <c r="X151" s="94">
        <f>IF(X132=1,IF(Calculations!X19=1,'Charts - Infrastructure'!X152,'Charts - Freight'!X244)," ")</f>
        <v>72000</v>
      </c>
      <c r="Y151" s="94">
        <f>IF(Y132=1,IF(Calculations!Y19=1,'Charts - Infrastructure'!Y152,'Charts - Freight'!Y244)," ")</f>
        <v>72000</v>
      </c>
      <c r="Z151" s="94">
        <f>IF(Z132=1,IF(Calculations!Z19=1,'Charts - Infrastructure'!Z152,'Charts - Freight'!Z244)," ")</f>
        <v>72000</v>
      </c>
      <c r="AA151" s="94">
        <f>IF(AA132=1,IF(Calculations!AA19=1,'Charts - Infrastructure'!AA152,'Charts - Freight'!AA244)," ")</f>
        <v>72000</v>
      </c>
      <c r="AB151" s="94">
        <f>IF(AB132=1,IF(Calculations!AB19=1,'Charts - Infrastructure'!AB152,'Charts - Freight'!AB244)," ")</f>
        <v>72000</v>
      </c>
      <c r="AC151" s="94">
        <f>IF(AC132=1,IF(Calculations!AC19=1,'Charts - Infrastructure'!AC152,'Charts - Freight'!AC244)," ")</f>
        <v>72000</v>
      </c>
      <c r="AD151" s="94">
        <f>IF(AD132=1,IF(Calculations!AD19=1,'Charts - Infrastructure'!AD152,'Charts - Freight'!AD244)," ")</f>
        <v>72000</v>
      </c>
      <c r="AE151" s="94">
        <f>IF(AE132=1,IF(Calculations!AE19=1,'Charts - Infrastructure'!AE152,'Charts - Freight'!AE244)," ")</f>
        <v>72000</v>
      </c>
      <c r="AF151" s="94">
        <f>IF(AF132=1,IF(Calculations!AF19=1,'Charts - Infrastructure'!AF152,'Charts - Freight'!AF244)," ")</f>
        <v>72000</v>
      </c>
      <c r="AG151" s="94">
        <f>IF(AG132=1,IF(Calculations!AG19=1,'Charts - Infrastructure'!AG152,'Charts - Freight'!AG244)," ")</f>
        <v>72000</v>
      </c>
      <c r="AH151" s="94">
        <f>IF(AH132=1,IF(Calculations!AH19=1,'Charts - Infrastructure'!AH152,'Charts - Freight'!AH244)," ")</f>
        <v>72000</v>
      </c>
    </row>
    <row r="152" spans="1:34" s="412" customFormat="1" ht="12" x14ac:dyDescent="0.15">
      <c r="A152" s="80"/>
      <c r="B152" s="80" t="str">
        <f>B145</f>
        <v>Total passenger traffic</v>
      </c>
      <c r="C152" s="80"/>
      <c r="D152" s="80"/>
      <c r="E152" s="94">
        <f>IF(E132=1,IF(Calculations!E19=1,'Charts - Infrastructure'!E153,'Charts - Passenger'!E230),0)</f>
        <v>48000</v>
      </c>
      <c r="F152" s="94">
        <f>IF(F132=1,IF(Calculations!F19=1,'Charts - Infrastructure'!F153,'Charts - Passenger'!F230),0)</f>
        <v>51000</v>
      </c>
      <c r="G152" s="94">
        <f>IF(G132=1,IF(Calculations!G19=1,'Charts - Infrastructure'!G153,'Charts - Passenger'!G230),0)</f>
        <v>51000</v>
      </c>
      <c r="H152" s="94">
        <f>IF(H132=1,IF(Calculations!H19=1,'Charts - Infrastructure'!H153,'Charts - Passenger'!H230),0)</f>
        <v>54000</v>
      </c>
      <c r="I152" s="94">
        <f>IF(I132=1,IF(Calculations!I19=1,'Charts - Infrastructure'!I153,'Charts - Passenger'!I230),0)</f>
        <v>60000</v>
      </c>
      <c r="J152" s="94">
        <f>IF(J132=1,IF(Calculations!J19=1,'Charts - Infrastructure'!J153,'Charts - Passenger'!J230)," ")</f>
        <v>63000</v>
      </c>
      <c r="K152" s="94">
        <f>IF(K132=1,IF(Calculations!K19=1,'Charts - Infrastructure'!K153,'Charts - Passenger'!K230)," ")</f>
        <v>66000</v>
      </c>
      <c r="L152" s="94">
        <f>IF(L132=1,IF(Calculations!L19=1,'Charts - Infrastructure'!L153,'Charts - Passenger'!L230)," ")</f>
        <v>69000</v>
      </c>
      <c r="M152" s="94">
        <f>IF(M132=1,IF(Calculations!M19=1,'Charts - Infrastructure'!M153,'Charts - Passenger'!M230)," ")</f>
        <v>72000</v>
      </c>
      <c r="N152" s="94">
        <f>IF(N132=1,IF(Calculations!N19=1,'Charts - Infrastructure'!N153,'Charts - Passenger'!N230)," ")</f>
        <v>75000</v>
      </c>
      <c r="O152" s="94">
        <f>IF(O132=1,IF(Calculations!O19=1,'Charts - Infrastructure'!O153,'Charts - Passenger'!O230)," ")</f>
        <v>78000</v>
      </c>
      <c r="P152" s="94">
        <f>IF(P132=1,IF(Calculations!P19=1,'Charts - Infrastructure'!P153,'Charts - Passenger'!P230)," ")</f>
        <v>81000</v>
      </c>
      <c r="Q152" s="94">
        <f>IF(Q132=1,IF(Calculations!Q19=1,'Charts - Infrastructure'!Q153,'Charts - Passenger'!Q230)," ")</f>
        <v>84000</v>
      </c>
      <c r="R152" s="94">
        <f>IF(R132=1,IF(Calculations!R19=1,'Charts - Infrastructure'!R153,'Charts - Passenger'!R230)," ")</f>
        <v>87000</v>
      </c>
      <c r="S152" s="94">
        <f>IF(S132=1,IF(Calculations!S19=1,'Charts - Infrastructure'!S153,'Charts - Passenger'!S230)," ")</f>
        <v>90000</v>
      </c>
      <c r="T152" s="94">
        <f>IF(T132=1,IF(Calculations!T19=1,'Charts - Infrastructure'!T153,'Charts - Passenger'!T230)," ")</f>
        <v>93000</v>
      </c>
      <c r="U152" s="94">
        <f>IF(U132=1,IF(Calculations!U19=1,'Charts - Infrastructure'!U153,'Charts - Passenger'!U230)," ")</f>
        <v>96000</v>
      </c>
      <c r="V152" s="94">
        <f>IF(V132=1,IF(Calculations!V19=1,'Charts - Infrastructure'!V153,'Charts - Passenger'!V230)," ")</f>
        <v>99000</v>
      </c>
      <c r="W152" s="94">
        <f>IF(W132=1,IF(Calculations!W19=1,'Charts - Infrastructure'!W153,'Charts - Passenger'!W230)," ")</f>
        <v>102000</v>
      </c>
      <c r="X152" s="94">
        <f>IF(X132=1,IF(Calculations!X19=1,'Charts - Infrastructure'!X153,'Charts - Passenger'!X230)," ")</f>
        <v>105000</v>
      </c>
      <c r="Y152" s="94">
        <f>IF(Y132=1,IF(Calculations!Y19=1,'Charts - Infrastructure'!Y153,'Charts - Passenger'!Y230)," ")</f>
        <v>108000</v>
      </c>
      <c r="Z152" s="94">
        <f>IF(Z132=1,IF(Calculations!Z19=1,'Charts - Infrastructure'!Z153,'Charts - Passenger'!Z230)," ")</f>
        <v>111000</v>
      </c>
      <c r="AA152" s="94">
        <f>IF(AA132=1,IF(Calculations!AA19=1,'Charts - Infrastructure'!AA153,'Charts - Passenger'!AA230)," ")</f>
        <v>114000</v>
      </c>
      <c r="AB152" s="94">
        <f>IF(AB132=1,IF(Calculations!AB19=1,'Charts - Infrastructure'!AB153,'Charts - Passenger'!AB230)," ")</f>
        <v>117000</v>
      </c>
      <c r="AC152" s="94">
        <f>IF(AC132=1,IF(Calculations!AC19=1,'Charts - Infrastructure'!AC153,'Charts - Passenger'!AC230)," ")</f>
        <v>120000</v>
      </c>
      <c r="AD152" s="94">
        <f>IF(AD132=1,IF(Calculations!AD19=1,'Charts - Infrastructure'!AD153,'Charts - Passenger'!AD230)," ")</f>
        <v>123000</v>
      </c>
      <c r="AE152" s="94">
        <f>IF(AE132=1,IF(Calculations!AE19=1,'Charts - Infrastructure'!AE153,'Charts - Passenger'!AE230)," ")</f>
        <v>126000</v>
      </c>
      <c r="AF152" s="94">
        <f>IF(AF132=1,IF(Calculations!AF19=1,'Charts - Infrastructure'!AF153,'Charts - Passenger'!AF230)," ")</f>
        <v>129000</v>
      </c>
      <c r="AG152" s="94">
        <f>IF(AG132=1,IF(Calculations!AG19=1,'Charts - Infrastructure'!AG153,'Charts - Passenger'!AG230)," ")</f>
        <v>132000</v>
      </c>
      <c r="AH152" s="94">
        <f>IF(AH132=1,IF(Calculations!AH19=1,'Charts - Infrastructure'!AH153,'Charts - Passenger'!AH230)," ")</f>
        <v>135000</v>
      </c>
    </row>
    <row r="153" spans="1:34" s="412" customFormat="1" ht="12" x14ac:dyDescent="0.15">
      <c r="A153" s="80"/>
      <c r="B153" s="80" t="s">
        <v>297</v>
      </c>
      <c r="C153" s="80"/>
      <c r="D153" s="80"/>
      <c r="E153" s="128" t="str">
        <f>IF(E132=1,IF(($E150+SUM($F$132:$AH$132))=E150,(SUM(E151:E152)/SUM($E151:$E152))^(1/SUM($F$132:$AH$132))-1," "),0)</f>
        <v xml:space="preserve"> </v>
      </c>
      <c r="F153" s="128" t="str">
        <f t="shared" ref="F153:AH153" si="4">IF(F132=1,IF(($E150+SUM($F$132:$AH$132))=F150,(SUM(F151:F152)/SUM($E151:$E152))^(1/SUM($F$132:$AH$132))-1," ")," ")</f>
        <v xml:space="preserve"> </v>
      </c>
      <c r="G153" s="128" t="str">
        <f t="shared" si="4"/>
        <v xml:space="preserve"> </v>
      </c>
      <c r="H153" s="128" t="str">
        <f t="shared" si="4"/>
        <v xml:space="preserve"> </v>
      </c>
      <c r="I153" s="128" t="str">
        <f t="shared" si="4"/>
        <v xml:space="preserve"> </v>
      </c>
      <c r="J153" s="128" t="str">
        <f t="shared" si="4"/>
        <v xml:space="preserve"> </v>
      </c>
      <c r="K153" s="128" t="str">
        <f t="shared" si="4"/>
        <v xml:space="preserve"> </v>
      </c>
      <c r="L153" s="128" t="str">
        <f t="shared" si="4"/>
        <v xml:space="preserve"> </v>
      </c>
      <c r="M153" s="128" t="str">
        <f t="shared" si="4"/>
        <v xml:space="preserve"> </v>
      </c>
      <c r="N153" s="128" t="str">
        <f t="shared" si="4"/>
        <v xml:space="preserve"> </v>
      </c>
      <c r="O153" s="128" t="str">
        <f t="shared" si="4"/>
        <v xml:space="preserve"> </v>
      </c>
      <c r="P153" s="128" t="str">
        <f t="shared" si="4"/>
        <v xml:space="preserve"> </v>
      </c>
      <c r="Q153" s="128" t="str">
        <f t="shared" si="4"/>
        <v xml:space="preserve"> </v>
      </c>
      <c r="R153" s="128" t="str">
        <f t="shared" si="4"/>
        <v xml:space="preserve"> </v>
      </c>
      <c r="S153" s="128" t="str">
        <f t="shared" si="4"/>
        <v xml:space="preserve"> </v>
      </c>
      <c r="T153" s="128" t="str">
        <f t="shared" si="4"/>
        <v xml:space="preserve"> </v>
      </c>
      <c r="U153" s="128" t="str">
        <f t="shared" si="4"/>
        <v xml:space="preserve"> </v>
      </c>
      <c r="V153" s="128" t="str">
        <f t="shared" si="4"/>
        <v xml:space="preserve"> </v>
      </c>
      <c r="W153" s="128" t="str">
        <f t="shared" si="4"/>
        <v xml:space="preserve"> </v>
      </c>
      <c r="X153" s="128" t="str">
        <f t="shared" si="4"/>
        <v xml:space="preserve"> </v>
      </c>
      <c r="Y153" s="128" t="str">
        <f t="shared" si="4"/>
        <v xml:space="preserve"> </v>
      </c>
      <c r="Z153" s="128" t="str">
        <f t="shared" si="4"/>
        <v xml:space="preserve"> </v>
      </c>
      <c r="AA153" s="128" t="str">
        <f t="shared" si="4"/>
        <v xml:space="preserve"> </v>
      </c>
      <c r="AB153" s="128" t="str">
        <f t="shared" si="4"/>
        <v xml:space="preserve"> </v>
      </c>
      <c r="AC153" s="128" t="str">
        <f t="shared" si="4"/>
        <v xml:space="preserve"> </v>
      </c>
      <c r="AD153" s="128" t="str">
        <f t="shared" si="4"/>
        <v xml:space="preserve"> </v>
      </c>
      <c r="AE153" s="128" t="str">
        <f t="shared" si="4"/>
        <v xml:space="preserve"> </v>
      </c>
      <c r="AF153" s="128" t="str">
        <f t="shared" si="4"/>
        <v xml:space="preserve"> </v>
      </c>
      <c r="AG153" s="128" t="str">
        <f t="shared" si="4"/>
        <v xml:space="preserve"> </v>
      </c>
      <c r="AH153" s="128">
        <f t="shared" si="4"/>
        <v>2.1092856717537467E-2</v>
      </c>
    </row>
    <row r="154" spans="1:34" s="412" customFormat="1" ht="12" x14ac:dyDescent="0.15">
      <c r="A154" s="80"/>
      <c r="B154" s="80"/>
      <c r="C154" s="80"/>
      <c r="D154" s="80"/>
      <c r="E154" s="80"/>
      <c r="F154" s="80"/>
      <c r="G154" s="80"/>
      <c r="H154" s="80"/>
      <c r="I154" s="80"/>
      <c r="J154" s="80"/>
      <c r="K154" s="80"/>
      <c r="L154" s="80"/>
      <c r="M154" s="80"/>
      <c r="N154" s="80"/>
      <c r="O154" s="80"/>
      <c r="P154" s="80"/>
      <c r="Q154" s="80"/>
      <c r="R154" s="80"/>
      <c r="S154" s="80"/>
      <c r="T154" s="80"/>
      <c r="U154" s="80"/>
      <c r="V154" s="80"/>
      <c r="W154" s="80"/>
      <c r="X154" s="80"/>
      <c r="Y154" s="80"/>
      <c r="Z154" s="80"/>
      <c r="AA154" s="80"/>
      <c r="AB154" s="80"/>
      <c r="AC154" s="80"/>
      <c r="AD154" s="80"/>
      <c r="AE154" s="80"/>
      <c r="AF154" s="80"/>
      <c r="AG154" s="80"/>
      <c r="AH154" s="80"/>
    </row>
    <row r="155" spans="1:34" s="412" customFormat="1" ht="12" x14ac:dyDescent="0.15">
      <c r="A155" s="80"/>
      <c r="B155" s="90" t="str">
        <f>"Tariffs"&amp; " (" &amp; 'Assumptions - Freight'!D62&amp;")"</f>
        <v>Tariffs (Years)</v>
      </c>
      <c r="C155" s="80"/>
      <c r="D155" s="80"/>
      <c r="E155" s="80" t="s">
        <v>305</v>
      </c>
      <c r="F155" s="80" t="s">
        <v>451</v>
      </c>
      <c r="G155" s="80" t="s">
        <v>308</v>
      </c>
      <c r="H155" s="80" t="s">
        <v>456</v>
      </c>
      <c r="I155" s="80"/>
      <c r="J155" s="80"/>
      <c r="K155" s="80"/>
      <c r="L155" s="80"/>
      <c r="M155" s="80"/>
      <c r="N155" s="80"/>
      <c r="O155" s="80"/>
      <c r="P155" s="80"/>
      <c r="Q155" s="80"/>
      <c r="R155" s="80"/>
      <c r="S155" s="80"/>
      <c r="T155" s="80"/>
      <c r="U155" s="80"/>
      <c r="V155" s="80"/>
      <c r="W155" s="80"/>
      <c r="X155" s="80"/>
      <c r="Y155" s="80"/>
      <c r="Z155" s="80"/>
      <c r="AA155" s="80"/>
      <c r="AB155" s="80"/>
      <c r="AC155" s="80"/>
      <c r="AD155" s="80"/>
      <c r="AE155" s="80"/>
      <c r="AF155" s="80"/>
      <c r="AG155" s="80"/>
      <c r="AH155" s="80"/>
    </row>
    <row r="156" spans="1:34" s="412" customFormat="1" ht="12" x14ac:dyDescent="0.15">
      <c r="A156" s="80"/>
      <c r="B156" s="80"/>
      <c r="C156" s="80"/>
      <c r="D156" s="80"/>
      <c r="E156" s="93">
        <f>YEAR('Charts - Freight'!E$131)</f>
        <v>2010</v>
      </c>
      <c r="F156" s="93">
        <f>YEAR('Charts - Freight'!F$131)</f>
        <v>2011</v>
      </c>
      <c r="G156" s="93">
        <f>YEAR('Charts - Freight'!G$131)</f>
        <v>2012</v>
      </c>
      <c r="H156" s="93">
        <f>YEAR('Charts - Freight'!H$131)</f>
        <v>2013</v>
      </c>
      <c r="I156" s="93">
        <f>YEAR('Charts - Freight'!I$131)</f>
        <v>2014</v>
      </c>
      <c r="J156" s="93">
        <f>YEAR('Charts - Freight'!J$131)</f>
        <v>2015</v>
      </c>
      <c r="K156" s="93">
        <f>YEAR('Charts - Freight'!K$131)</f>
        <v>2016</v>
      </c>
      <c r="L156" s="93">
        <f>YEAR('Charts - Freight'!L$131)</f>
        <v>2017</v>
      </c>
      <c r="M156" s="93">
        <f>YEAR('Charts - Freight'!M$131)</f>
        <v>2018</v>
      </c>
      <c r="N156" s="93">
        <f>YEAR('Charts - Freight'!N$131)</f>
        <v>2019</v>
      </c>
      <c r="O156" s="93">
        <f>YEAR('Charts - Freight'!O$131)</f>
        <v>2020</v>
      </c>
      <c r="P156" s="93">
        <f>YEAR('Charts - Freight'!P$131)</f>
        <v>2021</v>
      </c>
      <c r="Q156" s="93">
        <f>YEAR('Charts - Freight'!Q$131)</f>
        <v>2022</v>
      </c>
      <c r="R156" s="93">
        <f>YEAR('Charts - Freight'!R$131)</f>
        <v>2023</v>
      </c>
      <c r="S156" s="93">
        <f>YEAR('Charts - Freight'!S$131)</f>
        <v>2024</v>
      </c>
      <c r="T156" s="93">
        <f>YEAR('Charts - Freight'!T$131)</f>
        <v>2025</v>
      </c>
      <c r="U156" s="93">
        <f>YEAR('Charts - Freight'!U$131)</f>
        <v>2026</v>
      </c>
      <c r="V156" s="93">
        <f>YEAR('Charts - Freight'!V$131)</f>
        <v>2027</v>
      </c>
      <c r="W156" s="93">
        <f>YEAR('Charts - Freight'!W$131)</f>
        <v>2028</v>
      </c>
      <c r="X156" s="93">
        <f>YEAR('Charts - Freight'!X$131)</f>
        <v>2029</v>
      </c>
      <c r="Y156" s="93">
        <f>YEAR('Charts - Freight'!Y$131)</f>
        <v>2030</v>
      </c>
      <c r="Z156" s="93">
        <f>YEAR('Charts - Freight'!Z$131)</f>
        <v>2031</v>
      </c>
      <c r="AA156" s="93">
        <f>YEAR('Charts - Freight'!AA$131)</f>
        <v>2032</v>
      </c>
      <c r="AB156" s="93">
        <f>YEAR('Charts - Freight'!AB$131)</f>
        <v>2033</v>
      </c>
      <c r="AC156" s="93">
        <f>YEAR('Charts - Freight'!AC$131)</f>
        <v>2034</v>
      </c>
      <c r="AD156" s="93">
        <f>YEAR('Charts - Freight'!AD$131)</f>
        <v>2035</v>
      </c>
      <c r="AE156" s="93">
        <f>YEAR('Charts - Freight'!AE$131)</f>
        <v>2036</v>
      </c>
      <c r="AF156" s="93">
        <f>YEAR('Charts - Freight'!AF$131)</f>
        <v>2037</v>
      </c>
      <c r="AG156" s="93">
        <f>YEAR('Charts - Freight'!AG$131)</f>
        <v>2038</v>
      </c>
      <c r="AH156" s="93">
        <f>YEAR('Charts - Freight'!AH$131)</f>
        <v>2039</v>
      </c>
    </row>
    <row r="157" spans="1:34" s="412" customFormat="1" ht="12" x14ac:dyDescent="0.15">
      <c r="A157" s="80"/>
      <c r="B157" s="80" t="str">
        <f>"Average freight tariff ("&amp;'Assumptions - Freight'!D146&amp;")"</f>
        <v>Average freight tariff (R$/Ton-km)</v>
      </c>
      <c r="C157" s="80"/>
      <c r="D157" s="80"/>
      <c r="E157" s="96">
        <f>IF(AND(E132=1,SUM('Charts - Freight'!E173:E182)&lt;&gt;0),AVERAGE('Charts - Freight'!E173:E182),0)</f>
        <v>1</v>
      </c>
      <c r="F157" s="96">
        <f>IF(AND(F132=1,SUM('Charts - Freight'!F173:F182)&lt;&gt;0),AVERAGE('Charts - Freight'!F173:F182),0)</f>
        <v>1.0275400000000001</v>
      </c>
      <c r="G157" s="96">
        <f>IF(AND(G132=1,SUM('Charts - Freight'!G173:G182)&lt;&gt;0),AVERAGE('Charts - Freight'!G173:G182),0)</f>
        <v>1.055871676</v>
      </c>
      <c r="H157" s="96">
        <f>IF(AND(H132=1,SUM('Charts - Freight'!H173:H182)&lt;&gt;0),AVERAGE('Charts - Freight'!H173:H182),0)</f>
        <v>1.0850181755805999</v>
      </c>
      <c r="I157" s="96">
        <f>IF(AND(I132=1,SUM('Charts - Freight'!I173:I182)&lt;&gt;0),AVERAGE('Charts - Freight'!I173:I182),0)</f>
        <v>1.1150033277727467</v>
      </c>
      <c r="J157" s="96">
        <f>IF(AND(J132=1,SUM('Charts - Freight'!J173:J182)&lt;&gt;0),AVERAGE('Charts - Freight'!J173:J182)," ")</f>
        <v>1.1458516631805886</v>
      </c>
      <c r="K157" s="96">
        <f>IF(AND(K132=1,SUM('Charts - Freight'!K173:K182)&lt;&gt;0),AVERAGE('Charts - Freight'!K173:K182)," ")</f>
        <v>1.1775884346995309</v>
      </c>
      <c r="L157" s="96">
        <f>IF(AND(L132=1,SUM('Charts - Freight'!L173:L182)&lt;&gt;0),AVERAGE('Charts - Freight'!L173:L182)," ")</f>
        <v>1.2102396388471006</v>
      </c>
      <c r="M157" s="96">
        <f>IF(AND(M132=1,SUM('Charts - Freight'!M173:M182)&lt;&gt;0),AVERAGE('Charts - Freight'!M173:M182)," ")</f>
        <v>1.2438320377247867</v>
      </c>
      <c r="N157" s="96">
        <f>IF(AND(N132=1,SUM('Charts - Freight'!N173:N182)&lt;&gt;0),AVERAGE('Charts - Freight'!N173:N182)," ")</f>
        <v>1.2783931816295215</v>
      </c>
      <c r="O157" s="96">
        <f>IF(AND(O132=1,SUM('Charts - Freight'!O173:O182)&lt;&gt;0),AVERAGE('Charts - Freight'!O173:O182)," ")</f>
        <v>1.3139514323340535</v>
      </c>
      <c r="P157" s="96">
        <f>IF(AND(P132=1,SUM('Charts - Freight'!P173:P182)&lt;&gt;0),AVERAGE('Charts - Freight'!P173:P182)," ")</f>
        <v>1.3505359870560134</v>
      </c>
      <c r="Q157" s="96">
        <f>IF(AND(Q132=1,SUM('Charts - Freight'!Q173:Q182)&lt;&gt;0),AVERAGE('Charts - Freight'!Q173:Q182)," ")</f>
        <v>1.3881769031360731</v>
      </c>
      <c r="R157" s="96">
        <f>IF(AND(R132=1,SUM('Charts - Freight'!R173:R182)&lt;&gt;0),AVERAGE('Charts - Freight'!R173:R182)," ")</f>
        <v>1.4269051234461909</v>
      </c>
      <c r="S157" s="96">
        <f>IF(AND(S132=1,SUM('Charts - Freight'!S173:S182)&lt;&gt;0),AVERAGE('Charts - Freight'!S173:S182)," ")</f>
        <v>1.4667525025495696</v>
      </c>
      <c r="T157" s="96">
        <f>IF(AND(T132=1,SUM('Charts - Freight'!T173:T182)&lt;&gt;0),AVERAGE('Charts - Freight'!T173:T182)," ")</f>
        <v>1.507751833634593</v>
      </c>
      <c r="U157" s="96">
        <f>IF(AND(U132=1,SUM('Charts - Freight'!U173:U182)&lt;&gt;0),AVERAGE('Charts - Freight'!U173:U182)," ")</f>
        <v>1.5499368762456542</v>
      </c>
      <c r="V157" s="96">
        <f>IF(AND(V132=1,SUM('Charts - Freight'!V173:V182)&lt;&gt;0),AVERAGE('Charts - Freight'!V173:V182)," ")</f>
        <v>1.5933423848344901</v>
      </c>
      <c r="W157" s="96">
        <f>IF(AND(W132=1,SUM('Charts - Freight'!W173:W182)&lt;&gt;0),AVERAGE('Charts - Freight'!W173:W182)," ")</f>
        <v>1.63800413815631</v>
      </c>
      <c r="X157" s="96">
        <f>IF(AND(X132=1,SUM('Charts - Freight'!X173:X182)&lt;&gt;0),AVERAGE('Charts - Freight'!X173:X182)," ")</f>
        <v>1.6839589695357571</v>
      </c>
      <c r="Y157" s="96">
        <f>IF(AND(Y132=1,SUM('Charts - Freight'!Y173:Y182)&lt;&gt;0),AVERAGE('Charts - Freight'!Y173:Y182)," ")</f>
        <v>1.7312447980284524</v>
      </c>
      <c r="Z157" s="96">
        <f>IF(AND(Z132=1,SUM('Charts - Freight'!Z173:Z182)&lt;&gt;0),AVERAGE('Charts - Freight'!Z173:Z182)," ")</f>
        <v>1.7799006605046537</v>
      </c>
      <c r="AA157" s="96">
        <f>IF(AND(AA132=1,SUM('Charts - Freight'!AA173:AA182)&lt;&gt;0),AVERAGE('Charts - Freight'!AA173:AA182)," ")</f>
        <v>1.829966744682352</v>
      </c>
      <c r="AB157" s="96">
        <f>IF(AND(AB132=1,SUM('Charts - Freight'!AB173:AB182)&lt;&gt;0),AVERAGE('Charts - Freight'!AB173:AB182)," ")</f>
        <v>1.8814844231379113</v>
      </c>
      <c r="AC157" s="96">
        <f>IF(AND(AC132=1,SUM('Charts - Freight'!AC173:AC182)&lt;&gt;0),AVERAGE('Charts - Freight'!AC173:AC182)," ")</f>
        <v>1.93449628832323</v>
      </c>
      <c r="AD157" s="96">
        <f>IF(AND(AD132=1,SUM('Charts - Freight'!AD173:AD182)&lt;&gt;0),AVERAGE('Charts - Freight'!AD173:AD182)," ")</f>
        <v>1.9890461886192246</v>
      </c>
      <c r="AE157" s="96">
        <f>IF(AND(AE132=1,SUM('Charts - Freight'!AE173:AE182)&lt;&gt;0),AVERAGE('Charts - Freight'!AE173:AE182)," ")</f>
        <v>2.0451792654563441</v>
      </c>
      <c r="AF157" s="96">
        <f>IF(AND(AF132=1,SUM('Charts - Freight'!AF173:AF182)&lt;&gt;0),AVERAGE('Charts - Freight'!AF173:AF182)," ")</f>
        <v>2.1029419915337182</v>
      </c>
      <c r="AG157" s="96">
        <f>IF(AND(AG132=1,SUM('Charts - Freight'!AG173:AG182)&lt;&gt;0),AVERAGE('Charts - Freight'!AG173:AG182)," ")</f>
        <v>2.1623822101695009</v>
      </c>
      <c r="AH157" s="96">
        <f>IF(AND(AH132=1,SUM('Charts - Freight'!AH173:AH182)&lt;&gt;0),AVERAGE('Charts - Freight'!AH173:AH182)," ")</f>
        <v>2.2235491758159021</v>
      </c>
    </row>
    <row r="158" spans="1:34" s="412" customFormat="1" ht="12" x14ac:dyDescent="0.15">
      <c r="A158" s="80"/>
      <c r="B158" s="80" t="str">
        <f>"Average passenger tariff ("&amp;'Assumptions - Passenger'!D137&amp;")"</f>
        <v>Average passenger tariff (R$/Passenger-km)</v>
      </c>
      <c r="C158" s="80"/>
      <c r="D158" s="80"/>
      <c r="E158" s="96">
        <f>IF(AND(E132=1,SUM('Charts - Passenger'!E167:E169)&lt;&gt;0),AVERAGE('Charts - Passenger'!E167:E169),0)</f>
        <v>1</v>
      </c>
      <c r="F158" s="96">
        <f>IF(AND(F132=1,SUM('Charts - Passenger'!F167:F169)&lt;&gt;0),AVERAGE('Charts - Passenger'!F167:F169),0)</f>
        <v>1.03</v>
      </c>
      <c r="G158" s="96">
        <f>IF(AND(G132=1,SUM('Charts - Passenger'!G167:G169)&lt;&gt;0),AVERAGE('Charts - Passenger'!G167:G169),0)</f>
        <v>1.0609</v>
      </c>
      <c r="H158" s="96">
        <f>IF(AND(H132=1,SUM('Charts - Passenger'!H167:H169)&lt;&gt;0),AVERAGE('Charts - Passenger'!H167:H169),0)</f>
        <v>1.092727</v>
      </c>
      <c r="I158" s="96">
        <f>IF(AND(I132=1,SUM('Charts - Passenger'!I167:I169)&lt;&gt;0),AVERAGE('Charts - Passenger'!I167:I169),0)</f>
        <v>1.1255088100000001</v>
      </c>
      <c r="J158" s="96">
        <f>IF(AND(J132=1,SUM('Charts - Passenger'!J167:J169)&lt;&gt;0),AVERAGE('Charts - Passenger'!J167:J169)," ")</f>
        <v>1.1592740743000001</v>
      </c>
      <c r="K158" s="96">
        <f>IF(AND(K132=1,SUM('Charts - Passenger'!K167:K169)&lt;&gt;0),AVERAGE('Charts - Passenger'!K167:K169)," ")</f>
        <v>1.1940522965290001</v>
      </c>
      <c r="L158" s="96">
        <f>IF(AND(L132=1,SUM('Charts - Passenger'!L167:L169)&lt;&gt;0),AVERAGE('Charts - Passenger'!L167:L169)," ")</f>
        <v>1.2298738654248702</v>
      </c>
      <c r="M158" s="96">
        <f>IF(AND(M132=1,SUM('Charts - Passenger'!M167:M169)&lt;&gt;0),AVERAGE('Charts - Passenger'!M167:M169)," ")</f>
        <v>1.2667700813876164</v>
      </c>
      <c r="N158" s="96">
        <f>IF(AND(N132=1,SUM('Charts - Passenger'!N167:N169)&lt;&gt;0),AVERAGE('Charts - Passenger'!N167:N169)," ")</f>
        <v>1.3047731838292449</v>
      </c>
      <c r="O158" s="96">
        <f>IF(AND(O132=1,SUM('Charts - Passenger'!O167:O169)&lt;&gt;0),AVERAGE('Charts - Passenger'!O167:O169)," ")</f>
        <v>1.3439163793441222</v>
      </c>
      <c r="P158" s="96">
        <f>IF(AND(P132=1,SUM('Charts - Passenger'!P167:P169)&lt;&gt;0),AVERAGE('Charts - Passenger'!P167:P169)," ")</f>
        <v>1.3842338707244461</v>
      </c>
      <c r="Q158" s="96">
        <f>IF(AND(Q132=1,SUM('Charts - Passenger'!Q167:Q169)&lt;&gt;0),AVERAGE('Charts - Passenger'!Q167:Q169)," ")</f>
        <v>1.4257608868461793</v>
      </c>
      <c r="R158" s="96">
        <f>IF(AND(R132=1,SUM('Charts - Passenger'!R167:R169)&lt;&gt;0),AVERAGE('Charts - Passenger'!R167:R169)," ")</f>
        <v>1.4685337134515646</v>
      </c>
      <c r="S158" s="96">
        <f>IF(AND(S132=1,SUM('Charts - Passenger'!S167:S169)&lt;&gt;0),AVERAGE('Charts - Passenger'!S167:S169)," ")</f>
        <v>1.5125897248551119</v>
      </c>
      <c r="T158" s="96">
        <f>IF(AND(T132=1,SUM('Charts - Passenger'!T167:T169)&lt;&gt;0),AVERAGE('Charts - Passenger'!T167:T169)," ")</f>
        <v>1.5579674166007653</v>
      </c>
      <c r="U158" s="96">
        <f>IF(AND(U132=1,SUM('Charts - Passenger'!U167:U169)&lt;&gt;0),AVERAGE('Charts - Passenger'!U167:U169)," ")</f>
        <v>1.6047064390987884</v>
      </c>
      <c r="V158" s="96">
        <f>IF(AND(V132=1,SUM('Charts - Passenger'!V167:V169)&lt;&gt;0),AVERAGE('Charts - Passenger'!V167:V169)," ")</f>
        <v>1.652847632271752</v>
      </c>
      <c r="W158" s="96">
        <f>IF(AND(W132=1,SUM('Charts - Passenger'!W167:W169)&lt;&gt;0),AVERAGE('Charts - Passenger'!W167:W169)," ")</f>
        <v>1.7024330612399046</v>
      </c>
      <c r="X158" s="96">
        <f>IF(AND(X132=1,SUM('Charts - Passenger'!X167:X169)&lt;&gt;0),AVERAGE('Charts - Passenger'!X167:X169)," ")</f>
        <v>1.7535060530771018</v>
      </c>
      <c r="Y158" s="96">
        <f>IF(AND(Y132=1,SUM('Charts - Passenger'!Y167:Y169)&lt;&gt;0),AVERAGE('Charts - Passenger'!Y167:Y169)," ")</f>
        <v>1.806111234669415</v>
      </c>
      <c r="Z158" s="96">
        <f>IF(AND(Z132=1,SUM('Charts - Passenger'!Z167:Z169)&lt;&gt;0),AVERAGE('Charts - Passenger'!Z167:Z169)," ")</f>
        <v>1.8602945717094979</v>
      </c>
      <c r="AA158" s="96">
        <f>IF(AND(AA132=1,SUM('Charts - Passenger'!AA167:AA169)&lt;&gt;0),AVERAGE('Charts - Passenger'!AA167:AA169)," ")</f>
        <v>1.9161034088607825</v>
      </c>
      <c r="AB158" s="96">
        <f>IF(AND(AB132=1,SUM('Charts - Passenger'!AB167:AB169)&lt;&gt;0),AVERAGE('Charts - Passenger'!AB167:AB169)," ")</f>
        <v>1.9735865111266062</v>
      </c>
      <c r="AC158" s="96">
        <f>IF(AND(AC132=1,SUM('Charts - Passenger'!AC167:AC169)&lt;&gt;0),AVERAGE('Charts - Passenger'!AC167:AC169)," ")</f>
        <v>2.0327941064604045</v>
      </c>
      <c r="AD158" s="96">
        <f>IF(AND(AD132=1,SUM('Charts - Passenger'!AD167:AD169)&lt;&gt;0),AVERAGE('Charts - Passenger'!AD167:AD169)," ")</f>
        <v>2.0937779296542165</v>
      </c>
      <c r="AE158" s="96">
        <f>IF(AND(AE132=1,SUM('Charts - Passenger'!AE167:AE169)&lt;&gt;0),AVERAGE('Charts - Passenger'!AE167:AE169)," ")</f>
        <v>2.1565912675438432</v>
      </c>
      <c r="AF158" s="96">
        <f>IF(AND(AF132=1,SUM('Charts - Passenger'!AF167:AF169)&lt;&gt;0),AVERAGE('Charts - Passenger'!AF167:AF169)," ")</f>
        <v>2.2212890055701586</v>
      </c>
      <c r="AG158" s="96">
        <f>IF(AND(AG132=1,SUM('Charts - Passenger'!AG167:AG169)&lt;&gt;0),AVERAGE('Charts - Passenger'!AG167:AG169)," ")</f>
        <v>2.2879276757372633</v>
      </c>
      <c r="AH158" s="96">
        <f>IF(AND(AH132=1,SUM('Charts - Passenger'!AH167:AH169)&lt;&gt;0),AVERAGE('Charts - Passenger'!AH167:AH169)," ")</f>
        <v>2.3565655060093813</v>
      </c>
    </row>
    <row r="159" spans="1:34" s="412" customFormat="1" ht="12" x14ac:dyDescent="0.15">
      <c r="A159" s="80"/>
      <c r="B159" s="80" t="s">
        <v>297</v>
      </c>
      <c r="C159" s="80"/>
      <c r="D159" s="80"/>
      <c r="E159" s="128" t="str">
        <f>IF(E132=1,IF(($E156+SUM($F$132:$AH$132))=E156,(SUM(E157:E158)/SUM($E157:$E158))^(1/SUM($F$132:$AH$132))-1," "),0)</f>
        <v xml:space="preserve"> </v>
      </c>
      <c r="F159" s="128" t="str">
        <f t="shared" ref="F159:AH159" si="5">IF(($E156+SUM($F$132:$AH$132))=F156,(SUM(F157:F158)/SUM($E157:$E158))^(1/SUM($F$132:$AH$132))-1," ")</f>
        <v xml:space="preserve"> </v>
      </c>
      <c r="G159" s="128" t="str">
        <f t="shared" si="5"/>
        <v xml:space="preserve"> </v>
      </c>
      <c r="H159" s="128" t="str">
        <f t="shared" si="5"/>
        <v xml:space="preserve"> </v>
      </c>
      <c r="I159" s="128" t="str">
        <f t="shared" si="5"/>
        <v xml:space="preserve"> </v>
      </c>
      <c r="J159" s="128" t="str">
        <f t="shared" si="5"/>
        <v xml:space="preserve"> </v>
      </c>
      <c r="K159" s="128" t="str">
        <f t="shared" si="5"/>
        <v xml:space="preserve"> </v>
      </c>
      <c r="L159" s="128" t="str">
        <f t="shared" si="5"/>
        <v xml:space="preserve"> </v>
      </c>
      <c r="M159" s="128" t="str">
        <f t="shared" si="5"/>
        <v xml:space="preserve"> </v>
      </c>
      <c r="N159" s="128" t="str">
        <f t="shared" si="5"/>
        <v xml:space="preserve"> </v>
      </c>
      <c r="O159" s="128" t="str">
        <f t="shared" si="5"/>
        <v xml:space="preserve"> </v>
      </c>
      <c r="P159" s="128" t="str">
        <f t="shared" si="5"/>
        <v xml:space="preserve"> </v>
      </c>
      <c r="Q159" s="128" t="str">
        <f t="shared" si="5"/>
        <v xml:space="preserve"> </v>
      </c>
      <c r="R159" s="128" t="str">
        <f t="shared" si="5"/>
        <v xml:space="preserve"> </v>
      </c>
      <c r="S159" s="128" t="str">
        <f t="shared" si="5"/>
        <v xml:space="preserve"> </v>
      </c>
      <c r="T159" s="128" t="str">
        <f t="shared" si="5"/>
        <v xml:space="preserve"> </v>
      </c>
      <c r="U159" s="128" t="str">
        <f t="shared" si="5"/>
        <v xml:space="preserve"> </v>
      </c>
      <c r="V159" s="128" t="str">
        <f t="shared" si="5"/>
        <v xml:space="preserve"> </v>
      </c>
      <c r="W159" s="128" t="str">
        <f t="shared" si="5"/>
        <v xml:space="preserve"> </v>
      </c>
      <c r="X159" s="128" t="str">
        <f t="shared" si="5"/>
        <v xml:space="preserve"> </v>
      </c>
      <c r="Y159" s="128" t="str">
        <f t="shared" si="5"/>
        <v xml:space="preserve"> </v>
      </c>
      <c r="Z159" s="128" t="str">
        <f t="shared" si="5"/>
        <v xml:space="preserve"> </v>
      </c>
      <c r="AA159" s="128" t="str">
        <f t="shared" si="5"/>
        <v xml:space="preserve"> </v>
      </c>
      <c r="AB159" s="128" t="str">
        <f t="shared" si="5"/>
        <v xml:space="preserve"> </v>
      </c>
      <c r="AC159" s="128" t="str">
        <f t="shared" si="5"/>
        <v xml:space="preserve"> </v>
      </c>
      <c r="AD159" s="128" t="str">
        <f t="shared" si="5"/>
        <v xml:space="preserve"> </v>
      </c>
      <c r="AE159" s="128" t="str">
        <f t="shared" si="5"/>
        <v xml:space="preserve"> </v>
      </c>
      <c r="AF159" s="128" t="str">
        <f t="shared" si="5"/>
        <v xml:space="preserve"> </v>
      </c>
      <c r="AG159" s="128" t="str">
        <f t="shared" si="5"/>
        <v xml:space="preserve"> </v>
      </c>
      <c r="AH159" s="128">
        <f t="shared" si="5"/>
        <v>2.8983699642425531E-2</v>
      </c>
    </row>
    <row r="160" spans="1:34" s="412" customFormat="1" ht="12" x14ac:dyDescent="0.15">
      <c r="A160" s="80"/>
      <c r="B160" s="80"/>
      <c r="C160" s="80"/>
      <c r="D160" s="80"/>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row>
    <row r="161" spans="1:34" s="412" customFormat="1" ht="12" x14ac:dyDescent="0.15">
      <c r="A161" s="80"/>
      <c r="B161" s="90" t="str">
        <f>'Charts - Infrastructure'!B158</f>
        <v>Track access charge (R$ per traffic unit)</v>
      </c>
      <c r="C161" s="80"/>
      <c r="D161" s="80"/>
      <c r="E161" s="80" t="s">
        <v>305</v>
      </c>
      <c r="F161" s="80" t="str">
        <f>'Charts - Infrastructure'!F158</f>
        <v>R$</v>
      </c>
      <c r="G161" s="80" t="str">
        <f>'Charts - Infrastructure'!G158</f>
        <v>Chart label</v>
      </c>
      <c r="H161" s="80" t="str">
        <f>"Track access charge ("&amp;F161&amp;")"</f>
        <v>Track access charge (R$)</v>
      </c>
      <c r="I161" s="80"/>
      <c r="J161" s="80"/>
      <c r="K161" s="80"/>
      <c r="L161" s="80"/>
      <c r="M161" s="80"/>
      <c r="N161" s="80"/>
      <c r="O161" s="80"/>
      <c r="P161" s="80"/>
      <c r="Q161" s="80"/>
      <c r="R161" s="80"/>
      <c r="S161" s="80"/>
      <c r="T161" s="80"/>
      <c r="U161" s="80"/>
      <c r="V161" s="80"/>
      <c r="W161" s="80"/>
      <c r="X161" s="80"/>
      <c r="Y161" s="80"/>
      <c r="Z161" s="80"/>
      <c r="AA161" s="80"/>
      <c r="AB161" s="80"/>
      <c r="AC161" s="80"/>
      <c r="AD161" s="80"/>
      <c r="AE161" s="80"/>
      <c r="AF161" s="80"/>
      <c r="AG161" s="80"/>
      <c r="AH161" s="80"/>
    </row>
    <row r="162" spans="1:34" s="412" customFormat="1" ht="12" x14ac:dyDescent="0.15">
      <c r="A162" s="80"/>
      <c r="B162" s="90"/>
      <c r="C162" s="80"/>
      <c r="D162" s="80"/>
      <c r="E162" s="80"/>
      <c r="F162" s="80"/>
      <c r="G162" s="80"/>
      <c r="H162" s="80"/>
      <c r="I162" s="80"/>
      <c r="J162" s="80"/>
      <c r="K162" s="80"/>
      <c r="L162" s="80"/>
      <c r="M162" s="80"/>
      <c r="N162" s="80"/>
      <c r="O162" s="80"/>
      <c r="P162" s="80"/>
      <c r="Q162" s="80"/>
      <c r="R162" s="80"/>
      <c r="S162" s="80"/>
      <c r="T162" s="80"/>
      <c r="U162" s="80"/>
      <c r="V162" s="80"/>
      <c r="W162" s="80"/>
      <c r="X162" s="80"/>
      <c r="Y162" s="80"/>
      <c r="Z162" s="80"/>
      <c r="AA162" s="80"/>
      <c r="AB162" s="80"/>
      <c r="AC162" s="80"/>
      <c r="AD162" s="80"/>
      <c r="AE162" s="80"/>
      <c r="AF162" s="80"/>
      <c r="AG162" s="80"/>
      <c r="AH162" s="80"/>
    </row>
    <row r="163" spans="1:34" s="412" customFormat="1" ht="12" x14ac:dyDescent="0.15">
      <c r="A163" s="80"/>
      <c r="B163" s="80"/>
      <c r="C163" s="80"/>
      <c r="D163" s="80"/>
      <c r="E163" s="93">
        <f>YEAR(E$131)</f>
        <v>2010</v>
      </c>
      <c r="F163" s="93">
        <f>YEAR(F$131)</f>
        <v>2011</v>
      </c>
      <c r="G163" s="93">
        <f>YEAR(G$131)</f>
        <v>2012</v>
      </c>
      <c r="H163" s="93">
        <f>YEAR(H$131)</f>
        <v>2013</v>
      </c>
      <c r="I163" s="93">
        <f>YEAR('Charts - Freight'!I$131)</f>
        <v>2014</v>
      </c>
      <c r="J163" s="93">
        <f>YEAR('Charts - Freight'!J$131)</f>
        <v>2015</v>
      </c>
      <c r="K163" s="93">
        <f>YEAR('Charts - Freight'!K$131)</f>
        <v>2016</v>
      </c>
      <c r="L163" s="93">
        <f>YEAR('Charts - Freight'!L$131)</f>
        <v>2017</v>
      </c>
      <c r="M163" s="93">
        <f>YEAR('Charts - Freight'!M$131)</f>
        <v>2018</v>
      </c>
      <c r="N163" s="93">
        <f>YEAR('Charts - Freight'!N$131)</f>
        <v>2019</v>
      </c>
      <c r="O163" s="93">
        <f>YEAR('Charts - Freight'!O$131)</f>
        <v>2020</v>
      </c>
      <c r="P163" s="93">
        <f>YEAR('Charts - Freight'!P$131)</f>
        <v>2021</v>
      </c>
      <c r="Q163" s="93">
        <f>YEAR('Charts - Freight'!Q$131)</f>
        <v>2022</v>
      </c>
      <c r="R163" s="93">
        <f>YEAR('Charts - Freight'!R$131)</f>
        <v>2023</v>
      </c>
      <c r="S163" s="93">
        <f>YEAR('Charts - Freight'!S$131)</f>
        <v>2024</v>
      </c>
      <c r="T163" s="93">
        <f>YEAR('Charts - Freight'!T$131)</f>
        <v>2025</v>
      </c>
      <c r="U163" s="93">
        <f>YEAR('Charts - Freight'!U$131)</f>
        <v>2026</v>
      </c>
      <c r="V163" s="93">
        <f>YEAR('Charts - Freight'!V$131)</f>
        <v>2027</v>
      </c>
      <c r="W163" s="93">
        <f>YEAR('Charts - Freight'!W$131)</f>
        <v>2028</v>
      </c>
      <c r="X163" s="93">
        <f>YEAR('Charts - Freight'!X$131)</f>
        <v>2029</v>
      </c>
      <c r="Y163" s="93">
        <f>YEAR('Charts - Freight'!Y$131)</f>
        <v>2030</v>
      </c>
      <c r="Z163" s="93">
        <f>YEAR('Charts - Freight'!Z$131)</f>
        <v>2031</v>
      </c>
      <c r="AA163" s="93">
        <f>YEAR('Charts - Freight'!AA$131)</f>
        <v>2032</v>
      </c>
      <c r="AB163" s="93">
        <f>YEAR('Charts - Freight'!AB$131)</f>
        <v>2033</v>
      </c>
      <c r="AC163" s="93">
        <f>YEAR('Charts - Freight'!AC$131)</f>
        <v>2034</v>
      </c>
      <c r="AD163" s="93">
        <f>YEAR('Charts - Freight'!AD$131)</f>
        <v>2035</v>
      </c>
      <c r="AE163" s="93">
        <f>YEAR('Charts - Freight'!AE$131)</f>
        <v>2036</v>
      </c>
      <c r="AF163" s="93">
        <f>YEAR('Charts - Freight'!AF$131)</f>
        <v>2037</v>
      </c>
      <c r="AG163" s="93">
        <f>YEAR('Charts - Freight'!AG$131)</f>
        <v>2038</v>
      </c>
      <c r="AH163" s="93">
        <f>YEAR('Charts - Freight'!AH$131)</f>
        <v>2039</v>
      </c>
    </row>
    <row r="164" spans="1:34" s="412" customFormat="1" ht="12" x14ac:dyDescent="0.15">
      <c r="A164" s="80"/>
      <c r="B164" s="98" t="str">
        <f>'Charts - Infrastructure'!B160</f>
        <v>Freight (R$/GTK)</v>
      </c>
      <c r="C164" s="98"/>
      <c r="D164" s="98"/>
      <c r="E164" s="98">
        <f>'Charts - Infrastructure'!E160</f>
        <v>0.25</v>
      </c>
      <c r="F164" s="98">
        <f>'Charts - Infrastructure'!F160</f>
        <v>0.25750000000000001</v>
      </c>
      <c r="G164" s="98">
        <f>'Charts - Infrastructure'!G160</f>
        <v>0.26522499999999999</v>
      </c>
      <c r="H164" s="98">
        <f>'Charts - Infrastructure'!H160</f>
        <v>0.27318175</v>
      </c>
      <c r="I164" s="98">
        <f>'Charts - Infrastructure'!I160</f>
        <v>0.28137720250000003</v>
      </c>
      <c r="J164" s="98">
        <f>'Charts - Infrastructure'!J160</f>
        <v>0.28981851857500002</v>
      </c>
      <c r="K164" s="98">
        <f>'Charts - Infrastructure'!K160</f>
        <v>0.29851307413225003</v>
      </c>
      <c r="L164" s="98">
        <f>'Charts - Infrastructure'!L160</f>
        <v>0.30746846635621755</v>
      </c>
      <c r="M164" s="98">
        <f>'Charts - Infrastructure'!M160</f>
        <v>0.31669252034690409</v>
      </c>
      <c r="N164" s="98">
        <f>'Charts - Infrastructure'!N160</f>
        <v>0.32619329595731122</v>
      </c>
      <c r="O164" s="98">
        <f>'Charts - Infrastructure'!O160</f>
        <v>0.33597909483603056</v>
      </c>
      <c r="P164" s="98">
        <f>'Charts - Infrastructure'!P160</f>
        <v>0.34605846768111148</v>
      </c>
      <c r="Q164" s="98">
        <f>'Charts - Infrastructure'!Q160</f>
        <v>0.35644022171154482</v>
      </c>
      <c r="R164" s="98">
        <f>'Charts - Infrastructure'!R160</f>
        <v>0.3671334283628912</v>
      </c>
      <c r="S164" s="98">
        <f>'Charts - Infrastructure'!S160</f>
        <v>0.37814743121377797</v>
      </c>
      <c r="T164" s="98">
        <f>'Charts - Infrastructure'!T160</f>
        <v>0.38949185415019133</v>
      </c>
      <c r="U164" s="98">
        <f>'Charts - Infrastructure'!U160</f>
        <v>0.4011766097746971</v>
      </c>
      <c r="V164" s="98">
        <f>'Charts - Infrastructure'!V160</f>
        <v>0.41321190806793801</v>
      </c>
      <c r="W164" s="98">
        <f>'Charts - Infrastructure'!W160</f>
        <v>0.42560826530997614</v>
      </c>
      <c r="X164" s="98">
        <f>'Charts - Infrastructure'!X160</f>
        <v>0.43837651326927546</v>
      </c>
      <c r="Y164" s="98">
        <f>'Charts - Infrastructure'!Y160</f>
        <v>0.45152780866735376</v>
      </c>
      <c r="Z164" s="98">
        <f>'Charts - Infrastructure'!Z160</f>
        <v>0.46507364292737441</v>
      </c>
      <c r="AA164" s="98">
        <f>'Charts - Infrastructure'!AA160</f>
        <v>0.47902585221519567</v>
      </c>
      <c r="AB164" s="98">
        <f>'Charts - Infrastructure'!AB160</f>
        <v>0.49339662778165155</v>
      </c>
      <c r="AC164" s="98">
        <f>'Charts - Infrastructure'!AC160</f>
        <v>0.50819852661510112</v>
      </c>
      <c r="AD164" s="98">
        <f>'Charts - Infrastructure'!AD160</f>
        <v>0.52344448241355412</v>
      </c>
      <c r="AE164" s="98">
        <f>'Charts - Infrastructure'!AE160</f>
        <v>0.53914781688596081</v>
      </c>
      <c r="AF164" s="98">
        <f>'Charts - Infrastructure'!AF160</f>
        <v>0.55532225139253966</v>
      </c>
      <c r="AG164" s="98">
        <f>'Charts - Infrastructure'!AG160</f>
        <v>0.57198191893431582</v>
      </c>
      <c r="AH164" s="98">
        <f>'Charts - Infrastructure'!AH160</f>
        <v>0.58914137650234533</v>
      </c>
    </row>
    <row r="165" spans="1:34" s="412" customFormat="1" ht="12" x14ac:dyDescent="0.15">
      <c r="A165" s="80"/>
      <c r="B165" s="98" t="str">
        <f>'Charts - Infrastructure'!B161</f>
        <v>Freight (R$/Train-km)</v>
      </c>
      <c r="C165" s="98"/>
      <c r="D165" s="98"/>
      <c r="E165" s="98">
        <f>'Charts - Infrastructure'!E161</f>
        <v>0.25</v>
      </c>
      <c r="F165" s="98">
        <f>'Charts - Infrastructure'!F161</f>
        <v>0.25750000000000001</v>
      </c>
      <c r="G165" s="98">
        <f>'Charts - Infrastructure'!G161</f>
        <v>0.26522499999999999</v>
      </c>
      <c r="H165" s="98">
        <f>'Charts - Infrastructure'!H161</f>
        <v>0.27318175</v>
      </c>
      <c r="I165" s="98">
        <f>'Charts - Infrastructure'!I161</f>
        <v>0.28137720250000003</v>
      </c>
      <c r="J165" s="98">
        <f>'Charts - Infrastructure'!J161</f>
        <v>0.28981851857500002</v>
      </c>
      <c r="K165" s="98">
        <f>'Charts - Infrastructure'!K161</f>
        <v>0.29851307413225003</v>
      </c>
      <c r="L165" s="98">
        <f>'Charts - Infrastructure'!L161</f>
        <v>0.30746846635621755</v>
      </c>
      <c r="M165" s="98">
        <f>'Charts - Infrastructure'!M161</f>
        <v>0.31669252034690409</v>
      </c>
      <c r="N165" s="98">
        <f>'Charts - Infrastructure'!N161</f>
        <v>0.32619329595731122</v>
      </c>
      <c r="O165" s="98">
        <f>'Charts - Infrastructure'!O161</f>
        <v>0.33597909483603056</v>
      </c>
      <c r="P165" s="98">
        <f>'Charts - Infrastructure'!P161</f>
        <v>0.34605846768111148</v>
      </c>
      <c r="Q165" s="98">
        <f>'Charts - Infrastructure'!Q161</f>
        <v>0.35644022171154482</v>
      </c>
      <c r="R165" s="98">
        <f>'Charts - Infrastructure'!R161</f>
        <v>0.3671334283628912</v>
      </c>
      <c r="S165" s="98">
        <f>'Charts - Infrastructure'!S161</f>
        <v>0.37814743121377797</v>
      </c>
      <c r="T165" s="98">
        <f>'Charts - Infrastructure'!T161</f>
        <v>0.38949185415019133</v>
      </c>
      <c r="U165" s="98">
        <f>'Charts - Infrastructure'!U161</f>
        <v>0.4011766097746971</v>
      </c>
      <c r="V165" s="98">
        <f>'Charts - Infrastructure'!V161</f>
        <v>0.41321190806793801</v>
      </c>
      <c r="W165" s="98">
        <f>'Charts - Infrastructure'!W161</f>
        <v>0.42560826530997614</v>
      </c>
      <c r="X165" s="98">
        <f>'Charts - Infrastructure'!X161</f>
        <v>0.43837651326927546</v>
      </c>
      <c r="Y165" s="98">
        <f>'Charts - Infrastructure'!Y161</f>
        <v>0.45152780866735376</v>
      </c>
      <c r="Z165" s="98">
        <f>'Charts - Infrastructure'!Z161</f>
        <v>0.46507364292737441</v>
      </c>
      <c r="AA165" s="98">
        <f>'Charts - Infrastructure'!AA161</f>
        <v>0.47902585221519567</v>
      </c>
      <c r="AB165" s="98">
        <f>'Charts - Infrastructure'!AB161</f>
        <v>0.49339662778165155</v>
      </c>
      <c r="AC165" s="98">
        <f>'Charts - Infrastructure'!AC161</f>
        <v>0.50819852661510112</v>
      </c>
      <c r="AD165" s="98">
        <f>'Charts - Infrastructure'!AD161</f>
        <v>0.52344448241355412</v>
      </c>
      <c r="AE165" s="98">
        <f>'Charts - Infrastructure'!AE161</f>
        <v>0.53914781688596081</v>
      </c>
      <c r="AF165" s="98">
        <f>'Charts - Infrastructure'!AF161</f>
        <v>0.55532225139253966</v>
      </c>
      <c r="AG165" s="98">
        <f>'Charts - Infrastructure'!AG161</f>
        <v>0.57198191893431582</v>
      </c>
      <c r="AH165" s="98">
        <f>'Charts - Infrastructure'!AH161</f>
        <v>0.58914137650234533</v>
      </c>
    </row>
    <row r="166" spans="1:34" s="412" customFormat="1" ht="12" x14ac:dyDescent="0.15">
      <c r="A166" s="80"/>
      <c r="B166" s="98" t="str">
        <f>'Charts - Infrastructure'!B162</f>
        <v>Passenger (R$/GTK)</v>
      </c>
      <c r="C166" s="98"/>
      <c r="D166" s="98"/>
      <c r="E166" s="98">
        <f>'Charts - Infrastructure'!E162</f>
        <v>0.25</v>
      </c>
      <c r="F166" s="98">
        <f>'Charts - Infrastructure'!F162</f>
        <v>0.25750000000000001</v>
      </c>
      <c r="G166" s="98">
        <f>'Charts - Infrastructure'!G162</f>
        <v>0.26522499999999999</v>
      </c>
      <c r="H166" s="98">
        <f>'Charts - Infrastructure'!H162</f>
        <v>0.27318175</v>
      </c>
      <c r="I166" s="98">
        <f>'Charts - Infrastructure'!I162</f>
        <v>0.28137720250000003</v>
      </c>
      <c r="J166" s="98">
        <f>'Charts - Infrastructure'!J162</f>
        <v>0.28981851857500002</v>
      </c>
      <c r="K166" s="98">
        <f>'Charts - Infrastructure'!K162</f>
        <v>0.29851307413225003</v>
      </c>
      <c r="L166" s="98">
        <f>'Charts - Infrastructure'!L162</f>
        <v>0.30746846635621755</v>
      </c>
      <c r="M166" s="98">
        <f>'Charts - Infrastructure'!M162</f>
        <v>0.31669252034690409</v>
      </c>
      <c r="N166" s="98">
        <f>'Charts - Infrastructure'!N162</f>
        <v>0.32619329595731122</v>
      </c>
      <c r="O166" s="98">
        <f>'Charts - Infrastructure'!O162</f>
        <v>0.33597909483603056</v>
      </c>
      <c r="P166" s="98">
        <f>'Charts - Infrastructure'!P162</f>
        <v>0.34605846768111148</v>
      </c>
      <c r="Q166" s="98">
        <f>'Charts - Infrastructure'!Q162</f>
        <v>0.35644022171154482</v>
      </c>
      <c r="R166" s="98">
        <f>'Charts - Infrastructure'!R162</f>
        <v>0.3671334283628912</v>
      </c>
      <c r="S166" s="98">
        <f>'Charts - Infrastructure'!S162</f>
        <v>0.37814743121377797</v>
      </c>
      <c r="T166" s="98">
        <f>'Charts - Infrastructure'!T162</f>
        <v>0.38949185415019133</v>
      </c>
      <c r="U166" s="98">
        <f>'Charts - Infrastructure'!U162</f>
        <v>0.4011766097746971</v>
      </c>
      <c r="V166" s="98">
        <f>'Charts - Infrastructure'!V162</f>
        <v>0.41321190806793801</v>
      </c>
      <c r="W166" s="98">
        <f>'Charts - Infrastructure'!W162</f>
        <v>0.42560826530997614</v>
      </c>
      <c r="X166" s="98">
        <f>'Charts - Infrastructure'!X162</f>
        <v>0.43837651326927546</v>
      </c>
      <c r="Y166" s="98">
        <f>'Charts - Infrastructure'!Y162</f>
        <v>0.45152780866735376</v>
      </c>
      <c r="Z166" s="98">
        <f>'Charts - Infrastructure'!Z162</f>
        <v>0.46507364292737441</v>
      </c>
      <c r="AA166" s="98">
        <f>'Charts - Infrastructure'!AA162</f>
        <v>0.47902585221519567</v>
      </c>
      <c r="AB166" s="98">
        <f>'Charts - Infrastructure'!AB162</f>
        <v>0.49339662778165155</v>
      </c>
      <c r="AC166" s="98">
        <f>'Charts - Infrastructure'!AC162</f>
        <v>0.50819852661510112</v>
      </c>
      <c r="AD166" s="98">
        <f>'Charts - Infrastructure'!AD162</f>
        <v>0.52344448241355412</v>
      </c>
      <c r="AE166" s="98">
        <f>'Charts - Infrastructure'!AE162</f>
        <v>0.53914781688596081</v>
      </c>
      <c r="AF166" s="98">
        <f>'Charts - Infrastructure'!AF162</f>
        <v>0.55532225139253966</v>
      </c>
      <c r="AG166" s="98">
        <f>'Charts - Infrastructure'!AG162</f>
        <v>0.57198191893431582</v>
      </c>
      <c r="AH166" s="98">
        <f>'Charts - Infrastructure'!AH162</f>
        <v>0.58914137650234533</v>
      </c>
    </row>
    <row r="167" spans="1:34" s="412" customFormat="1" ht="12" x14ac:dyDescent="0.15">
      <c r="A167" s="80"/>
      <c r="B167" s="98" t="str">
        <f>'Charts - Infrastructure'!B163</f>
        <v>Passenger (R$/Train-km)</v>
      </c>
      <c r="C167" s="98"/>
      <c r="D167" s="98"/>
      <c r="E167" s="98">
        <f>'Charts - Infrastructure'!E163</f>
        <v>0.25</v>
      </c>
      <c r="F167" s="98">
        <f>'Charts - Infrastructure'!F163</f>
        <v>0.25750000000000001</v>
      </c>
      <c r="G167" s="98">
        <f>'Charts - Infrastructure'!G163</f>
        <v>0.26522499999999999</v>
      </c>
      <c r="H167" s="98">
        <f>'Charts - Infrastructure'!H163</f>
        <v>0.27318175</v>
      </c>
      <c r="I167" s="98">
        <f>'Charts - Infrastructure'!I163</f>
        <v>0.28137720250000003</v>
      </c>
      <c r="J167" s="98">
        <f>'Charts - Infrastructure'!J163</f>
        <v>0.28981851857500002</v>
      </c>
      <c r="K167" s="98">
        <f>'Charts - Infrastructure'!K163</f>
        <v>0.29851307413225003</v>
      </c>
      <c r="L167" s="98">
        <f>'Charts - Infrastructure'!L163</f>
        <v>0.30746846635621755</v>
      </c>
      <c r="M167" s="98">
        <f>'Charts - Infrastructure'!M163</f>
        <v>0.31669252034690409</v>
      </c>
      <c r="N167" s="98">
        <f>'Charts - Infrastructure'!N163</f>
        <v>0.32619329595731122</v>
      </c>
      <c r="O167" s="98">
        <f>'Charts - Infrastructure'!O163</f>
        <v>0.33597909483603056</v>
      </c>
      <c r="P167" s="98">
        <f>'Charts - Infrastructure'!P163</f>
        <v>0.34605846768111148</v>
      </c>
      <c r="Q167" s="98">
        <f>'Charts - Infrastructure'!Q163</f>
        <v>0.35644022171154482</v>
      </c>
      <c r="R167" s="98">
        <f>'Charts - Infrastructure'!R163</f>
        <v>0.3671334283628912</v>
      </c>
      <c r="S167" s="98">
        <f>'Charts - Infrastructure'!S163</f>
        <v>0.37814743121377797</v>
      </c>
      <c r="T167" s="98">
        <f>'Charts - Infrastructure'!T163</f>
        <v>0.38949185415019133</v>
      </c>
      <c r="U167" s="98">
        <f>'Charts - Infrastructure'!U163</f>
        <v>0.4011766097746971</v>
      </c>
      <c r="V167" s="98">
        <f>'Charts - Infrastructure'!V163</f>
        <v>0.41321190806793801</v>
      </c>
      <c r="W167" s="98">
        <f>'Charts - Infrastructure'!W163</f>
        <v>0.42560826530997614</v>
      </c>
      <c r="X167" s="98">
        <f>'Charts - Infrastructure'!X163</f>
        <v>0.43837651326927546</v>
      </c>
      <c r="Y167" s="98">
        <f>'Charts - Infrastructure'!Y163</f>
        <v>0.45152780866735376</v>
      </c>
      <c r="Z167" s="98">
        <f>'Charts - Infrastructure'!Z163</f>
        <v>0.46507364292737441</v>
      </c>
      <c r="AA167" s="98">
        <f>'Charts - Infrastructure'!AA163</f>
        <v>0.47902585221519567</v>
      </c>
      <c r="AB167" s="98">
        <f>'Charts - Infrastructure'!AB163</f>
        <v>0.49339662778165155</v>
      </c>
      <c r="AC167" s="98">
        <f>'Charts - Infrastructure'!AC163</f>
        <v>0.50819852661510112</v>
      </c>
      <c r="AD167" s="98">
        <f>'Charts - Infrastructure'!AD163</f>
        <v>0.52344448241355412</v>
      </c>
      <c r="AE167" s="98">
        <f>'Charts - Infrastructure'!AE163</f>
        <v>0.53914781688596081</v>
      </c>
      <c r="AF167" s="98">
        <f>'Charts - Infrastructure'!AF163</f>
        <v>0.55532225139253966</v>
      </c>
      <c r="AG167" s="98">
        <f>'Charts - Infrastructure'!AG163</f>
        <v>0.57198191893431582</v>
      </c>
      <c r="AH167" s="98">
        <f>'Charts - Infrastructure'!AH163</f>
        <v>0.58914137650234533</v>
      </c>
    </row>
    <row r="168" spans="1:34" s="412" customFormat="1" ht="12" x14ac:dyDescent="0.15">
      <c r="A168" s="80"/>
      <c r="B168" s="98" t="str">
        <f>'Charts - Infrastructure'!B164</f>
        <v>CAGR</v>
      </c>
      <c r="C168" s="128"/>
      <c r="D168" s="128"/>
      <c r="E168" s="128" t="str">
        <f>'Charts - Infrastructure'!E164</f>
        <v xml:space="preserve"> </v>
      </c>
      <c r="F168" s="128" t="str">
        <f>'Charts - Infrastructure'!F164</f>
        <v xml:space="preserve"> </v>
      </c>
      <c r="G168" s="128" t="str">
        <f>'Charts - Infrastructure'!G164</f>
        <v xml:space="preserve"> </v>
      </c>
      <c r="H168" s="128" t="str">
        <f>'Charts - Infrastructure'!H164</f>
        <v xml:space="preserve"> </v>
      </c>
      <c r="I168" s="128" t="str">
        <f>'Charts - Infrastructure'!I164</f>
        <v xml:space="preserve"> </v>
      </c>
      <c r="J168" s="128" t="str">
        <f>'Charts - Infrastructure'!J164</f>
        <v xml:space="preserve"> </v>
      </c>
      <c r="K168" s="128" t="str">
        <f>'Charts - Infrastructure'!K164</f>
        <v xml:space="preserve"> </v>
      </c>
      <c r="L168" s="128" t="str">
        <f>'Charts - Infrastructure'!L164</f>
        <v xml:space="preserve"> </v>
      </c>
      <c r="M168" s="128" t="str">
        <f>'Charts - Infrastructure'!M164</f>
        <v xml:space="preserve"> </v>
      </c>
      <c r="N168" s="128" t="str">
        <f>'Charts - Infrastructure'!N164</f>
        <v xml:space="preserve"> </v>
      </c>
      <c r="O168" s="128" t="str">
        <f>'Charts - Infrastructure'!O164</f>
        <v xml:space="preserve"> </v>
      </c>
      <c r="P168" s="128" t="str">
        <f>'Charts - Infrastructure'!P164</f>
        <v xml:space="preserve"> </v>
      </c>
      <c r="Q168" s="128" t="str">
        <f>'Charts - Infrastructure'!Q164</f>
        <v xml:space="preserve"> </v>
      </c>
      <c r="R168" s="128" t="str">
        <f>'Charts - Infrastructure'!R164</f>
        <v xml:space="preserve"> </v>
      </c>
      <c r="S168" s="128" t="str">
        <f>'Charts - Infrastructure'!S164</f>
        <v xml:space="preserve"> </v>
      </c>
      <c r="T168" s="128" t="str">
        <f>'Charts - Infrastructure'!T164</f>
        <v xml:space="preserve"> </v>
      </c>
      <c r="U168" s="128" t="str">
        <f>'Charts - Infrastructure'!U164</f>
        <v xml:space="preserve"> </v>
      </c>
      <c r="V168" s="128" t="str">
        <f>'Charts - Infrastructure'!V164</f>
        <v xml:space="preserve"> </v>
      </c>
      <c r="W168" s="128" t="str">
        <f>'Charts - Infrastructure'!W164</f>
        <v xml:space="preserve"> </v>
      </c>
      <c r="X168" s="128" t="str">
        <f>'Charts - Infrastructure'!X164</f>
        <v xml:space="preserve"> </v>
      </c>
      <c r="Y168" s="128" t="str">
        <f>'Charts - Infrastructure'!Y164</f>
        <v xml:space="preserve"> </v>
      </c>
      <c r="Z168" s="128" t="str">
        <f>'Charts - Infrastructure'!Z164</f>
        <v xml:space="preserve"> </v>
      </c>
      <c r="AA168" s="128" t="str">
        <f>'Charts - Infrastructure'!AA164</f>
        <v xml:space="preserve"> </v>
      </c>
      <c r="AB168" s="128" t="str">
        <f>'Charts - Infrastructure'!AB164</f>
        <v xml:space="preserve"> </v>
      </c>
      <c r="AC168" s="128" t="str">
        <f>'Charts - Infrastructure'!AC164</f>
        <v xml:space="preserve"> </v>
      </c>
      <c r="AD168" s="128" t="str">
        <f>'Charts - Infrastructure'!AD164</f>
        <v xml:space="preserve"> </v>
      </c>
      <c r="AE168" s="128" t="str">
        <f>'Charts - Infrastructure'!AE164</f>
        <v xml:space="preserve"> </v>
      </c>
      <c r="AF168" s="128" t="str">
        <f>'Charts - Infrastructure'!AF164</f>
        <v xml:space="preserve"> </v>
      </c>
      <c r="AG168" s="128" t="str">
        <f>'Charts - Infrastructure'!AG164</f>
        <v xml:space="preserve"> </v>
      </c>
      <c r="AH168" s="128">
        <f>'Charts - Infrastructure'!AH164</f>
        <v>3.0000000000000027E-2</v>
      </c>
    </row>
    <row r="169" spans="1:34" s="412" customFormat="1" ht="12" x14ac:dyDescent="0.15">
      <c r="A169" s="80"/>
      <c r="B169" s="80"/>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c r="AA169" s="80"/>
      <c r="AB169" s="80"/>
      <c r="AC169" s="80"/>
      <c r="AD169" s="80"/>
      <c r="AE169" s="80"/>
      <c r="AF169" s="80"/>
      <c r="AG169" s="80"/>
      <c r="AH169" s="80"/>
    </row>
    <row r="170" spans="1:34" s="412" customFormat="1" ht="12" x14ac:dyDescent="0.15">
      <c r="A170" s="80"/>
      <c r="B170" s="90" t="s">
        <v>321</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c r="AA170" s="80"/>
      <c r="AB170" s="80"/>
      <c r="AC170" s="80"/>
      <c r="AD170" s="80"/>
      <c r="AE170" s="80"/>
      <c r="AF170" s="80"/>
      <c r="AG170" s="80"/>
      <c r="AH170" s="80"/>
    </row>
    <row r="171" spans="1:34" s="412" customFormat="1" ht="12" x14ac:dyDescent="0.15">
      <c r="A171" s="80"/>
      <c r="B171" s="80"/>
      <c r="C171" s="80"/>
      <c r="D171" s="80"/>
      <c r="E171" s="93">
        <f>YEAR('Charts - Freight'!E$131)</f>
        <v>2010</v>
      </c>
      <c r="F171" s="93">
        <f>YEAR('Charts - Freight'!F$131)</f>
        <v>2011</v>
      </c>
      <c r="G171" s="93">
        <f>YEAR('Charts - Freight'!G$131)</f>
        <v>2012</v>
      </c>
      <c r="H171" s="93">
        <f>YEAR('Charts - Freight'!H$131)</f>
        <v>2013</v>
      </c>
      <c r="I171" s="93">
        <f>YEAR('Charts - Freight'!I$131)</f>
        <v>2014</v>
      </c>
      <c r="J171" s="93">
        <f>YEAR('Charts - Freight'!J$131)</f>
        <v>2015</v>
      </c>
      <c r="K171" s="93">
        <f>YEAR('Charts - Freight'!K$131)</f>
        <v>2016</v>
      </c>
      <c r="L171" s="93">
        <f>YEAR('Charts - Freight'!L$131)</f>
        <v>2017</v>
      </c>
      <c r="M171" s="93">
        <f>YEAR('Charts - Freight'!M$131)</f>
        <v>2018</v>
      </c>
      <c r="N171" s="93">
        <f>YEAR('Charts - Freight'!N$131)</f>
        <v>2019</v>
      </c>
      <c r="O171" s="93">
        <f>YEAR('Charts - Freight'!O$131)</f>
        <v>2020</v>
      </c>
      <c r="P171" s="93">
        <f>YEAR('Charts - Freight'!P$131)</f>
        <v>2021</v>
      </c>
      <c r="Q171" s="93">
        <f>YEAR('Charts - Freight'!Q$131)</f>
        <v>2022</v>
      </c>
      <c r="R171" s="93">
        <f>YEAR('Charts - Freight'!R$131)</f>
        <v>2023</v>
      </c>
      <c r="S171" s="93">
        <f>YEAR('Charts - Freight'!S$131)</f>
        <v>2024</v>
      </c>
      <c r="T171" s="93">
        <f>YEAR('Charts - Freight'!T$131)</f>
        <v>2025</v>
      </c>
      <c r="U171" s="93">
        <f>YEAR('Charts - Freight'!U$131)</f>
        <v>2026</v>
      </c>
      <c r="V171" s="93">
        <f>YEAR('Charts - Freight'!V$131)</f>
        <v>2027</v>
      </c>
      <c r="W171" s="93">
        <f>YEAR('Charts - Freight'!W$131)</f>
        <v>2028</v>
      </c>
      <c r="X171" s="93">
        <f>YEAR('Charts - Freight'!X$131)</f>
        <v>2029</v>
      </c>
      <c r="Y171" s="93">
        <f>YEAR('Charts - Freight'!Y$131)</f>
        <v>2030</v>
      </c>
      <c r="Z171" s="93">
        <f>YEAR('Charts - Freight'!Z$131)</f>
        <v>2031</v>
      </c>
      <c r="AA171" s="93">
        <f>YEAR('Charts - Freight'!AA$131)</f>
        <v>2032</v>
      </c>
      <c r="AB171" s="93">
        <f>YEAR('Charts - Freight'!AB$131)</f>
        <v>2033</v>
      </c>
      <c r="AC171" s="93">
        <f>YEAR('Charts - Freight'!AC$131)</f>
        <v>2034</v>
      </c>
      <c r="AD171" s="93">
        <f>YEAR('Charts - Freight'!AD$131)</f>
        <v>2035</v>
      </c>
      <c r="AE171" s="93">
        <f>YEAR('Charts - Freight'!AE$131)</f>
        <v>2036</v>
      </c>
      <c r="AF171" s="93">
        <f>YEAR('Charts - Freight'!AF$131)</f>
        <v>2037</v>
      </c>
      <c r="AG171" s="93">
        <f>YEAR('Charts - Freight'!AG$131)</f>
        <v>2038</v>
      </c>
      <c r="AH171" s="93">
        <f>YEAR('Charts - Freight'!AH$131)</f>
        <v>2039</v>
      </c>
    </row>
    <row r="172" spans="1:34" s="412" customFormat="1" ht="12" x14ac:dyDescent="0.15">
      <c r="A172" s="80"/>
      <c r="B172" s="80" t="s">
        <v>642</v>
      </c>
      <c r="C172" s="80"/>
      <c r="D172" s="80"/>
      <c r="E172" s="100">
        <f>IF(E132=1,Calculations!E254+Calculations!E672+Calculations!E1141,0)</f>
        <v>70</v>
      </c>
      <c r="F172" s="100">
        <f>IF(F132=1,Calculations!F254+Calculations!F672+Calculations!F1141,0)</f>
        <v>72.099999999999994</v>
      </c>
      <c r="G172" s="100">
        <f>IF(G132=1,Calculations!G254+Calculations!G672+Calculations!G1141,0)</f>
        <v>74.263000000000005</v>
      </c>
      <c r="H172" s="100">
        <f>IF(H132=1,Calculations!H254+Calculations!H672+Calculations!H1141,0)</f>
        <v>76.490890000000007</v>
      </c>
      <c r="I172" s="100">
        <f>IF(I132=1,Calculations!I254+Calculations!I672+Calculations!I1141,0)</f>
        <v>78.785616700000006</v>
      </c>
      <c r="J172" s="100">
        <f>IF(J132=1,Calculations!J254+Calculations!J672+Calculations!J1141," ")</f>
        <v>81.149185201000009</v>
      </c>
      <c r="K172" s="100">
        <f>IF(K132=1,Calculations!K254+Calculations!K672+Calculations!K1141," ")</f>
        <v>83.583660757030003</v>
      </c>
      <c r="L172" s="100">
        <f>IF(L132=1,Calculations!L254+Calculations!L672+Calculations!L1141," ")</f>
        <v>86.091170579740904</v>
      </c>
      <c r="M172" s="100">
        <f>IF(M132=1,Calculations!M254+Calculations!M672+Calculations!M1141," ")</f>
        <v>88.673905697133137</v>
      </c>
      <c r="N172" s="100">
        <f>IF(N132=1,Calculations!N254+Calculations!N672+Calculations!N1141," ")</f>
        <v>91.334122868047132</v>
      </c>
      <c r="O172" s="100">
        <f>IF(O132=1,Calculations!O254+Calculations!O672+Calculations!O1141," ")</f>
        <v>94.074146554088557</v>
      </c>
      <c r="P172" s="100">
        <f>IF(P132=1,Calculations!P254+Calculations!P672+Calculations!P1141," ")</f>
        <v>96.896370950711216</v>
      </c>
      <c r="Q172" s="100">
        <f>IF(Q132=1,Calculations!Q254+Calculations!Q672+Calculations!Q1141," ")</f>
        <v>99.803262079232553</v>
      </c>
      <c r="R172" s="100">
        <f>IF(R132=1,Calculations!R254+Calculations!R672+Calculations!R1141," ")</f>
        <v>102.79735994160953</v>
      </c>
      <c r="S172" s="100">
        <f>IF(S132=1,Calculations!S254+Calculations!S672+Calculations!S1141," ")</f>
        <v>105.88128073985781</v>
      </c>
      <c r="T172" s="100">
        <f>IF(T132=1,Calculations!T254+Calculations!T672+Calculations!T1141," ")</f>
        <v>109.05771916205356</v>
      </c>
      <c r="U172" s="100">
        <f>IF(U132=1,Calculations!U254+Calculations!U672+Calculations!U1141," ")</f>
        <v>112.32945073691516</v>
      </c>
      <c r="V172" s="100">
        <f>IF(V132=1,Calculations!V254+Calculations!V672+Calculations!V1141," ")</f>
        <v>115.69933425902261</v>
      </c>
      <c r="W172" s="100">
        <f>IF(W132=1,Calculations!W254+Calculations!W672+Calculations!W1141," ")</f>
        <v>119.17031428679329</v>
      </c>
      <c r="X172" s="100">
        <f>IF(X132=1,Calculations!X254+Calculations!X672+Calculations!X1141," ")</f>
        <v>122.7454237153971</v>
      </c>
      <c r="Y172" s="100">
        <f>IF(Y132=1,Calculations!Y254+Calculations!Y672+Calculations!Y1141," ")</f>
        <v>126.427786426859</v>
      </c>
      <c r="Z172" s="100">
        <f>IF(Z132=1,Calculations!Z254+Calculations!Z672+Calculations!Z1141," ")</f>
        <v>130.22062001966478</v>
      </c>
      <c r="AA172" s="100">
        <f>IF(AA132=1,Calculations!AA254+Calculations!AA672+Calculations!AA1141," ")</f>
        <v>134.12723862025473</v>
      </c>
      <c r="AB172" s="100">
        <f>IF(AB132=1,Calculations!AB254+Calculations!AB672+Calculations!AB1141," ")</f>
        <v>138.15105577886237</v>
      </c>
      <c r="AC172" s="100">
        <f>IF(AC132=1,Calculations!AC254+Calculations!AC672+Calculations!AC1141," ")</f>
        <v>142.29558745222823</v>
      </c>
      <c r="AD172" s="100">
        <f>IF(AD132=1,Calculations!AD254+Calculations!AD672+Calculations!AD1141," ")</f>
        <v>146.56445507579508</v>
      </c>
      <c r="AE172" s="100">
        <f>IF(AE132=1,Calculations!AE254+Calculations!AE672+Calculations!AE1141," ")</f>
        <v>150.96138872806895</v>
      </c>
      <c r="AF172" s="100">
        <f>IF(AF132=1,Calculations!AF254+Calculations!AF672+Calculations!AF1141," ")</f>
        <v>155.49023038991101</v>
      </c>
      <c r="AG172" s="100">
        <f>IF(AG132=1,Calculations!AG254+Calculations!AG672+Calculations!AG1141," ")</f>
        <v>160.15493730160836</v>
      </c>
      <c r="AH172" s="100">
        <f>IF(AH132=1,Calculations!AH254+Calculations!AH672+Calculations!AH1141," ")</f>
        <v>164.95958542065659</v>
      </c>
    </row>
    <row r="173" spans="1:34" s="412" customFormat="1" ht="12" x14ac:dyDescent="0.15">
      <c r="A173" s="80"/>
      <c r="B173" s="80" t="s">
        <v>609</v>
      </c>
      <c r="C173" s="80"/>
      <c r="D173" s="80"/>
      <c r="E173" s="100">
        <f>IF(E132=1,Calculations!E255+Calculations!E673+Calculations!E1142,0)</f>
        <v>40</v>
      </c>
      <c r="F173" s="100">
        <f>IF(F132=1,Calculations!F255+Calculations!F673+Calculations!F1142,0)</f>
        <v>41.2</v>
      </c>
      <c r="G173" s="100">
        <f>IF(G132=1,Calculations!G255+Calculations!G673+Calculations!G1142,0)</f>
        <v>42.436</v>
      </c>
      <c r="H173" s="100">
        <f>IF(H132=1,Calculations!H255+Calculations!H673+Calculations!H1142,0)</f>
        <v>43.70908</v>
      </c>
      <c r="I173" s="100">
        <f>IF(I132=1,Calculations!I255+Calculations!I673+Calculations!I1142,0)</f>
        <v>45.0203524</v>
      </c>
      <c r="J173" s="100">
        <f>IF(J132=1,Calculations!J255+Calculations!J673+Calculations!J1142," ")</f>
        <v>46.370962972000001</v>
      </c>
      <c r="K173" s="100">
        <f>IF(K132=1,Calculations!K255+Calculations!K673+Calculations!K1142," ")</f>
        <v>47.762091861160002</v>
      </c>
      <c r="L173" s="100">
        <f>IF(L132=1,Calculations!L255+Calculations!L673+Calculations!L1142," ")</f>
        <v>49.194954616994806</v>
      </c>
      <c r="M173" s="100">
        <f>IF(M132=1,Calculations!M255+Calculations!M673+Calculations!M1142," ")</f>
        <v>50.670803255504651</v>
      </c>
      <c r="N173" s="100">
        <f>IF(N132=1,Calculations!N255+Calculations!N673+Calculations!N1142," ")</f>
        <v>52.190927353169798</v>
      </c>
      <c r="O173" s="100">
        <f>IF(O132=1,Calculations!O255+Calculations!O673+Calculations!O1142," ")</f>
        <v>53.756655173764884</v>
      </c>
      <c r="P173" s="100">
        <f>IF(P132=1,Calculations!P255+Calculations!P673+Calculations!P1142," ")</f>
        <v>55.369354828977833</v>
      </c>
      <c r="Q173" s="100">
        <f>IF(Q132=1,Calculations!Q255+Calculations!Q673+Calculations!Q1142," ")</f>
        <v>57.03043547384717</v>
      </c>
      <c r="R173" s="100">
        <f>IF(R132=1,Calculations!R255+Calculations!R673+Calculations!R1142," ")</f>
        <v>58.741348538062581</v>
      </c>
      <c r="S173" s="100">
        <f>IF(S132=1,Calculations!S255+Calculations!S673+Calculations!S1142," ")</f>
        <v>60.50358899420447</v>
      </c>
      <c r="T173" s="100">
        <f>IF(T132=1,Calculations!T255+Calculations!T673+Calculations!T1142," ")</f>
        <v>62.318696664030611</v>
      </c>
      <c r="U173" s="100">
        <f>IF(U132=1,Calculations!U255+Calculations!U673+Calculations!U1142," ")</f>
        <v>64.188257563951538</v>
      </c>
      <c r="V173" s="100">
        <f>IF(V132=1,Calculations!V255+Calculations!V673+Calculations!V1142," ")</f>
        <v>66.113905290870065</v>
      </c>
      <c r="W173" s="100">
        <f>IF(W132=1,Calculations!W255+Calculations!W673+Calculations!W1142," ")</f>
        <v>68.097322449596192</v>
      </c>
      <c r="X173" s="100">
        <f>IF(X132=1,Calculations!X255+Calculations!X673+Calculations!X1142," ")</f>
        <v>70.140242123084064</v>
      </c>
      <c r="Y173" s="100">
        <f>IF(Y132=1,Calculations!Y255+Calculations!Y673+Calculations!Y1142," ")</f>
        <v>72.244449386776594</v>
      </c>
      <c r="Z173" s="100">
        <f>IF(Z132=1,Calculations!Z255+Calculations!Z673+Calculations!Z1142," ")</f>
        <v>74.411782868379902</v>
      </c>
      <c r="AA173" s="100">
        <f>IF(AA132=1,Calculations!AA255+Calculations!AA673+Calculations!AA1142," ")</f>
        <v>76.644136354431296</v>
      </c>
      <c r="AB173" s="100">
        <f>IF(AB132=1,Calculations!AB255+Calculations!AB673+Calculations!AB1142," ")</f>
        <v>78.943460445064233</v>
      </c>
      <c r="AC173" s="100">
        <f>IF(AC132=1,Calculations!AC255+Calculations!AC673+Calculations!AC1142," ")</f>
        <v>81.311764258416162</v>
      </c>
      <c r="AD173" s="100">
        <f>IF(AD132=1,Calculations!AD255+Calculations!AD673+Calculations!AD1142," ")</f>
        <v>83.751117186168642</v>
      </c>
      <c r="AE173" s="100">
        <f>IF(AE132=1,Calculations!AE255+Calculations!AE673+Calculations!AE1142," ")</f>
        <v>86.263650701753704</v>
      </c>
      <c r="AF173" s="100">
        <f>IF(AF132=1,Calculations!AF255+Calculations!AF673+Calculations!AF1142," ")</f>
        <v>88.851560222806313</v>
      </c>
      <c r="AG173" s="100">
        <f>IF(AG132=1,Calculations!AG255+Calculations!AG673+Calculations!AG1142," ")</f>
        <v>91.517107029490504</v>
      </c>
      <c r="AH173" s="100">
        <f>IF(AH132=1,Calculations!AH255+Calculations!AH673+Calculations!AH1142," ")</f>
        <v>94.262620240375227</v>
      </c>
    </row>
    <row r="174" spans="1:34" s="412" customFormat="1" ht="12" x14ac:dyDescent="0.15">
      <c r="A174" s="80"/>
      <c r="B174" s="80" t="s">
        <v>297</v>
      </c>
      <c r="C174" s="80"/>
      <c r="D174" s="80"/>
      <c r="E174" s="128">
        <f>IF(AND(SUM($E$172:$AB$173)&gt;0,($E171+SUM($F$132:$AH$132))=E171),((E172+E173)/($E172+$E173))^(1/SUM($F$132:$AH$132))-1,0)</f>
        <v>0</v>
      </c>
      <c r="F174" s="128">
        <f t="shared" ref="F174:I174" si="6">IF(AND(SUM($E$172:$AB$173)&gt;0,($E171+SUM($F$132:$AH$132))=F171),((F172+F173)/($E172+$E173))^(1/SUM($F$132:$AH$132))-1,0)</f>
        <v>0</v>
      </c>
      <c r="G174" s="128">
        <f t="shared" si="6"/>
        <v>0</v>
      </c>
      <c r="H174" s="128">
        <f t="shared" si="6"/>
        <v>0</v>
      </c>
      <c r="I174" s="128">
        <f t="shared" si="6"/>
        <v>0</v>
      </c>
      <c r="J174" s="128" t="str">
        <f t="shared" ref="J174:AH174" si="7">IF(AND(SUM($E$172:$AB$173)&gt;0,($E171+SUM($F$132:$AH$132))=J171),((J172+J173)/($E172+$E173))^(1/SUM($F$132:$AH$132))-1," ")</f>
        <v xml:space="preserve"> </v>
      </c>
      <c r="K174" s="128" t="str">
        <f t="shared" si="7"/>
        <v xml:space="preserve"> </v>
      </c>
      <c r="L174" s="128" t="str">
        <f t="shared" si="7"/>
        <v xml:space="preserve"> </v>
      </c>
      <c r="M174" s="128" t="str">
        <f t="shared" si="7"/>
        <v xml:space="preserve"> </v>
      </c>
      <c r="N174" s="128" t="str">
        <f t="shared" si="7"/>
        <v xml:space="preserve"> </v>
      </c>
      <c r="O174" s="128" t="str">
        <f t="shared" si="7"/>
        <v xml:space="preserve"> </v>
      </c>
      <c r="P174" s="128" t="str">
        <f t="shared" si="7"/>
        <v xml:space="preserve"> </v>
      </c>
      <c r="Q174" s="128" t="str">
        <f t="shared" si="7"/>
        <v xml:space="preserve"> </v>
      </c>
      <c r="R174" s="128" t="str">
        <f t="shared" si="7"/>
        <v xml:space="preserve"> </v>
      </c>
      <c r="S174" s="128" t="str">
        <f t="shared" si="7"/>
        <v xml:space="preserve"> </v>
      </c>
      <c r="T174" s="128" t="str">
        <f t="shared" si="7"/>
        <v xml:space="preserve"> </v>
      </c>
      <c r="U174" s="128" t="str">
        <f t="shared" si="7"/>
        <v xml:space="preserve"> </v>
      </c>
      <c r="V174" s="128" t="str">
        <f t="shared" si="7"/>
        <v xml:space="preserve"> </v>
      </c>
      <c r="W174" s="128" t="str">
        <f t="shared" si="7"/>
        <v xml:space="preserve"> </v>
      </c>
      <c r="X174" s="128" t="str">
        <f t="shared" si="7"/>
        <v xml:space="preserve"> </v>
      </c>
      <c r="Y174" s="128" t="str">
        <f t="shared" si="7"/>
        <v xml:space="preserve"> </v>
      </c>
      <c r="Z174" s="128" t="str">
        <f t="shared" si="7"/>
        <v xml:space="preserve"> </v>
      </c>
      <c r="AA174" s="128" t="str">
        <f t="shared" si="7"/>
        <v xml:space="preserve"> </v>
      </c>
      <c r="AB174" s="128" t="str">
        <f t="shared" si="7"/>
        <v xml:space="preserve"> </v>
      </c>
      <c r="AC174" s="128" t="str">
        <f t="shared" si="7"/>
        <v xml:space="preserve"> </v>
      </c>
      <c r="AD174" s="128" t="str">
        <f t="shared" si="7"/>
        <v xml:space="preserve"> </v>
      </c>
      <c r="AE174" s="128" t="str">
        <f t="shared" si="7"/>
        <v xml:space="preserve"> </v>
      </c>
      <c r="AF174" s="128" t="str">
        <f t="shared" si="7"/>
        <v xml:space="preserve"> </v>
      </c>
      <c r="AG174" s="128" t="str">
        <f t="shared" si="7"/>
        <v xml:space="preserve"> </v>
      </c>
      <c r="AH174" s="128">
        <f t="shared" si="7"/>
        <v>3.0000000000000027E-2</v>
      </c>
    </row>
    <row r="175" spans="1:34" s="412" customFormat="1" ht="12" x14ac:dyDescent="0.15">
      <c r="A175" s="80"/>
      <c r="B175" s="80"/>
      <c r="C175" s="80"/>
      <c r="D175" s="80"/>
      <c r="E175" s="80"/>
      <c r="F175" s="80"/>
      <c r="G175" s="80"/>
      <c r="H175" s="80"/>
      <c r="I175" s="80"/>
      <c r="J175" s="80"/>
      <c r="K175" s="80"/>
      <c r="L175" s="80"/>
      <c r="M175" s="80"/>
      <c r="N175" s="80"/>
      <c r="O175" s="80"/>
      <c r="P175" s="80"/>
      <c r="Q175" s="80"/>
      <c r="R175" s="80"/>
      <c r="S175" s="80"/>
      <c r="T175" s="80"/>
      <c r="U175" s="80"/>
      <c r="V175" s="80"/>
      <c r="W175" s="80"/>
      <c r="X175" s="80"/>
      <c r="Y175" s="80"/>
      <c r="Z175" s="80"/>
      <c r="AA175" s="80"/>
      <c r="AB175" s="80"/>
      <c r="AC175" s="80"/>
      <c r="AD175" s="80"/>
      <c r="AE175" s="80"/>
      <c r="AF175" s="80"/>
      <c r="AG175" s="80"/>
      <c r="AH175" s="80"/>
    </row>
    <row r="176" spans="1:34" s="412" customFormat="1" ht="12" x14ac:dyDescent="0.15">
      <c r="A176" s="80"/>
      <c r="B176" s="90" t="s">
        <v>183</v>
      </c>
      <c r="C176" s="80"/>
      <c r="D176" s="80"/>
      <c r="E176" s="80"/>
      <c r="F176" s="143"/>
      <c r="G176" s="80"/>
      <c r="H176" s="80"/>
      <c r="I176" s="80"/>
      <c r="J176" s="80"/>
      <c r="K176" s="80"/>
      <c r="L176" s="80"/>
      <c r="M176" s="80"/>
      <c r="N176" s="80"/>
      <c r="O176" s="80"/>
      <c r="P176" s="80"/>
      <c r="Q176" s="80"/>
      <c r="R176" s="80"/>
      <c r="S176" s="80"/>
      <c r="T176" s="80"/>
      <c r="U176" s="80"/>
      <c r="V176" s="80"/>
      <c r="W176" s="80"/>
      <c r="X176" s="80"/>
      <c r="Y176" s="80"/>
      <c r="Z176" s="80"/>
      <c r="AA176" s="80"/>
      <c r="AB176" s="80"/>
      <c r="AC176" s="80"/>
      <c r="AD176" s="80"/>
      <c r="AE176" s="80"/>
      <c r="AF176" s="80"/>
      <c r="AG176" s="80"/>
      <c r="AH176" s="80"/>
    </row>
    <row r="177" spans="1:35" s="412" customFormat="1" ht="12" x14ac:dyDescent="0.15">
      <c r="A177" s="80"/>
      <c r="B177" s="80"/>
      <c r="C177" s="80"/>
      <c r="D177" s="80"/>
      <c r="E177" s="93">
        <f>YEAR('Charts - Freight'!E$131)</f>
        <v>2010</v>
      </c>
      <c r="F177" s="93">
        <f>YEAR('Charts - Freight'!F$131)</f>
        <v>2011</v>
      </c>
      <c r="G177" s="93">
        <f>YEAR('Charts - Freight'!G$131)</f>
        <v>2012</v>
      </c>
      <c r="H177" s="93">
        <f>YEAR('Charts - Freight'!H$131)</f>
        <v>2013</v>
      </c>
      <c r="I177" s="93">
        <f>YEAR('Charts - Freight'!I$131)</f>
        <v>2014</v>
      </c>
      <c r="J177" s="93">
        <f>YEAR('Charts - Freight'!J$131)</f>
        <v>2015</v>
      </c>
      <c r="K177" s="93">
        <f>YEAR('Charts - Freight'!K$131)</f>
        <v>2016</v>
      </c>
      <c r="L177" s="93">
        <f>YEAR('Charts - Freight'!L$131)</f>
        <v>2017</v>
      </c>
      <c r="M177" s="93">
        <f>YEAR('Charts - Freight'!M$131)</f>
        <v>2018</v>
      </c>
      <c r="N177" s="93">
        <f>YEAR('Charts - Freight'!N$131)</f>
        <v>2019</v>
      </c>
      <c r="O177" s="93">
        <f>YEAR('Charts - Freight'!O$131)</f>
        <v>2020</v>
      </c>
      <c r="P177" s="93">
        <f>YEAR('Charts - Freight'!P$131)</f>
        <v>2021</v>
      </c>
      <c r="Q177" s="93">
        <f>YEAR('Charts - Freight'!Q$131)</f>
        <v>2022</v>
      </c>
      <c r="R177" s="93">
        <f>YEAR('Charts - Freight'!R$131)</f>
        <v>2023</v>
      </c>
      <c r="S177" s="93">
        <f>YEAR('Charts - Freight'!S$131)</f>
        <v>2024</v>
      </c>
      <c r="T177" s="93">
        <f>YEAR('Charts - Freight'!T$131)</f>
        <v>2025</v>
      </c>
      <c r="U177" s="93">
        <f>YEAR('Charts - Freight'!U$131)</f>
        <v>2026</v>
      </c>
      <c r="V177" s="93">
        <f>YEAR('Charts - Freight'!V$131)</f>
        <v>2027</v>
      </c>
      <c r="W177" s="93">
        <f>YEAR('Charts - Freight'!W$131)</f>
        <v>2028</v>
      </c>
      <c r="X177" s="93">
        <f>YEAR('Charts - Freight'!X$131)</f>
        <v>2029</v>
      </c>
      <c r="Y177" s="93">
        <f>YEAR('Charts - Freight'!Y$131)</f>
        <v>2030</v>
      </c>
      <c r="Z177" s="93">
        <f>YEAR('Charts - Freight'!Z$131)</f>
        <v>2031</v>
      </c>
      <c r="AA177" s="93">
        <f>YEAR('Charts - Freight'!AA$131)</f>
        <v>2032</v>
      </c>
      <c r="AB177" s="93">
        <f>YEAR('Charts - Freight'!AB$131)</f>
        <v>2033</v>
      </c>
      <c r="AC177" s="93">
        <f>YEAR('Charts - Freight'!AC$131)</f>
        <v>2034</v>
      </c>
      <c r="AD177" s="93">
        <f>YEAR('Charts - Freight'!AD$131)</f>
        <v>2035</v>
      </c>
      <c r="AE177" s="93">
        <f>YEAR('Charts - Freight'!AE$131)</f>
        <v>2036</v>
      </c>
      <c r="AF177" s="93">
        <f>YEAR('Charts - Freight'!AF$131)</f>
        <v>2037</v>
      </c>
      <c r="AG177" s="93">
        <f>YEAR('Charts - Freight'!AG$131)</f>
        <v>2038</v>
      </c>
      <c r="AH177" s="93">
        <f>YEAR('Charts - Freight'!AH$131)</f>
        <v>2039</v>
      </c>
    </row>
    <row r="178" spans="1:35" s="412" customFormat="1" ht="12" x14ac:dyDescent="0.15">
      <c r="A178" s="80"/>
      <c r="B178" s="80" t="s">
        <v>151</v>
      </c>
      <c r="C178" s="80"/>
      <c r="D178" s="80"/>
      <c r="E178" s="94">
        <f>IF(E132=1,'Cash flow statement'!E25,0)</f>
        <v>0</v>
      </c>
      <c r="F178" s="94">
        <f>IF(F132=1,'Cash flow statement'!F25,0)</f>
        <v>50690.792519097551</v>
      </c>
      <c r="G178" s="94">
        <f>IF(G132=1,'Cash flow statement'!G25,0)</f>
        <v>52724.69910649403</v>
      </c>
      <c r="H178" s="94">
        <f>IF(H132=1,'Cash flow statement'!H25,0)</f>
        <v>55555.087292603705</v>
      </c>
      <c r="I178" s="94">
        <f>IF(I132=1,'Cash flow statement'!I25,0)</f>
        <v>59925.604475971457</v>
      </c>
      <c r="J178" s="94">
        <f>IF(J132=1,'Cash flow statement'!J25," ")</f>
        <v>64163.626703987196</v>
      </c>
      <c r="K178" s="94">
        <f>IF(K132=1,'Cash flow statement'!K25," ")</f>
        <v>72149.97263055107</v>
      </c>
      <c r="L178" s="94">
        <f>IF(L132=1,'Cash flow statement'!L25," ")</f>
        <v>77495.629768915795</v>
      </c>
      <c r="M178" s="94">
        <f>IF(M132=1,'Cash flow statement'!M25," ")</f>
        <v>82223.493875014101</v>
      </c>
      <c r="N178" s="94">
        <f>IF(N132=1,'Cash flow statement'!N25," ")</f>
        <v>87164.973491895071</v>
      </c>
      <c r="O178" s="94">
        <f>IF(O132=1,'Cash flow statement'!O25," ")</f>
        <v>91222.768841377983</v>
      </c>
      <c r="P178" s="94">
        <f>IF(P132=1,'Cash flow statement'!P25," ")</f>
        <v>96261.173051379898</v>
      </c>
      <c r="Q178" s="94">
        <f>IF(Q132=1,'Cash flow statement'!Q25," ")</f>
        <v>101596.8188694383</v>
      </c>
      <c r="R178" s="94">
        <f>IF(R132=1,'Cash flow statement'!R25," ")</f>
        <v>107167.51642838139</v>
      </c>
      <c r="S178" s="94">
        <f>IF(S132=1,'Cash flow statement'!S25," ")</f>
        <v>112987.49117860262</v>
      </c>
      <c r="T178" s="94">
        <f>IF(T132=1,'Cash flow statement'!T25," ")</f>
        <v>119058.94847536211</v>
      </c>
      <c r="U178" s="94">
        <f>IF(U132=1,'Cash flow statement'!U25," ")</f>
        <v>125394.26549745037</v>
      </c>
      <c r="V178" s="94">
        <f>IF(V132=1,'Cash flow statement'!V25," ")</f>
        <v>131994.57828943952</v>
      </c>
      <c r="W178" s="94">
        <f>IF(W132=1,'Cash flow statement'!W25," ")</f>
        <v>138894.53135041392</v>
      </c>
      <c r="X178" s="94">
        <f>IF(X132=1,'Cash flow statement'!X25," ")</f>
        <v>146097.43811296648</v>
      </c>
      <c r="Y178" s="94">
        <f>IF(Y132=1,'Cash flow statement'!Y25," ")</f>
        <v>153605.48887873936</v>
      </c>
      <c r="Z178" s="94">
        <f>IF(Z132=1,'Cash flow statement'!Z25," ")</f>
        <v>161439.28338368493</v>
      </c>
      <c r="AA178" s="94">
        <f>IF(AA132=1,'Cash flow statement'!AA25," ")</f>
        <v>169607.40726804076</v>
      </c>
      <c r="AB178" s="94">
        <f>IF(AB132=1,'Cash flow statement'!AB25," ")</f>
        <v>178121.83813264631</v>
      </c>
      <c r="AC178" s="94">
        <f>IF(AC132=1,'Cash flow statement'!AC25," ")</f>
        <v>186994.98892456814</v>
      </c>
      <c r="AD178" s="94">
        <f>IF(AD132=1,'Cash flow statement'!AD25," ")</f>
        <v>196241.9497469081</v>
      </c>
      <c r="AE178" s="94">
        <f>IF(AE132=1,'Cash flow statement'!AE25," ")</f>
        <v>205875.64425810269</v>
      </c>
      <c r="AF178" s="94">
        <f>IF(AF132=1,'Cash flow statement'!AF25," ")</f>
        <v>215910.12989520255</v>
      </c>
      <c r="AG178" s="94">
        <f>IF(AG132=1,'Cash flow statement'!AG25," ")</f>
        <v>226361.40002495603</v>
      </c>
      <c r="AH178" s="94">
        <f>IF(AH132=1,'Cash flow statement'!AH25," ")</f>
        <v>237227.77046402689</v>
      </c>
      <c r="AI178" s="413"/>
    </row>
    <row r="179" spans="1:35" s="412" customFormat="1" ht="12" x14ac:dyDescent="0.15">
      <c r="A179" s="80"/>
      <c r="B179" s="80" t="s">
        <v>176</v>
      </c>
      <c r="C179" s="80"/>
      <c r="D179" s="80"/>
      <c r="E179" s="94">
        <f>IF(E132=1,'Cash flow statement'!E45,0)</f>
        <v>0</v>
      </c>
      <c r="F179" s="94">
        <f>IF(F132=1,'Cash flow statement'!F45,0)</f>
        <v>15079.085777752065</v>
      </c>
      <c r="G179" s="94">
        <f>IF(G132=1,'Cash flow statement'!G45,0)</f>
        <v>15652.139710596231</v>
      </c>
      <c r="H179" s="94">
        <f>IF(H132=1,'Cash flow statement'!H45,0)</f>
        <v>16473.296584496522</v>
      </c>
      <c r="I179" s="94">
        <f>IF(I132=1,'Cash flow statement'!I45,0)</f>
        <v>17803.431327575141</v>
      </c>
      <c r="J179" s="94">
        <f>IF(J132=1,'Cash flow statement'!J45," ")</f>
        <v>19117.740826970825</v>
      </c>
      <c r="K179" s="94">
        <f>IF(K132=1,'Cash flow statement'!K45," ")</f>
        <v>21370.640786451004</v>
      </c>
      <c r="L179" s="94">
        <f>IF(L132=1,'Cash flow statement'!L45," ")</f>
        <v>22877.570733555738</v>
      </c>
      <c r="M179" s="94">
        <f>IF(M132=1,'Cash flow statement'!M45," ")</f>
        <v>24250.367413467357</v>
      </c>
      <c r="N179" s="94">
        <f>IF(N132=1,'Cash flow statement'!N45," ")</f>
        <v>25675.96633994377</v>
      </c>
      <c r="O179" s="94">
        <f>IF(O132=1,'Cash flow statement'!O45," ")</f>
        <v>26968.963546162988</v>
      </c>
      <c r="P179" s="94">
        <f>IF(P132=1,'Cash flow statement'!P45," ")</f>
        <v>28478.729092970665</v>
      </c>
      <c r="Q179" s="94">
        <f>IF(Q132=1,'Cash flow statement'!Q45," ")</f>
        <v>30043.009101189746</v>
      </c>
      <c r="R179" s="94">
        <f>IF(R132=1,'Cash flow statement'!R45," ")</f>
        <v>31670.890323212749</v>
      </c>
      <c r="S179" s="94">
        <f>IF(S132=1,'Cash flow statement'!S45," ")</f>
        <v>33366.504916766236</v>
      </c>
      <c r="T179" s="94">
        <f>IF(T132=1,'Cash flow statement'!T45," ")</f>
        <v>35129.109493330907</v>
      </c>
      <c r="U179" s="94">
        <f>IF(U132=1,'Cash flow statement'!U45," ")</f>
        <v>36755.848240465915</v>
      </c>
      <c r="V179" s="94">
        <f>IF(V132=1,'Cash flow statement'!V45," ")</f>
        <v>38884.420019973215</v>
      </c>
      <c r="W179" s="94">
        <f>IF(W132=1,'Cash flow statement'!W45," ")</f>
        <v>40867.636862959247</v>
      </c>
      <c r="X179" s="94">
        <f>IF(X132=1,'Cash flow statement'!X45," ")</f>
        <v>42930.303560645814</v>
      </c>
      <c r="Y179" s="94">
        <f>IF(Y132=1,'Cash flow statement'!Y45," ")</f>
        <v>45071.26012697132</v>
      </c>
      <c r="Z179" s="94">
        <f>IF(Z132=1,'Cash flow statement'!Z45," ")</f>
        <v>47295.800045448093</v>
      </c>
      <c r="AA179" s="94">
        <f>IF(AA132=1,'Cash flow statement'!AA45," ")</f>
        <v>49609.009450926023</v>
      </c>
      <c r="AB179" s="94">
        <f>IF(AB132=1,'Cash flow statement'!AB45," ")</f>
        <v>52010.883599704699</v>
      </c>
      <c r="AC179" s="94">
        <f>IF(AC132=1,'Cash flow statement'!AC45," ")</f>
        <v>54503.760033593717</v>
      </c>
      <c r="AD179" s="94">
        <f>IF(AD132=1,'Cash flow statement'!AD45," ")</f>
        <v>57091.306353606458</v>
      </c>
      <c r="AE179" s="94">
        <f>IF(AE132=1,'Cash flow statement'!AE45," ")</f>
        <v>59751.370501216647</v>
      </c>
      <c r="AF179" s="94">
        <f>IF(AF132=1,'Cash flow statement'!AF45," ")</f>
        <v>62561.086157905782</v>
      </c>
      <c r="AG179" s="94">
        <f>IF(AG132=1,'Cash flow statement'!AG45," ")</f>
        <v>65448.404042079434</v>
      </c>
      <c r="AH179" s="94">
        <f>IF(AH132=1,'Cash flow statement'!AH45," ")</f>
        <v>68434.976138529222</v>
      </c>
      <c r="AI179" s="413"/>
    </row>
    <row r="180" spans="1:35" s="412" customFormat="1" ht="12" x14ac:dyDescent="0.15">
      <c r="A180" s="80"/>
      <c r="B180" s="80"/>
      <c r="C180" s="80"/>
      <c r="D180" s="80"/>
      <c r="E180" s="80"/>
      <c r="F180" s="80"/>
      <c r="G180" s="80"/>
      <c r="H180" s="80"/>
      <c r="I180" s="80"/>
      <c r="J180" s="80"/>
      <c r="K180" s="80"/>
      <c r="L180" s="80"/>
      <c r="M180" s="80"/>
      <c r="N180" s="80"/>
      <c r="O180" s="80"/>
      <c r="P180" s="80"/>
      <c r="Q180" s="80"/>
      <c r="R180" s="80"/>
      <c r="S180" s="80"/>
      <c r="T180" s="80"/>
      <c r="U180" s="80"/>
      <c r="V180" s="80"/>
      <c r="W180" s="80"/>
      <c r="X180" s="80"/>
      <c r="Y180" s="80"/>
      <c r="Z180" s="80"/>
      <c r="AA180" s="80"/>
      <c r="AB180" s="80"/>
      <c r="AC180" s="80"/>
      <c r="AD180" s="80"/>
      <c r="AE180" s="80"/>
      <c r="AF180" s="80"/>
      <c r="AG180" s="80"/>
      <c r="AH180" s="80"/>
    </row>
    <row r="181" spans="1:35" s="412" customFormat="1" ht="12" x14ac:dyDescent="0.15">
      <c r="A181" s="80"/>
      <c r="B181" s="80"/>
      <c r="C181" s="80"/>
      <c r="D181" s="80"/>
      <c r="E181" s="93">
        <f>YEAR('Charts - Freight'!E$131)</f>
        <v>2010</v>
      </c>
      <c r="F181" s="93">
        <f>YEAR('Charts - Freight'!F$131)</f>
        <v>2011</v>
      </c>
      <c r="G181" s="93">
        <f>YEAR('Charts - Freight'!G$131)</f>
        <v>2012</v>
      </c>
      <c r="H181" s="93">
        <f>YEAR('Charts - Freight'!H$131)</f>
        <v>2013</v>
      </c>
      <c r="I181" s="93">
        <f>YEAR('Charts - Freight'!I$131)</f>
        <v>2014</v>
      </c>
      <c r="J181" s="93">
        <f>YEAR('Charts - Freight'!J$131)</f>
        <v>2015</v>
      </c>
      <c r="K181" s="93">
        <f>YEAR('Charts - Freight'!K$131)</f>
        <v>2016</v>
      </c>
      <c r="L181" s="93">
        <f>YEAR('Charts - Freight'!L$131)</f>
        <v>2017</v>
      </c>
      <c r="M181" s="93">
        <f>YEAR('Charts - Freight'!M$131)</f>
        <v>2018</v>
      </c>
      <c r="N181" s="93">
        <f>YEAR('Charts - Freight'!N$131)</f>
        <v>2019</v>
      </c>
      <c r="O181" s="93">
        <f>YEAR('Charts - Freight'!O$131)</f>
        <v>2020</v>
      </c>
      <c r="P181" s="93">
        <f>YEAR('Charts - Freight'!P$131)</f>
        <v>2021</v>
      </c>
      <c r="Q181" s="93">
        <f>YEAR('Charts - Freight'!Q$131)</f>
        <v>2022</v>
      </c>
      <c r="R181" s="93">
        <f>YEAR('Charts - Freight'!R$131)</f>
        <v>2023</v>
      </c>
      <c r="S181" s="93">
        <f>YEAR('Charts - Freight'!S$131)</f>
        <v>2024</v>
      </c>
      <c r="T181" s="93">
        <f>YEAR('Charts - Freight'!T$131)</f>
        <v>2025</v>
      </c>
      <c r="U181" s="93">
        <f>YEAR('Charts - Freight'!U$131)</f>
        <v>2026</v>
      </c>
      <c r="V181" s="93">
        <f>YEAR('Charts - Freight'!V$131)</f>
        <v>2027</v>
      </c>
      <c r="W181" s="93">
        <f>YEAR('Charts - Freight'!W$131)</f>
        <v>2028</v>
      </c>
      <c r="X181" s="93">
        <f>YEAR('Charts - Freight'!X$131)</f>
        <v>2029</v>
      </c>
      <c r="Y181" s="93">
        <f>YEAR('Charts - Freight'!Y$131)</f>
        <v>2030</v>
      </c>
      <c r="Z181" s="93">
        <f>YEAR('Charts - Freight'!Z$131)</f>
        <v>2031</v>
      </c>
      <c r="AA181" s="93">
        <f>YEAR('Charts - Freight'!AA$131)</f>
        <v>2032</v>
      </c>
      <c r="AB181" s="93">
        <f>YEAR('Charts - Freight'!AB$131)</f>
        <v>2033</v>
      </c>
      <c r="AC181" s="93">
        <f>YEAR('Charts - Freight'!AC$131)</f>
        <v>2034</v>
      </c>
      <c r="AD181" s="93">
        <f>YEAR('Charts - Freight'!AD$131)</f>
        <v>2035</v>
      </c>
      <c r="AE181" s="93">
        <f>YEAR('Charts - Freight'!AE$131)</f>
        <v>2036</v>
      </c>
      <c r="AF181" s="93">
        <f>YEAR('Charts - Freight'!AF$131)</f>
        <v>2037</v>
      </c>
      <c r="AG181" s="93">
        <f>YEAR('Charts - Freight'!AG$131)</f>
        <v>2038</v>
      </c>
      <c r="AH181" s="93">
        <f>YEAR('Charts - Freight'!AH$131)</f>
        <v>2039</v>
      </c>
    </row>
    <row r="182" spans="1:35" s="412" customFormat="1" ht="12" x14ac:dyDescent="0.15">
      <c r="A182" s="80"/>
      <c r="B182" s="80" t="str">
        <f>B178</f>
        <v>Operating cash flow</v>
      </c>
      <c r="C182" s="80"/>
      <c r="D182" s="80"/>
      <c r="E182" s="97">
        <f t="shared" ref="E182:AH182" si="8">E178</f>
        <v>0</v>
      </c>
      <c r="F182" s="97">
        <f t="shared" si="8"/>
        <v>50690.792519097551</v>
      </c>
      <c r="G182" s="97">
        <f t="shared" si="8"/>
        <v>52724.69910649403</v>
      </c>
      <c r="H182" s="97">
        <f t="shared" si="8"/>
        <v>55555.087292603705</v>
      </c>
      <c r="I182" s="97">
        <f t="shared" si="8"/>
        <v>59925.604475971457</v>
      </c>
      <c r="J182" s="97">
        <f t="shared" si="8"/>
        <v>64163.626703987196</v>
      </c>
      <c r="K182" s="97">
        <f t="shared" si="8"/>
        <v>72149.97263055107</v>
      </c>
      <c r="L182" s="97">
        <f t="shared" si="8"/>
        <v>77495.629768915795</v>
      </c>
      <c r="M182" s="97">
        <f t="shared" si="8"/>
        <v>82223.493875014101</v>
      </c>
      <c r="N182" s="97">
        <f t="shared" si="8"/>
        <v>87164.973491895071</v>
      </c>
      <c r="O182" s="97">
        <f t="shared" si="8"/>
        <v>91222.768841377983</v>
      </c>
      <c r="P182" s="97">
        <f t="shared" si="8"/>
        <v>96261.173051379898</v>
      </c>
      <c r="Q182" s="97">
        <f t="shared" si="8"/>
        <v>101596.8188694383</v>
      </c>
      <c r="R182" s="97">
        <f t="shared" si="8"/>
        <v>107167.51642838139</v>
      </c>
      <c r="S182" s="97">
        <f t="shared" si="8"/>
        <v>112987.49117860262</v>
      </c>
      <c r="T182" s="97">
        <f t="shared" si="8"/>
        <v>119058.94847536211</v>
      </c>
      <c r="U182" s="97">
        <f t="shared" si="8"/>
        <v>125394.26549745037</v>
      </c>
      <c r="V182" s="97">
        <f t="shared" si="8"/>
        <v>131994.57828943952</v>
      </c>
      <c r="W182" s="97">
        <f t="shared" si="8"/>
        <v>138894.53135041392</v>
      </c>
      <c r="X182" s="97">
        <f t="shared" si="8"/>
        <v>146097.43811296648</v>
      </c>
      <c r="Y182" s="97">
        <f t="shared" si="8"/>
        <v>153605.48887873936</v>
      </c>
      <c r="Z182" s="97">
        <f t="shared" si="8"/>
        <v>161439.28338368493</v>
      </c>
      <c r="AA182" s="97">
        <f t="shared" si="8"/>
        <v>169607.40726804076</v>
      </c>
      <c r="AB182" s="97">
        <f t="shared" si="8"/>
        <v>178121.83813264631</v>
      </c>
      <c r="AC182" s="97">
        <f t="shared" si="8"/>
        <v>186994.98892456814</v>
      </c>
      <c r="AD182" s="97">
        <f t="shared" si="8"/>
        <v>196241.9497469081</v>
      </c>
      <c r="AE182" s="97">
        <f t="shared" si="8"/>
        <v>205875.64425810269</v>
      </c>
      <c r="AF182" s="97">
        <f t="shared" si="8"/>
        <v>215910.12989520255</v>
      </c>
      <c r="AG182" s="97">
        <f t="shared" si="8"/>
        <v>226361.40002495603</v>
      </c>
      <c r="AH182" s="97">
        <f t="shared" si="8"/>
        <v>237227.77046402689</v>
      </c>
    </row>
    <row r="183" spans="1:35" s="412" customFormat="1" ht="12" x14ac:dyDescent="0.15">
      <c r="A183" s="80"/>
      <c r="B183" s="80" t="s">
        <v>155</v>
      </c>
      <c r="C183" s="80"/>
      <c r="D183" s="80"/>
      <c r="E183" s="94">
        <f>IF(E132=1,'Cash flow statement'!E32,0)</f>
        <v>0</v>
      </c>
      <c r="F183" s="94">
        <f>IF(F132=1,'Cash flow statement'!F32,0)</f>
        <v>-460</v>
      </c>
      <c r="G183" s="94">
        <f>IF(G132=1,'Cash flow statement'!G32,0)</f>
        <v>-770</v>
      </c>
      <c r="H183" s="94">
        <f>IF(H132=1,'Cash flow statement'!H32,0)</f>
        <v>-770</v>
      </c>
      <c r="I183" s="94">
        <f>IF(I132=1,'Cash flow statement'!I32,0)</f>
        <v>-775</v>
      </c>
      <c r="J183" s="94">
        <f>IF(J132=1,'Cash flow statement'!J32," ")</f>
        <v>-775</v>
      </c>
      <c r="K183" s="94">
        <f>IF(K132=1,'Cash flow statement'!K32," ")</f>
        <v>-775</v>
      </c>
      <c r="L183" s="94">
        <f>IF(L132=1,'Cash flow statement'!L32," ")</f>
        <v>-775</v>
      </c>
      <c r="M183" s="94">
        <f>IF(M132=1,'Cash flow statement'!M32," ")</f>
        <v>-775</v>
      </c>
      <c r="N183" s="94">
        <f>IF(N132=1,'Cash flow statement'!N32," ")</f>
        <v>-780</v>
      </c>
      <c r="O183" s="94">
        <f>IF(O132=1,'Cash flow statement'!O32," ")</f>
        <v>-780</v>
      </c>
      <c r="P183" s="94">
        <f>IF(P132=1,'Cash flow statement'!P32," ")</f>
        <v>-785</v>
      </c>
      <c r="Q183" s="94">
        <f>IF(Q132=1,'Cash flow statement'!Q32," ")</f>
        <v>-785</v>
      </c>
      <c r="R183" s="94">
        <f>IF(R132=1,'Cash flow statement'!R32," ")</f>
        <v>-785</v>
      </c>
      <c r="S183" s="94">
        <f>IF(S132=1,'Cash flow statement'!S32," ")</f>
        <v>-785</v>
      </c>
      <c r="T183" s="94">
        <f>IF(T132=1,'Cash flow statement'!T32," ")</f>
        <v>-785</v>
      </c>
      <c r="U183" s="94">
        <f>IF(U132=1,'Cash flow statement'!U32," ")</f>
        <v>-785</v>
      </c>
      <c r="V183" s="94">
        <f>IF(V132=1,'Cash flow statement'!V32," ")</f>
        <v>-785</v>
      </c>
      <c r="W183" s="94">
        <f>IF(W132=1,'Cash flow statement'!W32," ")</f>
        <v>-785</v>
      </c>
      <c r="X183" s="94">
        <f>IF(X132=1,'Cash flow statement'!X32," ")</f>
        <v>-785</v>
      </c>
      <c r="Y183" s="94">
        <f>IF(Y132=1,'Cash flow statement'!Y32," ")</f>
        <v>-785</v>
      </c>
      <c r="Z183" s="94">
        <f>IF(Z132=1,'Cash flow statement'!Z32," ")</f>
        <v>-790</v>
      </c>
      <c r="AA183" s="94">
        <f>IF(AA132=1,'Cash flow statement'!AA32," ")</f>
        <v>-790</v>
      </c>
      <c r="AB183" s="94">
        <f>IF(AB132=1,'Cash flow statement'!AB32," ")</f>
        <v>-790</v>
      </c>
      <c r="AC183" s="94">
        <f>IF(AC132=1,'Cash flow statement'!AC32," ")</f>
        <v>-790</v>
      </c>
      <c r="AD183" s="94">
        <f>IF(AD132=1,'Cash flow statement'!AD32," ")</f>
        <v>-790</v>
      </c>
      <c r="AE183" s="94">
        <f>IF(AE132=1,'Cash flow statement'!AE32," ")</f>
        <v>-790</v>
      </c>
      <c r="AF183" s="94">
        <f>IF(AF132=1,'Cash flow statement'!AF32," ")</f>
        <v>-790</v>
      </c>
      <c r="AG183" s="94">
        <f>IF(AG132=1,'Cash flow statement'!AG32," ")</f>
        <v>-790</v>
      </c>
      <c r="AH183" s="94">
        <f>IF(AH132=1,'Cash flow statement'!AH32," ")</f>
        <v>-790</v>
      </c>
    </row>
    <row r="184" spans="1:35" s="412" customFormat="1" ht="12" x14ac:dyDescent="0.15">
      <c r="A184" s="80"/>
      <c r="B184" s="80" t="s">
        <v>621</v>
      </c>
      <c r="C184" s="80"/>
      <c r="D184" s="80"/>
      <c r="E184" s="94">
        <f>IF(E132=1,'Cash flow statement'!E38+'Cash flow statement'!E36-'Cash flow statement'!E35,0)</f>
        <v>0</v>
      </c>
      <c r="F184" s="94">
        <f>IF(F132=1,'Cash flow statement'!F38+'Cash flow statement'!F36-'Cash flow statement'!F35,0)</f>
        <v>-47.5</v>
      </c>
      <c r="G184" s="94">
        <f>IF(G132=1,'Cash flow statement'!G38+'Cash flow statement'!G36-'Cash flow statement'!G35,0)</f>
        <v>67.5</v>
      </c>
      <c r="H184" s="94">
        <f>IF(H132=1,'Cash flow statement'!H38+'Cash flow statement'!H36-'Cash flow statement'!H35,0)</f>
        <v>97.5</v>
      </c>
      <c r="I184" s="94">
        <f>IF(I132=1,'Cash flow statement'!I38+'Cash flow statement'!I36-'Cash flow statement'!I35,0)</f>
        <v>97.5</v>
      </c>
      <c r="J184" s="94">
        <f>IF(J132=1,'Cash flow statement'!J38+'Cash flow statement'!J36-'Cash flow statement'!J35," ")</f>
        <v>97.5</v>
      </c>
      <c r="K184" s="94">
        <f>IF(K132=1,'Cash flow statement'!K38+'Cash flow statement'!K36-'Cash flow statement'!K35," ")</f>
        <v>97.5</v>
      </c>
      <c r="L184" s="94">
        <f>IF(L132=1,'Cash flow statement'!L38+'Cash flow statement'!L36-'Cash flow statement'!L35," ")</f>
        <v>-84.939506666915292</v>
      </c>
      <c r="M184" s="94">
        <f>IF(M132=1,'Cash flow statement'!M38+'Cash flow statement'!M36-'Cash flow statement'!M35," ")</f>
        <v>-85.307442498607458</v>
      </c>
      <c r="N184" s="94">
        <f>IF(N132=1,'Cash flow statement'!N38+'Cash flow statement'!N36-'Cash flow statement'!N35," ")</f>
        <v>-85.738398074929933</v>
      </c>
      <c r="O184" s="94">
        <f>IF(O132=1,'Cash flow statement'!O38+'Cash flow statement'!O36-'Cash flow statement'!O35," ")</f>
        <v>-64.094414864335292</v>
      </c>
      <c r="P184" s="94">
        <f>IF(P132=1,'Cash flow statement'!P38+'Cash flow statement'!P36-'Cash flow statement'!P35," ")</f>
        <v>-9.6624153580774621</v>
      </c>
      <c r="Q184" s="94">
        <f>IF(Q132=1,'Cash flow statement'!Q38+'Cash flow statement'!Q36-'Cash flow statement'!Q35," ")</f>
        <v>-10.24214612536878</v>
      </c>
      <c r="R184" s="94">
        <f>IF(R132=1,'Cash flow statement'!R38+'Cash flow statement'!R36-'Cash flow statement'!R35," ")</f>
        <v>-10.857626130981783</v>
      </c>
      <c r="S184" s="94">
        <f>IF(S132=1,'Cash flow statement'!S38+'Cash flow statement'!S36-'Cash flow statement'!S35," ")</f>
        <v>-11.511116225829554</v>
      </c>
      <c r="T184" s="94">
        <f>IF(T132=1,'Cash flow statement'!T38+'Cash flow statement'!T36-'Cash flow statement'!T35," ")</f>
        <v>-12.205023440600621</v>
      </c>
      <c r="U184" s="94">
        <f>IF(U132=1,'Cash flow statement'!U38+'Cash flow statement'!U36-'Cash flow statement'!U35," ")</f>
        <v>-687.94191061435379</v>
      </c>
      <c r="V184" s="94">
        <f>IF(V132=1,'Cash flow statement'!V38+'Cash flow statement'!V36-'Cash flow statement'!V35," ")</f>
        <v>0</v>
      </c>
      <c r="W184" s="94">
        <f>IF(W132=1,'Cash flow statement'!W38+'Cash flow statement'!W36-'Cash flow statement'!W35," ")</f>
        <v>0</v>
      </c>
      <c r="X184" s="94">
        <f>IF(X132=1,'Cash flow statement'!X38+'Cash flow statement'!X36-'Cash flow statement'!X35," ")</f>
        <v>0</v>
      </c>
      <c r="Y184" s="94">
        <f>IF(Y132=1,'Cash flow statement'!Y38+'Cash flow statement'!Y36-'Cash flow statement'!Y35," ")</f>
        <v>0</v>
      </c>
      <c r="Z184" s="94">
        <f>IF(Z132=1,'Cash flow statement'!Z38+'Cash flow statement'!Z36-'Cash flow statement'!Z35," ")</f>
        <v>0</v>
      </c>
      <c r="AA184" s="94">
        <f>IF(AA132=1,'Cash flow statement'!AA38+'Cash flow statement'!AA36-'Cash flow statement'!AA35," ")</f>
        <v>0</v>
      </c>
      <c r="AB184" s="94">
        <f>IF(AB132=1,'Cash flow statement'!AB38+'Cash flow statement'!AB36-'Cash flow statement'!AB35," ")</f>
        <v>0</v>
      </c>
      <c r="AC184" s="94">
        <f>IF(AC132=1,'Cash flow statement'!AC38+'Cash flow statement'!AC36-'Cash flow statement'!AC35," ")</f>
        <v>0</v>
      </c>
      <c r="AD184" s="94">
        <f>IF(AD132=1,'Cash flow statement'!AD38+'Cash flow statement'!AD36-'Cash flow statement'!AD35," ")</f>
        <v>0</v>
      </c>
      <c r="AE184" s="94">
        <f>IF(AE132=1,'Cash flow statement'!AE38+'Cash flow statement'!AE36-'Cash flow statement'!AE35," ")</f>
        <v>-50</v>
      </c>
      <c r="AF184" s="94">
        <f>IF(AF132=1,'Cash flow statement'!AF38+'Cash flow statement'!AF36-'Cash flow statement'!AF35," ")</f>
        <v>0</v>
      </c>
      <c r="AG184" s="94">
        <f>IF(AG132=1,'Cash flow statement'!AG38+'Cash flow statement'!AG36-'Cash flow statement'!AG35," ")</f>
        <v>0</v>
      </c>
      <c r="AH184" s="94">
        <f>IF(AH132=1,'Cash flow statement'!AH38+'Cash flow statement'!AH36-'Cash flow statement'!AH35," ")</f>
        <v>0</v>
      </c>
    </row>
    <row r="185" spans="1:35" s="412" customFormat="1" ht="12" x14ac:dyDescent="0.15">
      <c r="A185" s="80"/>
      <c r="B185" s="80" t="s">
        <v>609</v>
      </c>
      <c r="C185" s="80"/>
      <c r="D185" s="80"/>
      <c r="E185" s="94">
        <f>IF(E132=1,'Cash flow statement'!E37,0)</f>
        <v>0</v>
      </c>
      <c r="F185" s="94">
        <f>IF(F132=1,'Cash flow statement'!F37,0)</f>
        <v>41.2</v>
      </c>
      <c r="G185" s="94">
        <f>IF(G132=1,'Cash flow statement'!G37,0)</f>
        <v>42.436</v>
      </c>
      <c r="H185" s="94">
        <f>IF(H132=1,'Cash flow statement'!H37,0)</f>
        <v>43.70908</v>
      </c>
      <c r="I185" s="94">
        <f>IF(I132=1,'Cash flow statement'!I37,0)</f>
        <v>45.0203524</v>
      </c>
      <c r="J185" s="94">
        <f>IF(J132=1,'Cash flow statement'!J37," ")</f>
        <v>46.370962972000001</v>
      </c>
      <c r="K185" s="94">
        <f>IF(K132=1,'Cash flow statement'!K37," ")</f>
        <v>47.762091861160002</v>
      </c>
      <c r="L185" s="94">
        <f>IF(L132=1,'Cash flow statement'!L37," ")</f>
        <v>49.194954616994806</v>
      </c>
      <c r="M185" s="94">
        <f>IF(M132=1,'Cash flow statement'!M37," ")</f>
        <v>50.670803255504651</v>
      </c>
      <c r="N185" s="94">
        <f>IF(N132=1,'Cash flow statement'!N37," ")</f>
        <v>52.190927353169798</v>
      </c>
      <c r="O185" s="94">
        <f>IF(O132=1,'Cash flow statement'!O37," ")</f>
        <v>53.756655173764884</v>
      </c>
      <c r="P185" s="94">
        <f>IF(P132=1,'Cash flow statement'!P37," ")</f>
        <v>55.369354828977833</v>
      </c>
      <c r="Q185" s="94">
        <f>IF(Q132=1,'Cash flow statement'!Q37," ")</f>
        <v>57.03043547384717</v>
      </c>
      <c r="R185" s="94">
        <f>IF(R132=1,'Cash flow statement'!R37," ")</f>
        <v>58.741348538062581</v>
      </c>
      <c r="S185" s="94">
        <f>IF(S132=1,'Cash flow statement'!S37," ")</f>
        <v>60.50358899420447</v>
      </c>
      <c r="T185" s="94">
        <f>IF(T132=1,'Cash flow statement'!T37," ")</f>
        <v>62.318696664030611</v>
      </c>
      <c r="U185" s="94">
        <f>IF(U132=1,'Cash flow statement'!U37," ")</f>
        <v>64.188257563951538</v>
      </c>
      <c r="V185" s="94">
        <f>IF(V132=1,'Cash flow statement'!V37," ")</f>
        <v>66.113905290870065</v>
      </c>
      <c r="W185" s="94">
        <f>IF(W132=1,'Cash flow statement'!W37," ")</f>
        <v>68.097322449596192</v>
      </c>
      <c r="X185" s="94">
        <f>IF(X132=1,'Cash flow statement'!X37," ")</f>
        <v>70.140242123084064</v>
      </c>
      <c r="Y185" s="94">
        <f>IF(Y132=1,'Cash flow statement'!Y37," ")</f>
        <v>72.244449386776594</v>
      </c>
      <c r="Z185" s="94">
        <f>IF(Z132=1,'Cash flow statement'!Z37," ")</f>
        <v>74.411782868379902</v>
      </c>
      <c r="AA185" s="94">
        <f>IF(AA132=1,'Cash flow statement'!AA37," ")</f>
        <v>76.644136354431296</v>
      </c>
      <c r="AB185" s="94">
        <f>IF(AB132=1,'Cash flow statement'!AB37," ")</f>
        <v>78.943460445064233</v>
      </c>
      <c r="AC185" s="94">
        <f>IF(AC132=1,'Cash flow statement'!AC37," ")</f>
        <v>81.311764258416162</v>
      </c>
      <c r="AD185" s="94">
        <f>IF(AD132=1,'Cash flow statement'!AD37," ")</f>
        <v>83.751117186168642</v>
      </c>
      <c r="AE185" s="94">
        <f>IF(AE132=1,'Cash flow statement'!AE37," ")</f>
        <v>86.263650701753704</v>
      </c>
      <c r="AF185" s="94">
        <f>IF(AF132=1,'Cash flow statement'!AF37," ")</f>
        <v>88.851560222806313</v>
      </c>
      <c r="AG185" s="94">
        <f>IF(AG132=1,'Cash flow statement'!AG37," ")</f>
        <v>91.517107029490504</v>
      </c>
      <c r="AH185" s="94">
        <f>IF(AH132=1,'Cash flow statement'!AH37," ")</f>
        <v>94.262620240375227</v>
      </c>
    </row>
    <row r="186" spans="1:35" s="412" customFormat="1" ht="12" x14ac:dyDescent="0.15">
      <c r="A186" s="80"/>
      <c r="B186" s="80" t="s">
        <v>81</v>
      </c>
      <c r="C186" s="80"/>
      <c r="D186" s="80"/>
      <c r="E186" s="94">
        <f>IF(E132=1,'Cash flow statement'!E39,0)</f>
        <v>0</v>
      </c>
      <c r="F186" s="94">
        <f>IF(F132=1,'Cash flow statement'!F39,0)</f>
        <v>0</v>
      </c>
      <c r="G186" s="94">
        <f>IF(G132=1,'Cash flow statement'!G39,0)</f>
        <v>0</v>
      </c>
      <c r="H186" s="94">
        <f>IF(H132=1,'Cash flow statement'!H39,0)</f>
        <v>0</v>
      </c>
      <c r="I186" s="94">
        <f>IF(I132=1,'Cash flow statement'!I39,0)</f>
        <v>0</v>
      </c>
      <c r="J186" s="94">
        <f>IF(J132=1,'Cash flow statement'!J39," ")</f>
        <v>0</v>
      </c>
      <c r="K186" s="94">
        <f>IF(K132=1,'Cash flow statement'!K39," ")</f>
        <v>0</v>
      </c>
      <c r="L186" s="94">
        <f>IF(L132=1,'Cash flow statement'!L39," ")</f>
        <v>0</v>
      </c>
      <c r="M186" s="94">
        <f>IF(M132=1,'Cash flow statement'!M39," ")</f>
        <v>0</v>
      </c>
      <c r="N186" s="94">
        <f>IF(N132=1,'Cash flow statement'!N39," ")</f>
        <v>0</v>
      </c>
      <c r="O186" s="94">
        <f>IF(O132=1,'Cash flow statement'!O39," ")</f>
        <v>0</v>
      </c>
      <c r="P186" s="94">
        <f>IF(P132=1,'Cash flow statement'!P39," ")</f>
        <v>0</v>
      </c>
      <c r="Q186" s="94">
        <f>IF(Q132=1,'Cash flow statement'!Q39," ")</f>
        <v>0</v>
      </c>
      <c r="R186" s="94">
        <f>IF(R132=1,'Cash flow statement'!R39," ")</f>
        <v>0</v>
      </c>
      <c r="S186" s="94">
        <f>IF(S132=1,'Cash flow statement'!S39," ")</f>
        <v>0</v>
      </c>
      <c r="T186" s="94">
        <f>IF(T132=1,'Cash flow statement'!T39," ")</f>
        <v>0</v>
      </c>
      <c r="U186" s="94">
        <f>IF(U132=1,'Cash flow statement'!U39," ")</f>
        <v>0</v>
      </c>
      <c r="V186" s="94">
        <f>IF(V132=1,'Cash flow statement'!V39," ")</f>
        <v>0</v>
      </c>
      <c r="W186" s="94">
        <f>IF(W132=1,'Cash flow statement'!W39," ")</f>
        <v>0</v>
      </c>
      <c r="X186" s="94">
        <f>IF(X132=1,'Cash flow statement'!X39," ")</f>
        <v>0</v>
      </c>
      <c r="Y186" s="94">
        <f>IF(Y132=1,'Cash flow statement'!Y39," ")</f>
        <v>0</v>
      </c>
      <c r="Z186" s="94">
        <f>IF(Z132=1,'Cash flow statement'!Z39," ")</f>
        <v>0</v>
      </c>
      <c r="AA186" s="94">
        <f>IF(AA132=1,'Cash flow statement'!AA39," ")</f>
        <v>0</v>
      </c>
      <c r="AB186" s="94">
        <f>IF(AB132=1,'Cash flow statement'!AB39," ")</f>
        <v>0</v>
      </c>
      <c r="AC186" s="94">
        <f>IF(AC132=1,'Cash flow statement'!AC39," ")</f>
        <v>0</v>
      </c>
      <c r="AD186" s="94">
        <f>IF(AD132=1,'Cash flow statement'!AD39," ")</f>
        <v>0</v>
      </c>
      <c r="AE186" s="94">
        <f>IF(AE132=1,'Cash flow statement'!AE39," ")</f>
        <v>0</v>
      </c>
      <c r="AF186" s="94">
        <f>IF(AF132=1,'Cash flow statement'!AF39," ")</f>
        <v>0</v>
      </c>
      <c r="AG186" s="94">
        <f>IF(AG132=1,'Cash flow statement'!AG39," ")</f>
        <v>0</v>
      </c>
      <c r="AH186" s="94">
        <f>IF(AH132=1,'Cash flow statement'!AH39," ")</f>
        <v>0</v>
      </c>
    </row>
    <row r="187" spans="1:35" s="412" customFormat="1" ht="12" x14ac:dyDescent="0.15">
      <c r="A187" s="80"/>
      <c r="B187" s="80" t="s">
        <v>206</v>
      </c>
      <c r="C187" s="80"/>
      <c r="D187" s="80"/>
      <c r="E187" s="94">
        <f>IF(E132=1,'Cash flow statement'!E40*-1,0)</f>
        <v>0</v>
      </c>
      <c r="F187" s="94">
        <f>IF(F132=1,'Cash flow statement'!F40*-1,0)</f>
        <v>-34.074249999999992</v>
      </c>
      <c r="G187" s="94">
        <f>IF(G132=1,'Cash flow statement'!G40*-1,0)</f>
        <v>-38.919499999999857</v>
      </c>
      <c r="H187" s="94">
        <f>IF(H132=1,'Cash flow statement'!H40*-1,0)</f>
        <v>-42.692250000000058</v>
      </c>
      <c r="I187" s="94">
        <f>IF(I132=1,'Cash flow statement'!I40*-1,0)</f>
        <v>-49.486624999999549</v>
      </c>
      <c r="J187" s="94">
        <f>IF(J132=1,'Cash flow statement'!J40*-1," ")</f>
        <v>-56.132500000000618</v>
      </c>
      <c r="K187" s="94">
        <f>IF(K132=1,'Cash flow statement'!K40*-1," ")</f>
        <v>-62.637749999999869</v>
      </c>
      <c r="L187" s="94">
        <f>IF(L132=1,'Cash flow statement'!L40*-1," ")</f>
        <v>-63.971624999999221</v>
      </c>
      <c r="M187" s="94">
        <f>IF(M132=1,'Cash flow statement'!M40*-1," ")</f>
        <v>-59.866439168310535</v>
      </c>
      <c r="N187" s="94">
        <f>IF(N132=1,'Cash flow statement'!N40*-1," ")</f>
        <v>-55.462483591983982</v>
      </c>
      <c r="O187" s="94">
        <f>IF(O132=1,'Cash flow statement'!O40*-1," ")</f>
        <v>-48.585341802581752</v>
      </c>
      <c r="P187" s="94">
        <f>IF(P132=1,'Cash flow statement'!P40*-1," ")</f>
        <v>-46.312091308835079</v>
      </c>
      <c r="Q187" s="94">
        <f>IF(Q132=1,'Cash flow statement'!Q40*-1," ")</f>
        <v>-45.732360541545859</v>
      </c>
      <c r="R187" s="94">
        <f>IF(R132=1,'Cash flow statement'!R40*-1," ")</f>
        <v>-45.116880535928431</v>
      </c>
      <c r="S187" s="94">
        <f>IF(S132=1,'Cash flow statement'!S40*-1," ")</f>
        <v>-44.463390441083902</v>
      </c>
      <c r="T187" s="94">
        <f>IF(T132=1,'Cash flow statement'!T40*-1," ")</f>
        <v>-43.76948322631506</v>
      </c>
      <c r="U187" s="94">
        <f>IF(U132=1,'Cash flow statement'!U40*-1," ")</f>
        <v>-23.657596052558802</v>
      </c>
      <c r="V187" s="94">
        <f>IF(V132=1,'Cash flow statement'!V40*-1," ")</f>
        <v>-3.5000000000109139</v>
      </c>
      <c r="W187" s="94">
        <f>IF(W132=1,'Cash flow statement'!W40*-1," ")</f>
        <v>-3.500000000003638</v>
      </c>
      <c r="X187" s="94">
        <f>IF(X132=1,'Cash flow statement'!X40*-1," ")</f>
        <v>-3.499999999992724</v>
      </c>
      <c r="Y187" s="94">
        <f>IF(Y132=1,'Cash flow statement'!Y40*-1," ")</f>
        <v>-3.4999999999890861</v>
      </c>
      <c r="Z187" s="94">
        <f>IF(Z132=1,'Cash flow statement'!Z40*-1," ")</f>
        <v>-3.5</v>
      </c>
      <c r="AA187" s="94">
        <f>IF(AA132=1,'Cash flow statement'!AA40*-1," ")</f>
        <v>-3.500000000007276</v>
      </c>
      <c r="AB187" s="94">
        <f>IF(AB132=1,'Cash flow statement'!AB40*-1," ")</f>
        <v>-3.4999999999854481</v>
      </c>
      <c r="AC187" s="94">
        <f>IF(AC132=1,'Cash flow statement'!AC40*-1," ")</f>
        <v>-3.500000000007276</v>
      </c>
      <c r="AD187" s="94">
        <f>IF(AD132=1,'Cash flow statement'!AD40*-1," ")</f>
        <v>-3.4999999999854481</v>
      </c>
      <c r="AE187" s="94">
        <f>IF(AE132=1,'Cash flow statement'!AE40*-1," ")</f>
        <v>-2.2499999999854481</v>
      </c>
      <c r="AF187" s="94">
        <f>IF(AF132=1,'Cash flow statement'!AF40*-1," ")</f>
        <v>-1</v>
      </c>
      <c r="AG187" s="94">
        <f>IF(AG132=1,'Cash flow statement'!AG40*-1," ")</f>
        <v>-1.000000000007276</v>
      </c>
      <c r="AH187" s="94">
        <f>IF(AH132=1,'Cash flow statement'!AH40*-1," ")</f>
        <v>-1.000000000007276</v>
      </c>
    </row>
    <row r="188" spans="1:35" s="412" customFormat="1" ht="12" x14ac:dyDescent="0.15">
      <c r="A188" s="80"/>
      <c r="B188" s="80" t="s">
        <v>111</v>
      </c>
      <c r="C188" s="80"/>
      <c r="D188" s="80"/>
      <c r="E188" s="94">
        <f>IF(E132=1,'Cash flow statement'!E41*-1,0)</f>
        <v>0</v>
      </c>
      <c r="F188" s="94">
        <f>IF(F132=1,'Cash flow statement'!F41*-1,0)</f>
        <v>-35111.332491345485</v>
      </c>
      <c r="G188" s="94">
        <f>IF(G132=1,'Cash flow statement'!G41*-1,0)</f>
        <v>-36373.575895897797</v>
      </c>
      <c r="H188" s="94">
        <f>IF(H132=1,'Cash flow statement'!H41*-1,0)</f>
        <v>-38410.307538107183</v>
      </c>
      <c r="I188" s="94">
        <f>IF(I132=1,'Cash flow statement'!I41*-1,0)</f>
        <v>-41440.206875796313</v>
      </c>
      <c r="J188" s="94">
        <f>IF(J132=1,'Cash flow statement'!J41*-1," ")</f>
        <v>-44358.624339988368</v>
      </c>
      <c r="K188" s="94">
        <f>IF(K132=1,'Cash flow statement'!K41*-1," ")</f>
        <v>-50086.956185961229</v>
      </c>
      <c r="L188" s="94">
        <f>IF(L132=1,'Cash flow statement'!L41*-1," ")</f>
        <v>-53743.342858310134</v>
      </c>
      <c r="M188" s="94">
        <f>IF(M132=1,'Cash flow statement'!M41*-1," ")</f>
        <v>-57103.623383135331</v>
      </c>
      <c r="N188" s="94">
        <f>IF(N132=1,'Cash flow statement'!N41*-1," ")</f>
        <v>-60619.997197637553</v>
      </c>
      <c r="O188" s="94">
        <f>IF(O132=1,'Cash flow statement'!O41*-1," ")</f>
        <v>-63414.882193721845</v>
      </c>
      <c r="P188" s="94">
        <f>IF(P132=1,'Cash flow statement'!P41*-1," ")</f>
        <v>-66996.838806571293</v>
      </c>
      <c r="Q188" s="94">
        <f>IF(Q132=1,'Cash flow statement'!Q41*-1," ")</f>
        <v>-70769.865697055488</v>
      </c>
      <c r="R188" s="94">
        <f>IF(R132=1,'Cash flow statement'!R41*-1," ")</f>
        <v>-74714.3929470398</v>
      </c>
      <c r="S188" s="94">
        <f>IF(S132=1,'Cash flow statement'!S41*-1," ")</f>
        <v>-78840.515344163679</v>
      </c>
      <c r="T188" s="94">
        <f>IF(T132=1,'Cash flow statement'!T41*-1," ")</f>
        <v>-83151.183172028323</v>
      </c>
      <c r="U188" s="94">
        <f>IF(U132=1,'Cash flow statement'!U41*-1," ")</f>
        <v>-87206.006007881486</v>
      </c>
      <c r="V188" s="94">
        <f>IF(V132=1,'Cash flow statement'!V41*-1," ")</f>
        <v>-92387.772174757163</v>
      </c>
      <c r="W188" s="94">
        <f>IF(W132=1,'Cash flow statement'!W41*-1," ")</f>
        <v>-97306.49180990427</v>
      </c>
      <c r="X188" s="94">
        <f>IF(X132=1,'Cash flow statement'!X41*-1," ")</f>
        <v>-102448.77479444376</v>
      </c>
      <c r="Y188" s="94">
        <f>IF(Y132=1,'Cash flow statement'!Y41*-1," ")</f>
        <v>-107817.97320115482</v>
      </c>
      <c r="Z188" s="94">
        <f>IF(Z132=1,'Cash flow statement'!Z41*-1," ")</f>
        <v>-113424.39512110522</v>
      </c>
      <c r="AA188" s="94">
        <f>IF(AA132=1,'Cash flow statement'!AA41*-1," ")</f>
        <v>-119281.54195346916</v>
      </c>
      <c r="AB188" s="94">
        <f>IF(AB132=1,'Cash flow statement'!AB41*-1," ")</f>
        <v>-125396.39799338669</v>
      </c>
      <c r="AC188" s="94">
        <f>IF(AC132=1,'Cash flow statement'!AC41*-1," ")</f>
        <v>-131779.04065523282</v>
      </c>
      <c r="AD188" s="94">
        <f>IF(AD132=1,'Cash flow statement'!AD41*-1," ")</f>
        <v>-138440.89451048782</v>
      </c>
      <c r="AE188" s="94">
        <f>IF(AE132=1,'Cash flow statement'!AE41*-1," ")</f>
        <v>-145368.28740758781</v>
      </c>
      <c r="AF188" s="94">
        <f>IF(AF132=1,'Cash flow statement'!AF41*-1," ")</f>
        <v>-152646.89529751957</v>
      </c>
      <c r="AG188" s="94">
        <f>IF(AG132=1,'Cash flow statement'!AG41*-1," ")</f>
        <v>-160213.51308990608</v>
      </c>
      <c r="AH188" s="94">
        <f>IF(AH132=1,'Cash flow statement'!AH41*-1," ")</f>
        <v>-168096.05694573803</v>
      </c>
    </row>
    <row r="189" spans="1:35" s="412" customFormat="1" ht="12" x14ac:dyDescent="0.15">
      <c r="A189" s="80"/>
      <c r="B189" s="80"/>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c r="AA189" s="80"/>
      <c r="AB189" s="80"/>
      <c r="AC189" s="80"/>
      <c r="AD189" s="80"/>
      <c r="AE189" s="80"/>
      <c r="AF189" s="80"/>
      <c r="AG189" s="80"/>
      <c r="AH189" s="80"/>
    </row>
    <row r="190" spans="1:35" s="412" customFormat="1" ht="12" x14ac:dyDescent="0.15">
      <c r="A190" s="80"/>
      <c r="B190" s="90" t="s">
        <v>184</v>
      </c>
      <c r="C190" s="80"/>
      <c r="D190" s="80"/>
      <c r="E190" s="80"/>
      <c r="F190" s="143"/>
      <c r="G190" s="80"/>
      <c r="H190" s="80"/>
      <c r="I190" s="80"/>
      <c r="J190" s="80"/>
      <c r="K190" s="80"/>
      <c r="L190" s="80"/>
      <c r="M190" s="80"/>
      <c r="N190" s="80"/>
      <c r="O190" s="80"/>
      <c r="P190" s="80"/>
      <c r="Q190" s="80"/>
      <c r="R190" s="80"/>
      <c r="S190" s="80"/>
      <c r="T190" s="80"/>
      <c r="U190" s="80"/>
      <c r="V190" s="80"/>
      <c r="W190" s="80"/>
      <c r="X190" s="80"/>
      <c r="Y190" s="80"/>
      <c r="Z190" s="80"/>
      <c r="AA190" s="80"/>
      <c r="AB190" s="80"/>
      <c r="AC190" s="80"/>
      <c r="AD190" s="80"/>
      <c r="AE190" s="80"/>
      <c r="AF190" s="80"/>
      <c r="AG190" s="80"/>
      <c r="AH190" s="80"/>
    </row>
    <row r="191" spans="1:35" s="412" customFormat="1" ht="12" x14ac:dyDescent="0.15">
      <c r="A191" s="80"/>
      <c r="B191" s="80"/>
      <c r="C191" s="80"/>
      <c r="D191" s="80"/>
      <c r="E191" s="93">
        <f>YEAR('Charts - Freight'!E$131)</f>
        <v>2010</v>
      </c>
      <c r="F191" s="93">
        <f>YEAR('Charts - Freight'!F$131)</f>
        <v>2011</v>
      </c>
      <c r="G191" s="93">
        <f>YEAR('Charts - Freight'!G$131)</f>
        <v>2012</v>
      </c>
      <c r="H191" s="93">
        <f>YEAR('Charts - Freight'!H$131)</f>
        <v>2013</v>
      </c>
      <c r="I191" s="93">
        <f>YEAR('Charts - Freight'!I$131)</f>
        <v>2014</v>
      </c>
      <c r="J191" s="93">
        <f>YEAR('Charts - Freight'!J$131)</f>
        <v>2015</v>
      </c>
      <c r="K191" s="93">
        <f>YEAR('Charts - Freight'!K$131)</f>
        <v>2016</v>
      </c>
      <c r="L191" s="93">
        <f>YEAR('Charts - Freight'!L$131)</f>
        <v>2017</v>
      </c>
      <c r="M191" s="93">
        <f>YEAR('Charts - Freight'!M$131)</f>
        <v>2018</v>
      </c>
      <c r="N191" s="93">
        <f>YEAR('Charts - Freight'!N$131)</f>
        <v>2019</v>
      </c>
      <c r="O191" s="93">
        <f>YEAR('Charts - Freight'!O$131)</f>
        <v>2020</v>
      </c>
      <c r="P191" s="93">
        <f>YEAR('Charts - Freight'!P$131)</f>
        <v>2021</v>
      </c>
      <c r="Q191" s="93">
        <f>YEAR('Charts - Freight'!Q$131)</f>
        <v>2022</v>
      </c>
      <c r="R191" s="93">
        <f>YEAR('Charts - Freight'!R$131)</f>
        <v>2023</v>
      </c>
      <c r="S191" s="93">
        <f>YEAR('Charts - Freight'!S$131)</f>
        <v>2024</v>
      </c>
      <c r="T191" s="93">
        <f>YEAR('Charts - Freight'!T$131)</f>
        <v>2025</v>
      </c>
      <c r="U191" s="93">
        <f>YEAR('Charts - Freight'!U$131)</f>
        <v>2026</v>
      </c>
      <c r="V191" s="93">
        <f>YEAR('Charts - Freight'!V$131)</f>
        <v>2027</v>
      </c>
      <c r="W191" s="93">
        <f>YEAR('Charts - Freight'!W$131)</f>
        <v>2028</v>
      </c>
      <c r="X191" s="93">
        <f>YEAR('Charts - Freight'!X$131)</f>
        <v>2029</v>
      </c>
      <c r="Y191" s="93">
        <f>YEAR('Charts - Freight'!Y$131)</f>
        <v>2030</v>
      </c>
      <c r="Z191" s="93">
        <f>YEAR('Charts - Freight'!Z$131)</f>
        <v>2031</v>
      </c>
      <c r="AA191" s="93">
        <f>YEAR('Charts - Freight'!AA$131)</f>
        <v>2032</v>
      </c>
      <c r="AB191" s="93">
        <f>YEAR('Charts - Freight'!AB$131)</f>
        <v>2033</v>
      </c>
      <c r="AC191" s="93">
        <f>YEAR('Charts - Freight'!AC$131)</f>
        <v>2034</v>
      </c>
      <c r="AD191" s="93">
        <f>YEAR('Charts - Freight'!AD$131)</f>
        <v>2035</v>
      </c>
      <c r="AE191" s="93">
        <f>YEAR('Charts - Freight'!AE$131)</f>
        <v>2036</v>
      </c>
      <c r="AF191" s="93">
        <f>YEAR('Charts - Freight'!AF$131)</f>
        <v>2037</v>
      </c>
      <c r="AG191" s="93">
        <f>YEAR('Charts - Freight'!AG$131)</f>
        <v>2038</v>
      </c>
      <c r="AH191" s="93">
        <f>YEAR('Charts - Freight'!AH$131)</f>
        <v>2039</v>
      </c>
    </row>
    <row r="192" spans="1:35" s="412" customFormat="1" ht="12" x14ac:dyDescent="0.15">
      <c r="A192" s="80"/>
      <c r="B192" s="80" t="s">
        <v>184</v>
      </c>
      <c r="C192" s="80"/>
      <c r="D192" s="80"/>
      <c r="E192" s="80">
        <f>IF(E132=1,'Cash flow statement'!E28,0)</f>
        <v>0</v>
      </c>
      <c r="F192" s="80">
        <f>IF(F132=1,'Cash flow statement'!F28,0)</f>
        <v>540</v>
      </c>
      <c r="G192" s="80">
        <f>IF(G132=1,'Cash flow statement'!G28,0)</f>
        <v>850</v>
      </c>
      <c r="H192" s="80">
        <f>IF(H132=1,'Cash flow statement'!H28,0)</f>
        <v>850</v>
      </c>
      <c r="I192" s="80">
        <f>IF(I132=1,'Cash flow statement'!I28,0)</f>
        <v>850</v>
      </c>
      <c r="J192" s="80">
        <f>IF(J132=1,'Cash flow statement'!J28," ")</f>
        <v>850</v>
      </c>
      <c r="K192" s="80">
        <f>IF(K132=1,'Cash flow statement'!K28," ")</f>
        <v>850</v>
      </c>
      <c r="L192" s="80">
        <f>IF(L132=1,'Cash flow statement'!L28," ")</f>
        <v>850</v>
      </c>
      <c r="M192" s="80">
        <f>IF(M132=1,'Cash flow statement'!M28," ")</f>
        <v>850</v>
      </c>
      <c r="N192" s="80">
        <f>IF(N132=1,'Cash flow statement'!N28," ")</f>
        <v>850</v>
      </c>
      <c r="O192" s="80">
        <f>IF(O132=1,'Cash flow statement'!O28," ")</f>
        <v>850</v>
      </c>
      <c r="P192" s="80">
        <f>IF(P132=1,'Cash flow statement'!P28," ")</f>
        <v>850</v>
      </c>
      <c r="Q192" s="80">
        <f>IF(Q132=1,'Cash flow statement'!Q28," ")</f>
        <v>850</v>
      </c>
      <c r="R192" s="80">
        <f>IF(R132=1,'Cash flow statement'!R28," ")</f>
        <v>850</v>
      </c>
      <c r="S192" s="80">
        <f>IF(S132=1,'Cash flow statement'!S28," ")</f>
        <v>850</v>
      </c>
      <c r="T192" s="80">
        <f>IF(T132=1,'Cash flow statement'!T28," ")</f>
        <v>850</v>
      </c>
      <c r="U192" s="80">
        <f>IF(U132=1,'Cash flow statement'!U28," ")</f>
        <v>850</v>
      </c>
      <c r="V192" s="80">
        <f>IF(V132=1,'Cash flow statement'!V28," ")</f>
        <v>850</v>
      </c>
      <c r="W192" s="80">
        <f>IF(W132=1,'Cash flow statement'!W28," ")</f>
        <v>850</v>
      </c>
      <c r="X192" s="80">
        <f>IF(X132=1,'Cash flow statement'!X28," ")</f>
        <v>850</v>
      </c>
      <c r="Y192" s="80">
        <f>IF(Y132=1,'Cash flow statement'!Y28," ")</f>
        <v>850</v>
      </c>
      <c r="Z192" s="80">
        <f>IF(Z132=1,'Cash flow statement'!Z28," ")</f>
        <v>850</v>
      </c>
      <c r="AA192" s="80">
        <f>IF(AA132=1,'Cash flow statement'!AA28," ")</f>
        <v>850</v>
      </c>
      <c r="AB192" s="80">
        <f>IF(AB132=1,'Cash flow statement'!AB28," ")</f>
        <v>850</v>
      </c>
      <c r="AC192" s="80">
        <f>IF(AC132=1,'Cash flow statement'!AC28," ")</f>
        <v>850</v>
      </c>
      <c r="AD192" s="80">
        <f>IF(AD132=1,'Cash flow statement'!AD28," ")</f>
        <v>850</v>
      </c>
      <c r="AE192" s="80">
        <f>IF(AE132=1,'Cash flow statement'!AE28," ")</f>
        <v>850</v>
      </c>
      <c r="AF192" s="80">
        <f>IF(AF132=1,'Cash flow statement'!AF28," ")</f>
        <v>850</v>
      </c>
      <c r="AG192" s="80">
        <f>IF(AG132=1,'Cash flow statement'!AG28," ")</f>
        <v>850</v>
      </c>
      <c r="AH192" s="80">
        <f>IF(AH132=1,'Cash flow statement'!AH28," ")</f>
        <v>850</v>
      </c>
    </row>
    <row r="193" spans="1:34" s="412" customFormat="1" ht="12" x14ac:dyDescent="0.15">
      <c r="A193" s="80"/>
      <c r="B193" s="80"/>
      <c r="C193" s="80"/>
      <c r="D193" s="80"/>
      <c r="E193" s="80"/>
      <c r="F193" s="80"/>
      <c r="G193" s="80"/>
      <c r="H193" s="80"/>
      <c r="I193" s="80"/>
      <c r="J193" s="80"/>
      <c r="K193" s="80"/>
      <c r="L193" s="80"/>
      <c r="M193" s="80"/>
      <c r="N193" s="80"/>
      <c r="O193" s="80"/>
      <c r="P193" s="80"/>
      <c r="Q193" s="80"/>
      <c r="R193" s="80"/>
      <c r="S193" s="80"/>
      <c r="T193" s="80"/>
      <c r="U193" s="80"/>
      <c r="V193" s="80"/>
      <c r="W193" s="80"/>
      <c r="X193" s="80"/>
      <c r="Y193" s="80"/>
      <c r="Z193" s="80"/>
      <c r="AA193" s="80"/>
      <c r="AB193" s="80"/>
      <c r="AC193" s="80"/>
      <c r="AD193" s="80"/>
      <c r="AE193" s="80"/>
      <c r="AF193" s="80"/>
      <c r="AG193" s="80"/>
      <c r="AH193" s="80"/>
    </row>
    <row r="194" spans="1:34" s="412" customFormat="1" ht="12" x14ac:dyDescent="0.15">
      <c r="A194" s="80"/>
      <c r="B194" s="90" t="s">
        <v>185</v>
      </c>
      <c r="C194" s="80"/>
      <c r="D194" s="80"/>
      <c r="E194" s="80"/>
      <c r="F194" s="80"/>
      <c r="G194" s="80"/>
      <c r="H194" s="80"/>
      <c r="I194" s="80"/>
      <c r="J194" s="80"/>
      <c r="K194" s="80"/>
      <c r="L194" s="80"/>
      <c r="M194" s="80"/>
      <c r="N194" s="80"/>
      <c r="O194" s="80"/>
      <c r="P194" s="80"/>
      <c r="Q194" s="80"/>
      <c r="R194" s="80"/>
      <c r="S194" s="80"/>
      <c r="T194" s="80"/>
      <c r="U194" s="80"/>
      <c r="V194" s="80"/>
      <c r="W194" s="80"/>
      <c r="X194" s="80"/>
      <c r="Y194" s="80"/>
      <c r="Z194" s="80"/>
      <c r="AA194" s="80"/>
      <c r="AB194" s="80"/>
      <c r="AC194" s="80"/>
      <c r="AD194" s="80"/>
      <c r="AE194" s="80"/>
      <c r="AF194" s="80"/>
      <c r="AG194" s="80"/>
      <c r="AH194" s="80"/>
    </row>
    <row r="195" spans="1:34" s="412" customFormat="1" ht="12" x14ac:dyDescent="0.15">
      <c r="A195" s="80"/>
      <c r="B195" s="80"/>
      <c r="C195" s="80"/>
      <c r="D195" s="80"/>
      <c r="E195" s="93">
        <f>YEAR('Charts - Freight'!E$131)</f>
        <v>2010</v>
      </c>
      <c r="F195" s="93">
        <f>YEAR('Charts - Freight'!F$131)</f>
        <v>2011</v>
      </c>
      <c r="G195" s="93">
        <f>YEAR('Charts - Freight'!G$131)</f>
        <v>2012</v>
      </c>
      <c r="H195" s="93">
        <f>YEAR('Charts - Freight'!H$131)</f>
        <v>2013</v>
      </c>
      <c r="I195" s="93">
        <f>YEAR('Charts - Freight'!I$131)</f>
        <v>2014</v>
      </c>
      <c r="J195" s="93">
        <f>YEAR('Charts - Freight'!J$131)</f>
        <v>2015</v>
      </c>
      <c r="K195" s="93">
        <f>YEAR('Charts - Freight'!K$131)</f>
        <v>2016</v>
      </c>
      <c r="L195" s="93">
        <f>YEAR('Charts - Freight'!L$131)</f>
        <v>2017</v>
      </c>
      <c r="M195" s="93">
        <f>YEAR('Charts - Freight'!M$131)</f>
        <v>2018</v>
      </c>
      <c r="N195" s="93">
        <f>YEAR('Charts - Freight'!N$131)</f>
        <v>2019</v>
      </c>
      <c r="O195" s="93">
        <f>YEAR('Charts - Freight'!O$131)</f>
        <v>2020</v>
      </c>
      <c r="P195" s="93">
        <f>YEAR('Charts - Freight'!P$131)</f>
        <v>2021</v>
      </c>
      <c r="Q195" s="93">
        <f>YEAR('Charts - Freight'!Q$131)</f>
        <v>2022</v>
      </c>
      <c r="R195" s="93">
        <f>YEAR('Charts - Freight'!R$131)</f>
        <v>2023</v>
      </c>
      <c r="S195" s="93">
        <f>YEAR('Charts - Freight'!S$131)</f>
        <v>2024</v>
      </c>
      <c r="T195" s="93">
        <f>YEAR('Charts - Freight'!T$131)</f>
        <v>2025</v>
      </c>
      <c r="U195" s="93">
        <f>YEAR('Charts - Freight'!U$131)</f>
        <v>2026</v>
      </c>
      <c r="V195" s="93">
        <f>YEAR('Charts - Freight'!V$131)</f>
        <v>2027</v>
      </c>
      <c r="W195" s="93">
        <f>YEAR('Charts - Freight'!W$131)</f>
        <v>2028</v>
      </c>
      <c r="X195" s="93">
        <f>YEAR('Charts - Freight'!X$131)</f>
        <v>2029</v>
      </c>
      <c r="Y195" s="93">
        <f>YEAR('Charts - Freight'!Y$131)</f>
        <v>2030</v>
      </c>
      <c r="Z195" s="93">
        <f>YEAR('Charts - Freight'!Z$131)</f>
        <v>2031</v>
      </c>
      <c r="AA195" s="93">
        <f>YEAR('Charts - Freight'!AA$131)</f>
        <v>2032</v>
      </c>
      <c r="AB195" s="93">
        <f>YEAR('Charts - Freight'!AB$131)</f>
        <v>2033</v>
      </c>
      <c r="AC195" s="93">
        <f>YEAR('Charts - Freight'!AC$131)</f>
        <v>2034</v>
      </c>
      <c r="AD195" s="93">
        <f>YEAR('Charts - Freight'!AD$131)</f>
        <v>2035</v>
      </c>
      <c r="AE195" s="93">
        <f>YEAR('Charts - Freight'!AE$131)</f>
        <v>2036</v>
      </c>
      <c r="AF195" s="93">
        <f>YEAR('Charts - Freight'!AF$131)</f>
        <v>2037</v>
      </c>
      <c r="AG195" s="93">
        <f>YEAR('Charts - Freight'!AG$131)</f>
        <v>2038</v>
      </c>
      <c r="AH195" s="93">
        <f>YEAR('Charts - Freight'!AH$131)</f>
        <v>2039</v>
      </c>
    </row>
    <row r="196" spans="1:34" s="412" customFormat="1" ht="12" x14ac:dyDescent="0.15">
      <c r="A196" s="80"/>
      <c r="B196" s="80" t="s">
        <v>163</v>
      </c>
      <c r="C196" s="80"/>
      <c r="D196" s="80"/>
      <c r="E196" s="94" t="str">
        <f>IF(E132=1,Calculations!E1439,0)</f>
        <v>N/A</v>
      </c>
      <c r="F196" s="94">
        <f>IF(F132=1,Calculations!F1439,0)</f>
        <v>621.4067860764585</v>
      </c>
      <c r="G196" s="94">
        <f>IF(G132=1,Calculations!G1439,0)</f>
        <v>360.09342407598729</v>
      </c>
      <c r="H196" s="94">
        <f>IF(H132=1,Calculations!H1439,0)</f>
        <v>462.21854813936596</v>
      </c>
      <c r="I196" s="94">
        <f>IF(I132=1,Calculations!I1439,0)</f>
        <v>471.90485199501489</v>
      </c>
      <c r="J196" s="94">
        <f>IF(J132=1,Calculations!J1439," ")</f>
        <v>480.14986402250349</v>
      </c>
      <c r="K196" s="94">
        <f>IF(K132=1,Calculations!K1439," ")</f>
        <v>514.85037137067695</v>
      </c>
      <c r="L196" s="94">
        <f>IF(L132=1,Calculations!L1439," ")</f>
        <v>520.4152899882472</v>
      </c>
      <c r="M196" s="94">
        <f>IF(M132=1,Calculations!M1439," ")</f>
        <v>566.37938540257812</v>
      </c>
      <c r="N196" s="94">
        <f>IF(N132=1,Calculations!N1439," ")</f>
        <v>617.31182173148318</v>
      </c>
      <c r="O196" s="94">
        <f>IF(O132=1,Calculations!O1439," ")</f>
        <v>809.57548666913783</v>
      </c>
      <c r="P196" s="94">
        <f>IF(P132=1,Calculations!P1439," ")</f>
        <v>1719.7324064720476</v>
      </c>
      <c r="Q196" s="94">
        <f>IF(Q132=1,Calculations!Q1439," ")</f>
        <v>1815.0551906425087</v>
      </c>
      <c r="R196" s="94">
        <f>IF(R132=1,Calculations!R1439," ")</f>
        <v>1914.5772389937761</v>
      </c>
      <c r="S196" s="94">
        <f>IF(S132=1,Calculations!S1439," ")</f>
        <v>2018.5526931206675</v>
      </c>
      <c r="T196" s="94">
        <f>IF(T132=1,Calculations!T1439," ")</f>
        <v>2127.0209523031667</v>
      </c>
      <c r="U196" s="94">
        <f>IF(U132=1,Calculations!U1439," ")</f>
        <v>176.2146605255374</v>
      </c>
      <c r="V196" s="94">
        <f>IF(V132=1,Calculations!V1439," ")</f>
        <v>37712.736654125576</v>
      </c>
      <c r="W196" s="94">
        <f>IF(W132=1,Calculations!W1439," ")</f>
        <v>39684.15181440398</v>
      </c>
      <c r="X196" s="94">
        <f>IF(X132=1,Calculations!X1439," ")</f>
        <v>41742.125175133282</v>
      </c>
      <c r="Y196" s="94">
        <f>IF(Y132=1,Calculations!Y1439," ")</f>
        <v>43887.282536782674</v>
      </c>
      <c r="Z196" s="94">
        <f>IF(Z132=1,Calculations!Z1439," ")</f>
        <v>46125.509538195693</v>
      </c>
      <c r="AA196" s="94">
        <f>IF(AA132=1,Calculations!AA1439," ")</f>
        <v>48459.259219440217</v>
      </c>
      <c r="AB196" s="94">
        <f>IF(AB132=1,Calculations!AB1439," ")</f>
        <v>50891.953752184658</v>
      </c>
      <c r="AC196" s="94">
        <f>IF(AC132=1,Calculations!AC1439," ")</f>
        <v>53427.139692733756</v>
      </c>
      <c r="AD196" s="94">
        <f>IF(AD132=1,Calculations!AD1439," ")</f>
        <v>56069.128499116596</v>
      </c>
      <c r="AE196" s="94">
        <f>IF(AE132=1,Calculations!AE1439," ")</f>
        <v>3940.2037178584246</v>
      </c>
      <c r="AF196" s="94">
        <f>IF(AF132=1,Calculations!AF1439," ")</f>
        <v>215910.12989520255</v>
      </c>
      <c r="AG196" s="94">
        <f>IF(AG132=1,Calculations!AG1439," ")</f>
        <v>226361.40002495603</v>
      </c>
      <c r="AH196" s="94">
        <f>IF(AH132=1,Calculations!AH1439," ")</f>
        <v>237227.77046402689</v>
      </c>
    </row>
    <row r="197" spans="1:34" s="412" customFormat="1" ht="12" x14ac:dyDescent="0.15">
      <c r="A197" s="80"/>
      <c r="B197" s="80" t="s">
        <v>186</v>
      </c>
      <c r="C197" s="80"/>
      <c r="D197" s="80"/>
      <c r="E197" s="95">
        <f>IF(E132=1,('Balance sheet'!E29+'Balance sheet'!E32)/'Balance sheet'!E42,0)</f>
        <v>5.292772991032179E-2</v>
      </c>
      <c r="F197" s="95">
        <f>IF(F132=1,('Balance sheet'!F29+'Balance sheet'!F32)/'Balance sheet'!F42,0)</f>
        <v>2.333090484639545E-2</v>
      </c>
      <c r="G197" s="95">
        <f>IF(G132=1,('Balance sheet'!G29+'Balance sheet'!G32)/'Balance sheet'!G42,0)</f>
        <v>1.6538178225769491E-2</v>
      </c>
      <c r="H197" s="95">
        <f>IF(H132=1,('Balance sheet'!H29+'Balance sheet'!H32)/'Balance sheet'!H42,0)</f>
        <v>1.3520869847517275E-2</v>
      </c>
      <c r="I197" s="95">
        <f>IF(I132=1,('Balance sheet'!I29+'Balance sheet'!I32)/'Balance sheet'!I42,0)</f>
        <v>1.1555561473774893E-2</v>
      </c>
      <c r="J197" s="95">
        <f>IF(J132=1,('Balance sheet'!J29+'Balance sheet'!J32)/'Balance sheet'!J42," ")</f>
        <v>1.0232982529947723E-2</v>
      </c>
      <c r="K197" s="95">
        <f>IF(K132=1,('Balance sheet'!K29+'Balance sheet'!K32)/'Balance sheet'!K42," ")</f>
        <v>9.109990205038887E-3</v>
      </c>
      <c r="L197" s="95">
        <f>IF(L132=1,('Balance sheet'!L29+'Balance sheet'!L32)/'Balance sheet'!L42," ")</f>
        <v>7.0909229746946361E-3</v>
      </c>
      <c r="M197" s="95">
        <f>IF(M132=1,('Balance sheet'!M29+'Balance sheet'!M32)/'Balance sheet'!M42," ")</f>
        <v>5.5835943251129347E-3</v>
      </c>
      <c r="N197" s="95">
        <f>IF(N132=1,('Balance sheet'!N29+'Balance sheet'!N32)/'Balance sheet'!N42," ")</f>
        <v>4.4241572472523026E-3</v>
      </c>
      <c r="O197" s="95">
        <f>IF(O132=1,('Balance sheet'!O29+'Balance sheet'!O32)/'Balance sheet'!O42," ")</f>
        <v>3.6096065505118336E-3</v>
      </c>
      <c r="P197" s="95">
        <f>IF(P132=1,('Balance sheet'!P29+'Balance sheet'!P32)/'Balance sheet'!P42," ")</f>
        <v>3.1622423643817062E-3</v>
      </c>
      <c r="Q197" s="95">
        <f>IF(Q132=1,('Balance sheet'!Q29+'Balance sheet'!Q32)/'Balance sheet'!Q42," ")</f>
        <v>2.7891800694626488E-3</v>
      </c>
      <c r="R197" s="95">
        <f>IF(R132=1,('Balance sheet'!R29+'Balance sheet'!R32)/'Balance sheet'!R42," ")</f>
        <v>2.4737578035259121E-3</v>
      </c>
      <c r="S197" s="95">
        <f>IF(S132=1,('Balance sheet'!S29+'Balance sheet'!S32)/'Balance sheet'!S42," ")</f>
        <v>2.2040106772831182E-3</v>
      </c>
      <c r="T197" s="95">
        <f>IF(T132=1,('Balance sheet'!T29+'Balance sheet'!T32)/'Balance sheet'!T42," ")</f>
        <v>1.9709418766803832E-3</v>
      </c>
      <c r="U197" s="95">
        <f>IF(U132=1,('Balance sheet'!U29+'Balance sheet'!U32)/'Balance sheet'!U42," ")</f>
        <v>2.2786912217847332E-4</v>
      </c>
      <c r="V197" s="95">
        <f>IF(V132=1,('Balance sheet'!V29+'Balance sheet'!V32)/'Balance sheet'!V42," ")</f>
        <v>2.085950104307723E-4</v>
      </c>
      <c r="W197" s="95">
        <f>IF(W132=1,('Balance sheet'!W29+'Balance sheet'!W32)/'Balance sheet'!W42," ")</f>
        <v>1.9157778897821573E-4</v>
      </c>
      <c r="X197" s="95">
        <f>IF(X132=1,('Balance sheet'!X29+'Balance sheet'!X32)/'Balance sheet'!X42," ")</f>
        <v>1.76471044927063E-4</v>
      </c>
      <c r="Y197" s="95">
        <f>IF(Y132=1,('Balance sheet'!Y29+'Balance sheet'!Y32)/'Balance sheet'!Y42," ")</f>
        <v>1.6298764302699107E-4</v>
      </c>
      <c r="Z197" s="95">
        <f>IF(Z132=1,('Balance sheet'!Z29+'Balance sheet'!Z32)/'Balance sheet'!Z42," ")</f>
        <v>1.5089934498081187E-4</v>
      </c>
      <c r="AA197" s="95">
        <f>IF(AA132=1,('Balance sheet'!AA29+'Balance sheet'!AA32)/'Balance sheet'!AA42," ")</f>
        <v>1.4001703151563568E-4</v>
      </c>
      <c r="AB197" s="95">
        <f>IF(AB132=1,('Balance sheet'!AB29+'Balance sheet'!AB32)/'Balance sheet'!AB42," ")</f>
        <v>1.3018272272177284E-4</v>
      </c>
      <c r="AC197" s="95">
        <f>IF(AC132=1,('Balance sheet'!AC29+'Balance sheet'!AC32)/'Balance sheet'!AC42," ")</f>
        <v>1.2126412598427433E-4</v>
      </c>
      <c r="AD197" s="95">
        <f>IF(AD132=1,('Balance sheet'!AD29+'Balance sheet'!AD32)/'Balance sheet'!AD42," ")</f>
        <v>1.1315039797482023E-4</v>
      </c>
      <c r="AE197" s="95">
        <f>IF(AE132=1,('Balance sheet'!AE29+'Balance sheet'!AE32)/'Balance sheet'!AE42," ")</f>
        <v>5.2872205281396446E-5</v>
      </c>
      <c r="AF197" s="95">
        <f>IF(AF132=1,('Balance sheet'!AF29+'Balance sheet'!AF32)/'Balance sheet'!AF42," ")</f>
        <v>4.9485847347012216E-5</v>
      </c>
      <c r="AG197" s="95">
        <f>IF(AG132=1,('Balance sheet'!AG29+'Balance sheet'!AG32)/'Balance sheet'!AG42," ")</f>
        <v>4.6379824818284519E-5</v>
      </c>
      <c r="AH197" s="95">
        <f>IF(AH132=1,('Balance sheet'!AH29+'Balance sheet'!AH32)/'Balance sheet'!AH42," ")</f>
        <v>4.3522592053847986E-5</v>
      </c>
    </row>
    <row r="198" spans="1:34" s="412" customFormat="1" ht="12" x14ac:dyDescent="0.15">
      <c r="A198" s="80"/>
      <c r="B198" s="80"/>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c r="AA198" s="80"/>
      <c r="AB198" s="80"/>
      <c r="AC198" s="80"/>
      <c r="AD198" s="80"/>
      <c r="AE198" s="80"/>
      <c r="AF198" s="80"/>
      <c r="AG198" s="80"/>
      <c r="AH198" s="80"/>
    </row>
    <row r="199" spans="1:34" s="412" customFormat="1" ht="12" x14ac:dyDescent="0.15">
      <c r="A199" s="80"/>
      <c r="B199" s="90" t="s">
        <v>187</v>
      </c>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c r="AA199" s="80"/>
      <c r="AB199" s="80"/>
      <c r="AC199" s="80"/>
      <c r="AD199" s="80"/>
      <c r="AE199" s="80"/>
      <c r="AF199" s="80"/>
      <c r="AG199" s="80"/>
      <c r="AH199" s="80"/>
    </row>
    <row r="200" spans="1:34" s="412" customFormat="1" ht="12" x14ac:dyDescent="0.15">
      <c r="A200" s="80"/>
      <c r="B200" s="80"/>
      <c r="C200" s="80"/>
      <c r="D200" s="80"/>
      <c r="E200" s="93">
        <f>YEAR('Charts - Freight'!E$131)</f>
        <v>2010</v>
      </c>
      <c r="F200" s="93">
        <f>YEAR('Charts - Freight'!F$131)</f>
        <v>2011</v>
      </c>
      <c r="G200" s="93">
        <f>YEAR('Charts - Freight'!G$131)</f>
        <v>2012</v>
      </c>
      <c r="H200" s="93">
        <f>YEAR('Charts - Freight'!H$131)</f>
        <v>2013</v>
      </c>
      <c r="I200" s="93">
        <f>YEAR('Charts - Freight'!I$131)</f>
        <v>2014</v>
      </c>
      <c r="J200" s="93">
        <f>YEAR('Charts - Freight'!J$131)</f>
        <v>2015</v>
      </c>
      <c r="K200" s="93">
        <f>YEAR('Charts - Freight'!K$131)</f>
        <v>2016</v>
      </c>
      <c r="L200" s="93">
        <f>YEAR('Charts - Freight'!L$131)</f>
        <v>2017</v>
      </c>
      <c r="M200" s="93">
        <f>YEAR('Charts - Freight'!M$131)</f>
        <v>2018</v>
      </c>
      <c r="N200" s="93">
        <f>YEAR('Charts - Freight'!N$131)</f>
        <v>2019</v>
      </c>
      <c r="O200" s="93">
        <f>YEAR('Charts - Freight'!O$131)</f>
        <v>2020</v>
      </c>
      <c r="P200" s="93">
        <f>YEAR('Charts - Freight'!P$131)</f>
        <v>2021</v>
      </c>
      <c r="Q200" s="93">
        <f>YEAR('Charts - Freight'!Q$131)</f>
        <v>2022</v>
      </c>
      <c r="R200" s="93">
        <f>YEAR('Charts - Freight'!R$131)</f>
        <v>2023</v>
      </c>
      <c r="S200" s="93">
        <f>YEAR('Charts - Freight'!S$131)</f>
        <v>2024</v>
      </c>
      <c r="T200" s="93">
        <f>YEAR('Charts - Freight'!T$131)</f>
        <v>2025</v>
      </c>
      <c r="U200" s="93">
        <f>YEAR('Charts - Freight'!U$131)</f>
        <v>2026</v>
      </c>
      <c r="V200" s="93">
        <f>YEAR('Charts - Freight'!V$131)</f>
        <v>2027</v>
      </c>
      <c r="W200" s="93">
        <f>YEAR('Charts - Freight'!W$131)</f>
        <v>2028</v>
      </c>
      <c r="X200" s="93">
        <f>YEAR('Charts - Freight'!X$131)</f>
        <v>2029</v>
      </c>
      <c r="Y200" s="93">
        <f>YEAR('Charts - Freight'!Y$131)</f>
        <v>2030</v>
      </c>
      <c r="Z200" s="93">
        <f>YEAR('Charts - Freight'!Z$131)</f>
        <v>2031</v>
      </c>
      <c r="AA200" s="93">
        <f>YEAR('Charts - Freight'!AA$131)</f>
        <v>2032</v>
      </c>
      <c r="AB200" s="93">
        <f>YEAR('Charts - Freight'!AB$131)</f>
        <v>2033</v>
      </c>
      <c r="AC200" s="93">
        <f>YEAR('Charts - Freight'!AC$131)</f>
        <v>2034</v>
      </c>
      <c r="AD200" s="93">
        <f>YEAR('Charts - Freight'!AD$131)</f>
        <v>2035</v>
      </c>
      <c r="AE200" s="93">
        <f>YEAR('Charts - Freight'!AE$131)</f>
        <v>2036</v>
      </c>
      <c r="AF200" s="93">
        <f>YEAR('Charts - Freight'!AF$131)</f>
        <v>2037</v>
      </c>
      <c r="AG200" s="93">
        <f>YEAR('Charts - Freight'!AG$131)</f>
        <v>2038</v>
      </c>
      <c r="AH200" s="93">
        <f>YEAR('Charts - Freight'!AH$131)</f>
        <v>2039</v>
      </c>
    </row>
    <row r="201" spans="1:34" s="412" customFormat="1" ht="12" x14ac:dyDescent="0.15">
      <c r="A201" s="80"/>
      <c r="B201" s="80" t="s">
        <v>69</v>
      </c>
      <c r="C201" s="80"/>
      <c r="D201" s="80"/>
      <c r="E201" s="94">
        <f>IF(E132=1,'Balance sheet'!E17,0)</f>
        <v>13400.457735733904</v>
      </c>
      <c r="F201" s="94">
        <f>IF(F132=1,'Balance sheet'!F17,0)</f>
        <v>29113.093246561657</v>
      </c>
      <c r="G201" s="94">
        <f>IF(G132=1,'Balance sheet'!G17,0)</f>
        <v>45156.931650087368</v>
      </c>
      <c r="H201" s="94">
        <f>IF(H132=1,'Balance sheet'!H17,0)</f>
        <v>62446.713937912078</v>
      </c>
      <c r="I201" s="94">
        <f>IF(I132=1,'Balance sheet'!I17,0)</f>
        <v>81528.952251035967</v>
      </c>
      <c r="J201" s="94">
        <f>IF(J132=1,'Balance sheet'!J17," ")</f>
        <v>101550.76747078949</v>
      </c>
      <c r="K201" s="94">
        <f>IF(K132=1,'Balance sheet'!K17," ")</f>
        <v>124834.85520345572</v>
      </c>
      <c r="L201" s="94">
        <f>IF(L132=1,'Balance sheet'!L17," ")</f>
        <v>148725.44237298294</v>
      </c>
      <c r="M201" s="94">
        <f>IF(M132=1,'Balance sheet'!M17," ")</f>
        <v>174032.90663763019</v>
      </c>
      <c r="N201" s="94">
        <f>IF(N132=1,'Balance sheet'!N17," ")</f>
        <v>200811.78590362633</v>
      </c>
      <c r="O201" s="94">
        <f>IF(O132=1,'Balance sheet'!O17," ")</f>
        <v>228931.27860794219</v>
      </c>
      <c r="P201" s="94">
        <f>IF(P132=1,'Balance sheet'!P17," ")</f>
        <v>258610.02005413463</v>
      </c>
      <c r="Q201" s="94">
        <f>IF(Q132=1,'Balance sheet'!Q17," ")</f>
        <v>289904.46086094907</v>
      </c>
      <c r="R201" s="94">
        <f>IF(R132=1,'Balance sheet'!R17," ")</f>
        <v>322880.21006571467</v>
      </c>
      <c r="S201" s="94">
        <f>IF(S132=1,'Balance sheet'!S17," ")</f>
        <v>357607.08308754506</v>
      </c>
      <c r="T201" s="94">
        <f>IF(T132=1,'Balance sheet'!T17," ")</f>
        <v>394154.22882793949</v>
      </c>
      <c r="U201" s="94">
        <f>IF(U132=1,'Balance sheet'!U17," ")</f>
        <v>432388.01998572552</v>
      </c>
      <c r="V201" s="94">
        <f>IF(V132=1,'Balance sheet'!V17," ")</f>
        <v>472812.61056532053</v>
      </c>
      <c r="W201" s="94">
        <f>IF(W132=1,'Balance sheet'!W17," ")</f>
        <v>515285.0519784565</v>
      </c>
      <c r="X201" s="94">
        <f>IF(X132=1,'Balance sheet'!X17," ")</f>
        <v>559887.28883846872</v>
      </c>
      <c r="Y201" s="94">
        <f>IF(Y132=1,'Balance sheet'!Y17," ")</f>
        <v>606700.19732240622</v>
      </c>
      <c r="Z201" s="94">
        <f>IF(Z132=1,'Balance sheet'!Z17," ")</f>
        <v>655810.0418888022</v>
      </c>
      <c r="AA201" s="94">
        <f>IF(AA132=1,'Balance sheet'!AA17," ")</f>
        <v>707308.27128971298</v>
      </c>
      <c r="AB201" s="94">
        <f>IF(AB132=1,'Balance sheet'!AB17," ")</f>
        <v>761286.4311692036</v>
      </c>
      <c r="AC201" s="94">
        <f>IF(AC132=1,'Balance sheet'!AC17," ")</f>
        <v>817838.50994617969</v>
      </c>
      <c r="AD201" s="94">
        <f>IF(AD132=1,'Balance sheet'!AD17," ")</f>
        <v>877062.27259529068</v>
      </c>
      <c r="AE201" s="94">
        <f>IF(AE132=1,'Balance sheet'!AE17," ")</f>
        <v>939033.44483769243</v>
      </c>
      <c r="AF201" s="94">
        <f>IF(AF132=1,'Balance sheet'!AF17," ")</f>
        <v>1003905.0028643226</v>
      </c>
      <c r="AG201" s="94">
        <f>IF(AG132=1,'Balance sheet'!AG17," ")</f>
        <v>1071757.9944935769</v>
      </c>
      <c r="AH201" s="94">
        <f>IF(AH132=1,'Balance sheet'!AH17," ")</f>
        <v>1142695.2447005906</v>
      </c>
    </row>
    <row r="202" spans="1:34" s="412" customFormat="1" ht="12" x14ac:dyDescent="0.15">
      <c r="A202" s="80"/>
      <c r="B202" s="80" t="s">
        <v>77</v>
      </c>
      <c r="C202" s="80"/>
      <c r="D202" s="80"/>
      <c r="E202" s="94">
        <f>IF(E132=1,'Balance sheet'!E30,0)</f>
        <v>1747.9577357339031</v>
      </c>
      <c r="F202" s="94">
        <f>IF(F132=1,'Balance sheet'!F30,0)</f>
        <v>1879.2875606360763</v>
      </c>
      <c r="G202" s="94">
        <f>IF(G132=1,'Balance sheet'!G30,0)</f>
        <v>1912.5449969789679</v>
      </c>
      <c r="H202" s="94">
        <f>IF(H132=1,'Balance sheet'!H30,0)</f>
        <v>2023.7633852259951</v>
      </c>
      <c r="I202" s="94">
        <f>IF(I132=1,'Balance sheet'!I30,0)</f>
        <v>2160.5772385555356</v>
      </c>
      <c r="J202" s="94">
        <f>IF(J132=1,'Balance sheet'!J30," ")</f>
        <v>2242.8190925009253</v>
      </c>
      <c r="K202" s="94">
        <f>IF(K132=1,'Balance sheet'!K30," ")</f>
        <v>2386.3652013126825</v>
      </c>
      <c r="L202" s="94">
        <f>IF(L132=1,'Balance sheet'!L30," ")</f>
        <v>2476.7281915629037</v>
      </c>
      <c r="M202" s="94">
        <f>IF(M132=1,'Balance sheet'!M30," ")</f>
        <v>2570.4826216976853</v>
      </c>
      <c r="N202" s="94">
        <f>IF(N132=1,'Balance sheet'!N30," ")</f>
        <v>2645.6092428449015</v>
      </c>
      <c r="O202" s="94">
        <f>IF(O132=1,'Balance sheet'!O30," ")</f>
        <v>2691.5178141566598</v>
      </c>
      <c r="P202" s="94">
        <f>IF(P132=1,'Balance sheet'!P30," ")</f>
        <v>2796.1351866458676</v>
      </c>
      <c r="Q202" s="94">
        <f>IF(Q132=1,'Balance sheet'!Q30," ")</f>
        <v>2904.6168970177932</v>
      </c>
      <c r="R202" s="94">
        <f>IF(R132=1,'Balance sheet'!R30," ")</f>
        <v>3017.1012875644642</v>
      </c>
      <c r="S202" s="94">
        <f>IF(S132=1,'Balance sheet'!S30," ")</f>
        <v>3133.731565914371</v>
      </c>
      <c r="T202" s="94">
        <f>IF(T132=1,'Balance sheet'!T30," ")</f>
        <v>3929.6559753371607</v>
      </c>
      <c r="U202" s="94">
        <f>IF(U132=1,'Balance sheet'!U30," ")</f>
        <v>3366.3034644185591</v>
      </c>
      <c r="V202" s="94">
        <f>IF(V132=1,'Balance sheet'!V30," ")</f>
        <v>3495.4506854378087</v>
      </c>
      <c r="W202" s="94">
        <f>IF(W132=1,'Balance sheet'!W30," ")</f>
        <v>3629.3170666002329</v>
      </c>
      <c r="X202" s="94">
        <f>IF(X132=1,'Balance sheet'!X30," ")</f>
        <v>3768.0695250155104</v>
      </c>
      <c r="Y202" s="94">
        <f>IF(Y132=1,'Balance sheet'!Y30," ")</f>
        <v>3911.8807455757651</v>
      </c>
      <c r="Z202" s="94">
        <f>IF(Z132=1,'Balance sheet'!Z30," ")</f>
        <v>4060.9293767971212</v>
      </c>
      <c r="AA202" s="94">
        <f>IF(AA132=1,'Balance sheet'!AA30," ")</f>
        <v>4215.400233220741</v>
      </c>
      <c r="AB202" s="94">
        <f>IF(AB132=1,'Balance sheet'!AB30," ")</f>
        <v>4375.4845045906577</v>
      </c>
      <c r="AC202" s="94">
        <f>IF(AC132=1,'Balance sheet'!AC30," ")</f>
        <v>4541.3799720328716</v>
      </c>
      <c r="AD202" s="94">
        <f>IF(AD132=1,'Balance sheet'!AD30," ")</f>
        <v>4763.2912314674859</v>
      </c>
      <c r="AE202" s="94">
        <f>IF(AE132=1,'Balance sheet'!AE30," ")</f>
        <v>4891.4299244933491</v>
      </c>
      <c r="AF202" s="94">
        <f>IF(AF132=1,'Balance sheet'!AF30," ")</f>
        <v>5076.0149769924437</v>
      </c>
      <c r="AG202" s="94">
        <f>IF(AG132=1,'Balance sheet'!AG30," ")</f>
        <v>5267.2728457094372</v>
      </c>
      <c r="AH202" s="94">
        <f>IF(AH132=1,'Balance sheet'!AH30," ")</f>
        <v>5465.4377730701599</v>
      </c>
    </row>
    <row r="203" spans="1:34" s="412" customFormat="1" ht="12" x14ac:dyDescent="0.15">
      <c r="A203" s="80"/>
      <c r="B203" s="80" t="s">
        <v>178</v>
      </c>
      <c r="C203" s="80"/>
      <c r="D203" s="80"/>
      <c r="E203" s="98">
        <f>IF(E132=1,E201/E202,0)</f>
        <v>7.6663511146667087</v>
      </c>
      <c r="F203" s="98">
        <f t="shared" ref="F203:I203" si="9">IF(F132=1,F201/F202,0)</f>
        <v>15.491558533334752</v>
      </c>
      <c r="G203" s="98">
        <f t="shared" si="9"/>
        <v>23.610912015882864</v>
      </c>
      <c r="H203" s="98">
        <f t="shared" si="9"/>
        <v>30.856726825769016</v>
      </c>
      <c r="I203" s="98">
        <f t="shared" si="9"/>
        <v>37.734801050455637</v>
      </c>
      <c r="J203" s="98">
        <f t="shared" ref="J203:AH203" si="10">IF(J132=1,J201/J202," ")</f>
        <v>45.278180398202402</v>
      </c>
      <c r="K203" s="98">
        <f t="shared" si="10"/>
        <v>52.311714541758761</v>
      </c>
      <c r="L203" s="98">
        <f t="shared" si="10"/>
        <v>60.04915794943647</v>
      </c>
      <c r="M203" s="98">
        <f t="shared" si="10"/>
        <v>67.704370054324457</v>
      </c>
      <c r="N203" s="98">
        <f t="shared" si="10"/>
        <v>75.903796619521742</v>
      </c>
      <c r="O203" s="98">
        <f t="shared" si="10"/>
        <v>85.056571947555113</v>
      </c>
      <c r="P203" s="98">
        <f t="shared" si="10"/>
        <v>92.488382281814097</v>
      </c>
      <c r="Q203" s="98">
        <f t="shared" si="10"/>
        <v>99.808157543460425</v>
      </c>
      <c r="R203" s="98">
        <f t="shared" si="10"/>
        <v>107.01669559339112</v>
      </c>
      <c r="S203" s="98">
        <f t="shared" si="10"/>
        <v>114.11541657787183</v>
      </c>
      <c r="T203" s="98">
        <f t="shared" si="10"/>
        <v>100.30247718927137</v>
      </c>
      <c r="U203" s="98">
        <f t="shared" si="10"/>
        <v>128.44594213089141</v>
      </c>
      <c r="V203" s="98">
        <f t="shared" si="10"/>
        <v>135.26513549027521</v>
      </c>
      <c r="W203" s="98">
        <f t="shared" si="10"/>
        <v>141.97851621190827</v>
      </c>
      <c r="X203" s="98">
        <f t="shared" si="10"/>
        <v>148.5873031592123</v>
      </c>
      <c r="Y203" s="98">
        <f t="shared" si="10"/>
        <v>155.09169036110529</v>
      </c>
      <c r="Z203" s="98">
        <f t="shared" si="10"/>
        <v>161.49259960931491</v>
      </c>
      <c r="AA203" s="98">
        <f t="shared" si="10"/>
        <v>167.79148649173464</v>
      </c>
      <c r="AB203" s="98">
        <f t="shared" si="10"/>
        <v>173.98905889633008</v>
      </c>
      <c r="AC203" s="98">
        <f t="shared" si="10"/>
        <v>180.08590229900719</v>
      </c>
      <c r="AD203" s="98">
        <f t="shared" si="10"/>
        <v>184.12946636586051</v>
      </c>
      <c r="AE203" s="98">
        <f t="shared" si="10"/>
        <v>191.97524227743216</v>
      </c>
      <c r="AF203" s="98">
        <f t="shared" si="10"/>
        <v>197.77423971651473</v>
      </c>
      <c r="AG203" s="98">
        <f t="shared" si="10"/>
        <v>203.47493397206466</v>
      </c>
      <c r="AH203" s="98">
        <f t="shared" si="10"/>
        <v>209.07661785685139</v>
      </c>
    </row>
    <row r="204" spans="1:34" s="412" customFormat="1" ht="12" x14ac:dyDescent="0.15">
      <c r="A204" s="80"/>
      <c r="B204" s="80" t="s">
        <v>216</v>
      </c>
      <c r="C204" s="80"/>
      <c r="D204" s="80"/>
      <c r="E204" s="98">
        <f>IF(E132=1,'Balance sheet'!E13/'Balance sheet'!E30,0)</f>
        <v>0.17162886371165093</v>
      </c>
      <c r="F204" s="98">
        <f>IF(F132=1,'Balance sheet'!F13/'Balance sheet'!F30,0)</f>
        <v>8.1834659579967397</v>
      </c>
      <c r="G204" s="98">
        <f>IF(G132=1,'Balance sheet'!G13/'Balance sheet'!G30,0)</f>
        <v>16.225095638201889</v>
      </c>
      <c r="H204" s="98">
        <f>IF(H132=1,'Balance sheet'!H13/'Balance sheet'!H30,0)</f>
        <v>23.473357814278252</v>
      </c>
      <c r="I204" s="98">
        <f>IF(I132=1,'Balance sheet'!I13/'Balance sheet'!I30,0)</f>
        <v>30.227085722740423</v>
      </c>
      <c r="J204" s="98">
        <f>IF(J132=1,'Balance sheet'!J13/'Balance sheet'!J30," ")</f>
        <v>37.642667885999344</v>
      </c>
      <c r="K204" s="98">
        <f>IF(K132=1,'Balance sheet'!K13/'Balance sheet'!K30," ")</f>
        <v>44.333673218016145</v>
      </c>
      <c r="L204" s="98">
        <f>IF(L132=1,'Balance sheet'!L13/'Balance sheet'!L30," ")</f>
        <v>51.953180080774104</v>
      </c>
      <c r="M204" s="98">
        <f>IF(M132=1,'Balance sheet'!M13/'Balance sheet'!M30," ")</f>
        <v>59.492436116866422</v>
      </c>
      <c r="N204" s="98">
        <f>IF(N132=1,'Balance sheet'!N13/'Balance sheet'!N30," ")</f>
        <v>67.508170370902761</v>
      </c>
      <c r="O204" s="98">
        <f>IF(O132=1,'Balance sheet'!O13/'Balance sheet'!O30," ")</f>
        <v>76.376683061777598</v>
      </c>
      <c r="P204" s="98">
        <f>IF(P132=1,'Balance sheet'!P13/'Balance sheet'!P30," ")</f>
        <v>83.704083142237792</v>
      </c>
      <c r="Q204" s="98">
        <f>IF(Q132=1,'Balance sheet'!Q13/'Balance sheet'!Q30," ")</f>
        <v>90.921092386495971</v>
      </c>
      <c r="R204" s="98">
        <f>IF(R132=1,'Balance sheet'!R13/'Balance sheet'!R30," ")</f>
        <v>98.02847282037942</v>
      </c>
      <c r="S204" s="98">
        <f>IF(S132=1,'Balance sheet'!S13/'Balance sheet'!S30," ")</f>
        <v>105.02760991434084</v>
      </c>
      <c r="T204" s="98">
        <f>IF(T132=1,'Balance sheet'!T13/'Balance sheet'!T30," ")</f>
        <v>92.694487319132051</v>
      </c>
      <c r="U204" s="98">
        <f>IF(U132=1,'Balance sheet'!U13/'Balance sheet'!U30," ")</f>
        <v>119.12571117059775</v>
      </c>
      <c r="V204" s="98">
        <f>IF(V132=1,'Balance sheet'!V13/'Balance sheet'!V30," ")</f>
        <v>125.84863979558146</v>
      </c>
      <c r="W204" s="98">
        <f>IF(W132=1,'Balance sheet'!W13/'Balance sheet'!W30," ")</f>
        <v>132.46716731426221</v>
      </c>
      <c r="X204" s="98">
        <f>IF(X132=1,'Balance sheet'!X13/'Balance sheet'!X30," ")</f>
        <v>138.98248192655905</v>
      </c>
      <c r="Y204" s="98">
        <f>IF(Y132=1,'Balance sheet'!Y13/'Balance sheet'!Y30," ")</f>
        <v>145.39474789171882</v>
      </c>
      <c r="Z204" s="98">
        <f>IF(Z132=1,'Balance sheet'!Z13/'Balance sheet'!Z30," ")</f>
        <v>151.70485809255757</v>
      </c>
      <c r="AA204" s="98">
        <f>IF(AA132=1,'Balance sheet'!AA13/'Balance sheet'!AA30," ")</f>
        <v>157.91424003723381</v>
      </c>
      <c r="AB204" s="98">
        <f>IF(AB132=1,'Balance sheet'!AB13/'Balance sheet'!AB30," ")</f>
        <v>164.02357433298189</v>
      </c>
      <c r="AC204" s="98">
        <f>IF(AC132=1,'Balance sheet'!AC13/'Balance sheet'!AC30," ")</f>
        <v>170.03341994514366</v>
      </c>
      <c r="AD204" s="98">
        <f>IF(AD132=1,'Balance sheet'!AD13/'Balance sheet'!AD30," ")</f>
        <v>174.09762157525074</v>
      </c>
      <c r="AE204" s="98">
        <f>IF(AE132=1,'Balance sheet'!AE13/'Balance sheet'!AE30," ")</f>
        <v>181.75238294189364</v>
      </c>
      <c r="AF204" s="98">
        <f>IF(AF132=1,'Balance sheet'!AF13/'Balance sheet'!AF30," ")</f>
        <v>187.46795177733682</v>
      </c>
      <c r="AG204" s="98">
        <f>IF(AG132=1,'Balance sheet'!AG13/'Balance sheet'!AG30," ")</f>
        <v>193.08635887324263</v>
      </c>
      <c r="AH204" s="98">
        <f>IF(AH132=1,'Balance sheet'!AH13/'Balance sheet'!AH30," ")</f>
        <v>198.60687399222053</v>
      </c>
    </row>
    <row r="205" spans="1:34" s="412" customFormat="1" ht="12" x14ac:dyDescent="0.15">
      <c r="A205" s="80"/>
      <c r="B205" s="80"/>
      <c r="C205" s="80"/>
      <c r="D205" s="80"/>
      <c r="E205" s="80"/>
      <c r="F205" s="80"/>
      <c r="G205" s="80"/>
      <c r="H205" s="80"/>
      <c r="I205" s="80"/>
      <c r="J205" s="80"/>
      <c r="K205" s="80"/>
      <c r="L205" s="80"/>
      <c r="M205" s="80"/>
      <c r="N205" s="80"/>
      <c r="O205" s="80"/>
      <c r="P205" s="80"/>
      <c r="Q205" s="80"/>
      <c r="R205" s="80"/>
      <c r="S205" s="80"/>
      <c r="T205" s="80"/>
      <c r="U205" s="80"/>
      <c r="V205" s="80"/>
      <c r="W205" s="80"/>
      <c r="X205" s="80"/>
      <c r="Y205" s="80"/>
      <c r="Z205" s="80"/>
      <c r="AA205" s="80"/>
      <c r="AB205" s="80"/>
      <c r="AC205" s="80"/>
      <c r="AD205" s="80"/>
      <c r="AE205" s="80"/>
      <c r="AF205" s="80"/>
      <c r="AG205" s="80"/>
      <c r="AH205" s="80"/>
    </row>
    <row r="206" spans="1:34" s="412" customFormat="1" ht="12" x14ac:dyDescent="0.15">
      <c r="A206" s="80"/>
      <c r="B206" s="90" t="s">
        <v>188</v>
      </c>
      <c r="C206" s="80"/>
      <c r="D206" s="80"/>
      <c r="E206" s="80"/>
      <c r="F206" s="80"/>
      <c r="G206" s="80"/>
      <c r="H206" s="80"/>
      <c r="I206" s="80"/>
      <c r="J206" s="80"/>
      <c r="K206" s="80"/>
      <c r="L206" s="80"/>
      <c r="M206" s="80"/>
      <c r="N206" s="80"/>
      <c r="O206" s="80"/>
      <c r="P206" s="80"/>
      <c r="Q206" s="80"/>
      <c r="R206" s="80"/>
      <c r="S206" s="80"/>
      <c r="T206" s="80"/>
      <c r="U206" s="80"/>
      <c r="V206" s="80"/>
      <c r="W206" s="80"/>
      <c r="X206" s="80"/>
      <c r="Y206" s="80"/>
      <c r="Z206" s="80"/>
      <c r="AA206" s="80"/>
      <c r="AB206" s="80"/>
      <c r="AC206" s="80"/>
      <c r="AD206" s="80"/>
      <c r="AE206" s="80"/>
      <c r="AF206" s="80"/>
      <c r="AG206" s="80"/>
      <c r="AH206" s="80"/>
    </row>
    <row r="207" spans="1:34" s="412" customFormat="1" ht="12" x14ac:dyDescent="0.15">
      <c r="A207" s="80"/>
      <c r="B207" s="80"/>
      <c r="C207" s="80"/>
      <c r="D207" s="80"/>
      <c r="E207" s="93">
        <f>YEAR('Charts - Freight'!E$131)</f>
        <v>2010</v>
      </c>
      <c r="F207" s="93">
        <f>YEAR('Charts - Freight'!F$131)</f>
        <v>2011</v>
      </c>
      <c r="G207" s="93">
        <f>YEAR('Charts - Freight'!G$131)</f>
        <v>2012</v>
      </c>
      <c r="H207" s="93">
        <f>YEAR('Charts - Freight'!H$131)</f>
        <v>2013</v>
      </c>
      <c r="I207" s="93">
        <f>YEAR('Charts - Freight'!I$131)</f>
        <v>2014</v>
      </c>
      <c r="J207" s="93">
        <f>YEAR('Charts - Freight'!J$131)</f>
        <v>2015</v>
      </c>
      <c r="K207" s="93">
        <f>YEAR('Charts - Freight'!K$131)</f>
        <v>2016</v>
      </c>
      <c r="L207" s="93">
        <f>YEAR('Charts - Freight'!L$131)</f>
        <v>2017</v>
      </c>
      <c r="M207" s="93">
        <f>YEAR('Charts - Freight'!M$131)</f>
        <v>2018</v>
      </c>
      <c r="N207" s="93">
        <f>YEAR('Charts - Freight'!N$131)</f>
        <v>2019</v>
      </c>
      <c r="O207" s="93">
        <f>YEAR('Charts - Freight'!O$131)</f>
        <v>2020</v>
      </c>
      <c r="P207" s="93">
        <f>YEAR('Charts - Freight'!P$131)</f>
        <v>2021</v>
      </c>
      <c r="Q207" s="93">
        <f>YEAR('Charts - Freight'!Q$131)</f>
        <v>2022</v>
      </c>
      <c r="R207" s="93">
        <f>YEAR('Charts - Freight'!R$131)</f>
        <v>2023</v>
      </c>
      <c r="S207" s="93">
        <f>YEAR('Charts - Freight'!S$131)</f>
        <v>2024</v>
      </c>
      <c r="T207" s="93">
        <f>YEAR('Charts - Freight'!T$131)</f>
        <v>2025</v>
      </c>
      <c r="U207" s="93">
        <f>YEAR('Charts - Freight'!U$131)</f>
        <v>2026</v>
      </c>
      <c r="V207" s="93">
        <f>YEAR('Charts - Freight'!V$131)</f>
        <v>2027</v>
      </c>
      <c r="W207" s="93">
        <f>YEAR('Charts - Freight'!W$131)</f>
        <v>2028</v>
      </c>
      <c r="X207" s="93">
        <f>YEAR('Charts - Freight'!X$131)</f>
        <v>2029</v>
      </c>
      <c r="Y207" s="93">
        <f>YEAR('Charts - Freight'!Y$131)</f>
        <v>2030</v>
      </c>
      <c r="Z207" s="93">
        <f>YEAR('Charts - Freight'!Z$131)</f>
        <v>2031</v>
      </c>
      <c r="AA207" s="93">
        <f>YEAR('Charts - Freight'!AA$131)</f>
        <v>2032</v>
      </c>
      <c r="AB207" s="93">
        <f>YEAR('Charts - Freight'!AB$131)</f>
        <v>2033</v>
      </c>
      <c r="AC207" s="93">
        <f>YEAR('Charts - Freight'!AC$131)</f>
        <v>2034</v>
      </c>
      <c r="AD207" s="93">
        <f>YEAR('Charts - Freight'!AD$131)</f>
        <v>2035</v>
      </c>
      <c r="AE207" s="93">
        <f>YEAR('Charts - Freight'!AE$131)</f>
        <v>2036</v>
      </c>
      <c r="AF207" s="93">
        <f>YEAR('Charts - Freight'!AF$131)</f>
        <v>2037</v>
      </c>
      <c r="AG207" s="93">
        <f>YEAR('Charts - Freight'!AG$131)</f>
        <v>2038</v>
      </c>
      <c r="AH207" s="93">
        <f>YEAR('Charts - Freight'!AH$131)</f>
        <v>2039</v>
      </c>
    </row>
    <row r="208" spans="1:34" s="412" customFormat="1" ht="12" x14ac:dyDescent="0.15">
      <c r="A208" s="80"/>
      <c r="B208" s="80" t="s">
        <v>167</v>
      </c>
      <c r="C208" s="80"/>
      <c r="D208" s="80"/>
      <c r="E208" s="99">
        <f>IF(E132=1,Calculations!E1451,0)</f>
        <v>3.4558009495340252</v>
      </c>
      <c r="F208" s="99">
        <f>IF(F132=1,Calculations!F1451,0)</f>
        <v>2.2989202350724627</v>
      </c>
      <c r="G208" s="99">
        <f>IF(G132=1,Calculations!G1451,0)</f>
        <v>1.3736013577126034</v>
      </c>
      <c r="H208" s="99">
        <f>IF(H132=1,Calculations!H1451,0)</f>
        <v>1.0087414286421534</v>
      </c>
      <c r="I208" s="99">
        <f>IF(I132=1,Calculations!I1451,0)</f>
        <v>0.82107977039884794</v>
      </c>
      <c r="J208" s="99">
        <f>IF(J132=1,Calculations!J1451," ")</f>
        <v>0.68876994823936033</v>
      </c>
      <c r="K208" s="99">
        <f>IF(K132=1,Calculations!K1451," ")</f>
        <v>0.63523997200348659</v>
      </c>
      <c r="L208" s="99">
        <f>IF(L132=1,Calculations!L1451," ")</f>
        <v>0.55847894839640666</v>
      </c>
      <c r="M208" s="99">
        <f>IF(M132=1,Calculations!M1451," ")</f>
        <v>0.50241804051313554</v>
      </c>
      <c r="N208" s="99">
        <f>IF(N132=1,Calculations!N1451," ")</f>
        <v>0.45885001615701126</v>
      </c>
      <c r="O208" s="99">
        <f>IF(O132=1,Calculations!O1451," ")</f>
        <v>0.41920126118875017</v>
      </c>
      <c r="P208" s="99">
        <f>IF(P132=1,Calculations!P1451," ")</f>
        <v>0.39025956279155083</v>
      </c>
      <c r="Q208" s="99">
        <f>IF(Q132=1,Calculations!Q1451," ")</f>
        <v>0.36647045763031788</v>
      </c>
      <c r="R208" s="99">
        <f>IF(R132=1,Calculations!R1451," ")</f>
        <v>0.34636950797977623</v>
      </c>
      <c r="S208" s="99">
        <f>IF(S132=1,Calculations!S1451," ")</f>
        <v>0.32914087088918043</v>
      </c>
      <c r="T208" s="99">
        <f>IF(T132=1,Calculations!T1451," ")</f>
        <v>0.31424686214940772</v>
      </c>
      <c r="U208" s="99">
        <f>IF(U132=1,Calculations!U1451," ")</f>
        <v>0.30107043145829387</v>
      </c>
      <c r="V208" s="99">
        <f>IF(V132=1,Calculations!V1451," ")</f>
        <v>0.28947586440482331</v>
      </c>
      <c r="W208" s="99">
        <f>IF(W132=1,Calculations!W1451," ")</f>
        <v>0.27932915593601471</v>
      </c>
      <c r="X208" s="99">
        <f>IF(X132=1,Calculations!X1451," ")</f>
        <v>0.27024436252874445</v>
      </c>
      <c r="Y208" s="99">
        <f>IF(Y132=1,Calculations!Y1451," ")</f>
        <v>0.26209474391994453</v>
      </c>
      <c r="Z208" s="99">
        <f>IF(Z132=1,Calculations!Z1451," ")</f>
        <v>0.25472002415056227</v>
      </c>
      <c r="AA208" s="99">
        <f>IF(AA132=1,Calculations!AA1451," ")</f>
        <v>0.24802875987654402</v>
      </c>
      <c r="AB208" s="99">
        <f>IF(AB132=1,Calculations!AB1451," ")</f>
        <v>0.24193532517691607</v>
      </c>
      <c r="AC208" s="99">
        <f>IF(AC132=1,Calculations!AC1451," ")</f>
        <v>0.23636665835428747</v>
      </c>
      <c r="AD208" s="99">
        <f>IF(AD132=1,Calculations!AD1451," ")</f>
        <v>0.23125666928698116</v>
      </c>
      <c r="AE208" s="99">
        <f>IF(AE132=1,Calculations!AE1451," ")</f>
        <v>0.22655239009533784</v>
      </c>
      <c r="AF208" s="99">
        <f>IF(AF132=1,Calculations!AF1451," ")</f>
        <v>0.22221043958342823</v>
      </c>
      <c r="AG208" s="99">
        <f>IF(AG132=1,Calculations!AG1451," ")</f>
        <v>0.21819831673511267</v>
      </c>
      <c r="AH208" s="99">
        <f>IF(AH132=1,Calculations!AH1451," ")</f>
        <v>0.21450064563372759</v>
      </c>
    </row>
    <row r="209" spans="1:34" s="412" customFormat="1" ht="12" x14ac:dyDescent="0.15">
      <c r="A209" s="80"/>
      <c r="B209" s="80" t="s">
        <v>170</v>
      </c>
      <c r="C209" s="80"/>
      <c r="D209" s="80"/>
      <c r="E209" s="99">
        <f>IF(E132=1,Calculations!E1453,0)</f>
        <v>2.9367307682837125</v>
      </c>
      <c r="F209" s="99">
        <f>IF(F132=1,Calculations!F1453,0)</f>
        <v>2.0643231317530204</v>
      </c>
      <c r="G209" s="99">
        <f>IF(G132=1,Calculations!G1453,0)</f>
        <v>1.2865623235568233</v>
      </c>
      <c r="H209" s="99">
        <f>IF(H132=1,Calculations!H1453,0)</f>
        <v>0.96077982712113852</v>
      </c>
      <c r="I209" s="99">
        <f>IF(I132=1,Calculations!I1453,0)</f>
        <v>0.78917177289406426</v>
      </c>
      <c r="J209" s="99">
        <f>IF(J132=1,Calculations!J1453," ")</f>
        <v>0.66606810152127838</v>
      </c>
      <c r="K209" s="99">
        <f>IF(K132=1,Calculations!K1453," ")</f>
        <v>0.61709011154251447</v>
      </c>
      <c r="L209" s="99">
        <f>IF(L132=1,Calculations!L1453," ")</f>
        <v>0.54473652673406847</v>
      </c>
      <c r="M209" s="99">
        <f>IF(M132=1,Calculations!M1453," ")</f>
        <v>0.49187549673921593</v>
      </c>
      <c r="N209" s="99">
        <f>IF(N132=1,Calculations!N1453," ")</f>
        <v>0.45050768046973405</v>
      </c>
      <c r="O209" s="99">
        <f>IF(O132=1,Calculations!O1453," ")</f>
        <v>0.41248872798838726</v>
      </c>
      <c r="P209" s="99">
        <f>IF(P132=1,Calculations!P1453," ")</f>
        <v>0.38463558743643123</v>
      </c>
      <c r="Q209" s="99">
        <f>IF(Q132=1,Calculations!Q1453," ")</f>
        <v>0.36164097509496679</v>
      </c>
      <c r="R209" s="99">
        <f>IF(R132=1,Calculations!R1453," ")</f>
        <v>0.34216603244176352</v>
      </c>
      <c r="S209" s="99">
        <f>IF(S132=1,Calculations!S1453," ")</f>
        <v>0.32544034963228602</v>
      </c>
      <c r="T209" s="99">
        <f>IF(T132=1,Calculations!T1453," ")</f>
        <v>0.31095666080856038</v>
      </c>
      <c r="U209" s="99">
        <f>IF(U132=1,Calculations!U1453," ")</f>
        <v>0.29836088088943585</v>
      </c>
      <c r="V209" s="99">
        <f>IF(V132=1,Calculations!V1453," ")</f>
        <v>0.28722939631350347</v>
      </c>
      <c r="W209" s="99">
        <f>IF(W132=1,Calculations!W1453," ")</f>
        <v>0.2772678041954893</v>
      </c>
      <c r="X209" s="99">
        <f>IF(X132=1,Calculations!X1453," ")</f>
        <v>0.26834209223621452</v>
      </c>
      <c r="Y209" s="99">
        <f>IF(Y132=1,Calculations!Y1453," ")</f>
        <v>0.26033011696343639</v>
      </c>
      <c r="Z209" s="99">
        <f>IF(Z132=1,Calculations!Z1453," ")</f>
        <v>0.25307557414818915</v>
      </c>
      <c r="AA209" s="99">
        <f>IF(AA132=1,Calculations!AA1453," ")</f>
        <v>0.2464898536483586</v>
      </c>
      <c r="AB209" s="99">
        <f>IF(AB132=1,Calculations!AB1453," ")</f>
        <v>0.24048966403253702</v>
      </c>
      <c r="AC209" s="99">
        <f>IF(AC132=1,Calculations!AC1453," ")</f>
        <v>0.23500383672192532</v>
      </c>
      <c r="AD209" s="99">
        <f>IF(AD132=1,Calculations!AD1453," ")</f>
        <v>0.22996784150735211</v>
      </c>
      <c r="AE209" s="99">
        <f>IF(AE132=1,Calculations!AE1453," ")</f>
        <v>0.22533610978009466</v>
      </c>
      <c r="AF209" s="99">
        <f>IF(AF132=1,Calculations!AF1453," ")</f>
        <v>0.22105913520417306</v>
      </c>
      <c r="AG209" s="99">
        <f>IF(AG132=1,Calculations!AG1453," ")</f>
        <v>0.21710023065250583</v>
      </c>
      <c r="AH209" s="99">
        <f>IF(AH132=1,Calculations!AH1453," ")</f>
        <v>0.21345080856653142</v>
      </c>
    </row>
    <row r="210" spans="1:34" s="412" customFormat="1" ht="12" x14ac:dyDescent="0.15">
      <c r="A210" s="80"/>
      <c r="B210" s="80"/>
      <c r="C210" s="80"/>
      <c r="D210" s="80"/>
      <c r="E210" s="80"/>
      <c r="F210" s="80"/>
      <c r="G210" s="80"/>
      <c r="H210" s="80"/>
      <c r="I210" s="80"/>
      <c r="J210" s="80"/>
      <c r="K210" s="80"/>
      <c r="L210" s="80"/>
      <c r="M210" s="80"/>
      <c r="N210" s="80"/>
      <c r="O210" s="80"/>
      <c r="P210" s="80"/>
      <c r="Q210" s="80"/>
      <c r="R210" s="80"/>
      <c r="S210" s="80"/>
      <c r="T210" s="80"/>
      <c r="U210" s="80"/>
      <c r="V210" s="80"/>
      <c r="W210" s="80"/>
      <c r="X210" s="80"/>
      <c r="Y210" s="80"/>
      <c r="Z210" s="80"/>
      <c r="AA210" s="80"/>
      <c r="AB210" s="80"/>
      <c r="AC210" s="80"/>
      <c r="AD210" s="80"/>
      <c r="AE210" s="80"/>
      <c r="AF210" s="80"/>
      <c r="AG210" s="80"/>
      <c r="AH210" s="80"/>
    </row>
    <row r="211" spans="1:34" s="412" customFormat="1" ht="12" x14ac:dyDescent="0.15">
      <c r="A211" s="80"/>
      <c r="B211" s="90" t="s">
        <v>189</v>
      </c>
      <c r="C211" s="80"/>
      <c r="D211" s="80"/>
      <c r="E211" s="80"/>
      <c r="F211" s="80"/>
      <c r="G211" s="80"/>
      <c r="H211" s="80"/>
      <c r="I211" s="80"/>
      <c r="J211" s="80"/>
      <c r="K211" s="80"/>
      <c r="L211" s="80"/>
      <c r="M211" s="80"/>
      <c r="N211" s="80"/>
      <c r="O211" s="80"/>
      <c r="P211" s="80"/>
      <c r="Q211" s="80"/>
      <c r="R211" s="80"/>
      <c r="S211" s="80"/>
      <c r="T211" s="80"/>
      <c r="U211" s="80"/>
      <c r="V211" s="80"/>
      <c r="W211" s="80"/>
      <c r="X211" s="80"/>
      <c r="Y211" s="80"/>
      <c r="Z211" s="80"/>
      <c r="AA211" s="80"/>
      <c r="AB211" s="80"/>
      <c r="AC211" s="80"/>
      <c r="AD211" s="80"/>
      <c r="AE211" s="80"/>
      <c r="AF211" s="80"/>
      <c r="AG211" s="80"/>
      <c r="AH211" s="80"/>
    </row>
    <row r="212" spans="1:34" s="412" customFormat="1" ht="12" x14ac:dyDescent="0.15">
      <c r="A212" s="80"/>
      <c r="B212" s="80"/>
      <c r="C212" s="80"/>
      <c r="D212" s="80"/>
      <c r="E212" s="93">
        <f>YEAR('Charts - Freight'!E$131)</f>
        <v>2010</v>
      </c>
      <c r="F212" s="93">
        <f>YEAR('Charts - Freight'!F$131)</f>
        <v>2011</v>
      </c>
      <c r="G212" s="93">
        <f>YEAR('Charts - Freight'!G$131)</f>
        <v>2012</v>
      </c>
      <c r="H212" s="93">
        <f>YEAR('Charts - Freight'!H$131)</f>
        <v>2013</v>
      </c>
      <c r="I212" s="93">
        <f>YEAR('Charts - Freight'!I$131)</f>
        <v>2014</v>
      </c>
      <c r="J212" s="93">
        <f>YEAR('Charts - Freight'!J$131)</f>
        <v>2015</v>
      </c>
      <c r="K212" s="93">
        <f>YEAR('Charts - Freight'!K$131)</f>
        <v>2016</v>
      </c>
      <c r="L212" s="93">
        <f>YEAR('Charts - Freight'!L$131)</f>
        <v>2017</v>
      </c>
      <c r="M212" s="93">
        <f>YEAR('Charts - Freight'!M$131)</f>
        <v>2018</v>
      </c>
      <c r="N212" s="93">
        <f>YEAR('Charts - Freight'!N$131)</f>
        <v>2019</v>
      </c>
      <c r="O212" s="93">
        <f>YEAR('Charts - Freight'!O$131)</f>
        <v>2020</v>
      </c>
      <c r="P212" s="93">
        <f>YEAR('Charts - Freight'!P$131)</f>
        <v>2021</v>
      </c>
      <c r="Q212" s="93">
        <f>YEAR('Charts - Freight'!Q$131)</f>
        <v>2022</v>
      </c>
      <c r="R212" s="93">
        <f>YEAR('Charts - Freight'!R$131)</f>
        <v>2023</v>
      </c>
      <c r="S212" s="93">
        <f>YEAR('Charts - Freight'!S$131)</f>
        <v>2024</v>
      </c>
      <c r="T212" s="93">
        <f>YEAR('Charts - Freight'!T$131)</f>
        <v>2025</v>
      </c>
      <c r="U212" s="93">
        <f>YEAR('Charts - Freight'!U$131)</f>
        <v>2026</v>
      </c>
      <c r="V212" s="93">
        <f>YEAR('Charts - Freight'!V$131)</f>
        <v>2027</v>
      </c>
      <c r="W212" s="93">
        <f>YEAR('Charts - Freight'!W$131)</f>
        <v>2028</v>
      </c>
      <c r="X212" s="93">
        <f>YEAR('Charts - Freight'!X$131)</f>
        <v>2029</v>
      </c>
      <c r="Y212" s="93">
        <f>YEAR('Charts - Freight'!Y$131)</f>
        <v>2030</v>
      </c>
      <c r="Z212" s="93">
        <f>YEAR('Charts - Freight'!Z$131)</f>
        <v>2031</v>
      </c>
      <c r="AA212" s="93">
        <f>YEAR('Charts - Freight'!AA$131)</f>
        <v>2032</v>
      </c>
      <c r="AB212" s="93">
        <f>YEAR('Charts - Freight'!AB$131)</f>
        <v>2033</v>
      </c>
      <c r="AC212" s="93">
        <f>YEAR('Charts - Freight'!AC$131)</f>
        <v>2034</v>
      </c>
      <c r="AD212" s="93">
        <f>YEAR('Charts - Freight'!AD$131)</f>
        <v>2035</v>
      </c>
      <c r="AE212" s="93">
        <f>YEAR('Charts - Freight'!AE$131)</f>
        <v>2036</v>
      </c>
      <c r="AF212" s="93">
        <f>YEAR('Charts - Freight'!AF$131)</f>
        <v>2037</v>
      </c>
      <c r="AG212" s="93">
        <f>YEAR('Charts - Freight'!AG$131)</f>
        <v>2038</v>
      </c>
      <c r="AH212" s="93">
        <f>YEAR('Charts - Freight'!AH$131)</f>
        <v>2039</v>
      </c>
    </row>
    <row r="213" spans="1:34" s="412" customFormat="1" ht="12" x14ac:dyDescent="0.15">
      <c r="A213" s="80"/>
      <c r="B213" s="80" t="s">
        <v>190</v>
      </c>
      <c r="C213" s="80"/>
      <c r="D213" s="80"/>
      <c r="E213" s="95">
        <f>IF(E132=1,('Income statement'!E27+'Income statement'!E34)/'Income statement'!E17,0)</f>
        <v>0.12234085345531025</v>
      </c>
      <c r="F213" s="95">
        <f>IF(F132=1,('Income statement'!F27+'Income statement'!F34)/'Income statement'!F17,0)</f>
        <v>0.12286015720188954</v>
      </c>
      <c r="G213" s="95">
        <f>IF(G132=1,('Income statement'!G27+'Income statement'!G34)/'Income statement'!G17,0)</f>
        <v>0.12420481827426451</v>
      </c>
      <c r="H213" s="95">
        <f>IF(H132=1,('Income statement'!H27+'Income statement'!H34)/'Income statement'!H17,0)</f>
        <v>0.126280976019682</v>
      </c>
      <c r="I213" s="95">
        <f>IF(I132=1,('Income statement'!I27+'Income statement'!I34)/'Income statement'!I17,0)</f>
        <v>0.1269326757844505</v>
      </c>
      <c r="J213" s="95">
        <f>IF(J132=1,('Income statement'!J27+'Income statement'!J34)/'Income statement'!J17," ")</f>
        <v>0.12599974704501915</v>
      </c>
      <c r="K213" s="95">
        <f>IF(K132=1,('Income statement'!K27+'Income statement'!K34)/'Income statement'!K17," ")</f>
        <v>0.12011813189012663</v>
      </c>
      <c r="L213" s="95">
        <f>IF(L132=1,('Income statement'!L27+'Income statement'!L34)/'Income statement'!L17," ")</f>
        <v>0.11926537388251274</v>
      </c>
      <c r="M213" s="95">
        <f>IF(M132=1,('Income statement'!M27+'Income statement'!M34)/'Income statement'!M17," ")</f>
        <v>0.11853901431735485</v>
      </c>
      <c r="N213" s="95">
        <f>IF(N132=1,('Income statement'!N27+'Income statement'!N34)/'Income statement'!N17," ")</f>
        <v>0.11783598398588173</v>
      </c>
      <c r="O213" s="95">
        <f>IF(O132=1,('Income statement'!O27+'Income statement'!O34)/'Income statement'!O17," ")</f>
        <v>0.1171439792523004</v>
      </c>
      <c r="P213" s="95">
        <f>IF(P132=1,('Income statement'!P27+'Income statement'!P34)/'Income statement'!P17," ")</f>
        <v>0.11646763641280057</v>
      </c>
      <c r="Q213" s="95">
        <f>IF(Q132=1,('Income statement'!Q27+'Income statement'!Q34)/'Income statement'!Q17," ")</f>
        <v>0.11577869141334478</v>
      </c>
      <c r="R213" s="95">
        <f>IF(R132=1,('Income statement'!R27+'Income statement'!R34)/'Income statement'!R17," ")</f>
        <v>0.11506995769356772</v>
      </c>
      <c r="S213" s="95">
        <f>IF(S132=1,('Income statement'!S27+'Income statement'!S34)/'Income statement'!S17," ")</f>
        <v>0.11442783212310208</v>
      </c>
      <c r="T213" s="95">
        <f>IF(T132=1,('Income statement'!T27+'Income statement'!T34)/'Income statement'!T17," ")</f>
        <v>0.11372709904772201</v>
      </c>
      <c r="U213" s="95">
        <f>IF(U132=1,('Income statement'!U27+'Income statement'!U34)/'Income statement'!U17," ")</f>
        <v>0.1131170381981601</v>
      </c>
      <c r="V213" s="95">
        <f>IF(V132=1,('Income statement'!V27+'Income statement'!V34)/'Income statement'!V17," ")</f>
        <v>0.1124731765876906</v>
      </c>
      <c r="W213" s="95">
        <f>IF(W132=1,('Income statement'!W27+'Income statement'!W34)/'Income statement'!W17," ")</f>
        <v>0.11180359976729662</v>
      </c>
      <c r="X213" s="95">
        <f>IF(X132=1,('Income statement'!X27+'Income statement'!X34)/'Income statement'!X17," ")</f>
        <v>0.11121803228485212</v>
      </c>
      <c r="Y213" s="95">
        <f>IF(Y132=1,('Income statement'!Y27+'Income statement'!Y34)/'Income statement'!Y17," ")</f>
        <v>0.11058895172711487</v>
      </c>
      <c r="Z213" s="95">
        <f>IF(Z132=1,('Income statement'!Z27+'Income statement'!Z34)/'Income statement'!Z17," ")</f>
        <v>0.1100308143791215</v>
      </c>
      <c r="AA213" s="95">
        <f>IF(AA132=1,('Income statement'!AA27+'Income statement'!AA34)/'Income statement'!AA17," ")</f>
        <v>0.10949271501280658</v>
      </c>
      <c r="AB213" s="95">
        <f>IF(AB132=1,('Income statement'!AB27+'Income statement'!AB34)/'Income statement'!AB17," ")</f>
        <v>0.10896389273202005</v>
      </c>
      <c r="AC213" s="95">
        <f>IF(AC132=1,('Income statement'!AC27+'Income statement'!AC34)/'Income statement'!AC17," ")</f>
        <v>0.10843625648488556</v>
      </c>
      <c r="AD213" s="95">
        <f>IF(AD132=1,('Income statement'!AD27+'Income statement'!AD34)/'Income statement'!AD17," ")</f>
        <v>0.10792596507337503</v>
      </c>
      <c r="AE213" s="95">
        <f>IF(AE132=1,('Income statement'!AE27+'Income statement'!AE34)/'Income statement'!AE17," ")</f>
        <v>0.10742456591344209</v>
      </c>
      <c r="AF213" s="95">
        <f>IF(AF132=1,('Income statement'!AF27+'Income statement'!AF34)/'Income statement'!AF17," ")</f>
        <v>0.10693193008669176</v>
      </c>
      <c r="AG213" s="95">
        <f>IF(AG132=1,('Income statement'!AG27+'Income statement'!AG34)/'Income statement'!AG17," ")</f>
        <v>0.10643479096577339</v>
      </c>
      <c r="AH213" s="95">
        <f>IF(AH132=1,('Income statement'!AH27+'Income statement'!AH34)/'Income statement'!AH17," ")</f>
        <v>0.10579097080972498</v>
      </c>
    </row>
    <row r="214" spans="1:34" s="412" customFormat="1" ht="12" x14ac:dyDescent="0.15">
      <c r="A214" s="80"/>
      <c r="B214" s="80" t="s">
        <v>191</v>
      </c>
      <c r="C214" s="80"/>
      <c r="D214" s="80"/>
      <c r="E214" s="95">
        <f>IF(E132=1,'Income statement'!E27/'Income statement'!E17,0)</f>
        <v>0.12067439748997254</v>
      </c>
      <c r="F214" s="95">
        <f>IF(F132=1,'Income statement'!F27/'Income statement'!F17,0)</f>
        <v>0.12121468737414333</v>
      </c>
      <c r="G214" s="95">
        <f>IF(G132=1,'Income statement'!G27/'Income statement'!G17,0)</f>
        <v>0.12215848481177538</v>
      </c>
      <c r="H214" s="95">
        <f>IF(H132=1,'Income statement'!H27/'Income statement'!H17,0)</f>
        <v>0.12407145873393345</v>
      </c>
      <c r="I214" s="95">
        <f>IF(I132=1,'Income statement'!I27/'Income statement'!I17,0)</f>
        <v>0.12462959254991496</v>
      </c>
      <c r="J214" s="95">
        <f>IF(J132=1,'Income statement'!J27/'Income statement'!J17," ")</f>
        <v>0.12357333505083029</v>
      </c>
      <c r="K214" s="95">
        <f>IF(K132=1,'Income statement'!K27/'Income statement'!K17," ")</f>
        <v>0.11774368890447436</v>
      </c>
      <c r="L214" s="95">
        <f>IF(L132=1,'Income statement'!L27/'Income statement'!L17," ")</f>
        <v>0.11691700766208785</v>
      </c>
      <c r="M214" s="95">
        <f>IF(M132=1,'Income statement'!M27/'Income statement'!M17," ")</f>
        <v>0.11611536767833011</v>
      </c>
      <c r="N214" s="95">
        <f>IF(N132=1,'Income statement'!N27/'Income statement'!N17," ")</f>
        <v>0.11533807916231917</v>
      </c>
      <c r="O214" s="95">
        <f>IF(O132=1,'Income statement'!O27/'Income statement'!O17," ")</f>
        <v>0.11458409746576613</v>
      </c>
      <c r="P214" s="95">
        <f>IF(P132=1,'Income statement'!P27/'Income statement'!P17," ")</f>
        <v>0.11385235549789827</v>
      </c>
      <c r="Q214" s="95">
        <f>IF(Q132=1,'Income statement'!Q27/'Income statement'!Q17," ")</f>
        <v>0.11314200883370666</v>
      </c>
      <c r="R214" s="95">
        <f>IF(R132=1,'Income statement'!R27/'Income statement'!R17," ")</f>
        <v>0.11245216942772115</v>
      </c>
      <c r="S214" s="95">
        <f>IF(S132=1,'Income statement'!S27/'Income statement'!S17," ")</f>
        <v>0.11178158291964316</v>
      </c>
      <c r="T214" s="95">
        <f>IF(T132=1,'Income statement'!T27/'Income statement'!T17," ")</f>
        <v>0.11112998966184795</v>
      </c>
      <c r="U214" s="95">
        <f>IF(U132=1,'Income statement'!U27/'Income statement'!U17," ")</f>
        <v>0.11049594537380086</v>
      </c>
      <c r="V214" s="95">
        <f>IF(V132=1,'Income statement'!V27/'Income statement'!V17," ")</f>
        <v>0.10987927541772696</v>
      </c>
      <c r="W214" s="95">
        <f>IF(W132=1,'Income statement'!W27/'Income statement'!W17," ")</f>
        <v>0.10927925048628297</v>
      </c>
      <c r="X214" s="95">
        <f>IF(X132=1,'Income statement'!X27/'Income statement'!X17," ")</f>
        <v>0.10869473883574304</v>
      </c>
      <c r="Y214" s="95">
        <f>IF(Y132=1,'Income statement'!Y27/'Income statement'!Y17," ")</f>
        <v>0.10812570165200079</v>
      </c>
      <c r="Z214" s="95">
        <f>IF(Z132=1,'Income statement'!Z27/'Income statement'!Z17," ")</f>
        <v>0.10757099070878004</v>
      </c>
      <c r="AA214" s="95">
        <f>IF(AA132=1,'Income statement'!AA27/'Income statement'!AA17," ")</f>
        <v>0.10703030383529352</v>
      </c>
      <c r="AB214" s="95">
        <f>IF(AB132=1,'Income statement'!AB27/'Income statement'!AB17," ")</f>
        <v>0.10650315783938079</v>
      </c>
      <c r="AC214" s="95">
        <f>IF(AC132=1,'Income statement'!AC27/'Income statement'!AC17," ")</f>
        <v>0.10598908921213389</v>
      </c>
      <c r="AD214" s="95">
        <f>IF(AD132=1,'Income statement'!AD27/'Income statement'!AD17," ")</f>
        <v>0.10548754078620505</v>
      </c>
      <c r="AE214" s="95">
        <f>IF(AE132=1,'Income statement'!AE27/'Income statement'!AE17," ")</f>
        <v>0.10499809713694873</v>
      </c>
      <c r="AF214" s="95">
        <f>IF(AF132=1,'Income statement'!AF27/'Income statement'!AF17," ")</f>
        <v>0.10452032520509126</v>
      </c>
      <c r="AG214" s="95">
        <f>IF(AG132=1,'Income statement'!AG27/'Income statement'!AG17," ")</f>
        <v>0.10405386952522709</v>
      </c>
      <c r="AH214" s="95">
        <f>IF(AH132=1,'Income statement'!AH27/'Income statement'!AH17," ")</f>
        <v>0.10359974848018143</v>
      </c>
    </row>
    <row r="215" spans="1:34" s="412" customFormat="1" ht="12" x14ac:dyDescent="0.15">
      <c r="A215" s="80"/>
      <c r="B215" s="80"/>
      <c r="C215" s="80"/>
      <c r="D215" s="80"/>
      <c r="E215" s="80"/>
      <c r="F215" s="80"/>
      <c r="G215" s="80"/>
      <c r="H215" s="80"/>
      <c r="I215" s="80"/>
      <c r="J215" s="80"/>
      <c r="K215" s="80"/>
      <c r="L215" s="80"/>
      <c r="M215" s="80"/>
      <c r="N215" s="80"/>
      <c r="O215" s="80"/>
      <c r="P215" s="80"/>
      <c r="Q215" s="80"/>
      <c r="R215" s="80"/>
      <c r="S215" s="80"/>
      <c r="T215" s="80"/>
      <c r="U215" s="80"/>
      <c r="V215" s="80"/>
      <c r="W215" s="80"/>
      <c r="X215" s="80"/>
      <c r="Y215" s="80"/>
      <c r="Z215" s="80"/>
      <c r="AA215" s="80"/>
      <c r="AB215" s="80"/>
      <c r="AC215" s="80"/>
      <c r="AD215" s="80"/>
      <c r="AE215" s="80"/>
      <c r="AF215" s="80"/>
      <c r="AG215" s="80"/>
      <c r="AH215" s="80"/>
    </row>
    <row r="216" spans="1:34" s="412" customFormat="1" ht="12" x14ac:dyDescent="0.15">
      <c r="A216" s="80"/>
      <c r="B216" s="90" t="s">
        <v>192</v>
      </c>
      <c r="C216" s="80"/>
      <c r="D216" s="80"/>
      <c r="E216" s="80" t="s">
        <v>305</v>
      </c>
      <c r="F216" s="80" t="s">
        <v>325</v>
      </c>
      <c r="G216" s="80"/>
      <c r="H216" s="80"/>
      <c r="I216" s="80"/>
      <c r="J216" s="80"/>
      <c r="K216" s="80"/>
      <c r="L216" s="80"/>
      <c r="M216" s="80"/>
      <c r="N216" s="80"/>
      <c r="O216" s="80"/>
      <c r="P216" s="80"/>
      <c r="Q216" s="80"/>
      <c r="R216" s="80"/>
      <c r="S216" s="80"/>
      <c r="T216" s="80"/>
      <c r="U216" s="80"/>
      <c r="V216" s="80"/>
      <c r="W216" s="80"/>
      <c r="X216" s="80"/>
      <c r="Y216" s="80"/>
      <c r="Z216" s="80"/>
      <c r="AA216" s="80"/>
      <c r="AB216" s="80"/>
      <c r="AC216" s="80"/>
      <c r="AD216" s="80"/>
      <c r="AE216" s="80"/>
      <c r="AF216" s="80"/>
      <c r="AG216" s="80"/>
      <c r="AH216" s="80"/>
    </row>
    <row r="217" spans="1:34" s="412" customFormat="1" ht="12" x14ac:dyDescent="0.15">
      <c r="A217" s="80"/>
      <c r="B217" s="80"/>
      <c r="C217" s="80"/>
      <c r="D217" s="80"/>
      <c r="E217" s="93">
        <f>YEAR('Charts - Freight'!E$131)</f>
        <v>2010</v>
      </c>
      <c r="F217" s="93">
        <f>YEAR('Charts - Freight'!F$131)</f>
        <v>2011</v>
      </c>
      <c r="G217" s="93">
        <f>YEAR('Charts - Freight'!G$131)</f>
        <v>2012</v>
      </c>
      <c r="H217" s="93">
        <f>YEAR('Charts - Freight'!H$131)</f>
        <v>2013</v>
      </c>
      <c r="I217" s="93">
        <f>YEAR('Charts - Freight'!I$131)</f>
        <v>2014</v>
      </c>
      <c r="J217" s="93">
        <f>YEAR('Charts - Freight'!J$131)</f>
        <v>2015</v>
      </c>
      <c r="K217" s="93">
        <f>YEAR('Charts - Freight'!K$131)</f>
        <v>2016</v>
      </c>
      <c r="L217" s="93">
        <f>YEAR('Charts - Freight'!L$131)</f>
        <v>2017</v>
      </c>
      <c r="M217" s="93">
        <f>YEAR('Charts - Freight'!M$131)</f>
        <v>2018</v>
      </c>
      <c r="N217" s="93">
        <f>YEAR('Charts - Freight'!N$131)</f>
        <v>2019</v>
      </c>
      <c r="O217" s="93">
        <f>YEAR('Charts - Freight'!O$131)</f>
        <v>2020</v>
      </c>
      <c r="P217" s="93">
        <f>YEAR('Charts - Freight'!P$131)</f>
        <v>2021</v>
      </c>
      <c r="Q217" s="93">
        <f>YEAR('Charts - Freight'!Q$131)</f>
        <v>2022</v>
      </c>
      <c r="R217" s="93">
        <f>YEAR('Charts - Freight'!R$131)</f>
        <v>2023</v>
      </c>
      <c r="S217" s="93">
        <f>YEAR('Charts - Freight'!S$131)</f>
        <v>2024</v>
      </c>
      <c r="T217" s="93">
        <f>YEAR('Charts - Freight'!T$131)</f>
        <v>2025</v>
      </c>
      <c r="U217" s="93">
        <f>YEAR('Charts - Freight'!U$131)</f>
        <v>2026</v>
      </c>
      <c r="V217" s="93">
        <f>YEAR('Charts - Freight'!V$131)</f>
        <v>2027</v>
      </c>
      <c r="W217" s="93">
        <f>YEAR('Charts - Freight'!W$131)</f>
        <v>2028</v>
      </c>
      <c r="X217" s="93">
        <f>YEAR('Charts - Freight'!X$131)</f>
        <v>2029</v>
      </c>
      <c r="Y217" s="93">
        <f>YEAR('Charts - Freight'!Y$131)</f>
        <v>2030</v>
      </c>
      <c r="Z217" s="93">
        <f>YEAR('Charts - Freight'!Z$131)</f>
        <v>2031</v>
      </c>
      <c r="AA217" s="93">
        <f>YEAR('Charts - Freight'!AA$131)</f>
        <v>2032</v>
      </c>
      <c r="AB217" s="93">
        <f>YEAR('Charts - Freight'!AB$131)</f>
        <v>2033</v>
      </c>
      <c r="AC217" s="93">
        <f>YEAR('Charts - Freight'!AC$131)</f>
        <v>2034</v>
      </c>
      <c r="AD217" s="93">
        <f>YEAR('Charts - Freight'!AD$131)</f>
        <v>2035</v>
      </c>
      <c r="AE217" s="93">
        <f>YEAR('Charts - Freight'!AE$131)</f>
        <v>2036</v>
      </c>
      <c r="AF217" s="93">
        <f>YEAR('Charts - Freight'!AF$131)</f>
        <v>2037</v>
      </c>
      <c r="AG217" s="93">
        <f>YEAR('Charts - Freight'!AG$131)</f>
        <v>2038</v>
      </c>
      <c r="AH217" s="93">
        <f>YEAR('Charts - Freight'!AH$131)</f>
        <v>2039</v>
      </c>
    </row>
    <row r="218" spans="1:34" s="412" customFormat="1" ht="12" x14ac:dyDescent="0.15">
      <c r="A218" s="80"/>
      <c r="B218" s="80" t="s">
        <v>195</v>
      </c>
      <c r="C218" s="80"/>
      <c r="D218" s="80"/>
      <c r="E218" s="267">
        <f>IF(E132=1,E221/E220,0)</f>
        <v>2.4301075268817205</v>
      </c>
      <c r="F218" s="267">
        <f t="shared" ref="F218:I218" si="11">IF(F132=1,F221/F220,0)</f>
        <v>2.4210526315789473</v>
      </c>
      <c r="G218" s="267">
        <f t="shared" si="11"/>
        <v>2.3711340206185567</v>
      </c>
      <c r="H218" s="267">
        <f t="shared" si="11"/>
        <v>2.2476190476190476</v>
      </c>
      <c r="I218" s="267">
        <f t="shared" si="11"/>
        <v>2.1946902654867255</v>
      </c>
      <c r="J218" s="100">
        <f t="shared" ref="J218:AH218" si="12">IF(J132=1,J221/J220," ")</f>
        <v>2.247787610619469</v>
      </c>
      <c r="K218" s="100">
        <f t="shared" si="12"/>
        <v>2.4424778761061945</v>
      </c>
      <c r="L218" s="100">
        <f t="shared" si="12"/>
        <v>2.4955752212389379</v>
      </c>
      <c r="M218" s="100">
        <f t="shared" si="12"/>
        <v>2.5486725663716814</v>
      </c>
      <c r="N218" s="100">
        <f t="shared" si="12"/>
        <v>2.6017699115044248</v>
      </c>
      <c r="O218" s="100">
        <f t="shared" si="12"/>
        <v>2.6548672566371683</v>
      </c>
      <c r="P218" s="100">
        <f t="shared" si="12"/>
        <v>2.7079646017699117</v>
      </c>
      <c r="Q218" s="100">
        <f t="shared" si="12"/>
        <v>2.7610619469026547</v>
      </c>
      <c r="R218" s="100">
        <f t="shared" si="12"/>
        <v>2.8141592920353982</v>
      </c>
      <c r="S218" s="100">
        <f t="shared" si="12"/>
        <v>2.8672566371681416</v>
      </c>
      <c r="T218" s="100">
        <f t="shared" si="12"/>
        <v>2.9203539823008851</v>
      </c>
      <c r="U218" s="100">
        <f t="shared" si="12"/>
        <v>2.9734513274336285</v>
      </c>
      <c r="V218" s="100">
        <f t="shared" si="12"/>
        <v>3.0265486725663715</v>
      </c>
      <c r="W218" s="100">
        <f t="shared" si="12"/>
        <v>3.0796460176991149</v>
      </c>
      <c r="X218" s="100">
        <f t="shared" si="12"/>
        <v>3.1327433628318584</v>
      </c>
      <c r="Y218" s="100">
        <f t="shared" si="12"/>
        <v>3.1858407079646018</v>
      </c>
      <c r="Z218" s="100">
        <f t="shared" si="12"/>
        <v>3.2389380530973453</v>
      </c>
      <c r="AA218" s="100">
        <f t="shared" si="12"/>
        <v>3.2920353982300883</v>
      </c>
      <c r="AB218" s="100">
        <f t="shared" si="12"/>
        <v>3.3451327433628317</v>
      </c>
      <c r="AC218" s="100">
        <f t="shared" si="12"/>
        <v>3.3982300884955752</v>
      </c>
      <c r="AD218" s="100">
        <f t="shared" si="12"/>
        <v>3.4513274336283186</v>
      </c>
      <c r="AE218" s="100">
        <f t="shared" si="12"/>
        <v>3.5044247787610621</v>
      </c>
      <c r="AF218" s="100">
        <f t="shared" si="12"/>
        <v>3.5575221238938055</v>
      </c>
      <c r="AG218" s="100">
        <f t="shared" si="12"/>
        <v>3.6106194690265485</v>
      </c>
      <c r="AH218" s="100">
        <f t="shared" si="12"/>
        <v>3.663716814159292</v>
      </c>
    </row>
    <row r="219" spans="1:34" s="412" customFormat="1" ht="12" x14ac:dyDescent="0.15">
      <c r="A219" s="80"/>
      <c r="B219" s="266" t="str">
        <f>'Assumptions - Consolidated'!E18</f>
        <v>EU railways</v>
      </c>
      <c r="C219" s="80"/>
      <c r="D219" s="80"/>
      <c r="E219" s="98">
        <f>IF(E132=1,'Assumptions - Consolidated'!$E$19,0)</f>
        <v>1</v>
      </c>
      <c r="F219" s="98">
        <f>IF(F132=1,'Assumptions - Consolidated'!$E$19,0)</f>
        <v>1</v>
      </c>
      <c r="G219" s="98">
        <f>IF(G132=1,'Assumptions - Consolidated'!$E$19,0)</f>
        <v>1</v>
      </c>
      <c r="H219" s="98">
        <f>IF(H132=1,'Assumptions - Consolidated'!$E$19,0)</f>
        <v>1</v>
      </c>
      <c r="I219" s="98">
        <f>IF(I132=1,'Assumptions - Consolidated'!$E$19,0)</f>
        <v>1</v>
      </c>
      <c r="J219" s="96">
        <f>IF(J132=1,'Assumptions - Consolidated'!$E$19," ")</f>
        <v>1</v>
      </c>
      <c r="K219" s="96">
        <f>IF(K132=1,'Assumptions - Consolidated'!$E$19," ")</f>
        <v>1</v>
      </c>
      <c r="L219" s="96">
        <f>IF(L132=1,'Assumptions - Consolidated'!$E$19," ")</f>
        <v>1</v>
      </c>
      <c r="M219" s="96">
        <f>IF(M132=1,'Assumptions - Consolidated'!$E$19," ")</f>
        <v>1</v>
      </c>
      <c r="N219" s="96">
        <f>IF(N132=1,'Assumptions - Consolidated'!$E$19," ")</f>
        <v>1</v>
      </c>
      <c r="O219" s="96">
        <f>IF(O132=1,'Assumptions - Consolidated'!$E$19," ")</f>
        <v>1</v>
      </c>
      <c r="P219" s="96">
        <f>IF(P132=1,'Assumptions - Consolidated'!$E$19," ")</f>
        <v>1</v>
      </c>
      <c r="Q219" s="96">
        <f>IF(Q132=1,'Assumptions - Consolidated'!$E$19," ")</f>
        <v>1</v>
      </c>
      <c r="R219" s="96">
        <f>IF(R132=1,'Assumptions - Consolidated'!$E$19," ")</f>
        <v>1</v>
      </c>
      <c r="S219" s="96">
        <f>IF(S132=1,'Assumptions - Consolidated'!$E$19," ")</f>
        <v>1</v>
      </c>
      <c r="T219" s="96">
        <f>IF(T132=1,'Assumptions - Consolidated'!$E$19," ")</f>
        <v>1</v>
      </c>
      <c r="U219" s="96">
        <f>IF(U132=1,'Assumptions - Consolidated'!$E$19," ")</f>
        <v>1</v>
      </c>
      <c r="V219" s="96">
        <f>IF(V132=1,'Assumptions - Consolidated'!$E$19," ")</f>
        <v>1</v>
      </c>
      <c r="W219" s="96">
        <f>IF(W132=1,'Assumptions - Consolidated'!$E$19," ")</f>
        <v>1</v>
      </c>
      <c r="X219" s="96">
        <f>IF(X132=1,'Assumptions - Consolidated'!$E$19," ")</f>
        <v>1</v>
      </c>
      <c r="Y219" s="96">
        <f>IF(Y132=1,'Assumptions - Consolidated'!$E$19," ")</f>
        <v>1</v>
      </c>
      <c r="Z219" s="96">
        <f>IF(Z132=1,'Assumptions - Consolidated'!$E$19," ")</f>
        <v>1</v>
      </c>
      <c r="AA219" s="96">
        <f>IF(AA132=1,'Assumptions - Consolidated'!$E$19," ")</f>
        <v>1</v>
      </c>
      <c r="AB219" s="96">
        <f>IF(AB132=1,'Assumptions - Consolidated'!$E$19," ")</f>
        <v>1</v>
      </c>
      <c r="AC219" s="96">
        <f>IF(AC132=1,'Assumptions - Consolidated'!$E$19," ")</f>
        <v>1</v>
      </c>
      <c r="AD219" s="96">
        <f>IF(AD132=1,'Assumptions - Consolidated'!$E$19," ")</f>
        <v>1</v>
      </c>
      <c r="AE219" s="96">
        <f>IF(AE132=1,'Assumptions - Consolidated'!$E$19," ")</f>
        <v>1</v>
      </c>
      <c r="AF219" s="96">
        <f>IF(AF132=1,'Assumptions - Consolidated'!$E$19," ")</f>
        <v>1</v>
      </c>
      <c r="AG219" s="96">
        <f>IF(AG132=1,'Assumptions - Consolidated'!$E$19," ")</f>
        <v>1</v>
      </c>
      <c r="AH219" s="96">
        <f>IF(AH132=1,'Assumptions - Consolidated'!$E$19," ")</f>
        <v>1</v>
      </c>
    </row>
    <row r="220" spans="1:34" s="412" customFormat="1" ht="12" x14ac:dyDescent="0.15">
      <c r="A220" s="80"/>
      <c r="B220" s="80" t="s">
        <v>193</v>
      </c>
      <c r="C220" s="80"/>
      <c r="D220" s="80"/>
      <c r="E220" s="94">
        <f>IF(E132=1,'Assumptions - Consolidated'!E17+'Assumptions - Consolidated'!E35,0)</f>
        <v>46500</v>
      </c>
      <c r="F220" s="94">
        <f>IF(F132=1,'Assumptions - Consolidated'!F17+'Assumptions - Consolidated'!F35,0)</f>
        <v>47500</v>
      </c>
      <c r="G220" s="94">
        <f>IF(G132=1,'Assumptions - Consolidated'!G17+'Assumptions - Consolidated'!G35,0)</f>
        <v>48500</v>
      </c>
      <c r="H220" s="94">
        <f>IF(H132=1,'Assumptions - Consolidated'!H17+'Assumptions - Consolidated'!H35,0)</f>
        <v>52500</v>
      </c>
      <c r="I220" s="94">
        <f>IF(I132=1,'Assumptions - Consolidated'!I17+'Assumptions - Consolidated'!I35,0)</f>
        <v>56500</v>
      </c>
      <c r="J220" s="94">
        <f>IF(J132=1,'Assumptions - Consolidated'!J17+'Assumptions - Consolidated'!J35," ")</f>
        <v>56500</v>
      </c>
      <c r="K220" s="94">
        <f>IF(K132=1,'Assumptions - Consolidated'!K17+'Assumptions - Consolidated'!K35," ")</f>
        <v>56500</v>
      </c>
      <c r="L220" s="94">
        <f>IF(L132=1,'Assumptions - Consolidated'!L17+'Assumptions - Consolidated'!L35," ")</f>
        <v>56500</v>
      </c>
      <c r="M220" s="94">
        <f>IF(M132=1,'Assumptions - Consolidated'!M17+'Assumptions - Consolidated'!M35," ")</f>
        <v>56500</v>
      </c>
      <c r="N220" s="94">
        <f>IF(N132=1,'Assumptions - Consolidated'!N17+'Assumptions - Consolidated'!N35," ")</f>
        <v>56500</v>
      </c>
      <c r="O220" s="94">
        <f>IF(O132=1,'Assumptions - Consolidated'!O17+'Assumptions - Consolidated'!O35," ")</f>
        <v>56500</v>
      </c>
      <c r="P220" s="94">
        <f>IF(P132=1,'Assumptions - Consolidated'!P17+'Assumptions - Consolidated'!P35," ")</f>
        <v>56500</v>
      </c>
      <c r="Q220" s="94">
        <f>IF(Q132=1,'Assumptions - Consolidated'!Q17+'Assumptions - Consolidated'!Q35," ")</f>
        <v>56500</v>
      </c>
      <c r="R220" s="94">
        <f>IF(R132=1,'Assumptions - Consolidated'!R17+'Assumptions - Consolidated'!R35," ")</f>
        <v>56500</v>
      </c>
      <c r="S220" s="94">
        <f>IF(S132=1,'Assumptions - Consolidated'!S17+'Assumptions - Consolidated'!S35," ")</f>
        <v>56500</v>
      </c>
      <c r="T220" s="94">
        <f>IF(T132=1,'Assumptions - Consolidated'!T17+'Assumptions - Consolidated'!T35," ")</f>
        <v>56500</v>
      </c>
      <c r="U220" s="94">
        <f>IF(U132=1,'Assumptions - Consolidated'!U17+'Assumptions - Consolidated'!U35," ")</f>
        <v>56500</v>
      </c>
      <c r="V220" s="94">
        <f>IF(V132=1,'Assumptions - Consolidated'!V17+'Assumptions - Consolidated'!V35," ")</f>
        <v>56500</v>
      </c>
      <c r="W220" s="94">
        <f>IF(W132=1,'Assumptions - Consolidated'!W17+'Assumptions - Consolidated'!W35," ")</f>
        <v>56500</v>
      </c>
      <c r="X220" s="94">
        <f>IF(X132=1,'Assumptions - Consolidated'!X17+'Assumptions - Consolidated'!X35," ")</f>
        <v>56500</v>
      </c>
      <c r="Y220" s="94">
        <f>IF(Y132=1,'Assumptions - Consolidated'!Y17+'Assumptions - Consolidated'!Y35," ")</f>
        <v>56500</v>
      </c>
      <c r="Z220" s="94">
        <f>IF(Z132=1,'Assumptions - Consolidated'!Z17+'Assumptions - Consolidated'!Z35," ")</f>
        <v>56500</v>
      </c>
      <c r="AA220" s="94">
        <f>IF(AA132=1,'Assumptions - Consolidated'!AA17+'Assumptions - Consolidated'!AA35," ")</f>
        <v>56500</v>
      </c>
      <c r="AB220" s="94">
        <f>IF(AB132=1,'Assumptions - Consolidated'!AB17+'Assumptions - Consolidated'!AB35," ")</f>
        <v>56500</v>
      </c>
      <c r="AC220" s="94">
        <f>IF(AC132=1,'Assumptions - Consolidated'!AC17+'Assumptions - Consolidated'!AC35," ")</f>
        <v>56500</v>
      </c>
      <c r="AD220" s="94">
        <f>IF(AD132=1,'Assumptions - Consolidated'!AD17+'Assumptions - Consolidated'!AD35," ")</f>
        <v>56500</v>
      </c>
      <c r="AE220" s="94">
        <f>IF(AE132=1,'Assumptions - Consolidated'!AE17+'Assumptions - Consolidated'!AE35," ")</f>
        <v>56500</v>
      </c>
      <c r="AF220" s="94">
        <f>IF(AF132=1,'Assumptions - Consolidated'!AF17+'Assumptions - Consolidated'!AF35," ")</f>
        <v>56500</v>
      </c>
      <c r="AG220" s="94">
        <f>IF(AG132=1,'Assumptions - Consolidated'!AG17+'Assumptions - Consolidated'!AG35," ")</f>
        <v>56500</v>
      </c>
      <c r="AH220" s="94">
        <f>IF(AH132=1,'Assumptions - Consolidated'!AH17+'Assumptions - Consolidated'!AH35," ")</f>
        <v>56500</v>
      </c>
    </row>
    <row r="221" spans="1:34" s="412" customFormat="1" ht="12" x14ac:dyDescent="0.15">
      <c r="A221" s="80"/>
      <c r="B221" s="80" t="s">
        <v>194</v>
      </c>
      <c r="C221" s="80"/>
      <c r="D221" s="80"/>
      <c r="E221" s="97">
        <f>IF(E132=1,E151+E152,0)</f>
        <v>113000</v>
      </c>
      <c r="F221" s="97">
        <f t="shared" ref="F221:I221" si="13">IF(F132=1,F151+F152,0)</f>
        <v>115000</v>
      </c>
      <c r="G221" s="97">
        <f t="shared" si="13"/>
        <v>115000</v>
      </c>
      <c r="H221" s="97">
        <f t="shared" si="13"/>
        <v>118000</v>
      </c>
      <c r="I221" s="97">
        <f t="shared" si="13"/>
        <v>124000</v>
      </c>
      <c r="J221" s="97">
        <f t="shared" ref="J221:AH221" si="14">IF(J132=1,J151+J152," ")</f>
        <v>127000</v>
      </c>
      <c r="K221" s="97">
        <f t="shared" si="14"/>
        <v>138000</v>
      </c>
      <c r="L221" s="97">
        <f t="shared" si="14"/>
        <v>141000</v>
      </c>
      <c r="M221" s="97">
        <f t="shared" si="14"/>
        <v>144000</v>
      </c>
      <c r="N221" s="97">
        <f t="shared" si="14"/>
        <v>147000</v>
      </c>
      <c r="O221" s="97">
        <f t="shared" si="14"/>
        <v>150000</v>
      </c>
      <c r="P221" s="97">
        <f t="shared" si="14"/>
        <v>153000</v>
      </c>
      <c r="Q221" s="97">
        <f t="shared" si="14"/>
        <v>156000</v>
      </c>
      <c r="R221" s="97">
        <f t="shared" si="14"/>
        <v>159000</v>
      </c>
      <c r="S221" s="97">
        <f t="shared" si="14"/>
        <v>162000</v>
      </c>
      <c r="T221" s="97">
        <f t="shared" si="14"/>
        <v>165000</v>
      </c>
      <c r="U221" s="97">
        <f t="shared" si="14"/>
        <v>168000</v>
      </c>
      <c r="V221" s="97">
        <f t="shared" si="14"/>
        <v>171000</v>
      </c>
      <c r="W221" s="97">
        <f t="shared" si="14"/>
        <v>174000</v>
      </c>
      <c r="X221" s="97">
        <f t="shared" si="14"/>
        <v>177000</v>
      </c>
      <c r="Y221" s="97">
        <f t="shared" si="14"/>
        <v>180000</v>
      </c>
      <c r="Z221" s="97">
        <f t="shared" si="14"/>
        <v>183000</v>
      </c>
      <c r="AA221" s="97">
        <f t="shared" si="14"/>
        <v>186000</v>
      </c>
      <c r="AB221" s="97">
        <f t="shared" si="14"/>
        <v>189000</v>
      </c>
      <c r="AC221" s="97">
        <f t="shared" si="14"/>
        <v>192000</v>
      </c>
      <c r="AD221" s="97">
        <f t="shared" si="14"/>
        <v>195000</v>
      </c>
      <c r="AE221" s="97">
        <f t="shared" si="14"/>
        <v>198000</v>
      </c>
      <c r="AF221" s="97">
        <f t="shared" si="14"/>
        <v>201000</v>
      </c>
      <c r="AG221" s="97">
        <f t="shared" si="14"/>
        <v>204000</v>
      </c>
      <c r="AH221" s="97">
        <f t="shared" si="14"/>
        <v>207000</v>
      </c>
    </row>
    <row r="222" spans="1:34" s="412" customFormat="1" ht="12" x14ac:dyDescent="0.15">
      <c r="A222" s="80"/>
      <c r="B222" s="80"/>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c r="AA222" s="80"/>
      <c r="AB222" s="80"/>
      <c r="AC222" s="80"/>
      <c r="AD222" s="80"/>
      <c r="AE222" s="80"/>
      <c r="AF222" s="80"/>
      <c r="AG222" s="80"/>
      <c r="AH222" s="80"/>
    </row>
    <row r="223" spans="1:34" s="412" customFormat="1" ht="12" x14ac:dyDescent="0.15">
      <c r="A223" s="80"/>
      <c r="B223" s="90" t="s">
        <v>192</v>
      </c>
      <c r="C223" s="80"/>
      <c r="D223" s="80"/>
      <c r="E223" s="80" t="s">
        <v>305</v>
      </c>
      <c r="F223" s="80" t="s">
        <v>302</v>
      </c>
      <c r="G223" s="80"/>
      <c r="H223" s="80"/>
      <c r="I223" s="80"/>
      <c r="J223" s="80"/>
      <c r="K223" s="80"/>
      <c r="L223" s="80"/>
      <c r="M223" s="80"/>
      <c r="N223" s="80"/>
      <c r="O223" s="80"/>
      <c r="P223" s="80"/>
      <c r="Q223" s="80"/>
      <c r="R223" s="80"/>
      <c r="S223" s="80"/>
      <c r="T223" s="80"/>
      <c r="U223" s="80"/>
      <c r="V223" s="80"/>
      <c r="W223" s="80"/>
      <c r="X223" s="80"/>
      <c r="Y223" s="80"/>
      <c r="Z223" s="80"/>
      <c r="AA223" s="80"/>
      <c r="AB223" s="80"/>
      <c r="AC223" s="80"/>
      <c r="AD223" s="80"/>
      <c r="AE223" s="80"/>
      <c r="AF223" s="80"/>
      <c r="AG223" s="80"/>
      <c r="AH223" s="80"/>
    </row>
    <row r="224" spans="1:34" s="412" customFormat="1" ht="12" x14ac:dyDescent="0.15">
      <c r="A224" s="80"/>
      <c r="B224" s="80"/>
      <c r="C224" s="80"/>
      <c r="D224" s="80"/>
      <c r="E224" s="93">
        <f>YEAR('Charts - Freight'!E$131)</f>
        <v>2010</v>
      </c>
      <c r="F224" s="93">
        <f>YEAR('Charts - Freight'!F$131)</f>
        <v>2011</v>
      </c>
      <c r="G224" s="93">
        <f>YEAR('Charts - Freight'!G$131)</f>
        <v>2012</v>
      </c>
      <c r="H224" s="93">
        <f>YEAR('Charts - Freight'!H$131)</f>
        <v>2013</v>
      </c>
      <c r="I224" s="93">
        <f>YEAR('Charts - Freight'!I$131)</f>
        <v>2014</v>
      </c>
      <c r="J224" s="93">
        <f>YEAR('Charts - Freight'!J$131)</f>
        <v>2015</v>
      </c>
      <c r="K224" s="93">
        <f>YEAR('Charts - Freight'!K$131)</f>
        <v>2016</v>
      </c>
      <c r="L224" s="93">
        <f>YEAR('Charts - Freight'!L$131)</f>
        <v>2017</v>
      </c>
      <c r="M224" s="93">
        <f>YEAR('Charts - Freight'!M$131)</f>
        <v>2018</v>
      </c>
      <c r="N224" s="93">
        <f>YEAR('Charts - Freight'!N$131)</f>
        <v>2019</v>
      </c>
      <c r="O224" s="93">
        <f>YEAR('Charts - Freight'!O$131)</f>
        <v>2020</v>
      </c>
      <c r="P224" s="93">
        <f>YEAR('Charts - Freight'!P$131)</f>
        <v>2021</v>
      </c>
      <c r="Q224" s="93">
        <f>YEAR('Charts - Freight'!Q$131)</f>
        <v>2022</v>
      </c>
      <c r="R224" s="93">
        <f>YEAR('Charts - Freight'!R$131)</f>
        <v>2023</v>
      </c>
      <c r="S224" s="93">
        <f>YEAR('Charts - Freight'!S$131)</f>
        <v>2024</v>
      </c>
      <c r="T224" s="93">
        <f>YEAR('Charts - Freight'!T$131)</f>
        <v>2025</v>
      </c>
      <c r="U224" s="93">
        <f>YEAR('Charts - Freight'!U$131)</f>
        <v>2026</v>
      </c>
      <c r="V224" s="93">
        <f>YEAR('Charts - Freight'!V$131)</f>
        <v>2027</v>
      </c>
      <c r="W224" s="93">
        <f>YEAR('Charts - Freight'!W$131)</f>
        <v>2028</v>
      </c>
      <c r="X224" s="93">
        <f>YEAR('Charts - Freight'!X$131)</f>
        <v>2029</v>
      </c>
      <c r="Y224" s="93">
        <f>YEAR('Charts - Freight'!Y$131)</f>
        <v>2030</v>
      </c>
      <c r="Z224" s="93">
        <f>YEAR('Charts - Freight'!Z$131)</f>
        <v>2031</v>
      </c>
      <c r="AA224" s="93">
        <f>YEAR('Charts - Freight'!AA$131)</f>
        <v>2032</v>
      </c>
      <c r="AB224" s="93">
        <f>YEAR('Charts - Freight'!AB$131)</f>
        <v>2033</v>
      </c>
      <c r="AC224" s="93">
        <f>YEAR('Charts - Freight'!AC$131)</f>
        <v>2034</v>
      </c>
      <c r="AD224" s="93">
        <f>YEAR('Charts - Freight'!AD$131)</f>
        <v>2035</v>
      </c>
      <c r="AE224" s="93">
        <f>YEAR('Charts - Freight'!AE$131)</f>
        <v>2036</v>
      </c>
      <c r="AF224" s="93">
        <f>YEAR('Charts - Freight'!AF$131)</f>
        <v>2037</v>
      </c>
      <c r="AG224" s="93">
        <f>YEAR('Charts - Freight'!AG$131)</f>
        <v>2038</v>
      </c>
      <c r="AH224" s="93">
        <f>YEAR('Charts - Freight'!AH$131)</f>
        <v>2039</v>
      </c>
    </row>
    <row r="225" spans="1:34" s="412" customFormat="1" ht="12" x14ac:dyDescent="0.15">
      <c r="A225" s="80"/>
      <c r="B225" s="80" t="s">
        <v>196</v>
      </c>
      <c r="C225" s="80"/>
      <c r="D225" s="80"/>
      <c r="E225" s="98">
        <f>IF(E132=1,E227/E228,0)</f>
        <v>3.1</v>
      </c>
      <c r="F225" s="98">
        <f t="shared" ref="F225:I225" si="15">IF(F132=1,F227/F228,0)</f>
        <v>3.1666666666666665</v>
      </c>
      <c r="G225" s="98">
        <f t="shared" si="15"/>
        <v>3.2333333333333334</v>
      </c>
      <c r="H225" s="98">
        <f t="shared" si="15"/>
        <v>3.5</v>
      </c>
      <c r="I225" s="98">
        <f t="shared" si="15"/>
        <v>3.7666666666666666</v>
      </c>
      <c r="J225" s="98">
        <f t="shared" ref="J225:AH225" si="16">IF(J132=1,J227/J228," ")</f>
        <v>3.7666666666666666</v>
      </c>
      <c r="K225" s="98">
        <f t="shared" si="16"/>
        <v>3.7666666666666666</v>
      </c>
      <c r="L225" s="98">
        <f t="shared" si="16"/>
        <v>3.7666666666666666</v>
      </c>
      <c r="M225" s="98">
        <f t="shared" si="16"/>
        <v>3.7666666666666666</v>
      </c>
      <c r="N225" s="98">
        <f t="shared" si="16"/>
        <v>3.7666666666666666</v>
      </c>
      <c r="O225" s="98">
        <f t="shared" si="16"/>
        <v>3.7666666666666666</v>
      </c>
      <c r="P225" s="98">
        <f t="shared" si="16"/>
        <v>3.7666666666666666</v>
      </c>
      <c r="Q225" s="98">
        <f t="shared" si="16"/>
        <v>3.7666666666666666</v>
      </c>
      <c r="R225" s="98">
        <f t="shared" si="16"/>
        <v>3.7666666666666666</v>
      </c>
      <c r="S225" s="98">
        <f t="shared" si="16"/>
        <v>3.7666666666666666</v>
      </c>
      <c r="T225" s="98">
        <f t="shared" si="16"/>
        <v>3.7666666666666666</v>
      </c>
      <c r="U225" s="98">
        <f t="shared" si="16"/>
        <v>3.7666666666666666</v>
      </c>
      <c r="V225" s="98">
        <f t="shared" si="16"/>
        <v>3.7666666666666666</v>
      </c>
      <c r="W225" s="98">
        <f t="shared" si="16"/>
        <v>3.7666666666666666</v>
      </c>
      <c r="X225" s="98">
        <f t="shared" si="16"/>
        <v>3.7666666666666666</v>
      </c>
      <c r="Y225" s="98">
        <f t="shared" si="16"/>
        <v>3.7666666666666666</v>
      </c>
      <c r="Z225" s="98">
        <f t="shared" si="16"/>
        <v>3.7666666666666666</v>
      </c>
      <c r="AA225" s="98">
        <f t="shared" si="16"/>
        <v>3.7666666666666666</v>
      </c>
      <c r="AB225" s="98">
        <f t="shared" si="16"/>
        <v>3.7666666666666666</v>
      </c>
      <c r="AC225" s="98">
        <f t="shared" si="16"/>
        <v>3.7666666666666666</v>
      </c>
      <c r="AD225" s="98">
        <f t="shared" si="16"/>
        <v>3.7666666666666666</v>
      </c>
      <c r="AE225" s="98">
        <f t="shared" si="16"/>
        <v>3.7666666666666666</v>
      </c>
      <c r="AF225" s="98">
        <f t="shared" si="16"/>
        <v>3.7666666666666666</v>
      </c>
      <c r="AG225" s="98">
        <f t="shared" si="16"/>
        <v>3.7666666666666666</v>
      </c>
      <c r="AH225" s="98">
        <f t="shared" si="16"/>
        <v>3.7666666666666666</v>
      </c>
    </row>
    <row r="226" spans="1:34" s="412" customFormat="1" ht="12" x14ac:dyDescent="0.15">
      <c r="A226" s="80"/>
      <c r="B226" s="80" t="str">
        <f>B219</f>
        <v>EU railways</v>
      </c>
      <c r="C226" s="80"/>
      <c r="D226" s="80"/>
      <c r="E226" s="98">
        <f>IF(E132=1,'Assumptions - Consolidated'!$E$21,0)</f>
        <v>1</v>
      </c>
      <c r="F226" s="98">
        <f>IF(F132=1,'Assumptions - Consolidated'!$E$21,0)</f>
        <v>1</v>
      </c>
      <c r="G226" s="98">
        <f>IF(G132=1,'Assumptions - Consolidated'!$E$21,0)</f>
        <v>1</v>
      </c>
      <c r="H226" s="98">
        <f>IF(H132=1,'Assumptions - Consolidated'!$E$21,0)</f>
        <v>1</v>
      </c>
      <c r="I226" s="98">
        <f>IF(I132=1,'Assumptions - Consolidated'!$E$21,0)</f>
        <v>1</v>
      </c>
      <c r="J226" s="98">
        <f>IF(J132=1,'Assumptions - Consolidated'!$E$21," ")</f>
        <v>1</v>
      </c>
      <c r="K226" s="98">
        <f>IF(K132=1,'Assumptions - Consolidated'!$E$21," ")</f>
        <v>1</v>
      </c>
      <c r="L226" s="98">
        <f>IF(L132=1,'Assumptions - Consolidated'!$E$21," ")</f>
        <v>1</v>
      </c>
      <c r="M226" s="98">
        <f>IF(M132=1,'Assumptions - Consolidated'!$E$21," ")</f>
        <v>1</v>
      </c>
      <c r="N226" s="98">
        <f>IF(N132=1,'Assumptions - Consolidated'!$E$21," ")</f>
        <v>1</v>
      </c>
      <c r="O226" s="98">
        <f>IF(O132=1,'Assumptions - Consolidated'!$E$21," ")</f>
        <v>1</v>
      </c>
      <c r="P226" s="98">
        <f>IF(P132=1,'Assumptions - Consolidated'!$E$21," ")</f>
        <v>1</v>
      </c>
      <c r="Q226" s="98">
        <f>IF(Q132=1,'Assumptions - Consolidated'!$E$21," ")</f>
        <v>1</v>
      </c>
      <c r="R226" s="98">
        <f>IF(R132=1,'Assumptions - Consolidated'!$E$21," ")</f>
        <v>1</v>
      </c>
      <c r="S226" s="98">
        <f>IF(S132=1,'Assumptions - Consolidated'!$E$21," ")</f>
        <v>1</v>
      </c>
      <c r="T226" s="98">
        <f>IF(T132=1,'Assumptions - Consolidated'!$E$21," ")</f>
        <v>1</v>
      </c>
      <c r="U226" s="98">
        <f>IF(U132=1,'Assumptions - Consolidated'!$E$21," ")</f>
        <v>1</v>
      </c>
      <c r="V226" s="98">
        <f>IF(V132=1,'Assumptions - Consolidated'!$E$21," ")</f>
        <v>1</v>
      </c>
      <c r="W226" s="98">
        <f>IF(W132=1,'Assumptions - Consolidated'!$E$21," ")</f>
        <v>1</v>
      </c>
      <c r="X226" s="98">
        <f>IF(X132=1,'Assumptions - Consolidated'!$E$21," ")</f>
        <v>1</v>
      </c>
      <c r="Y226" s="98">
        <f>IF(Y132=1,'Assumptions - Consolidated'!$E$21," ")</f>
        <v>1</v>
      </c>
      <c r="Z226" s="98">
        <f>IF(Z132=1,'Assumptions - Consolidated'!$E$21," ")</f>
        <v>1</v>
      </c>
      <c r="AA226" s="98">
        <f>IF(AA132=1,'Assumptions - Consolidated'!$E$21," ")</f>
        <v>1</v>
      </c>
      <c r="AB226" s="98">
        <f>IF(AB132=1,'Assumptions - Consolidated'!$E$21," ")</f>
        <v>1</v>
      </c>
      <c r="AC226" s="98">
        <f>IF(AC132=1,'Assumptions - Consolidated'!$E$21," ")</f>
        <v>1</v>
      </c>
      <c r="AD226" s="98">
        <f>IF(AD132=1,'Assumptions - Consolidated'!$E$21," ")</f>
        <v>1</v>
      </c>
      <c r="AE226" s="98">
        <f>IF(AE132=1,'Assumptions - Consolidated'!$E$21," ")</f>
        <v>1</v>
      </c>
      <c r="AF226" s="98">
        <f>IF(AF132=1,'Assumptions - Consolidated'!$E$21," ")</f>
        <v>1</v>
      </c>
      <c r="AG226" s="98">
        <f>IF(AG132=1,'Assumptions - Consolidated'!$E$21," ")</f>
        <v>1</v>
      </c>
      <c r="AH226" s="98">
        <f>IF(AH132=1,'Assumptions - Consolidated'!$E$21," ")</f>
        <v>1</v>
      </c>
    </row>
    <row r="227" spans="1:34" s="412" customFormat="1" ht="12" x14ac:dyDescent="0.15">
      <c r="A227" s="80"/>
      <c r="B227" s="80" t="s">
        <v>37</v>
      </c>
      <c r="C227" s="80"/>
      <c r="D227" s="80"/>
      <c r="E227" s="94">
        <f t="shared" ref="E227:AH227" si="17">E220</f>
        <v>46500</v>
      </c>
      <c r="F227" s="94">
        <f t="shared" ref="F227:I227" si="18">F220</f>
        <v>47500</v>
      </c>
      <c r="G227" s="94">
        <f t="shared" si="18"/>
        <v>48500</v>
      </c>
      <c r="H227" s="94">
        <f t="shared" si="18"/>
        <v>52500</v>
      </c>
      <c r="I227" s="94">
        <f t="shared" si="18"/>
        <v>56500</v>
      </c>
      <c r="J227" s="94">
        <f t="shared" si="17"/>
        <v>56500</v>
      </c>
      <c r="K227" s="94">
        <f t="shared" si="17"/>
        <v>56500</v>
      </c>
      <c r="L227" s="94">
        <f t="shared" si="17"/>
        <v>56500</v>
      </c>
      <c r="M227" s="94">
        <f t="shared" si="17"/>
        <v>56500</v>
      </c>
      <c r="N227" s="94">
        <f t="shared" si="17"/>
        <v>56500</v>
      </c>
      <c r="O227" s="94">
        <f t="shared" si="17"/>
        <v>56500</v>
      </c>
      <c r="P227" s="94">
        <f t="shared" si="17"/>
        <v>56500</v>
      </c>
      <c r="Q227" s="94">
        <f t="shared" si="17"/>
        <v>56500</v>
      </c>
      <c r="R227" s="94">
        <f t="shared" si="17"/>
        <v>56500</v>
      </c>
      <c r="S227" s="94">
        <f t="shared" si="17"/>
        <v>56500</v>
      </c>
      <c r="T227" s="94">
        <f t="shared" si="17"/>
        <v>56500</v>
      </c>
      <c r="U227" s="94">
        <f t="shared" si="17"/>
        <v>56500</v>
      </c>
      <c r="V227" s="94">
        <f t="shared" si="17"/>
        <v>56500</v>
      </c>
      <c r="W227" s="94">
        <f t="shared" si="17"/>
        <v>56500</v>
      </c>
      <c r="X227" s="94">
        <f t="shared" si="17"/>
        <v>56500</v>
      </c>
      <c r="Y227" s="94">
        <f t="shared" si="17"/>
        <v>56500</v>
      </c>
      <c r="Z227" s="94">
        <f t="shared" si="17"/>
        <v>56500</v>
      </c>
      <c r="AA227" s="94">
        <f t="shared" si="17"/>
        <v>56500</v>
      </c>
      <c r="AB227" s="94">
        <f t="shared" si="17"/>
        <v>56500</v>
      </c>
      <c r="AC227" s="94">
        <f t="shared" si="17"/>
        <v>56500</v>
      </c>
      <c r="AD227" s="94">
        <f t="shared" si="17"/>
        <v>56500</v>
      </c>
      <c r="AE227" s="94">
        <f t="shared" si="17"/>
        <v>56500</v>
      </c>
      <c r="AF227" s="94">
        <f t="shared" si="17"/>
        <v>56500</v>
      </c>
      <c r="AG227" s="94">
        <f t="shared" si="17"/>
        <v>56500</v>
      </c>
      <c r="AH227" s="94">
        <f t="shared" si="17"/>
        <v>56500</v>
      </c>
    </row>
    <row r="228" spans="1:34" s="412" customFormat="1" ht="12" x14ac:dyDescent="0.15">
      <c r="A228" s="80"/>
      <c r="B228" s="80" t="s">
        <v>179</v>
      </c>
      <c r="C228" s="80"/>
      <c r="D228" s="80"/>
      <c r="E228" s="94">
        <f>IF(E132=1,'Assumptions - Consolidated'!E13,0)</f>
        <v>15000</v>
      </c>
      <c r="F228" s="94">
        <f>IF(F132=1,'Assumptions - Consolidated'!F13,0)</f>
        <v>15000</v>
      </c>
      <c r="G228" s="94">
        <f>IF(G132=1,'Assumptions - Consolidated'!G13,0)</f>
        <v>15000</v>
      </c>
      <c r="H228" s="94">
        <f>IF(H132=1,'Assumptions - Consolidated'!H13,0)</f>
        <v>15000</v>
      </c>
      <c r="I228" s="94">
        <f>IF(I132=1,'Assumptions - Consolidated'!I13,0)</f>
        <v>15000</v>
      </c>
      <c r="J228" s="94">
        <f>IF(J132=1,'Assumptions - Consolidated'!J13," ")</f>
        <v>15000</v>
      </c>
      <c r="K228" s="94">
        <f>IF(K132=1,'Assumptions - Consolidated'!K13," ")</f>
        <v>15000</v>
      </c>
      <c r="L228" s="94">
        <f>IF(L132=1,'Assumptions - Consolidated'!L13," ")</f>
        <v>15000</v>
      </c>
      <c r="M228" s="94">
        <f>IF(M132=1,'Assumptions - Consolidated'!M13," ")</f>
        <v>15000</v>
      </c>
      <c r="N228" s="94">
        <f>IF(N132=1,'Assumptions - Consolidated'!N13," ")</f>
        <v>15000</v>
      </c>
      <c r="O228" s="94">
        <f>IF(O132=1,'Assumptions - Consolidated'!O13," ")</f>
        <v>15000</v>
      </c>
      <c r="P228" s="94">
        <f>IF(P132=1,'Assumptions - Consolidated'!P13," ")</f>
        <v>15000</v>
      </c>
      <c r="Q228" s="94">
        <f>IF(Q132=1,'Assumptions - Consolidated'!Q13," ")</f>
        <v>15000</v>
      </c>
      <c r="R228" s="94">
        <f>IF(R132=1,'Assumptions - Consolidated'!R13," ")</f>
        <v>15000</v>
      </c>
      <c r="S228" s="94">
        <f>IF(S132=1,'Assumptions - Consolidated'!S13," ")</f>
        <v>15000</v>
      </c>
      <c r="T228" s="94">
        <f>IF(T132=1,'Assumptions - Consolidated'!T13," ")</f>
        <v>15000</v>
      </c>
      <c r="U228" s="94">
        <f>IF(U132=1,'Assumptions - Consolidated'!U13," ")</f>
        <v>15000</v>
      </c>
      <c r="V228" s="94">
        <f>IF(V132=1,'Assumptions - Consolidated'!V13," ")</f>
        <v>15000</v>
      </c>
      <c r="W228" s="94">
        <f>IF(W132=1,'Assumptions - Consolidated'!W13," ")</f>
        <v>15000</v>
      </c>
      <c r="X228" s="94">
        <f>IF(X132=1,'Assumptions - Consolidated'!X13," ")</f>
        <v>15000</v>
      </c>
      <c r="Y228" s="94">
        <f>IF(Y132=1,'Assumptions - Consolidated'!Y13," ")</f>
        <v>15000</v>
      </c>
      <c r="Z228" s="94">
        <f>IF(Z132=1,'Assumptions - Consolidated'!Z13," ")</f>
        <v>15000</v>
      </c>
      <c r="AA228" s="94">
        <f>IF(AA132=1,'Assumptions - Consolidated'!AA13," ")</f>
        <v>15000</v>
      </c>
      <c r="AB228" s="94">
        <f>IF(AB132=1,'Assumptions - Consolidated'!AB13," ")</f>
        <v>15000</v>
      </c>
      <c r="AC228" s="94">
        <f>IF(AC132=1,'Assumptions - Consolidated'!AC13," ")</f>
        <v>15000</v>
      </c>
      <c r="AD228" s="94">
        <f>IF(AD132=1,'Assumptions - Consolidated'!AD13," ")</f>
        <v>15000</v>
      </c>
      <c r="AE228" s="94">
        <f>IF(AE132=1,'Assumptions - Consolidated'!AE13," ")</f>
        <v>15000</v>
      </c>
      <c r="AF228" s="94">
        <f>IF(AF132=1,'Assumptions - Consolidated'!AF13," ")</f>
        <v>15000</v>
      </c>
      <c r="AG228" s="94">
        <f>IF(AG132=1,'Assumptions - Consolidated'!AG13," ")</f>
        <v>15000</v>
      </c>
      <c r="AH228" s="94">
        <f>IF(AH132=1,'Assumptions - Consolidated'!AH13," ")</f>
        <v>15000</v>
      </c>
    </row>
    <row r="229" spans="1:34" s="412" customFormat="1" ht="12" x14ac:dyDescent="0.15">
      <c r="A229" s="80"/>
      <c r="B229" s="80"/>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c r="AA229" s="80"/>
      <c r="AB229" s="80"/>
      <c r="AC229" s="80"/>
      <c r="AD229" s="80"/>
      <c r="AE229" s="80"/>
      <c r="AF229" s="80"/>
      <c r="AG229" s="80"/>
      <c r="AH229" s="80"/>
    </row>
    <row r="230" spans="1:34" s="412" customFormat="1" ht="12" x14ac:dyDescent="0.15">
      <c r="A230" s="80"/>
      <c r="B230" s="90" t="s">
        <v>197</v>
      </c>
      <c r="C230" s="80"/>
      <c r="D230" s="80"/>
      <c r="E230" s="80" t="s">
        <v>305</v>
      </c>
      <c r="F230" s="80" t="s">
        <v>326</v>
      </c>
      <c r="G230" s="80"/>
      <c r="H230" s="80"/>
      <c r="I230" s="80"/>
      <c r="J230" s="80"/>
      <c r="K230" s="80"/>
      <c r="L230" s="80"/>
      <c r="M230" s="80"/>
      <c r="N230" s="80"/>
      <c r="O230" s="80"/>
      <c r="P230" s="80"/>
      <c r="Q230" s="80"/>
      <c r="R230" s="80"/>
      <c r="S230" s="80"/>
      <c r="T230" s="80"/>
      <c r="U230" s="80"/>
      <c r="V230" s="80"/>
      <c r="W230" s="80"/>
      <c r="X230" s="80"/>
      <c r="Y230" s="80"/>
      <c r="Z230" s="80"/>
      <c r="AA230" s="80"/>
      <c r="AB230" s="80"/>
      <c r="AC230" s="80"/>
      <c r="AD230" s="80"/>
      <c r="AE230" s="80"/>
      <c r="AF230" s="80"/>
      <c r="AG230" s="80"/>
      <c r="AH230" s="80"/>
    </row>
    <row r="231" spans="1:34" s="412" customFormat="1" ht="12" x14ac:dyDescent="0.15">
      <c r="A231" s="80"/>
      <c r="B231" s="80"/>
      <c r="C231" s="80"/>
      <c r="D231" s="80"/>
      <c r="E231" s="93">
        <f>YEAR('Charts - Freight'!E$131)</f>
        <v>2010</v>
      </c>
      <c r="F231" s="93">
        <f>YEAR('Charts - Freight'!F$131)</f>
        <v>2011</v>
      </c>
      <c r="G231" s="93">
        <f>YEAR('Charts - Freight'!G$131)</f>
        <v>2012</v>
      </c>
      <c r="H231" s="93">
        <f>YEAR('Charts - Freight'!H$131)</f>
        <v>2013</v>
      </c>
      <c r="I231" s="93">
        <f>YEAR('Charts - Freight'!I$131)</f>
        <v>2014</v>
      </c>
      <c r="J231" s="93">
        <f>YEAR('Charts - Freight'!J$131)</f>
        <v>2015</v>
      </c>
      <c r="K231" s="93">
        <f>YEAR('Charts - Freight'!K$131)</f>
        <v>2016</v>
      </c>
      <c r="L231" s="93">
        <f>YEAR('Charts - Freight'!L$131)</f>
        <v>2017</v>
      </c>
      <c r="M231" s="93">
        <f>YEAR('Charts - Freight'!M$131)</f>
        <v>2018</v>
      </c>
      <c r="N231" s="93">
        <f>YEAR('Charts - Freight'!N$131)</f>
        <v>2019</v>
      </c>
      <c r="O231" s="93">
        <f>YEAR('Charts - Freight'!O$131)</f>
        <v>2020</v>
      </c>
      <c r="P231" s="93">
        <f>YEAR('Charts - Freight'!P$131)</f>
        <v>2021</v>
      </c>
      <c r="Q231" s="93">
        <f>YEAR('Charts - Freight'!Q$131)</f>
        <v>2022</v>
      </c>
      <c r="R231" s="93">
        <f>YEAR('Charts - Freight'!R$131)</f>
        <v>2023</v>
      </c>
      <c r="S231" s="93">
        <f>YEAR('Charts - Freight'!S$131)</f>
        <v>2024</v>
      </c>
      <c r="T231" s="93">
        <f>YEAR('Charts - Freight'!T$131)</f>
        <v>2025</v>
      </c>
      <c r="U231" s="93">
        <f>YEAR('Charts - Freight'!U$131)</f>
        <v>2026</v>
      </c>
      <c r="V231" s="93">
        <f>YEAR('Charts - Freight'!V$131)</f>
        <v>2027</v>
      </c>
      <c r="W231" s="93">
        <f>YEAR('Charts - Freight'!W$131)</f>
        <v>2028</v>
      </c>
      <c r="X231" s="93">
        <f>YEAR('Charts - Freight'!X$131)</f>
        <v>2029</v>
      </c>
      <c r="Y231" s="93">
        <f>YEAR('Charts - Freight'!Y$131)</f>
        <v>2030</v>
      </c>
      <c r="Z231" s="93">
        <f>YEAR('Charts - Freight'!Z$131)</f>
        <v>2031</v>
      </c>
      <c r="AA231" s="93">
        <f>YEAR('Charts - Freight'!AA$131)</f>
        <v>2032</v>
      </c>
      <c r="AB231" s="93">
        <f>YEAR('Charts - Freight'!AB$131)</f>
        <v>2033</v>
      </c>
      <c r="AC231" s="93">
        <f>YEAR('Charts - Freight'!AC$131)</f>
        <v>2034</v>
      </c>
      <c r="AD231" s="93">
        <f>YEAR('Charts - Freight'!AD$131)</f>
        <v>2035</v>
      </c>
      <c r="AE231" s="93">
        <f>YEAR('Charts - Freight'!AE$131)</f>
        <v>2036</v>
      </c>
      <c r="AF231" s="93">
        <f>YEAR('Charts - Freight'!AF$131)</f>
        <v>2037</v>
      </c>
      <c r="AG231" s="93">
        <f>YEAR('Charts - Freight'!AG$131)</f>
        <v>2038</v>
      </c>
      <c r="AH231" s="93">
        <f>YEAR('Charts - Freight'!AH$131)</f>
        <v>2039</v>
      </c>
    </row>
    <row r="232" spans="1:34" s="412" customFormat="1" ht="12" x14ac:dyDescent="0.15">
      <c r="A232" s="80"/>
      <c r="B232" s="80" t="s">
        <v>198</v>
      </c>
      <c r="C232" s="80"/>
      <c r="D232" s="80"/>
      <c r="E232" s="100">
        <f>IF(E132=1,E221/E228,0)</f>
        <v>7.5333333333333332</v>
      </c>
      <c r="F232" s="100">
        <f t="shared" ref="F232:I232" si="19">IF(F132=1,F221/F228,0)</f>
        <v>7.666666666666667</v>
      </c>
      <c r="G232" s="100">
        <f t="shared" si="19"/>
        <v>7.666666666666667</v>
      </c>
      <c r="H232" s="100">
        <f t="shared" si="19"/>
        <v>7.8666666666666663</v>
      </c>
      <c r="I232" s="100">
        <f t="shared" si="19"/>
        <v>8.2666666666666675</v>
      </c>
      <c r="J232" s="100">
        <f t="shared" ref="J232:AH232" si="20">IF(J132=1,J221/J228," ")</f>
        <v>8.4666666666666668</v>
      </c>
      <c r="K232" s="100">
        <f t="shared" si="20"/>
        <v>9.1999999999999993</v>
      </c>
      <c r="L232" s="100">
        <f t="shared" si="20"/>
        <v>9.4</v>
      </c>
      <c r="M232" s="100">
        <f t="shared" si="20"/>
        <v>9.6</v>
      </c>
      <c r="N232" s="100">
        <f t="shared" si="20"/>
        <v>9.8000000000000007</v>
      </c>
      <c r="O232" s="100">
        <f t="shared" si="20"/>
        <v>10</v>
      </c>
      <c r="P232" s="100">
        <f t="shared" si="20"/>
        <v>10.199999999999999</v>
      </c>
      <c r="Q232" s="100">
        <f t="shared" si="20"/>
        <v>10.4</v>
      </c>
      <c r="R232" s="100">
        <f t="shared" si="20"/>
        <v>10.6</v>
      </c>
      <c r="S232" s="100">
        <f t="shared" si="20"/>
        <v>10.8</v>
      </c>
      <c r="T232" s="100">
        <f t="shared" si="20"/>
        <v>11</v>
      </c>
      <c r="U232" s="100">
        <f t="shared" si="20"/>
        <v>11.2</v>
      </c>
      <c r="V232" s="100">
        <f t="shared" si="20"/>
        <v>11.4</v>
      </c>
      <c r="W232" s="100">
        <f t="shared" si="20"/>
        <v>11.6</v>
      </c>
      <c r="X232" s="100">
        <f t="shared" si="20"/>
        <v>11.8</v>
      </c>
      <c r="Y232" s="100">
        <f t="shared" si="20"/>
        <v>12</v>
      </c>
      <c r="Z232" s="100">
        <f t="shared" si="20"/>
        <v>12.2</v>
      </c>
      <c r="AA232" s="100">
        <f t="shared" si="20"/>
        <v>12.4</v>
      </c>
      <c r="AB232" s="100">
        <f t="shared" si="20"/>
        <v>12.6</v>
      </c>
      <c r="AC232" s="100">
        <f t="shared" si="20"/>
        <v>12.8</v>
      </c>
      <c r="AD232" s="100">
        <f t="shared" si="20"/>
        <v>13</v>
      </c>
      <c r="AE232" s="100">
        <f t="shared" si="20"/>
        <v>13.2</v>
      </c>
      <c r="AF232" s="100">
        <f t="shared" si="20"/>
        <v>13.4</v>
      </c>
      <c r="AG232" s="100">
        <f t="shared" si="20"/>
        <v>13.6</v>
      </c>
      <c r="AH232" s="100">
        <f t="shared" si="20"/>
        <v>13.8</v>
      </c>
    </row>
    <row r="233" spans="1:34" s="412" customFormat="1" ht="12" x14ac:dyDescent="0.15">
      <c r="A233" s="80"/>
      <c r="B233" s="80" t="str">
        <f>B226</f>
        <v>EU railways</v>
      </c>
      <c r="C233" s="80"/>
      <c r="D233" s="80"/>
      <c r="E233" s="98">
        <f>IF(E132=1,'Assumptions - Consolidated'!$E$19,0)</f>
        <v>1</v>
      </c>
      <c r="F233" s="98">
        <f>IF(F132=1,'Assumptions - Consolidated'!$E$19,0)</f>
        <v>1</v>
      </c>
      <c r="G233" s="98">
        <f>IF(G132=1,'Assumptions - Consolidated'!$E$19,0)</f>
        <v>1</v>
      </c>
      <c r="H233" s="98">
        <f>IF(H132=1,'Assumptions - Consolidated'!$E$19,0)</f>
        <v>1</v>
      </c>
      <c r="I233" s="98">
        <f>IF(I132=1,'Assumptions - Consolidated'!$E$19,0)</f>
        <v>1</v>
      </c>
      <c r="J233" s="98">
        <f>IF(J132=1,'Assumptions - Consolidated'!$E$19," ")</f>
        <v>1</v>
      </c>
      <c r="K233" s="98">
        <f>IF(K132=1,'Assumptions - Consolidated'!$E$19," ")</f>
        <v>1</v>
      </c>
      <c r="L233" s="98">
        <f>IF(L132=1,'Assumptions - Consolidated'!$E$19," ")</f>
        <v>1</v>
      </c>
      <c r="M233" s="98">
        <f>IF(M132=1,'Assumptions - Consolidated'!$E$19," ")</f>
        <v>1</v>
      </c>
      <c r="N233" s="98">
        <f>IF(N132=1,'Assumptions - Consolidated'!$E$19," ")</f>
        <v>1</v>
      </c>
      <c r="O233" s="98">
        <f>IF(O132=1,'Assumptions - Consolidated'!$E$19," ")</f>
        <v>1</v>
      </c>
      <c r="P233" s="98">
        <f>IF(P132=1,'Assumptions - Consolidated'!$E$19," ")</f>
        <v>1</v>
      </c>
      <c r="Q233" s="98">
        <f>IF(Q132=1,'Assumptions - Consolidated'!$E$19," ")</f>
        <v>1</v>
      </c>
      <c r="R233" s="98">
        <f>IF(R132=1,'Assumptions - Consolidated'!$E$19," ")</f>
        <v>1</v>
      </c>
      <c r="S233" s="98">
        <f>IF(S132=1,'Assumptions - Consolidated'!$E$19," ")</f>
        <v>1</v>
      </c>
      <c r="T233" s="98">
        <f>IF(T132=1,'Assumptions - Consolidated'!$E$19," ")</f>
        <v>1</v>
      </c>
      <c r="U233" s="98">
        <f>IF(U132=1,'Assumptions - Consolidated'!$E$19," ")</f>
        <v>1</v>
      </c>
      <c r="V233" s="98">
        <f>IF(V132=1,'Assumptions - Consolidated'!$E$19," ")</f>
        <v>1</v>
      </c>
      <c r="W233" s="98">
        <f>IF(W132=1,'Assumptions - Consolidated'!$E$19," ")</f>
        <v>1</v>
      </c>
      <c r="X233" s="98">
        <f>IF(X132=1,'Assumptions - Consolidated'!$E$19," ")</f>
        <v>1</v>
      </c>
      <c r="Y233" s="98">
        <f>IF(Y132=1,'Assumptions - Consolidated'!$E$19," ")</f>
        <v>1</v>
      </c>
      <c r="Z233" s="98">
        <f>IF(Z132=1,'Assumptions - Consolidated'!$E$19," ")</f>
        <v>1</v>
      </c>
      <c r="AA233" s="98">
        <f>IF(AA132=1,'Assumptions - Consolidated'!$E$19," ")</f>
        <v>1</v>
      </c>
      <c r="AB233" s="98">
        <f>IF(AB132=1,'Assumptions - Consolidated'!$E$19," ")</f>
        <v>1</v>
      </c>
      <c r="AC233" s="98">
        <f>IF(AC132=1,'Assumptions - Consolidated'!$E$19," ")</f>
        <v>1</v>
      </c>
      <c r="AD233" s="98">
        <f>IF(AD132=1,'Assumptions - Consolidated'!$E$19," ")</f>
        <v>1</v>
      </c>
      <c r="AE233" s="98">
        <f>IF(AE132=1,'Assumptions - Consolidated'!$E$19," ")</f>
        <v>1</v>
      </c>
      <c r="AF233" s="98">
        <f>IF(AF132=1,'Assumptions - Consolidated'!$E$19," ")</f>
        <v>1</v>
      </c>
      <c r="AG233" s="98">
        <f>IF(AG132=1,'Assumptions - Consolidated'!$E$19," ")</f>
        <v>1</v>
      </c>
      <c r="AH233" s="98">
        <f>IF(AH132=1,'Assumptions - Consolidated'!$E$19," ")</f>
        <v>1</v>
      </c>
    </row>
    <row r="343" spans="1:42" s="277" customFormat="1" x14ac:dyDescent="0.2">
      <c r="A343" s="24"/>
      <c r="B343" s="24"/>
      <c r="C343" s="24"/>
      <c r="D343" s="24"/>
      <c r="E343" s="24"/>
      <c r="F343" s="24"/>
      <c r="G343" s="24"/>
      <c r="H343" s="24"/>
      <c r="I343" s="24"/>
      <c r="J343" s="22"/>
      <c r="K343" s="22"/>
      <c r="L343" s="22"/>
      <c r="M343" s="22"/>
      <c r="N343" s="22"/>
      <c r="O343" s="22"/>
      <c r="P343" s="22"/>
    </row>
    <row r="344" spans="1:42" s="2" customFormat="1" x14ac:dyDescent="0.2">
      <c r="A344" s="24"/>
      <c r="B344" s="22"/>
      <c r="C344" s="22"/>
      <c r="D344" s="22"/>
      <c r="E344" s="22"/>
      <c r="F344" s="22"/>
      <c r="G344" s="22"/>
      <c r="H344" s="24"/>
      <c r="I344" s="24"/>
      <c r="J344" s="24"/>
      <c r="K344" s="24"/>
      <c r="L344" s="24"/>
      <c r="M344" s="24"/>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4"/>
      <c r="AK344" s="24"/>
      <c r="AL344" s="24"/>
      <c r="AM344" s="24"/>
      <c r="AN344" s="24"/>
      <c r="AO344" s="24"/>
      <c r="AP344" s="24"/>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AP374"/>
  <sheetViews>
    <sheetView zoomScale="75" zoomScaleNormal="75" workbookViewId="0">
      <selection activeCell="AJ1" sqref="AJ1:XFD1048576"/>
    </sheetView>
  </sheetViews>
  <sheetFormatPr baseColWidth="10" defaultColWidth="0" defaultRowHeight="15" x14ac:dyDescent="0.2"/>
  <cols>
    <col min="1" max="4" width="9.1640625" style="22" customWidth="1"/>
    <col min="5" max="5" width="13.1640625" style="22" customWidth="1"/>
    <col min="6" max="6" width="13.5" style="22" customWidth="1"/>
    <col min="7" max="7" width="9.6640625" style="22" bestFit="1" customWidth="1"/>
    <col min="8" max="9" width="13.1640625" style="22" customWidth="1"/>
    <col min="10" max="11" width="9.1640625" style="22" customWidth="1"/>
    <col min="12" max="12" width="9.33203125" style="22" bestFit="1" customWidth="1"/>
    <col min="13" max="13" width="11.6640625" style="22" bestFit="1" customWidth="1"/>
    <col min="14" max="14" width="11.1640625" style="22" customWidth="1"/>
    <col min="15" max="15" width="9.33203125" style="22" bestFit="1" customWidth="1"/>
    <col min="16" max="35" width="9.1640625" style="22" customWidth="1"/>
    <col min="36" max="16384" width="9.1640625" style="22" hidden="1"/>
  </cols>
  <sheetData>
    <row r="1" spans="1:34" s="18" customFormat="1" x14ac:dyDescent="0.2">
      <c r="A1" s="320"/>
      <c r="B1" s="319" t="s">
        <v>180</v>
      </c>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row>
    <row r="2" spans="1:34" s="18" customFormat="1" x14ac:dyDescent="0.2">
      <c r="A2" s="320"/>
      <c r="B2" s="321" t="str">
        <f>'Assumptions - General'!$E$24</f>
        <v>Ruritania Freight Rail Company</v>
      </c>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row>
    <row r="3" spans="1:34" s="18" customFormat="1" x14ac:dyDescent="0.2">
      <c r="A3" s="320"/>
      <c r="B3" s="321" t="str">
        <f>"All units in "  &amp;'Assumptions - General'!$E$27&amp;  " millions unless otherwise stated"</f>
        <v>All units in R$ millions unless otherwise stated</v>
      </c>
      <c r="C3" s="322"/>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row>
    <row r="4" spans="1:34" s="18" customFormat="1" x14ac:dyDescent="0.2">
      <c r="B4" s="77"/>
      <c r="C4" s="78"/>
    </row>
    <row r="5" spans="1:34" s="18" customFormat="1" x14ac:dyDescent="0.2">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row>
    <row r="6" spans="1:34" s="18" customFormat="1" x14ac:dyDescent="0.2">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row>
    <row r="7" spans="1:34" s="18" customFormat="1" x14ac:dyDescent="0.2">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row>
    <row r="8" spans="1:34" s="18" customFormat="1" x14ac:dyDescent="0.2">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row>
    <row r="9" spans="1:34" s="18" customFormat="1" x14ac:dyDescent="0.2">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row>
    <row r="10" spans="1:34" s="18" customFormat="1" x14ac:dyDescent="0.2">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row>
    <row r="11" spans="1:34" s="18" customFormat="1" x14ac:dyDescent="0.2">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row>
    <row r="12" spans="1:34" s="18" customFormat="1" x14ac:dyDescent="0.2">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row>
    <row r="13" spans="1:34" s="18" customFormat="1" x14ac:dyDescent="0.2">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row>
    <row r="14" spans="1:34" s="18" customFormat="1" x14ac:dyDescent="0.2">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row>
    <row r="15" spans="1:34" s="18" customFormat="1" x14ac:dyDescent="0.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row>
    <row r="16" spans="1:34" s="18" customFormat="1" x14ac:dyDescent="0.2">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row>
    <row r="17" spans="2:34" s="18" customFormat="1" x14ac:dyDescent="0.2">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row>
    <row r="18" spans="2:34" s="18" customFormat="1" x14ac:dyDescent="0.2">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row>
    <row r="19" spans="2:34" s="18" customFormat="1" x14ac:dyDescent="0.2">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row>
    <row r="20" spans="2:34" s="18" customFormat="1" ht="16" thickBot="1" x14ac:dyDescent="0.25">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row>
    <row r="21" spans="2:34" s="18" customFormat="1" ht="16" thickBot="1" x14ac:dyDescent="0.25">
      <c r="B21" s="1"/>
      <c r="C21" s="1"/>
      <c r="D21" s="1"/>
      <c r="E21" s="1"/>
      <c r="F21" s="1"/>
      <c r="G21" s="1"/>
      <c r="H21" s="130" t="s">
        <v>297</v>
      </c>
      <c r="I21" s="129">
        <f>SUM(E154:AH154)</f>
        <v>3.2151722025077767E-3</v>
      </c>
      <c r="J21" s="1"/>
      <c r="K21" s="1"/>
      <c r="L21" s="1"/>
      <c r="M21" s="1"/>
      <c r="N21" s="1"/>
      <c r="O21" s="1"/>
      <c r="P21" s="1"/>
      <c r="Q21" s="1"/>
      <c r="R21" s="1"/>
      <c r="S21" s="1"/>
      <c r="T21" s="1"/>
      <c r="U21" s="1"/>
      <c r="V21" s="1"/>
      <c r="W21" s="1"/>
      <c r="X21" s="1"/>
      <c r="Y21" s="1"/>
      <c r="Z21" s="1"/>
      <c r="AA21" s="1"/>
      <c r="AB21" s="1"/>
      <c r="AC21" s="1"/>
      <c r="AD21" s="1"/>
      <c r="AE21" s="1"/>
      <c r="AF21" s="1"/>
      <c r="AG21" s="1"/>
      <c r="AH21" s="1"/>
    </row>
    <row r="22" spans="2:34" s="18" customFormat="1" x14ac:dyDescent="0.2">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row r="23" spans="2:34" s="18" customFormat="1" x14ac:dyDescent="0.2">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row>
    <row r="24" spans="2:34" s="18" customFormat="1" x14ac:dyDescent="0.2">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row>
    <row r="25" spans="2:34" s="18" customFormat="1" x14ac:dyDescent="0.2">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2:34" s="18" customFormat="1" x14ac:dyDescent="0.2">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row>
    <row r="27" spans="2:34" s="18" customFormat="1" x14ac:dyDescent="0.2">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row>
    <row r="28" spans="2:34" s="18" customFormat="1" x14ac:dyDescent="0.2">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row>
    <row r="29" spans="2:34" s="18" customFormat="1" x14ac:dyDescent="0.2">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row>
    <row r="30" spans="2:34" s="18" customFormat="1" x14ac:dyDescent="0.2">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row>
    <row r="31" spans="2:34" s="18" customFormat="1" x14ac:dyDescent="0.2">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row>
    <row r="32" spans="2:34" s="18" customFormat="1" x14ac:dyDescent="0.2">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row>
    <row r="33" spans="2:34" s="18" customFormat="1" x14ac:dyDescent="0.2">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row>
    <row r="34" spans="2:34" s="18" customFormat="1" x14ac:dyDescent="0.2">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row>
    <row r="35" spans="2:34" s="18" customFormat="1" x14ac:dyDescent="0.2">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row>
    <row r="36" spans="2:34" s="18" customFormat="1" x14ac:dyDescent="0.2">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row>
    <row r="37" spans="2:34" s="18" customFormat="1" x14ac:dyDescent="0.2">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row>
    <row r="38" spans="2:34" s="18" customFormat="1" x14ac:dyDescent="0.2">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row>
    <row r="39" spans="2:34" s="18" customFormat="1" x14ac:dyDescent="0.2">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row>
    <row r="40" spans="2:34" s="18" customFormat="1" x14ac:dyDescent="0.2">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row>
    <row r="41" spans="2:34" s="18" customFormat="1" x14ac:dyDescent="0.2">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row>
    <row r="42" spans="2:34" s="18" customFormat="1" x14ac:dyDescent="0.2">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row>
    <row r="43" spans="2:34" s="18" customFormat="1" x14ac:dyDescent="0.2">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row>
    <row r="44" spans="2:34" s="18" customFormat="1" x14ac:dyDescent="0.2">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row>
    <row r="45" spans="2:34" s="18" customFormat="1" x14ac:dyDescent="0.2">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row>
    <row r="46" spans="2:34" s="18" customFormat="1" x14ac:dyDescent="0.2">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row>
    <row r="47" spans="2:34" s="18" customFormat="1" x14ac:dyDescent="0.2">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row>
    <row r="48" spans="2:34" s="18" customFormat="1" x14ac:dyDescent="0.2">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row>
    <row r="49" spans="2:34" s="18" customFormat="1" x14ac:dyDescent="0.2">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row>
    <row r="50" spans="2:34" s="18" customFormat="1" x14ac:dyDescent="0.2">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row>
    <row r="51" spans="2:34" s="18" customFormat="1" x14ac:dyDescent="0.2">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row>
    <row r="52" spans="2:34" s="18" customFormat="1" x14ac:dyDescent="0.2">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row>
    <row r="53" spans="2:34" s="18" customFormat="1" x14ac:dyDescent="0.2">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row>
    <row r="54" spans="2:34" s="18" customFormat="1" x14ac:dyDescent="0.2">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row>
    <row r="55" spans="2:34" s="18" customFormat="1" x14ac:dyDescent="0.2">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row>
    <row r="56" spans="2:34" s="18" customFormat="1" x14ac:dyDescent="0.2">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row>
    <row r="57" spans="2:34" s="18" customFormat="1" x14ac:dyDescent="0.2">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row>
    <row r="58" spans="2:34" s="18" customFormat="1" x14ac:dyDescent="0.2">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row>
    <row r="59" spans="2:34" s="18" customFormat="1" x14ac:dyDescent="0.2">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row>
    <row r="60" spans="2:34" s="18" customFormat="1" x14ac:dyDescent="0.2">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row>
    <row r="61" spans="2:34" s="18" customFormat="1" x14ac:dyDescent="0.2">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row>
    <row r="62" spans="2:34" s="18" customFormat="1" x14ac:dyDescent="0.2">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row>
    <row r="63" spans="2:34" s="18" customFormat="1" x14ac:dyDescent="0.2">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row>
    <row r="64" spans="2:34" s="18" customFormat="1" x14ac:dyDescent="0.2">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row>
    <row r="65" spans="2:34" s="18" customFormat="1" x14ac:dyDescent="0.2">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row>
    <row r="66" spans="2:34" s="18" customFormat="1" x14ac:dyDescent="0.2">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row>
    <row r="67" spans="2:34" s="18" customFormat="1" x14ac:dyDescent="0.2">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row>
    <row r="68" spans="2:34" s="18" customFormat="1" x14ac:dyDescent="0.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row>
    <row r="69" spans="2:34" s="18" customFormat="1" x14ac:dyDescent="0.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row>
    <row r="70" spans="2:34" s="18" customFormat="1" x14ac:dyDescent="0.2">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row>
    <row r="71" spans="2:34" s="18" customFormat="1" x14ac:dyDescent="0.2">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row>
    <row r="72" spans="2:34" s="18" customFormat="1" x14ac:dyDescent="0.2">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row>
    <row r="73" spans="2:34" s="18" customFormat="1" x14ac:dyDescent="0.2">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row>
    <row r="74" spans="2:34" s="18" customFormat="1" x14ac:dyDescent="0.2">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row>
    <row r="75" spans="2:34" s="18" customFormat="1" x14ac:dyDescent="0.2">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row>
    <row r="76" spans="2:34" s="18" customFormat="1" x14ac:dyDescent="0.2">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row>
    <row r="77" spans="2:34" s="18" customFormat="1" x14ac:dyDescent="0.2">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row>
    <row r="78" spans="2:34" s="18" customFormat="1" x14ac:dyDescent="0.2">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row>
    <row r="79" spans="2:34" s="18" customFormat="1" x14ac:dyDescent="0.2">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row>
    <row r="80" spans="2:34" s="18" customFormat="1" x14ac:dyDescent="0.2">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row>
    <row r="81" spans="2:34" s="18" customFormat="1" x14ac:dyDescent="0.2">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row>
    <row r="82" spans="2:34" s="18" customFormat="1" x14ac:dyDescent="0.2">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row>
    <row r="83" spans="2:34" s="18" customFormat="1" x14ac:dyDescent="0.2">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row>
    <row r="84" spans="2:34" s="18" customFormat="1" x14ac:dyDescent="0.2">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row>
    <row r="85" spans="2:34" s="18" customFormat="1" x14ac:dyDescent="0.2">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row>
    <row r="86" spans="2:34" s="18" customFormat="1" x14ac:dyDescent="0.2">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row>
    <row r="87" spans="2:34" s="18" customFormat="1" x14ac:dyDescent="0.2">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row>
    <row r="88" spans="2:34" s="18" customFormat="1" x14ac:dyDescent="0.2">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row>
    <row r="89" spans="2:34" s="18" customFormat="1" x14ac:dyDescent="0.2">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row>
    <row r="90" spans="2:34" s="18" customFormat="1" x14ac:dyDescent="0.2">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row>
    <row r="91" spans="2:34" s="18" customFormat="1" x14ac:dyDescent="0.2">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row>
    <row r="92" spans="2:34" s="18" customFormat="1" x14ac:dyDescent="0.2">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row>
    <row r="93" spans="2:34" s="18" customFormat="1" x14ac:dyDescent="0.2">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row>
    <row r="94" spans="2:34" s="18" customFormat="1" x14ac:dyDescent="0.2">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row>
    <row r="95" spans="2:34" s="18" customFormat="1" x14ac:dyDescent="0.2">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row>
    <row r="96" spans="2:34" s="18" customFormat="1" x14ac:dyDescent="0.2">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row>
    <row r="97" spans="2:34" s="18" customFormat="1" x14ac:dyDescent="0.2">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row>
    <row r="98" spans="2:34" s="18" customFormat="1" x14ac:dyDescent="0.2">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row>
    <row r="99" spans="2:34" s="18" customFormat="1" x14ac:dyDescent="0.2">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row>
    <row r="100" spans="2:34" s="18" customFormat="1" x14ac:dyDescent="0.2">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row>
    <row r="101" spans="2:34" s="18" customFormat="1" x14ac:dyDescent="0.2">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row>
    <row r="102" spans="2:34" s="18" customFormat="1" x14ac:dyDescent="0.2">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row>
    <row r="103" spans="2:34" s="18" customFormat="1" x14ac:dyDescent="0.2">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row>
    <row r="104" spans="2:34" s="18" customFormat="1" x14ac:dyDescent="0.2">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row>
    <row r="105" spans="2:34" s="18" customFormat="1" x14ac:dyDescent="0.2">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row>
    <row r="106" spans="2:34" s="18" customFormat="1" x14ac:dyDescent="0.2">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row>
    <row r="107" spans="2:34" s="18" customFormat="1" x14ac:dyDescent="0.2">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row>
    <row r="108" spans="2:34" s="18" customFormat="1" x14ac:dyDescent="0.2">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row>
    <row r="109" spans="2:34" s="18" customFormat="1" x14ac:dyDescent="0.2">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row>
    <row r="110" spans="2:34" s="18" customFormat="1" x14ac:dyDescent="0.2">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row>
    <row r="111" spans="2:34" s="18" customFormat="1" x14ac:dyDescent="0.2">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row>
    <row r="112" spans="2:34" s="18" customFormat="1" x14ac:dyDescent="0.2">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row>
    <row r="113" spans="1:34" s="18" customFormat="1" x14ac:dyDescent="0.2">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row>
    <row r="114" spans="1:34" s="18" customFormat="1" x14ac:dyDescent="0.2">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row>
    <row r="115" spans="1:34" s="18" customFormat="1" x14ac:dyDescent="0.2">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row>
    <row r="116" spans="1:34" s="18" customFormat="1" x14ac:dyDescent="0.2">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row>
    <row r="117" spans="1:34" s="18" customFormat="1" x14ac:dyDescent="0.2">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row>
    <row r="118" spans="1:34" s="18" customFormat="1" x14ac:dyDescent="0.2">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row>
    <row r="119" spans="1:34" s="18" customFormat="1" x14ac:dyDescent="0.2">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row>
    <row r="120" spans="1:34" s="18" customFormat="1" x14ac:dyDescent="0.2">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row>
    <row r="121" spans="1:34" s="18" customFormat="1" x14ac:dyDescent="0.2">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row>
    <row r="122" spans="1:34" s="18" customFormat="1" x14ac:dyDescent="0.2">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row>
    <row r="123" spans="1:34" s="18" customFormat="1" x14ac:dyDescent="0.2">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row>
    <row r="124" spans="1:34" s="18" customFormat="1" x14ac:dyDescent="0.2">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row>
    <row r="125" spans="1:34" s="18" customFormat="1" x14ac:dyDescent="0.2">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row>
    <row r="126" spans="1:34" s="18" customFormat="1" x14ac:dyDescent="0.2">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row>
    <row r="127" spans="1:34" s="412" customFormat="1" x14ac:dyDescent="0.2">
      <c r="A127" s="18"/>
      <c r="B127" s="90" t="s">
        <v>208</v>
      </c>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row>
    <row r="128" spans="1:34" s="412" customFormat="1" x14ac:dyDescent="0.2">
      <c r="A128" s="18"/>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row>
    <row r="129" spans="1:34" s="412" customFormat="1" x14ac:dyDescent="0.2">
      <c r="A129" s="18"/>
      <c r="B129" s="91" t="s">
        <v>99</v>
      </c>
      <c r="C129" s="80"/>
      <c r="D129" s="80"/>
      <c r="E129" s="80">
        <v>1</v>
      </c>
      <c r="F129" s="80">
        <v>2</v>
      </c>
      <c r="G129" s="80">
        <v>3</v>
      </c>
      <c r="H129" s="80">
        <v>4</v>
      </c>
      <c r="I129" s="80">
        <v>5</v>
      </c>
      <c r="J129" s="80">
        <v>6</v>
      </c>
      <c r="K129" s="80">
        <v>7</v>
      </c>
      <c r="L129" s="80">
        <v>8</v>
      </c>
      <c r="M129" s="80">
        <v>9</v>
      </c>
      <c r="N129" s="80">
        <v>10</v>
      </c>
      <c r="O129" s="80">
        <v>11</v>
      </c>
      <c r="P129" s="80">
        <v>12</v>
      </c>
      <c r="Q129" s="80">
        <v>13</v>
      </c>
      <c r="R129" s="80">
        <v>14</v>
      </c>
      <c r="S129" s="80">
        <v>15</v>
      </c>
      <c r="T129" s="80">
        <v>16</v>
      </c>
      <c r="U129" s="80">
        <v>17</v>
      </c>
      <c r="V129" s="80">
        <v>18</v>
      </c>
      <c r="W129" s="80">
        <v>19</v>
      </c>
      <c r="X129" s="80">
        <v>20</v>
      </c>
      <c r="Y129" s="80">
        <v>21</v>
      </c>
      <c r="Z129" s="80">
        <v>22</v>
      </c>
      <c r="AA129" s="80">
        <v>23</v>
      </c>
      <c r="AB129" s="80">
        <v>24</v>
      </c>
      <c r="AC129" s="80">
        <v>25</v>
      </c>
      <c r="AD129" s="80">
        <v>26</v>
      </c>
      <c r="AE129" s="80">
        <v>27</v>
      </c>
      <c r="AF129" s="80">
        <v>28</v>
      </c>
      <c r="AG129" s="80">
        <v>29</v>
      </c>
      <c r="AH129" s="80">
        <v>30</v>
      </c>
    </row>
    <row r="130" spans="1:34" s="412" customFormat="1" x14ac:dyDescent="0.2">
      <c r="A130" s="18"/>
      <c r="B130" s="91" t="s">
        <v>12</v>
      </c>
      <c r="C130" s="80"/>
      <c r="D130" s="80"/>
      <c r="E130" s="92">
        <f>'Assumptions - General'!$E$28</f>
        <v>40179</v>
      </c>
      <c r="F130" s="92">
        <f t="shared" ref="F130:AH130" si="0">E131+1</f>
        <v>40544</v>
      </c>
      <c r="G130" s="92">
        <f t="shared" si="0"/>
        <v>40909</v>
      </c>
      <c r="H130" s="92">
        <f t="shared" si="0"/>
        <v>41275</v>
      </c>
      <c r="I130" s="92">
        <f t="shared" si="0"/>
        <v>41640</v>
      </c>
      <c r="J130" s="92">
        <f t="shared" si="0"/>
        <v>42005</v>
      </c>
      <c r="K130" s="92">
        <f t="shared" si="0"/>
        <v>42370</v>
      </c>
      <c r="L130" s="92">
        <f t="shared" si="0"/>
        <v>42736</v>
      </c>
      <c r="M130" s="92">
        <f t="shared" si="0"/>
        <v>43101</v>
      </c>
      <c r="N130" s="92">
        <f t="shared" si="0"/>
        <v>43466</v>
      </c>
      <c r="O130" s="92">
        <f t="shared" si="0"/>
        <v>43831</v>
      </c>
      <c r="P130" s="92">
        <f t="shared" si="0"/>
        <v>44197</v>
      </c>
      <c r="Q130" s="92">
        <f t="shared" si="0"/>
        <v>44562</v>
      </c>
      <c r="R130" s="92">
        <f t="shared" si="0"/>
        <v>44927</v>
      </c>
      <c r="S130" s="92">
        <f t="shared" si="0"/>
        <v>45292</v>
      </c>
      <c r="T130" s="92">
        <f t="shared" si="0"/>
        <v>45658</v>
      </c>
      <c r="U130" s="92">
        <f t="shared" si="0"/>
        <v>46023</v>
      </c>
      <c r="V130" s="92">
        <f t="shared" si="0"/>
        <v>46388</v>
      </c>
      <c r="W130" s="92">
        <f t="shared" si="0"/>
        <v>46753</v>
      </c>
      <c r="X130" s="92">
        <f t="shared" si="0"/>
        <v>47119</v>
      </c>
      <c r="Y130" s="92">
        <f t="shared" si="0"/>
        <v>47484</v>
      </c>
      <c r="Z130" s="92">
        <f t="shared" si="0"/>
        <v>47849</v>
      </c>
      <c r="AA130" s="92">
        <f t="shared" si="0"/>
        <v>48214</v>
      </c>
      <c r="AB130" s="92">
        <f t="shared" si="0"/>
        <v>48580</v>
      </c>
      <c r="AC130" s="92">
        <f t="shared" si="0"/>
        <v>48945</v>
      </c>
      <c r="AD130" s="92">
        <f t="shared" si="0"/>
        <v>49310</v>
      </c>
      <c r="AE130" s="92">
        <f t="shared" si="0"/>
        <v>49675</v>
      </c>
      <c r="AF130" s="92">
        <f t="shared" si="0"/>
        <v>50041</v>
      </c>
      <c r="AG130" s="92">
        <f t="shared" si="0"/>
        <v>50406</v>
      </c>
      <c r="AH130" s="92">
        <f t="shared" si="0"/>
        <v>50771</v>
      </c>
    </row>
    <row r="131" spans="1:34" s="412" customFormat="1" x14ac:dyDescent="0.2">
      <c r="A131" s="18"/>
      <c r="B131" s="91" t="s">
        <v>13</v>
      </c>
      <c r="C131" s="80"/>
      <c r="D131" s="80"/>
      <c r="E131" s="92">
        <f t="shared" ref="E131:AH131" si="1">DATE(YEAR(E130)+1, MONTH(E130), DAY(E130)-1)</f>
        <v>40543</v>
      </c>
      <c r="F131" s="92">
        <f t="shared" si="1"/>
        <v>40908</v>
      </c>
      <c r="G131" s="92">
        <f t="shared" si="1"/>
        <v>41274</v>
      </c>
      <c r="H131" s="92">
        <f t="shared" si="1"/>
        <v>41639</v>
      </c>
      <c r="I131" s="92">
        <f t="shared" si="1"/>
        <v>42004</v>
      </c>
      <c r="J131" s="92">
        <f t="shared" si="1"/>
        <v>42369</v>
      </c>
      <c r="K131" s="92">
        <f t="shared" si="1"/>
        <v>42735</v>
      </c>
      <c r="L131" s="92">
        <f t="shared" si="1"/>
        <v>43100</v>
      </c>
      <c r="M131" s="92">
        <f t="shared" si="1"/>
        <v>43465</v>
      </c>
      <c r="N131" s="92">
        <f t="shared" si="1"/>
        <v>43830</v>
      </c>
      <c r="O131" s="92">
        <f t="shared" si="1"/>
        <v>44196</v>
      </c>
      <c r="P131" s="92">
        <f t="shared" si="1"/>
        <v>44561</v>
      </c>
      <c r="Q131" s="92">
        <f t="shared" si="1"/>
        <v>44926</v>
      </c>
      <c r="R131" s="92">
        <f t="shared" si="1"/>
        <v>45291</v>
      </c>
      <c r="S131" s="92">
        <f t="shared" si="1"/>
        <v>45657</v>
      </c>
      <c r="T131" s="92">
        <f t="shared" si="1"/>
        <v>46022</v>
      </c>
      <c r="U131" s="92">
        <f t="shared" si="1"/>
        <v>46387</v>
      </c>
      <c r="V131" s="92">
        <f t="shared" si="1"/>
        <v>46752</v>
      </c>
      <c r="W131" s="92">
        <f t="shared" si="1"/>
        <v>47118</v>
      </c>
      <c r="X131" s="92">
        <f t="shared" si="1"/>
        <v>47483</v>
      </c>
      <c r="Y131" s="92">
        <f t="shared" si="1"/>
        <v>47848</v>
      </c>
      <c r="Z131" s="92">
        <f t="shared" si="1"/>
        <v>48213</v>
      </c>
      <c r="AA131" s="92">
        <f t="shared" si="1"/>
        <v>48579</v>
      </c>
      <c r="AB131" s="92">
        <f t="shared" si="1"/>
        <v>48944</v>
      </c>
      <c r="AC131" s="92">
        <f t="shared" si="1"/>
        <v>49309</v>
      </c>
      <c r="AD131" s="92">
        <f t="shared" si="1"/>
        <v>49674</v>
      </c>
      <c r="AE131" s="92">
        <f t="shared" si="1"/>
        <v>50040</v>
      </c>
      <c r="AF131" s="92">
        <f t="shared" si="1"/>
        <v>50405</v>
      </c>
      <c r="AG131" s="92">
        <f t="shared" si="1"/>
        <v>50770</v>
      </c>
      <c r="AH131" s="92">
        <f t="shared" si="1"/>
        <v>51135</v>
      </c>
    </row>
    <row r="132" spans="1:34" s="20" customFormat="1" x14ac:dyDescent="0.2">
      <c r="A132" s="18"/>
      <c r="B132" s="7" t="s">
        <v>226</v>
      </c>
      <c r="C132" s="8"/>
      <c r="D132" s="8"/>
      <c r="E132" s="29">
        <f>Calculations!E16</f>
        <v>1</v>
      </c>
      <c r="F132" s="29">
        <f>Calculations!F16</f>
        <v>1</v>
      </c>
      <c r="G132" s="29">
        <f>Calculations!G16</f>
        <v>1</v>
      </c>
      <c r="H132" s="29">
        <f>Calculations!H16</f>
        <v>1</v>
      </c>
      <c r="I132" s="29">
        <f>Calculations!I16</f>
        <v>1</v>
      </c>
      <c r="J132" s="29">
        <f>Calculations!J16</f>
        <v>1</v>
      </c>
      <c r="K132" s="29">
        <f>Calculations!K16</f>
        <v>1</v>
      </c>
      <c r="L132" s="29">
        <f>Calculations!L16</f>
        <v>1</v>
      </c>
      <c r="M132" s="29">
        <f>Calculations!M16</f>
        <v>1</v>
      </c>
      <c r="N132" s="29">
        <f>Calculations!N16</f>
        <v>1</v>
      </c>
      <c r="O132" s="29">
        <f>Calculations!O16</f>
        <v>1</v>
      </c>
      <c r="P132" s="29">
        <f>Calculations!P16</f>
        <v>1</v>
      </c>
      <c r="Q132" s="29">
        <f>Calculations!Q16</f>
        <v>1</v>
      </c>
      <c r="R132" s="29">
        <f>Calculations!R16</f>
        <v>1</v>
      </c>
      <c r="S132" s="29">
        <f>Calculations!S16</f>
        <v>1</v>
      </c>
      <c r="T132" s="29">
        <f>Calculations!T16</f>
        <v>1</v>
      </c>
      <c r="U132" s="29">
        <f>Calculations!U16</f>
        <v>1</v>
      </c>
      <c r="V132" s="29">
        <f>Calculations!V16</f>
        <v>1</v>
      </c>
      <c r="W132" s="29">
        <f>Calculations!W16</f>
        <v>1</v>
      </c>
      <c r="X132" s="29">
        <f>Calculations!X16</f>
        <v>1</v>
      </c>
      <c r="Y132" s="29">
        <f>Calculations!Y16</f>
        <v>1</v>
      </c>
      <c r="Z132" s="29">
        <f>Calculations!Z16</f>
        <v>1</v>
      </c>
      <c r="AA132" s="29">
        <f>Calculations!AA16</f>
        <v>1</v>
      </c>
      <c r="AB132" s="29">
        <f>Calculations!AB16</f>
        <v>1</v>
      </c>
      <c r="AC132" s="29">
        <f>Calculations!AC16</f>
        <v>1</v>
      </c>
      <c r="AD132" s="29">
        <f>Calculations!AD16</f>
        <v>1</v>
      </c>
      <c r="AE132" s="29">
        <f>Calculations!AE16</f>
        <v>1</v>
      </c>
      <c r="AF132" s="29">
        <f>Calculations!AF16</f>
        <v>1</v>
      </c>
      <c r="AG132" s="29">
        <f>Calculations!AG16</f>
        <v>1</v>
      </c>
      <c r="AH132" s="29">
        <f>Calculations!AH16</f>
        <v>1</v>
      </c>
    </row>
    <row r="133" spans="1:34" s="412" customFormat="1" x14ac:dyDescent="0.2">
      <c r="A133" s="18"/>
      <c r="B133" s="91"/>
      <c r="C133" s="80"/>
      <c r="D133" s="80"/>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row>
    <row r="134" spans="1:34" s="412" customFormat="1" x14ac:dyDescent="0.2">
      <c r="A134" s="18"/>
      <c r="B134" s="80" t="s">
        <v>307</v>
      </c>
      <c r="C134" s="80"/>
      <c r="D134" s="80"/>
      <c r="E134" s="92" t="str">
        <f>Calculations!D232</f>
        <v>R$ millions</v>
      </c>
      <c r="F134" s="92"/>
      <c r="G134" s="92"/>
      <c r="H134" s="92"/>
      <c r="I134" s="92"/>
      <c r="J134" s="92"/>
      <c r="K134" s="92"/>
      <c r="L134" s="92"/>
      <c r="M134" s="92"/>
      <c r="N134" s="144"/>
      <c r="O134" s="92"/>
      <c r="P134" s="92"/>
      <c r="Q134" s="92"/>
      <c r="R134" s="92"/>
      <c r="S134" s="92"/>
      <c r="T134" s="92"/>
      <c r="U134" s="92"/>
      <c r="V134" s="92"/>
      <c r="W134" s="92"/>
      <c r="X134" s="92"/>
      <c r="Y134" s="92"/>
      <c r="Z134" s="92"/>
      <c r="AA134" s="92"/>
      <c r="AB134" s="92"/>
      <c r="AC134" s="92"/>
      <c r="AD134" s="92"/>
      <c r="AE134" s="92"/>
      <c r="AF134" s="92"/>
      <c r="AG134" s="92"/>
      <c r="AH134" s="92"/>
    </row>
    <row r="135" spans="1:34" s="412" customFormat="1" x14ac:dyDescent="0.2">
      <c r="A135" s="18"/>
      <c r="B135" s="91"/>
      <c r="C135" s="80"/>
      <c r="D135" s="80"/>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row>
    <row r="136" spans="1:34" s="412" customFormat="1" x14ac:dyDescent="0.2">
      <c r="A136" s="18"/>
      <c r="B136" s="90" t="s">
        <v>199</v>
      </c>
      <c r="C136" s="80"/>
      <c r="D136" s="80"/>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row>
    <row r="137" spans="1:34" s="412" customFormat="1" x14ac:dyDescent="0.2">
      <c r="A137" s="18"/>
      <c r="B137" s="91"/>
      <c r="C137" s="80"/>
      <c r="D137" s="80"/>
      <c r="E137" s="93">
        <f>IF(SUM(Calculations!E16:E21)&gt;=1,YEAR(E131)," ")</f>
        <v>2010</v>
      </c>
      <c r="F137" s="93">
        <f>IF(SUM(Calculations!F16:F21)&gt;=1,YEAR(F131)," ")</f>
        <v>2011</v>
      </c>
      <c r="G137" s="93">
        <f>IF(SUM(Calculations!G16:G21)&gt;=1,YEAR(G131)," ")</f>
        <v>2012</v>
      </c>
      <c r="H137" s="93">
        <f>IF(SUM(Calculations!H16:H21)&gt;=1,YEAR(H131)," ")</f>
        <v>2013</v>
      </c>
      <c r="I137" s="93">
        <f>IF(SUM(Calculations!I16:I21)&gt;=1,YEAR(I131)," ")</f>
        <v>2014</v>
      </c>
      <c r="J137" s="93">
        <f>IF(SUM(Calculations!J16:J21)&gt;=1,YEAR(J131)," ")</f>
        <v>2015</v>
      </c>
      <c r="K137" s="93">
        <f>IF(SUM(Calculations!K16:K21)&gt;=1,YEAR(K131)," ")</f>
        <v>2016</v>
      </c>
      <c r="L137" s="93">
        <f>IF(SUM(Calculations!L16:L21)&gt;=1,YEAR(L131)," ")</f>
        <v>2017</v>
      </c>
      <c r="M137" s="93">
        <f>IF(SUM(Calculations!M16:M21)&gt;=1,YEAR(M131)," ")</f>
        <v>2018</v>
      </c>
      <c r="N137" s="93">
        <f>IF(SUM(Calculations!N16:N21)&gt;=1,YEAR(N131)," ")</f>
        <v>2019</v>
      </c>
      <c r="O137" s="93">
        <f>IF(SUM(Calculations!O16:O21)&gt;=1,YEAR(O131)," ")</f>
        <v>2020</v>
      </c>
      <c r="P137" s="93">
        <f>IF(SUM(Calculations!P16:P21)&gt;=1,YEAR(P131)," ")</f>
        <v>2021</v>
      </c>
      <c r="Q137" s="93">
        <f>IF(SUM(Calculations!Q16:Q21)&gt;=1,YEAR(Q131)," ")</f>
        <v>2022</v>
      </c>
      <c r="R137" s="93">
        <f>IF(SUM(Calculations!R16:R21)&gt;=1,YEAR(R131)," ")</f>
        <v>2023</v>
      </c>
      <c r="S137" s="93">
        <f>IF(SUM(Calculations!S16:S21)&gt;=1,YEAR(S131)," ")</f>
        <v>2024</v>
      </c>
      <c r="T137" s="93">
        <f>IF(SUM(Calculations!T16:T21)&gt;=1,YEAR(T131)," ")</f>
        <v>2025</v>
      </c>
      <c r="U137" s="93">
        <f>IF(SUM(Calculations!U16:U21)&gt;=1,YEAR(U131)," ")</f>
        <v>2026</v>
      </c>
      <c r="V137" s="93">
        <f>IF(SUM(Calculations!V16:V21)&gt;=1,YEAR(V131)," ")</f>
        <v>2027</v>
      </c>
      <c r="W137" s="93">
        <f>IF(SUM(Calculations!W16:W21)&gt;=1,YEAR(W131)," ")</f>
        <v>2028</v>
      </c>
      <c r="X137" s="93">
        <f>IF(SUM(Calculations!X16:X21)&gt;=1,YEAR(X131)," ")</f>
        <v>2029</v>
      </c>
      <c r="Y137" s="93">
        <f>IF(SUM(Calculations!Y16:Y21)&gt;=1,YEAR(Y131)," ")</f>
        <v>2030</v>
      </c>
      <c r="Z137" s="93">
        <f>IF(SUM(Calculations!Z16:Z21)&gt;=1,YEAR(Z131)," ")</f>
        <v>2031</v>
      </c>
      <c r="AA137" s="93">
        <f>IF(SUM(Calculations!AA16:AA21)&gt;=1,YEAR(AA131)," ")</f>
        <v>2032</v>
      </c>
      <c r="AB137" s="93">
        <f>IF(SUM(Calculations!AB16:AB21)&gt;=1,YEAR(AB131)," ")</f>
        <v>2033</v>
      </c>
      <c r="AC137" s="93">
        <f>IF(SUM(Calculations!AC16:AC21)&gt;=1,YEAR(AC131)," ")</f>
        <v>2034</v>
      </c>
      <c r="AD137" s="93">
        <f>IF(SUM(Calculations!AD16:AD21)&gt;=1,YEAR(AD131)," ")</f>
        <v>2035</v>
      </c>
      <c r="AE137" s="93">
        <f>IF(SUM(Calculations!AE16:AE21)&gt;=1,YEAR(AE131)," ")</f>
        <v>2036</v>
      </c>
      <c r="AF137" s="93">
        <f>IF(SUM(Calculations!AF16:AF21)&gt;=1,YEAR(AF131)," ")</f>
        <v>2037</v>
      </c>
      <c r="AG137" s="93">
        <f>IF(SUM(Calculations!AG16:AG21)&gt;=1,YEAR(AG131)," ")</f>
        <v>2038</v>
      </c>
      <c r="AH137" s="93">
        <f>IF(SUM(Calculations!AH16:AH21)&gt;=1,YEAR(AH131)," ")</f>
        <v>2039</v>
      </c>
    </row>
    <row r="138" spans="1:34" s="412" customFormat="1" x14ac:dyDescent="0.2">
      <c r="A138" s="18"/>
      <c r="B138" s="80" t="s">
        <v>181</v>
      </c>
      <c r="C138" s="80"/>
      <c r="D138" s="80"/>
      <c r="E138" s="94">
        <f ca="1">IF(E132=1,RAND()*0+IF(E132=1,'Income statement'!E59, " "),0)</f>
        <v>41512</v>
      </c>
      <c r="F138" s="94">
        <f ca="1">IF(F132=1,RAND()*0+IF(F132=1,'Income statement'!F59, " "),0)</f>
        <v>41614.380000000005</v>
      </c>
      <c r="G138" s="94">
        <f ca="1">IF(G132=1,RAND()*0+IF(G132=1,'Income statement'!G59, " "),0)</f>
        <v>42748.990612583482</v>
      </c>
      <c r="H138" s="94">
        <f ca="1">IF(H132=1,RAND()*0+IF(H132=1,'Income statement'!H59, " "),0)</f>
        <v>43915.484884147147</v>
      </c>
      <c r="I138" s="94">
        <f ca="1">IF(I132=1,RAND()*0+IF(I132=1,'Income statement'!I59, " "),0)</f>
        <v>45115.548812769885</v>
      </c>
      <c r="J138" s="94">
        <f ca="1">IF(J132=1,RAND()*0+IF(J132=1,'Income statement'!J59, " ")," ")</f>
        <v>46350.162464585344</v>
      </c>
      <c r="K138" s="94">
        <f ca="1">IF(K132=1,RAND()*0+IF(K132=1,'Income statement'!K59, " ")," ")</f>
        <v>53508.278300793252</v>
      </c>
      <c r="L138" s="94">
        <f ca="1">IF(L132=1,RAND()*0+IF(L132=1,'Income statement'!L59, " ")," ")</f>
        <v>54977.708341283571</v>
      </c>
      <c r="M138" s="94">
        <f ca="1">IF(M132=1,RAND()*0+IF(M132=1,'Income statement'!M59, " ")," ")</f>
        <v>56490.075045971564</v>
      </c>
      <c r="N138" s="94">
        <f ca="1">IF(N132=1,RAND()*0+IF(N132=1,'Income statement'!N59, " ")," ")</f>
        <v>58046.116861572846</v>
      </c>
      <c r="O138" s="94">
        <f ca="1">IF(O132=1,RAND()*0+IF(O132=1,'Income statement'!O59, " ")," ")</f>
        <v>59647.053475840497</v>
      </c>
      <c r="P138" s="94">
        <f ca="1">IF(P132=1,RAND()*0+IF(P132=1,'Income statement'!P59, " ")," ")</f>
        <v>61294.199399680518</v>
      </c>
      <c r="Q138" s="94">
        <f ca="1">IF(Q132=1,RAND()*0+IF(Q132=1,'Income statement'!Q59, " ")," ")</f>
        <v>62988.90790760627</v>
      </c>
      <c r="R138" s="94">
        <f ca="1">IF(R132=1,RAND()*0+IF(R132=1,'Income statement'!R59, " ")," ")</f>
        <v>64732.572167349426</v>
      </c>
      <c r="S138" s="94">
        <f ca="1">IF(S132=1,RAND()*0+IF(S132=1,'Income statement'!S59, " ")," ")</f>
        <v>66526.626409754623</v>
      </c>
      <c r="T138" s="94">
        <f ca="1">IF(T132=1,RAND()*0+IF(T132=1,'Income statement'!T59, " ")," ")</f>
        <v>68372.547136841065</v>
      </c>
      <c r="U138" s="94">
        <f ca="1">IF(U132=1,RAND()*0+IF(U132=1,'Income statement'!U59, " ")," ")</f>
        <v>70271.854367560314</v>
      </c>
      <c r="V138" s="94">
        <f ca="1">IF(V132=1,RAND()*0+IF(V132=1,'Income statement'!V59, " ")," ")</f>
        <v>72225.745673004873</v>
      </c>
      <c r="W138" s="94">
        <f ca="1">IF(W132=1,RAND()*0+IF(W132=1,'Income statement'!W59, " ")," ")</f>
        <v>74235.850493002712</v>
      </c>
      <c r="X138" s="94">
        <f ca="1">IF(X132=1,RAND()*0+IF(X132=1,'Income statement'!X59, " ")," ")</f>
        <v>76304.895399639834</v>
      </c>
      <c r="Y138" s="94">
        <f ca="1">IF(Y132=1,RAND()*0+IF(Y132=1,'Income statement'!Y59, " ")," ")</f>
        <v>78433.867658081552</v>
      </c>
      <c r="Z138" s="94">
        <f ca="1">IF(Z132=1,RAND()*0+IF(Z132=1,'Income statement'!Z59, " ")," ")</f>
        <v>80624.424869626702</v>
      </c>
      <c r="AA138" s="94">
        <f ca="1">IF(AA132=1,RAND()*0+IF(AA132=1,'Income statement'!AA59, " ")," ")</f>
        <v>82878.57645757281</v>
      </c>
      <c r="AB138" s="94">
        <f ca="1">IF(AB132=1,RAND()*0+IF(AB132=1,'Income statement'!AB59, " ")," ")</f>
        <v>85198.085197489432</v>
      </c>
      <c r="AC138" s="94">
        <f ca="1">IF(AC132=1,RAND()*0+IF(AC132=1,'Income statement'!AC59, " ")," ")</f>
        <v>87584.86879308577</v>
      </c>
      <c r="AD138" s="94">
        <f ca="1">IF(AD132=1,RAND()*0+IF(AD132=1,'Income statement'!AD59, " ")," ")</f>
        <v>90040.901498936539</v>
      </c>
      <c r="AE138" s="94">
        <f ca="1">IF(AE132=1,RAND()*0+IF(AE132=1,'Income statement'!AE59, " ")," ")</f>
        <v>92568.215791394294</v>
      </c>
      <c r="AF138" s="94">
        <f ca="1">IF(AF132=1,RAND()*0+IF(AF132=1,'Income statement'!AF59, " ")," ")</f>
        <v>95168.904089073447</v>
      </c>
      <c r="AG138" s="94">
        <f ca="1">IF(AG132=1,RAND()*0+IF(AG132=1,'Income statement'!AG59, " ")," ")</f>
        <v>97845.120524345461</v>
      </c>
      <c r="AH138" s="94">
        <f ca="1">IF(AH132=1,RAND()*0+IF(AH132=1,'Income statement'!AH59, " ")," ")</f>
        <v>100599.08276733437</v>
      </c>
    </row>
    <row r="139" spans="1:34" s="412" customFormat="1" x14ac:dyDescent="0.2">
      <c r="A139" s="18"/>
      <c r="B139" s="80" t="s">
        <v>182</v>
      </c>
      <c r="C139" s="80"/>
      <c r="D139" s="80"/>
      <c r="E139" s="94">
        <f ca="1">IF(E132=1,RAND()*0+IF(E132=1,'Income statement'!E69+'Income statement'!E76," "),0)</f>
        <v>16152.500000000002</v>
      </c>
      <c r="F139" s="94">
        <f ca="1">IF(F132=1,RAND()*0+IF(F132=1,'Income statement'!F69+'Income statement'!F76," "),0)</f>
        <v>16293.292682926831</v>
      </c>
      <c r="G139" s="94">
        <f ca="1">IF(G132=1,RAND()*0+IF(G132=1,'Income statement'!G69+'Income statement'!G76," "),0)</f>
        <v>16793.096286763328</v>
      </c>
      <c r="H139" s="94">
        <f ca="1">IF(H132=1,RAND()*0+IF(H132=1,'Income statement'!H69+'Income statement'!H76," "),0)</f>
        <v>17521.435174444574</v>
      </c>
      <c r="I139" s="94">
        <f ca="1">IF(I132=1,RAND()*0+IF(I132=1,'Income statement'!I69+'Income statement'!I76," "),0)</f>
        <v>18202.89927377622</v>
      </c>
      <c r="J139" s="94">
        <f ca="1">IF(J132=1,RAND()*0+IF(J132=1,'Income statement'!J69+'Income statement'!J76," ")," ")</f>
        <v>18754.492058441123</v>
      </c>
      <c r="K139" s="94">
        <f ca="1">IF(K132=1,RAND()*0+IF(K132=1,'Income statement'!K69+'Income statement'!K76," ")," ")</f>
        <v>21375.936756161896</v>
      </c>
      <c r="L139" s="94">
        <f ca="1">IF(L132=1,RAND()*0+IF(L132=1,'Income statement'!L69+'Income statement'!L76," ")," ")</f>
        <v>22007.225872671646</v>
      </c>
      <c r="M139" s="94">
        <f ca="1">IF(M132=1,RAND()*0+IF(M132=1,'Income statement'!M69+'Income statement'!M76," ")," ")</f>
        <v>22671.691980649022</v>
      </c>
      <c r="N139" s="94">
        <f ca="1">IF(N132=1,RAND()*0+IF(N132=1,'Income statement'!N69+'Income statement'!N76," ")," ")</f>
        <v>23357.302175552366</v>
      </c>
      <c r="O139" s="94">
        <f ca="1">IF(O132=1,RAND()*0+IF(O132=1,'Income statement'!O69+'Income statement'!O76," ")," ")</f>
        <v>24063.219351418014</v>
      </c>
      <c r="P139" s="94">
        <f ca="1">IF(P132=1,RAND()*0+IF(P132=1,'Income statement'!P69+'Income statement'!P76," ")," ")</f>
        <v>24790.052717674847</v>
      </c>
      <c r="Q139" s="94">
        <f ca="1">IF(Q132=1,RAND()*0+IF(Q132=1,'Income statement'!Q69+'Income statement'!Q76," ")," ")</f>
        <v>25538.429760034585</v>
      </c>
      <c r="R139" s="94">
        <f ca="1">IF(R132=1,RAND()*0+IF(R132=1,'Income statement'!R69+'Income statement'!R76," ")," ")</f>
        <v>26308.996788780321</v>
      </c>
      <c r="S139" s="94">
        <f ca="1">IF(S132=1,RAND()*0+IF(S132=1,'Income statement'!S69+'Income statement'!S76," ")," ")</f>
        <v>27102.419503503643</v>
      </c>
      <c r="T139" s="94">
        <f ca="1">IF(T132=1,RAND()*0+IF(T132=1,'Income statement'!T69+'Income statement'!T76," ")," ")</f>
        <v>27919.383574783868</v>
      </c>
      <c r="U139" s="94">
        <f ca="1">IF(U132=1,RAND()*0+IF(U132=1,'Income statement'!U69+'Income statement'!U76," ")," ")</f>
        <v>28760.595243317708</v>
      </c>
      <c r="V139" s="94">
        <f ca="1">IF(V132=1,RAND()*0+IF(V132=1,'Income statement'!V69+'Income statement'!V76," ")," ")</f>
        <v>29617.644456223999</v>
      </c>
      <c r="W139" s="94">
        <f ca="1">IF(W132=1,RAND()*0+IF(W132=1,'Income statement'!W69+'Income statement'!W76," ")," ")</f>
        <v>30491.798897437598</v>
      </c>
      <c r="X139" s="94">
        <f ca="1">IF(X132=1,RAND()*0+IF(X132=1,'Income statement'!X69+'Income statement'!X76," ")," ")</f>
        <v>31410.449342855347</v>
      </c>
      <c r="Y139" s="94">
        <f ca="1">IF(Y132=1,RAND()*0+IF(Y132=1,'Income statement'!Y69+'Income statement'!Y76," ")," ")</f>
        <v>32356.390672603382</v>
      </c>
      <c r="Z139" s="94">
        <f ca="1">IF(Z132=1,RAND()*0+IF(Z132=1,'Income statement'!Z69+'Income statement'!Z76," ")," ")</f>
        <v>33327.941613211588</v>
      </c>
      <c r="AA139" s="94">
        <f ca="1">IF(AA132=1,RAND()*0+IF(AA132=1,'Income statement'!AA69+'Income statement'!AA76," ")," ")</f>
        <v>34330.945453005785</v>
      </c>
      <c r="AB139" s="94">
        <f ca="1">IF(AB132=1,RAND()*0+IF(AB132=1,'Income statement'!AB69+'Income statement'!AB76," ")," ")</f>
        <v>35363.77077896156</v>
      </c>
      <c r="AC139" s="94">
        <f ca="1">IF(AC132=1,RAND()*0+IF(AC132=1,'Income statement'!AC69+'Income statement'!AC76," ")," ")</f>
        <v>36427.312235663747</v>
      </c>
      <c r="AD139" s="94">
        <f ca="1">IF(AD132=1,RAND()*0+IF(AD132=1,'Income statement'!AD69+'Income statement'!AD76," ")," ")</f>
        <v>37522.491307034717</v>
      </c>
      <c r="AE139" s="94">
        <f ca="1">IF(AE132=1,RAND()*0+IF(AE132=1,'Income statement'!AE69+'Income statement'!AE76," ")," ")</f>
        <v>38650.257121514587</v>
      </c>
      <c r="AF139" s="94">
        <f ca="1">IF(AF132=1,RAND()*0+IF(AF132=1,'Income statement'!AF69+'Income statement'!AF76," ")," ")</f>
        <v>39811.587281396576</v>
      </c>
      <c r="AG139" s="94">
        <f ca="1">IF(AG132=1,RAND()*0+IF(AG132=1,'Income statement'!AG69+'Income statement'!AG76," ")," ")</f>
        <v>41007.488717042776</v>
      </c>
      <c r="AH139" s="94">
        <f ca="1">IF(AH132=1,RAND()*0+IF(AH132=1,'Income statement'!AH69+'Income statement'!AH76," ")," ")</f>
        <v>42238.998566726113</v>
      </c>
    </row>
    <row r="140" spans="1:34" s="412" customFormat="1" x14ac:dyDescent="0.2">
      <c r="A140" s="18"/>
      <c r="B140" s="80" t="s">
        <v>177</v>
      </c>
      <c r="C140" s="80"/>
      <c r="D140" s="80"/>
      <c r="E140" s="95">
        <f ca="1">IF(E132=1,RAND()*0+IF(E132=1,(E138-E139)/E138," "),0)</f>
        <v>0.61089564463287727</v>
      </c>
      <c r="F140" s="95">
        <f t="shared" ref="F140:I140" ca="1" si="2">IF(F132=1,RAND()*0+IF(F132=1,(F138-F139)/F138," "),0)</f>
        <v>0.60846965200666614</v>
      </c>
      <c r="G140" s="95">
        <f t="shared" ca="1" si="2"/>
        <v>0.60716975895519376</v>
      </c>
      <c r="H140" s="95">
        <f t="shared" ca="1" si="2"/>
        <v>0.60101920266467201</v>
      </c>
      <c r="I140" s="95">
        <f t="shared" ca="1" si="2"/>
        <v>0.5965271452350388</v>
      </c>
      <c r="J140" s="95">
        <f t="shared" ref="J140:AH140" ca="1" si="3">IF(J132=1,RAND()*0+IF(J132=1,(J138-J139)/J138," ")," ")</f>
        <v>0.5953737579070878</v>
      </c>
      <c r="K140" s="95">
        <f t="shared" ca="1" si="3"/>
        <v>0.60051159493492801</v>
      </c>
      <c r="L140" s="95">
        <f t="shared" ca="1" si="3"/>
        <v>0.59970638033768142</v>
      </c>
      <c r="M140" s="95">
        <f t="shared" ca="1" si="3"/>
        <v>0.59866061494521261</v>
      </c>
      <c r="N140" s="95">
        <f t="shared" ca="1" si="3"/>
        <v>0.59760784289404978</v>
      </c>
      <c r="O140" s="95">
        <f t="shared" ca="1" si="3"/>
        <v>0.59657320941822212</v>
      </c>
      <c r="P140" s="95">
        <f t="shared" ca="1" si="3"/>
        <v>0.59555630124105896</v>
      </c>
      <c r="Q140" s="95">
        <f t="shared" ca="1" si="3"/>
        <v>0.59455671469181526</v>
      </c>
      <c r="R140" s="95">
        <f t="shared" ca="1" si="3"/>
        <v>0.59357405541115882</v>
      </c>
      <c r="S140" s="95">
        <f t="shared" ca="1" si="3"/>
        <v>0.59260793811228518</v>
      </c>
      <c r="T140" s="95">
        <f t="shared" ca="1" si="3"/>
        <v>0.59165798637125644</v>
      </c>
      <c r="U140" s="95">
        <f t="shared" ca="1" si="3"/>
        <v>0.59072383243390691</v>
      </c>
      <c r="V140" s="95">
        <f t="shared" ca="1" si="3"/>
        <v>0.58992954409477416</v>
      </c>
      <c r="W140" s="95">
        <f t="shared" ca="1" si="3"/>
        <v>0.58925776838359678</v>
      </c>
      <c r="X140" s="95">
        <f t="shared" ca="1" si="3"/>
        <v>0.58835603956540372</v>
      </c>
      <c r="Y140" s="95">
        <f t="shared" ca="1" si="3"/>
        <v>0.58746914262018424</v>
      </c>
      <c r="Z140" s="95">
        <f t="shared" ca="1" si="3"/>
        <v>0.58662723278827278</v>
      </c>
      <c r="AA140" s="95">
        <f t="shared" ca="1" si="3"/>
        <v>0.58576815721997255</v>
      </c>
      <c r="AB140" s="95">
        <f t="shared" ca="1" si="3"/>
        <v>0.58492293932441997</v>
      </c>
      <c r="AC140" s="95">
        <f t="shared" ca="1" si="3"/>
        <v>0.58409126213660056</v>
      </c>
      <c r="AD140" s="95">
        <f t="shared" ca="1" si="3"/>
        <v>0.583272816215885</v>
      </c>
      <c r="AE140" s="95">
        <f t="shared" ca="1" si="3"/>
        <v>0.58246729948199183</v>
      </c>
      <c r="AF140" s="95">
        <f t="shared" ca="1" si="3"/>
        <v>0.58167441705396883</v>
      </c>
      <c r="AG140" s="95">
        <f t="shared" ca="1" si="3"/>
        <v>0.58089388109201168</v>
      </c>
      <c r="AH140" s="95">
        <f t="shared" ca="1" si="3"/>
        <v>0.58012541064199863</v>
      </c>
    </row>
    <row r="141" spans="1:34" s="412" customFormat="1" x14ac:dyDescent="0.2">
      <c r="A141" s="18"/>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row>
    <row r="142" spans="1:34" s="412" customFormat="1" x14ac:dyDescent="0.2">
      <c r="A142" s="18"/>
      <c r="B142" s="90" t="s">
        <v>296</v>
      </c>
      <c r="C142" s="80"/>
      <c r="D142" s="80"/>
      <c r="E142" s="80" t="s">
        <v>305</v>
      </c>
      <c r="F142" s="80" t="s">
        <v>286</v>
      </c>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row>
    <row r="143" spans="1:34" s="412" customFormat="1" x14ac:dyDescent="0.2">
      <c r="A143" s="18"/>
      <c r="B143" s="80"/>
      <c r="C143" s="80"/>
      <c r="D143" s="80"/>
      <c r="E143" s="93">
        <f t="shared" ref="E143:AH143" si="4">YEAR(E$131)</f>
        <v>2010</v>
      </c>
      <c r="F143" s="93">
        <f t="shared" si="4"/>
        <v>2011</v>
      </c>
      <c r="G143" s="93">
        <f t="shared" si="4"/>
        <v>2012</v>
      </c>
      <c r="H143" s="93">
        <f t="shared" si="4"/>
        <v>2013</v>
      </c>
      <c r="I143" s="93">
        <f t="shared" si="4"/>
        <v>2014</v>
      </c>
      <c r="J143" s="93">
        <f t="shared" si="4"/>
        <v>2015</v>
      </c>
      <c r="K143" s="93">
        <f t="shared" si="4"/>
        <v>2016</v>
      </c>
      <c r="L143" s="93">
        <f t="shared" si="4"/>
        <v>2017</v>
      </c>
      <c r="M143" s="93">
        <f t="shared" si="4"/>
        <v>2018</v>
      </c>
      <c r="N143" s="93">
        <f t="shared" si="4"/>
        <v>2019</v>
      </c>
      <c r="O143" s="93">
        <f t="shared" si="4"/>
        <v>2020</v>
      </c>
      <c r="P143" s="93">
        <f t="shared" si="4"/>
        <v>2021</v>
      </c>
      <c r="Q143" s="93">
        <f t="shared" si="4"/>
        <v>2022</v>
      </c>
      <c r="R143" s="93">
        <f t="shared" si="4"/>
        <v>2023</v>
      </c>
      <c r="S143" s="93">
        <f t="shared" si="4"/>
        <v>2024</v>
      </c>
      <c r="T143" s="93">
        <f t="shared" si="4"/>
        <v>2025</v>
      </c>
      <c r="U143" s="93">
        <f t="shared" si="4"/>
        <v>2026</v>
      </c>
      <c r="V143" s="93">
        <f t="shared" si="4"/>
        <v>2027</v>
      </c>
      <c r="W143" s="93">
        <f t="shared" si="4"/>
        <v>2028</v>
      </c>
      <c r="X143" s="93">
        <f t="shared" si="4"/>
        <v>2029</v>
      </c>
      <c r="Y143" s="93">
        <f t="shared" si="4"/>
        <v>2030</v>
      </c>
      <c r="Z143" s="93">
        <f t="shared" si="4"/>
        <v>2031</v>
      </c>
      <c r="AA143" s="93">
        <f t="shared" si="4"/>
        <v>2032</v>
      </c>
      <c r="AB143" s="93">
        <f t="shared" si="4"/>
        <v>2033</v>
      </c>
      <c r="AC143" s="93">
        <f t="shared" si="4"/>
        <v>2034</v>
      </c>
      <c r="AD143" s="93">
        <f t="shared" si="4"/>
        <v>2035</v>
      </c>
      <c r="AE143" s="93">
        <f t="shared" si="4"/>
        <v>2036</v>
      </c>
      <c r="AF143" s="93">
        <f t="shared" si="4"/>
        <v>2037</v>
      </c>
      <c r="AG143" s="93">
        <f t="shared" si="4"/>
        <v>2038</v>
      </c>
      <c r="AH143" s="93">
        <f t="shared" si="4"/>
        <v>2039</v>
      </c>
    </row>
    <row r="144" spans="1:34" s="412" customFormat="1" x14ac:dyDescent="0.2">
      <c r="A144" s="18"/>
      <c r="B144" s="80" t="str">
        <f>'Assumptions - Freight'!E116</f>
        <v>Commodity 1</v>
      </c>
      <c r="C144" s="80"/>
      <c r="D144" s="80"/>
      <c r="E144" s="94">
        <f>IF(E$132=1,Calculations!E167,0)</f>
        <v>4878.0487804878048</v>
      </c>
      <c r="F144" s="94">
        <f>IF(F$132=1,Calculations!F167,0)</f>
        <v>4878.0487804878048</v>
      </c>
      <c r="G144" s="94">
        <f>IF(G$132=1,Calculations!G167,0)</f>
        <v>4878.0487804878048</v>
      </c>
      <c r="H144" s="94">
        <f>IF(H$132=1,Calculations!H167,0)</f>
        <v>4878.0487804878048</v>
      </c>
      <c r="I144" s="94">
        <f>IF(I$132=1,Calculations!I167,0)</f>
        <v>4878.0487804878048</v>
      </c>
      <c r="J144" s="94">
        <f>IF(J$132=1,Calculations!J167," ")</f>
        <v>4878.0487804878048</v>
      </c>
      <c r="K144" s="94">
        <f>IF(K$132=1,Calculations!K167," ")</f>
        <v>5487.8048780487807</v>
      </c>
      <c r="L144" s="94">
        <f>IF(L$132=1,Calculations!L167," ")</f>
        <v>5487.8048780487807</v>
      </c>
      <c r="M144" s="94">
        <f>IF(M$132=1,Calculations!M167," ")</f>
        <v>5487.8048780487807</v>
      </c>
      <c r="N144" s="94">
        <f>IF(N$132=1,Calculations!N167," ")</f>
        <v>5487.8048780487807</v>
      </c>
      <c r="O144" s="94">
        <f>IF(O$132=1,Calculations!O167," ")</f>
        <v>5487.8048780487807</v>
      </c>
      <c r="P144" s="94">
        <f>IF(P$132=1,Calculations!P167," ")</f>
        <v>5487.8048780487807</v>
      </c>
      <c r="Q144" s="94">
        <f>IF(Q$132=1,Calculations!Q167," ")</f>
        <v>5487.8048780487807</v>
      </c>
      <c r="R144" s="94">
        <f>IF(R$132=1,Calculations!R167," ")</f>
        <v>5487.8048780487807</v>
      </c>
      <c r="S144" s="94">
        <f>IF(S$132=1,Calculations!S167," ")</f>
        <v>5487.8048780487807</v>
      </c>
      <c r="T144" s="94">
        <f>IF(T$132=1,Calculations!T167," ")</f>
        <v>5487.8048780487807</v>
      </c>
      <c r="U144" s="94">
        <f>IF(U$132=1,Calculations!U167," ")</f>
        <v>5487.8048780487807</v>
      </c>
      <c r="V144" s="94">
        <f>IF(V$132=1,Calculations!V167," ")</f>
        <v>5487.8048780487807</v>
      </c>
      <c r="W144" s="94">
        <f>IF(W$132=1,Calculations!W167," ")</f>
        <v>5487.8048780487807</v>
      </c>
      <c r="X144" s="94">
        <f>IF(X$132=1,Calculations!X167," ")</f>
        <v>5487.8048780487807</v>
      </c>
      <c r="Y144" s="94">
        <f>IF(Y$132=1,Calculations!Y167," ")</f>
        <v>5487.8048780487807</v>
      </c>
      <c r="Z144" s="94">
        <f>IF(Z$132=1,Calculations!Z167," ")</f>
        <v>5487.8048780487807</v>
      </c>
      <c r="AA144" s="94">
        <f>IF(AA$132=1,Calculations!AA167," ")</f>
        <v>5487.8048780487807</v>
      </c>
      <c r="AB144" s="94">
        <f>IF(AB$132=1,Calculations!AB167," ")</f>
        <v>5487.8048780487807</v>
      </c>
      <c r="AC144" s="94">
        <f>IF(AC$132=1,Calculations!AC167," ")</f>
        <v>5487.8048780487807</v>
      </c>
      <c r="AD144" s="94">
        <f>IF(AD$132=1,Calculations!AD167," ")</f>
        <v>5487.8048780487807</v>
      </c>
      <c r="AE144" s="94">
        <f>IF(AE$132=1,Calculations!AE167," ")</f>
        <v>5487.8048780487807</v>
      </c>
      <c r="AF144" s="94">
        <f>IF(AF$132=1,Calculations!AF167," ")</f>
        <v>5487.8048780487807</v>
      </c>
      <c r="AG144" s="94">
        <f>IF(AG$132=1,Calculations!AG167," ")</f>
        <v>5487.8048780487807</v>
      </c>
      <c r="AH144" s="94">
        <f>IF(AH$132=1,Calculations!AH167," ")</f>
        <v>5487.8048780487807</v>
      </c>
    </row>
    <row r="145" spans="1:34" s="412" customFormat="1" x14ac:dyDescent="0.2">
      <c r="A145" s="18"/>
      <c r="B145" s="80" t="str">
        <f>'Assumptions - Freight'!E117</f>
        <v>Commodity 2</v>
      </c>
      <c r="C145" s="80"/>
      <c r="D145" s="80"/>
      <c r="E145" s="94">
        <f>IF(E$132=1,Calculations!E168,0)</f>
        <v>4878.0487804878048</v>
      </c>
      <c r="F145" s="94">
        <f>IF(F$132=1,Calculations!F168,0)</f>
        <v>4878.0487804878048</v>
      </c>
      <c r="G145" s="94">
        <f>IF(G$132=1,Calculations!G168,0)</f>
        <v>4878.0487804878048</v>
      </c>
      <c r="H145" s="94">
        <f>IF(H$132=1,Calculations!H168,0)</f>
        <v>4878.0487804878048</v>
      </c>
      <c r="I145" s="94">
        <f>IF(I$132=1,Calculations!I168,0)</f>
        <v>4878.0487804878048</v>
      </c>
      <c r="J145" s="94">
        <f>IF(J$132=1,Calculations!J168," ")</f>
        <v>4878.0487804878048</v>
      </c>
      <c r="K145" s="94">
        <f>IF(K$132=1,Calculations!K168," ")</f>
        <v>5487.8048780487807</v>
      </c>
      <c r="L145" s="94">
        <f>IF(L$132=1,Calculations!L168," ")</f>
        <v>5487.8048780487807</v>
      </c>
      <c r="M145" s="94">
        <f>IF(M$132=1,Calculations!M168," ")</f>
        <v>5487.8048780487807</v>
      </c>
      <c r="N145" s="94">
        <f>IF(N$132=1,Calculations!N168," ")</f>
        <v>5487.8048780487807</v>
      </c>
      <c r="O145" s="94">
        <f>IF(O$132=1,Calculations!O168," ")</f>
        <v>5487.8048780487807</v>
      </c>
      <c r="P145" s="94">
        <f>IF(P$132=1,Calculations!P168," ")</f>
        <v>5487.8048780487807</v>
      </c>
      <c r="Q145" s="94">
        <f>IF(Q$132=1,Calculations!Q168," ")</f>
        <v>5487.8048780487807</v>
      </c>
      <c r="R145" s="94">
        <f>IF(R$132=1,Calculations!R168," ")</f>
        <v>5487.8048780487807</v>
      </c>
      <c r="S145" s="94">
        <f>IF(S$132=1,Calculations!S168," ")</f>
        <v>5487.8048780487807</v>
      </c>
      <c r="T145" s="94">
        <f>IF(T$132=1,Calculations!T168," ")</f>
        <v>5487.8048780487807</v>
      </c>
      <c r="U145" s="94">
        <f>IF(U$132=1,Calculations!U168," ")</f>
        <v>5487.8048780487807</v>
      </c>
      <c r="V145" s="94">
        <f>IF(V$132=1,Calculations!V168," ")</f>
        <v>5487.8048780487807</v>
      </c>
      <c r="W145" s="94">
        <f>IF(W$132=1,Calculations!W168," ")</f>
        <v>5487.8048780487807</v>
      </c>
      <c r="X145" s="94">
        <f>IF(X$132=1,Calculations!X168," ")</f>
        <v>5487.8048780487807</v>
      </c>
      <c r="Y145" s="94">
        <f>IF(Y$132=1,Calculations!Y168," ")</f>
        <v>5487.8048780487807</v>
      </c>
      <c r="Z145" s="94">
        <f>IF(Z$132=1,Calculations!Z168," ")</f>
        <v>5487.8048780487807</v>
      </c>
      <c r="AA145" s="94">
        <f>IF(AA$132=1,Calculations!AA168," ")</f>
        <v>5487.8048780487807</v>
      </c>
      <c r="AB145" s="94">
        <f>IF(AB$132=1,Calculations!AB168," ")</f>
        <v>5487.8048780487807</v>
      </c>
      <c r="AC145" s="94">
        <f>IF(AC$132=1,Calculations!AC168," ")</f>
        <v>5487.8048780487807</v>
      </c>
      <c r="AD145" s="94">
        <f>IF(AD$132=1,Calculations!AD168," ")</f>
        <v>5487.8048780487807</v>
      </c>
      <c r="AE145" s="94">
        <f>IF(AE$132=1,Calculations!AE168," ")</f>
        <v>5487.8048780487807</v>
      </c>
      <c r="AF145" s="94">
        <f>IF(AF$132=1,Calculations!AF168," ")</f>
        <v>5487.8048780487807</v>
      </c>
      <c r="AG145" s="94">
        <f>IF(AG$132=1,Calculations!AG168," ")</f>
        <v>5487.8048780487807</v>
      </c>
      <c r="AH145" s="94">
        <f>IF(AH$132=1,Calculations!AH168," ")</f>
        <v>5487.8048780487807</v>
      </c>
    </row>
    <row r="146" spans="1:34" s="412" customFormat="1" x14ac:dyDescent="0.2">
      <c r="A146" s="18"/>
      <c r="B146" s="80" t="str">
        <f>'Assumptions - Freight'!E118</f>
        <v>Commodity 3</v>
      </c>
      <c r="C146" s="80"/>
      <c r="D146" s="80"/>
      <c r="E146" s="94">
        <f>IF(E$132=1,Calculations!E169,0)</f>
        <v>6097.5609756097556</v>
      </c>
      <c r="F146" s="94">
        <f>IF(F$132=1,Calculations!F169,0)</f>
        <v>4878.0487804878048</v>
      </c>
      <c r="G146" s="94">
        <f>IF(G$132=1,Calculations!G169,0)</f>
        <v>4878.0487804878048</v>
      </c>
      <c r="H146" s="94">
        <f>IF(H$132=1,Calculations!H169,0)</f>
        <v>4878.0487804878048</v>
      </c>
      <c r="I146" s="94">
        <f>IF(I$132=1,Calculations!I169,0)</f>
        <v>4878.0487804878048</v>
      </c>
      <c r="J146" s="94">
        <f>IF(J$132=1,Calculations!J169," ")</f>
        <v>4878.0487804878048</v>
      </c>
      <c r="K146" s="94">
        <f>IF(K$132=1,Calculations!K169," ")</f>
        <v>5487.8048780487807</v>
      </c>
      <c r="L146" s="94">
        <f>IF(L$132=1,Calculations!L169," ")</f>
        <v>5487.8048780487807</v>
      </c>
      <c r="M146" s="94">
        <f>IF(M$132=1,Calculations!M169," ")</f>
        <v>5487.8048780487807</v>
      </c>
      <c r="N146" s="94">
        <f>IF(N$132=1,Calculations!N169," ")</f>
        <v>5487.8048780487807</v>
      </c>
      <c r="O146" s="94">
        <f>IF(O$132=1,Calculations!O169," ")</f>
        <v>5487.8048780487807</v>
      </c>
      <c r="P146" s="94">
        <f>IF(P$132=1,Calculations!P169," ")</f>
        <v>5487.8048780487807</v>
      </c>
      <c r="Q146" s="94">
        <f>IF(Q$132=1,Calculations!Q169," ")</f>
        <v>5487.8048780487807</v>
      </c>
      <c r="R146" s="94">
        <f>IF(R$132=1,Calculations!R169," ")</f>
        <v>5487.8048780487807</v>
      </c>
      <c r="S146" s="94">
        <f>IF(S$132=1,Calculations!S169," ")</f>
        <v>5487.8048780487807</v>
      </c>
      <c r="T146" s="94">
        <f>IF(T$132=1,Calculations!T169," ")</f>
        <v>5487.8048780487807</v>
      </c>
      <c r="U146" s="94">
        <f>IF(U$132=1,Calculations!U169," ")</f>
        <v>5487.8048780487807</v>
      </c>
      <c r="V146" s="94">
        <f>IF(V$132=1,Calculations!V169," ")</f>
        <v>5487.8048780487807</v>
      </c>
      <c r="W146" s="94">
        <f>IF(W$132=1,Calculations!W169," ")</f>
        <v>5487.8048780487807</v>
      </c>
      <c r="X146" s="94">
        <f>IF(X$132=1,Calculations!X169," ")</f>
        <v>5487.8048780487807</v>
      </c>
      <c r="Y146" s="94">
        <f>IF(Y$132=1,Calculations!Y169," ")</f>
        <v>5487.8048780487807</v>
      </c>
      <c r="Z146" s="94">
        <f>IF(Z$132=1,Calculations!Z169," ")</f>
        <v>5487.8048780487807</v>
      </c>
      <c r="AA146" s="94">
        <f>IF(AA$132=1,Calculations!AA169," ")</f>
        <v>5487.8048780487807</v>
      </c>
      <c r="AB146" s="94">
        <f>IF(AB$132=1,Calculations!AB169," ")</f>
        <v>5487.8048780487807</v>
      </c>
      <c r="AC146" s="94">
        <f>IF(AC$132=1,Calculations!AC169," ")</f>
        <v>5487.8048780487807</v>
      </c>
      <c r="AD146" s="94">
        <f>IF(AD$132=1,Calculations!AD169," ")</f>
        <v>5487.8048780487807</v>
      </c>
      <c r="AE146" s="94">
        <f>IF(AE$132=1,Calculations!AE169," ")</f>
        <v>5487.8048780487807</v>
      </c>
      <c r="AF146" s="94">
        <f>IF(AF$132=1,Calculations!AF169," ")</f>
        <v>5487.8048780487807</v>
      </c>
      <c r="AG146" s="94">
        <f>IF(AG$132=1,Calculations!AG169," ")</f>
        <v>5487.8048780487807</v>
      </c>
      <c r="AH146" s="94">
        <f>IF(AH$132=1,Calculations!AH169," ")</f>
        <v>5487.8048780487807</v>
      </c>
    </row>
    <row r="147" spans="1:34" s="412" customFormat="1" x14ac:dyDescent="0.2">
      <c r="A147" s="18"/>
      <c r="B147" s="80" t="str">
        <f>'Assumptions - Freight'!E119</f>
        <v>Commodity 4</v>
      </c>
      <c r="C147" s="80"/>
      <c r="D147" s="80"/>
      <c r="E147" s="94">
        <f>IF(E$132=1,Calculations!E170,0)</f>
        <v>4878.0487804878048</v>
      </c>
      <c r="F147" s="94">
        <f>IF(F$132=1,Calculations!F170,0)</f>
        <v>4878.0487804878048</v>
      </c>
      <c r="G147" s="94">
        <f>IF(G$132=1,Calculations!G170,0)</f>
        <v>4878.0487804878048</v>
      </c>
      <c r="H147" s="94">
        <f>IF(H$132=1,Calculations!H170,0)</f>
        <v>4878.0487804878048</v>
      </c>
      <c r="I147" s="94">
        <f>IF(I$132=1,Calculations!I170,0)</f>
        <v>4878.0487804878048</v>
      </c>
      <c r="J147" s="94">
        <f>IF(J$132=1,Calculations!J170," ")</f>
        <v>4878.0487804878048</v>
      </c>
      <c r="K147" s="94">
        <f>IF(K$132=1,Calculations!K170," ")</f>
        <v>5487.8048780487807</v>
      </c>
      <c r="L147" s="94">
        <f>IF(L$132=1,Calculations!L170," ")</f>
        <v>5487.8048780487807</v>
      </c>
      <c r="M147" s="94">
        <f>IF(M$132=1,Calculations!M170," ")</f>
        <v>5487.8048780487807</v>
      </c>
      <c r="N147" s="94">
        <f>IF(N$132=1,Calculations!N170," ")</f>
        <v>5487.8048780487807</v>
      </c>
      <c r="O147" s="94">
        <f>IF(O$132=1,Calculations!O170," ")</f>
        <v>5487.8048780487807</v>
      </c>
      <c r="P147" s="94">
        <f>IF(P$132=1,Calculations!P170," ")</f>
        <v>5487.8048780487807</v>
      </c>
      <c r="Q147" s="94">
        <f>IF(Q$132=1,Calculations!Q170," ")</f>
        <v>5487.8048780487807</v>
      </c>
      <c r="R147" s="94">
        <f>IF(R$132=1,Calculations!R170," ")</f>
        <v>5487.8048780487807</v>
      </c>
      <c r="S147" s="94">
        <f>IF(S$132=1,Calculations!S170," ")</f>
        <v>5487.8048780487807</v>
      </c>
      <c r="T147" s="94">
        <f>IF(T$132=1,Calculations!T170," ")</f>
        <v>5487.8048780487807</v>
      </c>
      <c r="U147" s="94">
        <f>IF(U$132=1,Calculations!U170," ")</f>
        <v>5487.8048780487807</v>
      </c>
      <c r="V147" s="94">
        <f>IF(V$132=1,Calculations!V170," ")</f>
        <v>5487.8048780487807</v>
      </c>
      <c r="W147" s="94">
        <f>IF(W$132=1,Calculations!W170," ")</f>
        <v>5487.8048780487807</v>
      </c>
      <c r="X147" s="94">
        <f>IF(X$132=1,Calculations!X170," ")</f>
        <v>5487.8048780487807</v>
      </c>
      <c r="Y147" s="94">
        <f>IF(Y$132=1,Calculations!Y170," ")</f>
        <v>5487.8048780487807</v>
      </c>
      <c r="Z147" s="94">
        <f>IF(Z$132=1,Calculations!Z170," ")</f>
        <v>5487.8048780487807</v>
      </c>
      <c r="AA147" s="94">
        <f>IF(AA$132=1,Calculations!AA170," ")</f>
        <v>5487.8048780487807</v>
      </c>
      <c r="AB147" s="94">
        <f>IF(AB$132=1,Calculations!AB170," ")</f>
        <v>5487.8048780487807</v>
      </c>
      <c r="AC147" s="94">
        <f>IF(AC$132=1,Calculations!AC170," ")</f>
        <v>5487.8048780487807</v>
      </c>
      <c r="AD147" s="94">
        <f>IF(AD$132=1,Calculations!AD170," ")</f>
        <v>5487.8048780487807</v>
      </c>
      <c r="AE147" s="94">
        <f>IF(AE$132=1,Calculations!AE170," ")</f>
        <v>5487.8048780487807</v>
      </c>
      <c r="AF147" s="94">
        <f>IF(AF$132=1,Calculations!AF170," ")</f>
        <v>5487.8048780487807</v>
      </c>
      <c r="AG147" s="94">
        <f>IF(AG$132=1,Calculations!AG170," ")</f>
        <v>5487.8048780487807</v>
      </c>
      <c r="AH147" s="94">
        <f>IF(AH$132=1,Calculations!AH170," ")</f>
        <v>5487.8048780487807</v>
      </c>
    </row>
    <row r="148" spans="1:34" s="412" customFormat="1" x14ac:dyDescent="0.2">
      <c r="A148" s="18"/>
      <c r="B148" s="80" t="str">
        <f>'Assumptions - Freight'!E120</f>
        <v>Commodity 5</v>
      </c>
      <c r="C148" s="80"/>
      <c r="D148" s="80"/>
      <c r="E148" s="94">
        <f>IF(E$132=1,Calculations!E171,0)</f>
        <v>4878.0487804878048</v>
      </c>
      <c r="F148" s="94">
        <f>IF(F$132=1,Calculations!F171,0)</f>
        <v>4878.0487804878048</v>
      </c>
      <c r="G148" s="94">
        <f>IF(G$132=1,Calculations!G171,0)</f>
        <v>4878.0487804878048</v>
      </c>
      <c r="H148" s="94">
        <f>IF(H$132=1,Calculations!H171,0)</f>
        <v>4878.0487804878048</v>
      </c>
      <c r="I148" s="94">
        <f>IF(I$132=1,Calculations!I171,0)</f>
        <v>4878.0487804878048</v>
      </c>
      <c r="J148" s="94">
        <f>IF(J$132=1,Calculations!J171," ")</f>
        <v>4878.0487804878048</v>
      </c>
      <c r="K148" s="94">
        <f>IF(K$132=1,Calculations!K171," ")</f>
        <v>5487.8048780487807</v>
      </c>
      <c r="L148" s="94">
        <f>IF(L$132=1,Calculations!L171," ")</f>
        <v>5487.8048780487807</v>
      </c>
      <c r="M148" s="94">
        <f>IF(M$132=1,Calculations!M171," ")</f>
        <v>5487.8048780487807</v>
      </c>
      <c r="N148" s="94">
        <f>IF(N$132=1,Calculations!N171," ")</f>
        <v>5487.8048780487807</v>
      </c>
      <c r="O148" s="94">
        <f>IF(O$132=1,Calculations!O171," ")</f>
        <v>5487.8048780487807</v>
      </c>
      <c r="P148" s="94">
        <f>IF(P$132=1,Calculations!P171," ")</f>
        <v>5487.8048780487807</v>
      </c>
      <c r="Q148" s="94">
        <f>IF(Q$132=1,Calculations!Q171," ")</f>
        <v>5487.8048780487807</v>
      </c>
      <c r="R148" s="94">
        <f>IF(R$132=1,Calculations!R171," ")</f>
        <v>5487.8048780487807</v>
      </c>
      <c r="S148" s="94">
        <f>IF(S$132=1,Calculations!S171," ")</f>
        <v>5487.8048780487807</v>
      </c>
      <c r="T148" s="94">
        <f>IF(T$132=1,Calculations!T171," ")</f>
        <v>5487.8048780487807</v>
      </c>
      <c r="U148" s="94">
        <f>IF(U$132=1,Calculations!U171," ")</f>
        <v>5487.8048780487807</v>
      </c>
      <c r="V148" s="94">
        <f>IF(V$132=1,Calculations!V171," ")</f>
        <v>5487.8048780487807</v>
      </c>
      <c r="W148" s="94">
        <f>IF(W$132=1,Calculations!W171," ")</f>
        <v>5487.8048780487807</v>
      </c>
      <c r="X148" s="94">
        <f>IF(X$132=1,Calculations!X171," ")</f>
        <v>5487.8048780487807</v>
      </c>
      <c r="Y148" s="94">
        <f>IF(Y$132=1,Calculations!Y171," ")</f>
        <v>5487.8048780487807</v>
      </c>
      <c r="Z148" s="94">
        <f>IF(Z$132=1,Calculations!Z171," ")</f>
        <v>5487.8048780487807</v>
      </c>
      <c r="AA148" s="94">
        <f>IF(AA$132=1,Calculations!AA171," ")</f>
        <v>5487.8048780487807</v>
      </c>
      <c r="AB148" s="94">
        <f>IF(AB$132=1,Calculations!AB171," ")</f>
        <v>5487.8048780487807</v>
      </c>
      <c r="AC148" s="94">
        <f>IF(AC$132=1,Calculations!AC171," ")</f>
        <v>5487.8048780487807</v>
      </c>
      <c r="AD148" s="94">
        <f>IF(AD$132=1,Calculations!AD171," ")</f>
        <v>5487.8048780487807</v>
      </c>
      <c r="AE148" s="94">
        <f>IF(AE$132=1,Calculations!AE171," ")</f>
        <v>5487.8048780487807</v>
      </c>
      <c r="AF148" s="94">
        <f>IF(AF$132=1,Calculations!AF171," ")</f>
        <v>5487.8048780487807</v>
      </c>
      <c r="AG148" s="94">
        <f>IF(AG$132=1,Calculations!AG171," ")</f>
        <v>5487.8048780487807</v>
      </c>
      <c r="AH148" s="94">
        <f>IF(AH$132=1,Calculations!AH171," ")</f>
        <v>5487.8048780487807</v>
      </c>
    </row>
    <row r="149" spans="1:34" s="412" customFormat="1" x14ac:dyDescent="0.2">
      <c r="A149" s="18"/>
      <c r="B149" s="80" t="str">
        <f>'Assumptions - Freight'!E121</f>
        <v>Commodity 6</v>
      </c>
      <c r="C149" s="80"/>
      <c r="D149" s="80"/>
      <c r="E149" s="94">
        <f>IF(E$132=1,Calculations!E172,0)</f>
        <v>4878.0487804878048</v>
      </c>
      <c r="F149" s="94">
        <f>IF(F$132=1,Calculations!F172,0)</f>
        <v>4878.0487804878048</v>
      </c>
      <c r="G149" s="94">
        <f>IF(G$132=1,Calculations!G172,0)</f>
        <v>4878.0487804878048</v>
      </c>
      <c r="H149" s="94">
        <f>IF(H$132=1,Calculations!H172,0)</f>
        <v>4878.0487804878048</v>
      </c>
      <c r="I149" s="94">
        <f>IF(I$132=1,Calculations!I172,0)</f>
        <v>4878.0487804878048</v>
      </c>
      <c r="J149" s="94">
        <f>IF(J$132=1,Calculations!J172," ")</f>
        <v>4878.0487804878048</v>
      </c>
      <c r="K149" s="94">
        <f>IF(K$132=1,Calculations!K172," ")</f>
        <v>5487.8048780487807</v>
      </c>
      <c r="L149" s="94">
        <f>IF(L$132=1,Calculations!L172," ")</f>
        <v>5487.8048780487807</v>
      </c>
      <c r="M149" s="94">
        <f>IF(M$132=1,Calculations!M172," ")</f>
        <v>5487.8048780487807</v>
      </c>
      <c r="N149" s="94">
        <f>IF(N$132=1,Calculations!N172," ")</f>
        <v>5487.8048780487807</v>
      </c>
      <c r="O149" s="94">
        <f>IF(O$132=1,Calculations!O172," ")</f>
        <v>5487.8048780487807</v>
      </c>
      <c r="P149" s="94">
        <f>IF(P$132=1,Calculations!P172," ")</f>
        <v>5487.8048780487807</v>
      </c>
      <c r="Q149" s="94">
        <f>IF(Q$132=1,Calculations!Q172," ")</f>
        <v>5487.8048780487807</v>
      </c>
      <c r="R149" s="94">
        <f>IF(R$132=1,Calculations!R172," ")</f>
        <v>5487.8048780487807</v>
      </c>
      <c r="S149" s="94">
        <f>IF(S$132=1,Calculations!S172," ")</f>
        <v>5487.8048780487807</v>
      </c>
      <c r="T149" s="94">
        <f>IF(T$132=1,Calculations!T172," ")</f>
        <v>5487.8048780487807</v>
      </c>
      <c r="U149" s="94">
        <f>IF(U$132=1,Calculations!U172," ")</f>
        <v>5487.8048780487807</v>
      </c>
      <c r="V149" s="94">
        <f>IF(V$132=1,Calculations!V172," ")</f>
        <v>5487.8048780487807</v>
      </c>
      <c r="W149" s="94">
        <f>IF(W$132=1,Calculations!W172," ")</f>
        <v>5487.8048780487807</v>
      </c>
      <c r="X149" s="94">
        <f>IF(X$132=1,Calculations!X172," ")</f>
        <v>5487.8048780487807</v>
      </c>
      <c r="Y149" s="94">
        <f>IF(Y$132=1,Calculations!Y172," ")</f>
        <v>5487.8048780487807</v>
      </c>
      <c r="Z149" s="94">
        <f>IF(Z$132=1,Calculations!Z172," ")</f>
        <v>5487.8048780487807</v>
      </c>
      <c r="AA149" s="94">
        <f>IF(AA$132=1,Calculations!AA172," ")</f>
        <v>5487.8048780487807</v>
      </c>
      <c r="AB149" s="94">
        <f>IF(AB$132=1,Calculations!AB172," ")</f>
        <v>5487.8048780487807</v>
      </c>
      <c r="AC149" s="94">
        <f>IF(AC$132=1,Calculations!AC172," ")</f>
        <v>5487.8048780487807</v>
      </c>
      <c r="AD149" s="94">
        <f>IF(AD$132=1,Calculations!AD172," ")</f>
        <v>5487.8048780487807</v>
      </c>
      <c r="AE149" s="94">
        <f>IF(AE$132=1,Calculations!AE172," ")</f>
        <v>5487.8048780487807</v>
      </c>
      <c r="AF149" s="94">
        <f>IF(AF$132=1,Calculations!AF172," ")</f>
        <v>5487.8048780487807</v>
      </c>
      <c r="AG149" s="94">
        <f>IF(AG$132=1,Calculations!AG172," ")</f>
        <v>5487.8048780487807</v>
      </c>
      <c r="AH149" s="94">
        <f>IF(AH$132=1,Calculations!AH172," ")</f>
        <v>5487.8048780487807</v>
      </c>
    </row>
    <row r="150" spans="1:34" s="412" customFormat="1" x14ac:dyDescent="0.2">
      <c r="A150" s="18"/>
      <c r="B150" s="80" t="str">
        <f>'Assumptions - Freight'!E122</f>
        <v>Commodity 7</v>
      </c>
      <c r="C150" s="80"/>
      <c r="D150" s="80"/>
      <c r="E150" s="94">
        <f>IF(E$132=1,Calculations!E173,0)</f>
        <v>4878.0487804878048</v>
      </c>
      <c r="F150" s="94">
        <f>IF(F$132=1,Calculations!F173,0)</f>
        <v>4878.0487804878048</v>
      </c>
      <c r="G150" s="94">
        <f>IF(G$132=1,Calculations!G173,0)</f>
        <v>4878.0487804878048</v>
      </c>
      <c r="H150" s="94">
        <f>IF(H$132=1,Calculations!H173,0)</f>
        <v>4878.0487804878048</v>
      </c>
      <c r="I150" s="94">
        <f>IF(I$132=1,Calculations!I173,0)</f>
        <v>4878.0487804878048</v>
      </c>
      <c r="J150" s="94">
        <f>IF(J$132=1,Calculations!J173," ")</f>
        <v>4878.0487804878048</v>
      </c>
      <c r="K150" s="94">
        <f>IF(K$132=1,Calculations!K173," ")</f>
        <v>5487.8048780487807</v>
      </c>
      <c r="L150" s="94">
        <f>IF(L$132=1,Calculations!L173," ")</f>
        <v>5487.8048780487807</v>
      </c>
      <c r="M150" s="94">
        <f>IF(M$132=1,Calculations!M173," ")</f>
        <v>5487.8048780487807</v>
      </c>
      <c r="N150" s="94">
        <f>IF(N$132=1,Calculations!N173," ")</f>
        <v>5487.8048780487807</v>
      </c>
      <c r="O150" s="94">
        <f>IF(O$132=1,Calculations!O173," ")</f>
        <v>5487.8048780487807</v>
      </c>
      <c r="P150" s="94">
        <f>IF(P$132=1,Calculations!P173," ")</f>
        <v>5487.8048780487807</v>
      </c>
      <c r="Q150" s="94">
        <f>IF(Q$132=1,Calculations!Q173," ")</f>
        <v>5487.8048780487807</v>
      </c>
      <c r="R150" s="94">
        <f>IF(R$132=1,Calculations!R173," ")</f>
        <v>5487.8048780487807</v>
      </c>
      <c r="S150" s="94">
        <f>IF(S$132=1,Calculations!S173," ")</f>
        <v>5487.8048780487807</v>
      </c>
      <c r="T150" s="94">
        <f>IF(T$132=1,Calculations!T173," ")</f>
        <v>5487.8048780487807</v>
      </c>
      <c r="U150" s="94">
        <f>IF(U$132=1,Calculations!U173," ")</f>
        <v>5487.8048780487807</v>
      </c>
      <c r="V150" s="94">
        <f>IF(V$132=1,Calculations!V173," ")</f>
        <v>5487.8048780487807</v>
      </c>
      <c r="W150" s="94">
        <f>IF(W$132=1,Calculations!W173," ")</f>
        <v>5487.8048780487807</v>
      </c>
      <c r="X150" s="94">
        <f>IF(X$132=1,Calculations!X173," ")</f>
        <v>5487.8048780487807</v>
      </c>
      <c r="Y150" s="94">
        <f>IF(Y$132=1,Calculations!Y173," ")</f>
        <v>5487.8048780487807</v>
      </c>
      <c r="Z150" s="94">
        <f>IF(Z$132=1,Calculations!Z173," ")</f>
        <v>5487.8048780487807</v>
      </c>
      <c r="AA150" s="94">
        <f>IF(AA$132=1,Calculations!AA173," ")</f>
        <v>5487.8048780487807</v>
      </c>
      <c r="AB150" s="94">
        <f>IF(AB$132=1,Calculations!AB173," ")</f>
        <v>5487.8048780487807</v>
      </c>
      <c r="AC150" s="94">
        <f>IF(AC$132=1,Calculations!AC173," ")</f>
        <v>5487.8048780487807</v>
      </c>
      <c r="AD150" s="94">
        <f>IF(AD$132=1,Calculations!AD173," ")</f>
        <v>5487.8048780487807</v>
      </c>
      <c r="AE150" s="94">
        <f>IF(AE$132=1,Calculations!AE173," ")</f>
        <v>5487.8048780487807</v>
      </c>
      <c r="AF150" s="94">
        <f>IF(AF$132=1,Calculations!AF173," ")</f>
        <v>5487.8048780487807</v>
      </c>
      <c r="AG150" s="94">
        <f>IF(AG$132=1,Calculations!AG173," ")</f>
        <v>5487.8048780487807</v>
      </c>
      <c r="AH150" s="94">
        <f>IF(AH$132=1,Calculations!AH173," ")</f>
        <v>5487.8048780487807</v>
      </c>
    </row>
    <row r="151" spans="1:34" s="412" customFormat="1" x14ac:dyDescent="0.2">
      <c r="A151" s="18"/>
      <c r="B151" s="80" t="str">
        <f>'Assumptions - Freight'!E123</f>
        <v>Commodity 8</v>
      </c>
      <c r="C151" s="80"/>
      <c r="D151" s="80"/>
      <c r="E151" s="94">
        <f>IF(E$132=1,Calculations!E174,0)</f>
        <v>4878.0487804878048</v>
      </c>
      <c r="F151" s="94">
        <f>IF(F$132=1,Calculations!F174,0)</f>
        <v>4878.0487804878048</v>
      </c>
      <c r="G151" s="94">
        <f>IF(G$132=1,Calculations!G174,0)</f>
        <v>4878.0487804878048</v>
      </c>
      <c r="H151" s="94">
        <f>IF(H$132=1,Calculations!H174,0)</f>
        <v>4878.0487804878048</v>
      </c>
      <c r="I151" s="94">
        <f>IF(I$132=1,Calculations!I174,0)</f>
        <v>4878.0487804878048</v>
      </c>
      <c r="J151" s="94">
        <f>IF(J$132=1,Calculations!J174," ")</f>
        <v>4878.0487804878048</v>
      </c>
      <c r="K151" s="94">
        <f>IF(K$132=1,Calculations!K174," ")</f>
        <v>5487.8048780487807</v>
      </c>
      <c r="L151" s="94">
        <f>IF(L$132=1,Calculations!L174," ")</f>
        <v>5487.8048780487807</v>
      </c>
      <c r="M151" s="94">
        <f>IF(M$132=1,Calculations!M174," ")</f>
        <v>5487.8048780487807</v>
      </c>
      <c r="N151" s="94">
        <f>IF(N$132=1,Calculations!N174," ")</f>
        <v>5487.8048780487807</v>
      </c>
      <c r="O151" s="94">
        <f>IF(O$132=1,Calculations!O174," ")</f>
        <v>5487.8048780487807</v>
      </c>
      <c r="P151" s="94">
        <f>IF(P$132=1,Calculations!P174," ")</f>
        <v>5487.8048780487807</v>
      </c>
      <c r="Q151" s="94">
        <f>IF(Q$132=1,Calculations!Q174," ")</f>
        <v>5487.8048780487807</v>
      </c>
      <c r="R151" s="94">
        <f>IF(R$132=1,Calculations!R174," ")</f>
        <v>5487.8048780487807</v>
      </c>
      <c r="S151" s="94">
        <f>IF(S$132=1,Calculations!S174," ")</f>
        <v>5487.8048780487807</v>
      </c>
      <c r="T151" s="94">
        <f>IF(T$132=1,Calculations!T174," ")</f>
        <v>5487.8048780487807</v>
      </c>
      <c r="U151" s="94">
        <f>IF(U$132=1,Calculations!U174," ")</f>
        <v>5487.8048780487807</v>
      </c>
      <c r="V151" s="94">
        <f>IF(V$132=1,Calculations!V174," ")</f>
        <v>5487.8048780487807</v>
      </c>
      <c r="W151" s="94">
        <f>IF(W$132=1,Calculations!W174," ")</f>
        <v>5487.8048780487807</v>
      </c>
      <c r="X151" s="94">
        <f>IF(X$132=1,Calculations!X174," ")</f>
        <v>5487.8048780487807</v>
      </c>
      <c r="Y151" s="94">
        <f>IF(Y$132=1,Calculations!Y174," ")</f>
        <v>5487.8048780487807</v>
      </c>
      <c r="Z151" s="94">
        <f>IF(Z$132=1,Calculations!Z174," ")</f>
        <v>5487.8048780487807</v>
      </c>
      <c r="AA151" s="94">
        <f>IF(AA$132=1,Calculations!AA174," ")</f>
        <v>5487.8048780487807</v>
      </c>
      <c r="AB151" s="94">
        <f>IF(AB$132=1,Calculations!AB174," ")</f>
        <v>5487.8048780487807</v>
      </c>
      <c r="AC151" s="94">
        <f>IF(AC$132=1,Calculations!AC174," ")</f>
        <v>5487.8048780487807</v>
      </c>
      <c r="AD151" s="94">
        <f>IF(AD$132=1,Calculations!AD174," ")</f>
        <v>5487.8048780487807</v>
      </c>
      <c r="AE151" s="94">
        <f>IF(AE$132=1,Calculations!AE174," ")</f>
        <v>5487.8048780487807</v>
      </c>
      <c r="AF151" s="94">
        <f>IF(AF$132=1,Calculations!AF174," ")</f>
        <v>5487.8048780487807</v>
      </c>
      <c r="AG151" s="94">
        <f>IF(AG$132=1,Calculations!AG174," ")</f>
        <v>5487.8048780487807</v>
      </c>
      <c r="AH151" s="94">
        <f>IF(AH$132=1,Calculations!AH174," ")</f>
        <v>5487.8048780487807</v>
      </c>
    </row>
    <row r="152" spans="1:34" s="412" customFormat="1" x14ac:dyDescent="0.2">
      <c r="A152" s="18"/>
      <c r="B152" s="80" t="str">
        <f>'Assumptions - Freight'!E124</f>
        <v>Commodity 9</v>
      </c>
      <c r="C152" s="80"/>
      <c r="D152" s="80"/>
      <c r="E152" s="94">
        <f>IF(E$132=1,Calculations!E175,0)</f>
        <v>4878.0487804878048</v>
      </c>
      <c r="F152" s="94">
        <f>IF(F$132=1,Calculations!F175,0)</f>
        <v>4878.0487804878048</v>
      </c>
      <c r="G152" s="94">
        <f>IF(G$132=1,Calculations!G175,0)</f>
        <v>4878.0487804878048</v>
      </c>
      <c r="H152" s="94">
        <f>IF(H$132=1,Calculations!H175,0)</f>
        <v>4878.0487804878048</v>
      </c>
      <c r="I152" s="94">
        <f>IF(I$132=1,Calculations!I175,0)</f>
        <v>4878.0487804878048</v>
      </c>
      <c r="J152" s="94">
        <f>IF(J$132=1,Calculations!J175," ")</f>
        <v>4878.0487804878048</v>
      </c>
      <c r="K152" s="94">
        <f>IF(K$132=1,Calculations!K175," ")</f>
        <v>5487.8048780487807</v>
      </c>
      <c r="L152" s="94">
        <f>IF(L$132=1,Calculations!L175," ")</f>
        <v>5487.8048780487807</v>
      </c>
      <c r="M152" s="94">
        <f>IF(M$132=1,Calculations!M175," ")</f>
        <v>5487.8048780487807</v>
      </c>
      <c r="N152" s="94">
        <f>IF(N$132=1,Calculations!N175," ")</f>
        <v>5487.8048780487807</v>
      </c>
      <c r="O152" s="94">
        <f>IF(O$132=1,Calculations!O175," ")</f>
        <v>5487.8048780487807</v>
      </c>
      <c r="P152" s="94">
        <f>IF(P$132=1,Calculations!P175," ")</f>
        <v>5487.8048780487807</v>
      </c>
      <c r="Q152" s="94">
        <f>IF(Q$132=1,Calculations!Q175," ")</f>
        <v>5487.8048780487807</v>
      </c>
      <c r="R152" s="94">
        <f>IF(R$132=1,Calculations!R175," ")</f>
        <v>5487.8048780487807</v>
      </c>
      <c r="S152" s="94">
        <f>IF(S$132=1,Calculations!S175," ")</f>
        <v>5487.8048780487807</v>
      </c>
      <c r="T152" s="94">
        <f>IF(T$132=1,Calculations!T175," ")</f>
        <v>5487.8048780487807</v>
      </c>
      <c r="U152" s="94">
        <f>IF(U$132=1,Calculations!U175," ")</f>
        <v>5487.8048780487807</v>
      </c>
      <c r="V152" s="94">
        <f>IF(V$132=1,Calculations!V175," ")</f>
        <v>5487.8048780487807</v>
      </c>
      <c r="W152" s="94">
        <f>IF(W$132=1,Calculations!W175," ")</f>
        <v>5487.8048780487807</v>
      </c>
      <c r="X152" s="94">
        <f>IF(X$132=1,Calculations!X175," ")</f>
        <v>5487.8048780487807</v>
      </c>
      <c r="Y152" s="94">
        <f>IF(Y$132=1,Calculations!Y175," ")</f>
        <v>5487.8048780487807</v>
      </c>
      <c r="Z152" s="94">
        <f>IF(Z$132=1,Calculations!Z175," ")</f>
        <v>5487.8048780487807</v>
      </c>
      <c r="AA152" s="94">
        <f>IF(AA$132=1,Calculations!AA175," ")</f>
        <v>5487.8048780487807</v>
      </c>
      <c r="AB152" s="94">
        <f>IF(AB$132=1,Calculations!AB175," ")</f>
        <v>5487.8048780487807</v>
      </c>
      <c r="AC152" s="94">
        <f>IF(AC$132=1,Calculations!AC175," ")</f>
        <v>5487.8048780487807</v>
      </c>
      <c r="AD152" s="94">
        <f>IF(AD$132=1,Calculations!AD175," ")</f>
        <v>5487.8048780487807</v>
      </c>
      <c r="AE152" s="94">
        <f>IF(AE$132=1,Calculations!AE175," ")</f>
        <v>5487.8048780487807</v>
      </c>
      <c r="AF152" s="94">
        <f>IF(AF$132=1,Calculations!AF175," ")</f>
        <v>5487.8048780487807</v>
      </c>
      <c r="AG152" s="94">
        <f>IF(AG$132=1,Calculations!AG175," ")</f>
        <v>5487.8048780487807</v>
      </c>
      <c r="AH152" s="94">
        <f>IF(AH$132=1,Calculations!AH175," ")</f>
        <v>5487.8048780487807</v>
      </c>
    </row>
    <row r="153" spans="1:34" s="412" customFormat="1" x14ac:dyDescent="0.2">
      <c r="A153" s="18"/>
      <c r="B153" s="80" t="str">
        <f>'Assumptions - Freight'!E125</f>
        <v>Commodity 10</v>
      </c>
      <c r="C153" s="80"/>
      <c r="D153" s="80"/>
      <c r="E153" s="94">
        <f>IF(E$132=1,Calculations!E176,0)</f>
        <v>4878.0487804878048</v>
      </c>
      <c r="F153" s="94">
        <f>IF(F$132=1,Calculations!F176,0)</f>
        <v>4878.0487804878048</v>
      </c>
      <c r="G153" s="94">
        <f>IF(G$132=1,Calculations!G176,0)</f>
        <v>4878.0487804878048</v>
      </c>
      <c r="H153" s="94">
        <f>IF(H$132=1,Calculations!H176,0)</f>
        <v>4878.0487804878048</v>
      </c>
      <c r="I153" s="94">
        <f>IF(I$132=1,Calculations!I176,0)</f>
        <v>4878.0487804878048</v>
      </c>
      <c r="J153" s="94">
        <f>IF(J$132=1,Calculations!J176," ")</f>
        <v>4878.0487804878048</v>
      </c>
      <c r="K153" s="94">
        <f>IF(K$132=1,Calculations!K176," ")</f>
        <v>5487.8048780487807</v>
      </c>
      <c r="L153" s="94">
        <f>IF(L$132=1,Calculations!L176," ")</f>
        <v>5487.8048780487807</v>
      </c>
      <c r="M153" s="94">
        <f>IF(M$132=1,Calculations!M176," ")</f>
        <v>5487.8048780487807</v>
      </c>
      <c r="N153" s="94">
        <f>IF(N$132=1,Calculations!N176," ")</f>
        <v>5487.8048780487807</v>
      </c>
      <c r="O153" s="94">
        <f>IF(O$132=1,Calculations!O176," ")</f>
        <v>5487.8048780487807</v>
      </c>
      <c r="P153" s="94">
        <f>IF(P$132=1,Calculations!P176," ")</f>
        <v>5487.8048780487807</v>
      </c>
      <c r="Q153" s="94">
        <f>IF(Q$132=1,Calculations!Q176," ")</f>
        <v>5487.8048780487807</v>
      </c>
      <c r="R153" s="94">
        <f>IF(R$132=1,Calculations!R176," ")</f>
        <v>5487.8048780487807</v>
      </c>
      <c r="S153" s="94">
        <f>IF(S$132=1,Calculations!S176," ")</f>
        <v>5487.8048780487807</v>
      </c>
      <c r="T153" s="94">
        <f>IF(T$132=1,Calculations!T176," ")</f>
        <v>5487.8048780487807</v>
      </c>
      <c r="U153" s="94">
        <f>IF(U$132=1,Calculations!U176," ")</f>
        <v>5487.8048780487807</v>
      </c>
      <c r="V153" s="94">
        <f>IF(V$132=1,Calculations!V176," ")</f>
        <v>5487.8048780487807</v>
      </c>
      <c r="W153" s="94">
        <f>IF(W$132=1,Calculations!W176," ")</f>
        <v>5487.8048780487807</v>
      </c>
      <c r="X153" s="94">
        <f>IF(X$132=1,Calculations!X176," ")</f>
        <v>5487.8048780487807</v>
      </c>
      <c r="Y153" s="94">
        <f>IF(Y$132=1,Calculations!Y176," ")</f>
        <v>5487.8048780487807</v>
      </c>
      <c r="Z153" s="94">
        <f>IF(Z$132=1,Calculations!Z176," ")</f>
        <v>5487.8048780487807</v>
      </c>
      <c r="AA153" s="94">
        <f>IF(AA$132=1,Calculations!AA176," ")</f>
        <v>5487.8048780487807</v>
      </c>
      <c r="AB153" s="94">
        <f>IF(AB$132=1,Calculations!AB176," ")</f>
        <v>5487.8048780487807</v>
      </c>
      <c r="AC153" s="94">
        <f>IF(AC$132=1,Calculations!AC176," ")</f>
        <v>5487.8048780487807</v>
      </c>
      <c r="AD153" s="94">
        <f>IF(AD$132=1,Calculations!AD176," ")</f>
        <v>5487.8048780487807</v>
      </c>
      <c r="AE153" s="94">
        <f>IF(AE$132=1,Calculations!AE176," ")</f>
        <v>5487.8048780487807</v>
      </c>
      <c r="AF153" s="94">
        <f>IF(AF$132=1,Calculations!AF176," ")</f>
        <v>5487.8048780487807</v>
      </c>
      <c r="AG153" s="94">
        <f>IF(AG$132=1,Calculations!AG176," ")</f>
        <v>5487.8048780487807</v>
      </c>
      <c r="AH153" s="94">
        <f>IF(AH$132=1,Calculations!AH176," ")</f>
        <v>5487.8048780487807</v>
      </c>
    </row>
    <row r="154" spans="1:34" s="412" customFormat="1" x14ac:dyDescent="0.2">
      <c r="A154" s="18"/>
      <c r="B154" s="80" t="s">
        <v>297</v>
      </c>
      <c r="C154" s="80"/>
      <c r="D154" s="80"/>
      <c r="E154" s="128" t="str">
        <f>IF(E132=1,IF(($E143+SUM($F$132:$AH$132))=E143,(SUM(E144:E153)/SUM($E144:$E153))^(1/SUM($F$132:$AH$132))-1," "),0)</f>
        <v xml:space="preserve"> </v>
      </c>
      <c r="F154" s="128" t="str">
        <f t="shared" ref="F154:I154" si="5">IF(F132=1,IF(($E143+SUM($F$132:$AH$132))=F143,(SUM(F144:F153)/SUM($E144:$E153))^(1/SUM($F$132:$AH$132))-1," "),0)</f>
        <v xml:space="preserve"> </v>
      </c>
      <c r="G154" s="128" t="str">
        <f t="shared" si="5"/>
        <v xml:space="preserve"> </v>
      </c>
      <c r="H154" s="128" t="str">
        <f t="shared" si="5"/>
        <v xml:space="preserve"> </v>
      </c>
      <c r="I154" s="128" t="str">
        <f t="shared" si="5"/>
        <v xml:space="preserve"> </v>
      </c>
      <c r="J154" s="128" t="str">
        <f t="shared" ref="J154:AH154" si="6">IF(J132=1,IF(($E143+SUM($F$132:$AH$132))=J143,(SUM(J144:J153)/SUM($E144:$E153))^(1/SUM($F$132:$AH$132))-1," ")," ")</f>
        <v xml:space="preserve"> </v>
      </c>
      <c r="K154" s="128" t="str">
        <f t="shared" si="6"/>
        <v xml:space="preserve"> </v>
      </c>
      <c r="L154" s="128" t="str">
        <f t="shared" si="6"/>
        <v xml:space="preserve"> </v>
      </c>
      <c r="M154" s="128" t="str">
        <f t="shared" si="6"/>
        <v xml:space="preserve"> </v>
      </c>
      <c r="N154" s="128" t="str">
        <f t="shared" si="6"/>
        <v xml:space="preserve"> </v>
      </c>
      <c r="O154" s="128" t="str">
        <f t="shared" si="6"/>
        <v xml:space="preserve"> </v>
      </c>
      <c r="P154" s="128" t="str">
        <f t="shared" si="6"/>
        <v xml:space="preserve"> </v>
      </c>
      <c r="Q154" s="128" t="str">
        <f t="shared" si="6"/>
        <v xml:space="preserve"> </v>
      </c>
      <c r="R154" s="128" t="str">
        <f t="shared" si="6"/>
        <v xml:space="preserve"> </v>
      </c>
      <c r="S154" s="128" t="str">
        <f t="shared" si="6"/>
        <v xml:space="preserve"> </v>
      </c>
      <c r="T154" s="128" t="str">
        <f t="shared" si="6"/>
        <v xml:space="preserve"> </v>
      </c>
      <c r="U154" s="128" t="str">
        <f t="shared" si="6"/>
        <v xml:space="preserve"> </v>
      </c>
      <c r="V154" s="128" t="str">
        <f t="shared" si="6"/>
        <v xml:space="preserve"> </v>
      </c>
      <c r="W154" s="128" t="str">
        <f t="shared" si="6"/>
        <v xml:space="preserve"> </v>
      </c>
      <c r="X154" s="128" t="str">
        <f t="shared" si="6"/>
        <v xml:space="preserve"> </v>
      </c>
      <c r="Y154" s="128" t="str">
        <f t="shared" si="6"/>
        <v xml:space="preserve"> </v>
      </c>
      <c r="Z154" s="128" t="str">
        <f t="shared" si="6"/>
        <v xml:space="preserve"> </v>
      </c>
      <c r="AA154" s="128" t="str">
        <f t="shared" si="6"/>
        <v xml:space="preserve"> </v>
      </c>
      <c r="AB154" s="128" t="str">
        <f t="shared" si="6"/>
        <v xml:space="preserve"> </v>
      </c>
      <c r="AC154" s="128" t="str">
        <f t="shared" si="6"/>
        <v xml:space="preserve"> </v>
      </c>
      <c r="AD154" s="128" t="str">
        <f t="shared" si="6"/>
        <v xml:space="preserve"> </v>
      </c>
      <c r="AE154" s="128" t="str">
        <f t="shared" si="6"/>
        <v xml:space="preserve"> </v>
      </c>
      <c r="AF154" s="128" t="str">
        <f t="shared" si="6"/>
        <v xml:space="preserve"> </v>
      </c>
      <c r="AG154" s="128" t="str">
        <f t="shared" si="6"/>
        <v xml:space="preserve"> </v>
      </c>
      <c r="AH154" s="128">
        <f t="shared" si="6"/>
        <v>3.2151722025077767E-3</v>
      </c>
    </row>
    <row r="155" spans="1:34" s="412" customFormat="1" x14ac:dyDescent="0.2">
      <c r="A155" s="18"/>
      <c r="B155" s="80" t="s">
        <v>446</v>
      </c>
      <c r="C155" s="80"/>
      <c r="D155" s="80"/>
      <c r="E155" s="95">
        <f>IF(E132=1,'Assumptions - Freight'!E16,0)</f>
        <v>0.5</v>
      </c>
      <c r="F155" s="95">
        <f>IF(F132=1,'Assumptions - Freight'!F16,0)</f>
        <v>0.51</v>
      </c>
      <c r="G155" s="95">
        <f>IF(G132=1,'Assumptions - Freight'!G16,0)</f>
        <v>0.52</v>
      </c>
      <c r="H155" s="95">
        <f>IF(H132=1,'Assumptions - Freight'!H16,0)</f>
        <v>0.53</v>
      </c>
      <c r="I155" s="95">
        <f>IF(I132=1,'Assumptions - Freight'!I16,0)</f>
        <v>0.54</v>
      </c>
      <c r="J155" s="95">
        <f>IF(J132=1,'Assumptions - Freight'!J16," ")</f>
        <v>0.55000000000000004</v>
      </c>
      <c r="K155" s="95">
        <f>IF(K132=1,'Assumptions - Freight'!K16," ")</f>
        <v>0.56000000000000005</v>
      </c>
      <c r="L155" s="95">
        <f>IF(L132=1,'Assumptions - Freight'!L16," ")</f>
        <v>0.57000000000000006</v>
      </c>
      <c r="M155" s="95">
        <f>IF(M132=1,'Assumptions - Freight'!M16," ")</f>
        <v>0.58000000000000007</v>
      </c>
      <c r="N155" s="95">
        <f>IF(N132=1,'Assumptions - Freight'!N16," ")</f>
        <v>0.59000000000000008</v>
      </c>
      <c r="O155" s="95">
        <f>IF(O132=1,'Assumptions - Freight'!O16," ")</f>
        <v>0.60000000000000009</v>
      </c>
      <c r="P155" s="95">
        <f>IF(P132=1,'Assumptions - Freight'!P16," ")</f>
        <v>0.6100000000000001</v>
      </c>
      <c r="Q155" s="95">
        <f>IF(Q132=1,'Assumptions - Freight'!Q16," ")</f>
        <v>0.62000000000000011</v>
      </c>
      <c r="R155" s="95">
        <f>IF(R132=1,'Assumptions - Freight'!R16," ")</f>
        <v>0.63000000000000012</v>
      </c>
      <c r="S155" s="95">
        <f>IF(S132=1,'Assumptions - Freight'!S16," ")</f>
        <v>0.64000000000000012</v>
      </c>
      <c r="T155" s="95">
        <f>IF(T132=1,'Assumptions - Freight'!T16," ")</f>
        <v>0.65000000000000013</v>
      </c>
      <c r="U155" s="95">
        <f>IF(U132=1,'Assumptions - Freight'!U16," ")</f>
        <v>0.66000000000000014</v>
      </c>
      <c r="V155" s="95">
        <f>IF(V132=1,'Assumptions - Freight'!V16," ")</f>
        <v>0.67000000000000015</v>
      </c>
      <c r="W155" s="95">
        <f>IF(W132=1,'Assumptions - Freight'!W16," ")</f>
        <v>0.68000000000000016</v>
      </c>
      <c r="X155" s="95">
        <f>IF(X132=1,'Assumptions - Freight'!X16," ")</f>
        <v>0.69000000000000017</v>
      </c>
      <c r="Y155" s="95">
        <f>IF(Y132=1,'Assumptions - Freight'!Y16," ")</f>
        <v>0.70000000000000018</v>
      </c>
      <c r="Z155" s="95">
        <f>IF(Z132=1,'Assumptions - Freight'!Z16," ")</f>
        <v>0.71000000000000019</v>
      </c>
      <c r="AA155" s="95">
        <f>IF(AA132=1,'Assumptions - Freight'!AA16," ")</f>
        <v>0.7200000000000002</v>
      </c>
      <c r="AB155" s="95">
        <f>IF(AB132=1,'Assumptions - Freight'!AB16," ")</f>
        <v>0.7300000000000002</v>
      </c>
      <c r="AC155" s="95">
        <f>IF(AC132=1,'Assumptions - Freight'!AC16," ")</f>
        <v>0.74000000000000021</v>
      </c>
      <c r="AD155" s="95">
        <f>IF(AD132=1,'Assumptions - Freight'!AD16," ")</f>
        <v>0.75000000000000022</v>
      </c>
      <c r="AE155" s="95">
        <f>IF(AE132=1,'Assumptions - Freight'!AE16," ")</f>
        <v>0.76000000000000023</v>
      </c>
      <c r="AF155" s="95">
        <f>IF(AF132=1,'Assumptions - Freight'!AF16," ")</f>
        <v>0.77000000000000024</v>
      </c>
      <c r="AG155" s="95">
        <f>IF(AG132=1,'Assumptions - Freight'!AG16," ")</f>
        <v>0.78000000000000025</v>
      </c>
      <c r="AH155" s="95">
        <f>IF(AH132=1,'Assumptions - Freight'!AH16," ")</f>
        <v>0.79000000000000026</v>
      </c>
    </row>
    <row r="156" spans="1:34" s="412" customFormat="1" x14ac:dyDescent="0.2">
      <c r="A156" s="18"/>
      <c r="B156" s="80"/>
      <c r="C156" s="80"/>
      <c r="D156" s="80"/>
      <c r="E156" s="80"/>
      <c r="F156" s="80"/>
      <c r="G156" s="80"/>
      <c r="H156" s="80"/>
      <c r="I156" s="80"/>
      <c r="J156" s="80"/>
      <c r="K156" s="80"/>
      <c r="L156" s="80"/>
      <c r="M156" s="80"/>
      <c r="N156" s="80"/>
      <c r="O156" s="80"/>
      <c r="P156" s="80"/>
      <c r="Q156" s="80"/>
      <c r="R156" s="80"/>
      <c r="S156" s="80"/>
      <c r="T156" s="80"/>
      <c r="U156" s="80"/>
      <c r="V156" s="80"/>
      <c r="W156" s="80"/>
      <c r="X156" s="80"/>
      <c r="Y156" s="80"/>
      <c r="Z156" s="80"/>
      <c r="AA156" s="80"/>
      <c r="AB156" s="80"/>
      <c r="AC156" s="80"/>
      <c r="AD156" s="80"/>
      <c r="AE156" s="80"/>
      <c r="AF156" s="80"/>
      <c r="AG156" s="80"/>
      <c r="AH156" s="80"/>
    </row>
    <row r="157" spans="1:34" s="412" customFormat="1" x14ac:dyDescent="0.2">
      <c r="A157" s="18"/>
      <c r="B157" s="90" t="s">
        <v>438</v>
      </c>
      <c r="C157" s="80"/>
      <c r="D157" s="80"/>
      <c r="E157" s="80" t="s">
        <v>305</v>
      </c>
      <c r="F157" s="80" t="s">
        <v>306</v>
      </c>
      <c r="G157" s="80"/>
      <c r="H157" s="80"/>
      <c r="I157" s="80"/>
      <c r="J157" s="80"/>
      <c r="K157" s="80"/>
      <c r="L157" s="80"/>
      <c r="M157" s="80"/>
      <c r="N157" s="80"/>
      <c r="O157" s="80"/>
      <c r="P157" s="80"/>
      <c r="Q157" s="80"/>
      <c r="R157" s="80"/>
      <c r="S157" s="80"/>
      <c r="T157" s="80"/>
      <c r="U157" s="80"/>
      <c r="V157" s="80"/>
      <c r="W157" s="80"/>
      <c r="X157" s="80"/>
      <c r="Y157" s="80"/>
      <c r="Z157" s="80"/>
      <c r="AA157" s="80"/>
      <c r="AB157" s="80"/>
      <c r="AC157" s="80"/>
      <c r="AD157" s="80"/>
      <c r="AE157" s="80"/>
      <c r="AF157" s="80"/>
      <c r="AG157" s="80"/>
      <c r="AH157" s="80"/>
    </row>
    <row r="158" spans="1:34" s="412" customFormat="1" x14ac:dyDescent="0.2">
      <c r="A158" s="18"/>
      <c r="B158" s="80"/>
      <c r="C158" s="80"/>
      <c r="D158" s="80"/>
      <c r="E158" s="93">
        <f t="shared" ref="E158:AH158" si="7">YEAR(E$131)</f>
        <v>2010</v>
      </c>
      <c r="F158" s="93">
        <f t="shared" si="7"/>
        <v>2011</v>
      </c>
      <c r="G158" s="93">
        <f t="shared" si="7"/>
        <v>2012</v>
      </c>
      <c r="H158" s="93">
        <f t="shared" si="7"/>
        <v>2013</v>
      </c>
      <c r="I158" s="93">
        <f t="shared" si="7"/>
        <v>2014</v>
      </c>
      <c r="J158" s="93">
        <f t="shared" si="7"/>
        <v>2015</v>
      </c>
      <c r="K158" s="93">
        <f t="shared" si="7"/>
        <v>2016</v>
      </c>
      <c r="L158" s="93">
        <f t="shared" si="7"/>
        <v>2017</v>
      </c>
      <c r="M158" s="93">
        <f t="shared" si="7"/>
        <v>2018</v>
      </c>
      <c r="N158" s="93">
        <f t="shared" si="7"/>
        <v>2019</v>
      </c>
      <c r="O158" s="93">
        <f t="shared" si="7"/>
        <v>2020</v>
      </c>
      <c r="P158" s="93">
        <f t="shared" si="7"/>
        <v>2021</v>
      </c>
      <c r="Q158" s="93">
        <f t="shared" si="7"/>
        <v>2022</v>
      </c>
      <c r="R158" s="93">
        <f t="shared" si="7"/>
        <v>2023</v>
      </c>
      <c r="S158" s="93">
        <f t="shared" si="7"/>
        <v>2024</v>
      </c>
      <c r="T158" s="93">
        <f t="shared" si="7"/>
        <v>2025</v>
      </c>
      <c r="U158" s="93">
        <f t="shared" si="7"/>
        <v>2026</v>
      </c>
      <c r="V158" s="93">
        <f t="shared" si="7"/>
        <v>2027</v>
      </c>
      <c r="W158" s="93">
        <f t="shared" si="7"/>
        <v>2028</v>
      </c>
      <c r="X158" s="93">
        <f t="shared" si="7"/>
        <v>2029</v>
      </c>
      <c r="Y158" s="93">
        <f t="shared" si="7"/>
        <v>2030</v>
      </c>
      <c r="Z158" s="93">
        <f t="shared" si="7"/>
        <v>2031</v>
      </c>
      <c r="AA158" s="93">
        <f t="shared" si="7"/>
        <v>2032</v>
      </c>
      <c r="AB158" s="93">
        <f t="shared" si="7"/>
        <v>2033</v>
      </c>
      <c r="AC158" s="93">
        <f t="shared" si="7"/>
        <v>2034</v>
      </c>
      <c r="AD158" s="93">
        <f t="shared" si="7"/>
        <v>2035</v>
      </c>
      <c r="AE158" s="93">
        <f t="shared" si="7"/>
        <v>2036</v>
      </c>
      <c r="AF158" s="93">
        <f t="shared" si="7"/>
        <v>2037</v>
      </c>
      <c r="AG158" s="93">
        <f t="shared" si="7"/>
        <v>2038</v>
      </c>
      <c r="AH158" s="93">
        <f t="shared" si="7"/>
        <v>2039</v>
      </c>
    </row>
    <row r="159" spans="1:34" s="412" customFormat="1" x14ac:dyDescent="0.2">
      <c r="A159" s="18"/>
      <c r="B159" s="80" t="str">
        <f t="shared" ref="B159:B168" si="8">B144</f>
        <v>Commodity 1</v>
      </c>
      <c r="C159" s="80"/>
      <c r="D159" s="80"/>
      <c r="E159" s="94">
        <f>IF(E$132=1,IF('Assumptions - Freight'!$E$111=1,Calculations!E134,Calculations!E134*'Assumptions - Freight'!$E$113),0)</f>
        <v>4000</v>
      </c>
      <c r="F159" s="94">
        <f>IF(F$132=1,IF('Assumptions - Freight'!$E$111=1,Calculations!F134,Calculations!F134*'Assumptions - Freight'!$E$113),0)</f>
        <v>4000</v>
      </c>
      <c r="G159" s="94">
        <f>IF(G$132=1,IF('Assumptions - Freight'!$E$111=1,Calculations!G134,Calculations!G134*'Assumptions - Freight'!$E$113),0)</f>
        <v>4000</v>
      </c>
      <c r="H159" s="94">
        <f>IF(H$132=1,IF('Assumptions - Freight'!$E$111=1,Calculations!H134,Calculations!H134*'Assumptions - Freight'!$E$113),0)</f>
        <v>4000</v>
      </c>
      <c r="I159" s="94">
        <f>IF(I$132=1,IF('Assumptions - Freight'!$E$111=1,Calculations!I134,Calculations!I134*'Assumptions - Freight'!$E$113),0)</f>
        <v>4000</v>
      </c>
      <c r="J159" s="94">
        <f>IF(J$132=1,IF('Assumptions - Freight'!$E$111=1,Calculations!J134,Calculations!J134*'Assumptions - Freight'!$E$113)," ")</f>
        <v>4000</v>
      </c>
      <c r="K159" s="94">
        <f>IF(K$132=1,IF('Assumptions - Freight'!$E$111=1,Calculations!K134,Calculations!K134*'Assumptions - Freight'!$E$113)," ")</f>
        <v>4500</v>
      </c>
      <c r="L159" s="94">
        <f>IF(L$132=1,IF('Assumptions - Freight'!$E$111=1,Calculations!L134,Calculations!L134*'Assumptions - Freight'!$E$113)," ")</f>
        <v>4500</v>
      </c>
      <c r="M159" s="94">
        <f>IF(M$132=1,IF('Assumptions - Freight'!$E$111=1,Calculations!M134,Calculations!M134*'Assumptions - Freight'!$E$113)," ")</f>
        <v>4500</v>
      </c>
      <c r="N159" s="94">
        <f>IF(N$132=1,IF('Assumptions - Freight'!$E$111=1,Calculations!N134,Calculations!N134*'Assumptions - Freight'!$E$113)," ")</f>
        <v>4500</v>
      </c>
      <c r="O159" s="94">
        <f>IF(O$132=1,IF('Assumptions - Freight'!$E$111=1,Calculations!O134,Calculations!O134*'Assumptions - Freight'!$E$113)," ")</f>
        <v>4500</v>
      </c>
      <c r="P159" s="94">
        <f>IF(P$132=1,IF('Assumptions - Freight'!$E$111=1,Calculations!P134,Calculations!P134*'Assumptions - Freight'!$E$113)," ")</f>
        <v>4500</v>
      </c>
      <c r="Q159" s="94">
        <f>IF(Q$132=1,IF('Assumptions - Freight'!$E$111=1,Calculations!Q134,Calculations!Q134*'Assumptions - Freight'!$E$113)," ")</f>
        <v>4500</v>
      </c>
      <c r="R159" s="94">
        <f>IF(R$132=1,IF('Assumptions - Freight'!$E$111=1,Calculations!R134,Calculations!R134*'Assumptions - Freight'!$E$113)," ")</f>
        <v>4500</v>
      </c>
      <c r="S159" s="94">
        <f>IF(S$132=1,IF('Assumptions - Freight'!$E$111=1,Calculations!S134,Calculations!S134*'Assumptions - Freight'!$E$113)," ")</f>
        <v>4500</v>
      </c>
      <c r="T159" s="94">
        <f>IF(T$132=1,IF('Assumptions - Freight'!$E$111=1,Calculations!T134,Calculations!T134*'Assumptions - Freight'!$E$113)," ")</f>
        <v>4500</v>
      </c>
      <c r="U159" s="94">
        <f>IF(U$132=1,IF('Assumptions - Freight'!$E$111=1,Calculations!U134,Calculations!U134*'Assumptions - Freight'!$E$113)," ")</f>
        <v>4500</v>
      </c>
      <c r="V159" s="94">
        <f>IF(V$132=1,IF('Assumptions - Freight'!$E$111=1,Calculations!V134,Calculations!V134*'Assumptions - Freight'!$E$113)," ")</f>
        <v>4500</v>
      </c>
      <c r="W159" s="94">
        <f>IF(W$132=1,IF('Assumptions - Freight'!$E$111=1,Calculations!W134,Calculations!W134*'Assumptions - Freight'!$E$113)," ")</f>
        <v>4500</v>
      </c>
      <c r="X159" s="94">
        <f>IF(X$132=1,IF('Assumptions - Freight'!$E$111=1,Calculations!X134,Calculations!X134*'Assumptions - Freight'!$E$113)," ")</f>
        <v>4500</v>
      </c>
      <c r="Y159" s="94">
        <f>IF(Y$132=1,IF('Assumptions - Freight'!$E$111=1,Calculations!Y134,Calculations!Y134*'Assumptions - Freight'!$E$113)," ")</f>
        <v>4500</v>
      </c>
      <c r="Z159" s="94">
        <f>IF(Z$132=1,IF('Assumptions - Freight'!$E$111=1,Calculations!Z134,Calculations!Z134*'Assumptions - Freight'!$E$113)," ")</f>
        <v>4500</v>
      </c>
      <c r="AA159" s="94">
        <f>IF(AA$132=1,IF('Assumptions - Freight'!$E$111=1,Calculations!AA134,Calculations!AA134*'Assumptions - Freight'!$E$113)," ")</f>
        <v>4500</v>
      </c>
      <c r="AB159" s="94">
        <f>IF(AB$132=1,IF('Assumptions - Freight'!$E$111=1,Calculations!AB134,Calculations!AB134*'Assumptions - Freight'!$E$113)," ")</f>
        <v>4500</v>
      </c>
      <c r="AC159" s="94">
        <f>IF(AC$132=1,IF('Assumptions - Freight'!$E$111=1,Calculations!AC134,Calculations!AC134*'Assumptions - Freight'!$E$113)," ")</f>
        <v>4500</v>
      </c>
      <c r="AD159" s="94">
        <f>IF(AD$132=1,IF('Assumptions - Freight'!$E$111=1,Calculations!AD134,Calculations!AD134*'Assumptions - Freight'!$E$113)," ")</f>
        <v>4500</v>
      </c>
      <c r="AE159" s="94">
        <f>IF(AE$132=1,IF('Assumptions - Freight'!$E$111=1,Calculations!AE134,Calculations!AE134*'Assumptions - Freight'!$E$113)," ")</f>
        <v>4500</v>
      </c>
      <c r="AF159" s="94">
        <f>IF(AF$132=1,IF('Assumptions - Freight'!$E$111=1,Calculations!AF134,Calculations!AF134*'Assumptions - Freight'!$E$113)," ")</f>
        <v>4500</v>
      </c>
      <c r="AG159" s="94">
        <f>IF(AG$132=1,IF('Assumptions - Freight'!$E$111=1,Calculations!AG134,Calculations!AG134*'Assumptions - Freight'!$E$113)," ")</f>
        <v>4500</v>
      </c>
      <c r="AH159" s="94">
        <f>IF(AH$132=1,IF('Assumptions - Freight'!$E$111=1,Calculations!AH134,Calculations!AH134*'Assumptions - Freight'!$E$113)," ")</f>
        <v>4500</v>
      </c>
    </row>
    <row r="160" spans="1:34" s="412" customFormat="1" x14ac:dyDescent="0.2">
      <c r="A160" s="18"/>
      <c r="B160" s="80" t="str">
        <f t="shared" si="8"/>
        <v>Commodity 2</v>
      </c>
      <c r="C160" s="80"/>
      <c r="D160" s="80"/>
      <c r="E160" s="94">
        <f>IF(E$132=1,IF('Assumptions - Freight'!$E$111=1,Calculations!E135,Calculations!E135*'Assumptions - Freight'!$E$113),0)</f>
        <v>4000</v>
      </c>
      <c r="F160" s="94">
        <f>IF(F$132=1,IF('Assumptions - Freight'!$E$111=1,Calculations!F135,Calculations!F135*'Assumptions - Freight'!$E$113),0)</f>
        <v>4000</v>
      </c>
      <c r="G160" s="94">
        <f>IF(G$132=1,IF('Assumptions - Freight'!$E$111=1,Calculations!G135,Calculations!G135*'Assumptions - Freight'!$E$113),0)</f>
        <v>4000</v>
      </c>
      <c r="H160" s="94">
        <f>IF(H$132=1,IF('Assumptions - Freight'!$E$111=1,Calculations!H135,Calculations!H135*'Assumptions - Freight'!$E$113),0)</f>
        <v>4000</v>
      </c>
      <c r="I160" s="94">
        <f>IF(I$132=1,IF('Assumptions - Freight'!$E$111=1,Calculations!I135,Calculations!I135*'Assumptions - Freight'!$E$113),0)</f>
        <v>4000</v>
      </c>
      <c r="J160" s="94">
        <f>IF(J$132=1,IF('Assumptions - Freight'!$E$111=1,Calculations!J135,Calculations!J135*'Assumptions - Freight'!$E$113)," ")</f>
        <v>4000</v>
      </c>
      <c r="K160" s="94">
        <f>IF(K$132=1,IF('Assumptions - Freight'!$E$111=1,Calculations!K135,Calculations!K135*'Assumptions - Freight'!$E$113)," ")</f>
        <v>4500</v>
      </c>
      <c r="L160" s="94">
        <f>IF(L$132=1,IF('Assumptions - Freight'!$E$111=1,Calculations!L135,Calculations!L135*'Assumptions - Freight'!$E$113)," ")</f>
        <v>4500</v>
      </c>
      <c r="M160" s="94">
        <f>IF(M$132=1,IF('Assumptions - Freight'!$E$111=1,Calculations!M135,Calculations!M135*'Assumptions - Freight'!$E$113)," ")</f>
        <v>4500</v>
      </c>
      <c r="N160" s="94">
        <f>IF(N$132=1,IF('Assumptions - Freight'!$E$111=1,Calculations!N135,Calculations!N135*'Assumptions - Freight'!$E$113)," ")</f>
        <v>4500</v>
      </c>
      <c r="O160" s="94">
        <f>IF(O$132=1,IF('Assumptions - Freight'!$E$111=1,Calculations!O135,Calculations!O135*'Assumptions - Freight'!$E$113)," ")</f>
        <v>4500</v>
      </c>
      <c r="P160" s="94">
        <f>IF(P$132=1,IF('Assumptions - Freight'!$E$111=1,Calculations!P135,Calculations!P135*'Assumptions - Freight'!$E$113)," ")</f>
        <v>4500</v>
      </c>
      <c r="Q160" s="94">
        <f>IF(Q$132=1,IF('Assumptions - Freight'!$E$111=1,Calculations!Q135,Calculations!Q135*'Assumptions - Freight'!$E$113)," ")</f>
        <v>4500</v>
      </c>
      <c r="R160" s="94">
        <f>IF(R$132=1,IF('Assumptions - Freight'!$E$111=1,Calculations!R135,Calculations!R135*'Assumptions - Freight'!$E$113)," ")</f>
        <v>4500</v>
      </c>
      <c r="S160" s="94">
        <f>IF(S$132=1,IF('Assumptions - Freight'!$E$111=1,Calculations!S135,Calculations!S135*'Assumptions - Freight'!$E$113)," ")</f>
        <v>4500</v>
      </c>
      <c r="T160" s="94">
        <f>IF(T$132=1,IF('Assumptions - Freight'!$E$111=1,Calculations!T135,Calculations!T135*'Assumptions - Freight'!$E$113)," ")</f>
        <v>4500</v>
      </c>
      <c r="U160" s="94">
        <f>IF(U$132=1,IF('Assumptions - Freight'!$E$111=1,Calculations!U135,Calculations!U135*'Assumptions - Freight'!$E$113)," ")</f>
        <v>4500</v>
      </c>
      <c r="V160" s="94">
        <f>IF(V$132=1,IF('Assumptions - Freight'!$E$111=1,Calculations!V135,Calculations!V135*'Assumptions - Freight'!$E$113)," ")</f>
        <v>4500</v>
      </c>
      <c r="W160" s="94">
        <f>IF(W$132=1,IF('Assumptions - Freight'!$E$111=1,Calculations!W135,Calculations!W135*'Assumptions - Freight'!$E$113)," ")</f>
        <v>4500</v>
      </c>
      <c r="X160" s="94">
        <f>IF(X$132=1,IF('Assumptions - Freight'!$E$111=1,Calculations!X135,Calculations!X135*'Assumptions - Freight'!$E$113)," ")</f>
        <v>4500</v>
      </c>
      <c r="Y160" s="94">
        <f>IF(Y$132=1,IF('Assumptions - Freight'!$E$111=1,Calculations!Y135,Calculations!Y135*'Assumptions - Freight'!$E$113)," ")</f>
        <v>4500</v>
      </c>
      <c r="Z160" s="94">
        <f>IF(Z$132=1,IF('Assumptions - Freight'!$E$111=1,Calculations!Z135,Calculations!Z135*'Assumptions - Freight'!$E$113)," ")</f>
        <v>4500</v>
      </c>
      <c r="AA160" s="94">
        <f>IF(AA$132=1,IF('Assumptions - Freight'!$E$111=1,Calculations!AA135,Calculations!AA135*'Assumptions - Freight'!$E$113)," ")</f>
        <v>4500</v>
      </c>
      <c r="AB160" s="94">
        <f>IF(AB$132=1,IF('Assumptions - Freight'!$E$111=1,Calculations!AB135,Calculations!AB135*'Assumptions - Freight'!$E$113)," ")</f>
        <v>4500</v>
      </c>
      <c r="AC160" s="94">
        <f>IF(AC$132=1,IF('Assumptions - Freight'!$E$111=1,Calculations!AC135,Calculations!AC135*'Assumptions - Freight'!$E$113)," ")</f>
        <v>4500</v>
      </c>
      <c r="AD160" s="94">
        <f>IF(AD$132=1,IF('Assumptions - Freight'!$E$111=1,Calculations!AD135,Calculations!AD135*'Assumptions - Freight'!$E$113)," ")</f>
        <v>4500</v>
      </c>
      <c r="AE160" s="94">
        <f>IF(AE$132=1,IF('Assumptions - Freight'!$E$111=1,Calculations!AE135,Calculations!AE135*'Assumptions - Freight'!$E$113)," ")</f>
        <v>4500</v>
      </c>
      <c r="AF160" s="94">
        <f>IF(AF$132=1,IF('Assumptions - Freight'!$E$111=1,Calculations!AF135,Calculations!AF135*'Assumptions - Freight'!$E$113)," ")</f>
        <v>4500</v>
      </c>
      <c r="AG160" s="94">
        <f>IF(AG$132=1,IF('Assumptions - Freight'!$E$111=1,Calculations!AG135,Calculations!AG135*'Assumptions - Freight'!$E$113)," ")</f>
        <v>4500</v>
      </c>
      <c r="AH160" s="94">
        <f>IF(AH$132=1,IF('Assumptions - Freight'!$E$111=1,Calculations!AH135,Calculations!AH135*'Assumptions - Freight'!$E$113)," ")</f>
        <v>4500</v>
      </c>
    </row>
    <row r="161" spans="1:34" s="412" customFormat="1" x14ac:dyDescent="0.2">
      <c r="A161" s="18"/>
      <c r="B161" s="80" t="str">
        <f t="shared" si="8"/>
        <v>Commodity 3</v>
      </c>
      <c r="C161" s="80"/>
      <c r="D161" s="80"/>
      <c r="E161" s="94">
        <f>IF(E$132=1,IF('Assumptions - Freight'!$E$111=1,Calculations!E136,Calculations!E136*'Assumptions - Freight'!$E$113),0)</f>
        <v>5000</v>
      </c>
      <c r="F161" s="94">
        <f>IF(F$132=1,IF('Assumptions - Freight'!$E$111=1,Calculations!F136,Calculations!F136*'Assumptions - Freight'!$E$113),0)</f>
        <v>4000</v>
      </c>
      <c r="G161" s="94">
        <f>IF(G$132=1,IF('Assumptions - Freight'!$E$111=1,Calculations!G136,Calculations!G136*'Assumptions - Freight'!$E$113),0)</f>
        <v>4000</v>
      </c>
      <c r="H161" s="94">
        <f>IF(H$132=1,IF('Assumptions - Freight'!$E$111=1,Calculations!H136,Calculations!H136*'Assumptions - Freight'!$E$113),0)</f>
        <v>4000</v>
      </c>
      <c r="I161" s="94">
        <f>IF(I$132=1,IF('Assumptions - Freight'!$E$111=1,Calculations!I136,Calculations!I136*'Assumptions - Freight'!$E$113),0)</f>
        <v>4000</v>
      </c>
      <c r="J161" s="94">
        <f>IF(J$132=1,IF('Assumptions - Freight'!$E$111=1,Calculations!J136,Calculations!J136*'Assumptions - Freight'!$E$113)," ")</f>
        <v>4000</v>
      </c>
      <c r="K161" s="94">
        <f>IF(K$132=1,IF('Assumptions - Freight'!$E$111=1,Calculations!K136,Calculations!K136*'Assumptions - Freight'!$E$113)," ")</f>
        <v>4500</v>
      </c>
      <c r="L161" s="94">
        <f>IF(L$132=1,IF('Assumptions - Freight'!$E$111=1,Calculations!L136,Calculations!L136*'Assumptions - Freight'!$E$113)," ")</f>
        <v>4500</v>
      </c>
      <c r="M161" s="94">
        <f>IF(M$132=1,IF('Assumptions - Freight'!$E$111=1,Calculations!M136,Calculations!M136*'Assumptions - Freight'!$E$113)," ")</f>
        <v>4500</v>
      </c>
      <c r="N161" s="94">
        <f>IF(N$132=1,IF('Assumptions - Freight'!$E$111=1,Calculations!N136,Calculations!N136*'Assumptions - Freight'!$E$113)," ")</f>
        <v>4500</v>
      </c>
      <c r="O161" s="94">
        <f>IF(O$132=1,IF('Assumptions - Freight'!$E$111=1,Calculations!O136,Calculations!O136*'Assumptions - Freight'!$E$113)," ")</f>
        <v>4500</v>
      </c>
      <c r="P161" s="94">
        <f>IF(P$132=1,IF('Assumptions - Freight'!$E$111=1,Calculations!P136,Calculations!P136*'Assumptions - Freight'!$E$113)," ")</f>
        <v>4500</v>
      </c>
      <c r="Q161" s="94">
        <f>IF(Q$132=1,IF('Assumptions - Freight'!$E$111=1,Calculations!Q136,Calculations!Q136*'Assumptions - Freight'!$E$113)," ")</f>
        <v>4500</v>
      </c>
      <c r="R161" s="94">
        <f>IF(R$132=1,IF('Assumptions - Freight'!$E$111=1,Calculations!R136,Calculations!R136*'Assumptions - Freight'!$E$113)," ")</f>
        <v>4500</v>
      </c>
      <c r="S161" s="94">
        <f>IF(S$132=1,IF('Assumptions - Freight'!$E$111=1,Calculations!S136,Calculations!S136*'Assumptions - Freight'!$E$113)," ")</f>
        <v>4500</v>
      </c>
      <c r="T161" s="94">
        <f>IF(T$132=1,IF('Assumptions - Freight'!$E$111=1,Calculations!T136,Calculations!T136*'Assumptions - Freight'!$E$113)," ")</f>
        <v>4500</v>
      </c>
      <c r="U161" s="94">
        <f>IF(U$132=1,IF('Assumptions - Freight'!$E$111=1,Calculations!U136,Calculations!U136*'Assumptions - Freight'!$E$113)," ")</f>
        <v>4500</v>
      </c>
      <c r="V161" s="94">
        <f>IF(V$132=1,IF('Assumptions - Freight'!$E$111=1,Calculations!V136,Calculations!V136*'Assumptions - Freight'!$E$113)," ")</f>
        <v>4500</v>
      </c>
      <c r="W161" s="94">
        <f>IF(W$132=1,IF('Assumptions - Freight'!$E$111=1,Calculations!W136,Calculations!W136*'Assumptions - Freight'!$E$113)," ")</f>
        <v>4500</v>
      </c>
      <c r="X161" s="94">
        <f>IF(X$132=1,IF('Assumptions - Freight'!$E$111=1,Calculations!X136,Calculations!X136*'Assumptions - Freight'!$E$113)," ")</f>
        <v>4500</v>
      </c>
      <c r="Y161" s="94">
        <f>IF(Y$132=1,IF('Assumptions - Freight'!$E$111=1,Calculations!Y136,Calculations!Y136*'Assumptions - Freight'!$E$113)," ")</f>
        <v>4500</v>
      </c>
      <c r="Z161" s="94">
        <f>IF(Z$132=1,IF('Assumptions - Freight'!$E$111=1,Calculations!Z136,Calculations!Z136*'Assumptions - Freight'!$E$113)," ")</f>
        <v>4500</v>
      </c>
      <c r="AA161" s="94">
        <f>IF(AA$132=1,IF('Assumptions - Freight'!$E$111=1,Calculations!AA136,Calculations!AA136*'Assumptions - Freight'!$E$113)," ")</f>
        <v>4500</v>
      </c>
      <c r="AB161" s="94">
        <f>IF(AB$132=1,IF('Assumptions - Freight'!$E$111=1,Calculations!AB136,Calculations!AB136*'Assumptions - Freight'!$E$113)," ")</f>
        <v>4500</v>
      </c>
      <c r="AC161" s="94">
        <f>IF(AC$132=1,IF('Assumptions - Freight'!$E$111=1,Calculations!AC136,Calculations!AC136*'Assumptions - Freight'!$E$113)," ")</f>
        <v>4500</v>
      </c>
      <c r="AD161" s="94">
        <f>IF(AD$132=1,IF('Assumptions - Freight'!$E$111=1,Calculations!AD136,Calculations!AD136*'Assumptions - Freight'!$E$113)," ")</f>
        <v>4500</v>
      </c>
      <c r="AE161" s="94">
        <f>IF(AE$132=1,IF('Assumptions - Freight'!$E$111=1,Calculations!AE136,Calculations!AE136*'Assumptions - Freight'!$E$113)," ")</f>
        <v>4500</v>
      </c>
      <c r="AF161" s="94">
        <f>IF(AF$132=1,IF('Assumptions - Freight'!$E$111=1,Calculations!AF136,Calculations!AF136*'Assumptions - Freight'!$E$113)," ")</f>
        <v>4500</v>
      </c>
      <c r="AG161" s="94">
        <f>IF(AG$132=1,IF('Assumptions - Freight'!$E$111=1,Calculations!AG136,Calculations!AG136*'Assumptions - Freight'!$E$113)," ")</f>
        <v>4500</v>
      </c>
      <c r="AH161" s="94">
        <f>IF(AH$132=1,IF('Assumptions - Freight'!$E$111=1,Calculations!AH136,Calculations!AH136*'Assumptions - Freight'!$E$113)," ")</f>
        <v>4500</v>
      </c>
    </row>
    <row r="162" spans="1:34" s="412" customFormat="1" x14ac:dyDescent="0.2">
      <c r="A162" s="18"/>
      <c r="B162" s="80" t="str">
        <f t="shared" si="8"/>
        <v>Commodity 4</v>
      </c>
      <c r="C162" s="80"/>
      <c r="D162" s="80"/>
      <c r="E162" s="94">
        <f>IF(E$132=1,IF('Assumptions - Freight'!$E$111=1,Calculations!E137,Calculations!E137*'Assumptions - Freight'!$E$113),0)</f>
        <v>4000</v>
      </c>
      <c r="F162" s="94">
        <f>IF(F$132=1,IF('Assumptions - Freight'!$E$111=1,Calculations!F137,Calculations!F137*'Assumptions - Freight'!$E$113),0)</f>
        <v>4000</v>
      </c>
      <c r="G162" s="94">
        <f>IF(G$132=1,IF('Assumptions - Freight'!$E$111=1,Calculations!G137,Calculations!G137*'Assumptions - Freight'!$E$113),0)</f>
        <v>4000</v>
      </c>
      <c r="H162" s="94">
        <f>IF(H$132=1,IF('Assumptions - Freight'!$E$111=1,Calculations!H137,Calculations!H137*'Assumptions - Freight'!$E$113),0)</f>
        <v>4000</v>
      </c>
      <c r="I162" s="94">
        <f>IF(I$132=1,IF('Assumptions - Freight'!$E$111=1,Calculations!I137,Calculations!I137*'Assumptions - Freight'!$E$113),0)</f>
        <v>4000</v>
      </c>
      <c r="J162" s="94">
        <f>IF(J$132=1,IF('Assumptions - Freight'!$E$111=1,Calculations!J137,Calculations!J137*'Assumptions - Freight'!$E$113)," ")</f>
        <v>4000</v>
      </c>
      <c r="K162" s="94">
        <f>IF(K$132=1,IF('Assumptions - Freight'!$E$111=1,Calculations!K137,Calculations!K137*'Assumptions - Freight'!$E$113)," ")</f>
        <v>4500</v>
      </c>
      <c r="L162" s="94">
        <f>IF(L$132=1,IF('Assumptions - Freight'!$E$111=1,Calculations!L137,Calculations!L137*'Assumptions - Freight'!$E$113)," ")</f>
        <v>4500</v>
      </c>
      <c r="M162" s="94">
        <f>IF(M$132=1,IF('Assumptions - Freight'!$E$111=1,Calculations!M137,Calculations!M137*'Assumptions - Freight'!$E$113)," ")</f>
        <v>4500</v>
      </c>
      <c r="N162" s="94">
        <f>IF(N$132=1,IF('Assumptions - Freight'!$E$111=1,Calculations!N137,Calculations!N137*'Assumptions - Freight'!$E$113)," ")</f>
        <v>4500</v>
      </c>
      <c r="O162" s="94">
        <f>IF(O$132=1,IF('Assumptions - Freight'!$E$111=1,Calculations!O137,Calculations!O137*'Assumptions - Freight'!$E$113)," ")</f>
        <v>4500</v>
      </c>
      <c r="P162" s="94">
        <f>IF(P$132=1,IF('Assumptions - Freight'!$E$111=1,Calculations!P137,Calculations!P137*'Assumptions - Freight'!$E$113)," ")</f>
        <v>4500</v>
      </c>
      <c r="Q162" s="94">
        <f>IF(Q$132=1,IF('Assumptions - Freight'!$E$111=1,Calculations!Q137,Calculations!Q137*'Assumptions - Freight'!$E$113)," ")</f>
        <v>4500</v>
      </c>
      <c r="R162" s="94">
        <f>IF(R$132=1,IF('Assumptions - Freight'!$E$111=1,Calculations!R137,Calculations!R137*'Assumptions - Freight'!$E$113)," ")</f>
        <v>4500</v>
      </c>
      <c r="S162" s="94">
        <f>IF(S$132=1,IF('Assumptions - Freight'!$E$111=1,Calculations!S137,Calculations!S137*'Assumptions - Freight'!$E$113)," ")</f>
        <v>4500</v>
      </c>
      <c r="T162" s="94">
        <f>IF(T$132=1,IF('Assumptions - Freight'!$E$111=1,Calculations!T137,Calculations!T137*'Assumptions - Freight'!$E$113)," ")</f>
        <v>4500</v>
      </c>
      <c r="U162" s="94">
        <f>IF(U$132=1,IF('Assumptions - Freight'!$E$111=1,Calculations!U137,Calculations!U137*'Assumptions - Freight'!$E$113)," ")</f>
        <v>4500</v>
      </c>
      <c r="V162" s="94">
        <f>IF(V$132=1,IF('Assumptions - Freight'!$E$111=1,Calculations!V137,Calculations!V137*'Assumptions - Freight'!$E$113)," ")</f>
        <v>4500</v>
      </c>
      <c r="W162" s="94">
        <f>IF(W$132=1,IF('Assumptions - Freight'!$E$111=1,Calculations!W137,Calculations!W137*'Assumptions - Freight'!$E$113)," ")</f>
        <v>4500</v>
      </c>
      <c r="X162" s="94">
        <f>IF(X$132=1,IF('Assumptions - Freight'!$E$111=1,Calculations!X137,Calculations!X137*'Assumptions - Freight'!$E$113)," ")</f>
        <v>4500</v>
      </c>
      <c r="Y162" s="94">
        <f>IF(Y$132=1,IF('Assumptions - Freight'!$E$111=1,Calculations!Y137,Calculations!Y137*'Assumptions - Freight'!$E$113)," ")</f>
        <v>4500</v>
      </c>
      <c r="Z162" s="94">
        <f>IF(Z$132=1,IF('Assumptions - Freight'!$E$111=1,Calculations!Z137,Calculations!Z137*'Assumptions - Freight'!$E$113)," ")</f>
        <v>4500</v>
      </c>
      <c r="AA162" s="94">
        <f>IF(AA$132=1,IF('Assumptions - Freight'!$E$111=1,Calculations!AA137,Calculations!AA137*'Assumptions - Freight'!$E$113)," ")</f>
        <v>4500</v>
      </c>
      <c r="AB162" s="94">
        <f>IF(AB$132=1,IF('Assumptions - Freight'!$E$111=1,Calculations!AB137,Calculations!AB137*'Assumptions - Freight'!$E$113)," ")</f>
        <v>4500</v>
      </c>
      <c r="AC162" s="94">
        <f>IF(AC$132=1,IF('Assumptions - Freight'!$E$111=1,Calculations!AC137,Calculations!AC137*'Assumptions - Freight'!$E$113)," ")</f>
        <v>4500</v>
      </c>
      <c r="AD162" s="94">
        <f>IF(AD$132=1,IF('Assumptions - Freight'!$E$111=1,Calculations!AD137,Calculations!AD137*'Assumptions - Freight'!$E$113)," ")</f>
        <v>4500</v>
      </c>
      <c r="AE162" s="94">
        <f>IF(AE$132=1,IF('Assumptions - Freight'!$E$111=1,Calculations!AE137,Calculations!AE137*'Assumptions - Freight'!$E$113)," ")</f>
        <v>4500</v>
      </c>
      <c r="AF162" s="94">
        <f>IF(AF$132=1,IF('Assumptions - Freight'!$E$111=1,Calculations!AF137,Calculations!AF137*'Assumptions - Freight'!$E$113)," ")</f>
        <v>4500</v>
      </c>
      <c r="AG162" s="94">
        <f>IF(AG$132=1,IF('Assumptions - Freight'!$E$111=1,Calculations!AG137,Calculations!AG137*'Assumptions - Freight'!$E$113)," ")</f>
        <v>4500</v>
      </c>
      <c r="AH162" s="94">
        <f>IF(AH$132=1,IF('Assumptions - Freight'!$E$111=1,Calculations!AH137,Calculations!AH137*'Assumptions - Freight'!$E$113)," ")</f>
        <v>4500</v>
      </c>
    </row>
    <row r="163" spans="1:34" s="412" customFormat="1" x14ac:dyDescent="0.2">
      <c r="A163" s="18"/>
      <c r="B163" s="80" t="str">
        <f t="shared" si="8"/>
        <v>Commodity 5</v>
      </c>
      <c r="C163" s="80"/>
      <c r="D163" s="80"/>
      <c r="E163" s="94">
        <f>IF(E$132=1,IF('Assumptions - Freight'!$E$111=1,Calculations!E138,Calculations!E138*'Assumptions - Freight'!$E$113),0)</f>
        <v>4000</v>
      </c>
      <c r="F163" s="94">
        <f>IF(F$132=1,IF('Assumptions - Freight'!$E$111=1,Calculations!F138,Calculations!F138*'Assumptions - Freight'!$E$113),0)</f>
        <v>4000</v>
      </c>
      <c r="G163" s="94">
        <f>IF(G$132=1,IF('Assumptions - Freight'!$E$111=1,Calculations!G138,Calculations!G138*'Assumptions - Freight'!$E$113),0)</f>
        <v>4000</v>
      </c>
      <c r="H163" s="94">
        <f>IF(H$132=1,IF('Assumptions - Freight'!$E$111=1,Calculations!H138,Calculations!H138*'Assumptions - Freight'!$E$113),0)</f>
        <v>4000</v>
      </c>
      <c r="I163" s="94">
        <f>IF(I$132=1,IF('Assumptions - Freight'!$E$111=1,Calculations!I138,Calculations!I138*'Assumptions - Freight'!$E$113),0)</f>
        <v>4000</v>
      </c>
      <c r="J163" s="94">
        <f>IF(J$132=1,IF('Assumptions - Freight'!$E$111=1,Calculations!J138,Calculations!J138*'Assumptions - Freight'!$E$113)," ")</f>
        <v>4000</v>
      </c>
      <c r="K163" s="94">
        <f>IF(K$132=1,IF('Assumptions - Freight'!$E$111=1,Calculations!K138,Calculations!K138*'Assumptions - Freight'!$E$113)," ")</f>
        <v>4500</v>
      </c>
      <c r="L163" s="94">
        <f>IF(L$132=1,IF('Assumptions - Freight'!$E$111=1,Calculations!L138,Calculations!L138*'Assumptions - Freight'!$E$113)," ")</f>
        <v>4500</v>
      </c>
      <c r="M163" s="94">
        <f>IF(M$132=1,IF('Assumptions - Freight'!$E$111=1,Calculations!M138,Calculations!M138*'Assumptions - Freight'!$E$113)," ")</f>
        <v>4500</v>
      </c>
      <c r="N163" s="94">
        <f>IF(N$132=1,IF('Assumptions - Freight'!$E$111=1,Calculations!N138,Calculations!N138*'Assumptions - Freight'!$E$113)," ")</f>
        <v>4500</v>
      </c>
      <c r="O163" s="94">
        <f>IF(O$132=1,IF('Assumptions - Freight'!$E$111=1,Calculations!O138,Calculations!O138*'Assumptions - Freight'!$E$113)," ")</f>
        <v>4500</v>
      </c>
      <c r="P163" s="94">
        <f>IF(P$132=1,IF('Assumptions - Freight'!$E$111=1,Calculations!P138,Calculations!P138*'Assumptions - Freight'!$E$113)," ")</f>
        <v>4500</v>
      </c>
      <c r="Q163" s="94">
        <f>IF(Q$132=1,IF('Assumptions - Freight'!$E$111=1,Calculations!Q138,Calculations!Q138*'Assumptions - Freight'!$E$113)," ")</f>
        <v>4500</v>
      </c>
      <c r="R163" s="94">
        <f>IF(R$132=1,IF('Assumptions - Freight'!$E$111=1,Calculations!R138,Calculations!R138*'Assumptions - Freight'!$E$113)," ")</f>
        <v>4500</v>
      </c>
      <c r="S163" s="94">
        <f>IF(S$132=1,IF('Assumptions - Freight'!$E$111=1,Calculations!S138,Calculations!S138*'Assumptions - Freight'!$E$113)," ")</f>
        <v>4500</v>
      </c>
      <c r="T163" s="94">
        <f>IF(T$132=1,IF('Assumptions - Freight'!$E$111=1,Calculations!T138,Calculations!T138*'Assumptions - Freight'!$E$113)," ")</f>
        <v>4500</v>
      </c>
      <c r="U163" s="94">
        <f>IF(U$132=1,IF('Assumptions - Freight'!$E$111=1,Calculations!U138,Calculations!U138*'Assumptions - Freight'!$E$113)," ")</f>
        <v>4500</v>
      </c>
      <c r="V163" s="94">
        <f>IF(V$132=1,IF('Assumptions - Freight'!$E$111=1,Calculations!V138,Calculations!V138*'Assumptions - Freight'!$E$113)," ")</f>
        <v>4500</v>
      </c>
      <c r="W163" s="94">
        <f>IF(W$132=1,IF('Assumptions - Freight'!$E$111=1,Calculations!W138,Calculations!W138*'Assumptions - Freight'!$E$113)," ")</f>
        <v>4500</v>
      </c>
      <c r="X163" s="94">
        <f>IF(X$132=1,IF('Assumptions - Freight'!$E$111=1,Calculations!X138,Calculations!X138*'Assumptions - Freight'!$E$113)," ")</f>
        <v>4500</v>
      </c>
      <c r="Y163" s="94">
        <f>IF(Y$132=1,IF('Assumptions - Freight'!$E$111=1,Calculations!Y138,Calculations!Y138*'Assumptions - Freight'!$E$113)," ")</f>
        <v>4500</v>
      </c>
      <c r="Z163" s="94">
        <f>IF(Z$132=1,IF('Assumptions - Freight'!$E$111=1,Calculations!Z138,Calculations!Z138*'Assumptions - Freight'!$E$113)," ")</f>
        <v>4500</v>
      </c>
      <c r="AA163" s="94">
        <f>IF(AA$132=1,IF('Assumptions - Freight'!$E$111=1,Calculations!AA138,Calculations!AA138*'Assumptions - Freight'!$E$113)," ")</f>
        <v>4500</v>
      </c>
      <c r="AB163" s="94">
        <f>IF(AB$132=1,IF('Assumptions - Freight'!$E$111=1,Calculations!AB138,Calculations!AB138*'Assumptions - Freight'!$E$113)," ")</f>
        <v>4500</v>
      </c>
      <c r="AC163" s="94">
        <f>IF(AC$132=1,IF('Assumptions - Freight'!$E$111=1,Calculations!AC138,Calculations!AC138*'Assumptions - Freight'!$E$113)," ")</f>
        <v>4500</v>
      </c>
      <c r="AD163" s="94">
        <f>IF(AD$132=1,IF('Assumptions - Freight'!$E$111=1,Calculations!AD138,Calculations!AD138*'Assumptions - Freight'!$E$113)," ")</f>
        <v>4500</v>
      </c>
      <c r="AE163" s="94">
        <f>IF(AE$132=1,IF('Assumptions - Freight'!$E$111=1,Calculations!AE138,Calculations!AE138*'Assumptions - Freight'!$E$113)," ")</f>
        <v>4500</v>
      </c>
      <c r="AF163" s="94">
        <f>IF(AF$132=1,IF('Assumptions - Freight'!$E$111=1,Calculations!AF138,Calculations!AF138*'Assumptions - Freight'!$E$113)," ")</f>
        <v>4500</v>
      </c>
      <c r="AG163" s="94">
        <f>IF(AG$132=1,IF('Assumptions - Freight'!$E$111=1,Calculations!AG138,Calculations!AG138*'Assumptions - Freight'!$E$113)," ")</f>
        <v>4500</v>
      </c>
      <c r="AH163" s="94">
        <f>IF(AH$132=1,IF('Assumptions - Freight'!$E$111=1,Calculations!AH138,Calculations!AH138*'Assumptions - Freight'!$E$113)," ")</f>
        <v>4500</v>
      </c>
    </row>
    <row r="164" spans="1:34" s="412" customFormat="1" x14ac:dyDescent="0.2">
      <c r="A164" s="18"/>
      <c r="B164" s="80" t="str">
        <f t="shared" si="8"/>
        <v>Commodity 6</v>
      </c>
      <c r="C164" s="80"/>
      <c r="D164" s="80"/>
      <c r="E164" s="94">
        <f>IF(E$132=1,IF('Assumptions - Freight'!$E$111=1,Calculations!E139,Calculations!E139*'Assumptions - Freight'!$E$113),0)</f>
        <v>4000</v>
      </c>
      <c r="F164" s="94">
        <f>IF(F$132=1,IF('Assumptions - Freight'!$E$111=1,Calculations!F139,Calculations!F139*'Assumptions - Freight'!$E$113),0)</f>
        <v>4000</v>
      </c>
      <c r="G164" s="94">
        <f>IF(G$132=1,IF('Assumptions - Freight'!$E$111=1,Calculations!G139,Calculations!G139*'Assumptions - Freight'!$E$113),0)</f>
        <v>4000</v>
      </c>
      <c r="H164" s="94">
        <f>IF(H$132=1,IF('Assumptions - Freight'!$E$111=1,Calculations!H139,Calculations!H139*'Assumptions - Freight'!$E$113),0)</f>
        <v>4000</v>
      </c>
      <c r="I164" s="94">
        <f>IF(I$132=1,IF('Assumptions - Freight'!$E$111=1,Calculations!I139,Calculations!I139*'Assumptions - Freight'!$E$113),0)</f>
        <v>4000</v>
      </c>
      <c r="J164" s="94">
        <f>IF(J$132=1,IF('Assumptions - Freight'!$E$111=1,Calculations!J139,Calculations!J139*'Assumptions - Freight'!$E$113)," ")</f>
        <v>4000</v>
      </c>
      <c r="K164" s="94">
        <f>IF(K$132=1,IF('Assumptions - Freight'!$E$111=1,Calculations!K139,Calculations!K139*'Assumptions - Freight'!$E$113)," ")</f>
        <v>4500</v>
      </c>
      <c r="L164" s="94">
        <f>IF(L$132=1,IF('Assumptions - Freight'!$E$111=1,Calculations!L139,Calculations!L139*'Assumptions - Freight'!$E$113)," ")</f>
        <v>4500</v>
      </c>
      <c r="M164" s="94">
        <f>IF(M$132=1,IF('Assumptions - Freight'!$E$111=1,Calculations!M139,Calculations!M139*'Assumptions - Freight'!$E$113)," ")</f>
        <v>4500</v>
      </c>
      <c r="N164" s="94">
        <f>IF(N$132=1,IF('Assumptions - Freight'!$E$111=1,Calculations!N139,Calculations!N139*'Assumptions - Freight'!$E$113)," ")</f>
        <v>4500</v>
      </c>
      <c r="O164" s="94">
        <f>IF(O$132=1,IF('Assumptions - Freight'!$E$111=1,Calculations!O139,Calculations!O139*'Assumptions - Freight'!$E$113)," ")</f>
        <v>4500</v>
      </c>
      <c r="P164" s="94">
        <f>IF(P$132=1,IF('Assumptions - Freight'!$E$111=1,Calculations!P139,Calculations!P139*'Assumptions - Freight'!$E$113)," ")</f>
        <v>4500</v>
      </c>
      <c r="Q164" s="94">
        <f>IF(Q$132=1,IF('Assumptions - Freight'!$E$111=1,Calculations!Q139,Calculations!Q139*'Assumptions - Freight'!$E$113)," ")</f>
        <v>4500</v>
      </c>
      <c r="R164" s="94">
        <f>IF(R$132=1,IF('Assumptions - Freight'!$E$111=1,Calculations!R139,Calculations!R139*'Assumptions - Freight'!$E$113)," ")</f>
        <v>4500</v>
      </c>
      <c r="S164" s="94">
        <f>IF(S$132=1,IF('Assumptions - Freight'!$E$111=1,Calculations!S139,Calculations!S139*'Assumptions - Freight'!$E$113)," ")</f>
        <v>4500</v>
      </c>
      <c r="T164" s="94">
        <f>IF(T$132=1,IF('Assumptions - Freight'!$E$111=1,Calculations!T139,Calculations!T139*'Assumptions - Freight'!$E$113)," ")</f>
        <v>4500</v>
      </c>
      <c r="U164" s="94">
        <f>IF(U$132=1,IF('Assumptions - Freight'!$E$111=1,Calculations!U139,Calculations!U139*'Assumptions - Freight'!$E$113)," ")</f>
        <v>4500</v>
      </c>
      <c r="V164" s="94">
        <f>IF(V$132=1,IF('Assumptions - Freight'!$E$111=1,Calculations!V139,Calculations!V139*'Assumptions - Freight'!$E$113)," ")</f>
        <v>4500</v>
      </c>
      <c r="W164" s="94">
        <f>IF(W$132=1,IF('Assumptions - Freight'!$E$111=1,Calculations!W139,Calculations!W139*'Assumptions - Freight'!$E$113)," ")</f>
        <v>4500</v>
      </c>
      <c r="X164" s="94">
        <f>IF(X$132=1,IF('Assumptions - Freight'!$E$111=1,Calculations!X139,Calculations!X139*'Assumptions - Freight'!$E$113)," ")</f>
        <v>4500</v>
      </c>
      <c r="Y164" s="94">
        <f>IF(Y$132=1,IF('Assumptions - Freight'!$E$111=1,Calculations!Y139,Calculations!Y139*'Assumptions - Freight'!$E$113)," ")</f>
        <v>4500</v>
      </c>
      <c r="Z164" s="94">
        <f>IF(Z$132=1,IF('Assumptions - Freight'!$E$111=1,Calculations!Z139,Calculations!Z139*'Assumptions - Freight'!$E$113)," ")</f>
        <v>4500</v>
      </c>
      <c r="AA164" s="94">
        <f>IF(AA$132=1,IF('Assumptions - Freight'!$E$111=1,Calculations!AA139,Calculations!AA139*'Assumptions - Freight'!$E$113)," ")</f>
        <v>4500</v>
      </c>
      <c r="AB164" s="94">
        <f>IF(AB$132=1,IF('Assumptions - Freight'!$E$111=1,Calculations!AB139,Calculations!AB139*'Assumptions - Freight'!$E$113)," ")</f>
        <v>4500</v>
      </c>
      <c r="AC164" s="94">
        <f>IF(AC$132=1,IF('Assumptions - Freight'!$E$111=1,Calculations!AC139,Calculations!AC139*'Assumptions - Freight'!$E$113)," ")</f>
        <v>4500</v>
      </c>
      <c r="AD164" s="94">
        <f>IF(AD$132=1,IF('Assumptions - Freight'!$E$111=1,Calculations!AD139,Calculations!AD139*'Assumptions - Freight'!$E$113)," ")</f>
        <v>4500</v>
      </c>
      <c r="AE164" s="94">
        <f>IF(AE$132=1,IF('Assumptions - Freight'!$E$111=1,Calculations!AE139,Calculations!AE139*'Assumptions - Freight'!$E$113)," ")</f>
        <v>4500</v>
      </c>
      <c r="AF164" s="94">
        <f>IF(AF$132=1,IF('Assumptions - Freight'!$E$111=1,Calculations!AF139,Calculations!AF139*'Assumptions - Freight'!$E$113)," ")</f>
        <v>4500</v>
      </c>
      <c r="AG164" s="94">
        <f>IF(AG$132=1,IF('Assumptions - Freight'!$E$111=1,Calculations!AG139,Calculations!AG139*'Assumptions - Freight'!$E$113)," ")</f>
        <v>4500</v>
      </c>
      <c r="AH164" s="94">
        <f>IF(AH$132=1,IF('Assumptions - Freight'!$E$111=1,Calculations!AH139,Calculations!AH139*'Assumptions - Freight'!$E$113)," ")</f>
        <v>4500</v>
      </c>
    </row>
    <row r="165" spans="1:34" s="412" customFormat="1" x14ac:dyDescent="0.2">
      <c r="A165" s="18"/>
      <c r="B165" s="80" t="str">
        <f t="shared" si="8"/>
        <v>Commodity 7</v>
      </c>
      <c r="C165" s="80"/>
      <c r="D165" s="80"/>
      <c r="E165" s="94">
        <f>IF(E$132=1,IF('Assumptions - Freight'!$E$111=1,Calculations!E140,Calculations!E140*'Assumptions - Freight'!$E$113),0)</f>
        <v>4000</v>
      </c>
      <c r="F165" s="94">
        <f>IF(F$132=1,IF('Assumptions - Freight'!$E$111=1,Calculations!F140,Calculations!F140*'Assumptions - Freight'!$E$113),0)</f>
        <v>4000</v>
      </c>
      <c r="G165" s="94">
        <f>IF(G$132=1,IF('Assumptions - Freight'!$E$111=1,Calculations!G140,Calculations!G140*'Assumptions - Freight'!$E$113),0)</f>
        <v>4000</v>
      </c>
      <c r="H165" s="94">
        <f>IF(H$132=1,IF('Assumptions - Freight'!$E$111=1,Calculations!H140,Calculations!H140*'Assumptions - Freight'!$E$113),0)</f>
        <v>4000</v>
      </c>
      <c r="I165" s="94">
        <f>IF(I$132=1,IF('Assumptions - Freight'!$E$111=1,Calculations!I140,Calculations!I140*'Assumptions - Freight'!$E$113),0)</f>
        <v>4000</v>
      </c>
      <c r="J165" s="94">
        <f>IF(J$132=1,IF('Assumptions - Freight'!$E$111=1,Calculations!J140,Calculations!J140*'Assumptions - Freight'!$E$113)," ")</f>
        <v>4000</v>
      </c>
      <c r="K165" s="94">
        <f>IF(K$132=1,IF('Assumptions - Freight'!$E$111=1,Calculations!K140,Calculations!K140*'Assumptions - Freight'!$E$113)," ")</f>
        <v>4500</v>
      </c>
      <c r="L165" s="94">
        <f>IF(L$132=1,IF('Assumptions - Freight'!$E$111=1,Calculations!L140,Calculations!L140*'Assumptions - Freight'!$E$113)," ")</f>
        <v>4500</v>
      </c>
      <c r="M165" s="94">
        <f>IF(M$132=1,IF('Assumptions - Freight'!$E$111=1,Calculations!M140,Calculations!M140*'Assumptions - Freight'!$E$113)," ")</f>
        <v>4500</v>
      </c>
      <c r="N165" s="94">
        <f>IF(N$132=1,IF('Assumptions - Freight'!$E$111=1,Calculations!N140,Calculations!N140*'Assumptions - Freight'!$E$113)," ")</f>
        <v>4500</v>
      </c>
      <c r="O165" s="94">
        <f>IF(O$132=1,IF('Assumptions - Freight'!$E$111=1,Calculations!O140,Calculations!O140*'Assumptions - Freight'!$E$113)," ")</f>
        <v>4500</v>
      </c>
      <c r="P165" s="94">
        <f>IF(P$132=1,IF('Assumptions - Freight'!$E$111=1,Calculations!P140,Calculations!P140*'Assumptions - Freight'!$E$113)," ")</f>
        <v>4500</v>
      </c>
      <c r="Q165" s="94">
        <f>IF(Q$132=1,IF('Assumptions - Freight'!$E$111=1,Calculations!Q140,Calculations!Q140*'Assumptions - Freight'!$E$113)," ")</f>
        <v>4500</v>
      </c>
      <c r="R165" s="94">
        <f>IF(R$132=1,IF('Assumptions - Freight'!$E$111=1,Calculations!R140,Calculations!R140*'Assumptions - Freight'!$E$113)," ")</f>
        <v>4500</v>
      </c>
      <c r="S165" s="94">
        <f>IF(S$132=1,IF('Assumptions - Freight'!$E$111=1,Calculations!S140,Calculations!S140*'Assumptions - Freight'!$E$113)," ")</f>
        <v>4500</v>
      </c>
      <c r="T165" s="94">
        <f>IF(T$132=1,IF('Assumptions - Freight'!$E$111=1,Calculations!T140,Calculations!T140*'Assumptions - Freight'!$E$113)," ")</f>
        <v>4500</v>
      </c>
      <c r="U165" s="94">
        <f>IF(U$132=1,IF('Assumptions - Freight'!$E$111=1,Calculations!U140,Calculations!U140*'Assumptions - Freight'!$E$113)," ")</f>
        <v>4500</v>
      </c>
      <c r="V165" s="94">
        <f>IF(V$132=1,IF('Assumptions - Freight'!$E$111=1,Calculations!V140,Calculations!V140*'Assumptions - Freight'!$E$113)," ")</f>
        <v>4500</v>
      </c>
      <c r="W165" s="94">
        <f>IF(W$132=1,IF('Assumptions - Freight'!$E$111=1,Calculations!W140,Calculations!W140*'Assumptions - Freight'!$E$113)," ")</f>
        <v>4500</v>
      </c>
      <c r="X165" s="94">
        <f>IF(X$132=1,IF('Assumptions - Freight'!$E$111=1,Calculations!X140,Calculations!X140*'Assumptions - Freight'!$E$113)," ")</f>
        <v>4500</v>
      </c>
      <c r="Y165" s="94">
        <f>IF(Y$132=1,IF('Assumptions - Freight'!$E$111=1,Calculations!Y140,Calculations!Y140*'Assumptions - Freight'!$E$113)," ")</f>
        <v>4500</v>
      </c>
      <c r="Z165" s="94">
        <f>IF(Z$132=1,IF('Assumptions - Freight'!$E$111=1,Calculations!Z140,Calculations!Z140*'Assumptions - Freight'!$E$113)," ")</f>
        <v>4500</v>
      </c>
      <c r="AA165" s="94">
        <f>IF(AA$132=1,IF('Assumptions - Freight'!$E$111=1,Calculations!AA140,Calculations!AA140*'Assumptions - Freight'!$E$113)," ")</f>
        <v>4500</v>
      </c>
      <c r="AB165" s="94">
        <f>IF(AB$132=1,IF('Assumptions - Freight'!$E$111=1,Calculations!AB140,Calculations!AB140*'Assumptions - Freight'!$E$113)," ")</f>
        <v>4500</v>
      </c>
      <c r="AC165" s="94">
        <f>IF(AC$132=1,IF('Assumptions - Freight'!$E$111=1,Calculations!AC140,Calculations!AC140*'Assumptions - Freight'!$E$113)," ")</f>
        <v>4500</v>
      </c>
      <c r="AD165" s="94">
        <f>IF(AD$132=1,IF('Assumptions - Freight'!$E$111=1,Calculations!AD140,Calculations!AD140*'Assumptions - Freight'!$E$113)," ")</f>
        <v>4500</v>
      </c>
      <c r="AE165" s="94">
        <f>IF(AE$132=1,IF('Assumptions - Freight'!$E$111=1,Calculations!AE140,Calculations!AE140*'Assumptions - Freight'!$E$113)," ")</f>
        <v>4500</v>
      </c>
      <c r="AF165" s="94">
        <f>IF(AF$132=1,IF('Assumptions - Freight'!$E$111=1,Calculations!AF140,Calculations!AF140*'Assumptions - Freight'!$E$113)," ")</f>
        <v>4500</v>
      </c>
      <c r="AG165" s="94">
        <f>IF(AG$132=1,IF('Assumptions - Freight'!$E$111=1,Calculations!AG140,Calculations!AG140*'Assumptions - Freight'!$E$113)," ")</f>
        <v>4500</v>
      </c>
      <c r="AH165" s="94">
        <f>IF(AH$132=1,IF('Assumptions - Freight'!$E$111=1,Calculations!AH140,Calculations!AH140*'Assumptions - Freight'!$E$113)," ")</f>
        <v>4500</v>
      </c>
    </row>
    <row r="166" spans="1:34" s="412" customFormat="1" x14ac:dyDescent="0.2">
      <c r="A166" s="18"/>
      <c r="B166" s="80" t="str">
        <f t="shared" si="8"/>
        <v>Commodity 8</v>
      </c>
      <c r="C166" s="80"/>
      <c r="D166" s="80"/>
      <c r="E166" s="94">
        <f>IF(E$132=1,IF('Assumptions - Freight'!$E$111=1,Calculations!E141,Calculations!E141*'Assumptions - Freight'!$E$113),0)</f>
        <v>4000</v>
      </c>
      <c r="F166" s="94">
        <f>IF(F$132=1,IF('Assumptions - Freight'!$E$111=1,Calculations!F141,Calculations!F141*'Assumptions - Freight'!$E$113),0)</f>
        <v>4000</v>
      </c>
      <c r="G166" s="94">
        <f>IF(G$132=1,IF('Assumptions - Freight'!$E$111=1,Calculations!G141,Calculations!G141*'Assumptions - Freight'!$E$113),0)</f>
        <v>4000</v>
      </c>
      <c r="H166" s="94">
        <f>IF(H$132=1,IF('Assumptions - Freight'!$E$111=1,Calculations!H141,Calculations!H141*'Assumptions - Freight'!$E$113),0)</f>
        <v>4000</v>
      </c>
      <c r="I166" s="94">
        <f>IF(I$132=1,IF('Assumptions - Freight'!$E$111=1,Calculations!I141,Calculations!I141*'Assumptions - Freight'!$E$113),0)</f>
        <v>4000</v>
      </c>
      <c r="J166" s="94">
        <f>IF(J$132=1,IF('Assumptions - Freight'!$E$111=1,Calculations!J141,Calculations!J141*'Assumptions - Freight'!$E$113)," ")</f>
        <v>4000</v>
      </c>
      <c r="K166" s="94">
        <f>IF(K$132=1,IF('Assumptions - Freight'!$E$111=1,Calculations!K141,Calculations!K141*'Assumptions - Freight'!$E$113)," ")</f>
        <v>4500</v>
      </c>
      <c r="L166" s="94">
        <f>IF(L$132=1,IF('Assumptions - Freight'!$E$111=1,Calculations!L141,Calculations!L141*'Assumptions - Freight'!$E$113)," ")</f>
        <v>4500</v>
      </c>
      <c r="M166" s="94">
        <f>IF(M$132=1,IF('Assumptions - Freight'!$E$111=1,Calculations!M141,Calculations!M141*'Assumptions - Freight'!$E$113)," ")</f>
        <v>4500</v>
      </c>
      <c r="N166" s="94">
        <f>IF(N$132=1,IF('Assumptions - Freight'!$E$111=1,Calculations!N141,Calculations!N141*'Assumptions - Freight'!$E$113)," ")</f>
        <v>4500</v>
      </c>
      <c r="O166" s="94">
        <f>IF(O$132=1,IF('Assumptions - Freight'!$E$111=1,Calculations!O141,Calculations!O141*'Assumptions - Freight'!$E$113)," ")</f>
        <v>4500</v>
      </c>
      <c r="P166" s="94">
        <f>IF(P$132=1,IF('Assumptions - Freight'!$E$111=1,Calculations!P141,Calculations!P141*'Assumptions - Freight'!$E$113)," ")</f>
        <v>4500</v>
      </c>
      <c r="Q166" s="94">
        <f>IF(Q$132=1,IF('Assumptions - Freight'!$E$111=1,Calculations!Q141,Calculations!Q141*'Assumptions - Freight'!$E$113)," ")</f>
        <v>4500</v>
      </c>
      <c r="R166" s="94">
        <f>IF(R$132=1,IF('Assumptions - Freight'!$E$111=1,Calculations!R141,Calculations!R141*'Assumptions - Freight'!$E$113)," ")</f>
        <v>4500</v>
      </c>
      <c r="S166" s="94">
        <f>IF(S$132=1,IF('Assumptions - Freight'!$E$111=1,Calculations!S141,Calculations!S141*'Assumptions - Freight'!$E$113)," ")</f>
        <v>4500</v>
      </c>
      <c r="T166" s="94">
        <f>IF(T$132=1,IF('Assumptions - Freight'!$E$111=1,Calculations!T141,Calculations!T141*'Assumptions - Freight'!$E$113)," ")</f>
        <v>4500</v>
      </c>
      <c r="U166" s="94">
        <f>IF(U$132=1,IF('Assumptions - Freight'!$E$111=1,Calculations!U141,Calculations!U141*'Assumptions - Freight'!$E$113)," ")</f>
        <v>4500</v>
      </c>
      <c r="V166" s="94">
        <f>IF(V$132=1,IF('Assumptions - Freight'!$E$111=1,Calculations!V141,Calculations!V141*'Assumptions - Freight'!$E$113)," ")</f>
        <v>4500</v>
      </c>
      <c r="W166" s="94">
        <f>IF(W$132=1,IF('Assumptions - Freight'!$E$111=1,Calculations!W141,Calculations!W141*'Assumptions - Freight'!$E$113)," ")</f>
        <v>4500</v>
      </c>
      <c r="X166" s="94">
        <f>IF(X$132=1,IF('Assumptions - Freight'!$E$111=1,Calculations!X141,Calculations!X141*'Assumptions - Freight'!$E$113)," ")</f>
        <v>4500</v>
      </c>
      <c r="Y166" s="94">
        <f>IF(Y$132=1,IF('Assumptions - Freight'!$E$111=1,Calculations!Y141,Calculations!Y141*'Assumptions - Freight'!$E$113)," ")</f>
        <v>4500</v>
      </c>
      <c r="Z166" s="94">
        <f>IF(Z$132=1,IF('Assumptions - Freight'!$E$111=1,Calculations!Z141,Calculations!Z141*'Assumptions - Freight'!$E$113)," ")</f>
        <v>4500</v>
      </c>
      <c r="AA166" s="94">
        <f>IF(AA$132=1,IF('Assumptions - Freight'!$E$111=1,Calculations!AA141,Calculations!AA141*'Assumptions - Freight'!$E$113)," ")</f>
        <v>4500</v>
      </c>
      <c r="AB166" s="94">
        <f>IF(AB$132=1,IF('Assumptions - Freight'!$E$111=1,Calculations!AB141,Calculations!AB141*'Assumptions - Freight'!$E$113)," ")</f>
        <v>4500</v>
      </c>
      <c r="AC166" s="94">
        <f>IF(AC$132=1,IF('Assumptions - Freight'!$E$111=1,Calculations!AC141,Calculations!AC141*'Assumptions - Freight'!$E$113)," ")</f>
        <v>4500</v>
      </c>
      <c r="AD166" s="94">
        <f>IF(AD$132=1,IF('Assumptions - Freight'!$E$111=1,Calculations!AD141,Calculations!AD141*'Assumptions - Freight'!$E$113)," ")</f>
        <v>4500</v>
      </c>
      <c r="AE166" s="94">
        <f>IF(AE$132=1,IF('Assumptions - Freight'!$E$111=1,Calculations!AE141,Calculations!AE141*'Assumptions - Freight'!$E$113)," ")</f>
        <v>4500</v>
      </c>
      <c r="AF166" s="94">
        <f>IF(AF$132=1,IF('Assumptions - Freight'!$E$111=1,Calculations!AF141,Calculations!AF141*'Assumptions - Freight'!$E$113)," ")</f>
        <v>4500</v>
      </c>
      <c r="AG166" s="94">
        <f>IF(AG$132=1,IF('Assumptions - Freight'!$E$111=1,Calculations!AG141,Calculations!AG141*'Assumptions - Freight'!$E$113)," ")</f>
        <v>4500</v>
      </c>
      <c r="AH166" s="94">
        <f>IF(AH$132=1,IF('Assumptions - Freight'!$E$111=1,Calculations!AH141,Calculations!AH141*'Assumptions - Freight'!$E$113)," ")</f>
        <v>4500</v>
      </c>
    </row>
    <row r="167" spans="1:34" s="412" customFormat="1" x14ac:dyDescent="0.2">
      <c r="A167" s="18"/>
      <c r="B167" s="80" t="str">
        <f t="shared" si="8"/>
        <v>Commodity 9</v>
      </c>
      <c r="C167" s="80"/>
      <c r="D167" s="80"/>
      <c r="E167" s="94">
        <f>IF(E$132=1,IF('Assumptions - Freight'!$E$111=1,Calculations!E142,Calculations!E142*'Assumptions - Freight'!$E$113),0)</f>
        <v>4000</v>
      </c>
      <c r="F167" s="94">
        <f>IF(F$132=1,IF('Assumptions - Freight'!$E$111=1,Calculations!F142,Calculations!F142*'Assumptions - Freight'!$E$113),0)</f>
        <v>4000</v>
      </c>
      <c r="G167" s="94">
        <f>IF(G$132=1,IF('Assumptions - Freight'!$E$111=1,Calculations!G142,Calculations!G142*'Assumptions - Freight'!$E$113),0)</f>
        <v>4000</v>
      </c>
      <c r="H167" s="94">
        <f>IF(H$132=1,IF('Assumptions - Freight'!$E$111=1,Calculations!H142,Calculations!H142*'Assumptions - Freight'!$E$113),0)</f>
        <v>4000</v>
      </c>
      <c r="I167" s="94">
        <f>IF(I$132=1,IF('Assumptions - Freight'!$E$111=1,Calculations!I142,Calculations!I142*'Assumptions - Freight'!$E$113),0)</f>
        <v>4000</v>
      </c>
      <c r="J167" s="94">
        <f>IF(J$132=1,IF('Assumptions - Freight'!$E$111=1,Calculations!J142,Calculations!J142*'Assumptions - Freight'!$E$113)," ")</f>
        <v>4000</v>
      </c>
      <c r="K167" s="94">
        <f>IF(K$132=1,IF('Assumptions - Freight'!$E$111=1,Calculations!K142,Calculations!K142*'Assumptions - Freight'!$E$113)," ")</f>
        <v>4500</v>
      </c>
      <c r="L167" s="94">
        <f>IF(L$132=1,IF('Assumptions - Freight'!$E$111=1,Calculations!L142,Calculations!L142*'Assumptions - Freight'!$E$113)," ")</f>
        <v>4500</v>
      </c>
      <c r="M167" s="94">
        <f>IF(M$132=1,IF('Assumptions - Freight'!$E$111=1,Calculations!M142,Calculations!M142*'Assumptions - Freight'!$E$113)," ")</f>
        <v>4500</v>
      </c>
      <c r="N167" s="94">
        <f>IF(N$132=1,IF('Assumptions - Freight'!$E$111=1,Calculations!N142,Calculations!N142*'Assumptions - Freight'!$E$113)," ")</f>
        <v>4500</v>
      </c>
      <c r="O167" s="94">
        <f>IF(O$132=1,IF('Assumptions - Freight'!$E$111=1,Calculations!O142,Calculations!O142*'Assumptions - Freight'!$E$113)," ")</f>
        <v>4500</v>
      </c>
      <c r="P167" s="94">
        <f>IF(P$132=1,IF('Assumptions - Freight'!$E$111=1,Calculations!P142,Calculations!P142*'Assumptions - Freight'!$E$113)," ")</f>
        <v>4500</v>
      </c>
      <c r="Q167" s="94">
        <f>IF(Q$132=1,IF('Assumptions - Freight'!$E$111=1,Calculations!Q142,Calculations!Q142*'Assumptions - Freight'!$E$113)," ")</f>
        <v>4500</v>
      </c>
      <c r="R167" s="94">
        <f>IF(R$132=1,IF('Assumptions - Freight'!$E$111=1,Calculations!R142,Calculations!R142*'Assumptions - Freight'!$E$113)," ")</f>
        <v>4500</v>
      </c>
      <c r="S167" s="94">
        <f>IF(S$132=1,IF('Assumptions - Freight'!$E$111=1,Calculations!S142,Calculations!S142*'Assumptions - Freight'!$E$113)," ")</f>
        <v>4500</v>
      </c>
      <c r="T167" s="94">
        <f>IF(T$132=1,IF('Assumptions - Freight'!$E$111=1,Calculations!T142,Calculations!T142*'Assumptions - Freight'!$E$113)," ")</f>
        <v>4500</v>
      </c>
      <c r="U167" s="94">
        <f>IF(U$132=1,IF('Assumptions - Freight'!$E$111=1,Calculations!U142,Calculations!U142*'Assumptions - Freight'!$E$113)," ")</f>
        <v>4500</v>
      </c>
      <c r="V167" s="94">
        <f>IF(V$132=1,IF('Assumptions - Freight'!$E$111=1,Calculations!V142,Calculations!V142*'Assumptions - Freight'!$E$113)," ")</f>
        <v>4500</v>
      </c>
      <c r="W167" s="94">
        <f>IF(W$132=1,IF('Assumptions - Freight'!$E$111=1,Calculations!W142,Calculations!W142*'Assumptions - Freight'!$E$113)," ")</f>
        <v>4500</v>
      </c>
      <c r="X167" s="94">
        <f>IF(X$132=1,IF('Assumptions - Freight'!$E$111=1,Calculations!X142,Calculations!X142*'Assumptions - Freight'!$E$113)," ")</f>
        <v>4500</v>
      </c>
      <c r="Y167" s="94">
        <f>IF(Y$132=1,IF('Assumptions - Freight'!$E$111=1,Calculations!Y142,Calculations!Y142*'Assumptions - Freight'!$E$113)," ")</f>
        <v>4500</v>
      </c>
      <c r="Z167" s="94">
        <f>IF(Z$132=1,IF('Assumptions - Freight'!$E$111=1,Calculations!Z142,Calculations!Z142*'Assumptions - Freight'!$E$113)," ")</f>
        <v>4500</v>
      </c>
      <c r="AA167" s="94">
        <f>IF(AA$132=1,IF('Assumptions - Freight'!$E$111=1,Calculations!AA142,Calculations!AA142*'Assumptions - Freight'!$E$113)," ")</f>
        <v>4500</v>
      </c>
      <c r="AB167" s="94">
        <f>IF(AB$132=1,IF('Assumptions - Freight'!$E$111=1,Calculations!AB142,Calculations!AB142*'Assumptions - Freight'!$E$113)," ")</f>
        <v>4500</v>
      </c>
      <c r="AC167" s="94">
        <f>IF(AC$132=1,IF('Assumptions - Freight'!$E$111=1,Calculations!AC142,Calculations!AC142*'Assumptions - Freight'!$E$113)," ")</f>
        <v>4500</v>
      </c>
      <c r="AD167" s="94">
        <f>IF(AD$132=1,IF('Assumptions - Freight'!$E$111=1,Calculations!AD142,Calculations!AD142*'Assumptions - Freight'!$E$113)," ")</f>
        <v>4500</v>
      </c>
      <c r="AE167" s="94">
        <f>IF(AE$132=1,IF('Assumptions - Freight'!$E$111=1,Calculations!AE142,Calculations!AE142*'Assumptions - Freight'!$E$113)," ")</f>
        <v>4500</v>
      </c>
      <c r="AF167" s="94">
        <f>IF(AF$132=1,IF('Assumptions - Freight'!$E$111=1,Calculations!AF142,Calculations!AF142*'Assumptions - Freight'!$E$113)," ")</f>
        <v>4500</v>
      </c>
      <c r="AG167" s="94">
        <f>IF(AG$132=1,IF('Assumptions - Freight'!$E$111=1,Calculations!AG142,Calculations!AG142*'Assumptions - Freight'!$E$113)," ")</f>
        <v>4500</v>
      </c>
      <c r="AH167" s="94">
        <f>IF(AH$132=1,IF('Assumptions - Freight'!$E$111=1,Calculations!AH142,Calculations!AH142*'Assumptions - Freight'!$E$113)," ")</f>
        <v>4500</v>
      </c>
    </row>
    <row r="168" spans="1:34" s="412" customFormat="1" x14ac:dyDescent="0.2">
      <c r="A168" s="18"/>
      <c r="B168" s="80" t="str">
        <f t="shared" si="8"/>
        <v>Commodity 10</v>
      </c>
      <c r="C168" s="80"/>
      <c r="D168" s="80"/>
      <c r="E168" s="94">
        <f>IF(E$132=1,IF('Assumptions - Freight'!$E$111=1,Calculations!E143,Calculations!E143*'Assumptions - Freight'!$E$113),0)</f>
        <v>4000</v>
      </c>
      <c r="F168" s="94">
        <f>IF(F$132=1,IF('Assumptions - Freight'!$E$111=1,Calculations!F143,Calculations!F143*'Assumptions - Freight'!$E$113),0)</f>
        <v>4000</v>
      </c>
      <c r="G168" s="94">
        <f>IF(G$132=1,IF('Assumptions - Freight'!$E$111=1,Calculations!G143,Calculations!G143*'Assumptions - Freight'!$E$113),0)</f>
        <v>4000</v>
      </c>
      <c r="H168" s="94">
        <f>IF(H$132=1,IF('Assumptions - Freight'!$E$111=1,Calculations!H143,Calculations!H143*'Assumptions - Freight'!$E$113),0)</f>
        <v>4000</v>
      </c>
      <c r="I168" s="94">
        <f>IF(I$132=1,IF('Assumptions - Freight'!$E$111=1,Calculations!I143,Calculations!I143*'Assumptions - Freight'!$E$113),0)</f>
        <v>4000</v>
      </c>
      <c r="J168" s="94">
        <f>IF(J$132=1,IF('Assumptions - Freight'!$E$111=1,Calculations!J143,Calculations!J143*'Assumptions - Freight'!$E$113)," ")</f>
        <v>4000</v>
      </c>
      <c r="K168" s="94">
        <f>IF(K$132=1,IF('Assumptions - Freight'!$E$111=1,Calculations!K143,Calculations!K143*'Assumptions - Freight'!$E$113)," ")</f>
        <v>4500</v>
      </c>
      <c r="L168" s="94">
        <f>IF(L$132=1,IF('Assumptions - Freight'!$E$111=1,Calculations!L143,Calculations!L143*'Assumptions - Freight'!$E$113)," ")</f>
        <v>4500</v>
      </c>
      <c r="M168" s="94">
        <f>IF(M$132=1,IF('Assumptions - Freight'!$E$111=1,Calculations!M143,Calculations!M143*'Assumptions - Freight'!$E$113)," ")</f>
        <v>4500</v>
      </c>
      <c r="N168" s="94">
        <f>IF(N$132=1,IF('Assumptions - Freight'!$E$111=1,Calculations!N143,Calculations!N143*'Assumptions - Freight'!$E$113)," ")</f>
        <v>4500</v>
      </c>
      <c r="O168" s="94">
        <f>IF(O$132=1,IF('Assumptions - Freight'!$E$111=1,Calculations!O143,Calculations!O143*'Assumptions - Freight'!$E$113)," ")</f>
        <v>4500</v>
      </c>
      <c r="P168" s="94">
        <f>IF(P$132=1,IF('Assumptions - Freight'!$E$111=1,Calculations!P143,Calculations!P143*'Assumptions - Freight'!$E$113)," ")</f>
        <v>4500</v>
      </c>
      <c r="Q168" s="94">
        <f>IF(Q$132=1,IF('Assumptions - Freight'!$E$111=1,Calculations!Q143,Calculations!Q143*'Assumptions - Freight'!$E$113)," ")</f>
        <v>4500</v>
      </c>
      <c r="R168" s="94">
        <f>IF(R$132=1,IF('Assumptions - Freight'!$E$111=1,Calculations!R143,Calculations!R143*'Assumptions - Freight'!$E$113)," ")</f>
        <v>4500</v>
      </c>
      <c r="S168" s="94">
        <f>IF(S$132=1,IF('Assumptions - Freight'!$E$111=1,Calculations!S143,Calculations!S143*'Assumptions - Freight'!$E$113)," ")</f>
        <v>4500</v>
      </c>
      <c r="T168" s="94">
        <f>IF(T$132=1,IF('Assumptions - Freight'!$E$111=1,Calculations!T143,Calculations!T143*'Assumptions - Freight'!$E$113)," ")</f>
        <v>4500</v>
      </c>
      <c r="U168" s="94">
        <f>IF(U$132=1,IF('Assumptions - Freight'!$E$111=1,Calculations!U143,Calculations!U143*'Assumptions - Freight'!$E$113)," ")</f>
        <v>4500</v>
      </c>
      <c r="V168" s="94">
        <f>IF(V$132=1,IF('Assumptions - Freight'!$E$111=1,Calculations!V143,Calculations!V143*'Assumptions - Freight'!$E$113)," ")</f>
        <v>4500</v>
      </c>
      <c r="W168" s="94">
        <f>IF(W$132=1,IF('Assumptions - Freight'!$E$111=1,Calculations!W143,Calculations!W143*'Assumptions - Freight'!$E$113)," ")</f>
        <v>4500</v>
      </c>
      <c r="X168" s="94">
        <f>IF(X$132=1,IF('Assumptions - Freight'!$E$111=1,Calculations!X143,Calculations!X143*'Assumptions - Freight'!$E$113)," ")</f>
        <v>4500</v>
      </c>
      <c r="Y168" s="94">
        <f>IF(Y$132=1,IF('Assumptions - Freight'!$E$111=1,Calculations!Y143,Calculations!Y143*'Assumptions - Freight'!$E$113)," ")</f>
        <v>4500</v>
      </c>
      <c r="Z168" s="94">
        <f>IF(Z$132=1,IF('Assumptions - Freight'!$E$111=1,Calculations!Z143,Calculations!Z143*'Assumptions - Freight'!$E$113)," ")</f>
        <v>4500</v>
      </c>
      <c r="AA168" s="94">
        <f>IF(AA$132=1,IF('Assumptions - Freight'!$E$111=1,Calculations!AA143,Calculations!AA143*'Assumptions - Freight'!$E$113)," ")</f>
        <v>4500</v>
      </c>
      <c r="AB168" s="94">
        <f>IF(AB$132=1,IF('Assumptions - Freight'!$E$111=1,Calculations!AB143,Calculations!AB143*'Assumptions - Freight'!$E$113)," ")</f>
        <v>4500</v>
      </c>
      <c r="AC168" s="94">
        <f>IF(AC$132=1,IF('Assumptions - Freight'!$E$111=1,Calculations!AC143,Calculations!AC143*'Assumptions - Freight'!$E$113)," ")</f>
        <v>4500</v>
      </c>
      <c r="AD168" s="94">
        <f>IF(AD$132=1,IF('Assumptions - Freight'!$E$111=1,Calculations!AD143,Calculations!AD143*'Assumptions - Freight'!$E$113)," ")</f>
        <v>4500</v>
      </c>
      <c r="AE168" s="94">
        <f>IF(AE$132=1,IF('Assumptions - Freight'!$E$111=1,Calculations!AE143,Calculations!AE143*'Assumptions - Freight'!$E$113)," ")</f>
        <v>4500</v>
      </c>
      <c r="AF168" s="94">
        <f>IF(AF$132=1,IF('Assumptions - Freight'!$E$111=1,Calculations!AF143,Calculations!AF143*'Assumptions - Freight'!$E$113)," ")</f>
        <v>4500</v>
      </c>
      <c r="AG168" s="94">
        <f>IF(AG$132=1,IF('Assumptions - Freight'!$E$111=1,Calculations!AG143,Calculations!AG143*'Assumptions - Freight'!$E$113)," ")</f>
        <v>4500</v>
      </c>
      <c r="AH168" s="94">
        <f>IF(AH$132=1,IF('Assumptions - Freight'!$E$111=1,Calculations!AH143,Calculations!AH143*'Assumptions - Freight'!$E$113)," ")</f>
        <v>4500</v>
      </c>
    </row>
    <row r="169" spans="1:34" s="412" customFormat="1" x14ac:dyDescent="0.2">
      <c r="A169" s="18"/>
      <c r="B169" s="80" t="s">
        <v>297</v>
      </c>
      <c r="C169" s="80"/>
      <c r="D169" s="80"/>
      <c r="E169" s="128" t="str">
        <f t="shared" ref="E169:AH169" si="9">IF(E132=1,IF(($E158+SUM($F$132:$AH$132))=E158,(SUM(E159:E168)/SUM($E159:$E168))^(1/SUM($F$132:$AH$132))-1," ")," ")</f>
        <v xml:space="preserve"> </v>
      </c>
      <c r="F169" s="128" t="str">
        <f t="shared" si="9"/>
        <v xml:space="preserve"> </v>
      </c>
      <c r="G169" s="128" t="str">
        <f t="shared" si="9"/>
        <v xml:space="preserve"> </v>
      </c>
      <c r="H169" s="128" t="str">
        <f t="shared" si="9"/>
        <v xml:space="preserve"> </v>
      </c>
      <c r="I169" s="128" t="str">
        <f t="shared" si="9"/>
        <v xml:space="preserve"> </v>
      </c>
      <c r="J169" s="128" t="str">
        <f t="shared" si="9"/>
        <v xml:space="preserve"> </v>
      </c>
      <c r="K169" s="128" t="str">
        <f t="shared" si="9"/>
        <v xml:space="preserve"> </v>
      </c>
      <c r="L169" s="128" t="str">
        <f t="shared" si="9"/>
        <v xml:space="preserve"> </v>
      </c>
      <c r="M169" s="128" t="str">
        <f t="shared" si="9"/>
        <v xml:space="preserve"> </v>
      </c>
      <c r="N169" s="128" t="str">
        <f t="shared" si="9"/>
        <v xml:space="preserve"> </v>
      </c>
      <c r="O169" s="128" t="str">
        <f t="shared" si="9"/>
        <v xml:space="preserve"> </v>
      </c>
      <c r="P169" s="128" t="str">
        <f t="shared" si="9"/>
        <v xml:space="preserve"> </v>
      </c>
      <c r="Q169" s="128" t="str">
        <f t="shared" si="9"/>
        <v xml:space="preserve"> </v>
      </c>
      <c r="R169" s="128" t="str">
        <f t="shared" si="9"/>
        <v xml:space="preserve"> </v>
      </c>
      <c r="S169" s="128" t="str">
        <f t="shared" si="9"/>
        <v xml:space="preserve"> </v>
      </c>
      <c r="T169" s="128" t="str">
        <f t="shared" si="9"/>
        <v xml:space="preserve"> </v>
      </c>
      <c r="U169" s="128" t="str">
        <f t="shared" si="9"/>
        <v xml:space="preserve"> </v>
      </c>
      <c r="V169" s="128" t="str">
        <f t="shared" si="9"/>
        <v xml:space="preserve"> </v>
      </c>
      <c r="W169" s="128" t="str">
        <f t="shared" si="9"/>
        <v xml:space="preserve"> </v>
      </c>
      <c r="X169" s="128" t="str">
        <f t="shared" si="9"/>
        <v xml:space="preserve"> </v>
      </c>
      <c r="Y169" s="128" t="str">
        <f t="shared" si="9"/>
        <v xml:space="preserve"> </v>
      </c>
      <c r="Z169" s="128" t="str">
        <f t="shared" si="9"/>
        <v xml:space="preserve"> </v>
      </c>
      <c r="AA169" s="128" t="str">
        <f t="shared" si="9"/>
        <v xml:space="preserve"> </v>
      </c>
      <c r="AB169" s="128" t="str">
        <f t="shared" si="9"/>
        <v xml:space="preserve"> </v>
      </c>
      <c r="AC169" s="128" t="str">
        <f t="shared" si="9"/>
        <v xml:space="preserve"> </v>
      </c>
      <c r="AD169" s="128" t="str">
        <f t="shared" si="9"/>
        <v xml:space="preserve"> </v>
      </c>
      <c r="AE169" s="128" t="str">
        <f t="shared" si="9"/>
        <v xml:space="preserve"> </v>
      </c>
      <c r="AF169" s="128" t="str">
        <f t="shared" si="9"/>
        <v xml:space="preserve"> </v>
      </c>
      <c r="AG169" s="128" t="str">
        <f t="shared" si="9"/>
        <v xml:space="preserve"> </v>
      </c>
      <c r="AH169" s="128">
        <f t="shared" si="9"/>
        <v>3.2151722025077767E-3</v>
      </c>
    </row>
    <row r="170" spans="1:34" s="412" customFormat="1" x14ac:dyDescent="0.2">
      <c r="A170" s="18"/>
      <c r="B170" s="80"/>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c r="AA170" s="80"/>
      <c r="AB170" s="80"/>
      <c r="AC170" s="80"/>
      <c r="AD170" s="80"/>
      <c r="AE170" s="80"/>
      <c r="AF170" s="80"/>
      <c r="AG170" s="80"/>
      <c r="AH170" s="80"/>
    </row>
    <row r="171" spans="1:34" s="412" customFormat="1" x14ac:dyDescent="0.2">
      <c r="A171" s="18"/>
      <c r="B171" s="90" t="str">
        <f>"Tariffs"&amp; " (" &amp; 'Assumptions - Freight'!D146&amp;")"</f>
        <v>Tariffs (R$/Ton-km)</v>
      </c>
      <c r="C171" s="80"/>
      <c r="D171" s="80"/>
      <c r="E171" s="80" t="s">
        <v>305</v>
      </c>
      <c r="F171" s="80" t="str">
        <f>'Assumptions - Freight'!D146</f>
        <v>R$/Ton-km</v>
      </c>
      <c r="G171" s="80" t="s">
        <v>308</v>
      </c>
      <c r="H171" s="80" t="str">
        <f>"Tariff (" &amp;F171&amp;")"</f>
        <v>Tariff (R$/Ton-km)</v>
      </c>
      <c r="I171" s="80"/>
      <c r="J171" s="80"/>
      <c r="K171" s="80"/>
      <c r="L171" s="80"/>
      <c r="M171" s="80"/>
      <c r="N171" s="80"/>
      <c r="O171" s="80"/>
      <c r="P171" s="80"/>
      <c r="Q171" s="80"/>
      <c r="R171" s="80"/>
      <c r="S171" s="80"/>
      <c r="T171" s="80"/>
      <c r="U171" s="80"/>
      <c r="V171" s="80"/>
      <c r="W171" s="80"/>
      <c r="X171" s="80"/>
      <c r="Y171" s="80"/>
      <c r="Z171" s="80"/>
      <c r="AA171" s="80"/>
      <c r="AB171" s="80"/>
      <c r="AC171" s="80"/>
      <c r="AD171" s="80"/>
      <c r="AE171" s="80"/>
      <c r="AF171" s="80"/>
      <c r="AG171" s="80"/>
      <c r="AH171" s="80"/>
    </row>
    <row r="172" spans="1:34" s="412" customFormat="1" x14ac:dyDescent="0.2">
      <c r="A172" s="18"/>
      <c r="B172" s="80"/>
      <c r="C172" s="80"/>
      <c r="D172" s="80"/>
      <c r="E172" s="93">
        <f t="shared" ref="E172:AH172" si="10">YEAR(E$131)</f>
        <v>2010</v>
      </c>
      <c r="F172" s="93">
        <f t="shared" si="10"/>
        <v>2011</v>
      </c>
      <c r="G172" s="93">
        <f t="shared" si="10"/>
        <v>2012</v>
      </c>
      <c r="H172" s="93">
        <f t="shared" si="10"/>
        <v>2013</v>
      </c>
      <c r="I172" s="93">
        <f t="shared" si="10"/>
        <v>2014</v>
      </c>
      <c r="J172" s="93">
        <f t="shared" si="10"/>
        <v>2015</v>
      </c>
      <c r="K172" s="93">
        <f t="shared" si="10"/>
        <v>2016</v>
      </c>
      <c r="L172" s="93">
        <f t="shared" si="10"/>
        <v>2017</v>
      </c>
      <c r="M172" s="93">
        <f t="shared" si="10"/>
        <v>2018</v>
      </c>
      <c r="N172" s="93">
        <f t="shared" si="10"/>
        <v>2019</v>
      </c>
      <c r="O172" s="93">
        <f t="shared" si="10"/>
        <v>2020</v>
      </c>
      <c r="P172" s="93">
        <f t="shared" si="10"/>
        <v>2021</v>
      </c>
      <c r="Q172" s="93">
        <f t="shared" si="10"/>
        <v>2022</v>
      </c>
      <c r="R172" s="93">
        <f t="shared" si="10"/>
        <v>2023</v>
      </c>
      <c r="S172" s="93">
        <f t="shared" si="10"/>
        <v>2024</v>
      </c>
      <c r="T172" s="93">
        <f t="shared" si="10"/>
        <v>2025</v>
      </c>
      <c r="U172" s="93">
        <f t="shared" si="10"/>
        <v>2026</v>
      </c>
      <c r="V172" s="93">
        <f t="shared" si="10"/>
        <v>2027</v>
      </c>
      <c r="W172" s="93">
        <f t="shared" si="10"/>
        <v>2028</v>
      </c>
      <c r="X172" s="93">
        <f t="shared" si="10"/>
        <v>2029</v>
      </c>
      <c r="Y172" s="93">
        <f t="shared" si="10"/>
        <v>2030</v>
      </c>
      <c r="Z172" s="93">
        <f t="shared" si="10"/>
        <v>2031</v>
      </c>
      <c r="AA172" s="93">
        <f t="shared" si="10"/>
        <v>2032</v>
      </c>
      <c r="AB172" s="93">
        <f t="shared" si="10"/>
        <v>2033</v>
      </c>
      <c r="AC172" s="93">
        <f t="shared" si="10"/>
        <v>2034</v>
      </c>
      <c r="AD172" s="93">
        <f t="shared" si="10"/>
        <v>2035</v>
      </c>
      <c r="AE172" s="93">
        <f t="shared" si="10"/>
        <v>2036</v>
      </c>
      <c r="AF172" s="93">
        <f t="shared" si="10"/>
        <v>2037</v>
      </c>
      <c r="AG172" s="93">
        <f t="shared" si="10"/>
        <v>2038</v>
      </c>
      <c r="AH172" s="93">
        <f t="shared" si="10"/>
        <v>2039</v>
      </c>
    </row>
    <row r="173" spans="1:34" s="412" customFormat="1" x14ac:dyDescent="0.2">
      <c r="A173" s="18"/>
      <c r="B173" s="80" t="str">
        <f t="shared" ref="B173:B182" si="11">B159</f>
        <v>Commodity 1</v>
      </c>
      <c r="C173" s="80"/>
      <c r="D173" s="80"/>
      <c r="E173" s="96">
        <f>IF(E132=1,Calculations!E211,0)</f>
        <v>1</v>
      </c>
      <c r="F173" s="96">
        <f>IF(F132=1,Calculations!F211,0)</f>
        <v>1.0105</v>
      </c>
      <c r="G173" s="96">
        <f>IF(G132=1,Calculations!G211,0)</f>
        <v>1.02111025</v>
      </c>
      <c r="H173" s="96">
        <f>IF(H132=1,Calculations!H211,0)</f>
        <v>1.031831907625</v>
      </c>
      <c r="I173" s="96">
        <f>IF(I132=1,Calculations!I211,0)</f>
        <v>1.0426661426550625</v>
      </c>
      <c r="J173" s="96">
        <f>IF(J132=1,Calculations!J211," ")</f>
        <v>1.0536141371529406</v>
      </c>
      <c r="K173" s="96">
        <f>IF(K132=1,Calculations!K211," ")</f>
        <v>1.0646770855930465</v>
      </c>
      <c r="L173" s="96">
        <f>IF(L132=1,Calculations!L211," ")</f>
        <v>1.0758561949917735</v>
      </c>
      <c r="M173" s="96">
        <f>IF(M132=1,Calculations!M211," ")</f>
        <v>1.0871526850391871</v>
      </c>
      <c r="N173" s="96">
        <f>IF(N132=1,Calculations!N211," ")</f>
        <v>1.0985677882320986</v>
      </c>
      <c r="O173" s="96">
        <f>IF(O132=1,Calculations!O211," ")</f>
        <v>1.1101027500085356</v>
      </c>
      <c r="P173" s="96">
        <f>IF(P132=1,Calculations!P211," ")</f>
        <v>1.1217588288836253</v>
      </c>
      <c r="Q173" s="96">
        <f>IF(Q132=1,Calculations!Q211," ")</f>
        <v>1.1335372965869033</v>
      </c>
      <c r="R173" s="96">
        <f>IF(R132=1,Calculations!R211," ")</f>
        <v>1.1454394382010658</v>
      </c>
      <c r="S173" s="96">
        <f>IF(S132=1,Calculations!S211," ")</f>
        <v>1.157466552302177</v>
      </c>
      <c r="T173" s="96">
        <f>IF(T132=1,Calculations!T211," ")</f>
        <v>1.1696199511013499</v>
      </c>
      <c r="U173" s="96">
        <f>IF(U132=1,Calculations!U211," ")</f>
        <v>1.1819009605879141</v>
      </c>
      <c r="V173" s="96">
        <f>IF(V132=1,Calculations!V211," ")</f>
        <v>1.1943109206740872</v>
      </c>
      <c r="W173" s="96">
        <f>IF(W132=1,Calculations!W211," ")</f>
        <v>1.206851185341165</v>
      </c>
      <c r="X173" s="96">
        <f>IF(X132=1,Calculations!X211," ")</f>
        <v>1.2195231227872472</v>
      </c>
      <c r="Y173" s="96">
        <f>IF(Y132=1,Calculations!Y211," ")</f>
        <v>1.2323281155765131</v>
      </c>
      <c r="Z173" s="96">
        <f>IF(Z132=1,Calculations!Z211," ")</f>
        <v>1.2452675607900665</v>
      </c>
      <c r="AA173" s="96">
        <f>IF(AA132=1,Calculations!AA211," ")</f>
        <v>1.2583428701783621</v>
      </c>
      <c r="AB173" s="96">
        <f>IF(AB132=1,Calculations!AB211," ")</f>
        <v>1.2715554703152347</v>
      </c>
      <c r="AC173" s="96">
        <f>IF(AC132=1,Calculations!AC211," ")</f>
        <v>1.2849068027535446</v>
      </c>
      <c r="AD173" s="96">
        <f>IF(AD132=1,Calculations!AD211," ")</f>
        <v>1.2983983241824568</v>
      </c>
      <c r="AE173" s="96">
        <f>IF(AE132=1,Calculations!AE211," ")</f>
        <v>1.3120315065863726</v>
      </c>
      <c r="AF173" s="96">
        <f>IF(AF132=1,Calculations!AF211," ")</f>
        <v>1.3258078374055293</v>
      </c>
      <c r="AG173" s="96">
        <f>IF(AG132=1,Calculations!AG211," ")</f>
        <v>1.3397288196982873</v>
      </c>
      <c r="AH173" s="96">
        <f>IF(AH132=1,Calculations!AH211," ")</f>
        <v>1.3537959723051192</v>
      </c>
    </row>
    <row r="174" spans="1:34" s="412" customFormat="1" x14ac:dyDescent="0.2">
      <c r="A174" s="18"/>
      <c r="B174" s="80" t="str">
        <f t="shared" si="11"/>
        <v>Commodity 2</v>
      </c>
      <c r="C174" s="80"/>
      <c r="D174" s="80"/>
      <c r="E174" s="96">
        <f>IF(E132=1,Calculations!E213,0)</f>
        <v>1</v>
      </c>
      <c r="F174" s="96">
        <f>IF(F132=1,Calculations!F213,0)</f>
        <v>1.0266999999999999</v>
      </c>
      <c r="G174" s="96">
        <f>IF(G132=1,Calculations!G213,0)</f>
        <v>1.0541128899999999</v>
      </c>
      <c r="H174" s="96">
        <f>IF(H132=1,Calculations!H213,0)</f>
        <v>1.0822577041629997</v>
      </c>
      <c r="I174" s="96">
        <f>IF(I132=1,Calculations!I213,0)</f>
        <v>1.1111539848641518</v>
      </c>
      <c r="J174" s="96">
        <f>IF(J132=1,Calculations!J213," ")</f>
        <v>1.1408217962600247</v>
      </c>
      <c r="K174" s="96">
        <f>IF(K132=1,Calculations!K213," ")</f>
        <v>1.1712817382201672</v>
      </c>
      <c r="L174" s="96">
        <f>IF(L132=1,Calculations!L213," ")</f>
        <v>1.2025549606306456</v>
      </c>
      <c r="M174" s="96">
        <f>IF(M132=1,Calculations!M213," ")</f>
        <v>1.2346631780794837</v>
      </c>
      <c r="N174" s="96">
        <f>IF(N132=1,Calculations!N213," ")</f>
        <v>1.2676286849342058</v>
      </c>
      <c r="O174" s="96">
        <f>IF(O132=1,Calculations!O213," ")</f>
        <v>1.3014743708219489</v>
      </c>
      <c r="P174" s="96">
        <f>IF(P132=1,Calculations!P213," ")</f>
        <v>1.3362237365228948</v>
      </c>
      <c r="Q174" s="96">
        <f>IF(Q132=1,Calculations!Q213," ")</f>
        <v>1.3719009102880562</v>
      </c>
      <c r="R174" s="96">
        <f>IF(R132=1,Calculations!R213," ")</f>
        <v>1.4085306645927471</v>
      </c>
      <c r="S174" s="96">
        <f>IF(S132=1,Calculations!S213," ")</f>
        <v>1.4461384333373735</v>
      </c>
      <c r="T174" s="96">
        <f>IF(T132=1,Calculations!T213," ")</f>
        <v>1.4847503295074813</v>
      </c>
      <c r="U174" s="96">
        <f>IF(U132=1,Calculations!U213," ")</f>
        <v>1.5243931633053309</v>
      </c>
      <c r="V174" s="96">
        <f>IF(V132=1,Calculations!V213," ")</f>
        <v>1.5650944607655832</v>
      </c>
      <c r="W174" s="96">
        <f>IF(W132=1,Calculations!W213," ")</f>
        <v>1.6068824828680242</v>
      </c>
      <c r="X174" s="96">
        <f>IF(X132=1,Calculations!X213," ")</f>
        <v>1.6497862451606002</v>
      </c>
      <c r="Y174" s="96">
        <f>IF(Y132=1,Calculations!Y213," ")</f>
        <v>1.6938355379063881</v>
      </c>
      <c r="Z174" s="96">
        <f>IF(Z132=1,Calculations!Z213," ")</f>
        <v>1.7390609467684885</v>
      </c>
      <c r="AA174" s="96">
        <f>IF(AA132=1,Calculations!AA213," ")</f>
        <v>1.7854938740472071</v>
      </c>
      <c r="AB174" s="96">
        <f>IF(AB132=1,Calculations!AB213," ")</f>
        <v>1.8331665604842673</v>
      </c>
      <c r="AC174" s="96">
        <f>IF(AC132=1,Calculations!AC213," ")</f>
        <v>1.8821121076491971</v>
      </c>
      <c r="AD174" s="96">
        <f>IF(AD132=1,Calculations!AD213," ")</f>
        <v>1.9323645009234305</v>
      </c>
      <c r="AE174" s="96">
        <f>IF(AE132=1,Calculations!AE213," ")</f>
        <v>1.9839586330980861</v>
      </c>
      <c r="AF174" s="96">
        <f>IF(AF132=1,Calculations!AF213," ")</f>
        <v>2.0369303286018048</v>
      </c>
      <c r="AG174" s="96">
        <f>IF(AG132=1,Calculations!AG213," ")</f>
        <v>2.0913163683754727</v>
      </c>
      <c r="AH174" s="96">
        <f>IF(AH132=1,Calculations!AH213," ")</f>
        <v>2.1471545154110978</v>
      </c>
    </row>
    <row r="175" spans="1:34" s="412" customFormat="1" x14ac:dyDescent="0.2">
      <c r="A175" s="18"/>
      <c r="B175" s="80" t="str">
        <f t="shared" si="11"/>
        <v>Commodity 3</v>
      </c>
      <c r="C175" s="80"/>
      <c r="D175" s="80"/>
      <c r="E175" s="96">
        <f>IF(E132=1,Calculations!E215,0)</f>
        <v>1</v>
      </c>
      <c r="F175" s="96">
        <f>IF(F132=1,Calculations!F215,0)</f>
        <v>1.03</v>
      </c>
      <c r="G175" s="96">
        <f>IF(G132=1,Calculations!G215,0)</f>
        <v>1.0609</v>
      </c>
      <c r="H175" s="96">
        <f>IF(H132=1,Calculations!H215,0)</f>
        <v>1.092727</v>
      </c>
      <c r="I175" s="96">
        <f>IF(I132=1,Calculations!I215,0)</f>
        <v>1.1255088100000001</v>
      </c>
      <c r="J175" s="96">
        <f>IF(J132=1,Calculations!J215," ")</f>
        <v>1.1592740743000001</v>
      </c>
      <c r="K175" s="96">
        <f>IF(K132=1,Calculations!K215," ")</f>
        <v>1.1940522965290001</v>
      </c>
      <c r="L175" s="96">
        <f>IF(L132=1,Calculations!L215," ")</f>
        <v>1.2298738654248702</v>
      </c>
      <c r="M175" s="96">
        <f>IF(M132=1,Calculations!M215," ")</f>
        <v>1.2667700813876164</v>
      </c>
      <c r="N175" s="96">
        <f>IF(N132=1,Calculations!N215," ")</f>
        <v>1.3047731838292449</v>
      </c>
      <c r="O175" s="96">
        <f>IF(O132=1,Calculations!O215," ")</f>
        <v>1.3439163793441222</v>
      </c>
      <c r="P175" s="96">
        <f>IF(P132=1,Calculations!P215," ")</f>
        <v>1.3842338707244459</v>
      </c>
      <c r="Q175" s="96">
        <f>IF(Q132=1,Calculations!Q215," ")</f>
        <v>1.4257608868461793</v>
      </c>
      <c r="R175" s="96">
        <f>IF(R132=1,Calculations!R215," ")</f>
        <v>1.4685337134515648</v>
      </c>
      <c r="S175" s="96">
        <f>IF(S132=1,Calculations!S215," ")</f>
        <v>1.5125897248551119</v>
      </c>
      <c r="T175" s="96">
        <f>IF(T132=1,Calculations!T215," ")</f>
        <v>1.5579674166007653</v>
      </c>
      <c r="U175" s="96">
        <f>IF(U132=1,Calculations!U215," ")</f>
        <v>1.6047064390987884</v>
      </c>
      <c r="V175" s="96">
        <f>IF(V132=1,Calculations!V215," ")</f>
        <v>1.652847632271752</v>
      </c>
      <c r="W175" s="96">
        <f>IF(W132=1,Calculations!W215," ")</f>
        <v>1.7024330612399046</v>
      </c>
      <c r="X175" s="96">
        <f>IF(X132=1,Calculations!X215," ")</f>
        <v>1.7535060530771018</v>
      </c>
      <c r="Y175" s="96">
        <f>IF(Y132=1,Calculations!Y215," ")</f>
        <v>1.806111234669415</v>
      </c>
      <c r="Z175" s="96">
        <f>IF(Z132=1,Calculations!Z215," ")</f>
        <v>1.8602945717094976</v>
      </c>
      <c r="AA175" s="96">
        <f>IF(AA132=1,Calculations!AA215," ")</f>
        <v>1.9161034088607827</v>
      </c>
      <c r="AB175" s="96">
        <f>IF(AB132=1,Calculations!AB215," ")</f>
        <v>1.9735865111266062</v>
      </c>
      <c r="AC175" s="96">
        <f>IF(AC132=1,Calculations!AC215," ")</f>
        <v>2.0327941064604045</v>
      </c>
      <c r="AD175" s="96">
        <f>IF(AD132=1,Calculations!AD215," ")</f>
        <v>2.0937779296542165</v>
      </c>
      <c r="AE175" s="96">
        <f>IF(AE132=1,Calculations!AE215," ")</f>
        <v>2.1565912675438432</v>
      </c>
      <c r="AF175" s="96">
        <f>IF(AF132=1,Calculations!AF215," ")</f>
        <v>2.2212890055701586</v>
      </c>
      <c r="AG175" s="96">
        <f>IF(AG132=1,Calculations!AG215," ")</f>
        <v>2.2879276757372633</v>
      </c>
      <c r="AH175" s="96">
        <f>IF(AH132=1,Calculations!AH215," ")</f>
        <v>2.3565655060093813</v>
      </c>
    </row>
    <row r="176" spans="1:34" s="412" customFormat="1" x14ac:dyDescent="0.2">
      <c r="A176" s="18"/>
      <c r="B176" s="80" t="str">
        <f t="shared" si="11"/>
        <v>Commodity 4</v>
      </c>
      <c r="C176" s="80"/>
      <c r="D176" s="80"/>
      <c r="E176" s="96">
        <f>IF(E132=1,Calculations!E217,0)</f>
        <v>1</v>
      </c>
      <c r="F176" s="96">
        <f>IF(F132=1,Calculations!F217,0)</f>
        <v>1.03</v>
      </c>
      <c r="G176" s="96">
        <f>IF(G132=1,Calculations!G217,0)</f>
        <v>1.0609</v>
      </c>
      <c r="H176" s="96">
        <f>IF(H132=1,Calculations!H217,0)</f>
        <v>1.092727</v>
      </c>
      <c r="I176" s="96">
        <f>IF(I132=1,Calculations!I217,0)</f>
        <v>1.1255088100000001</v>
      </c>
      <c r="J176" s="96">
        <f>IF(J132=1,Calculations!J217," ")</f>
        <v>1.1592740743000001</v>
      </c>
      <c r="K176" s="96">
        <f>IF(K132=1,Calculations!K217," ")</f>
        <v>1.1940522965290001</v>
      </c>
      <c r="L176" s="96">
        <f>IF(L132=1,Calculations!L217," ")</f>
        <v>1.2298738654248702</v>
      </c>
      <c r="M176" s="96">
        <f>IF(M132=1,Calculations!M217," ")</f>
        <v>1.2667700813876164</v>
      </c>
      <c r="N176" s="96">
        <f>IF(N132=1,Calculations!N217," ")</f>
        <v>1.3047731838292449</v>
      </c>
      <c r="O176" s="96">
        <f>IF(O132=1,Calculations!O217," ")</f>
        <v>1.3439163793441222</v>
      </c>
      <c r="P176" s="96">
        <f>IF(P132=1,Calculations!P217," ")</f>
        <v>1.3842338707244459</v>
      </c>
      <c r="Q176" s="96">
        <f>IF(Q132=1,Calculations!Q217," ")</f>
        <v>1.4257608868461793</v>
      </c>
      <c r="R176" s="96">
        <f>IF(R132=1,Calculations!R217," ")</f>
        <v>1.4685337134515648</v>
      </c>
      <c r="S176" s="96">
        <f>IF(S132=1,Calculations!S217," ")</f>
        <v>1.5125897248551119</v>
      </c>
      <c r="T176" s="96">
        <f>IF(T132=1,Calculations!T217," ")</f>
        <v>1.5579674166007653</v>
      </c>
      <c r="U176" s="96">
        <f>IF(U132=1,Calculations!U217," ")</f>
        <v>1.6047064390987884</v>
      </c>
      <c r="V176" s="96">
        <f>IF(V132=1,Calculations!V217," ")</f>
        <v>1.652847632271752</v>
      </c>
      <c r="W176" s="96">
        <f>IF(W132=1,Calculations!W217," ")</f>
        <v>1.7024330612399046</v>
      </c>
      <c r="X176" s="96">
        <f>IF(X132=1,Calculations!X217," ")</f>
        <v>1.7535060530771018</v>
      </c>
      <c r="Y176" s="96">
        <f>IF(Y132=1,Calculations!Y217," ")</f>
        <v>1.806111234669415</v>
      </c>
      <c r="Z176" s="96">
        <f>IF(Z132=1,Calculations!Z217," ")</f>
        <v>1.8602945717094976</v>
      </c>
      <c r="AA176" s="96">
        <f>IF(AA132=1,Calculations!AA217," ")</f>
        <v>1.9161034088607827</v>
      </c>
      <c r="AB176" s="96">
        <f>IF(AB132=1,Calculations!AB217," ")</f>
        <v>1.9735865111266062</v>
      </c>
      <c r="AC176" s="96">
        <f>IF(AC132=1,Calculations!AC217," ")</f>
        <v>2.0327941064604045</v>
      </c>
      <c r="AD176" s="96">
        <f>IF(AD132=1,Calculations!AD217," ")</f>
        <v>2.0937779296542165</v>
      </c>
      <c r="AE176" s="96">
        <f>IF(AE132=1,Calculations!AE217," ")</f>
        <v>2.1565912675438432</v>
      </c>
      <c r="AF176" s="96">
        <f>IF(AF132=1,Calculations!AF217," ")</f>
        <v>2.2212890055701586</v>
      </c>
      <c r="AG176" s="96">
        <f>IF(AG132=1,Calculations!AG217," ")</f>
        <v>2.2879276757372633</v>
      </c>
      <c r="AH176" s="96">
        <f>IF(AH132=1,Calculations!AH217," ")</f>
        <v>2.3565655060093813</v>
      </c>
    </row>
    <row r="177" spans="1:34" s="412" customFormat="1" x14ac:dyDescent="0.2">
      <c r="A177" s="18"/>
      <c r="B177" s="80" t="str">
        <f t="shared" si="11"/>
        <v>Commodity 5</v>
      </c>
      <c r="C177" s="80"/>
      <c r="D177" s="80"/>
      <c r="E177" s="96">
        <f>IF(E132=1,Calculations!E219,0)</f>
        <v>1</v>
      </c>
      <c r="F177" s="96">
        <f>IF(F132=1,Calculations!F219,0)</f>
        <v>1.0297000000000001</v>
      </c>
      <c r="G177" s="96">
        <f>IF(G132=1,Calculations!G219,0)</f>
        <v>1.0602820900000001</v>
      </c>
      <c r="H177" s="96">
        <f>IF(H132=1,Calculations!H219,0)</f>
        <v>1.0917724680730001</v>
      </c>
      <c r="I177" s="96">
        <f>IF(I132=1,Calculations!I219,0)</f>
        <v>1.1241981103747682</v>
      </c>
      <c r="J177" s="96">
        <f>IF(J132=1,Calculations!J219," ")</f>
        <v>1.157586794252899</v>
      </c>
      <c r="K177" s="96">
        <f>IF(K132=1,Calculations!K219," ")</f>
        <v>1.1919671220422101</v>
      </c>
      <c r="L177" s="96">
        <f>IF(L132=1,Calculations!L219," ")</f>
        <v>1.2273685455668639</v>
      </c>
      <c r="M177" s="96">
        <f>IF(M132=1,Calculations!M219," ")</f>
        <v>1.2638213913701999</v>
      </c>
      <c r="N177" s="96">
        <f>IF(N132=1,Calculations!N219," ")</f>
        <v>1.3013568866938949</v>
      </c>
      <c r="O177" s="96">
        <f>IF(O132=1,Calculations!O219," ")</f>
        <v>1.3400071862287037</v>
      </c>
      <c r="P177" s="96">
        <f>IF(P132=1,Calculations!P219," ")</f>
        <v>1.3798053996596964</v>
      </c>
      <c r="Q177" s="96">
        <f>IF(Q132=1,Calculations!Q219," ")</f>
        <v>1.4207856200295894</v>
      </c>
      <c r="R177" s="96">
        <f>IF(R132=1,Calculations!R219," ")</f>
        <v>1.4629829529444682</v>
      </c>
      <c r="S177" s="96">
        <f>IF(S132=1,Calculations!S219," ")</f>
        <v>1.506433546646919</v>
      </c>
      <c r="T177" s="96">
        <f>IF(T132=1,Calculations!T219," ")</f>
        <v>1.5511746229823327</v>
      </c>
      <c r="U177" s="96">
        <f>IF(U132=1,Calculations!U219," ")</f>
        <v>1.5972445092849081</v>
      </c>
      <c r="V177" s="96">
        <f>IF(V132=1,Calculations!V219," ")</f>
        <v>1.6446826712106699</v>
      </c>
      <c r="W177" s="96">
        <f>IF(W132=1,Calculations!W219," ")</f>
        <v>1.6935297465456269</v>
      </c>
      <c r="X177" s="96">
        <f>IF(X132=1,Calculations!X219," ")</f>
        <v>1.7438275800180321</v>
      </c>
      <c r="Y177" s="96">
        <f>IF(Y132=1,Calculations!Y219," ")</f>
        <v>1.7956192591445677</v>
      </c>
      <c r="Z177" s="96">
        <f>IF(Z132=1,Calculations!Z219," ")</f>
        <v>1.8489491511411613</v>
      </c>
      <c r="AA177" s="96">
        <f>IF(AA132=1,Calculations!AA219," ")</f>
        <v>1.9038629409300538</v>
      </c>
      <c r="AB177" s="96">
        <f>IF(AB132=1,Calculations!AB219," ")</f>
        <v>1.9604076702756765</v>
      </c>
      <c r="AC177" s="96">
        <f>IF(AC132=1,Calculations!AC219," ")</f>
        <v>2.0186317780828644</v>
      </c>
      <c r="AD177" s="96">
        <f>IF(AD132=1,Calculations!AD219," ")</f>
        <v>2.0785851418919257</v>
      </c>
      <c r="AE177" s="96">
        <f>IF(AE132=1,Calculations!AE219," ")</f>
        <v>2.1403191206061161</v>
      </c>
      <c r="AF177" s="96">
        <f>IF(AF132=1,Calculations!AF219," ")</f>
        <v>2.203886598488118</v>
      </c>
      <c r="AG177" s="96">
        <f>IF(AG132=1,Calculations!AG219," ")</f>
        <v>2.269342030463215</v>
      </c>
      <c r="AH177" s="96">
        <f>IF(AH132=1,Calculations!AH219," ")</f>
        <v>2.3367414887679727</v>
      </c>
    </row>
    <row r="178" spans="1:34" s="412" customFormat="1" x14ac:dyDescent="0.2">
      <c r="A178" s="18"/>
      <c r="B178" s="80" t="str">
        <f t="shared" si="11"/>
        <v>Commodity 6</v>
      </c>
      <c r="C178" s="80"/>
      <c r="D178" s="80"/>
      <c r="E178" s="96">
        <f>IF(E132=1,Calculations!E221,0)</f>
        <v>1</v>
      </c>
      <c r="F178" s="96">
        <f>IF(F132=1,Calculations!F221,0)</f>
        <v>1.03</v>
      </c>
      <c r="G178" s="96">
        <f>IF(G132=1,Calculations!G221,0)</f>
        <v>1.0609</v>
      </c>
      <c r="H178" s="96">
        <f>IF(H132=1,Calculations!H221,0)</f>
        <v>1.092727</v>
      </c>
      <c r="I178" s="96">
        <f>IF(I132=1,Calculations!I221,0)</f>
        <v>1.1255088100000001</v>
      </c>
      <c r="J178" s="96">
        <f>IF(J132=1,Calculations!J221," ")</f>
        <v>1.1592740743000001</v>
      </c>
      <c r="K178" s="96">
        <f>IF(K132=1,Calculations!K221," ")</f>
        <v>1.1940522965290001</v>
      </c>
      <c r="L178" s="96">
        <f>IF(L132=1,Calculations!L221," ")</f>
        <v>1.2298738654248702</v>
      </c>
      <c r="M178" s="96">
        <f>IF(M132=1,Calculations!M221," ")</f>
        <v>1.2667700813876164</v>
      </c>
      <c r="N178" s="96">
        <f>IF(N132=1,Calculations!N221," ")</f>
        <v>1.3047731838292449</v>
      </c>
      <c r="O178" s="96">
        <f>IF(O132=1,Calculations!O221," ")</f>
        <v>1.3439163793441222</v>
      </c>
      <c r="P178" s="96">
        <f>IF(P132=1,Calculations!P221," ")</f>
        <v>1.3842338707244459</v>
      </c>
      <c r="Q178" s="96">
        <f>IF(Q132=1,Calculations!Q221," ")</f>
        <v>1.4257608868461793</v>
      </c>
      <c r="R178" s="96">
        <f>IF(R132=1,Calculations!R221," ")</f>
        <v>1.4685337134515648</v>
      </c>
      <c r="S178" s="96">
        <f>IF(S132=1,Calculations!S221," ")</f>
        <v>1.5125897248551119</v>
      </c>
      <c r="T178" s="96">
        <f>IF(T132=1,Calculations!T221," ")</f>
        <v>1.5579674166007653</v>
      </c>
      <c r="U178" s="96">
        <f>IF(U132=1,Calculations!U221," ")</f>
        <v>1.6047064390987884</v>
      </c>
      <c r="V178" s="96">
        <f>IF(V132=1,Calculations!V221," ")</f>
        <v>1.652847632271752</v>
      </c>
      <c r="W178" s="96">
        <f>IF(W132=1,Calculations!W221," ")</f>
        <v>1.7024330612399046</v>
      </c>
      <c r="X178" s="96">
        <f>IF(X132=1,Calculations!X221," ")</f>
        <v>1.7535060530771018</v>
      </c>
      <c r="Y178" s="96">
        <f>IF(Y132=1,Calculations!Y221," ")</f>
        <v>1.806111234669415</v>
      </c>
      <c r="Z178" s="96">
        <f>IF(Z132=1,Calculations!Z221," ")</f>
        <v>1.8602945717094976</v>
      </c>
      <c r="AA178" s="96">
        <f>IF(AA132=1,Calculations!AA221," ")</f>
        <v>1.9161034088607827</v>
      </c>
      <c r="AB178" s="96">
        <f>IF(AB132=1,Calculations!AB221," ")</f>
        <v>1.9735865111266062</v>
      </c>
      <c r="AC178" s="96">
        <f>IF(AC132=1,Calculations!AC221," ")</f>
        <v>2.0327941064604045</v>
      </c>
      <c r="AD178" s="96">
        <f>IF(AD132=1,Calculations!AD221," ")</f>
        <v>2.0937779296542165</v>
      </c>
      <c r="AE178" s="96">
        <f>IF(AE132=1,Calculations!AE221," ")</f>
        <v>2.1565912675438432</v>
      </c>
      <c r="AF178" s="96">
        <f>IF(AF132=1,Calculations!AF221," ")</f>
        <v>2.2212890055701586</v>
      </c>
      <c r="AG178" s="96">
        <f>IF(AG132=1,Calculations!AG221," ")</f>
        <v>2.2879276757372633</v>
      </c>
      <c r="AH178" s="96">
        <f>IF(AH132=1,Calculations!AH221," ")</f>
        <v>2.3565655060093813</v>
      </c>
    </row>
    <row r="179" spans="1:34" s="412" customFormat="1" x14ac:dyDescent="0.2">
      <c r="A179" s="18"/>
      <c r="B179" s="80" t="str">
        <f t="shared" si="11"/>
        <v>Commodity 7</v>
      </c>
      <c r="C179" s="80"/>
      <c r="D179" s="80"/>
      <c r="E179" s="96">
        <f>IF(E132=1,Calculations!E223,0)</f>
        <v>1</v>
      </c>
      <c r="F179" s="96">
        <f>IF(F132=1,Calculations!F223,0)</f>
        <v>1.03</v>
      </c>
      <c r="G179" s="96">
        <f>IF(G132=1,Calculations!G223,0)</f>
        <v>1.0609</v>
      </c>
      <c r="H179" s="96">
        <f>IF(H132=1,Calculations!H223,0)</f>
        <v>1.092727</v>
      </c>
      <c r="I179" s="96">
        <f>IF(I132=1,Calculations!I223,0)</f>
        <v>1.1255088100000001</v>
      </c>
      <c r="J179" s="96">
        <f>IF(J132=1,Calculations!J223,"  ")</f>
        <v>1.1592740743000001</v>
      </c>
      <c r="K179" s="96">
        <f>IF(K132=1,Calculations!K223,"  ")</f>
        <v>1.1940522965290001</v>
      </c>
      <c r="L179" s="96">
        <f>IF(L132=1,Calculations!L223,"  ")</f>
        <v>1.2298738654248702</v>
      </c>
      <c r="M179" s="96">
        <f>IF(M132=1,Calculations!M223,"  ")</f>
        <v>1.2667700813876164</v>
      </c>
      <c r="N179" s="96">
        <f>IF(N132=1,Calculations!N223,"  ")</f>
        <v>1.3047731838292449</v>
      </c>
      <c r="O179" s="96">
        <f>IF(O132=1,Calculations!O223,"  ")</f>
        <v>1.3439163793441222</v>
      </c>
      <c r="P179" s="96">
        <f>IF(P132=1,Calculations!P223,"  ")</f>
        <v>1.3842338707244459</v>
      </c>
      <c r="Q179" s="96">
        <f>IF(Q132=1,Calculations!Q223,"  ")</f>
        <v>1.4257608868461793</v>
      </c>
      <c r="R179" s="96">
        <f>IF(R132=1,Calculations!R223,"  ")</f>
        <v>1.4685337134515648</v>
      </c>
      <c r="S179" s="96">
        <f>IF(S132=1,Calculations!S223,"  ")</f>
        <v>1.5125897248551119</v>
      </c>
      <c r="T179" s="96">
        <f>IF(T132=1,Calculations!T223,"  ")</f>
        <v>1.5579674166007653</v>
      </c>
      <c r="U179" s="96">
        <f>IF(U132=1,Calculations!U223,"  ")</f>
        <v>1.6047064390987884</v>
      </c>
      <c r="V179" s="96">
        <f>IF(V132=1,Calculations!V223,"  ")</f>
        <v>1.652847632271752</v>
      </c>
      <c r="W179" s="96">
        <f>IF(W132=1,Calculations!W223,"  ")</f>
        <v>1.7024330612399046</v>
      </c>
      <c r="X179" s="96">
        <f>IF(X132=1,Calculations!X223,"  ")</f>
        <v>1.7535060530771018</v>
      </c>
      <c r="Y179" s="96">
        <f>IF(Y132=1,Calculations!Y223,"  ")</f>
        <v>1.806111234669415</v>
      </c>
      <c r="Z179" s="96">
        <f>IF(Z132=1,Calculations!Z223,"  ")</f>
        <v>1.8602945717094976</v>
      </c>
      <c r="AA179" s="96">
        <f>IF(AA132=1,Calculations!AA223,"  ")</f>
        <v>1.9161034088607827</v>
      </c>
      <c r="AB179" s="96">
        <f>IF(AB132=1,Calculations!AB223,"  ")</f>
        <v>1.9735865111266062</v>
      </c>
      <c r="AC179" s="96">
        <f>IF(AC132=1,Calculations!AC223,"  ")</f>
        <v>2.0327941064604045</v>
      </c>
      <c r="AD179" s="96">
        <f>IF(AD132=1,Calculations!AD223,"  ")</f>
        <v>2.0937779296542165</v>
      </c>
      <c r="AE179" s="96">
        <f>IF(AE132=1,Calculations!AE223,"  ")</f>
        <v>2.1565912675438432</v>
      </c>
      <c r="AF179" s="96">
        <f>IF(AF132=1,Calculations!AF223,"  ")</f>
        <v>2.2212890055701586</v>
      </c>
      <c r="AG179" s="96">
        <f>IF(AG132=1,Calculations!AG223,"  ")</f>
        <v>2.2879276757372633</v>
      </c>
      <c r="AH179" s="96">
        <f>IF(AH132=1,Calculations!AH223,"  ")</f>
        <v>2.3565655060093813</v>
      </c>
    </row>
    <row r="180" spans="1:34" s="412" customFormat="1" x14ac:dyDescent="0.2">
      <c r="A180" s="18"/>
      <c r="B180" s="80" t="str">
        <f t="shared" si="11"/>
        <v>Commodity 8</v>
      </c>
      <c r="C180" s="80"/>
      <c r="D180" s="80"/>
      <c r="E180" s="96">
        <f>IF(E132=1,Calculations!E225,0)</f>
        <v>1</v>
      </c>
      <c r="F180" s="96">
        <f>IF(F132=1,Calculations!F225,0)</f>
        <v>1.03</v>
      </c>
      <c r="G180" s="96">
        <f>IF(G132=1,Calculations!G225,0)</f>
        <v>1.0609</v>
      </c>
      <c r="H180" s="96">
        <f>IF(H132=1,Calculations!H225,0)</f>
        <v>1.092727</v>
      </c>
      <c r="I180" s="96">
        <f>IF(I132=1,Calculations!I225,0)</f>
        <v>1.1255088100000001</v>
      </c>
      <c r="J180" s="96">
        <f>IF(J132=1,Calculations!J225," ")</f>
        <v>1.1592740743000001</v>
      </c>
      <c r="K180" s="96">
        <f>IF(K132=1,Calculations!K225," ")</f>
        <v>1.1940522965290001</v>
      </c>
      <c r="L180" s="96">
        <f>IF(L132=1,Calculations!L225," ")</f>
        <v>1.2298738654248702</v>
      </c>
      <c r="M180" s="96">
        <f>IF(M132=1,Calculations!M225," ")</f>
        <v>1.2667700813876164</v>
      </c>
      <c r="N180" s="96">
        <f>IF(N132=1,Calculations!N225," ")</f>
        <v>1.3047731838292449</v>
      </c>
      <c r="O180" s="96">
        <f>IF(O132=1,Calculations!O225," ")</f>
        <v>1.3439163793441222</v>
      </c>
      <c r="P180" s="96">
        <f>IF(P132=1,Calculations!P225," ")</f>
        <v>1.3842338707244459</v>
      </c>
      <c r="Q180" s="96">
        <f>IF(Q132=1,Calculations!Q225," ")</f>
        <v>1.4257608868461793</v>
      </c>
      <c r="R180" s="96">
        <f>IF(R132=1,Calculations!R225," ")</f>
        <v>1.4685337134515648</v>
      </c>
      <c r="S180" s="96">
        <f>IF(S132=1,Calculations!S225," ")</f>
        <v>1.5125897248551119</v>
      </c>
      <c r="T180" s="96">
        <f>IF(T132=1,Calculations!T225," ")</f>
        <v>1.5579674166007653</v>
      </c>
      <c r="U180" s="96">
        <f>IF(U132=1,Calculations!U225," ")</f>
        <v>1.6047064390987884</v>
      </c>
      <c r="V180" s="96">
        <f>IF(V132=1,Calculations!V225," ")</f>
        <v>1.652847632271752</v>
      </c>
      <c r="W180" s="96">
        <f>IF(W132=1,Calculations!W225," ")</f>
        <v>1.7024330612399046</v>
      </c>
      <c r="X180" s="96">
        <f>IF(X132=1,Calculations!X225," ")</f>
        <v>1.7535060530771018</v>
      </c>
      <c r="Y180" s="96">
        <f>IF(Y132=1,Calculations!Y225," ")</f>
        <v>1.806111234669415</v>
      </c>
      <c r="Z180" s="96">
        <f>IF(Z132=1,Calculations!Z225," ")</f>
        <v>1.8602945717094976</v>
      </c>
      <c r="AA180" s="96">
        <f>IF(AA132=1,Calculations!AA225," ")</f>
        <v>1.9161034088607827</v>
      </c>
      <c r="AB180" s="96">
        <f>IF(AB132=1,Calculations!AB225," ")</f>
        <v>1.9735865111266062</v>
      </c>
      <c r="AC180" s="96">
        <f>IF(AC132=1,Calculations!AC225," ")</f>
        <v>2.0327941064604045</v>
      </c>
      <c r="AD180" s="96">
        <f>IF(AD132=1,Calculations!AD225," ")</f>
        <v>2.0937779296542165</v>
      </c>
      <c r="AE180" s="96">
        <f>IF(AE132=1,Calculations!AE225," ")</f>
        <v>2.1565912675438432</v>
      </c>
      <c r="AF180" s="96">
        <f>IF(AF132=1,Calculations!AF225," ")</f>
        <v>2.2212890055701586</v>
      </c>
      <c r="AG180" s="96">
        <f>IF(AG132=1,Calculations!AG225," ")</f>
        <v>2.2879276757372633</v>
      </c>
      <c r="AH180" s="96">
        <f>IF(AH132=1,Calculations!AH225," ")</f>
        <v>2.3565655060093813</v>
      </c>
    </row>
    <row r="181" spans="1:34" s="412" customFormat="1" x14ac:dyDescent="0.2">
      <c r="A181" s="18"/>
      <c r="B181" s="80" t="str">
        <f t="shared" si="11"/>
        <v>Commodity 9</v>
      </c>
      <c r="C181" s="80"/>
      <c r="D181" s="80"/>
      <c r="E181" s="96">
        <f>IF(E132=1,Calculations!E227,0)</f>
        <v>1</v>
      </c>
      <c r="F181" s="96">
        <f>IF(F132=1,Calculations!F227,0)</f>
        <v>1.0287999999999999</v>
      </c>
      <c r="G181" s="96">
        <f>IF(G132=1,Calculations!G227,0)</f>
        <v>1.0584294399999998</v>
      </c>
      <c r="H181" s="96">
        <f>IF(H132=1,Calculations!H227,0)</f>
        <v>1.0889122078719997</v>
      </c>
      <c r="I181" s="96">
        <f>IF(I132=1,Calculations!I227,0)</f>
        <v>1.1202728794587133</v>
      </c>
      <c r="J181" s="96">
        <f>IF(J132=1,Calculations!J227," ")</f>
        <v>1.1525367383871241</v>
      </c>
      <c r="K181" s="96">
        <f>IF(K132=1,Calculations!K227," ")</f>
        <v>1.1857297964526732</v>
      </c>
      <c r="L181" s="96">
        <f>IF(L132=1,Calculations!L227," ")</f>
        <v>1.2198788145905102</v>
      </c>
      <c r="M181" s="96">
        <f>IF(M132=1,Calculations!M227," ")</f>
        <v>1.2550113244507168</v>
      </c>
      <c r="N181" s="96">
        <f>IF(N132=1,Calculations!N227," ")</f>
        <v>1.2911556505948973</v>
      </c>
      <c r="O181" s="96">
        <f>IF(O132=1,Calculations!O227," ")</f>
        <v>1.3283409333320304</v>
      </c>
      <c r="P181" s="96">
        <f>IF(P132=1,Calculations!P227," ")</f>
        <v>1.3665971522119928</v>
      </c>
      <c r="Q181" s="96">
        <f>IF(Q132=1,Calculations!Q227," ")</f>
        <v>1.4059551501956982</v>
      </c>
      <c r="R181" s="96">
        <f>IF(R132=1,Calculations!R227," ")</f>
        <v>1.4464466585213342</v>
      </c>
      <c r="S181" s="96">
        <f>IF(S132=1,Calculations!S227," ")</f>
        <v>1.4881043222867485</v>
      </c>
      <c r="T181" s="96">
        <f>IF(T132=1,Calculations!T227," ")</f>
        <v>1.5309617267686066</v>
      </c>
      <c r="U181" s="96">
        <f>IF(U132=1,Calculations!U227," ")</f>
        <v>1.5750534244995424</v>
      </c>
      <c r="V181" s="96">
        <f>IF(V132=1,Calculations!V227," ")</f>
        <v>1.6204149631251292</v>
      </c>
      <c r="W181" s="96">
        <f>IF(W132=1,Calculations!W227," ")</f>
        <v>1.6670829140631329</v>
      </c>
      <c r="X181" s="96">
        <f>IF(X132=1,Calculations!X227," ")</f>
        <v>1.715094901988151</v>
      </c>
      <c r="Y181" s="96">
        <f>IF(Y132=1,Calculations!Y227," ")</f>
        <v>1.7644896351654096</v>
      </c>
      <c r="Z181" s="96">
        <f>IF(Z132=1,Calculations!Z227," ")</f>
        <v>1.8153069366581733</v>
      </c>
      <c r="AA181" s="96">
        <f>IF(AA132=1,Calculations!AA227," ")</f>
        <v>1.8675877764339286</v>
      </c>
      <c r="AB181" s="96">
        <f>IF(AB132=1,Calculations!AB227," ")</f>
        <v>1.9213743043952256</v>
      </c>
      <c r="AC181" s="96">
        <f>IF(AC132=1,Calculations!AC227," ")</f>
        <v>1.9767098843618081</v>
      </c>
      <c r="AD181" s="96">
        <f>IF(AD132=1,Calculations!AD227," ")</f>
        <v>2.0336391290314282</v>
      </c>
      <c r="AE181" s="96">
        <f>IF(AE132=1,Calculations!AE227," ")</f>
        <v>2.0922079359475334</v>
      </c>
      <c r="AF181" s="96">
        <f>IF(AF132=1,Calculations!AF227," ")</f>
        <v>2.1524635245028221</v>
      </c>
      <c r="AG181" s="96">
        <f>IF(AG132=1,Calculations!AG227," ")</f>
        <v>2.214454474008503</v>
      </c>
      <c r="AH181" s="96">
        <f>IF(AH132=1,Calculations!AH227," ")</f>
        <v>2.2782307628599479</v>
      </c>
    </row>
    <row r="182" spans="1:34" s="412" customFormat="1" x14ac:dyDescent="0.2">
      <c r="A182" s="18"/>
      <c r="B182" s="80" t="str">
        <f t="shared" si="11"/>
        <v>Commodity 10</v>
      </c>
      <c r="C182" s="80"/>
      <c r="D182" s="80"/>
      <c r="E182" s="96">
        <f>IF(E132=1,Calculations!E229,0)</f>
        <v>1</v>
      </c>
      <c r="F182" s="96">
        <f>IF(F132=1,Calculations!F229,0)</f>
        <v>1.0297000000000001</v>
      </c>
      <c r="G182" s="96">
        <f>IF(G132=1,Calculations!G229,0)</f>
        <v>1.0602820900000001</v>
      </c>
      <c r="H182" s="96">
        <f>IF(H132=1,Calculations!H229,0)</f>
        <v>1.0917724680730001</v>
      </c>
      <c r="I182" s="96">
        <f>IF(I132=1,Calculations!I229,0)</f>
        <v>1.1241981103747682</v>
      </c>
      <c r="J182" s="96">
        <f>IF(J132=1,Calculations!J229," ")</f>
        <v>1.157586794252899</v>
      </c>
      <c r="K182" s="96">
        <f>IF(K132=1,Calculations!K229," ")</f>
        <v>1.1919671220422101</v>
      </c>
      <c r="L182" s="96">
        <f>IF(L132=1,Calculations!L229," ")</f>
        <v>1.2273685455668639</v>
      </c>
      <c r="M182" s="96">
        <f>IF(M132=1,Calculations!M229," ")</f>
        <v>1.2638213913701999</v>
      </c>
      <c r="N182" s="96">
        <f>IF(N132=1,Calculations!N229," ")</f>
        <v>1.3013568866938949</v>
      </c>
      <c r="O182" s="96">
        <f>IF(O132=1,Calculations!O229," ")</f>
        <v>1.3400071862287037</v>
      </c>
      <c r="P182" s="96">
        <f>IF(P132=1,Calculations!P229," ")</f>
        <v>1.3798053996596964</v>
      </c>
      <c r="Q182" s="96">
        <f>IF(Q132=1,Calculations!Q229," ")</f>
        <v>1.4207856200295894</v>
      </c>
      <c r="R182" s="96">
        <f>IF(R132=1,Calculations!R229," ")</f>
        <v>1.4629829529444682</v>
      </c>
      <c r="S182" s="96">
        <f>IF(S132=1,Calculations!S229," ")</f>
        <v>1.506433546646919</v>
      </c>
      <c r="T182" s="96">
        <f>IF(T132=1,Calculations!T229," ")</f>
        <v>1.5511746229823327</v>
      </c>
      <c r="U182" s="96">
        <f>IF(U132=1,Calculations!U229," ")</f>
        <v>1.5972445092849081</v>
      </c>
      <c r="V182" s="96">
        <f>IF(V132=1,Calculations!V229," ")</f>
        <v>1.6446826712106699</v>
      </c>
      <c r="W182" s="96">
        <f>IF(W132=1,Calculations!W229," ")</f>
        <v>1.6935297465456269</v>
      </c>
      <c r="X182" s="96">
        <f>IF(X132=1,Calculations!X229," ")</f>
        <v>1.7438275800180321</v>
      </c>
      <c r="Y182" s="96">
        <f>IF(Y132=1,Calculations!Y229," ")</f>
        <v>1.7956192591445677</v>
      </c>
      <c r="Z182" s="96">
        <f>IF(Z132=1,Calculations!Z229," ")</f>
        <v>1.8489491511411613</v>
      </c>
      <c r="AA182" s="96">
        <f>IF(AA132=1,Calculations!AA229," ")</f>
        <v>1.9038629409300538</v>
      </c>
      <c r="AB182" s="96">
        <f>IF(AB132=1,Calculations!AB229," ")</f>
        <v>1.9604076702756765</v>
      </c>
      <c r="AC182" s="96">
        <f>IF(AC132=1,Calculations!AC229," ")</f>
        <v>2.0186317780828644</v>
      </c>
      <c r="AD182" s="96">
        <f>IF(AD132=1,Calculations!AD229," ")</f>
        <v>2.0785851418919257</v>
      </c>
      <c r="AE182" s="96">
        <f>IF(AE132=1,Calculations!AE229," ")</f>
        <v>2.1403191206061161</v>
      </c>
      <c r="AF182" s="96">
        <f>IF(AF132=1,Calculations!AF229," ")</f>
        <v>2.203886598488118</v>
      </c>
      <c r="AG182" s="96">
        <f>IF(AG132=1,Calculations!AG229," ")</f>
        <v>2.269342030463215</v>
      </c>
      <c r="AH182" s="96">
        <f>IF(AH132=1,Calculations!AH229," ")</f>
        <v>2.3367414887679727</v>
      </c>
    </row>
    <row r="183" spans="1:34" s="412" customFormat="1" x14ac:dyDescent="0.2">
      <c r="A183" s="18"/>
      <c r="B183" s="80" t="s">
        <v>297</v>
      </c>
      <c r="C183" s="80"/>
      <c r="D183" s="80"/>
      <c r="E183" s="128" t="str">
        <f>IF(E132=1,IF(($E172+SUM($F$132:$AH$132))=E172,(SUM(E173:E182)/SUM($E173:$E182))^(1/SUM($F$132:$AH$132))-1," "),0)</f>
        <v xml:space="preserve"> </v>
      </c>
      <c r="F183" s="128" t="str">
        <f t="shared" ref="F183:I183" si="12">IF(F132=1,IF(($E172+SUM($F$132:$AH$132))=F172,(SUM(F173:F182)/SUM($E173:$E182))^(1/SUM($F$132:$AH$132))-1," "),0)</f>
        <v xml:space="preserve"> </v>
      </c>
      <c r="G183" s="128" t="str">
        <f t="shared" si="12"/>
        <v xml:space="preserve"> </v>
      </c>
      <c r="H183" s="128" t="str">
        <f t="shared" si="12"/>
        <v xml:space="preserve"> </v>
      </c>
      <c r="I183" s="128" t="str">
        <f t="shared" si="12"/>
        <v xml:space="preserve"> </v>
      </c>
      <c r="J183" s="128" t="str">
        <f t="shared" ref="J183:AH183" si="13">IF(J132=1,IF(($E172+SUM($F$132:$AH$132))=J172,(SUM(J173:J182)/SUM($E173:$E182))^(1/SUM($F$132:$AH$132))-1," ")," ")</f>
        <v xml:space="preserve"> </v>
      </c>
      <c r="K183" s="128" t="str">
        <f t="shared" si="13"/>
        <v xml:space="preserve"> </v>
      </c>
      <c r="L183" s="128" t="str">
        <f t="shared" si="13"/>
        <v xml:space="preserve"> </v>
      </c>
      <c r="M183" s="128" t="str">
        <f t="shared" si="13"/>
        <v xml:space="preserve"> </v>
      </c>
      <c r="N183" s="128" t="str">
        <f t="shared" si="13"/>
        <v xml:space="preserve"> </v>
      </c>
      <c r="O183" s="128" t="str">
        <f t="shared" si="13"/>
        <v xml:space="preserve"> </v>
      </c>
      <c r="P183" s="128" t="str">
        <f t="shared" si="13"/>
        <v xml:space="preserve"> </v>
      </c>
      <c r="Q183" s="128" t="str">
        <f t="shared" si="13"/>
        <v xml:space="preserve"> </v>
      </c>
      <c r="R183" s="128" t="str">
        <f t="shared" si="13"/>
        <v xml:space="preserve"> </v>
      </c>
      <c r="S183" s="128" t="str">
        <f t="shared" si="13"/>
        <v xml:space="preserve"> </v>
      </c>
      <c r="T183" s="128" t="str">
        <f t="shared" si="13"/>
        <v xml:space="preserve"> </v>
      </c>
      <c r="U183" s="128" t="str">
        <f t="shared" si="13"/>
        <v xml:space="preserve"> </v>
      </c>
      <c r="V183" s="128" t="str">
        <f t="shared" si="13"/>
        <v xml:space="preserve"> </v>
      </c>
      <c r="W183" s="128" t="str">
        <f t="shared" si="13"/>
        <v xml:space="preserve"> </v>
      </c>
      <c r="X183" s="128" t="str">
        <f t="shared" si="13"/>
        <v xml:space="preserve"> </v>
      </c>
      <c r="Y183" s="128" t="str">
        <f t="shared" si="13"/>
        <v xml:space="preserve"> </v>
      </c>
      <c r="Z183" s="128" t="str">
        <f t="shared" si="13"/>
        <v xml:space="preserve"> </v>
      </c>
      <c r="AA183" s="128" t="str">
        <f t="shared" si="13"/>
        <v xml:space="preserve"> </v>
      </c>
      <c r="AB183" s="128" t="str">
        <f t="shared" si="13"/>
        <v xml:space="preserve"> </v>
      </c>
      <c r="AC183" s="128" t="str">
        <f t="shared" si="13"/>
        <v xml:space="preserve"> </v>
      </c>
      <c r="AD183" s="128" t="str">
        <f t="shared" si="13"/>
        <v xml:space="preserve"> </v>
      </c>
      <c r="AE183" s="128" t="str">
        <f t="shared" si="13"/>
        <v xml:space="preserve"> </v>
      </c>
      <c r="AF183" s="128" t="str">
        <f t="shared" si="13"/>
        <v xml:space="preserve"> </v>
      </c>
      <c r="AG183" s="128" t="str">
        <f t="shared" si="13"/>
        <v xml:space="preserve"> </v>
      </c>
      <c r="AH183" s="128">
        <f t="shared" si="13"/>
        <v>2.793849210418764E-2</v>
      </c>
    </row>
    <row r="184" spans="1:34" s="412" customFormat="1" x14ac:dyDescent="0.2">
      <c r="A184" s="18"/>
      <c r="B184" s="80"/>
      <c r="C184" s="80"/>
      <c r="D184" s="80"/>
      <c r="E184" s="96"/>
      <c r="F184" s="96"/>
      <c r="G184" s="96"/>
      <c r="H184" s="96"/>
      <c r="I184" s="96"/>
      <c r="J184" s="96"/>
      <c r="K184" s="96"/>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row>
    <row r="185" spans="1:34" s="412" customFormat="1" x14ac:dyDescent="0.2">
      <c r="A185" s="18"/>
      <c r="B185" s="90" t="s">
        <v>131</v>
      </c>
      <c r="C185" s="80"/>
      <c r="D185" s="80"/>
      <c r="E185" s="80" t="s">
        <v>531</v>
      </c>
      <c r="F185" s="80" t="str">
        <f>'Assumptions - General'!E27</f>
        <v>R$</v>
      </c>
      <c r="G185" s="80"/>
      <c r="H185" s="80" t="s">
        <v>308</v>
      </c>
      <c r="I185" s="80" t="s">
        <v>528</v>
      </c>
      <c r="J185" s="80"/>
      <c r="K185" s="80" t="s">
        <v>532</v>
      </c>
      <c r="L185" s="80"/>
      <c r="M185" s="143" t="str">
        <f>E134</f>
        <v>R$ millions</v>
      </c>
      <c r="N185" s="80"/>
      <c r="O185" s="80"/>
      <c r="P185" s="80"/>
      <c r="Q185" s="80"/>
      <c r="R185" s="80"/>
      <c r="S185" s="80"/>
      <c r="T185" s="80"/>
      <c r="U185" s="80"/>
      <c r="V185" s="80"/>
      <c r="W185" s="80"/>
      <c r="X185" s="80"/>
      <c r="Y185" s="80"/>
      <c r="Z185" s="80"/>
      <c r="AA185" s="80"/>
      <c r="AB185" s="80"/>
      <c r="AC185" s="80"/>
      <c r="AD185" s="80"/>
      <c r="AE185" s="80"/>
      <c r="AF185" s="80"/>
      <c r="AG185" s="80"/>
      <c r="AH185" s="80"/>
    </row>
    <row r="186" spans="1:34" s="412" customFormat="1" x14ac:dyDescent="0.2">
      <c r="A186" s="18"/>
      <c r="B186" s="80" t="s">
        <v>652</v>
      </c>
      <c r="C186" s="80"/>
      <c r="D186" s="80"/>
      <c r="E186" s="80">
        <f>IF(SUM(Calculations!E16:E21)&gt;=1,1,0)</f>
        <v>1</v>
      </c>
      <c r="F186" s="80">
        <f>IF(SUM(Calculations!F16:F21)&gt;=1,1,0)</f>
        <v>1</v>
      </c>
      <c r="G186" s="80">
        <f>IF(SUM(Calculations!G16:G21)&gt;=1,1,0)</f>
        <v>1</v>
      </c>
      <c r="H186" s="80">
        <f>IF(SUM(Calculations!H16:H21)&gt;=1,1,0)</f>
        <v>1</v>
      </c>
      <c r="I186" s="80">
        <f>IF(SUM(Calculations!I16:I21)&gt;=1,1,0)</f>
        <v>1</v>
      </c>
      <c r="J186" s="80">
        <f>IF(SUM(Calculations!J16:J21)&gt;=1,1,0)</f>
        <v>1</v>
      </c>
      <c r="K186" s="80">
        <f>IF(SUM(Calculations!K16:K21)&gt;=1,1,0)</f>
        <v>1</v>
      </c>
      <c r="L186" s="80">
        <f>IF(SUM(Calculations!L16:L21)&gt;=1,1,0)</f>
        <v>1</v>
      </c>
      <c r="M186" s="80">
        <f>IF(SUM(Calculations!M16:M21)&gt;=1,1,0)</f>
        <v>1</v>
      </c>
      <c r="N186" s="80">
        <f>IF(SUM(Calculations!N16:N21)&gt;=1,1,0)</f>
        <v>1</v>
      </c>
      <c r="O186" s="80">
        <f>IF(SUM(Calculations!O16:O21)&gt;=1,1,0)</f>
        <v>1</v>
      </c>
      <c r="P186" s="80">
        <f>IF(SUM(Calculations!P16:P21)&gt;=1,1,0)</f>
        <v>1</v>
      </c>
      <c r="Q186" s="80">
        <f>IF(SUM(Calculations!Q16:Q21)&gt;=1,1,0)</f>
        <v>1</v>
      </c>
      <c r="R186" s="80">
        <f>IF(SUM(Calculations!R16:R21)&gt;=1,1,0)</f>
        <v>1</v>
      </c>
      <c r="S186" s="80">
        <f>IF(SUM(Calculations!S16:S21)&gt;=1,1,0)</f>
        <v>1</v>
      </c>
      <c r="T186" s="80">
        <f>IF(SUM(Calculations!T16:T21)&gt;=1,1,0)</f>
        <v>1</v>
      </c>
      <c r="U186" s="80">
        <f>IF(SUM(Calculations!U16:U21)&gt;=1,1,0)</f>
        <v>1</v>
      </c>
      <c r="V186" s="80">
        <f>IF(SUM(Calculations!V16:V21)&gt;=1,1,0)</f>
        <v>1</v>
      </c>
      <c r="W186" s="80">
        <f>IF(SUM(Calculations!W16:W21)&gt;=1,1,0)</f>
        <v>1</v>
      </c>
      <c r="X186" s="80">
        <f>IF(SUM(Calculations!X16:X21)&gt;=1,1,0)</f>
        <v>1</v>
      </c>
      <c r="Y186" s="80">
        <f>IF(SUM(Calculations!Y16:Y21)&gt;=1,1,0)</f>
        <v>1</v>
      </c>
      <c r="Z186" s="80">
        <f>IF(SUM(Calculations!Z16:Z21)&gt;=1,1,0)</f>
        <v>1</v>
      </c>
      <c r="AA186" s="80">
        <f>IF(SUM(Calculations!AA16:AA21)&gt;=1,1,0)</f>
        <v>1</v>
      </c>
      <c r="AB186" s="80">
        <f>IF(SUM(Calculations!AB16:AB21)&gt;=1,1,0)</f>
        <v>1</v>
      </c>
      <c r="AC186" s="80">
        <f>IF(SUM(Calculations!AC16:AC21)&gt;=1,1,0)</f>
        <v>1</v>
      </c>
      <c r="AD186" s="80">
        <f>IF(SUM(Calculations!AD16:AD21)&gt;=1,1,0)</f>
        <v>1</v>
      </c>
      <c r="AE186" s="80">
        <f>IF(SUM(Calculations!AE16:AE21)&gt;=1,1,0)</f>
        <v>1</v>
      </c>
      <c r="AF186" s="80">
        <f>IF(SUM(Calculations!AF16:AF21)&gt;=1,1,0)</f>
        <v>1</v>
      </c>
      <c r="AG186" s="80">
        <f>IF(SUM(Calculations!AG16:AG21)&gt;=1,1,0)</f>
        <v>1</v>
      </c>
      <c r="AH186" s="80">
        <f>IF(SUM(Calculations!AH16:AH21)&gt;=1,1,0)</f>
        <v>1</v>
      </c>
    </row>
    <row r="187" spans="1:34" s="412" customFormat="1" x14ac:dyDescent="0.2">
      <c r="A187" s="18"/>
      <c r="B187" s="80"/>
      <c r="C187" s="80"/>
      <c r="D187" s="80"/>
      <c r="E187" s="93">
        <f>YEAR(E$131)</f>
        <v>2010</v>
      </c>
      <c r="F187" s="93">
        <f t="shared" ref="F187:AH187" si="14">YEAR(F$131)</f>
        <v>2011</v>
      </c>
      <c r="G187" s="93">
        <f t="shared" si="14"/>
        <v>2012</v>
      </c>
      <c r="H187" s="93">
        <f t="shared" si="14"/>
        <v>2013</v>
      </c>
      <c r="I187" s="93">
        <f t="shared" si="14"/>
        <v>2014</v>
      </c>
      <c r="J187" s="93">
        <f t="shared" si="14"/>
        <v>2015</v>
      </c>
      <c r="K187" s="93">
        <f t="shared" si="14"/>
        <v>2016</v>
      </c>
      <c r="L187" s="93">
        <f t="shared" si="14"/>
        <v>2017</v>
      </c>
      <c r="M187" s="93">
        <f t="shared" si="14"/>
        <v>2018</v>
      </c>
      <c r="N187" s="93">
        <f t="shared" si="14"/>
        <v>2019</v>
      </c>
      <c r="O187" s="93">
        <f t="shared" si="14"/>
        <v>2020</v>
      </c>
      <c r="P187" s="93">
        <f t="shared" si="14"/>
        <v>2021</v>
      </c>
      <c r="Q187" s="93">
        <f t="shared" si="14"/>
        <v>2022</v>
      </c>
      <c r="R187" s="93">
        <f t="shared" si="14"/>
        <v>2023</v>
      </c>
      <c r="S187" s="93">
        <f t="shared" si="14"/>
        <v>2024</v>
      </c>
      <c r="T187" s="93">
        <f t="shared" si="14"/>
        <v>2025</v>
      </c>
      <c r="U187" s="93">
        <f t="shared" si="14"/>
        <v>2026</v>
      </c>
      <c r="V187" s="93">
        <f t="shared" si="14"/>
        <v>2027</v>
      </c>
      <c r="W187" s="93">
        <f t="shared" si="14"/>
        <v>2028</v>
      </c>
      <c r="X187" s="93">
        <f t="shared" si="14"/>
        <v>2029</v>
      </c>
      <c r="Y187" s="93">
        <f t="shared" si="14"/>
        <v>2030</v>
      </c>
      <c r="Z187" s="93">
        <f t="shared" si="14"/>
        <v>2031</v>
      </c>
      <c r="AA187" s="93">
        <f t="shared" si="14"/>
        <v>2032</v>
      </c>
      <c r="AB187" s="93">
        <f t="shared" si="14"/>
        <v>2033</v>
      </c>
      <c r="AC187" s="93">
        <f t="shared" si="14"/>
        <v>2034</v>
      </c>
      <c r="AD187" s="93">
        <f t="shared" si="14"/>
        <v>2035</v>
      </c>
      <c r="AE187" s="93">
        <f t="shared" si="14"/>
        <v>2036</v>
      </c>
      <c r="AF187" s="93">
        <f t="shared" si="14"/>
        <v>2037</v>
      </c>
      <c r="AG187" s="93">
        <f t="shared" si="14"/>
        <v>2038</v>
      </c>
      <c r="AH187" s="93">
        <f t="shared" si="14"/>
        <v>2039</v>
      </c>
    </row>
    <row r="188" spans="1:34" s="412" customFormat="1" x14ac:dyDescent="0.2">
      <c r="A188" s="18"/>
      <c r="B188" s="80" t="str">
        <f>'Assumptions - General'!E27&amp;" per GTK"</f>
        <v>R$ per GTK</v>
      </c>
      <c r="C188" s="80"/>
      <c r="D188" s="80"/>
      <c r="E188" s="98">
        <f>Calculations!E1115</f>
        <v>0.25</v>
      </c>
      <c r="F188" s="98">
        <f>Calculations!F1115</f>
        <v>0.25750000000000001</v>
      </c>
      <c r="G188" s="98">
        <f>Calculations!G1115</f>
        <v>0.26522499999999999</v>
      </c>
      <c r="H188" s="98">
        <f>Calculations!H1115</f>
        <v>0.27318175</v>
      </c>
      <c r="I188" s="98">
        <f>Calculations!I1115</f>
        <v>0.28137720250000003</v>
      </c>
      <c r="J188" s="98">
        <f>Calculations!J1115</f>
        <v>0.28981851857500002</v>
      </c>
      <c r="K188" s="98">
        <f>Calculations!K1115</f>
        <v>0.29851307413225003</v>
      </c>
      <c r="L188" s="98">
        <f>Calculations!L1115</f>
        <v>0.30746846635621755</v>
      </c>
      <c r="M188" s="98">
        <f>Calculations!M1115</f>
        <v>0.31669252034690409</v>
      </c>
      <c r="N188" s="98">
        <f>Calculations!N1115</f>
        <v>0.32619329595731122</v>
      </c>
      <c r="O188" s="98">
        <f>Calculations!O1115</f>
        <v>0.33597909483603056</v>
      </c>
      <c r="P188" s="98">
        <f>Calculations!P1115</f>
        <v>0.34605846768111148</v>
      </c>
      <c r="Q188" s="98">
        <f>Calculations!Q1115</f>
        <v>0.35644022171154482</v>
      </c>
      <c r="R188" s="98">
        <f>Calculations!R1115</f>
        <v>0.3671334283628912</v>
      </c>
      <c r="S188" s="98">
        <f>Calculations!S1115</f>
        <v>0.37814743121377797</v>
      </c>
      <c r="T188" s="98">
        <f>Calculations!T1115</f>
        <v>0.38949185415019133</v>
      </c>
      <c r="U188" s="98">
        <f>Calculations!U1115</f>
        <v>0.4011766097746971</v>
      </c>
      <c r="V188" s="98">
        <f>Calculations!V1115</f>
        <v>0.41321190806793801</v>
      </c>
      <c r="W188" s="98">
        <f>Calculations!W1115</f>
        <v>0.42560826530997614</v>
      </c>
      <c r="X188" s="98">
        <f>Calculations!X1115</f>
        <v>0.43837651326927546</v>
      </c>
      <c r="Y188" s="98">
        <f>Calculations!Y1115</f>
        <v>0.45152780866735376</v>
      </c>
      <c r="Z188" s="98">
        <f>Calculations!Z1115</f>
        <v>0.46507364292737441</v>
      </c>
      <c r="AA188" s="98">
        <f>Calculations!AA1115</f>
        <v>0.47902585221519567</v>
      </c>
      <c r="AB188" s="98">
        <f>Calculations!AB1115</f>
        <v>0.49339662778165155</v>
      </c>
      <c r="AC188" s="98">
        <f>Calculations!AC1115</f>
        <v>0.50819852661510112</v>
      </c>
      <c r="AD188" s="98">
        <f>Calculations!AD1115</f>
        <v>0.52344448241355412</v>
      </c>
      <c r="AE188" s="98">
        <f>Calculations!AE1115</f>
        <v>0.53914781688596081</v>
      </c>
      <c r="AF188" s="98">
        <f>Calculations!AF1115</f>
        <v>0.55532225139253966</v>
      </c>
      <c r="AG188" s="98">
        <f>Calculations!AG1115</f>
        <v>0.57198191893431582</v>
      </c>
      <c r="AH188" s="98">
        <f>Calculations!AH1115</f>
        <v>0.58914137650234533</v>
      </c>
    </row>
    <row r="189" spans="1:34" s="412" customFormat="1" x14ac:dyDescent="0.2">
      <c r="A189" s="18"/>
      <c r="B189" s="80" t="str">
        <f>'Assumptions - General'!E27&amp;" per train-km"</f>
        <v>R$ per train-km</v>
      </c>
      <c r="C189" s="80"/>
      <c r="D189" s="80"/>
      <c r="E189" s="98">
        <f>Calculations!E1116</f>
        <v>0.25</v>
      </c>
      <c r="F189" s="98">
        <f>Calculations!F1116</f>
        <v>0.25750000000000001</v>
      </c>
      <c r="G189" s="98">
        <f>Calculations!G1116</f>
        <v>0.26522499999999999</v>
      </c>
      <c r="H189" s="98">
        <f>Calculations!H1116</f>
        <v>0.27318175</v>
      </c>
      <c r="I189" s="98">
        <f>Calculations!I1116</f>
        <v>0.28137720250000003</v>
      </c>
      <c r="J189" s="98">
        <f>Calculations!J1116</f>
        <v>0.28981851857500002</v>
      </c>
      <c r="K189" s="98">
        <f>Calculations!K1116</f>
        <v>0.29851307413225003</v>
      </c>
      <c r="L189" s="98">
        <f>Calculations!L1116</f>
        <v>0.30746846635621755</v>
      </c>
      <c r="M189" s="98">
        <f>Calculations!M1116</f>
        <v>0.31669252034690409</v>
      </c>
      <c r="N189" s="98">
        <f>Calculations!N1116</f>
        <v>0.32619329595731122</v>
      </c>
      <c r="O189" s="98">
        <f>Calculations!O1116</f>
        <v>0.33597909483603056</v>
      </c>
      <c r="P189" s="98">
        <f>Calculations!P1116</f>
        <v>0.34605846768111148</v>
      </c>
      <c r="Q189" s="98">
        <f>Calculations!Q1116</f>
        <v>0.35644022171154482</v>
      </c>
      <c r="R189" s="98">
        <f>Calculations!R1116</f>
        <v>0.3671334283628912</v>
      </c>
      <c r="S189" s="98">
        <f>Calculations!S1116</f>
        <v>0.37814743121377797</v>
      </c>
      <c r="T189" s="98">
        <f>Calculations!T1116</f>
        <v>0.38949185415019133</v>
      </c>
      <c r="U189" s="98">
        <f>Calculations!U1116</f>
        <v>0.4011766097746971</v>
      </c>
      <c r="V189" s="98">
        <f>Calculations!V1116</f>
        <v>0.41321190806793801</v>
      </c>
      <c r="W189" s="98">
        <f>Calculations!W1116</f>
        <v>0.42560826530997614</v>
      </c>
      <c r="X189" s="98">
        <f>Calculations!X1116</f>
        <v>0.43837651326927546</v>
      </c>
      <c r="Y189" s="98">
        <f>Calculations!Y1116</f>
        <v>0.45152780866735376</v>
      </c>
      <c r="Z189" s="98">
        <f>Calculations!Z1116</f>
        <v>0.46507364292737441</v>
      </c>
      <c r="AA189" s="98">
        <f>Calculations!AA1116</f>
        <v>0.47902585221519567</v>
      </c>
      <c r="AB189" s="98">
        <f>Calculations!AB1116</f>
        <v>0.49339662778165155</v>
      </c>
      <c r="AC189" s="98">
        <f>Calculations!AC1116</f>
        <v>0.50819852661510112</v>
      </c>
      <c r="AD189" s="98">
        <f>Calculations!AD1116</f>
        <v>0.52344448241355412</v>
      </c>
      <c r="AE189" s="98">
        <f>Calculations!AE1116</f>
        <v>0.53914781688596081</v>
      </c>
      <c r="AF189" s="98">
        <f>Calculations!AF1116</f>
        <v>0.55532225139253966</v>
      </c>
      <c r="AG189" s="98">
        <f>Calculations!AG1116</f>
        <v>0.57198191893431582</v>
      </c>
      <c r="AH189" s="98">
        <f>Calculations!AH1116</f>
        <v>0.58914137650234533</v>
      </c>
    </row>
    <row r="190" spans="1:34" s="412" customFormat="1" x14ac:dyDescent="0.2">
      <c r="A190" s="18"/>
      <c r="B190" s="80" t="s">
        <v>530</v>
      </c>
      <c r="C190" s="80"/>
      <c r="D190" s="80"/>
      <c r="E190" s="94">
        <f>IF(E132=1,Calculations!E1121,0)</f>
        <v>25162.500000000004</v>
      </c>
      <c r="F190" s="94">
        <f>IF(F132=1,Calculations!F1121,0)</f>
        <v>25600.775609756103</v>
      </c>
      <c r="G190" s="94">
        <f>IF(G132=1,Calculations!G1121,0)</f>
        <v>26368.798878048783</v>
      </c>
      <c r="H190" s="94">
        <f>IF(H132=1,Calculations!H1121,0)</f>
        <v>27159.862844390249</v>
      </c>
      <c r="I190" s="94">
        <f>IF(I132=1,Calculations!I1121,0)</f>
        <v>27974.658729721959</v>
      </c>
      <c r="J190" s="94">
        <f>IF(J132=1,Calculations!J1121," ")</f>
        <v>28813.898491613618</v>
      </c>
      <c r="K190" s="94">
        <f>IF(K132=1,Calculations!K1121," ")</f>
        <v>33388.104877157268</v>
      </c>
      <c r="L190" s="94">
        <f>IF(L132=1,Calculations!L1121," ")</f>
        <v>34389.748023471991</v>
      </c>
      <c r="M190" s="94">
        <f>IF(M132=1,Calculations!M1121," ")</f>
        <v>35421.440464176165</v>
      </c>
      <c r="N190" s="94">
        <f>IF(N132=1,Calculations!N1121," ")</f>
        <v>36484.083678101444</v>
      </c>
      <c r="O190" s="94">
        <f>IF(O132=1,Calculations!O1121," ")</f>
        <v>37578.606188444479</v>
      </c>
      <c r="P190" s="94">
        <f>IF(P132=1,Calculations!P1121," ")</f>
        <v>38705.964374097821</v>
      </c>
      <c r="Q190" s="94">
        <f>IF(Q132=1,Calculations!Q1121," ")</f>
        <v>39867.143305320758</v>
      </c>
      <c r="R190" s="94">
        <f>IF(R132=1,Calculations!R1121," ")</f>
        <v>41063.157604480381</v>
      </c>
      <c r="S190" s="94">
        <f>IF(S132=1,Calculations!S1121," ")</f>
        <v>42295.052332614796</v>
      </c>
      <c r="T190" s="94">
        <f>IF(T132=1,Calculations!T1121," ")</f>
        <v>43563.903902593236</v>
      </c>
      <c r="U190" s="94">
        <f>IF(U132=1,Calculations!U1121," ")</f>
        <v>44870.821019671035</v>
      </c>
      <c r="V190" s="94">
        <f>IF(V132=1,Calculations!V1121," ")</f>
        <v>46216.945650261172</v>
      </c>
      <c r="W190" s="94">
        <f>IF(W132=1,Calculations!W1121," ")</f>
        <v>47603.454019769008</v>
      </c>
      <c r="X190" s="94">
        <f>IF(X132=1,Calculations!X1121," ")</f>
        <v>49031.55764036208</v>
      </c>
      <c r="Y190" s="94">
        <f>IF(Y132=1,Calculations!Y1121," ")</f>
        <v>50502.504369572955</v>
      </c>
      <c r="Z190" s="94">
        <f>IF(Z132=1,Calculations!Z1121," ")</f>
        <v>52017.57950066014</v>
      </c>
      <c r="AA190" s="94">
        <f>IF(AA132=1,Calculations!AA1121," ")</f>
        <v>53578.106885679939</v>
      </c>
      <c r="AB190" s="94">
        <f>IF(AB132=1,Calculations!AB1121," ")</f>
        <v>55185.45009225035</v>
      </c>
      <c r="AC190" s="94">
        <f>IF(AC132=1,Calculations!AC1121," ")</f>
        <v>56841.013595017866</v>
      </c>
      <c r="AD190" s="94">
        <f>IF(AD132=1,Calculations!AD1121," ")</f>
        <v>58546.244002868392</v>
      </c>
      <c r="AE190" s="94">
        <f>IF(AE132=1,Calculations!AE1121," ")</f>
        <v>60302.631322954447</v>
      </c>
      <c r="AF190" s="94">
        <f>IF(AF132=1,Calculations!AF1121," ")</f>
        <v>62111.710262643086</v>
      </c>
      <c r="AG190" s="94">
        <f>IF(AG132=1,Calculations!AG1121," ")</f>
        <v>63975.061570522375</v>
      </c>
      <c r="AH190" s="94">
        <f>IF(AH132=1,Calculations!AH1121," ")</f>
        <v>65894.313417638055</v>
      </c>
    </row>
    <row r="191" spans="1:34" s="412" customFormat="1" x14ac:dyDescent="0.2">
      <c r="A191" s="18"/>
      <c r="B191" s="80" t="s">
        <v>430</v>
      </c>
      <c r="C191" s="80"/>
      <c r="D191" s="80"/>
      <c r="E191" s="128">
        <f>IF(AND(($E187+SUM($F$186:$AH$186))=E187,SUM($E$188:$E$188)&gt;0),(SUM(E188:E188)/SUM($E188:$E188))^(1/SUM($F$186:$AH$186))-1,0)</f>
        <v>0</v>
      </c>
      <c r="F191" s="128">
        <f t="shared" ref="F191:I191" si="15">IF(AND(($E187+SUM($F$186:$AH$186))=F187,SUM($E$188:$E$188)&gt;0),(SUM(F188:F188)/SUM($E188:$E188))^(1/SUM($F$186:$AH$186))-1,0)</f>
        <v>0</v>
      </c>
      <c r="G191" s="128">
        <f t="shared" si="15"/>
        <v>0</v>
      </c>
      <c r="H191" s="128">
        <f t="shared" si="15"/>
        <v>0</v>
      </c>
      <c r="I191" s="128">
        <f t="shared" si="15"/>
        <v>0</v>
      </c>
      <c r="J191" s="128" t="str">
        <f t="shared" ref="J191:AH191" si="16">IF(AND(($E187+SUM($F$186:$AH$186))=J187,SUM($E$188:$E$188)&gt;0),(SUM(J188:J188)/SUM($E188:$E188))^(1/SUM($F$186:$AH$186))-1," ")</f>
        <v xml:space="preserve"> </v>
      </c>
      <c r="K191" s="128" t="str">
        <f t="shared" si="16"/>
        <v xml:space="preserve"> </v>
      </c>
      <c r="L191" s="128" t="str">
        <f t="shared" si="16"/>
        <v xml:space="preserve"> </v>
      </c>
      <c r="M191" s="128" t="str">
        <f t="shared" si="16"/>
        <v xml:space="preserve"> </v>
      </c>
      <c r="N191" s="128" t="str">
        <f t="shared" si="16"/>
        <v xml:space="preserve"> </v>
      </c>
      <c r="O191" s="128" t="str">
        <f t="shared" si="16"/>
        <v xml:space="preserve"> </v>
      </c>
      <c r="P191" s="128" t="str">
        <f t="shared" si="16"/>
        <v xml:space="preserve"> </v>
      </c>
      <c r="Q191" s="128" t="str">
        <f t="shared" si="16"/>
        <v xml:space="preserve"> </v>
      </c>
      <c r="R191" s="128" t="str">
        <f t="shared" si="16"/>
        <v xml:space="preserve"> </v>
      </c>
      <c r="S191" s="128" t="str">
        <f t="shared" si="16"/>
        <v xml:space="preserve"> </v>
      </c>
      <c r="T191" s="128" t="str">
        <f t="shared" si="16"/>
        <v xml:space="preserve"> </v>
      </c>
      <c r="U191" s="128" t="str">
        <f t="shared" si="16"/>
        <v xml:space="preserve"> </v>
      </c>
      <c r="V191" s="128" t="str">
        <f t="shared" si="16"/>
        <v xml:space="preserve"> </v>
      </c>
      <c r="W191" s="128" t="str">
        <f t="shared" si="16"/>
        <v xml:space="preserve"> </v>
      </c>
      <c r="X191" s="128" t="str">
        <f t="shared" si="16"/>
        <v xml:space="preserve"> </v>
      </c>
      <c r="Y191" s="128" t="str">
        <f t="shared" si="16"/>
        <v xml:space="preserve"> </v>
      </c>
      <c r="Z191" s="128" t="str">
        <f t="shared" si="16"/>
        <v xml:space="preserve"> </v>
      </c>
      <c r="AA191" s="128" t="str">
        <f t="shared" si="16"/>
        <v xml:space="preserve"> </v>
      </c>
      <c r="AB191" s="128" t="str">
        <f t="shared" si="16"/>
        <v xml:space="preserve"> </v>
      </c>
      <c r="AC191" s="128" t="str">
        <f t="shared" si="16"/>
        <v xml:space="preserve"> </v>
      </c>
      <c r="AD191" s="128" t="str">
        <f t="shared" si="16"/>
        <v xml:space="preserve"> </v>
      </c>
      <c r="AE191" s="128" t="str">
        <f t="shared" si="16"/>
        <v xml:space="preserve"> </v>
      </c>
      <c r="AF191" s="128" t="str">
        <f t="shared" si="16"/>
        <v xml:space="preserve"> </v>
      </c>
      <c r="AG191" s="128" t="str">
        <f t="shared" si="16"/>
        <v xml:space="preserve"> </v>
      </c>
      <c r="AH191" s="128">
        <f t="shared" si="16"/>
        <v>3.0000000000000027E-2</v>
      </c>
    </row>
    <row r="192" spans="1:34" s="412" customFormat="1" x14ac:dyDescent="0.2">
      <c r="A192" s="18"/>
      <c r="B192" s="80" t="s">
        <v>431</v>
      </c>
      <c r="C192" s="80"/>
      <c r="D192" s="80"/>
      <c r="E192" s="128">
        <f>IF(AND(($E187+SUM($F$186:$AH$186))=E187,SUM($E$189:$E$189)&gt;0),(SUM(E189:E189)/SUM($E189:$E189))^(1/SUM($F$186:$AH$186))-1,0)</f>
        <v>0</v>
      </c>
      <c r="F192" s="128">
        <f t="shared" ref="F192:I192" si="17">IF(AND(($E187+SUM($F$186:$AH$186))=F187,SUM($E$189:$E$189)&gt;0),(SUM(F189:F189)/SUM($E189:$E189))^(1/SUM($F$186:$AH$186))-1,0)</f>
        <v>0</v>
      </c>
      <c r="G192" s="128">
        <f t="shared" si="17"/>
        <v>0</v>
      </c>
      <c r="H192" s="128">
        <f t="shared" si="17"/>
        <v>0</v>
      </c>
      <c r="I192" s="128">
        <f t="shared" si="17"/>
        <v>0</v>
      </c>
      <c r="J192" s="128" t="str">
        <f t="shared" ref="J192:AH192" si="18">IF(AND(($E187+SUM($F$186:$AH$186))=J187,SUM($E$189:$E$189)&gt;0),(SUM(J189:J189)/SUM($E189:$E189))^(1/SUM($F$186:$AH$186))-1," ")</f>
        <v xml:space="preserve"> </v>
      </c>
      <c r="K192" s="128" t="str">
        <f t="shared" si="18"/>
        <v xml:space="preserve"> </v>
      </c>
      <c r="L192" s="128" t="str">
        <f t="shared" si="18"/>
        <v xml:space="preserve"> </v>
      </c>
      <c r="M192" s="128" t="str">
        <f t="shared" si="18"/>
        <v xml:space="preserve"> </v>
      </c>
      <c r="N192" s="128" t="str">
        <f t="shared" si="18"/>
        <v xml:space="preserve"> </v>
      </c>
      <c r="O192" s="128" t="str">
        <f t="shared" si="18"/>
        <v xml:space="preserve"> </v>
      </c>
      <c r="P192" s="128" t="str">
        <f t="shared" si="18"/>
        <v xml:space="preserve"> </v>
      </c>
      <c r="Q192" s="128" t="str">
        <f t="shared" si="18"/>
        <v xml:space="preserve"> </v>
      </c>
      <c r="R192" s="128" t="str">
        <f t="shared" si="18"/>
        <v xml:space="preserve"> </v>
      </c>
      <c r="S192" s="128" t="str">
        <f t="shared" si="18"/>
        <v xml:space="preserve"> </v>
      </c>
      <c r="T192" s="128" t="str">
        <f t="shared" si="18"/>
        <v xml:space="preserve"> </v>
      </c>
      <c r="U192" s="128" t="str">
        <f t="shared" si="18"/>
        <v xml:space="preserve"> </v>
      </c>
      <c r="V192" s="128" t="str">
        <f t="shared" si="18"/>
        <v xml:space="preserve"> </v>
      </c>
      <c r="W192" s="128" t="str">
        <f t="shared" si="18"/>
        <v xml:space="preserve"> </v>
      </c>
      <c r="X192" s="128" t="str">
        <f t="shared" si="18"/>
        <v xml:space="preserve"> </v>
      </c>
      <c r="Y192" s="128" t="str">
        <f t="shared" si="18"/>
        <v xml:space="preserve"> </v>
      </c>
      <c r="Z192" s="128" t="str">
        <f t="shared" si="18"/>
        <v xml:space="preserve"> </v>
      </c>
      <c r="AA192" s="128" t="str">
        <f t="shared" si="18"/>
        <v xml:space="preserve"> </v>
      </c>
      <c r="AB192" s="128" t="str">
        <f t="shared" si="18"/>
        <v xml:space="preserve"> </v>
      </c>
      <c r="AC192" s="128" t="str">
        <f t="shared" si="18"/>
        <v xml:space="preserve"> </v>
      </c>
      <c r="AD192" s="128" t="str">
        <f t="shared" si="18"/>
        <v xml:space="preserve"> </v>
      </c>
      <c r="AE192" s="128" t="str">
        <f t="shared" si="18"/>
        <v xml:space="preserve"> </v>
      </c>
      <c r="AF192" s="128" t="str">
        <f t="shared" si="18"/>
        <v xml:space="preserve"> </v>
      </c>
      <c r="AG192" s="128" t="str">
        <f t="shared" si="18"/>
        <v xml:space="preserve"> </v>
      </c>
      <c r="AH192" s="128">
        <f t="shared" si="18"/>
        <v>3.0000000000000027E-2</v>
      </c>
    </row>
    <row r="193" spans="1:34" s="412" customFormat="1" x14ac:dyDescent="0.2">
      <c r="A193" s="18"/>
      <c r="B193" s="80"/>
      <c r="C193" s="80"/>
      <c r="D193" s="80"/>
      <c r="E193" s="80"/>
      <c r="F193" s="80"/>
      <c r="G193" s="80"/>
      <c r="H193" s="80"/>
      <c r="I193" s="80"/>
      <c r="J193" s="80"/>
      <c r="K193" s="80"/>
      <c r="L193" s="80"/>
      <c r="M193" s="80"/>
      <c r="N193" s="80"/>
      <c r="O193" s="80"/>
      <c r="P193" s="80"/>
      <c r="Q193" s="80"/>
      <c r="R193" s="80"/>
      <c r="S193" s="80"/>
      <c r="T193" s="80"/>
      <c r="U193" s="80"/>
      <c r="V193" s="80"/>
      <c r="W193" s="80"/>
      <c r="X193" s="80"/>
      <c r="Y193" s="80"/>
      <c r="Z193" s="80"/>
      <c r="AA193" s="80"/>
      <c r="AB193" s="80"/>
      <c r="AC193" s="80"/>
      <c r="AD193" s="80"/>
      <c r="AE193" s="80"/>
      <c r="AF193" s="80"/>
      <c r="AG193" s="80"/>
      <c r="AH193" s="80"/>
    </row>
    <row r="194" spans="1:34" s="412" customFormat="1" x14ac:dyDescent="0.2">
      <c r="A194" s="18"/>
      <c r="B194" s="90" t="s">
        <v>321</v>
      </c>
      <c r="C194" s="80"/>
      <c r="D194" s="80"/>
      <c r="E194" s="80"/>
      <c r="F194" s="80"/>
      <c r="G194" s="80"/>
      <c r="H194" s="80"/>
      <c r="I194" s="80"/>
      <c r="J194" s="80"/>
      <c r="K194" s="80"/>
      <c r="L194" s="80"/>
      <c r="M194" s="80"/>
      <c r="N194" s="80"/>
      <c r="O194" s="80"/>
      <c r="P194" s="80"/>
      <c r="Q194" s="80"/>
      <c r="R194" s="80"/>
      <c r="S194" s="80"/>
      <c r="T194" s="80"/>
      <c r="U194" s="80"/>
      <c r="V194" s="80"/>
      <c r="W194" s="80"/>
      <c r="X194" s="80"/>
      <c r="Y194" s="80"/>
      <c r="Z194" s="80"/>
      <c r="AA194" s="80"/>
      <c r="AB194" s="80"/>
      <c r="AC194" s="80"/>
      <c r="AD194" s="80"/>
      <c r="AE194" s="80"/>
      <c r="AF194" s="80"/>
      <c r="AG194" s="80"/>
      <c r="AH194" s="80"/>
    </row>
    <row r="195" spans="1:34" s="412" customFormat="1" x14ac:dyDescent="0.2">
      <c r="A195" s="18"/>
      <c r="B195" s="80"/>
      <c r="C195" s="80"/>
      <c r="D195" s="80"/>
      <c r="E195" s="93">
        <f t="shared" ref="E195:AH195" si="19">YEAR(E$131)</f>
        <v>2010</v>
      </c>
      <c r="F195" s="93">
        <f t="shared" si="19"/>
        <v>2011</v>
      </c>
      <c r="G195" s="93">
        <f t="shared" si="19"/>
        <v>2012</v>
      </c>
      <c r="H195" s="93">
        <f t="shared" si="19"/>
        <v>2013</v>
      </c>
      <c r="I195" s="93">
        <f t="shared" si="19"/>
        <v>2014</v>
      </c>
      <c r="J195" s="93">
        <f t="shared" si="19"/>
        <v>2015</v>
      </c>
      <c r="K195" s="93">
        <f t="shared" si="19"/>
        <v>2016</v>
      </c>
      <c r="L195" s="93">
        <f t="shared" si="19"/>
        <v>2017</v>
      </c>
      <c r="M195" s="93">
        <f t="shared" si="19"/>
        <v>2018</v>
      </c>
      <c r="N195" s="93">
        <f t="shared" si="19"/>
        <v>2019</v>
      </c>
      <c r="O195" s="93">
        <f t="shared" si="19"/>
        <v>2020</v>
      </c>
      <c r="P195" s="93">
        <f t="shared" si="19"/>
        <v>2021</v>
      </c>
      <c r="Q195" s="93">
        <f t="shared" si="19"/>
        <v>2022</v>
      </c>
      <c r="R195" s="93">
        <f t="shared" si="19"/>
        <v>2023</v>
      </c>
      <c r="S195" s="93">
        <f t="shared" si="19"/>
        <v>2024</v>
      </c>
      <c r="T195" s="93">
        <f t="shared" si="19"/>
        <v>2025</v>
      </c>
      <c r="U195" s="93">
        <f t="shared" si="19"/>
        <v>2026</v>
      </c>
      <c r="V195" s="93">
        <f t="shared" si="19"/>
        <v>2027</v>
      </c>
      <c r="W195" s="93">
        <f t="shared" si="19"/>
        <v>2028</v>
      </c>
      <c r="X195" s="93">
        <f t="shared" si="19"/>
        <v>2029</v>
      </c>
      <c r="Y195" s="93">
        <f t="shared" si="19"/>
        <v>2030</v>
      </c>
      <c r="Z195" s="93">
        <f t="shared" si="19"/>
        <v>2031</v>
      </c>
      <c r="AA195" s="93">
        <f t="shared" si="19"/>
        <v>2032</v>
      </c>
      <c r="AB195" s="93">
        <f t="shared" si="19"/>
        <v>2033</v>
      </c>
      <c r="AC195" s="93">
        <f t="shared" si="19"/>
        <v>2034</v>
      </c>
      <c r="AD195" s="93">
        <f t="shared" si="19"/>
        <v>2035</v>
      </c>
      <c r="AE195" s="93">
        <f t="shared" si="19"/>
        <v>2036</v>
      </c>
      <c r="AF195" s="93">
        <f t="shared" si="19"/>
        <v>2037</v>
      </c>
      <c r="AG195" s="93">
        <f t="shared" si="19"/>
        <v>2038</v>
      </c>
      <c r="AH195" s="93">
        <f t="shared" si="19"/>
        <v>2039</v>
      </c>
    </row>
    <row r="196" spans="1:34" s="412" customFormat="1" x14ac:dyDescent="0.2">
      <c r="A196" s="18"/>
      <c r="B196" s="80" t="s">
        <v>642</v>
      </c>
      <c r="C196" s="80"/>
      <c r="D196" s="80"/>
      <c r="E196" s="100">
        <f>IF(E132=1,Calculations!E254,0)</f>
        <v>10</v>
      </c>
      <c r="F196" s="100">
        <f>IF(F132=1,Calculations!F254,0)</f>
        <v>10.3</v>
      </c>
      <c r="G196" s="100">
        <f>IF(G132=1,Calculations!G254,0)</f>
        <v>10.609000000000002</v>
      </c>
      <c r="H196" s="100">
        <f>IF(H132=1,Calculations!H254,0)</f>
        <v>10.927270000000002</v>
      </c>
      <c r="I196" s="100">
        <f>IF(I132=1,Calculations!I254,0)</f>
        <v>11.255088100000002</v>
      </c>
      <c r="J196" s="100">
        <f>IF(J132=1,Calculations!J254," ")</f>
        <v>11.592740743000002</v>
      </c>
      <c r="K196" s="100">
        <f>IF(K132=1,Calculations!K254," ")</f>
        <v>11.940522965290002</v>
      </c>
      <c r="L196" s="100">
        <f>IF(L132=1,Calculations!L254," ")</f>
        <v>12.298738654248703</v>
      </c>
      <c r="M196" s="100">
        <f>IF(M132=1,Calculations!M254," ")</f>
        <v>12.667700813876165</v>
      </c>
      <c r="N196" s="100">
        <f>IF(N132=1,Calculations!N254," ")</f>
        <v>13.047731838292449</v>
      </c>
      <c r="O196" s="100">
        <f>IF(O132=1,Calculations!O254," ")</f>
        <v>13.439163793441223</v>
      </c>
      <c r="P196" s="100">
        <f>IF(P132=1,Calculations!P254," ")</f>
        <v>13.84233870724446</v>
      </c>
      <c r="Q196" s="100">
        <f>IF(Q132=1,Calculations!Q254," ")</f>
        <v>14.257608868461794</v>
      </c>
      <c r="R196" s="100">
        <f>IF(R132=1,Calculations!R254," ")</f>
        <v>14.685337134515649</v>
      </c>
      <c r="S196" s="100">
        <f>IF(S132=1,Calculations!S254," ")</f>
        <v>15.125897248551119</v>
      </c>
      <c r="T196" s="100">
        <f>IF(T132=1,Calculations!T254," ")</f>
        <v>15.579674166007653</v>
      </c>
      <c r="U196" s="100">
        <f>IF(U132=1,Calculations!U254," ")</f>
        <v>16.047064390987885</v>
      </c>
      <c r="V196" s="100">
        <f>IF(V132=1,Calculations!V254," ")</f>
        <v>16.52847632271752</v>
      </c>
      <c r="W196" s="100">
        <f>IF(W132=1,Calculations!W254," ")</f>
        <v>17.024330612399044</v>
      </c>
      <c r="X196" s="100">
        <f>IF(X132=1,Calculations!X254," ")</f>
        <v>17.535060530771016</v>
      </c>
      <c r="Y196" s="100">
        <f>IF(Y132=1,Calculations!Y254," ")</f>
        <v>18.061112346694149</v>
      </c>
      <c r="Z196" s="100">
        <f>IF(Z132=1,Calculations!Z254," ")</f>
        <v>18.602945717094972</v>
      </c>
      <c r="AA196" s="100">
        <f>IF(AA132=1,Calculations!AA254," ")</f>
        <v>19.161034088607821</v>
      </c>
      <c r="AB196" s="100">
        <f>IF(AB132=1,Calculations!AB254," ")</f>
        <v>19.735865111266055</v>
      </c>
      <c r="AC196" s="100">
        <f>IF(AC132=1,Calculations!AC254," ")</f>
        <v>20.327941064604037</v>
      </c>
      <c r="AD196" s="100">
        <f>IF(AD132=1,Calculations!AD254," ")</f>
        <v>20.937779296542157</v>
      </c>
      <c r="AE196" s="100">
        <f>IF(AE132=1,Calculations!AE254," ")</f>
        <v>21.565912675438422</v>
      </c>
      <c r="AF196" s="100">
        <f>IF(AF132=1,Calculations!AF254," ")</f>
        <v>22.212890055701575</v>
      </c>
      <c r="AG196" s="100">
        <f>IF(AG132=1,Calculations!AG254," ")</f>
        <v>22.879276757372622</v>
      </c>
      <c r="AH196" s="100">
        <f>IF(AH132=1,Calculations!AH254," ")</f>
        <v>23.565655060093803</v>
      </c>
    </row>
    <row r="197" spans="1:34" s="412" customFormat="1" x14ac:dyDescent="0.2">
      <c r="A197" s="18"/>
      <c r="B197" s="80" t="s">
        <v>609</v>
      </c>
      <c r="C197" s="80"/>
      <c r="D197" s="80"/>
      <c r="E197" s="100">
        <f>IF(E132=1,Calculations!E255,0)</f>
        <v>10</v>
      </c>
      <c r="F197" s="100">
        <f>IF(F132=1,Calculations!F255,0)</f>
        <v>10.3</v>
      </c>
      <c r="G197" s="100">
        <f>IF(G132=1,Calculations!G255,0)</f>
        <v>10.609000000000002</v>
      </c>
      <c r="H197" s="100">
        <f>IF(H132=1,Calculations!H255,0)</f>
        <v>10.927270000000002</v>
      </c>
      <c r="I197" s="100">
        <f>IF(I132=1,Calculations!I255,0)</f>
        <v>11.255088100000002</v>
      </c>
      <c r="J197" s="100">
        <f>IF(J132=1,Calculations!J255," ")</f>
        <v>11.592740743000002</v>
      </c>
      <c r="K197" s="100">
        <f>IF(K132=1,Calculations!K255," ")</f>
        <v>11.940522965290002</v>
      </c>
      <c r="L197" s="100">
        <f>IF(L132=1,Calculations!L255," ")</f>
        <v>12.298738654248703</v>
      </c>
      <c r="M197" s="100">
        <f>IF(M132=1,Calculations!M255," ")</f>
        <v>12.667700813876165</v>
      </c>
      <c r="N197" s="100">
        <f>IF(N132=1,Calculations!N255," ")</f>
        <v>13.047731838292449</v>
      </c>
      <c r="O197" s="100">
        <f>IF(O132=1,Calculations!O255," ")</f>
        <v>13.439163793441223</v>
      </c>
      <c r="P197" s="100">
        <f>IF(P132=1,Calculations!P255," ")</f>
        <v>13.84233870724446</v>
      </c>
      <c r="Q197" s="100">
        <f>IF(Q132=1,Calculations!Q255," ")</f>
        <v>14.257608868461794</v>
      </c>
      <c r="R197" s="100">
        <f>IF(R132=1,Calculations!R255," ")</f>
        <v>14.685337134515649</v>
      </c>
      <c r="S197" s="100">
        <f>IF(S132=1,Calculations!S255," ")</f>
        <v>15.125897248551119</v>
      </c>
      <c r="T197" s="100">
        <f>IF(T132=1,Calculations!T255," ")</f>
        <v>15.579674166007653</v>
      </c>
      <c r="U197" s="100">
        <f>IF(U132=1,Calculations!U255," ")</f>
        <v>16.047064390987885</v>
      </c>
      <c r="V197" s="100">
        <f>IF(V132=1,Calculations!V255," ")</f>
        <v>16.52847632271752</v>
      </c>
      <c r="W197" s="100">
        <f>IF(W132=1,Calculations!W255," ")</f>
        <v>17.024330612399044</v>
      </c>
      <c r="X197" s="100">
        <f>IF(X132=1,Calculations!X255," ")</f>
        <v>17.535060530771016</v>
      </c>
      <c r="Y197" s="100">
        <f>IF(Y132=1,Calculations!Y255," ")</f>
        <v>18.061112346694149</v>
      </c>
      <c r="Z197" s="100">
        <f>IF(Z132=1,Calculations!Z255," ")</f>
        <v>18.602945717094972</v>
      </c>
      <c r="AA197" s="100">
        <f>IF(AA132=1,Calculations!AA255," ")</f>
        <v>19.161034088607821</v>
      </c>
      <c r="AB197" s="100">
        <f>IF(AB132=1,Calculations!AB255," ")</f>
        <v>19.735865111266055</v>
      </c>
      <c r="AC197" s="100">
        <f>IF(AC132=1,Calculations!AC255," ")</f>
        <v>20.327941064604037</v>
      </c>
      <c r="AD197" s="100">
        <f>IF(AD132=1,Calculations!AD255," ")</f>
        <v>20.937779296542157</v>
      </c>
      <c r="AE197" s="100">
        <f>IF(AE132=1,Calculations!AE255," ")</f>
        <v>21.565912675438422</v>
      </c>
      <c r="AF197" s="100">
        <f>IF(AF132=1,Calculations!AF255," ")</f>
        <v>22.212890055701575</v>
      </c>
      <c r="AG197" s="100">
        <f>IF(AG132=1,Calculations!AG255," ")</f>
        <v>22.879276757372622</v>
      </c>
      <c r="AH197" s="100">
        <f>IF(AH132=1,Calculations!AH255," ")</f>
        <v>23.565655060093803</v>
      </c>
    </row>
    <row r="198" spans="1:34" s="412" customFormat="1" x14ac:dyDescent="0.2">
      <c r="A198" s="18"/>
      <c r="B198" s="80" t="s">
        <v>297</v>
      </c>
      <c r="C198" s="80"/>
      <c r="D198" s="80"/>
      <c r="E198" s="128">
        <f>IF(AND(SUM($E$196:$AB$197)&gt;0,($E195+SUM($F$132:$AH$132))=E195),((E196+E197)/($E196+$E197))^(1/SUM($F$132:$AH$132))-1,0)</f>
        <v>0</v>
      </c>
      <c r="F198" s="128">
        <f t="shared" ref="F198:I198" si="20">IF(AND(SUM($E$196:$AB$197)&gt;0,($E195+SUM($F$132:$AH$132))=F195),((F196+F197)/($E196+$E197))^(1/SUM($F$132:$AH$132))-1,0)</f>
        <v>0</v>
      </c>
      <c r="G198" s="128">
        <f t="shared" si="20"/>
        <v>0</v>
      </c>
      <c r="H198" s="128">
        <f t="shared" si="20"/>
        <v>0</v>
      </c>
      <c r="I198" s="128">
        <f t="shared" si="20"/>
        <v>0</v>
      </c>
      <c r="J198" s="128" t="str">
        <f t="shared" ref="J198:AH198" si="21">IF(AND(SUM($E$196:$AB$197)&gt;0,($E195+SUM($F$132:$AH$132))=J195),((J196+J197)/($E196+$E197))^(1/SUM($F$132:$AH$132))-1," ")</f>
        <v xml:space="preserve"> </v>
      </c>
      <c r="K198" s="128" t="str">
        <f t="shared" si="21"/>
        <v xml:space="preserve"> </v>
      </c>
      <c r="L198" s="128" t="str">
        <f t="shared" si="21"/>
        <v xml:space="preserve"> </v>
      </c>
      <c r="M198" s="128" t="str">
        <f t="shared" si="21"/>
        <v xml:space="preserve"> </v>
      </c>
      <c r="N198" s="128" t="str">
        <f t="shared" si="21"/>
        <v xml:space="preserve"> </v>
      </c>
      <c r="O198" s="128" t="str">
        <f t="shared" si="21"/>
        <v xml:space="preserve"> </v>
      </c>
      <c r="P198" s="128" t="str">
        <f t="shared" si="21"/>
        <v xml:space="preserve"> </v>
      </c>
      <c r="Q198" s="128" t="str">
        <f t="shared" si="21"/>
        <v xml:space="preserve"> </v>
      </c>
      <c r="R198" s="128" t="str">
        <f t="shared" si="21"/>
        <v xml:space="preserve"> </v>
      </c>
      <c r="S198" s="128" t="str">
        <f t="shared" si="21"/>
        <v xml:space="preserve"> </v>
      </c>
      <c r="T198" s="128" t="str">
        <f t="shared" si="21"/>
        <v xml:space="preserve"> </v>
      </c>
      <c r="U198" s="128" t="str">
        <f t="shared" si="21"/>
        <v xml:space="preserve"> </v>
      </c>
      <c r="V198" s="128" t="str">
        <f t="shared" si="21"/>
        <v xml:space="preserve"> </v>
      </c>
      <c r="W198" s="128" t="str">
        <f t="shared" si="21"/>
        <v xml:space="preserve"> </v>
      </c>
      <c r="X198" s="128" t="str">
        <f t="shared" si="21"/>
        <v xml:space="preserve"> </v>
      </c>
      <c r="Y198" s="128" t="str">
        <f t="shared" si="21"/>
        <v xml:space="preserve"> </v>
      </c>
      <c r="Z198" s="128" t="str">
        <f t="shared" si="21"/>
        <v xml:space="preserve"> </v>
      </c>
      <c r="AA198" s="128" t="str">
        <f t="shared" si="21"/>
        <v xml:space="preserve"> </v>
      </c>
      <c r="AB198" s="128" t="str">
        <f t="shared" si="21"/>
        <v xml:space="preserve"> </v>
      </c>
      <c r="AC198" s="128" t="str">
        <f t="shared" si="21"/>
        <v xml:space="preserve"> </v>
      </c>
      <c r="AD198" s="128" t="str">
        <f t="shared" si="21"/>
        <v xml:space="preserve"> </v>
      </c>
      <c r="AE198" s="128" t="str">
        <f t="shared" si="21"/>
        <v xml:space="preserve"> </v>
      </c>
      <c r="AF198" s="128" t="str">
        <f t="shared" si="21"/>
        <v xml:space="preserve"> </v>
      </c>
      <c r="AG198" s="128" t="str">
        <f t="shared" si="21"/>
        <v xml:space="preserve"> </v>
      </c>
      <c r="AH198" s="128">
        <f t="shared" si="21"/>
        <v>3.0000000000000027E-2</v>
      </c>
    </row>
    <row r="199" spans="1:34" s="412" customFormat="1" x14ac:dyDescent="0.2">
      <c r="A199" s="18"/>
      <c r="B199" s="80"/>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c r="AA199" s="80"/>
      <c r="AB199" s="80"/>
      <c r="AC199" s="80"/>
      <c r="AD199" s="80"/>
      <c r="AE199" s="80"/>
      <c r="AF199" s="80"/>
      <c r="AG199" s="80"/>
      <c r="AH199" s="80"/>
    </row>
    <row r="200" spans="1:34" s="412" customFormat="1" x14ac:dyDescent="0.2">
      <c r="A200" s="18"/>
      <c r="B200" s="90" t="s">
        <v>183</v>
      </c>
      <c r="C200" s="80"/>
      <c r="D200" s="80"/>
      <c r="E200" s="80"/>
      <c r="F200" s="143"/>
      <c r="G200" s="80"/>
      <c r="H200" s="80"/>
      <c r="I200" s="80"/>
      <c r="J200" s="80"/>
      <c r="K200" s="80"/>
      <c r="L200" s="80"/>
      <c r="M200" s="80"/>
      <c r="N200" s="80"/>
      <c r="O200" s="80"/>
      <c r="P200" s="80"/>
      <c r="Q200" s="80"/>
      <c r="R200" s="80"/>
      <c r="S200" s="80"/>
      <c r="T200" s="80"/>
      <c r="U200" s="80"/>
      <c r="V200" s="80"/>
      <c r="W200" s="80"/>
      <c r="X200" s="80"/>
      <c r="Y200" s="80"/>
      <c r="Z200" s="80"/>
      <c r="AA200" s="80"/>
      <c r="AB200" s="80"/>
      <c r="AC200" s="80"/>
      <c r="AD200" s="80"/>
      <c r="AE200" s="80"/>
      <c r="AF200" s="80"/>
      <c r="AG200" s="80"/>
      <c r="AH200" s="80"/>
    </row>
    <row r="201" spans="1:34" s="412" customFormat="1" x14ac:dyDescent="0.2">
      <c r="A201" s="18"/>
      <c r="B201" s="80"/>
      <c r="C201" s="80"/>
      <c r="D201" s="80"/>
      <c r="E201" s="93">
        <f t="shared" ref="E201:AH201" si="22">YEAR(E$131)</f>
        <v>2010</v>
      </c>
      <c r="F201" s="93">
        <f t="shared" si="22"/>
        <v>2011</v>
      </c>
      <c r="G201" s="93">
        <f t="shared" si="22"/>
        <v>2012</v>
      </c>
      <c r="H201" s="93">
        <f t="shared" si="22"/>
        <v>2013</v>
      </c>
      <c r="I201" s="93">
        <f t="shared" si="22"/>
        <v>2014</v>
      </c>
      <c r="J201" s="93">
        <f t="shared" si="22"/>
        <v>2015</v>
      </c>
      <c r="K201" s="93">
        <f t="shared" si="22"/>
        <v>2016</v>
      </c>
      <c r="L201" s="93">
        <f t="shared" si="22"/>
        <v>2017</v>
      </c>
      <c r="M201" s="93">
        <f t="shared" si="22"/>
        <v>2018</v>
      </c>
      <c r="N201" s="93">
        <f t="shared" si="22"/>
        <v>2019</v>
      </c>
      <c r="O201" s="93">
        <f t="shared" si="22"/>
        <v>2020</v>
      </c>
      <c r="P201" s="93">
        <f t="shared" si="22"/>
        <v>2021</v>
      </c>
      <c r="Q201" s="93">
        <f t="shared" si="22"/>
        <v>2022</v>
      </c>
      <c r="R201" s="93">
        <f t="shared" si="22"/>
        <v>2023</v>
      </c>
      <c r="S201" s="93">
        <f t="shared" si="22"/>
        <v>2024</v>
      </c>
      <c r="T201" s="93">
        <f t="shared" si="22"/>
        <v>2025</v>
      </c>
      <c r="U201" s="93">
        <f t="shared" si="22"/>
        <v>2026</v>
      </c>
      <c r="V201" s="93">
        <f t="shared" si="22"/>
        <v>2027</v>
      </c>
      <c r="W201" s="93">
        <f t="shared" si="22"/>
        <v>2028</v>
      </c>
      <c r="X201" s="93">
        <f t="shared" si="22"/>
        <v>2029</v>
      </c>
      <c r="Y201" s="93">
        <f t="shared" si="22"/>
        <v>2030</v>
      </c>
      <c r="Z201" s="93">
        <f t="shared" si="22"/>
        <v>2031</v>
      </c>
      <c r="AA201" s="93">
        <f t="shared" si="22"/>
        <v>2032</v>
      </c>
      <c r="AB201" s="93">
        <f t="shared" si="22"/>
        <v>2033</v>
      </c>
      <c r="AC201" s="93">
        <f t="shared" si="22"/>
        <v>2034</v>
      </c>
      <c r="AD201" s="93">
        <f t="shared" si="22"/>
        <v>2035</v>
      </c>
      <c r="AE201" s="93">
        <f t="shared" si="22"/>
        <v>2036</v>
      </c>
      <c r="AF201" s="93">
        <f t="shared" si="22"/>
        <v>2037</v>
      </c>
      <c r="AG201" s="93">
        <f t="shared" si="22"/>
        <v>2038</v>
      </c>
      <c r="AH201" s="93">
        <f t="shared" si="22"/>
        <v>2039</v>
      </c>
    </row>
    <row r="202" spans="1:34" s="412" customFormat="1" x14ac:dyDescent="0.2">
      <c r="A202" s="18"/>
      <c r="B202" s="80" t="s">
        <v>151</v>
      </c>
      <c r="C202" s="80"/>
      <c r="D202" s="80"/>
      <c r="E202" s="94">
        <f>IF(E132=1,'Cash flow statement'!E70,0)</f>
        <v>0</v>
      </c>
      <c r="F202" s="94">
        <f>IF(F132=1,'Cash flow statement'!F70,0)</f>
        <v>16477.046970629839</v>
      </c>
      <c r="G202" s="94">
        <f>IF(G132=1,'Cash flow statement'!G70,0)</f>
        <v>16944.906106330964</v>
      </c>
      <c r="H202" s="94">
        <f>IF(H132=1,'Cash flow statement'!H70,0)</f>
        <v>17454.71630941844</v>
      </c>
      <c r="I202" s="94">
        <f>IF(I132=1,'Cash flow statement'!I70,0)</f>
        <v>18023.968362515534</v>
      </c>
      <c r="J202" s="94">
        <f>IF(J132=1,'Cash flow statement'!J70," ")</f>
        <v>18710.88325055912</v>
      </c>
      <c r="K202" s="94">
        <f>IF(K132=1,'Cash flow statement'!K70," ")</f>
        <v>21458.625322478765</v>
      </c>
      <c r="L202" s="94">
        <f>IF(L132=1,'Cash flow statement'!L70," ")</f>
        <v>22761.486554495768</v>
      </c>
      <c r="M202" s="94">
        <f>IF(M132=1,'Cash flow statement'!M70," ")</f>
        <v>23652.992656286791</v>
      </c>
      <c r="N202" s="94">
        <f>IF(N132=1,'Cash flow statement'!N70," ")</f>
        <v>24571.946970394922</v>
      </c>
      <c r="O202" s="94">
        <f>IF(O132=1,'Cash flow statement'!O70," ")</f>
        <v>25187.393534388364</v>
      </c>
      <c r="P202" s="94">
        <f>IF(P132=1,'Cash flow statement'!P70," ")</f>
        <v>26058.742542487147</v>
      </c>
      <c r="Q202" s="94">
        <f>IF(Q132=1,'Cash flow statement'!Q70," ")</f>
        <v>26978.603549357798</v>
      </c>
      <c r="R202" s="94">
        <f>IF(R132=1,'Cash flow statement'!R70," ")</f>
        <v>27926.463651523321</v>
      </c>
      <c r="S202" s="94">
        <f>IF(S132=1,'Cash flow statement'!S70," ")</f>
        <v>28903.145321344196</v>
      </c>
      <c r="T202" s="94">
        <f>IF(T132=1,'Cash flow statement'!T70," ")</f>
        <v>29909.495003098731</v>
      </c>
      <c r="U202" s="94">
        <f>IF(U132=1,'Cash flow statement'!U70," ")</f>
        <v>30942.140062597857</v>
      </c>
      <c r="V202" s="94">
        <f>IF(V132=1,'Cash flow statement'!V70," ")</f>
        <v>31998.270886166159</v>
      </c>
      <c r="W202" s="94">
        <f>IF(W132=1,'Cash flow statement'!W70," ")</f>
        <v>33093.080826531412</v>
      </c>
      <c r="X202" s="94">
        <f>IF(X132=1,'Cash flow statement'!X70," ")</f>
        <v>34227.178073291288</v>
      </c>
      <c r="Y202" s="94">
        <f>IF(Y132=1,'Cash flow statement'!Y70," ")</f>
        <v>35395.561813758432</v>
      </c>
      <c r="Z202" s="94">
        <f>IF(Z132=1,'Cash flow statement'!Z70," ")</f>
        <v>36598.397775231439</v>
      </c>
      <c r="AA202" s="94">
        <f>IF(AA132=1,'Cash flow statement'!AA70," ")</f>
        <v>37838.391171029165</v>
      </c>
      <c r="AB202" s="94">
        <f>IF(AB132=1,'Cash flow statement'!AB70," ")</f>
        <v>39115.776924376565</v>
      </c>
      <c r="AC202" s="94">
        <f>IF(AC132=1,'Cash flow statement'!AC70," ")</f>
        <v>40431.651292758943</v>
      </c>
      <c r="AD202" s="94">
        <f>IF(AD132=1,'Cash flow statement'!AD70," ")</f>
        <v>41787.142487594814</v>
      </c>
      <c r="AE202" s="94">
        <f>IF(AE132=1,'Cash flow statement'!AE70," ")</f>
        <v>43183.411605941845</v>
      </c>
      <c r="AF202" s="94">
        <f>IF(AF132=1,'Cash flow statement'!AF70," ")</f>
        <v>44621.653589363239</v>
      </c>
      <c r="AG202" s="94">
        <f>IF(AG132=1,'Cash flow statement'!AG70," ")</f>
        <v>46103.098210758559</v>
      </c>
      <c r="AH202" s="94">
        <f>IF(AH132=1,'Cash flow statement'!AH70," ")</f>
        <v>47629.011089983949</v>
      </c>
    </row>
    <row r="203" spans="1:34" s="412" customFormat="1" x14ac:dyDescent="0.2">
      <c r="A203" s="18"/>
      <c r="B203" s="80" t="s">
        <v>176</v>
      </c>
      <c r="C203" s="80"/>
      <c r="D203" s="80"/>
      <c r="E203" s="94">
        <f>IF(E132=1,'Cash flow statement'!E90,0)</f>
        <v>0</v>
      </c>
      <c r="F203" s="94">
        <f>IF(F132=1,'Cash flow statement'!F90,0)</f>
        <v>4905.599091188953</v>
      </c>
      <c r="G203" s="94">
        <f>IF(G132=1,'Cash flow statement'!G90,0)</f>
        <v>5019.4735068992904</v>
      </c>
      <c r="H203" s="94">
        <f>IF(H132=1,'Cash flow statement'!H90,0)</f>
        <v>5175.4242988255319</v>
      </c>
      <c r="I203" s="94">
        <f>IF(I132=1,'Cash flow statement'!I90,0)</f>
        <v>5345.0404726846627</v>
      </c>
      <c r="J203" s="94">
        <f>IF(J132=1,'Cash flow statement'!J90," ")</f>
        <v>5550.0110973906376</v>
      </c>
      <c r="K203" s="94">
        <f>IF(K132=1,'Cash flow statement'!K90," ")</f>
        <v>6373.2717286332154</v>
      </c>
      <c r="L203" s="94">
        <f>IF(L132=1,'Cash flow statement'!L90," ")</f>
        <v>6735.3917754450067</v>
      </c>
      <c r="M203" s="94">
        <f>IF(M132=1,'Cash flow statement'!M90," ")</f>
        <v>7003.3919196302013</v>
      </c>
      <c r="N203" s="94">
        <f>IF(N132=1,'Cash flow statement'!N90," ")</f>
        <v>7279.6752231699684</v>
      </c>
      <c r="O203" s="94">
        <f>IF(O132=1,'Cash flow statement'!O90," ")</f>
        <v>7465.3841844545423</v>
      </c>
      <c r="P203" s="94">
        <f>IF(P132=1,'Cash flow statement'!P90," ")</f>
        <v>7736.2004643583168</v>
      </c>
      <c r="Q203" s="94">
        <f>IF(Q132=1,'Cash flow statement'!Q90," ")</f>
        <v>8012.283347467881</v>
      </c>
      <c r="R203" s="94">
        <f>IF(R132=1,'Cash flow statement'!R90," ")</f>
        <v>8296.7696965973519</v>
      </c>
      <c r="S203" s="94">
        <f>IF(S132=1,'Cash flow statement'!S90," ")</f>
        <v>8589.9063655778264</v>
      </c>
      <c r="T203" s="94">
        <f>IF(T132=1,'Cash flow statement'!T90," ")</f>
        <v>8891.9474031794234</v>
      </c>
      <c r="U203" s="94">
        <f>IF(U132=1,'Cash flow statement'!U90," ")</f>
        <v>9078.0186380966552</v>
      </c>
      <c r="V203" s="94">
        <f>IF(V132=1,'Cash flow statement'!V90," ")</f>
        <v>9526.1398087466659</v>
      </c>
      <c r="W203" s="94">
        <f>IF(W132=1,'Cash flow statement'!W90," ")</f>
        <v>9854.7315471431466</v>
      </c>
      <c r="X203" s="94">
        <f>IF(X132=1,'Cash flow statement'!X90," ")</f>
        <v>10195.113940146621</v>
      </c>
      <c r="Y203" s="94">
        <f>IF(Y132=1,'Cash flow statement'!Y90," ")</f>
        <v>10545.786877831539</v>
      </c>
      <c r="Z203" s="94">
        <f>IF(Z132=1,'Cash flow statement'!Z90," ")</f>
        <v>10906.800216284562</v>
      </c>
      <c r="AA203" s="94">
        <f>IF(AA132=1,'Cash flow statement'!AA90," ")</f>
        <v>11278.965661535331</v>
      </c>
      <c r="AB203" s="94">
        <f>IF(AB132=1,'Cash flow statement'!AB90," ")</f>
        <v>11662.353836846352</v>
      </c>
      <c r="AC203" s="94">
        <f>IF(AC132=1,'Cash flow statement'!AC90," ")</f>
        <v>12057.293770147062</v>
      </c>
      <c r="AD203" s="94">
        <f>IF(AD132=1,'Cash flow statement'!AD90," ")</f>
        <v>12464.124080067413</v>
      </c>
      <c r="AE203" s="94">
        <f>IF(AE132=1,'Cash flow statement'!AE90," ")</f>
        <v>12883.193255585189</v>
      </c>
      <c r="AF203" s="94">
        <f>IF(AF132=1,'Cash flow statement'!AF90," ")</f>
        <v>13314.859943825682</v>
      </c>
      <c r="AG203" s="94">
        <f>IF(AG132=1,'Cash flow statement'!AG90," ")</f>
        <v>13759.49324625478</v>
      </c>
      <c r="AH203" s="94">
        <f>IF(AH132=1,'Cash flow statement'!AH90," ")</f>
        <v>14217.473023513216</v>
      </c>
    </row>
    <row r="204" spans="1:34" s="412" customFormat="1" x14ac:dyDescent="0.2">
      <c r="A204" s="18"/>
      <c r="B204" s="80"/>
      <c r="C204" s="80"/>
      <c r="D204" s="80"/>
      <c r="E204" s="80"/>
      <c r="F204" s="80"/>
      <c r="G204" s="80"/>
      <c r="H204" s="80"/>
      <c r="I204" s="80"/>
      <c r="J204" s="80"/>
      <c r="K204" s="80"/>
      <c r="L204" s="80"/>
      <c r="M204" s="80"/>
      <c r="N204" s="80"/>
      <c r="O204" s="80"/>
      <c r="P204" s="80"/>
      <c r="Q204" s="80"/>
      <c r="R204" s="80"/>
      <c r="S204" s="80"/>
      <c r="T204" s="80"/>
      <c r="U204" s="80"/>
      <c r="V204" s="80"/>
      <c r="W204" s="80"/>
      <c r="X204" s="80"/>
      <c r="Y204" s="80"/>
      <c r="Z204" s="80"/>
      <c r="AA204" s="80"/>
      <c r="AB204" s="80"/>
      <c r="AC204" s="80"/>
      <c r="AD204" s="80"/>
      <c r="AE204" s="80"/>
      <c r="AF204" s="80"/>
      <c r="AG204" s="80"/>
      <c r="AH204" s="80"/>
    </row>
    <row r="205" spans="1:34" s="412" customFormat="1" x14ac:dyDescent="0.2">
      <c r="A205" s="18"/>
      <c r="B205" s="80"/>
      <c r="C205" s="80"/>
      <c r="D205" s="80"/>
      <c r="E205" s="93">
        <f t="shared" ref="E205:AH205" si="23">YEAR(E$131)</f>
        <v>2010</v>
      </c>
      <c r="F205" s="93">
        <f t="shared" si="23"/>
        <v>2011</v>
      </c>
      <c r="G205" s="93">
        <f t="shared" si="23"/>
        <v>2012</v>
      </c>
      <c r="H205" s="93">
        <f t="shared" si="23"/>
        <v>2013</v>
      </c>
      <c r="I205" s="93">
        <f t="shared" si="23"/>
        <v>2014</v>
      </c>
      <c r="J205" s="93">
        <f t="shared" si="23"/>
        <v>2015</v>
      </c>
      <c r="K205" s="93">
        <f t="shared" si="23"/>
        <v>2016</v>
      </c>
      <c r="L205" s="93">
        <f t="shared" si="23"/>
        <v>2017</v>
      </c>
      <c r="M205" s="93">
        <f t="shared" si="23"/>
        <v>2018</v>
      </c>
      <c r="N205" s="93">
        <f t="shared" si="23"/>
        <v>2019</v>
      </c>
      <c r="O205" s="93">
        <f t="shared" si="23"/>
        <v>2020</v>
      </c>
      <c r="P205" s="93">
        <f t="shared" si="23"/>
        <v>2021</v>
      </c>
      <c r="Q205" s="93">
        <f t="shared" si="23"/>
        <v>2022</v>
      </c>
      <c r="R205" s="93">
        <f t="shared" si="23"/>
        <v>2023</v>
      </c>
      <c r="S205" s="93">
        <f t="shared" si="23"/>
        <v>2024</v>
      </c>
      <c r="T205" s="93">
        <f t="shared" si="23"/>
        <v>2025</v>
      </c>
      <c r="U205" s="93">
        <f t="shared" si="23"/>
        <v>2026</v>
      </c>
      <c r="V205" s="93">
        <f t="shared" si="23"/>
        <v>2027</v>
      </c>
      <c r="W205" s="93">
        <f t="shared" si="23"/>
        <v>2028</v>
      </c>
      <c r="X205" s="93">
        <f t="shared" si="23"/>
        <v>2029</v>
      </c>
      <c r="Y205" s="93">
        <f t="shared" si="23"/>
        <v>2030</v>
      </c>
      <c r="Z205" s="93">
        <f t="shared" si="23"/>
        <v>2031</v>
      </c>
      <c r="AA205" s="93">
        <f t="shared" si="23"/>
        <v>2032</v>
      </c>
      <c r="AB205" s="93">
        <f t="shared" si="23"/>
        <v>2033</v>
      </c>
      <c r="AC205" s="93">
        <f t="shared" si="23"/>
        <v>2034</v>
      </c>
      <c r="AD205" s="93">
        <f t="shared" si="23"/>
        <v>2035</v>
      </c>
      <c r="AE205" s="93">
        <f t="shared" si="23"/>
        <v>2036</v>
      </c>
      <c r="AF205" s="93">
        <f t="shared" si="23"/>
        <v>2037</v>
      </c>
      <c r="AG205" s="93">
        <f t="shared" si="23"/>
        <v>2038</v>
      </c>
      <c r="AH205" s="93">
        <f t="shared" si="23"/>
        <v>2039</v>
      </c>
    </row>
    <row r="206" spans="1:34" s="412" customFormat="1" x14ac:dyDescent="0.2">
      <c r="A206" s="18"/>
      <c r="B206" s="80" t="str">
        <f>B202</f>
        <v>Operating cash flow</v>
      </c>
      <c r="C206" s="80"/>
      <c r="D206" s="80"/>
      <c r="E206" s="97">
        <f t="shared" ref="E206:AH206" si="24">E202</f>
        <v>0</v>
      </c>
      <c r="F206" s="97">
        <f t="shared" ref="F206:I206" si="25">F202</f>
        <v>16477.046970629839</v>
      </c>
      <c r="G206" s="97">
        <f t="shared" si="25"/>
        <v>16944.906106330964</v>
      </c>
      <c r="H206" s="97">
        <f t="shared" si="25"/>
        <v>17454.71630941844</v>
      </c>
      <c r="I206" s="97">
        <f t="shared" si="25"/>
        <v>18023.968362515534</v>
      </c>
      <c r="J206" s="97">
        <f t="shared" si="24"/>
        <v>18710.88325055912</v>
      </c>
      <c r="K206" s="97">
        <f t="shared" si="24"/>
        <v>21458.625322478765</v>
      </c>
      <c r="L206" s="97">
        <f t="shared" si="24"/>
        <v>22761.486554495768</v>
      </c>
      <c r="M206" s="97">
        <f t="shared" si="24"/>
        <v>23652.992656286791</v>
      </c>
      <c r="N206" s="97">
        <f t="shared" si="24"/>
        <v>24571.946970394922</v>
      </c>
      <c r="O206" s="97">
        <f t="shared" si="24"/>
        <v>25187.393534388364</v>
      </c>
      <c r="P206" s="97">
        <f t="shared" si="24"/>
        <v>26058.742542487147</v>
      </c>
      <c r="Q206" s="97">
        <f t="shared" si="24"/>
        <v>26978.603549357798</v>
      </c>
      <c r="R206" s="97">
        <f t="shared" si="24"/>
        <v>27926.463651523321</v>
      </c>
      <c r="S206" s="97">
        <f t="shared" si="24"/>
        <v>28903.145321344196</v>
      </c>
      <c r="T206" s="97">
        <f t="shared" si="24"/>
        <v>29909.495003098731</v>
      </c>
      <c r="U206" s="97">
        <f t="shared" si="24"/>
        <v>30942.140062597857</v>
      </c>
      <c r="V206" s="97">
        <f t="shared" si="24"/>
        <v>31998.270886166159</v>
      </c>
      <c r="W206" s="97">
        <f t="shared" si="24"/>
        <v>33093.080826531412</v>
      </c>
      <c r="X206" s="97">
        <f t="shared" si="24"/>
        <v>34227.178073291288</v>
      </c>
      <c r="Y206" s="97">
        <f t="shared" si="24"/>
        <v>35395.561813758432</v>
      </c>
      <c r="Z206" s="97">
        <f t="shared" si="24"/>
        <v>36598.397775231439</v>
      </c>
      <c r="AA206" s="97">
        <f t="shared" si="24"/>
        <v>37838.391171029165</v>
      </c>
      <c r="AB206" s="97">
        <f t="shared" si="24"/>
        <v>39115.776924376565</v>
      </c>
      <c r="AC206" s="97">
        <f t="shared" si="24"/>
        <v>40431.651292758943</v>
      </c>
      <c r="AD206" s="97">
        <f t="shared" si="24"/>
        <v>41787.142487594814</v>
      </c>
      <c r="AE206" s="97">
        <f t="shared" si="24"/>
        <v>43183.411605941845</v>
      </c>
      <c r="AF206" s="97">
        <f t="shared" si="24"/>
        <v>44621.653589363239</v>
      </c>
      <c r="AG206" s="97">
        <f t="shared" si="24"/>
        <v>46103.098210758559</v>
      </c>
      <c r="AH206" s="97">
        <f t="shared" si="24"/>
        <v>47629.011089983949</v>
      </c>
    </row>
    <row r="207" spans="1:34" s="412" customFormat="1" x14ac:dyDescent="0.2">
      <c r="A207" s="18"/>
      <c r="B207" s="80" t="s">
        <v>155</v>
      </c>
      <c r="C207" s="80"/>
      <c r="D207" s="80"/>
      <c r="E207" s="94">
        <f>IF(E132=1,'Cash flow statement'!E77,0)</f>
        <v>0</v>
      </c>
      <c r="F207" s="94">
        <f>IF(F132=1,'Cash flow statement'!F77,0)</f>
        <v>-105</v>
      </c>
      <c r="G207" s="94">
        <f>IF(G132=1,'Cash flow statement'!G77,0)</f>
        <v>-260</v>
      </c>
      <c r="H207" s="94">
        <f>IF(H132=1,'Cash flow statement'!H77,0)</f>
        <v>-260</v>
      </c>
      <c r="I207" s="94">
        <f>IF(I132=1,'Cash flow statement'!I77,0)</f>
        <v>-260</v>
      </c>
      <c r="J207" s="94">
        <f>IF(J132=1,'Cash flow statement'!J77," ")</f>
        <v>-260</v>
      </c>
      <c r="K207" s="94">
        <f>IF(K132=1,'Cash flow statement'!K77," ")</f>
        <v>-260</v>
      </c>
      <c r="L207" s="94">
        <f>IF(L132=1,'Cash flow statement'!L77," ")</f>
        <v>-260</v>
      </c>
      <c r="M207" s="94">
        <f>IF(M132=1,'Cash flow statement'!M77," ")</f>
        <v>-260</v>
      </c>
      <c r="N207" s="94">
        <f>IF(N132=1,'Cash flow statement'!N77," ")</f>
        <v>-260</v>
      </c>
      <c r="O207" s="94">
        <f>IF(O132=1,'Cash flow statement'!O77," ")</f>
        <v>-260</v>
      </c>
      <c r="P207" s="94">
        <f>IF(P132=1,'Cash flow statement'!P77," ")</f>
        <v>-260</v>
      </c>
      <c r="Q207" s="94">
        <f>IF(Q132=1,'Cash flow statement'!Q77," ")</f>
        <v>-260</v>
      </c>
      <c r="R207" s="94">
        <f>IF(R132=1,'Cash flow statement'!R77," ")</f>
        <v>-260</v>
      </c>
      <c r="S207" s="94">
        <f>IF(S132=1,'Cash flow statement'!S77," ")</f>
        <v>-260</v>
      </c>
      <c r="T207" s="94">
        <f>IF(T132=1,'Cash flow statement'!T77," ")</f>
        <v>-260</v>
      </c>
      <c r="U207" s="94">
        <f>IF(U132=1,'Cash flow statement'!U77," ")</f>
        <v>-260</v>
      </c>
      <c r="V207" s="94">
        <f>IF(V132=1,'Cash flow statement'!V77," ")</f>
        <v>-260</v>
      </c>
      <c r="W207" s="94">
        <f>IF(W132=1,'Cash flow statement'!W77," ")</f>
        <v>-260</v>
      </c>
      <c r="X207" s="94">
        <f>IF(X132=1,'Cash flow statement'!X77," ")</f>
        <v>-260</v>
      </c>
      <c r="Y207" s="94">
        <f>IF(Y132=1,'Cash flow statement'!Y77," ")</f>
        <v>-260</v>
      </c>
      <c r="Z207" s="94">
        <f>IF(Z132=1,'Cash flow statement'!Z77," ")</f>
        <v>-260</v>
      </c>
      <c r="AA207" s="94">
        <f>IF(AA132=1,'Cash flow statement'!AA77," ")</f>
        <v>-260</v>
      </c>
      <c r="AB207" s="94">
        <f>IF(AB132=1,'Cash flow statement'!AB77," ")</f>
        <v>-260</v>
      </c>
      <c r="AC207" s="94">
        <f>IF(AC132=1,'Cash flow statement'!AC77," ")</f>
        <v>-260</v>
      </c>
      <c r="AD207" s="94">
        <f>IF(AD132=1,'Cash flow statement'!AD77," ")</f>
        <v>-260</v>
      </c>
      <c r="AE207" s="94">
        <f>IF(AE132=1,'Cash flow statement'!AE77," ")</f>
        <v>-260</v>
      </c>
      <c r="AF207" s="94">
        <f>IF(AF132=1,'Cash flow statement'!AF77," ")</f>
        <v>-260</v>
      </c>
      <c r="AG207" s="94">
        <f>IF(AG132=1,'Cash flow statement'!AG77," ")</f>
        <v>-260</v>
      </c>
      <c r="AH207" s="94">
        <f>IF(AH132=1,'Cash flow statement'!AH77," ")</f>
        <v>-260</v>
      </c>
    </row>
    <row r="208" spans="1:34" s="412" customFormat="1" x14ac:dyDescent="0.2">
      <c r="A208" s="18"/>
      <c r="B208" s="80" t="s">
        <v>621</v>
      </c>
      <c r="C208" s="80"/>
      <c r="D208" s="80"/>
      <c r="E208" s="94">
        <f>IF(E132=1,'Cash flow statement'!E83-'Cash flow statement'!E80+'Cash flow statement'!E81,0)</f>
        <v>0</v>
      </c>
      <c r="F208" s="94">
        <f>IF(F132=1,'Cash flow statement'!F83-'Cash flow statement'!F80+'Cash flow statement'!F81,0)</f>
        <v>-17.5</v>
      </c>
      <c r="G208" s="94">
        <f>IF(G132=1,'Cash flow statement'!G83-'Cash flow statement'!G80+'Cash flow statement'!G81,0)</f>
        <v>52.5</v>
      </c>
      <c r="H208" s="94">
        <f>IF(H132=1,'Cash flow statement'!H83-'Cash flow statement'!H80+'Cash flow statement'!H81,0)</f>
        <v>65</v>
      </c>
      <c r="I208" s="94">
        <f>IF(I132=1,'Cash flow statement'!I83-'Cash flow statement'!I80+'Cash flow statement'!I81,0)</f>
        <v>65</v>
      </c>
      <c r="J208" s="94">
        <f>IF(J132=1,'Cash flow statement'!J83-'Cash flow statement'!J80+'Cash flow statement'!J81," ")</f>
        <v>65</v>
      </c>
      <c r="K208" s="94">
        <f>IF(K132=1,'Cash flow statement'!K83-'Cash flow statement'!K80+'Cash flow statement'!K81," ")</f>
        <v>65</v>
      </c>
      <c r="L208" s="94">
        <f>IF(L132=1,'Cash flow statement'!L83-'Cash flow statement'!L80+'Cash flow statement'!L81," ")</f>
        <v>-30</v>
      </c>
      <c r="M208" s="94">
        <f>IF(M132=1,'Cash flow statement'!M83-'Cash flow statement'!M80+'Cash flow statement'!M81," ")</f>
        <v>-30</v>
      </c>
      <c r="N208" s="94">
        <f>IF(N132=1,'Cash flow statement'!N83-'Cash flow statement'!N80+'Cash flow statement'!N81," ")</f>
        <v>-30</v>
      </c>
      <c r="O208" s="94">
        <f>IF(O132=1,'Cash flow statement'!O83-'Cash flow statement'!O80+'Cash flow statement'!O81," ")</f>
        <v>-30</v>
      </c>
      <c r="P208" s="94">
        <f>IF(P132=1,'Cash flow statement'!P83-'Cash flow statement'!P80+'Cash flow statement'!P81," ")</f>
        <v>0</v>
      </c>
      <c r="Q208" s="94">
        <f>IF(Q132=1,'Cash flow statement'!Q83-'Cash flow statement'!Q80+'Cash flow statement'!Q81," ")</f>
        <v>0</v>
      </c>
      <c r="R208" s="94">
        <f>IF(R132=1,'Cash flow statement'!R83-'Cash flow statement'!R80+'Cash flow statement'!R81," ")</f>
        <v>0</v>
      </c>
      <c r="S208" s="94">
        <f>IF(S132=1,'Cash flow statement'!S83-'Cash flow statement'!S80+'Cash flow statement'!S81," ")</f>
        <v>0</v>
      </c>
      <c r="T208" s="94">
        <f>IF(T132=1,'Cash flow statement'!T83-'Cash flow statement'!T80+'Cash flow statement'!T81," ")</f>
        <v>0</v>
      </c>
      <c r="U208" s="94">
        <f>IF(U132=1,'Cash flow statement'!U83-'Cash flow statement'!U80+'Cash flow statement'!U81," ")</f>
        <v>-425</v>
      </c>
      <c r="V208" s="94">
        <f>IF(V132=1,'Cash flow statement'!V83-'Cash flow statement'!V80+'Cash flow statement'!V81," ")</f>
        <v>0</v>
      </c>
      <c r="W208" s="94">
        <f>IF(W132=1,'Cash flow statement'!W83-'Cash flow statement'!W80+'Cash flow statement'!W81," ")</f>
        <v>0</v>
      </c>
      <c r="X208" s="94">
        <f>IF(X132=1,'Cash flow statement'!X83-'Cash flow statement'!X80+'Cash flow statement'!X81," ")</f>
        <v>0</v>
      </c>
      <c r="Y208" s="94">
        <f>IF(Y132=1,'Cash flow statement'!Y83-'Cash flow statement'!Y80+'Cash flow statement'!Y81," ")</f>
        <v>0</v>
      </c>
      <c r="Z208" s="94">
        <f>IF(Z132=1,'Cash flow statement'!Z83-'Cash flow statement'!Z80+'Cash flow statement'!Z81," ")</f>
        <v>0</v>
      </c>
      <c r="AA208" s="94">
        <f>IF(AA132=1,'Cash flow statement'!AA83-'Cash flow statement'!AA80+'Cash flow statement'!AA81," ")</f>
        <v>0</v>
      </c>
      <c r="AB208" s="94">
        <f>IF(AB132=1,'Cash flow statement'!AB83-'Cash flow statement'!AB80+'Cash flow statement'!AB81," ")</f>
        <v>0</v>
      </c>
      <c r="AC208" s="94">
        <f>IF(AC132=1,'Cash flow statement'!AC83-'Cash flow statement'!AC80+'Cash flow statement'!AC81," ")</f>
        <v>0</v>
      </c>
      <c r="AD208" s="94">
        <f>IF(AD132=1,'Cash flow statement'!AD83-'Cash flow statement'!AD80+'Cash flow statement'!AD81," ")</f>
        <v>0</v>
      </c>
      <c r="AE208" s="94">
        <f>IF(AE132=1,'Cash flow statement'!AE83-'Cash flow statement'!AE80+'Cash flow statement'!AE81," ")</f>
        <v>0</v>
      </c>
      <c r="AF208" s="94">
        <f>IF(AF132=1,'Cash flow statement'!AF83-'Cash flow statement'!AF80+'Cash flow statement'!AF81," ")</f>
        <v>0</v>
      </c>
      <c r="AG208" s="94">
        <f>IF(AG132=1,'Cash flow statement'!AG83-'Cash flow statement'!AG80+'Cash flow statement'!AG81," ")</f>
        <v>0</v>
      </c>
      <c r="AH208" s="94">
        <f>IF(AH132=1,'Cash flow statement'!AH83-'Cash flow statement'!AH80+'Cash flow statement'!AH81," ")</f>
        <v>0</v>
      </c>
    </row>
    <row r="209" spans="1:34" s="412" customFormat="1" x14ac:dyDescent="0.2">
      <c r="A209" s="18"/>
      <c r="B209" s="80" t="s">
        <v>609</v>
      </c>
      <c r="C209" s="80"/>
      <c r="D209" s="80"/>
      <c r="E209" s="94">
        <f>IF(E132=1,'Cash flow statement'!E82,0)</f>
        <v>0</v>
      </c>
      <c r="F209" s="94">
        <f>IF(F132=1,'Cash flow statement'!F82,0)</f>
        <v>10.3</v>
      </c>
      <c r="G209" s="94">
        <f>IF(G132=1,'Cash flow statement'!G82,0)</f>
        <v>10.609000000000002</v>
      </c>
      <c r="H209" s="94">
        <f>IF(H132=1,'Cash flow statement'!H82,0)</f>
        <v>10.927270000000002</v>
      </c>
      <c r="I209" s="94">
        <f>IF(I132=1,'Cash flow statement'!I82,0)</f>
        <v>11.255088100000002</v>
      </c>
      <c r="J209" s="94">
        <f>IF(J132=1,'Cash flow statement'!J82," ")</f>
        <v>11.592740743000002</v>
      </c>
      <c r="K209" s="94">
        <f>IF(K132=1,'Cash flow statement'!K82," ")</f>
        <v>11.940522965290002</v>
      </c>
      <c r="L209" s="94">
        <f>IF(L132=1,'Cash flow statement'!L82," ")</f>
        <v>12.298738654248703</v>
      </c>
      <c r="M209" s="94">
        <f>IF(M132=1,'Cash flow statement'!M82," ")</f>
        <v>12.667700813876165</v>
      </c>
      <c r="N209" s="94">
        <f>IF(N132=1,'Cash flow statement'!N82," ")</f>
        <v>13.047731838292449</v>
      </c>
      <c r="O209" s="94">
        <f>IF(O132=1,'Cash flow statement'!O82," ")</f>
        <v>13.439163793441223</v>
      </c>
      <c r="P209" s="94">
        <f>IF(P132=1,'Cash flow statement'!P82," ")</f>
        <v>13.84233870724446</v>
      </c>
      <c r="Q209" s="94">
        <f>IF(Q132=1,'Cash flow statement'!Q82," ")</f>
        <v>14.257608868461794</v>
      </c>
      <c r="R209" s="94">
        <f>IF(R132=1,'Cash flow statement'!R82," ")</f>
        <v>14.685337134515649</v>
      </c>
      <c r="S209" s="94">
        <f>IF(S132=1,'Cash flow statement'!S82," ")</f>
        <v>15.125897248551119</v>
      </c>
      <c r="T209" s="94">
        <f>IF(T132=1,'Cash flow statement'!T82," ")</f>
        <v>15.579674166007653</v>
      </c>
      <c r="U209" s="94">
        <f>IF(U132=1,'Cash flow statement'!U82," ")</f>
        <v>16.047064390987885</v>
      </c>
      <c r="V209" s="94">
        <f>IF(V132=1,'Cash flow statement'!V82," ")</f>
        <v>16.52847632271752</v>
      </c>
      <c r="W209" s="94">
        <f>IF(W132=1,'Cash flow statement'!W82," ")</f>
        <v>17.024330612399044</v>
      </c>
      <c r="X209" s="94">
        <f>IF(X132=1,'Cash flow statement'!X82," ")</f>
        <v>17.535060530771016</v>
      </c>
      <c r="Y209" s="94">
        <f>IF(Y132=1,'Cash flow statement'!Y82," ")</f>
        <v>18.061112346694149</v>
      </c>
      <c r="Z209" s="94">
        <f>IF(Z132=1,'Cash flow statement'!Z82," ")</f>
        <v>18.602945717094972</v>
      </c>
      <c r="AA209" s="94">
        <f>IF(AA132=1,'Cash flow statement'!AA82," ")</f>
        <v>19.161034088607821</v>
      </c>
      <c r="AB209" s="94">
        <f>IF(AB132=1,'Cash flow statement'!AB82," ")</f>
        <v>19.735865111266055</v>
      </c>
      <c r="AC209" s="94">
        <f>IF(AC132=1,'Cash flow statement'!AC82," ")</f>
        <v>20.327941064604037</v>
      </c>
      <c r="AD209" s="94">
        <f>IF(AD132=1,'Cash flow statement'!AD82," ")</f>
        <v>20.937779296542157</v>
      </c>
      <c r="AE209" s="94">
        <f>IF(AE132=1,'Cash flow statement'!AE82," ")</f>
        <v>21.565912675438422</v>
      </c>
      <c r="AF209" s="94">
        <f>IF(AF132=1,'Cash flow statement'!AF82," ")</f>
        <v>22.212890055701575</v>
      </c>
      <c r="AG209" s="94">
        <f>IF(AG132=1,'Cash flow statement'!AG82," ")</f>
        <v>22.879276757372622</v>
      </c>
      <c r="AH209" s="94">
        <f>IF(AH132=1,'Cash flow statement'!AH82," ")</f>
        <v>23.565655060093803</v>
      </c>
    </row>
    <row r="210" spans="1:34" s="412" customFormat="1" x14ac:dyDescent="0.2">
      <c r="A210" s="18"/>
      <c r="B210" s="80" t="s">
        <v>81</v>
      </c>
      <c r="C210" s="80"/>
      <c r="D210" s="80"/>
      <c r="E210" s="94">
        <f>IF(E132=1,'Cash flow statement'!E84,0)</f>
        <v>0</v>
      </c>
      <c r="F210" s="94">
        <f>IF(F132=1,'Cash flow statement'!F84,0)</f>
        <v>0</v>
      </c>
      <c r="G210" s="94">
        <f>IF(G132=1,'Cash flow statement'!G84,0)</f>
        <v>0</v>
      </c>
      <c r="H210" s="94">
        <f>IF(H132=1,'Cash flow statement'!H84,0)</f>
        <v>0</v>
      </c>
      <c r="I210" s="94">
        <f>IF(I132=1,'Cash flow statement'!I84,0)</f>
        <v>0</v>
      </c>
      <c r="J210" s="94">
        <f>IF(J132=1,'Cash flow statement'!J84," ")</f>
        <v>0</v>
      </c>
      <c r="K210" s="94">
        <f>IF(K132=1,'Cash flow statement'!K84," ")</f>
        <v>0</v>
      </c>
      <c r="L210" s="94">
        <f>IF(L132=1,'Cash flow statement'!L84," ")</f>
        <v>0</v>
      </c>
      <c r="M210" s="94">
        <f>IF(M132=1,'Cash flow statement'!M84," ")</f>
        <v>0</v>
      </c>
      <c r="N210" s="94">
        <f>IF(N132=1,'Cash flow statement'!N84," ")</f>
        <v>0</v>
      </c>
      <c r="O210" s="94">
        <f>IF(O132=1,'Cash flow statement'!O84," ")</f>
        <v>0</v>
      </c>
      <c r="P210" s="94">
        <f>IF(P132=1,'Cash flow statement'!P84," ")</f>
        <v>0</v>
      </c>
      <c r="Q210" s="94">
        <f>IF(Q132=1,'Cash flow statement'!Q84," ")</f>
        <v>0</v>
      </c>
      <c r="R210" s="94">
        <f>IF(R132=1,'Cash flow statement'!R84," ")</f>
        <v>0</v>
      </c>
      <c r="S210" s="94">
        <f>IF(S132=1,'Cash flow statement'!S84," ")</f>
        <v>0</v>
      </c>
      <c r="T210" s="94">
        <f>IF(T132=1,'Cash flow statement'!T84," ")</f>
        <v>0</v>
      </c>
      <c r="U210" s="94">
        <f>IF(U132=1,'Cash flow statement'!U84," ")</f>
        <v>0</v>
      </c>
      <c r="V210" s="94">
        <f>IF(V132=1,'Cash flow statement'!V84," ")</f>
        <v>0</v>
      </c>
      <c r="W210" s="94">
        <f>IF(W132=1,'Cash flow statement'!W84," ")</f>
        <v>0</v>
      </c>
      <c r="X210" s="94">
        <f>IF(X132=1,'Cash flow statement'!X84," ")</f>
        <v>0</v>
      </c>
      <c r="Y210" s="94">
        <f>IF(Y132=1,'Cash flow statement'!Y84," ")</f>
        <v>0</v>
      </c>
      <c r="Z210" s="94">
        <f>IF(Z132=1,'Cash flow statement'!Z84," ")</f>
        <v>0</v>
      </c>
      <c r="AA210" s="94">
        <f>IF(AA132=1,'Cash flow statement'!AA84," ")</f>
        <v>0</v>
      </c>
      <c r="AB210" s="94">
        <f>IF(AB132=1,'Cash flow statement'!AB84," ")</f>
        <v>0</v>
      </c>
      <c r="AC210" s="94">
        <f>IF(AC132=1,'Cash flow statement'!AC84," ")</f>
        <v>0</v>
      </c>
      <c r="AD210" s="94">
        <f>IF(AD132=1,'Cash flow statement'!AD84," ")</f>
        <v>0</v>
      </c>
      <c r="AE210" s="94">
        <f>IF(AE132=1,'Cash flow statement'!AE84," ")</f>
        <v>0</v>
      </c>
      <c r="AF210" s="94">
        <f>IF(AF132=1,'Cash flow statement'!AF84," ")</f>
        <v>0</v>
      </c>
      <c r="AG210" s="94">
        <f>IF(AG132=1,'Cash flow statement'!AG84," ")</f>
        <v>0</v>
      </c>
      <c r="AH210" s="94">
        <f>IF(AH132=1,'Cash flow statement'!AH84," ")</f>
        <v>0</v>
      </c>
    </row>
    <row r="211" spans="1:34" s="412" customFormat="1" x14ac:dyDescent="0.2">
      <c r="A211" s="18"/>
      <c r="B211" s="80" t="s">
        <v>206</v>
      </c>
      <c r="C211" s="80"/>
      <c r="D211" s="80"/>
      <c r="E211" s="94">
        <f>IF(E132=1,'Cash flow statement'!E85*-1,0)</f>
        <v>0</v>
      </c>
      <c r="F211" s="94">
        <f>IF(F132=1,'Cash flow statement'!F85*-1,0)</f>
        <v>-12.849999999999998</v>
      </c>
      <c r="G211" s="94">
        <f>IF(G132=1,'Cash flow statement'!G85*-1,0)</f>
        <v>-16.436749999999989</v>
      </c>
      <c r="H211" s="94">
        <f>IF(H132=1,'Cash flow statement'!H85*-1,0)</f>
        <v>-19.229249999999979</v>
      </c>
      <c r="I211" s="94">
        <f>IF(I132=1,'Cash flow statement'!I85*-1,0)</f>
        <v>-23.421875</v>
      </c>
      <c r="J211" s="94">
        <f>IF(J132=1,'Cash flow statement'!J85*-1," ")</f>
        <v>-27.439000000000078</v>
      </c>
      <c r="K211" s="94">
        <f>IF(K132=1,'Cash flow statement'!K85*-1," ")</f>
        <v>-31.326749999999947</v>
      </c>
      <c r="L211" s="94">
        <f>IF(L132=1,'Cash flow statement'!L85*-1," ")</f>
        <v>-32.479374999999891</v>
      </c>
      <c r="M211" s="94">
        <f>IF(M132=1,'Cash flow statement'!M85*-1," ")</f>
        <v>-31.020625000000109</v>
      </c>
      <c r="N211" s="94">
        <f>IF(N132=1,'Cash flow statement'!N85*-1," ")</f>
        <v>-29.410624999999982</v>
      </c>
      <c r="O211" s="94">
        <f>IF(O132=1,'Cash flow statement'!O85*-1," ")</f>
        <v>-26.21875</v>
      </c>
      <c r="P211" s="94">
        <f>IF(P132=1,'Cash flow statement'!P85*-1," ")</f>
        <v>-25.25</v>
      </c>
      <c r="Q211" s="94">
        <f>IF(Q132=1,'Cash flow statement'!Q85*-1," ")</f>
        <v>-25.25</v>
      </c>
      <c r="R211" s="94">
        <f>IF(R132=1,'Cash flow statement'!R85*-1," ")</f>
        <v>-25.25</v>
      </c>
      <c r="S211" s="94">
        <f>IF(S132=1,'Cash flow statement'!S85*-1," ")</f>
        <v>-25.25</v>
      </c>
      <c r="T211" s="94">
        <f>IF(T132=1,'Cash flow statement'!T85*-1," ")</f>
        <v>-25.25</v>
      </c>
      <c r="U211" s="94">
        <f>IF(U132=1,'Cash flow statement'!U85*-1," ")</f>
        <v>-13.125</v>
      </c>
      <c r="V211" s="94">
        <f>IF(V132=1,'Cash flow statement'!V85*-1," ")</f>
        <v>-1</v>
      </c>
      <c r="W211" s="94">
        <f>IF(W132=1,'Cash flow statement'!W85*-1," ")</f>
        <v>-1</v>
      </c>
      <c r="X211" s="94">
        <f>IF(X132=1,'Cash flow statement'!X85*-1," ")</f>
        <v>-1</v>
      </c>
      <c r="Y211" s="94">
        <f>IF(Y132=1,'Cash flow statement'!Y85*-1," ")</f>
        <v>-1</v>
      </c>
      <c r="Z211" s="94">
        <f>IF(Z132=1,'Cash flow statement'!Z85*-1," ")</f>
        <v>-1</v>
      </c>
      <c r="AA211" s="94">
        <f>IF(AA132=1,'Cash flow statement'!AA85*-1," ")</f>
        <v>-1</v>
      </c>
      <c r="AB211" s="94">
        <f>IF(AB132=1,'Cash flow statement'!AB85*-1," ")</f>
        <v>-1</v>
      </c>
      <c r="AC211" s="94">
        <f>IF(AC132=1,'Cash flow statement'!AC85*-1," ")</f>
        <v>-1</v>
      </c>
      <c r="AD211" s="94">
        <f>IF(AD132=1,'Cash flow statement'!AD85*-1," ")</f>
        <v>-1</v>
      </c>
      <c r="AE211" s="94">
        <f>IF(AE132=1,'Cash flow statement'!AE85*-1," ")</f>
        <v>-1</v>
      </c>
      <c r="AF211" s="94">
        <f>IF(AF132=1,'Cash flow statement'!AF85*-1," ")</f>
        <v>-1</v>
      </c>
      <c r="AG211" s="94">
        <f>IF(AG132=1,'Cash flow statement'!AG85*-1," ")</f>
        <v>-1</v>
      </c>
      <c r="AH211" s="94">
        <f>IF(AH132=1,'Cash flow statement'!AH85*-1," ")</f>
        <v>-1</v>
      </c>
    </row>
    <row r="212" spans="1:34" s="412" customFormat="1" x14ac:dyDescent="0.2">
      <c r="A212" s="18"/>
      <c r="B212" s="80" t="s">
        <v>111</v>
      </c>
      <c r="C212" s="80"/>
      <c r="D212" s="80"/>
      <c r="E212" s="94">
        <f>IF(E132=1,'Cash flow statement'!E86*-1,0)</f>
        <v>0</v>
      </c>
      <c r="F212" s="94">
        <f>IF(F132=1,'Cash flow statement'!F86*-1,0)</f>
        <v>-11446.397879440887</v>
      </c>
      <c r="G212" s="94">
        <f>IF(G132=1,'Cash flow statement'!G86*-1,0)</f>
        <v>-11712.104849431673</v>
      </c>
      <c r="H212" s="94">
        <f>IF(H132=1,'Cash flow statement'!H86*-1,0)</f>
        <v>-12075.990030592908</v>
      </c>
      <c r="I212" s="94">
        <f>IF(I132=1,'Cash flow statement'!I86*-1,0)</f>
        <v>-12471.761102930872</v>
      </c>
      <c r="J212" s="94">
        <f>IF(J132=1,'Cash flow statement'!J86*-1," ")</f>
        <v>-12950.025893911483</v>
      </c>
      <c r="K212" s="94">
        <f>IF(K132=1,'Cash flow statement'!K86*-1," ")</f>
        <v>-14870.967366810839</v>
      </c>
      <c r="L212" s="94">
        <f>IF(L132=1,'Cash flow statement'!L86*-1," ")</f>
        <v>-15715.914142705011</v>
      </c>
      <c r="M212" s="94">
        <f>IF(M132=1,'Cash flow statement'!M86*-1," ")</f>
        <v>-16341.247812470465</v>
      </c>
      <c r="N212" s="94">
        <f>IF(N132=1,'Cash flow statement'!N86*-1," ")</f>
        <v>-16985.908854063247</v>
      </c>
      <c r="O212" s="94">
        <f>IF(O132=1,'Cash flow statement'!O86*-1," ")</f>
        <v>-17419.229763727264</v>
      </c>
      <c r="P212" s="94">
        <f>IF(P132=1,'Cash flow statement'!P86*-1," ")</f>
        <v>-18051.134416836074</v>
      </c>
      <c r="Q212" s="94">
        <f>IF(Q132=1,'Cash flow statement'!Q86*-1," ")</f>
        <v>-18695.327810758379</v>
      </c>
      <c r="R212" s="94">
        <f>IF(R132=1,'Cash flow statement'!R86*-1," ")</f>
        <v>-19359.129292060486</v>
      </c>
      <c r="S212" s="94">
        <f>IF(S132=1,'Cash flow statement'!S86*-1," ")</f>
        <v>-20043.114853014922</v>
      </c>
      <c r="T212" s="94">
        <f>IF(T132=1,'Cash flow statement'!T86*-1," ")</f>
        <v>-20747.877274085316</v>
      </c>
      <c r="U212" s="94">
        <f>IF(U132=1,'Cash flow statement'!U86*-1," ")</f>
        <v>-21182.043488892188</v>
      </c>
      <c r="V212" s="94">
        <f>IF(V132=1,'Cash flow statement'!V86*-1," ")</f>
        <v>-22227.659553742211</v>
      </c>
      <c r="W212" s="94">
        <f>IF(W132=1,'Cash flow statement'!W86*-1," ")</f>
        <v>-22994.373610000664</v>
      </c>
      <c r="X212" s="94">
        <f>IF(X132=1,'Cash flow statement'!X86*-1," ")</f>
        <v>-23788.59919367544</v>
      </c>
      <c r="Y212" s="94">
        <f>IF(Y132=1,'Cash flow statement'!Y86*-1," ")</f>
        <v>-24606.836048273588</v>
      </c>
      <c r="Z212" s="94">
        <f>IF(Z132=1,'Cash flow statement'!Z86*-1," ")</f>
        <v>-25449.200504663972</v>
      </c>
      <c r="AA212" s="94">
        <f>IF(AA132=1,'Cash flow statement'!AA86*-1," ")</f>
        <v>-26317.586543582442</v>
      </c>
      <c r="AB212" s="94">
        <f>IF(AB132=1,'Cash flow statement'!AB86*-1," ")</f>
        <v>-27212.158952641479</v>
      </c>
      <c r="AC212" s="94">
        <f>IF(AC132=1,'Cash flow statement'!AC86*-1," ")</f>
        <v>-28133.685463676484</v>
      </c>
      <c r="AD212" s="94">
        <f>IF(AD132=1,'Cash flow statement'!AD86*-1," ")</f>
        <v>-29082.956186823943</v>
      </c>
      <c r="AE212" s="94">
        <f>IF(AE132=1,'Cash flow statement'!AE86*-1," ")</f>
        <v>-30060.784263032096</v>
      </c>
      <c r="AF212" s="94">
        <f>IF(AF132=1,'Cash flow statement'!AF86*-1," ")</f>
        <v>-31068.006535593257</v>
      </c>
      <c r="AG212" s="94">
        <f>IF(AG132=1,'Cash flow statement'!AG86*-1," ")</f>
        <v>-32105.484241261151</v>
      </c>
      <c r="AH212" s="94">
        <f>IF(AH132=1,'Cash flow statement'!AH86*-1," ")</f>
        <v>-33174.103721530824</v>
      </c>
    </row>
    <row r="213" spans="1:34" s="412" customFormat="1" x14ac:dyDescent="0.2">
      <c r="A213" s="18"/>
      <c r="B213" s="80"/>
      <c r="C213" s="80"/>
      <c r="D213" s="80"/>
      <c r="E213" s="80"/>
      <c r="F213" s="80"/>
      <c r="G213" s="80"/>
      <c r="H213" s="80"/>
      <c r="I213" s="80"/>
      <c r="J213" s="80"/>
      <c r="K213" s="80"/>
      <c r="L213" s="80"/>
      <c r="M213" s="80"/>
      <c r="N213" s="80"/>
      <c r="O213" s="80"/>
      <c r="P213" s="80"/>
      <c r="Q213" s="80"/>
      <c r="R213" s="80"/>
      <c r="S213" s="80"/>
      <c r="T213" s="80"/>
      <c r="U213" s="80"/>
      <c r="V213" s="80"/>
      <c r="W213" s="80"/>
      <c r="X213" s="80"/>
      <c r="Y213" s="80"/>
      <c r="Z213" s="80"/>
      <c r="AA213" s="80"/>
      <c r="AB213" s="80"/>
      <c r="AC213" s="80"/>
      <c r="AD213" s="80"/>
      <c r="AE213" s="80"/>
      <c r="AF213" s="80"/>
      <c r="AG213" s="80"/>
      <c r="AH213" s="80"/>
    </row>
    <row r="214" spans="1:34" s="412" customFormat="1" x14ac:dyDescent="0.2">
      <c r="A214" s="18"/>
      <c r="B214" s="90" t="s">
        <v>184</v>
      </c>
      <c r="C214" s="80"/>
      <c r="D214" s="80"/>
      <c r="E214" s="80"/>
      <c r="F214" s="143"/>
      <c r="G214" s="80"/>
      <c r="H214" s="80"/>
      <c r="I214" s="80"/>
      <c r="J214" s="80"/>
      <c r="K214" s="80"/>
      <c r="L214" s="80"/>
      <c r="M214" s="80"/>
      <c r="N214" s="80"/>
      <c r="O214" s="80"/>
      <c r="P214" s="80"/>
      <c r="Q214" s="80"/>
      <c r="R214" s="80"/>
      <c r="S214" s="80"/>
      <c r="T214" s="80"/>
      <c r="U214" s="80"/>
      <c r="V214" s="80"/>
      <c r="W214" s="80"/>
      <c r="X214" s="80"/>
      <c r="Y214" s="80"/>
      <c r="Z214" s="80"/>
      <c r="AA214" s="80"/>
      <c r="AB214" s="80"/>
      <c r="AC214" s="80"/>
      <c r="AD214" s="80"/>
      <c r="AE214" s="80"/>
      <c r="AF214" s="80"/>
      <c r="AG214" s="80"/>
      <c r="AH214" s="80"/>
    </row>
    <row r="215" spans="1:34" s="412" customFormat="1" x14ac:dyDescent="0.2">
      <c r="A215" s="18"/>
      <c r="B215" s="80"/>
      <c r="C215" s="80"/>
      <c r="D215" s="80"/>
      <c r="E215" s="93">
        <f t="shared" ref="E215:AH215" si="26">YEAR(E$131)</f>
        <v>2010</v>
      </c>
      <c r="F215" s="93">
        <f t="shared" si="26"/>
        <v>2011</v>
      </c>
      <c r="G215" s="93">
        <f t="shared" si="26"/>
        <v>2012</v>
      </c>
      <c r="H215" s="93">
        <f t="shared" si="26"/>
        <v>2013</v>
      </c>
      <c r="I215" s="93">
        <f t="shared" si="26"/>
        <v>2014</v>
      </c>
      <c r="J215" s="93">
        <f t="shared" si="26"/>
        <v>2015</v>
      </c>
      <c r="K215" s="93">
        <f t="shared" si="26"/>
        <v>2016</v>
      </c>
      <c r="L215" s="93">
        <f t="shared" si="26"/>
        <v>2017</v>
      </c>
      <c r="M215" s="93">
        <f t="shared" si="26"/>
        <v>2018</v>
      </c>
      <c r="N215" s="93">
        <f t="shared" si="26"/>
        <v>2019</v>
      </c>
      <c r="O215" s="93">
        <f t="shared" si="26"/>
        <v>2020</v>
      </c>
      <c r="P215" s="93">
        <f t="shared" si="26"/>
        <v>2021</v>
      </c>
      <c r="Q215" s="93">
        <f t="shared" si="26"/>
        <v>2022</v>
      </c>
      <c r="R215" s="93">
        <f t="shared" si="26"/>
        <v>2023</v>
      </c>
      <c r="S215" s="93">
        <f t="shared" si="26"/>
        <v>2024</v>
      </c>
      <c r="T215" s="93">
        <f t="shared" si="26"/>
        <v>2025</v>
      </c>
      <c r="U215" s="93">
        <f t="shared" si="26"/>
        <v>2026</v>
      </c>
      <c r="V215" s="93">
        <f t="shared" si="26"/>
        <v>2027</v>
      </c>
      <c r="W215" s="93">
        <f t="shared" si="26"/>
        <v>2028</v>
      </c>
      <c r="X215" s="93">
        <f t="shared" si="26"/>
        <v>2029</v>
      </c>
      <c r="Y215" s="93">
        <f t="shared" si="26"/>
        <v>2030</v>
      </c>
      <c r="Z215" s="93">
        <f t="shared" si="26"/>
        <v>2031</v>
      </c>
      <c r="AA215" s="93">
        <f t="shared" si="26"/>
        <v>2032</v>
      </c>
      <c r="AB215" s="93">
        <f t="shared" si="26"/>
        <v>2033</v>
      </c>
      <c r="AC215" s="93">
        <f t="shared" si="26"/>
        <v>2034</v>
      </c>
      <c r="AD215" s="93">
        <f t="shared" si="26"/>
        <v>2035</v>
      </c>
      <c r="AE215" s="93">
        <f t="shared" si="26"/>
        <v>2036</v>
      </c>
      <c r="AF215" s="93">
        <f t="shared" si="26"/>
        <v>2037</v>
      </c>
      <c r="AG215" s="93">
        <f t="shared" si="26"/>
        <v>2038</v>
      </c>
      <c r="AH215" s="93">
        <f t="shared" si="26"/>
        <v>2039</v>
      </c>
    </row>
    <row r="216" spans="1:34" s="412" customFormat="1" x14ac:dyDescent="0.2">
      <c r="A216" s="18"/>
      <c r="B216" s="80" t="s">
        <v>184</v>
      </c>
      <c r="C216" s="80"/>
      <c r="D216" s="80"/>
      <c r="E216" s="80">
        <f>IF(E132=1,'Cash flow statement'!E73,0)</f>
        <v>0</v>
      </c>
      <c r="F216" s="80">
        <f>IF(F132=1,'Cash flow statement'!F73,0)</f>
        <v>125</v>
      </c>
      <c r="G216" s="80">
        <f>IF(G132=1,'Cash flow statement'!G73,0)</f>
        <v>280</v>
      </c>
      <c r="H216" s="80">
        <f>IF(H132=1,'Cash flow statement'!H73,0)</f>
        <v>280</v>
      </c>
      <c r="I216" s="80">
        <f>IF(I132=1,'Cash flow statement'!I73,0)</f>
        <v>280</v>
      </c>
      <c r="J216" s="80">
        <f>IF(J132=1,'Cash flow statement'!J73," ")</f>
        <v>280</v>
      </c>
      <c r="K216" s="80">
        <f>IF(K132=1,'Cash flow statement'!K73," ")</f>
        <v>280</v>
      </c>
      <c r="L216" s="80">
        <f>IF(L132=1,'Cash flow statement'!L73," ")</f>
        <v>280</v>
      </c>
      <c r="M216" s="80">
        <f>IF(M132=1,'Cash flow statement'!M73," ")</f>
        <v>280</v>
      </c>
      <c r="N216" s="80">
        <f>IF(N132=1,'Cash flow statement'!N73," ")</f>
        <v>280</v>
      </c>
      <c r="O216" s="80">
        <f>IF(O132=1,'Cash flow statement'!O73," ")</f>
        <v>280</v>
      </c>
      <c r="P216" s="80">
        <f>IF(P132=1,'Cash flow statement'!P73," ")</f>
        <v>280</v>
      </c>
      <c r="Q216" s="80">
        <f>IF(Q132=1,'Cash flow statement'!Q73," ")</f>
        <v>280</v>
      </c>
      <c r="R216" s="80">
        <f>IF(R132=1,'Cash flow statement'!R73," ")</f>
        <v>280</v>
      </c>
      <c r="S216" s="80">
        <f>IF(S132=1,'Cash flow statement'!S73," ")</f>
        <v>280</v>
      </c>
      <c r="T216" s="80">
        <f>IF(T132=1,'Cash flow statement'!T73," ")</f>
        <v>280</v>
      </c>
      <c r="U216" s="80">
        <f>IF(U132=1,'Cash flow statement'!U73," ")</f>
        <v>280</v>
      </c>
      <c r="V216" s="80">
        <f>IF(V132=1,'Cash flow statement'!V73," ")</f>
        <v>280</v>
      </c>
      <c r="W216" s="80">
        <f>IF(W132=1,'Cash flow statement'!W73," ")</f>
        <v>280</v>
      </c>
      <c r="X216" s="80">
        <f>IF(X132=1,'Cash flow statement'!X73," ")</f>
        <v>280</v>
      </c>
      <c r="Y216" s="80">
        <f>IF(Y132=1,'Cash flow statement'!Y73," ")</f>
        <v>280</v>
      </c>
      <c r="Z216" s="80">
        <f>IF(Z132=1,'Cash flow statement'!Z73," ")</f>
        <v>280</v>
      </c>
      <c r="AA216" s="80">
        <f>IF(AA132=1,'Cash flow statement'!AA73," ")</f>
        <v>280</v>
      </c>
      <c r="AB216" s="80">
        <f>IF(AB132=1,'Cash flow statement'!AB73," ")</f>
        <v>280</v>
      </c>
      <c r="AC216" s="80">
        <f>IF(AC132=1,'Cash flow statement'!AC73," ")</f>
        <v>280</v>
      </c>
      <c r="AD216" s="80">
        <f>IF(AD132=1,'Cash flow statement'!AD73," ")</f>
        <v>280</v>
      </c>
      <c r="AE216" s="80">
        <f>IF(AE132=1,'Cash flow statement'!AE73," ")</f>
        <v>280</v>
      </c>
      <c r="AF216" s="80">
        <f>IF(AF132=1,'Cash flow statement'!AF73," ")</f>
        <v>280</v>
      </c>
      <c r="AG216" s="80">
        <f>IF(AG132=1,'Cash flow statement'!AG73," ")</f>
        <v>280</v>
      </c>
      <c r="AH216" s="80">
        <f>IF(AH132=1,'Cash flow statement'!AH73," ")</f>
        <v>280</v>
      </c>
    </row>
    <row r="217" spans="1:34" s="412" customFormat="1" x14ac:dyDescent="0.2">
      <c r="A217" s="18"/>
      <c r="B217" s="80"/>
      <c r="C217" s="80"/>
      <c r="D217" s="80"/>
      <c r="E217" s="80"/>
      <c r="F217" s="80"/>
      <c r="G217" s="80"/>
      <c r="H217" s="80"/>
      <c r="I217" s="80"/>
      <c r="J217" s="80"/>
      <c r="K217" s="80"/>
      <c r="L217" s="80"/>
      <c r="M217" s="80"/>
      <c r="N217" s="80"/>
      <c r="O217" s="80"/>
      <c r="P217" s="80"/>
      <c r="Q217" s="80"/>
      <c r="R217" s="80"/>
      <c r="S217" s="80"/>
      <c r="T217" s="80"/>
      <c r="U217" s="80"/>
      <c r="V217" s="80"/>
      <c r="W217" s="80"/>
      <c r="X217" s="80"/>
      <c r="Y217" s="80"/>
      <c r="Z217" s="80"/>
      <c r="AA217" s="80"/>
      <c r="AB217" s="80"/>
      <c r="AC217" s="80"/>
      <c r="AD217" s="80"/>
      <c r="AE217" s="80"/>
      <c r="AF217" s="80"/>
      <c r="AG217" s="80"/>
      <c r="AH217" s="80"/>
    </row>
    <row r="218" spans="1:34" s="412" customFormat="1" x14ac:dyDescent="0.2">
      <c r="A218" s="18"/>
      <c r="B218" s="90" t="s">
        <v>185</v>
      </c>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c r="AA218" s="80"/>
      <c r="AB218" s="80"/>
      <c r="AC218" s="80"/>
      <c r="AD218" s="80"/>
      <c r="AE218" s="80"/>
      <c r="AF218" s="80"/>
      <c r="AG218" s="80"/>
      <c r="AH218" s="80"/>
    </row>
    <row r="219" spans="1:34" s="412" customFormat="1" x14ac:dyDescent="0.2">
      <c r="A219" s="18"/>
      <c r="B219" s="80"/>
      <c r="C219" s="80"/>
      <c r="D219" s="80"/>
      <c r="E219" s="93">
        <f t="shared" ref="E219:AH219" si="27">YEAR(E$131)</f>
        <v>2010</v>
      </c>
      <c r="F219" s="93">
        <f t="shared" si="27"/>
        <v>2011</v>
      </c>
      <c r="G219" s="93">
        <f t="shared" si="27"/>
        <v>2012</v>
      </c>
      <c r="H219" s="93">
        <f t="shared" si="27"/>
        <v>2013</v>
      </c>
      <c r="I219" s="93">
        <f t="shared" si="27"/>
        <v>2014</v>
      </c>
      <c r="J219" s="93">
        <f t="shared" si="27"/>
        <v>2015</v>
      </c>
      <c r="K219" s="93">
        <f t="shared" si="27"/>
        <v>2016</v>
      </c>
      <c r="L219" s="93">
        <f t="shared" si="27"/>
        <v>2017</v>
      </c>
      <c r="M219" s="93">
        <f t="shared" si="27"/>
        <v>2018</v>
      </c>
      <c r="N219" s="93">
        <f t="shared" si="27"/>
        <v>2019</v>
      </c>
      <c r="O219" s="93">
        <f t="shared" si="27"/>
        <v>2020</v>
      </c>
      <c r="P219" s="93">
        <f t="shared" si="27"/>
        <v>2021</v>
      </c>
      <c r="Q219" s="93">
        <f t="shared" si="27"/>
        <v>2022</v>
      </c>
      <c r="R219" s="93">
        <f t="shared" si="27"/>
        <v>2023</v>
      </c>
      <c r="S219" s="93">
        <f t="shared" si="27"/>
        <v>2024</v>
      </c>
      <c r="T219" s="93">
        <f t="shared" si="27"/>
        <v>2025</v>
      </c>
      <c r="U219" s="93">
        <f t="shared" si="27"/>
        <v>2026</v>
      </c>
      <c r="V219" s="93">
        <f t="shared" si="27"/>
        <v>2027</v>
      </c>
      <c r="W219" s="93">
        <f t="shared" si="27"/>
        <v>2028</v>
      </c>
      <c r="X219" s="93">
        <f t="shared" si="27"/>
        <v>2029</v>
      </c>
      <c r="Y219" s="93">
        <f t="shared" si="27"/>
        <v>2030</v>
      </c>
      <c r="Z219" s="93">
        <f t="shared" si="27"/>
        <v>2031</v>
      </c>
      <c r="AA219" s="93">
        <f t="shared" si="27"/>
        <v>2032</v>
      </c>
      <c r="AB219" s="93">
        <f t="shared" si="27"/>
        <v>2033</v>
      </c>
      <c r="AC219" s="93">
        <f t="shared" si="27"/>
        <v>2034</v>
      </c>
      <c r="AD219" s="93">
        <f t="shared" si="27"/>
        <v>2035</v>
      </c>
      <c r="AE219" s="93">
        <f t="shared" si="27"/>
        <v>2036</v>
      </c>
      <c r="AF219" s="93">
        <f t="shared" si="27"/>
        <v>2037</v>
      </c>
      <c r="AG219" s="93">
        <f t="shared" si="27"/>
        <v>2038</v>
      </c>
      <c r="AH219" s="93">
        <f t="shared" si="27"/>
        <v>2039</v>
      </c>
    </row>
    <row r="220" spans="1:34" s="412" customFormat="1" x14ac:dyDescent="0.2">
      <c r="A220" s="18"/>
      <c r="B220" s="80" t="s">
        <v>163</v>
      </c>
      <c r="C220" s="80"/>
      <c r="D220" s="80"/>
      <c r="E220" s="94" t="str">
        <f>IF(E132=1,Calculations!E285,0)</f>
        <v>N/A</v>
      </c>
      <c r="F220" s="94">
        <f>IF(F132=1,Calculations!F285,0)</f>
        <v>542.90105339801778</v>
      </c>
      <c r="G220" s="94">
        <f>IF(G132=1,Calculations!G285,0)</f>
        <v>287.51001889875101</v>
      </c>
      <c r="H220" s="94">
        <f>IF(H132=1,Calculations!H285,0)</f>
        <v>354.55986653094334</v>
      </c>
      <c r="I220" s="94">
        <f>IF(I132=1,Calculations!I285,0)</f>
        <v>337.38928786223869</v>
      </c>
      <c r="J220" s="94">
        <f>IF(J132=1,Calculations!J285," ")</f>
        <v>325.75224587056039</v>
      </c>
      <c r="K220" s="94">
        <f>IF(K132=1,Calculations!K285," ")</f>
        <v>349.90644902067635</v>
      </c>
      <c r="L220" s="94">
        <f>IF(L132=1,Calculations!L285," ")</f>
        <v>364.30400519364616</v>
      </c>
      <c r="M220" s="94">
        <f>IF(M132=1,Calculations!M285," ")</f>
        <v>387.62291694466899</v>
      </c>
      <c r="N220" s="94">
        <f>IF(N132=1,Calculations!N285," ")</f>
        <v>413.59516029994501</v>
      </c>
      <c r="O220" s="94">
        <f>IF(O132=1,Calculations!O285," ")</f>
        <v>448.02478771563517</v>
      </c>
      <c r="P220" s="94">
        <f>IF(P132=1,Calculations!P285," ")</f>
        <v>1032.0294076232533</v>
      </c>
      <c r="Q220" s="94">
        <f>IF(Q132=1,Calculations!Q285," ")</f>
        <v>1068.4595465092198</v>
      </c>
      <c r="R220" s="94">
        <f>IF(R132=1,Calculations!R285," ")</f>
        <v>1105.9985604563692</v>
      </c>
      <c r="S220" s="94">
        <f>IF(S132=1,Calculations!S285," ")</f>
        <v>1144.6790226274929</v>
      </c>
      <c r="T220" s="94">
        <f>IF(T132=1,Calculations!T285," ")</f>
        <v>1184.5344555682666</v>
      </c>
      <c r="U220" s="94">
        <f>IF(U132=1,Calculations!U285," ")</f>
        <v>70.62400014287671</v>
      </c>
      <c r="V220" s="94">
        <f>IF(V132=1,Calculations!V285," ")</f>
        <v>31998.270886166159</v>
      </c>
      <c r="W220" s="94">
        <f>IF(W132=1,Calculations!W285," ")</f>
        <v>33093.080826531412</v>
      </c>
      <c r="X220" s="94">
        <f>IF(X132=1,Calculations!X285," ")</f>
        <v>34227.178073291288</v>
      </c>
      <c r="Y220" s="94">
        <f>IF(Y132=1,Calculations!Y285," ")</f>
        <v>35395.561813758432</v>
      </c>
      <c r="Z220" s="94">
        <f>IF(Z132=1,Calculations!Z285," ")</f>
        <v>36598.397775231439</v>
      </c>
      <c r="AA220" s="94">
        <f>IF(AA132=1,Calculations!AA285," ")</f>
        <v>37838.391171029165</v>
      </c>
      <c r="AB220" s="94">
        <f>IF(AB132=1,Calculations!AB285," ")</f>
        <v>39115.776924376565</v>
      </c>
      <c r="AC220" s="94">
        <f>IF(AC132=1,Calculations!AC285," ")</f>
        <v>40431.651292758943</v>
      </c>
      <c r="AD220" s="94">
        <f>IF(AD132=1,Calculations!AD285," ")</f>
        <v>41787.142487594814</v>
      </c>
      <c r="AE220" s="94">
        <f>IF(AE132=1,Calculations!AE285," ")</f>
        <v>43183.411605941845</v>
      </c>
      <c r="AF220" s="94">
        <f>IF(AF132=1,Calculations!AF285," ")</f>
        <v>44621.653589363239</v>
      </c>
      <c r="AG220" s="94">
        <f>IF(AG132=1,Calculations!AG285," ")</f>
        <v>46103.098210758559</v>
      </c>
      <c r="AH220" s="94">
        <f>IF(AH132=1,Calculations!AH285," ")</f>
        <v>47629.011089983949</v>
      </c>
    </row>
    <row r="221" spans="1:34" s="412" customFormat="1" x14ac:dyDescent="0.2">
      <c r="A221" s="18"/>
      <c r="B221" s="80" t="s">
        <v>186</v>
      </c>
      <c r="C221" s="80"/>
      <c r="D221" s="80"/>
      <c r="E221" s="95">
        <f>IF(E132=1,('Balance sheet'!E74+'Balance sheet'!E77)/'Balance sheet'!E87,0)</f>
        <v>7.5187969924812026E-2</v>
      </c>
      <c r="F221" s="95">
        <f>IF(F132=1,('Balance sheet'!F74+'Balance sheet'!F77)/'Balance sheet'!F87,0)</f>
        <v>3.1564507225341445E-2</v>
      </c>
      <c r="G221" s="95">
        <f>IF(G132=1,('Balance sheet'!G74+'Balance sheet'!G77)/'Balance sheet'!G87,0)</f>
        <v>2.3625547517688163E-2</v>
      </c>
      <c r="H221" s="95">
        <f>IF(H132=1,('Balance sheet'!H74+'Balance sheet'!H77)/'Balance sheet'!H87,0)</f>
        <v>2.0492444940089782E-2</v>
      </c>
      <c r="I221" s="95">
        <f>IF(I132=1,('Balance sheet'!I74+'Balance sheet'!I77)/'Balance sheet'!I87,0)</f>
        <v>1.857736840575638E-2</v>
      </c>
      <c r="J221" s="95">
        <f>IF(J132=1,('Balance sheet'!J74+'Balance sheet'!J77)/'Balance sheet'!J87," ")</f>
        <v>1.7230982808019119E-2</v>
      </c>
      <c r="K221" s="95">
        <f>IF(K132=1,('Balance sheet'!K74+'Balance sheet'!K77)/'Balance sheet'!K87," ")</f>
        <v>1.5748901193163207E-2</v>
      </c>
      <c r="L221" s="95">
        <f>IF(L132=1,('Balance sheet'!L74+'Balance sheet'!L77)/'Balance sheet'!L87," ")</f>
        <v>1.2610339965410814E-2</v>
      </c>
      <c r="M221" s="95">
        <f>IF(M132=1,('Balance sheet'!M74+'Balance sheet'!M77)/'Balance sheet'!M87," ")</f>
        <v>1.0270280977256317E-2</v>
      </c>
      <c r="N221" s="95">
        <f>IF(N132=1,('Balance sheet'!N74+'Balance sheet'!N77)/'Balance sheet'!N87," ")</f>
        <v>8.46605298599791E-3</v>
      </c>
      <c r="O221" s="95">
        <f>IF(O132=1,('Balance sheet'!O74+'Balance sheet'!O77)/'Balance sheet'!O87," ")</f>
        <v>7.048750216858011E-3</v>
      </c>
      <c r="P221" s="95">
        <f>IF(P132=1,('Balance sheet'!P74+'Balance sheet'!P77)/'Balance sheet'!P87," ")</f>
        <v>6.3030150344568284E-3</v>
      </c>
      <c r="Q221" s="95">
        <f>IF(Q132=1,('Balance sheet'!Q74+'Balance sheet'!Q77)/'Balance sheet'!Q87," ")</f>
        <v>5.6815379083334531E-3</v>
      </c>
      <c r="R221" s="95">
        <f>IF(R132=1,('Balance sheet'!R74+'Balance sheet'!R77)/'Balance sheet'!R87," ")</f>
        <v>5.1559587266214978E-3</v>
      </c>
      <c r="S221" s="95">
        <f>IF(S132=1,('Balance sheet'!S74+'Balance sheet'!S77)/'Balance sheet'!S87," ")</f>
        <v>4.7059347791702536E-3</v>
      </c>
      <c r="T221" s="95">
        <f>IF(T132=1,('Balance sheet'!T74+'Balance sheet'!T77)/'Balance sheet'!T87," ")</f>
        <v>4.3164945563689879E-3</v>
      </c>
      <c r="U221" s="95">
        <f>IF(U132=1,('Balance sheet'!U74+'Balance sheet'!U77)/'Balance sheet'!U87," ")</f>
        <v>4.1751768329854275E-4</v>
      </c>
      <c r="V221" s="95">
        <f>IF(V132=1,('Balance sheet'!V74+'Balance sheet'!V77)/'Balance sheet'!V87," ")</f>
        <v>3.8611563002360113E-4</v>
      </c>
      <c r="W221" s="95">
        <f>IF(W132=1,('Balance sheet'!W74+'Balance sheet'!W77)/'Balance sheet'!W87," ")</f>
        <v>3.5822872943558321E-4</v>
      </c>
      <c r="X221" s="95">
        <f>IF(X132=1,('Balance sheet'!X74+'Balance sheet'!X77)/'Balance sheet'!X87," ")</f>
        <v>3.3335217244230477E-4</v>
      </c>
      <c r="Y221" s="95">
        <f>IF(Y132=1,('Balance sheet'!Y74+'Balance sheet'!Y77)/'Balance sheet'!Y87," ")</f>
        <v>3.1103625024190895E-4</v>
      </c>
      <c r="Z221" s="95">
        <f>IF(Z132=1,('Balance sheet'!Z74+'Balance sheet'!Z77)/'Balance sheet'!Z87," ")</f>
        <v>2.9091263059887048E-4</v>
      </c>
      <c r="AA221" s="95">
        <f>IF(AA132=1,('Balance sheet'!AA74+'Balance sheet'!AA77)/'Balance sheet'!AA87," ")</f>
        <v>2.7268744227288707E-4</v>
      </c>
      <c r="AB221" s="95">
        <f>IF(AB132=1,('Balance sheet'!AB74+'Balance sheet'!AB77)/'Balance sheet'!AB87," ")</f>
        <v>2.5611353978709125E-4</v>
      </c>
      <c r="AC221" s="95">
        <f>IF(AC132=1,('Balance sheet'!AC74+'Balance sheet'!AC77)/'Balance sheet'!AC87," ")</f>
        <v>2.4098477748709841E-4</v>
      </c>
      <c r="AD221" s="95">
        <f>IF(AD132=1,('Balance sheet'!AD74+'Balance sheet'!AD77)/'Balance sheet'!AD87," ")</f>
        <v>2.2712784489439775E-4</v>
      </c>
      <c r="AE221" s="95">
        <f>IF(AE132=1,('Balance sheet'!AE74+'Balance sheet'!AE77)/'Balance sheet'!AE87," ")</f>
        <v>2.1439597853365898E-4</v>
      </c>
      <c r="AF221" s="95">
        <f>IF(AF132=1,('Balance sheet'!AF74+'Balance sheet'!AF77)/'Balance sheet'!AF87," ")</f>
        <v>2.0266406564531871E-4</v>
      </c>
      <c r="AG221" s="95">
        <f>IF(AG132=1,('Balance sheet'!AG74+'Balance sheet'!AG77)/'Balance sheet'!AG87," ")</f>
        <v>1.9182479312596556E-4</v>
      </c>
      <c r="AH221" s="95">
        <f>IF(AH132=1,('Balance sheet'!AH74+'Balance sheet'!AH77)/'Balance sheet'!AH87," ")</f>
        <v>1.817855903200511E-4</v>
      </c>
    </row>
    <row r="222" spans="1:34" s="412" customFormat="1" x14ac:dyDescent="0.2">
      <c r="A222" s="18"/>
      <c r="B222" s="80"/>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c r="AA222" s="80"/>
      <c r="AB222" s="80"/>
      <c r="AC222" s="80"/>
      <c r="AD222" s="80"/>
      <c r="AE222" s="80"/>
      <c r="AF222" s="80"/>
      <c r="AG222" s="80"/>
      <c r="AH222" s="80"/>
    </row>
    <row r="223" spans="1:34" s="412" customFormat="1" x14ac:dyDescent="0.2">
      <c r="A223" s="18"/>
      <c r="B223" s="90" t="s">
        <v>187</v>
      </c>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c r="AA223" s="80"/>
      <c r="AB223" s="80"/>
      <c r="AC223" s="80"/>
      <c r="AD223" s="80"/>
      <c r="AE223" s="80"/>
      <c r="AF223" s="80"/>
      <c r="AG223" s="80"/>
      <c r="AH223" s="80"/>
    </row>
    <row r="224" spans="1:34" s="412" customFormat="1" x14ac:dyDescent="0.2">
      <c r="A224" s="18"/>
      <c r="B224" s="80"/>
      <c r="C224" s="80"/>
      <c r="D224" s="80"/>
      <c r="E224" s="93">
        <f t="shared" ref="E224:AH224" si="28">YEAR(E$131)</f>
        <v>2010</v>
      </c>
      <c r="F224" s="93">
        <f t="shared" si="28"/>
        <v>2011</v>
      </c>
      <c r="G224" s="93">
        <f t="shared" si="28"/>
        <v>2012</v>
      </c>
      <c r="H224" s="93">
        <f t="shared" si="28"/>
        <v>2013</v>
      </c>
      <c r="I224" s="93">
        <f t="shared" si="28"/>
        <v>2014</v>
      </c>
      <c r="J224" s="93">
        <f t="shared" si="28"/>
        <v>2015</v>
      </c>
      <c r="K224" s="93">
        <f t="shared" si="28"/>
        <v>2016</v>
      </c>
      <c r="L224" s="93">
        <f t="shared" si="28"/>
        <v>2017</v>
      </c>
      <c r="M224" s="93">
        <f t="shared" si="28"/>
        <v>2018</v>
      </c>
      <c r="N224" s="93">
        <f t="shared" si="28"/>
        <v>2019</v>
      </c>
      <c r="O224" s="93">
        <f t="shared" si="28"/>
        <v>2020</v>
      </c>
      <c r="P224" s="93">
        <f t="shared" si="28"/>
        <v>2021</v>
      </c>
      <c r="Q224" s="93">
        <f t="shared" si="28"/>
        <v>2022</v>
      </c>
      <c r="R224" s="93">
        <f t="shared" si="28"/>
        <v>2023</v>
      </c>
      <c r="S224" s="93">
        <f t="shared" si="28"/>
        <v>2024</v>
      </c>
      <c r="T224" s="93">
        <f t="shared" si="28"/>
        <v>2025</v>
      </c>
      <c r="U224" s="93">
        <f t="shared" si="28"/>
        <v>2026</v>
      </c>
      <c r="V224" s="93">
        <f t="shared" si="28"/>
        <v>2027</v>
      </c>
      <c r="W224" s="93">
        <f t="shared" si="28"/>
        <v>2028</v>
      </c>
      <c r="X224" s="93">
        <f t="shared" si="28"/>
        <v>2029</v>
      </c>
      <c r="Y224" s="93">
        <f t="shared" si="28"/>
        <v>2030</v>
      </c>
      <c r="Z224" s="93">
        <f t="shared" si="28"/>
        <v>2031</v>
      </c>
      <c r="AA224" s="93">
        <f t="shared" si="28"/>
        <v>2032</v>
      </c>
      <c r="AB224" s="93">
        <f t="shared" si="28"/>
        <v>2033</v>
      </c>
      <c r="AC224" s="93">
        <f t="shared" si="28"/>
        <v>2034</v>
      </c>
      <c r="AD224" s="93">
        <f t="shared" si="28"/>
        <v>2035</v>
      </c>
      <c r="AE224" s="93">
        <f t="shared" si="28"/>
        <v>2036</v>
      </c>
      <c r="AF224" s="93">
        <f t="shared" si="28"/>
        <v>2037</v>
      </c>
      <c r="AG224" s="93">
        <f t="shared" si="28"/>
        <v>2038</v>
      </c>
      <c r="AH224" s="93">
        <f t="shared" si="28"/>
        <v>2039</v>
      </c>
    </row>
    <row r="225" spans="1:34" s="412" customFormat="1" x14ac:dyDescent="0.2">
      <c r="A225" s="18"/>
      <c r="B225" s="80" t="s">
        <v>69</v>
      </c>
      <c r="C225" s="80"/>
      <c r="D225" s="80"/>
      <c r="E225" s="94">
        <f>IF(E132=1,'Balance sheet'!E62,0)</f>
        <v>5300</v>
      </c>
      <c r="F225" s="94">
        <f>IF(F132=1,'Balance sheet'!F62,0)</f>
        <v>10218.422483758284</v>
      </c>
      <c r="G225" s="94">
        <f>IF(G132=1,'Balance sheet'!G62,0)</f>
        <v>15378.996892136098</v>
      </c>
      <c r="H225" s="94">
        <f>IF(H132=1,'Balance sheet'!H62,0)</f>
        <v>20699.552760782059</v>
      </c>
      <c r="I225" s="94">
        <f>IF(I132=1,'Balance sheet'!I62,0)</f>
        <v>26193.872457589841</v>
      </c>
      <c r="J225" s="94">
        <f>IF(J132=1,'Balance sheet'!J62," ")</f>
        <v>31897.430836149088</v>
      </c>
      <c r="K225" s="94">
        <f>IF(K132=1,'Balance sheet'!K62," ")</f>
        <v>39160.196378202279</v>
      </c>
      <c r="L225" s="94">
        <f>IF(L132=1,'Balance sheet'!L62," ")</f>
        <v>46078.211996462451</v>
      </c>
      <c r="M225" s="94">
        <f>IF(M132=1,'Balance sheet'!M62," ")</f>
        <v>53269.45561956177</v>
      </c>
      <c r="N225" s="94">
        <f>IF(N132=1,'Balance sheet'!N62," ")</f>
        <v>60742.362266579366</v>
      </c>
      <c r="O225" s="94">
        <f>IF(O132=1,'Balance sheet'!O62," ")</f>
        <v>68406.5138918515</v>
      </c>
      <c r="P225" s="94">
        <f>IF(P132=1,'Balance sheet'!P62," ")</f>
        <v>76347.178677409829</v>
      </c>
      <c r="Q225" s="94">
        <f>IF(Q132=1,'Balance sheet'!Q62," ")</f>
        <v>84569.788790458639</v>
      </c>
      <c r="R225" s="94">
        <f>IF(R132=1,'Balance sheet'!R62," ")</f>
        <v>93082.918099290444</v>
      </c>
      <c r="S225" s="94">
        <f>IF(S132=1,'Balance sheet'!S62," ")</f>
        <v>101895.39230602905</v>
      </c>
      <c r="T225" s="94">
        <f>IF(T132=1,'Balance sheet'!T62," ")</f>
        <v>111016.29628745108</v>
      </c>
      <c r="U225" s="94">
        <f>IF(U132=1,'Balance sheet'!U62," ")</f>
        <v>120329.84602507162</v>
      </c>
      <c r="V225" s="94">
        <f>IF(V132=1,'Balance sheet'!V62," ")</f>
        <v>130098.28266943207</v>
      </c>
      <c r="W225" s="94">
        <f>IF(W132=1,'Balance sheet'!W62," ")</f>
        <v>140202.27359279542</v>
      </c>
      <c r="X225" s="94">
        <f>IF(X132=1,'Balance sheet'!X62," ")</f>
        <v>150653.8120077581</v>
      </c>
      <c r="Y225" s="94">
        <f>IF(Y132=1,'Balance sheet'!Y62," ")</f>
        <v>161463.39693903265</v>
      </c>
      <c r="Z225" s="94">
        <f>IF(Z132=1,'Balance sheet'!Z62," ")</f>
        <v>172641.58336297265</v>
      </c>
      <c r="AA225" s="94">
        <f>IF(AA132=1,'Balance sheet'!AA62," ")</f>
        <v>184199.74423611836</v>
      </c>
      <c r="AB225" s="94">
        <f>IF(AB132=1,'Balance sheet'!AB62," ")</f>
        <v>196149.32959627107</v>
      </c>
      <c r="AC225" s="94">
        <f>IF(AC132=1,'Balance sheet'!AC62," ")</f>
        <v>208502.12515639391</v>
      </c>
      <c r="AD225" s="94">
        <f>IF(AD132=1,'Balance sheet'!AD62," ")</f>
        <v>221270.26209009794</v>
      </c>
      <c r="AE225" s="94">
        <f>IF(AE132=1,'Balance sheet'!AE62," ")</f>
        <v>234466.22710248883</v>
      </c>
      <c r="AF225" s="94">
        <f>IF(AF132=1,'Balance sheet'!AF62," ")</f>
        <v>248102.87279469537</v>
      </c>
      <c r="AG225" s="94">
        <f>IF(AG132=1,'Balance sheet'!AG62," ")</f>
        <v>262193.42833064514</v>
      </c>
      <c r="AH225" s="94">
        <f>IF(AH132=1,'Balance sheet'!AH62," ")</f>
        <v>276751.51041490689</v>
      </c>
    </row>
    <row r="226" spans="1:34" s="412" customFormat="1" x14ac:dyDescent="0.2">
      <c r="A226" s="18"/>
      <c r="B226" s="80" t="s">
        <v>77</v>
      </c>
      <c r="C226" s="80"/>
      <c r="D226" s="80"/>
      <c r="E226" s="94">
        <f>IF(E132=1,'Balance sheet'!E75,0)</f>
        <v>2117.5</v>
      </c>
      <c r="F226" s="94">
        <f>IF(F132=1,'Balance sheet'!F75,0)</f>
        <v>2161.4966071016092</v>
      </c>
      <c r="G226" s="94">
        <f>IF(G132=1,'Balance sheet'!G75,0)</f>
        <v>2212.5665053146572</v>
      </c>
      <c r="H226" s="94">
        <f>IF(H132=1,'Balance sheet'!H75,0)</f>
        <v>2305.1877824178951</v>
      </c>
      <c r="I226" s="94">
        <f>IF(I132=1,'Balance sheet'!I75,0)</f>
        <v>2392.0824894918392</v>
      </c>
      <c r="J226" s="94">
        <f>IF(J132=1,'Balance sheet'!J75," ")</f>
        <v>2462.9449641765946</v>
      </c>
      <c r="K226" s="94">
        <f>IF(K132=1,'Balance sheet'!K75," ")</f>
        <v>2790.9932759435992</v>
      </c>
      <c r="L226" s="94">
        <f>IF(L132=1,'Balance sheet'!L75," ")</f>
        <v>2873.8230742219075</v>
      </c>
      <c r="M226" s="94">
        <f>IF(M132=1,'Balance sheet'!M75," ")</f>
        <v>2959.1377664485649</v>
      </c>
      <c r="N226" s="94">
        <f>IF(N132=1,'Balance sheet'!N75," ")</f>
        <v>3047.0118994420213</v>
      </c>
      <c r="O226" s="94">
        <f>IF(O132=1,'Balance sheet'!O75," ")</f>
        <v>3107.5222564252822</v>
      </c>
      <c r="P226" s="94">
        <f>IF(P132=1,'Balance sheet'!P75," ")</f>
        <v>3200.7479241180408</v>
      </c>
      <c r="Q226" s="94">
        <f>IF(Q132=1,'Balance sheet'!Q75," ")</f>
        <v>3296.7703618415817</v>
      </c>
      <c r="R226" s="94">
        <f>IF(R132=1,'Balance sheet'!R75," ")</f>
        <v>3395.6734726968302</v>
      </c>
      <c r="S226" s="94">
        <f>IF(S132=1,'Balance sheet'!S75," ")</f>
        <v>3497.5436768777349</v>
      </c>
      <c r="T226" s="94">
        <f>IF(T132=1,'Balance sheet'!T75," ")</f>
        <v>4027.4699871840667</v>
      </c>
      <c r="U226" s="94">
        <f>IF(U132=1,'Balance sheet'!U75," ")</f>
        <v>3710.544086799589</v>
      </c>
      <c r="V226" s="94">
        <f>IF(V132=1,'Balance sheet'!V75," ")</f>
        <v>3821.8604094035768</v>
      </c>
      <c r="W226" s="94">
        <f>IF(W132=1,'Balance sheet'!W75," ")</f>
        <v>3936.5162216856843</v>
      </c>
      <c r="X226" s="94">
        <f>IF(X132=1,'Balance sheet'!X75," ")</f>
        <v>4054.6117083362551</v>
      </c>
      <c r="Y226" s="94">
        <f>IF(Y132=1,'Balance sheet'!Y75," ")</f>
        <v>4176.250059586343</v>
      </c>
      <c r="Z226" s="94">
        <f>IF(Z132=1,'Balance sheet'!Z75," ")</f>
        <v>4301.5375613739343</v>
      </c>
      <c r="AA226" s="94">
        <f>IF(AA132=1,'Balance sheet'!AA75," ")</f>
        <v>4430.5836882151516</v>
      </c>
      <c r="AB226" s="94">
        <f>IF(AB132=1,'Balance sheet'!AB75," ")</f>
        <v>4563.501198861607</v>
      </c>
      <c r="AC226" s="94">
        <f>IF(AC132=1,'Balance sheet'!AC75," ")</f>
        <v>4700.4062348274556</v>
      </c>
      <c r="AD226" s="94">
        <f>IF(AD132=1,'Balance sheet'!AD75," ")</f>
        <v>4841.4184218722785</v>
      </c>
      <c r="AE226" s="94">
        <f>IF(AE132=1,'Balance sheet'!AE75," ")</f>
        <v>4986.6609745284468</v>
      </c>
      <c r="AF226" s="94">
        <f>IF(AF132=1,'Balance sheet'!AF75," ")</f>
        <v>5136.2608037643004</v>
      </c>
      <c r="AG226" s="94">
        <f>IF(AG132=1,'Balance sheet'!AG75," ")</f>
        <v>5290.3486278772289</v>
      </c>
      <c r="AH226" s="94">
        <f>IF(AH132=1,'Balance sheet'!AH75," ")</f>
        <v>5449.059086713547</v>
      </c>
    </row>
    <row r="227" spans="1:34" s="412" customFormat="1" x14ac:dyDescent="0.2">
      <c r="A227" s="18"/>
      <c r="B227" s="80" t="s">
        <v>178</v>
      </c>
      <c r="C227" s="80"/>
      <c r="D227" s="80"/>
      <c r="E227" s="98">
        <f>IF(E132=1,E225/E226,0)</f>
        <v>2.5029515938606846</v>
      </c>
      <c r="F227" s="98">
        <f t="shared" ref="F227:I227" si="29">IF(F132=1,F225/F226,0)</f>
        <v>4.7274756065707439</v>
      </c>
      <c r="G227" s="98">
        <f t="shared" si="29"/>
        <v>6.950750115395512</v>
      </c>
      <c r="H227" s="98">
        <f t="shared" si="29"/>
        <v>8.9795516524343384</v>
      </c>
      <c r="I227" s="98">
        <f t="shared" si="29"/>
        <v>10.95023795067967</v>
      </c>
      <c r="J227" s="98">
        <f t="shared" ref="J227:AH227" si="30">IF(J132=1,J225/J226," ")</f>
        <v>12.950931222619891</v>
      </c>
      <c r="K227" s="98">
        <f t="shared" si="30"/>
        <v>14.030917492971286</v>
      </c>
      <c r="L227" s="98">
        <f t="shared" si="30"/>
        <v>16.033767843880998</v>
      </c>
      <c r="M227" s="98">
        <f t="shared" si="30"/>
        <v>18.001681511264536</v>
      </c>
      <c r="N227" s="98">
        <f t="shared" si="30"/>
        <v>19.935059091073029</v>
      </c>
      <c r="O227" s="98">
        <f t="shared" si="30"/>
        <v>22.013201595068377</v>
      </c>
      <c r="P227" s="98">
        <f t="shared" si="30"/>
        <v>23.852918282668927</v>
      </c>
      <c r="Q227" s="98">
        <f t="shared" si="30"/>
        <v>25.652314085721702</v>
      </c>
      <c r="R227" s="98">
        <f t="shared" si="30"/>
        <v>27.412211111501357</v>
      </c>
      <c r="S227" s="98">
        <f t="shared" si="30"/>
        <v>29.133415253584854</v>
      </c>
      <c r="T227" s="98">
        <f t="shared" si="30"/>
        <v>27.564773081045765</v>
      </c>
      <c r="U227" s="98">
        <f t="shared" si="30"/>
        <v>32.429164890709671</v>
      </c>
      <c r="V227" s="98">
        <f t="shared" si="30"/>
        <v>34.040563687079995</v>
      </c>
      <c r="W227" s="98">
        <f t="shared" si="30"/>
        <v>35.61582518584374</v>
      </c>
      <c r="X227" s="98">
        <f t="shared" si="30"/>
        <v>37.156162622925109</v>
      </c>
      <c r="Y227" s="98">
        <f t="shared" si="30"/>
        <v>38.662291442152195</v>
      </c>
      <c r="Z227" s="98">
        <f t="shared" si="30"/>
        <v>40.134854316564422</v>
      </c>
      <c r="AA227" s="98">
        <f t="shared" si="30"/>
        <v>41.574599916951961</v>
      </c>
      <c r="AB227" s="98">
        <f t="shared" si="30"/>
        <v>42.982201833364634</v>
      </c>
      <c r="AC227" s="98">
        <f t="shared" si="30"/>
        <v>44.358320268470941</v>
      </c>
      <c r="AD227" s="98">
        <f t="shared" si="30"/>
        <v>45.703602293587352</v>
      </c>
      <c r="AE227" s="98">
        <f t="shared" si="30"/>
        <v>47.018682100132274</v>
      </c>
      <c r="AF227" s="98">
        <f t="shared" si="30"/>
        <v>48.304181246572199</v>
      </c>
      <c r="AG227" s="98">
        <f t="shared" si="30"/>
        <v>49.560708900927608</v>
      </c>
      <c r="AH227" s="98">
        <f t="shared" si="30"/>
        <v>50.788862078906561</v>
      </c>
    </row>
    <row r="228" spans="1:34" s="412" customFormat="1" x14ac:dyDescent="0.2">
      <c r="A228" s="18"/>
      <c r="B228" s="80"/>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c r="AA228" s="80"/>
      <c r="AB228" s="80"/>
      <c r="AC228" s="80"/>
      <c r="AD228" s="80"/>
      <c r="AE228" s="80"/>
      <c r="AF228" s="80"/>
      <c r="AG228" s="80"/>
      <c r="AH228" s="80"/>
    </row>
    <row r="229" spans="1:34" s="412" customFormat="1" x14ac:dyDescent="0.2">
      <c r="A229" s="18"/>
      <c r="B229" s="90" t="s">
        <v>188</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c r="AA229" s="80"/>
      <c r="AB229" s="80"/>
      <c r="AC229" s="80"/>
      <c r="AD229" s="80"/>
      <c r="AE229" s="80"/>
      <c r="AF229" s="80"/>
      <c r="AG229" s="80"/>
      <c r="AH229" s="80"/>
    </row>
    <row r="230" spans="1:34" s="412" customFormat="1" x14ac:dyDescent="0.2">
      <c r="A230" s="18"/>
      <c r="B230" s="80"/>
      <c r="C230" s="80"/>
      <c r="D230" s="80"/>
      <c r="E230" s="93">
        <f t="shared" ref="E230:AH230" si="31">YEAR(E$131)</f>
        <v>2010</v>
      </c>
      <c r="F230" s="93">
        <f t="shared" si="31"/>
        <v>2011</v>
      </c>
      <c r="G230" s="93">
        <f t="shared" si="31"/>
        <v>2012</v>
      </c>
      <c r="H230" s="93">
        <f t="shared" si="31"/>
        <v>2013</v>
      </c>
      <c r="I230" s="93">
        <f t="shared" si="31"/>
        <v>2014</v>
      </c>
      <c r="J230" s="93">
        <f t="shared" si="31"/>
        <v>2015</v>
      </c>
      <c r="K230" s="93">
        <f t="shared" si="31"/>
        <v>2016</v>
      </c>
      <c r="L230" s="93">
        <f t="shared" si="31"/>
        <v>2017</v>
      </c>
      <c r="M230" s="93">
        <f t="shared" si="31"/>
        <v>2018</v>
      </c>
      <c r="N230" s="93">
        <f t="shared" si="31"/>
        <v>2019</v>
      </c>
      <c r="O230" s="93">
        <f t="shared" si="31"/>
        <v>2020</v>
      </c>
      <c r="P230" s="93">
        <f t="shared" si="31"/>
        <v>2021</v>
      </c>
      <c r="Q230" s="93">
        <f t="shared" si="31"/>
        <v>2022</v>
      </c>
      <c r="R230" s="93">
        <f t="shared" si="31"/>
        <v>2023</v>
      </c>
      <c r="S230" s="93">
        <f t="shared" si="31"/>
        <v>2024</v>
      </c>
      <c r="T230" s="93">
        <f t="shared" si="31"/>
        <v>2025</v>
      </c>
      <c r="U230" s="93">
        <f t="shared" si="31"/>
        <v>2026</v>
      </c>
      <c r="V230" s="93">
        <f t="shared" si="31"/>
        <v>2027</v>
      </c>
      <c r="W230" s="93">
        <f t="shared" si="31"/>
        <v>2028</v>
      </c>
      <c r="X230" s="93">
        <f t="shared" si="31"/>
        <v>2029</v>
      </c>
      <c r="Y230" s="93">
        <f t="shared" si="31"/>
        <v>2030</v>
      </c>
      <c r="Z230" s="93">
        <f t="shared" si="31"/>
        <v>2031</v>
      </c>
      <c r="AA230" s="93">
        <f t="shared" si="31"/>
        <v>2032</v>
      </c>
      <c r="AB230" s="93">
        <f t="shared" si="31"/>
        <v>2033</v>
      </c>
      <c r="AC230" s="93">
        <f t="shared" si="31"/>
        <v>2034</v>
      </c>
      <c r="AD230" s="93">
        <f t="shared" si="31"/>
        <v>2035</v>
      </c>
      <c r="AE230" s="93">
        <f t="shared" si="31"/>
        <v>2036</v>
      </c>
      <c r="AF230" s="93">
        <f t="shared" si="31"/>
        <v>2037</v>
      </c>
      <c r="AG230" s="93">
        <f t="shared" si="31"/>
        <v>2038</v>
      </c>
      <c r="AH230" s="93">
        <f t="shared" si="31"/>
        <v>2039</v>
      </c>
    </row>
    <row r="231" spans="1:34" s="412" customFormat="1" x14ac:dyDescent="0.2">
      <c r="A231" s="18"/>
      <c r="B231" s="80" t="s">
        <v>167</v>
      </c>
      <c r="C231" s="80"/>
      <c r="D231" s="80"/>
      <c r="E231" s="99">
        <f>IF(E132=1,IF(Calculations!E297="N/A",0,Calculations!E297),0)</f>
        <v>4.1157706766917297</v>
      </c>
      <c r="F231" s="99">
        <f>IF(F132=1,IF(Calculations!F297="N/A",0,Calculations!F297),0)</f>
        <v>2.534559148546605</v>
      </c>
      <c r="G231" s="99">
        <f>IF(G132=1,IF(Calculations!G297="N/A",0,Calculations!G297),0)</f>
        <v>1.4643339783467781</v>
      </c>
      <c r="H231" s="99">
        <f>IF(H132=1,IF(Calculations!H297="N/A",0,Calculations!H297),0)</f>
        <v>1.0331903117479579</v>
      </c>
      <c r="I231" s="99">
        <f>IF(I132=1,IF(Calculations!I297="N/A",0,Calculations!I297),0)</f>
        <v>0.80699422621043659</v>
      </c>
      <c r="J231" s="99">
        <f>IF(J132=1,IF(Calculations!J297="N/A",0,Calculations!J297)," ")</f>
        <v>0.66934437734471453</v>
      </c>
      <c r="K231" s="99">
        <f>IF(K132=1,IF(Calculations!K297="N/A",0,Calculations!K297)," ")</f>
        <v>0.63863679916483396</v>
      </c>
      <c r="L231" s="99">
        <f>IF(L132=1,IF(Calculations!L297="N/A",0,Calculations!L297)," ")</f>
        <v>0.55052013878259554</v>
      </c>
      <c r="M231" s="99">
        <f>IF(M132=1,IF(Calculations!M297="N/A",0,Calculations!M297)," ")</f>
        <v>0.48755284293817786</v>
      </c>
      <c r="N231" s="99">
        <f>IF(N132=1,IF(Calculations!N297="N/A",0,Calculations!N297)," ")</f>
        <v>0.43915751187772839</v>
      </c>
      <c r="O231" s="99">
        <f>IF(O132=1,IF(Calculations!O297="N/A",0,Calculations!O297)," ")</f>
        <v>0.39593609492349652</v>
      </c>
      <c r="P231" s="99">
        <f>IF(P132=1,IF(Calculations!P297="N/A",0,Calculations!P297)," ")</f>
        <v>0.36450736449167098</v>
      </c>
      <c r="Q231" s="99">
        <f>IF(Q132=1,IF(Calculations!Q297="N/A",0,Calculations!Q297)," ")</f>
        <v>0.33883111566873964</v>
      </c>
      <c r="R231" s="99">
        <f>IF(R132=1,IF(Calculations!R297="N/A",0,Calculations!R297)," ")</f>
        <v>0.31723447079098616</v>
      </c>
      <c r="S231" s="99">
        <f>IF(S132=1,IF(Calculations!S297="N/A",0,Calculations!S297)," ")</f>
        <v>0.29882077028333864</v>
      </c>
      <c r="T231" s="99">
        <f>IF(T132=1,IF(Calculations!T297="N/A",0,Calculations!T297)," ")</f>
        <v>0.28293812970250898</v>
      </c>
      <c r="U231" s="99">
        <f>IF(U132=1,IF(Calculations!U297="N/A",0,Calculations!U297)," ")</f>
        <v>0.26881869424148669</v>
      </c>
      <c r="V231" s="99">
        <f>IF(V132=1,IF(Calculations!V297="N/A",0,Calculations!V297)," ")</f>
        <v>0.25644440348560332</v>
      </c>
      <c r="W231" s="99">
        <f>IF(W132=1,IF(Calculations!W297="N/A",0,Calculations!W297)," ")</f>
        <v>0.24578486549965833</v>
      </c>
      <c r="X231" s="99">
        <f>IF(X132=1,IF(Calculations!X297="N/A",0,Calculations!X297)," ")</f>
        <v>0.23618815352786338</v>
      </c>
      <c r="Y231" s="99">
        <f>IF(Y132=1,IF(Calculations!Y297="N/A",0,Calculations!Y297)," ")</f>
        <v>0.22758253574719678</v>
      </c>
      <c r="Z231" s="99">
        <f>IF(Z132=1,IF(Calculations!Z297="N/A",0,Calculations!Z297)," ")</f>
        <v>0.21983155484010664</v>
      </c>
      <c r="AA231" s="99">
        <f>IF(AA132=1,IF(Calculations!AA297="N/A",0,Calculations!AA297)," ")</f>
        <v>0.21279857816230946</v>
      </c>
      <c r="AB231" s="99">
        <f>IF(AB132=1,IF(Calculations!AB297="N/A",0,Calculations!AB297)," ")</f>
        <v>0.20639840297213699</v>
      </c>
      <c r="AC231" s="99">
        <f>IF(AC132=1,IF(Calculations!AC297="N/A",0,Calculations!AC297)," ")</f>
        <v>0.20055050365272825</v>
      </c>
      <c r="AD231" s="99">
        <f>IF(AD132=1,IF(Calculations!AD297="N/A",0,Calculations!AD297)," ")</f>
        <v>0.19518744544745345</v>
      </c>
      <c r="AE231" s="99">
        <f>IF(AE132=1,IF(Calculations!AE297="N/A",0,Calculations!AE297)," ")</f>
        <v>0.19025232864165323</v>
      </c>
      <c r="AF231" s="99">
        <f>IF(AF132=1,IF(Calculations!AF297="N/A",0,Calculations!AF297)," ")</f>
        <v>0.18569680901936741</v>
      </c>
      <c r="AG231" s="99">
        <f>IF(AG132=1,IF(Calculations!AG297="N/A",0,Calculations!AG297)," ")</f>
        <v>0.18147954849327086</v>
      </c>
      <c r="AH231" s="99">
        <f>IF(AH132=1,IF(Calculations!AH297="N/A",0,Calculations!AH297)," ")</f>
        <v>0.17756499065886577</v>
      </c>
    </row>
    <row r="232" spans="1:34" s="412" customFormat="1" x14ac:dyDescent="0.2">
      <c r="A232" s="18"/>
      <c r="B232" s="80" t="s">
        <v>170</v>
      </c>
      <c r="C232" s="80"/>
      <c r="D232" s="80"/>
      <c r="E232" s="99">
        <f>IF(E132=1,IF(Calculations!E299="N/A",0,Calculations!E299),0)</f>
        <v>2.5619227769110768</v>
      </c>
      <c r="F232" s="99">
        <f>IF(F132=1,IF(Calculations!F299="N/A",0,Calculations!F299),0)</f>
        <v>1.8444535324523228</v>
      </c>
      <c r="G232" s="99">
        <f>IF(G132=1,IF(Calculations!G299="N/A",0,Calculations!G299),0)</f>
        <v>1.2058043127246951</v>
      </c>
      <c r="H232" s="99">
        <f>IF(H132=1,IF(Calculations!H299="N/A",0,Calculations!H299),0)</f>
        <v>0.89432070589628965</v>
      </c>
      <c r="I232" s="99">
        <f>IF(I132=1,IF(Calculations!I299="N/A",0,Calculations!I299),0)</f>
        <v>0.71770711752895366</v>
      </c>
      <c r="J232" s="99">
        <f>IF(J132=1,IF(Calculations!J299="N/A",0,Calculations!J299)," ")</f>
        <v>0.60601497966379503</v>
      </c>
      <c r="K232" s="99">
        <f>IF(K132=1,IF(Calculations!K299="N/A",0,Calculations!K299)," ")</f>
        <v>0.58441562590960483</v>
      </c>
      <c r="L232" s="99">
        <f>IF(L132=1,IF(Calculations!L299="N/A",0,Calculations!L299)," ")</f>
        <v>0.5086116514288489</v>
      </c>
      <c r="M232" s="99">
        <f>IF(M132=1,IF(Calculations!M299="N/A",0,Calculations!M299)," ")</f>
        <v>0.45508535904978953</v>
      </c>
      <c r="N232" s="99">
        <f>IF(N132=1,IF(Calculations!N299="N/A",0,Calculations!N299)," ")</f>
        <v>0.41317760669094405</v>
      </c>
      <c r="O232" s="99">
        <f>IF(O132=1,IF(Calculations!O299="N/A",0,Calculations!O299)," ")</f>
        <v>0.37485449402455773</v>
      </c>
      <c r="P232" s="99">
        <f>IF(P132=1,IF(Calculations!P299="N/A",0,Calculations!P299)," ")</f>
        <v>0.34677774863742494</v>
      </c>
      <c r="Q232" s="99">
        <f>IF(Q132=1,IF(Calculations!Q299="N/A",0,Calculations!Q299)," ")</f>
        <v>0.32358949616074828</v>
      </c>
      <c r="R232" s="99">
        <f>IF(R132=1,IF(Calculations!R299="N/A",0,Calculations!R299)," ")</f>
        <v>0.30394677463657921</v>
      </c>
      <c r="S232" s="99">
        <f>IF(S132=1,IF(Calculations!S299="N/A",0,Calculations!S299)," ")</f>
        <v>0.28709787499767303</v>
      </c>
      <c r="T232" s="99">
        <f>IF(T132=1,IF(Calculations!T299="N/A",0,Calculations!T299)," ")</f>
        <v>0.2724895071481041</v>
      </c>
      <c r="U232" s="99">
        <f>IF(U132=1,IF(Calculations!U299="N/A",0,Calculations!U299)," ")</f>
        <v>0.2599084394059108</v>
      </c>
      <c r="V232" s="99">
        <f>IF(V132=1,IF(Calculations!V299="N/A",0,Calculations!V299)," ")</f>
        <v>0.24878628217070906</v>
      </c>
      <c r="W232" s="99">
        <f>IF(W132=1,IF(Calculations!W299="N/A",0,Calculations!W299)," ")</f>
        <v>0.23877576992242205</v>
      </c>
      <c r="X232" s="99">
        <f>IF(X132=1,IF(Calculations!X299="N/A",0,Calculations!X299)," ")</f>
        <v>0.2297370712529474</v>
      </c>
      <c r="Y232" s="99">
        <f>IF(Y132=1,IF(Calculations!Y299="N/A",0,Calculations!Y299)," ")</f>
        <v>0.22161271342728489</v>
      </c>
      <c r="Z232" s="99">
        <f>IF(Z132=1,IF(Calculations!Z299="N/A",0,Calculations!Z299)," ")</f>
        <v>0.21427991577141245</v>
      </c>
      <c r="AA232" s="99">
        <f>IF(AA132=1,IF(Calculations!AA299="N/A",0,Calculations!AA299)," ")</f>
        <v>0.20761333200998036</v>
      </c>
      <c r="AB232" s="99">
        <f>IF(AB132=1,IF(Calculations!AB299="N/A",0,Calculations!AB299)," ")</f>
        <v>0.20153597650121605</v>
      </c>
      <c r="AC232" s="99">
        <f>IF(AC132=1,IF(Calculations!AC299="N/A",0,Calculations!AC299)," ")</f>
        <v>0.19597417669354217</v>
      </c>
      <c r="AD232" s="99">
        <f>IF(AD132=1,IF(Calculations!AD299="N/A",0,Calculations!AD299)," ")</f>
        <v>0.19086603518351139</v>
      </c>
      <c r="AE232" s="99">
        <f>IF(AE132=1,IF(Calculations!AE299="N/A",0,Calculations!AE299)," ")</f>
        <v>0.18615916802598956</v>
      </c>
      <c r="AF232" s="99">
        <f>IF(AF132=1,IF(Calculations!AF299="N/A",0,Calculations!AF299)," ")</f>
        <v>0.18180894504166487</v>
      </c>
      <c r="AG232" s="99">
        <f>IF(AG132=1,IF(Calculations!AG299="N/A",0,Calculations!AG299)," ")</f>
        <v>0.1777771067669815</v>
      </c>
      <c r="AH232" s="99">
        <f>IF(AH132=1,IF(Calculations!AH299="N/A",0,Calculations!AH299)," ")</f>
        <v>0.17403066723385494</v>
      </c>
    </row>
    <row r="233" spans="1:34" s="412" customFormat="1" x14ac:dyDescent="0.2">
      <c r="A233" s="18"/>
      <c r="B233" s="80"/>
      <c r="C233" s="80"/>
      <c r="D233" s="80"/>
      <c r="E233" s="80"/>
      <c r="F233" s="80"/>
      <c r="G233" s="80"/>
      <c r="H233" s="80"/>
      <c r="I233" s="80"/>
      <c r="J233" s="80"/>
      <c r="K233" s="80"/>
      <c r="L233" s="80"/>
      <c r="M233" s="80"/>
      <c r="N233" s="80"/>
      <c r="O233" s="80"/>
      <c r="P233" s="80"/>
      <c r="Q233" s="80"/>
      <c r="R233" s="80"/>
      <c r="S233" s="80"/>
      <c r="T233" s="80"/>
      <c r="U233" s="80"/>
      <c r="V233" s="80"/>
      <c r="W233" s="80"/>
      <c r="X233" s="80"/>
      <c r="Y233" s="80"/>
      <c r="Z233" s="80"/>
      <c r="AA233" s="80"/>
      <c r="AB233" s="80"/>
      <c r="AC233" s="80"/>
      <c r="AD233" s="80"/>
      <c r="AE233" s="80"/>
      <c r="AF233" s="80"/>
      <c r="AG233" s="80"/>
      <c r="AH233" s="80"/>
    </row>
    <row r="234" spans="1:34" s="412" customFormat="1" x14ac:dyDescent="0.2">
      <c r="A234" s="18"/>
      <c r="B234" s="90" t="s">
        <v>189</v>
      </c>
      <c r="C234" s="80"/>
      <c r="D234" s="80"/>
      <c r="E234" s="80"/>
      <c r="F234" s="80"/>
      <c r="G234" s="80"/>
      <c r="H234" s="80"/>
      <c r="I234" s="80"/>
      <c r="J234" s="80"/>
      <c r="K234" s="80"/>
      <c r="L234" s="80"/>
      <c r="M234" s="80"/>
      <c r="N234" s="80"/>
      <c r="O234" s="80"/>
      <c r="P234" s="80"/>
      <c r="Q234" s="80"/>
      <c r="R234" s="80"/>
      <c r="S234" s="80"/>
      <c r="T234" s="80"/>
      <c r="U234" s="80"/>
      <c r="V234" s="80"/>
      <c r="W234" s="80"/>
      <c r="X234" s="80"/>
      <c r="Y234" s="80"/>
      <c r="Z234" s="80"/>
      <c r="AA234" s="80"/>
      <c r="AB234" s="80"/>
      <c r="AC234" s="80"/>
      <c r="AD234" s="80"/>
      <c r="AE234" s="80"/>
      <c r="AF234" s="80"/>
      <c r="AG234" s="80"/>
      <c r="AH234" s="80"/>
    </row>
    <row r="235" spans="1:34" s="412" customFormat="1" x14ac:dyDescent="0.2">
      <c r="A235" s="18"/>
      <c r="B235" s="80"/>
      <c r="C235" s="80"/>
      <c r="D235" s="80"/>
      <c r="E235" s="93">
        <f t="shared" ref="E235:AH235" si="32">YEAR(E$131)</f>
        <v>2010</v>
      </c>
      <c r="F235" s="93">
        <f t="shared" si="32"/>
        <v>2011</v>
      </c>
      <c r="G235" s="93">
        <f t="shared" si="32"/>
        <v>2012</v>
      </c>
      <c r="H235" s="93">
        <f t="shared" si="32"/>
        <v>2013</v>
      </c>
      <c r="I235" s="93">
        <f t="shared" si="32"/>
        <v>2014</v>
      </c>
      <c r="J235" s="93">
        <f t="shared" si="32"/>
        <v>2015</v>
      </c>
      <c r="K235" s="93">
        <f t="shared" si="32"/>
        <v>2016</v>
      </c>
      <c r="L235" s="93">
        <f t="shared" si="32"/>
        <v>2017</v>
      </c>
      <c r="M235" s="93">
        <f t="shared" si="32"/>
        <v>2018</v>
      </c>
      <c r="N235" s="93">
        <f t="shared" si="32"/>
        <v>2019</v>
      </c>
      <c r="O235" s="93">
        <f t="shared" si="32"/>
        <v>2020</v>
      </c>
      <c r="P235" s="93">
        <f t="shared" si="32"/>
        <v>2021</v>
      </c>
      <c r="Q235" s="93">
        <f t="shared" si="32"/>
        <v>2022</v>
      </c>
      <c r="R235" s="93">
        <f t="shared" si="32"/>
        <v>2023</v>
      </c>
      <c r="S235" s="93">
        <f t="shared" si="32"/>
        <v>2024</v>
      </c>
      <c r="T235" s="93">
        <f t="shared" si="32"/>
        <v>2025</v>
      </c>
      <c r="U235" s="93">
        <f t="shared" si="32"/>
        <v>2026</v>
      </c>
      <c r="V235" s="93">
        <f t="shared" si="32"/>
        <v>2027</v>
      </c>
      <c r="W235" s="93">
        <f t="shared" si="32"/>
        <v>2028</v>
      </c>
      <c r="X235" s="93">
        <f t="shared" si="32"/>
        <v>2029</v>
      </c>
      <c r="Y235" s="93">
        <f t="shared" si="32"/>
        <v>2030</v>
      </c>
      <c r="Z235" s="93">
        <f t="shared" si="32"/>
        <v>2031</v>
      </c>
      <c r="AA235" s="93">
        <f t="shared" si="32"/>
        <v>2032</v>
      </c>
      <c r="AB235" s="93">
        <f t="shared" si="32"/>
        <v>2033</v>
      </c>
      <c r="AC235" s="93">
        <f t="shared" si="32"/>
        <v>2034</v>
      </c>
      <c r="AD235" s="93">
        <f t="shared" si="32"/>
        <v>2035</v>
      </c>
      <c r="AE235" s="93">
        <f t="shared" si="32"/>
        <v>2036</v>
      </c>
      <c r="AF235" s="93">
        <f t="shared" si="32"/>
        <v>2037</v>
      </c>
      <c r="AG235" s="93">
        <f t="shared" si="32"/>
        <v>2038</v>
      </c>
      <c r="AH235" s="93">
        <f t="shared" si="32"/>
        <v>2039</v>
      </c>
    </row>
    <row r="236" spans="1:34" s="412" customFormat="1" x14ac:dyDescent="0.2">
      <c r="A236" s="18"/>
      <c r="B236" s="80" t="s">
        <v>190</v>
      </c>
      <c r="C236" s="80"/>
      <c r="D236" s="80"/>
      <c r="E236" s="95">
        <f>IF(E132=1,('Income statement'!E69+'Income statement'!E76)/'Income statement'!E59,0)</f>
        <v>0.38910435536712279</v>
      </c>
      <c r="F236" s="95">
        <f>IF(F132=1,('Income statement'!F69+'Income statement'!F76)/'Income statement'!F59,0)</f>
        <v>0.39153034799333375</v>
      </c>
      <c r="G236" s="95">
        <f>IF(G132=1,('Income statement'!G69+'Income statement'!G76)/'Income statement'!G59,0)</f>
        <v>0.39283024104480624</v>
      </c>
      <c r="H236" s="95">
        <f>IF(H132=1,('Income statement'!H69+'Income statement'!H76)/'Income statement'!H59,0)</f>
        <v>0.39898079733532804</v>
      </c>
      <c r="I236" s="95">
        <f>IF(I132=1,('Income statement'!I69+'Income statement'!I76)/'Income statement'!I59,0)</f>
        <v>0.4034728547649612</v>
      </c>
      <c r="J236" s="95">
        <f>IF(J132=1,('Income statement'!J69+'Income statement'!J76)/'Income statement'!J59," ")</f>
        <v>0.4046262420929122</v>
      </c>
      <c r="K236" s="95">
        <f>IF(K132=1,('Income statement'!K69+'Income statement'!K76)/'Income statement'!K59," ")</f>
        <v>0.39948840506507199</v>
      </c>
      <c r="L236" s="95">
        <f>IF(L132=1,('Income statement'!L69+'Income statement'!L76)/'Income statement'!L59," ")</f>
        <v>0.40029361966231858</v>
      </c>
      <c r="M236" s="95">
        <f>IF(M132=1,('Income statement'!M69+'Income statement'!M76)/'Income statement'!M59," ")</f>
        <v>0.40133938505478745</v>
      </c>
      <c r="N236" s="95">
        <f>IF(N132=1,('Income statement'!N69+'Income statement'!N76)/'Income statement'!N59," ")</f>
        <v>0.40239215710595022</v>
      </c>
      <c r="O236" s="95">
        <f>IF(O132=1,('Income statement'!O69+'Income statement'!O76)/'Income statement'!O59," ")</f>
        <v>0.40342679058177794</v>
      </c>
      <c r="P236" s="95">
        <f>IF(P132=1,('Income statement'!P69+'Income statement'!P76)/'Income statement'!P59," ")</f>
        <v>0.40444369875894098</v>
      </c>
      <c r="Q236" s="95">
        <f>IF(Q132=1,('Income statement'!Q69+'Income statement'!Q76)/'Income statement'!Q59," ")</f>
        <v>0.4054432853081848</v>
      </c>
      <c r="R236" s="95">
        <f>IF(R132=1,('Income statement'!R69+'Income statement'!R76)/'Income statement'!R59," ")</f>
        <v>0.40642594458884118</v>
      </c>
      <c r="S236" s="95">
        <f>IF(S132=1,('Income statement'!S69+'Income statement'!S76)/'Income statement'!S59," ")</f>
        <v>0.40739206188771487</v>
      </c>
      <c r="T236" s="95">
        <f>IF(T132=1,('Income statement'!T69+'Income statement'!T76)/'Income statement'!T59," ")</f>
        <v>0.40834201362874356</v>
      </c>
      <c r="U236" s="95">
        <f>IF(U132=1,('Income statement'!U69+'Income statement'!U76)/'Income statement'!U59," ")</f>
        <v>0.40927616756609314</v>
      </c>
      <c r="V236" s="95">
        <f>IF(V132=1,('Income statement'!V69+'Income statement'!V76)/'Income statement'!V59," ")</f>
        <v>0.41007045590522584</v>
      </c>
      <c r="W236" s="95">
        <f>IF(W132=1,('Income statement'!W69+'Income statement'!W76)/'Income statement'!W59," ")</f>
        <v>0.41074223161640316</v>
      </c>
      <c r="X236" s="95">
        <f>IF(X132=1,('Income statement'!X69+'Income statement'!X76)/'Income statement'!X59," ")</f>
        <v>0.41164396043459628</v>
      </c>
      <c r="Y236" s="95">
        <f>IF(Y132=1,('Income statement'!Y69+'Income statement'!Y76)/'Income statement'!Y59," ")</f>
        <v>0.41253085737981571</v>
      </c>
      <c r="Z236" s="95">
        <f>IF(Z132=1,('Income statement'!Z69+'Income statement'!Z76)/'Income statement'!Z59," ")</f>
        <v>0.41337276721172722</v>
      </c>
      <c r="AA236" s="95">
        <f>IF(AA132=1,('Income statement'!AA69+'Income statement'!AA76)/'Income statement'!AA59," ")</f>
        <v>0.41423184278002745</v>
      </c>
      <c r="AB236" s="95">
        <f>IF(AB132=1,('Income statement'!AB69+'Income statement'!AB76)/'Income statement'!AB59," ")</f>
        <v>0.41507706067558003</v>
      </c>
      <c r="AC236" s="95">
        <f>IF(AC132=1,('Income statement'!AC69+'Income statement'!AC76)/'Income statement'!AC59," ")</f>
        <v>0.41590873786339949</v>
      </c>
      <c r="AD236" s="95">
        <f>IF(AD132=1,('Income statement'!AD69+'Income statement'!AD76)/'Income statement'!AD59," ")</f>
        <v>0.41672718378411494</v>
      </c>
      <c r="AE236" s="95">
        <f>IF(AE132=1,('Income statement'!AE69+'Income statement'!AE76)/'Income statement'!AE59," ")</f>
        <v>0.41753270051800817</v>
      </c>
      <c r="AF236" s="95">
        <f>IF(AF132=1,('Income statement'!AF69+'Income statement'!AF76)/'Income statement'!AF59," ")</f>
        <v>0.41832558294603112</v>
      </c>
      <c r="AG236" s="95">
        <f>IF(AG132=1,('Income statement'!AG69+'Income statement'!AG76)/'Income statement'!AG59," ")</f>
        <v>0.41910611890798832</v>
      </c>
      <c r="AH236" s="95">
        <f>IF(AH132=1,('Income statement'!AH69+'Income statement'!AH76)/'Income statement'!AH59," ")</f>
        <v>0.41987458935800137</v>
      </c>
    </row>
    <row r="237" spans="1:34" s="412" customFormat="1" x14ac:dyDescent="0.2">
      <c r="A237" s="18"/>
      <c r="B237" s="80" t="s">
        <v>191</v>
      </c>
      <c r="C237" s="80"/>
      <c r="D237" s="80"/>
      <c r="E237" s="95">
        <f>IF(E132=1,'Income statement'!E69/'Income statement'!E59,0)</f>
        <v>0.38789988437078438</v>
      </c>
      <c r="F237" s="95">
        <f>IF(F132=1,'Income statement'!F69/'Income statement'!F59,0)</f>
        <v>0.39004047838576061</v>
      </c>
      <c r="G237" s="95">
        <f>IF(G132=1,'Income statement'!G69/'Income statement'!G59,0)</f>
        <v>0.39107897575699718</v>
      </c>
      <c r="H237" s="95">
        <f>IF(H132=1,'Income statement'!H69/'Income statement'!H59,0)</f>
        <v>0.39708826746011994</v>
      </c>
      <c r="I237" s="95">
        <f>IF(I132=1,'Income statement'!I69/'Income statement'!I59,0)</f>
        <v>0.40144787860240944</v>
      </c>
      <c r="J237" s="95">
        <f>IF(J132=1,'Income statement'!J69/'Income statement'!J59," ")</f>
        <v>0.40247728620173912</v>
      </c>
      <c r="K237" s="95">
        <f>IF(K132=1,'Income statement'!K69/'Income statement'!K59," ")</f>
        <v>0.39747281043394544</v>
      </c>
      <c r="L237" s="95">
        <f>IF(L132=1,'Income statement'!L69/'Income statement'!L59," ")</f>
        <v>0.39845473722627517</v>
      </c>
      <c r="M237" s="95">
        <f>IF(M132=1,'Income statement'!M69/'Income statement'!M59," ")</f>
        <v>0.39942082148023</v>
      </c>
      <c r="N237" s="95">
        <f>IF(N132=1,'Income statement'!N69/'Income statement'!N59," ")</f>
        <v>0.40037495705655601</v>
      </c>
      <c r="O237" s="95">
        <f>IF(O132=1,'Income statement'!O69/'Income statement'!O59," ")</f>
        <v>0.40131769294891079</v>
      </c>
      <c r="P237" s="95">
        <f>IF(P132=1,'Income statement'!P69/'Income statement'!P59," ")</f>
        <v>0.40224916338522038</v>
      </c>
      <c r="Q237" s="95">
        <f>IF(Q132=1,'Income statement'!Q69/'Income statement'!Q59," ")</f>
        <v>0.40316950214481173</v>
      </c>
      <c r="R237" s="95">
        <f>IF(R132=1,'Income statement'!R69/'Income statement'!R59," ")</f>
        <v>0.40407884261705684</v>
      </c>
      <c r="S237" s="95">
        <f>IF(S132=1,'Income statement'!S69/'Income statement'!S59," ")</f>
        <v>0.40497731780800922</v>
      </c>
      <c r="T237" s="95">
        <f>IF(T132=1,'Income statement'!T69/'Income statement'!T59," ")</f>
        <v>0.40586506032144787</v>
      </c>
      <c r="U237" s="95">
        <f>IF(U132=1,'Income statement'!U69/'Income statement'!U59," ")</f>
        <v>0.40674220232702979</v>
      </c>
      <c r="V237" s="95">
        <f>IF(V132=1,'Income statement'!V69/'Income statement'!V59," ")</f>
        <v>0.40761094810380438</v>
      </c>
      <c r="W237" s="95">
        <f>IF(W132=1,'Income statement'!W69/'Income statement'!W59," ")</f>
        <v>0.40847117140894457</v>
      </c>
      <c r="X237" s="95">
        <f>IF(X132=1,'Income statement'!X69/'Income statement'!X59," ")</f>
        <v>0.40931713217322613</v>
      </c>
      <c r="Y237" s="95">
        <f>IF(Y132=1,'Income statement'!Y69/'Income statement'!Y59," ")</f>
        <v>0.41015302375078866</v>
      </c>
      <c r="Z237" s="95">
        <f>IF(Z132=1,'Income statement'!Z69/'Income statement'!Z59," ")</f>
        <v>0.41097948515657667</v>
      </c>
      <c r="AA237" s="95">
        <f>IF(AA132=1,'Income statement'!AA69/'Income statement'!AA59," ")</f>
        <v>0.41179561258698177</v>
      </c>
      <c r="AB237" s="95">
        <f>IF(AB132=1,'Income statement'!AB69/'Income statement'!AB59," ")</f>
        <v>0.41260205679598505</v>
      </c>
      <c r="AC237" s="95">
        <f>IF(AC132=1,'Income statement'!AC69/'Income statement'!AC59," ")</f>
        <v>0.4133989448420452</v>
      </c>
      <c r="AD237" s="95">
        <f>IF(AD132=1,'Income statement'!AD69/'Income statement'!AD59," ")</f>
        <v>0.41418640298627846</v>
      </c>
      <c r="AE237" s="95">
        <f>IF(AE132=1,'Income statement'!AE69/'Income statement'!AE59," ")</f>
        <v>0.41496455666224469</v>
      </c>
      <c r="AF237" s="95">
        <f>IF(AF132=1,'Income statement'!AF69/'Income statement'!AF59," ")</f>
        <v>0.41573353044673955</v>
      </c>
      <c r="AG237" s="95">
        <f>IF(AG132=1,'Income statement'!AG69/'Income statement'!AG59," ")</f>
        <v>0.41649344803176824</v>
      </c>
      <c r="AH237" s="95">
        <f>IF(AH132=1,'Income statement'!AH69/'Income statement'!AH59," ")</f>
        <v>0.41724443219780727</v>
      </c>
    </row>
    <row r="238" spans="1:34" s="412" customFormat="1" x14ac:dyDescent="0.2">
      <c r="A238" s="18"/>
      <c r="B238" s="80"/>
      <c r="C238" s="80"/>
      <c r="D238" s="80"/>
      <c r="E238" s="80"/>
      <c r="F238" s="80"/>
      <c r="G238" s="80"/>
      <c r="H238" s="80"/>
      <c r="I238" s="80"/>
      <c r="J238" s="80"/>
      <c r="K238" s="80"/>
      <c r="L238" s="80"/>
      <c r="M238" s="80"/>
      <c r="N238" s="80"/>
      <c r="O238" s="80"/>
      <c r="P238" s="80"/>
      <c r="Q238" s="80"/>
      <c r="R238" s="80"/>
      <c r="S238" s="80"/>
      <c r="T238" s="80"/>
      <c r="U238" s="80"/>
      <c r="V238" s="80"/>
      <c r="W238" s="80"/>
      <c r="X238" s="80"/>
      <c r="Y238" s="80"/>
      <c r="Z238" s="80"/>
      <c r="AA238" s="80"/>
      <c r="AB238" s="80"/>
      <c r="AC238" s="80"/>
      <c r="AD238" s="80"/>
      <c r="AE238" s="80"/>
      <c r="AF238" s="80"/>
      <c r="AG238" s="80"/>
      <c r="AH238" s="80"/>
    </row>
    <row r="239" spans="1:34" s="412" customFormat="1" x14ac:dyDescent="0.2">
      <c r="A239" s="18"/>
      <c r="B239" s="90" t="s">
        <v>192</v>
      </c>
      <c r="C239" s="80"/>
      <c r="D239" s="80"/>
      <c r="E239" s="80" t="s">
        <v>305</v>
      </c>
      <c r="F239" s="80" t="s">
        <v>325</v>
      </c>
      <c r="G239" s="80"/>
      <c r="H239" s="80"/>
      <c r="I239" s="80"/>
      <c r="J239" s="80"/>
      <c r="K239" s="80"/>
      <c r="L239" s="80"/>
      <c r="M239" s="80"/>
      <c r="N239" s="80"/>
      <c r="O239" s="80"/>
      <c r="P239" s="80"/>
      <c r="Q239" s="80"/>
      <c r="R239" s="80"/>
      <c r="S239" s="80"/>
      <c r="T239" s="80"/>
      <c r="U239" s="80"/>
      <c r="V239" s="80"/>
      <c r="W239" s="80"/>
      <c r="X239" s="80"/>
      <c r="Y239" s="80"/>
      <c r="Z239" s="80"/>
      <c r="AA239" s="80"/>
      <c r="AB239" s="80"/>
      <c r="AC239" s="80"/>
      <c r="AD239" s="80"/>
      <c r="AE239" s="80"/>
      <c r="AF239" s="80"/>
      <c r="AG239" s="80"/>
      <c r="AH239" s="80"/>
    </row>
    <row r="240" spans="1:34" s="412" customFormat="1" x14ac:dyDescent="0.2">
      <c r="A240" s="18"/>
      <c r="B240" s="80"/>
      <c r="C240" s="80"/>
      <c r="D240" s="80"/>
      <c r="E240" s="93">
        <f t="shared" ref="E240:AH240" si="33">YEAR(E$131)</f>
        <v>2010</v>
      </c>
      <c r="F240" s="93">
        <f t="shared" si="33"/>
        <v>2011</v>
      </c>
      <c r="G240" s="93">
        <f t="shared" si="33"/>
        <v>2012</v>
      </c>
      <c r="H240" s="93">
        <f t="shared" si="33"/>
        <v>2013</v>
      </c>
      <c r="I240" s="93">
        <f t="shared" si="33"/>
        <v>2014</v>
      </c>
      <c r="J240" s="93">
        <f t="shared" si="33"/>
        <v>2015</v>
      </c>
      <c r="K240" s="93">
        <f t="shared" si="33"/>
        <v>2016</v>
      </c>
      <c r="L240" s="93">
        <f t="shared" si="33"/>
        <v>2017</v>
      </c>
      <c r="M240" s="93">
        <f t="shared" si="33"/>
        <v>2018</v>
      </c>
      <c r="N240" s="93">
        <f t="shared" si="33"/>
        <v>2019</v>
      </c>
      <c r="O240" s="93">
        <f t="shared" si="33"/>
        <v>2020</v>
      </c>
      <c r="P240" s="93">
        <f t="shared" si="33"/>
        <v>2021</v>
      </c>
      <c r="Q240" s="93">
        <f t="shared" si="33"/>
        <v>2022</v>
      </c>
      <c r="R240" s="93">
        <f t="shared" si="33"/>
        <v>2023</v>
      </c>
      <c r="S240" s="93">
        <f t="shared" si="33"/>
        <v>2024</v>
      </c>
      <c r="T240" s="93">
        <f t="shared" si="33"/>
        <v>2025</v>
      </c>
      <c r="U240" s="93">
        <f t="shared" si="33"/>
        <v>2026</v>
      </c>
      <c r="V240" s="93">
        <f t="shared" si="33"/>
        <v>2027</v>
      </c>
      <c r="W240" s="93">
        <f t="shared" si="33"/>
        <v>2028</v>
      </c>
      <c r="X240" s="93">
        <f t="shared" si="33"/>
        <v>2029</v>
      </c>
      <c r="Y240" s="93">
        <f t="shared" si="33"/>
        <v>2030</v>
      </c>
      <c r="Z240" s="93">
        <f t="shared" si="33"/>
        <v>2031</v>
      </c>
      <c r="AA240" s="93">
        <f t="shared" si="33"/>
        <v>2032</v>
      </c>
      <c r="AB240" s="93">
        <f t="shared" si="33"/>
        <v>2033</v>
      </c>
      <c r="AC240" s="93">
        <f t="shared" si="33"/>
        <v>2034</v>
      </c>
      <c r="AD240" s="93">
        <f t="shared" si="33"/>
        <v>2035</v>
      </c>
      <c r="AE240" s="93">
        <f t="shared" si="33"/>
        <v>2036</v>
      </c>
      <c r="AF240" s="93">
        <f t="shared" si="33"/>
        <v>2037</v>
      </c>
      <c r="AG240" s="93">
        <f t="shared" si="33"/>
        <v>2038</v>
      </c>
      <c r="AH240" s="93">
        <f t="shared" si="33"/>
        <v>2039</v>
      </c>
    </row>
    <row r="241" spans="1:34" s="412" customFormat="1" x14ac:dyDescent="0.2">
      <c r="A241" s="18"/>
      <c r="B241" s="80" t="s">
        <v>195</v>
      </c>
      <c r="C241" s="80"/>
      <c r="D241" s="80"/>
      <c r="E241" s="100">
        <f>IF(E132=1,E244/E243,0)</f>
        <v>2.7333333333333334</v>
      </c>
      <c r="F241" s="100">
        <f t="shared" ref="F241:I241" si="34">IF(F132=1,F244/F243,0)</f>
        <v>2.6666666666666665</v>
      </c>
      <c r="G241" s="100">
        <f t="shared" si="34"/>
        <v>2.6666666666666665</v>
      </c>
      <c r="H241" s="100">
        <f t="shared" si="34"/>
        <v>2.2222222222222223</v>
      </c>
      <c r="I241" s="100">
        <f t="shared" si="34"/>
        <v>2</v>
      </c>
      <c r="J241" s="100">
        <f t="shared" ref="J241:AH241" si="35">IF(J132=1,J244/J243," ")</f>
        <v>2</v>
      </c>
      <c r="K241" s="100">
        <f t="shared" si="35"/>
        <v>2.25</v>
      </c>
      <c r="L241" s="100">
        <f t="shared" si="35"/>
        <v>2.25</v>
      </c>
      <c r="M241" s="100">
        <f t="shared" si="35"/>
        <v>2.25</v>
      </c>
      <c r="N241" s="100">
        <f t="shared" si="35"/>
        <v>2.25</v>
      </c>
      <c r="O241" s="100">
        <f t="shared" si="35"/>
        <v>2.25</v>
      </c>
      <c r="P241" s="100">
        <f t="shared" si="35"/>
        <v>2.25</v>
      </c>
      <c r="Q241" s="100">
        <f t="shared" si="35"/>
        <v>2.25</v>
      </c>
      <c r="R241" s="100">
        <f t="shared" si="35"/>
        <v>2.25</v>
      </c>
      <c r="S241" s="100">
        <f t="shared" si="35"/>
        <v>2.25</v>
      </c>
      <c r="T241" s="100">
        <f t="shared" si="35"/>
        <v>2.25</v>
      </c>
      <c r="U241" s="100">
        <f t="shared" si="35"/>
        <v>2.25</v>
      </c>
      <c r="V241" s="100">
        <f t="shared" si="35"/>
        <v>2.25</v>
      </c>
      <c r="W241" s="100">
        <f t="shared" si="35"/>
        <v>2.25</v>
      </c>
      <c r="X241" s="100">
        <f t="shared" si="35"/>
        <v>2.25</v>
      </c>
      <c r="Y241" s="100">
        <f t="shared" si="35"/>
        <v>2.25</v>
      </c>
      <c r="Z241" s="100">
        <f t="shared" si="35"/>
        <v>2.25</v>
      </c>
      <c r="AA241" s="100">
        <f t="shared" si="35"/>
        <v>2.25</v>
      </c>
      <c r="AB241" s="100">
        <f t="shared" si="35"/>
        <v>2.25</v>
      </c>
      <c r="AC241" s="100">
        <f t="shared" si="35"/>
        <v>2.25</v>
      </c>
      <c r="AD241" s="100">
        <f t="shared" si="35"/>
        <v>2.25</v>
      </c>
      <c r="AE241" s="100">
        <f t="shared" si="35"/>
        <v>2.25</v>
      </c>
      <c r="AF241" s="100">
        <f t="shared" si="35"/>
        <v>2.25</v>
      </c>
      <c r="AG241" s="100">
        <f t="shared" si="35"/>
        <v>2.25</v>
      </c>
      <c r="AH241" s="100">
        <f t="shared" si="35"/>
        <v>2.25</v>
      </c>
    </row>
    <row r="242" spans="1:34" s="412" customFormat="1" x14ac:dyDescent="0.2">
      <c r="A242" s="18"/>
      <c r="B242" s="80" t="str">
        <f>'Assumptions - Freight'!E19</f>
        <v>EU railways</v>
      </c>
      <c r="C242" s="80"/>
      <c r="D242" s="80"/>
      <c r="E242" s="96">
        <f>IF(E132=1,'Assumptions - Freight'!$E$20,0)</f>
        <v>1</v>
      </c>
      <c r="F242" s="96">
        <f>IF(F132=1,'Assumptions - Freight'!$E$20,0)</f>
        <v>1</v>
      </c>
      <c r="G242" s="96">
        <f>IF(G132=1,'Assumptions - Freight'!$E$20,0)</f>
        <v>1</v>
      </c>
      <c r="H242" s="96">
        <f>IF(H132=1,'Assumptions - Freight'!$E$20,0)</f>
        <v>1</v>
      </c>
      <c r="I242" s="96">
        <f>IF(I132=1,'Assumptions - Freight'!$E$20,0)</f>
        <v>1</v>
      </c>
      <c r="J242" s="96">
        <f>IF(J132=1,'Assumptions - Freight'!$E$20," ")</f>
        <v>1</v>
      </c>
      <c r="K242" s="96">
        <f>IF(K132=1,'Assumptions - Freight'!$E$20," ")</f>
        <v>1</v>
      </c>
      <c r="L242" s="96">
        <f>IF(L132=1,'Assumptions - Freight'!$E$20," ")</f>
        <v>1</v>
      </c>
      <c r="M242" s="96">
        <f>IF(M132=1,'Assumptions - Freight'!$E$20," ")</f>
        <v>1</v>
      </c>
      <c r="N242" s="96">
        <f>IF(N132=1,'Assumptions - Freight'!$E$20," ")</f>
        <v>1</v>
      </c>
      <c r="O242" s="96">
        <f>IF(O132=1,'Assumptions - Freight'!$E$20," ")</f>
        <v>1</v>
      </c>
      <c r="P242" s="96">
        <f>IF(P132=1,'Assumptions - Freight'!$E$20," ")</f>
        <v>1</v>
      </c>
      <c r="Q242" s="96">
        <f>IF(Q132=1,'Assumptions - Freight'!$E$20," ")</f>
        <v>1</v>
      </c>
      <c r="R242" s="96">
        <f>IF(R132=1,'Assumptions - Freight'!$E$20," ")</f>
        <v>1</v>
      </c>
      <c r="S242" s="96">
        <f>IF(S132=1,'Assumptions - Freight'!$E$20," ")</f>
        <v>1</v>
      </c>
      <c r="T242" s="96">
        <f>IF(T132=1,'Assumptions - Freight'!$E$20," ")</f>
        <v>1</v>
      </c>
      <c r="U242" s="96">
        <f>IF(U132=1,'Assumptions - Freight'!$E$20," ")</f>
        <v>1</v>
      </c>
      <c r="V242" s="96">
        <f>IF(V132=1,'Assumptions - Freight'!$E$20," ")</f>
        <v>1</v>
      </c>
      <c r="W242" s="96">
        <f>IF(W132=1,'Assumptions - Freight'!$E$20," ")</f>
        <v>1</v>
      </c>
      <c r="X242" s="96">
        <f>IF(X132=1,'Assumptions - Freight'!$E$20," ")</f>
        <v>1</v>
      </c>
      <c r="Y242" s="96">
        <f>IF(Y132=1,'Assumptions - Freight'!$E$20," ")</f>
        <v>1</v>
      </c>
      <c r="Z242" s="96">
        <f>IF(Z132=1,'Assumptions - Freight'!$E$20," ")</f>
        <v>1</v>
      </c>
      <c r="AA242" s="96">
        <f>IF(AA132=1,'Assumptions - Freight'!$E$20," ")</f>
        <v>1</v>
      </c>
      <c r="AB242" s="96">
        <f>IF(AB132=1,'Assumptions - Freight'!$E$20," ")</f>
        <v>1</v>
      </c>
      <c r="AC242" s="96">
        <f>IF(AC132=1,'Assumptions - Freight'!$E$20," ")</f>
        <v>1</v>
      </c>
      <c r="AD242" s="96">
        <f>IF(AD132=1,'Assumptions - Freight'!$E$20," ")</f>
        <v>1</v>
      </c>
      <c r="AE242" s="96">
        <f>IF(AE132=1,'Assumptions - Freight'!$E$20," ")</f>
        <v>1</v>
      </c>
      <c r="AF242" s="96">
        <f>IF(AF132=1,'Assumptions - Freight'!$E$20," ")</f>
        <v>1</v>
      </c>
      <c r="AG242" s="96">
        <f>IF(AG132=1,'Assumptions - Freight'!$E$20," ")</f>
        <v>1</v>
      </c>
      <c r="AH242" s="96">
        <f>IF(AH132=1,'Assumptions - Freight'!$E$20," ")</f>
        <v>1</v>
      </c>
    </row>
    <row r="243" spans="1:34" s="412" customFormat="1" x14ac:dyDescent="0.2">
      <c r="A243" s="18"/>
      <c r="B243" s="80" t="s">
        <v>193</v>
      </c>
      <c r="C243" s="80"/>
      <c r="D243" s="80"/>
      <c r="E243" s="94">
        <f>IF(E132=1,'Assumptions - Freight'!E14,0)</f>
        <v>15000</v>
      </c>
      <c r="F243" s="94">
        <f>IF(F132=1,'Assumptions - Freight'!F14,0)</f>
        <v>15000</v>
      </c>
      <c r="G243" s="94">
        <f>IF(G132=1,'Assumptions - Freight'!G14,0)</f>
        <v>15000</v>
      </c>
      <c r="H243" s="94">
        <f>IF(H132=1,'Assumptions - Freight'!H14,0)</f>
        <v>18000</v>
      </c>
      <c r="I243" s="94">
        <f>IF(I132=1,'Assumptions - Freight'!I14,0)</f>
        <v>20000</v>
      </c>
      <c r="J243" s="94">
        <f>IF(J132=1,'Assumptions - Freight'!J14," ")</f>
        <v>20000</v>
      </c>
      <c r="K243" s="94">
        <f>IF(K132=1,'Assumptions - Freight'!K14," ")</f>
        <v>20000</v>
      </c>
      <c r="L243" s="94">
        <f>IF(L132=1,'Assumptions - Freight'!L14," ")</f>
        <v>20000</v>
      </c>
      <c r="M243" s="94">
        <f>IF(M132=1,'Assumptions - Freight'!M14," ")</f>
        <v>20000</v>
      </c>
      <c r="N243" s="94">
        <f>IF(N132=1,'Assumptions - Freight'!N14," ")</f>
        <v>20000</v>
      </c>
      <c r="O243" s="94">
        <f>IF(O132=1,'Assumptions - Freight'!O14," ")</f>
        <v>20000</v>
      </c>
      <c r="P243" s="94">
        <f>IF(P132=1,'Assumptions - Freight'!P14," ")</f>
        <v>20000</v>
      </c>
      <c r="Q243" s="94">
        <f>IF(Q132=1,'Assumptions - Freight'!Q14," ")</f>
        <v>20000</v>
      </c>
      <c r="R243" s="94">
        <f>IF(R132=1,'Assumptions - Freight'!R14," ")</f>
        <v>20000</v>
      </c>
      <c r="S243" s="94">
        <f>IF(S132=1,'Assumptions - Freight'!S14," ")</f>
        <v>20000</v>
      </c>
      <c r="T243" s="94">
        <f>IF(T132=1,'Assumptions - Freight'!T14," ")</f>
        <v>20000</v>
      </c>
      <c r="U243" s="94">
        <f>IF(U132=1,'Assumptions - Freight'!U14," ")</f>
        <v>20000</v>
      </c>
      <c r="V243" s="94">
        <f>IF(V132=1,'Assumptions - Freight'!V14," ")</f>
        <v>20000</v>
      </c>
      <c r="W243" s="94">
        <f>IF(W132=1,'Assumptions - Freight'!W14," ")</f>
        <v>20000</v>
      </c>
      <c r="X243" s="94">
        <f>IF(X132=1,'Assumptions - Freight'!X14," ")</f>
        <v>20000</v>
      </c>
      <c r="Y243" s="94">
        <f>IF(Y132=1,'Assumptions - Freight'!Y14," ")</f>
        <v>20000</v>
      </c>
      <c r="Z243" s="94">
        <f>IF(Z132=1,'Assumptions - Freight'!Z14," ")</f>
        <v>20000</v>
      </c>
      <c r="AA243" s="94">
        <f>IF(AA132=1,'Assumptions - Freight'!AA14," ")</f>
        <v>20000</v>
      </c>
      <c r="AB243" s="94">
        <f>IF(AB132=1,'Assumptions - Freight'!AB14," ")</f>
        <v>20000</v>
      </c>
      <c r="AC243" s="94">
        <f>IF(AC132=1,'Assumptions - Freight'!AC14," ")</f>
        <v>20000</v>
      </c>
      <c r="AD243" s="94">
        <f>IF(AD132=1,'Assumptions - Freight'!AD14," ")</f>
        <v>20000</v>
      </c>
      <c r="AE243" s="94">
        <f>IF(AE132=1,'Assumptions - Freight'!AE14," ")</f>
        <v>20000</v>
      </c>
      <c r="AF243" s="94">
        <f>IF(AF132=1,'Assumptions - Freight'!AF14," ")</f>
        <v>20000</v>
      </c>
      <c r="AG243" s="94">
        <f>IF(AG132=1,'Assumptions - Freight'!AG14," ")</f>
        <v>20000</v>
      </c>
      <c r="AH243" s="94">
        <f>IF(AH132=1,'Assumptions - Freight'!AH14," ")</f>
        <v>20000</v>
      </c>
    </row>
    <row r="244" spans="1:34" s="412" customFormat="1" x14ac:dyDescent="0.2">
      <c r="A244" s="18"/>
      <c r="B244" s="80" t="s">
        <v>194</v>
      </c>
      <c r="C244" s="80"/>
      <c r="D244" s="80"/>
      <c r="E244" s="97">
        <f>IF(E132=1,SUM(E159:E168),0)</f>
        <v>41000</v>
      </c>
      <c r="F244" s="97">
        <f t="shared" ref="F244:I244" si="36">IF(F132=1,SUM(F159:F168),0)</f>
        <v>40000</v>
      </c>
      <c r="G244" s="97">
        <f t="shared" si="36"/>
        <v>40000</v>
      </c>
      <c r="H244" s="97">
        <f t="shared" si="36"/>
        <v>40000</v>
      </c>
      <c r="I244" s="97">
        <f t="shared" si="36"/>
        <v>40000</v>
      </c>
      <c r="J244" s="97">
        <f t="shared" ref="J244:AH244" si="37">IF(J132=1,SUM(J159:J168)," ")</f>
        <v>40000</v>
      </c>
      <c r="K244" s="97">
        <f t="shared" si="37"/>
        <v>45000</v>
      </c>
      <c r="L244" s="97">
        <f t="shared" si="37"/>
        <v>45000</v>
      </c>
      <c r="M244" s="97">
        <f t="shared" si="37"/>
        <v>45000</v>
      </c>
      <c r="N244" s="97">
        <f t="shared" si="37"/>
        <v>45000</v>
      </c>
      <c r="O244" s="97">
        <f t="shared" si="37"/>
        <v>45000</v>
      </c>
      <c r="P244" s="97">
        <f t="shared" si="37"/>
        <v>45000</v>
      </c>
      <c r="Q244" s="97">
        <f t="shared" si="37"/>
        <v>45000</v>
      </c>
      <c r="R244" s="97">
        <f t="shared" si="37"/>
        <v>45000</v>
      </c>
      <c r="S244" s="97">
        <f t="shared" si="37"/>
        <v>45000</v>
      </c>
      <c r="T244" s="97">
        <f t="shared" si="37"/>
        <v>45000</v>
      </c>
      <c r="U244" s="97">
        <f t="shared" si="37"/>
        <v>45000</v>
      </c>
      <c r="V244" s="97">
        <f t="shared" si="37"/>
        <v>45000</v>
      </c>
      <c r="W244" s="97">
        <f t="shared" si="37"/>
        <v>45000</v>
      </c>
      <c r="X244" s="97">
        <f t="shared" si="37"/>
        <v>45000</v>
      </c>
      <c r="Y244" s="97">
        <f t="shared" si="37"/>
        <v>45000</v>
      </c>
      <c r="Z244" s="97">
        <f t="shared" si="37"/>
        <v>45000</v>
      </c>
      <c r="AA244" s="97">
        <f t="shared" si="37"/>
        <v>45000</v>
      </c>
      <c r="AB244" s="97">
        <f t="shared" si="37"/>
        <v>45000</v>
      </c>
      <c r="AC244" s="97">
        <f t="shared" si="37"/>
        <v>45000</v>
      </c>
      <c r="AD244" s="97">
        <f t="shared" si="37"/>
        <v>45000</v>
      </c>
      <c r="AE244" s="97">
        <f t="shared" si="37"/>
        <v>45000</v>
      </c>
      <c r="AF244" s="97">
        <f t="shared" si="37"/>
        <v>45000</v>
      </c>
      <c r="AG244" s="97">
        <f t="shared" si="37"/>
        <v>45000</v>
      </c>
      <c r="AH244" s="97">
        <f t="shared" si="37"/>
        <v>45000</v>
      </c>
    </row>
    <row r="245" spans="1:34" s="412" customFormat="1" x14ac:dyDescent="0.2">
      <c r="A245" s="18"/>
      <c r="B245" s="80"/>
      <c r="C245" s="80"/>
      <c r="D245" s="80"/>
      <c r="E245" s="80"/>
      <c r="F245" s="80"/>
      <c r="G245" s="80"/>
      <c r="H245" s="80"/>
      <c r="I245" s="80"/>
      <c r="J245" s="80"/>
      <c r="K245" s="80"/>
      <c r="L245" s="80"/>
      <c r="M245" s="80"/>
      <c r="N245" s="80"/>
      <c r="O245" s="80"/>
      <c r="P245" s="80"/>
      <c r="Q245" s="80"/>
      <c r="R245" s="80"/>
      <c r="S245" s="80"/>
      <c r="T245" s="80"/>
      <c r="U245" s="80"/>
      <c r="V245" s="80"/>
      <c r="W245" s="80"/>
      <c r="X245" s="80"/>
      <c r="Y245" s="80"/>
      <c r="Z245" s="80"/>
      <c r="AA245" s="80"/>
      <c r="AB245" s="80"/>
      <c r="AC245" s="80"/>
      <c r="AD245" s="80"/>
      <c r="AE245" s="80"/>
      <c r="AF245" s="80"/>
      <c r="AG245" s="80"/>
      <c r="AH245" s="80"/>
    </row>
    <row r="246" spans="1:34" s="412" customFormat="1" x14ac:dyDescent="0.2">
      <c r="A246" s="18"/>
      <c r="B246" s="90" t="s">
        <v>192</v>
      </c>
      <c r="C246" s="80"/>
      <c r="D246" s="80"/>
      <c r="E246" s="80" t="s">
        <v>305</v>
      </c>
      <c r="F246" s="80" t="s">
        <v>302</v>
      </c>
      <c r="G246" s="80"/>
      <c r="H246" s="80"/>
      <c r="I246" s="80"/>
      <c r="J246" s="80"/>
      <c r="K246" s="80"/>
      <c r="L246" s="80"/>
      <c r="M246" s="80"/>
      <c r="N246" s="80"/>
      <c r="O246" s="80"/>
      <c r="P246" s="80"/>
      <c r="Q246" s="80"/>
      <c r="R246" s="80"/>
      <c r="S246" s="80"/>
      <c r="T246" s="80"/>
      <c r="U246" s="80"/>
      <c r="V246" s="80"/>
      <c r="W246" s="80"/>
      <c r="X246" s="80"/>
      <c r="Y246" s="80"/>
      <c r="Z246" s="80"/>
      <c r="AA246" s="80"/>
      <c r="AB246" s="80"/>
      <c r="AC246" s="80"/>
      <c r="AD246" s="80"/>
      <c r="AE246" s="80"/>
      <c r="AF246" s="80"/>
      <c r="AG246" s="80"/>
      <c r="AH246" s="80"/>
    </row>
    <row r="247" spans="1:34" s="412" customFormat="1" x14ac:dyDescent="0.2">
      <c r="A247" s="18"/>
      <c r="B247" s="80"/>
      <c r="C247" s="80"/>
      <c r="D247" s="80"/>
      <c r="E247" s="93">
        <f t="shared" ref="E247:AH247" si="38">YEAR(E$131)</f>
        <v>2010</v>
      </c>
      <c r="F247" s="93">
        <f t="shared" si="38"/>
        <v>2011</v>
      </c>
      <c r="G247" s="93">
        <f t="shared" si="38"/>
        <v>2012</v>
      </c>
      <c r="H247" s="93">
        <f t="shared" si="38"/>
        <v>2013</v>
      </c>
      <c r="I247" s="93">
        <f t="shared" si="38"/>
        <v>2014</v>
      </c>
      <c r="J247" s="93">
        <f t="shared" si="38"/>
        <v>2015</v>
      </c>
      <c r="K247" s="93">
        <f t="shared" si="38"/>
        <v>2016</v>
      </c>
      <c r="L247" s="93">
        <f t="shared" si="38"/>
        <v>2017</v>
      </c>
      <c r="M247" s="93">
        <f t="shared" si="38"/>
        <v>2018</v>
      </c>
      <c r="N247" s="93">
        <f t="shared" si="38"/>
        <v>2019</v>
      </c>
      <c r="O247" s="93">
        <f t="shared" si="38"/>
        <v>2020</v>
      </c>
      <c r="P247" s="93">
        <f t="shared" si="38"/>
        <v>2021</v>
      </c>
      <c r="Q247" s="93">
        <f t="shared" si="38"/>
        <v>2022</v>
      </c>
      <c r="R247" s="93">
        <f t="shared" si="38"/>
        <v>2023</v>
      </c>
      <c r="S247" s="93">
        <f t="shared" si="38"/>
        <v>2024</v>
      </c>
      <c r="T247" s="93">
        <f t="shared" si="38"/>
        <v>2025</v>
      </c>
      <c r="U247" s="93">
        <f t="shared" si="38"/>
        <v>2026</v>
      </c>
      <c r="V247" s="93">
        <f t="shared" si="38"/>
        <v>2027</v>
      </c>
      <c r="W247" s="93">
        <f t="shared" si="38"/>
        <v>2028</v>
      </c>
      <c r="X247" s="93">
        <f t="shared" si="38"/>
        <v>2029</v>
      </c>
      <c r="Y247" s="93">
        <f t="shared" si="38"/>
        <v>2030</v>
      </c>
      <c r="Z247" s="93">
        <f t="shared" si="38"/>
        <v>2031</v>
      </c>
      <c r="AA247" s="93">
        <f t="shared" si="38"/>
        <v>2032</v>
      </c>
      <c r="AB247" s="93">
        <f t="shared" si="38"/>
        <v>2033</v>
      </c>
      <c r="AC247" s="93">
        <f t="shared" si="38"/>
        <v>2034</v>
      </c>
      <c r="AD247" s="93">
        <f t="shared" si="38"/>
        <v>2035</v>
      </c>
      <c r="AE247" s="93">
        <f t="shared" si="38"/>
        <v>2036</v>
      </c>
      <c r="AF247" s="93">
        <f t="shared" si="38"/>
        <v>2037</v>
      </c>
      <c r="AG247" s="93">
        <f t="shared" si="38"/>
        <v>2038</v>
      </c>
      <c r="AH247" s="93">
        <f t="shared" si="38"/>
        <v>2039</v>
      </c>
    </row>
    <row r="248" spans="1:34" s="412" customFormat="1" x14ac:dyDescent="0.2">
      <c r="A248" s="18"/>
      <c r="B248" s="80" t="s">
        <v>196</v>
      </c>
      <c r="C248" s="80"/>
      <c r="D248" s="80"/>
      <c r="E248" s="80">
        <f>IF(E132=1,E250/E251,0)</f>
        <v>1</v>
      </c>
      <c r="F248" s="80">
        <f t="shared" ref="F248:I248" si="39">IF(F132=1,F250/F251,0)</f>
        <v>1</v>
      </c>
      <c r="G248" s="80">
        <f t="shared" si="39"/>
        <v>1</v>
      </c>
      <c r="H248" s="80">
        <f t="shared" si="39"/>
        <v>1.2</v>
      </c>
      <c r="I248" s="80">
        <f t="shared" si="39"/>
        <v>1.3333333333333333</v>
      </c>
      <c r="J248" s="80">
        <f t="shared" ref="J248:AH248" si="40">IF(J132=1,J250/J251," ")</f>
        <v>1.3333333333333333</v>
      </c>
      <c r="K248" s="80">
        <f t="shared" si="40"/>
        <v>1.3333333333333333</v>
      </c>
      <c r="L248" s="80">
        <f t="shared" si="40"/>
        <v>1.3333333333333333</v>
      </c>
      <c r="M248" s="80">
        <f t="shared" si="40"/>
        <v>1.3333333333333333</v>
      </c>
      <c r="N248" s="80">
        <f t="shared" si="40"/>
        <v>1.3333333333333333</v>
      </c>
      <c r="O248" s="80">
        <f t="shared" si="40"/>
        <v>1.3333333333333333</v>
      </c>
      <c r="P248" s="80">
        <f t="shared" si="40"/>
        <v>1.3333333333333333</v>
      </c>
      <c r="Q248" s="80">
        <f t="shared" si="40"/>
        <v>1.3333333333333333</v>
      </c>
      <c r="R248" s="80">
        <f t="shared" si="40"/>
        <v>1.3333333333333333</v>
      </c>
      <c r="S248" s="80">
        <f t="shared" si="40"/>
        <v>1.3333333333333333</v>
      </c>
      <c r="T248" s="80">
        <f t="shared" si="40"/>
        <v>1.3333333333333333</v>
      </c>
      <c r="U248" s="80">
        <f t="shared" si="40"/>
        <v>1.3333333333333333</v>
      </c>
      <c r="V248" s="80">
        <f t="shared" si="40"/>
        <v>1.3333333333333333</v>
      </c>
      <c r="W248" s="80">
        <f t="shared" si="40"/>
        <v>1.3333333333333333</v>
      </c>
      <c r="X248" s="80">
        <f t="shared" si="40"/>
        <v>1.3333333333333333</v>
      </c>
      <c r="Y248" s="80">
        <f t="shared" si="40"/>
        <v>1.3333333333333333</v>
      </c>
      <c r="Z248" s="80">
        <f t="shared" si="40"/>
        <v>1.3333333333333333</v>
      </c>
      <c r="AA248" s="80">
        <f t="shared" si="40"/>
        <v>1.3333333333333333</v>
      </c>
      <c r="AB248" s="80">
        <f t="shared" si="40"/>
        <v>1.3333333333333333</v>
      </c>
      <c r="AC248" s="80">
        <f t="shared" si="40"/>
        <v>1.3333333333333333</v>
      </c>
      <c r="AD248" s="80">
        <f t="shared" si="40"/>
        <v>1.3333333333333333</v>
      </c>
      <c r="AE248" s="80">
        <f t="shared" si="40"/>
        <v>1.3333333333333333</v>
      </c>
      <c r="AF248" s="80">
        <f t="shared" si="40"/>
        <v>1.3333333333333333</v>
      </c>
      <c r="AG248" s="80">
        <f t="shared" si="40"/>
        <v>1.3333333333333333</v>
      </c>
      <c r="AH248" s="80">
        <f t="shared" si="40"/>
        <v>1.3333333333333333</v>
      </c>
    </row>
    <row r="249" spans="1:34" s="412" customFormat="1" x14ac:dyDescent="0.2">
      <c r="A249" s="18"/>
      <c r="B249" s="80" t="str">
        <f>B242</f>
        <v>EU railways</v>
      </c>
      <c r="C249" s="80"/>
      <c r="D249" s="80"/>
      <c r="E249" s="80">
        <f>IF(E132=1,'Assumptions - Freight'!$E$22,0)</f>
        <v>1</v>
      </c>
      <c r="F249" s="80">
        <f>IF(F132=1,'Assumptions - Freight'!$E$22,0)</f>
        <v>1</v>
      </c>
      <c r="G249" s="80">
        <f>IF(G132=1,'Assumptions - Freight'!$E$22,0)</f>
        <v>1</v>
      </c>
      <c r="H249" s="80">
        <f>IF(H132=1,'Assumptions - Freight'!$E$22,0)</f>
        <v>1</v>
      </c>
      <c r="I249" s="80">
        <f>IF(I132=1,'Assumptions - Freight'!$E$22,0)</f>
        <v>1</v>
      </c>
      <c r="J249" s="80">
        <f>IF(J132=1,'Assumptions - Freight'!$E$22," ")</f>
        <v>1</v>
      </c>
      <c r="K249" s="80">
        <f>IF(K132=1,'Assumptions - Freight'!$E$22," ")</f>
        <v>1</v>
      </c>
      <c r="L249" s="80">
        <f>IF(L132=1,'Assumptions - Freight'!$E$22," ")</f>
        <v>1</v>
      </c>
      <c r="M249" s="80">
        <f>IF(M132=1,'Assumptions - Freight'!$E$22," ")</f>
        <v>1</v>
      </c>
      <c r="N249" s="80">
        <f>IF(N132=1,'Assumptions - Freight'!$E$22," ")</f>
        <v>1</v>
      </c>
      <c r="O249" s="80">
        <f>IF(O132=1,'Assumptions - Freight'!$E$22," ")</f>
        <v>1</v>
      </c>
      <c r="P249" s="80">
        <f>IF(P132=1,'Assumptions - Freight'!$E$22," ")</f>
        <v>1</v>
      </c>
      <c r="Q249" s="80">
        <f>IF(Q132=1,'Assumptions - Freight'!$E$22," ")</f>
        <v>1</v>
      </c>
      <c r="R249" s="80">
        <f>IF(R132=1,'Assumptions - Freight'!$E$22," ")</f>
        <v>1</v>
      </c>
      <c r="S249" s="80">
        <f>IF(S132=1,'Assumptions - Freight'!$E$22," ")</f>
        <v>1</v>
      </c>
      <c r="T249" s="80">
        <f>IF(T132=1,'Assumptions - Freight'!$E$22," ")</f>
        <v>1</v>
      </c>
      <c r="U249" s="80">
        <f>IF(U132=1,'Assumptions - Freight'!$E$22," ")</f>
        <v>1</v>
      </c>
      <c r="V249" s="80">
        <f>IF(V132=1,'Assumptions - Freight'!$E$22," ")</f>
        <v>1</v>
      </c>
      <c r="W249" s="80">
        <f>IF(W132=1,'Assumptions - Freight'!$E$22," ")</f>
        <v>1</v>
      </c>
      <c r="X249" s="80">
        <f>IF(X132=1,'Assumptions - Freight'!$E$22," ")</f>
        <v>1</v>
      </c>
      <c r="Y249" s="80">
        <f>IF(Y132=1,'Assumptions - Freight'!$E$22," ")</f>
        <v>1</v>
      </c>
      <c r="Z249" s="80">
        <f>IF(Z132=1,'Assumptions - Freight'!$E$22," ")</f>
        <v>1</v>
      </c>
      <c r="AA249" s="80">
        <f>IF(AA132=1,'Assumptions - Freight'!$E$22," ")</f>
        <v>1</v>
      </c>
      <c r="AB249" s="80">
        <f>IF(AB132=1,'Assumptions - Freight'!$E$22," ")</f>
        <v>1</v>
      </c>
      <c r="AC249" s="80">
        <f>IF(AC132=1,'Assumptions - Freight'!$E$22," ")</f>
        <v>1</v>
      </c>
      <c r="AD249" s="80">
        <f>IF(AD132=1,'Assumptions - Freight'!$E$22," ")</f>
        <v>1</v>
      </c>
      <c r="AE249" s="80">
        <f>IF(AE132=1,'Assumptions - Freight'!$E$22," ")</f>
        <v>1</v>
      </c>
      <c r="AF249" s="80">
        <f>IF(AF132=1,'Assumptions - Freight'!$E$22," ")</f>
        <v>1</v>
      </c>
      <c r="AG249" s="80">
        <f>IF(AG132=1,'Assumptions - Freight'!$E$22," ")</f>
        <v>1</v>
      </c>
      <c r="AH249" s="80">
        <f>IF(AH132=1,'Assumptions - Freight'!$E$22," ")</f>
        <v>1</v>
      </c>
    </row>
    <row r="250" spans="1:34" s="412" customFormat="1" x14ac:dyDescent="0.2">
      <c r="A250" s="18"/>
      <c r="B250" s="80" t="s">
        <v>37</v>
      </c>
      <c r="C250" s="80"/>
      <c r="D250" s="80"/>
      <c r="E250" s="94">
        <f>IF(E132=1,'Assumptions - Freight'!E305,0)</f>
        <v>15000</v>
      </c>
      <c r="F250" s="94">
        <f>IF(F132=1,'Assumptions - Freight'!F305,0)</f>
        <v>15000</v>
      </c>
      <c r="G250" s="94">
        <f>IF(G132=1,'Assumptions - Freight'!G305,0)</f>
        <v>15000</v>
      </c>
      <c r="H250" s="94">
        <f>IF(H132=1,'Assumptions - Freight'!H305,0)</f>
        <v>18000</v>
      </c>
      <c r="I250" s="94">
        <f>IF(I132=1,'Assumptions - Freight'!I305,0)</f>
        <v>20000</v>
      </c>
      <c r="J250" s="94">
        <f>IF(J132=1,'Assumptions - Freight'!J305," ")</f>
        <v>20000</v>
      </c>
      <c r="K250" s="94">
        <f>IF(K132=1,'Assumptions - Freight'!K305," ")</f>
        <v>20000</v>
      </c>
      <c r="L250" s="94">
        <f>IF(L132=1,'Assumptions - Freight'!L305," ")</f>
        <v>20000</v>
      </c>
      <c r="M250" s="94">
        <f>IF(M132=1,'Assumptions - Freight'!M305," ")</f>
        <v>20000</v>
      </c>
      <c r="N250" s="94">
        <f>IF(N132=1,'Assumptions - Freight'!N305," ")</f>
        <v>20000</v>
      </c>
      <c r="O250" s="94">
        <f>IF(O132=1,'Assumptions - Freight'!O305," ")</f>
        <v>20000</v>
      </c>
      <c r="P250" s="94">
        <f>IF(P132=1,'Assumptions - Freight'!P305," ")</f>
        <v>20000</v>
      </c>
      <c r="Q250" s="94">
        <f>IF(Q132=1,'Assumptions - Freight'!Q305," ")</f>
        <v>20000</v>
      </c>
      <c r="R250" s="94">
        <f>IF(R132=1,'Assumptions - Freight'!R305," ")</f>
        <v>20000</v>
      </c>
      <c r="S250" s="94">
        <f>IF(S132=1,'Assumptions - Freight'!S305," ")</f>
        <v>20000</v>
      </c>
      <c r="T250" s="94">
        <f>IF(T132=1,'Assumptions - Freight'!T305," ")</f>
        <v>20000</v>
      </c>
      <c r="U250" s="94">
        <f>IF(U132=1,'Assumptions - Freight'!U305," ")</f>
        <v>20000</v>
      </c>
      <c r="V250" s="94">
        <f>IF(V132=1,'Assumptions - Freight'!V305," ")</f>
        <v>20000</v>
      </c>
      <c r="W250" s="94">
        <f>IF(W132=1,'Assumptions - Freight'!W305," ")</f>
        <v>20000</v>
      </c>
      <c r="X250" s="94">
        <f>IF(X132=1,'Assumptions - Freight'!X305," ")</f>
        <v>20000</v>
      </c>
      <c r="Y250" s="94">
        <f>IF(Y132=1,'Assumptions - Freight'!Y305," ")</f>
        <v>20000</v>
      </c>
      <c r="Z250" s="94">
        <f>IF(Z132=1,'Assumptions - Freight'!Z305," ")</f>
        <v>20000</v>
      </c>
      <c r="AA250" s="94">
        <f>IF(AA132=1,'Assumptions - Freight'!AA305," ")</f>
        <v>20000</v>
      </c>
      <c r="AB250" s="94">
        <f>IF(AB132=1,'Assumptions - Freight'!AB305," ")</f>
        <v>20000</v>
      </c>
      <c r="AC250" s="94">
        <f>IF(AC132=1,'Assumptions - Freight'!AC305," ")</f>
        <v>20000</v>
      </c>
      <c r="AD250" s="94">
        <f>IF(AD132=1,'Assumptions - Freight'!AD305," ")</f>
        <v>20000</v>
      </c>
      <c r="AE250" s="94">
        <f>IF(AE132=1,'Assumptions - Freight'!AE305," ")</f>
        <v>20000</v>
      </c>
      <c r="AF250" s="94">
        <f>IF(AF132=1,'Assumptions - Freight'!AF305," ")</f>
        <v>20000</v>
      </c>
      <c r="AG250" s="94">
        <f>IF(AG132=1,'Assumptions - Freight'!AG305," ")</f>
        <v>20000</v>
      </c>
      <c r="AH250" s="94">
        <f>IF(AH132=1,'Assumptions - Freight'!AH305," ")</f>
        <v>20000</v>
      </c>
    </row>
    <row r="251" spans="1:34" s="412" customFormat="1" x14ac:dyDescent="0.2">
      <c r="A251" s="18"/>
      <c r="B251" s="80" t="s">
        <v>179</v>
      </c>
      <c r="C251" s="80"/>
      <c r="D251" s="80"/>
      <c r="E251" s="94">
        <f>IF(E132=1,'Assumptions - Freight'!E13,0)</f>
        <v>15000</v>
      </c>
      <c r="F251" s="94">
        <f>IF(F132=1,'Assumptions - Freight'!F13,0)</f>
        <v>15000</v>
      </c>
      <c r="G251" s="94">
        <f>IF(G132=1,'Assumptions - Freight'!G13,0)</f>
        <v>15000</v>
      </c>
      <c r="H251" s="94">
        <f>IF(H132=1,'Assumptions - Freight'!H13,0)</f>
        <v>15000</v>
      </c>
      <c r="I251" s="94">
        <f>IF(I132=1,'Assumptions - Freight'!I13,0)</f>
        <v>15000</v>
      </c>
      <c r="J251" s="94">
        <f>IF(J132=1,'Assumptions - Freight'!J13," ")</f>
        <v>15000</v>
      </c>
      <c r="K251" s="94">
        <f>IF(K132=1,'Assumptions - Freight'!K13," ")</f>
        <v>15000</v>
      </c>
      <c r="L251" s="94">
        <f>IF(L132=1,'Assumptions - Freight'!L13," ")</f>
        <v>15000</v>
      </c>
      <c r="M251" s="94">
        <f>IF(M132=1,'Assumptions - Freight'!M13," ")</f>
        <v>15000</v>
      </c>
      <c r="N251" s="94">
        <f>IF(N132=1,'Assumptions - Freight'!N13," ")</f>
        <v>15000</v>
      </c>
      <c r="O251" s="94">
        <f>IF(O132=1,'Assumptions - Freight'!O13," ")</f>
        <v>15000</v>
      </c>
      <c r="P251" s="94">
        <f>IF(P132=1,'Assumptions - Freight'!P13," ")</f>
        <v>15000</v>
      </c>
      <c r="Q251" s="94">
        <f>IF(Q132=1,'Assumptions - Freight'!Q13," ")</f>
        <v>15000</v>
      </c>
      <c r="R251" s="94">
        <f>IF(R132=1,'Assumptions - Freight'!R13," ")</f>
        <v>15000</v>
      </c>
      <c r="S251" s="94">
        <f>IF(S132=1,'Assumptions - Freight'!S13," ")</f>
        <v>15000</v>
      </c>
      <c r="T251" s="94">
        <f>IF(T132=1,'Assumptions - Freight'!T13," ")</f>
        <v>15000</v>
      </c>
      <c r="U251" s="94">
        <f>IF(U132=1,'Assumptions - Freight'!U13," ")</f>
        <v>15000</v>
      </c>
      <c r="V251" s="94">
        <f>IF(V132=1,'Assumptions - Freight'!V13," ")</f>
        <v>15000</v>
      </c>
      <c r="W251" s="94">
        <f>IF(W132=1,'Assumptions - Freight'!W13," ")</f>
        <v>15000</v>
      </c>
      <c r="X251" s="94">
        <f>IF(X132=1,'Assumptions - Freight'!X13," ")</f>
        <v>15000</v>
      </c>
      <c r="Y251" s="94">
        <f>IF(Y132=1,'Assumptions - Freight'!Y13," ")</f>
        <v>15000</v>
      </c>
      <c r="Z251" s="94">
        <f>IF(Z132=1,'Assumptions - Freight'!Z13," ")</f>
        <v>15000</v>
      </c>
      <c r="AA251" s="94">
        <f>IF(AA132=1,'Assumptions - Freight'!AA13," ")</f>
        <v>15000</v>
      </c>
      <c r="AB251" s="94">
        <f>IF(AB132=1,'Assumptions - Freight'!AB13," ")</f>
        <v>15000</v>
      </c>
      <c r="AC251" s="94">
        <f>IF(AC132=1,'Assumptions - Freight'!AC13," ")</f>
        <v>15000</v>
      </c>
      <c r="AD251" s="94">
        <f>IF(AD132=1,'Assumptions - Freight'!AD13," ")</f>
        <v>15000</v>
      </c>
      <c r="AE251" s="94">
        <f>IF(AE132=1,'Assumptions - Freight'!AE13," ")</f>
        <v>15000</v>
      </c>
      <c r="AF251" s="94">
        <f>IF(AF132=1,'Assumptions - Freight'!AF13," ")</f>
        <v>15000</v>
      </c>
      <c r="AG251" s="94">
        <f>IF(AG132=1,'Assumptions - Freight'!AG13," ")</f>
        <v>15000</v>
      </c>
      <c r="AH251" s="94">
        <f>IF(AH132=1,'Assumptions - Freight'!AH13," ")</f>
        <v>15000</v>
      </c>
    </row>
    <row r="252" spans="1:34" s="412" customFormat="1" x14ac:dyDescent="0.2">
      <c r="A252" s="18"/>
      <c r="B252" s="80"/>
      <c r="C252" s="80"/>
      <c r="D252" s="80"/>
      <c r="E252" s="80"/>
      <c r="F252" s="80"/>
      <c r="G252" s="80"/>
      <c r="H252" s="80"/>
      <c r="I252" s="80"/>
      <c r="J252" s="80"/>
      <c r="K252" s="80"/>
      <c r="L252" s="80"/>
      <c r="M252" s="80"/>
      <c r="N252" s="80"/>
      <c r="O252" s="80"/>
      <c r="P252" s="80"/>
      <c r="Q252" s="80"/>
      <c r="R252" s="80"/>
      <c r="S252" s="80"/>
      <c r="T252" s="80"/>
      <c r="U252" s="80"/>
      <c r="V252" s="80"/>
      <c r="W252" s="80"/>
      <c r="X252" s="80"/>
      <c r="Y252" s="80"/>
      <c r="Z252" s="80"/>
      <c r="AA252" s="80"/>
      <c r="AB252" s="80"/>
      <c r="AC252" s="80"/>
      <c r="AD252" s="80"/>
      <c r="AE252" s="80"/>
      <c r="AF252" s="80"/>
      <c r="AG252" s="80"/>
      <c r="AH252" s="80"/>
    </row>
    <row r="253" spans="1:34" s="412" customFormat="1" x14ac:dyDescent="0.2">
      <c r="A253" s="18"/>
      <c r="B253" s="90" t="s">
        <v>197</v>
      </c>
      <c r="C253" s="80"/>
      <c r="D253" s="80"/>
      <c r="E253" s="80" t="s">
        <v>305</v>
      </c>
      <c r="F253" s="80" t="s">
        <v>326</v>
      </c>
      <c r="G253" s="80"/>
      <c r="H253" s="80"/>
      <c r="I253" s="80"/>
      <c r="J253" s="80"/>
      <c r="K253" s="80"/>
      <c r="L253" s="80"/>
      <c r="M253" s="80"/>
      <c r="N253" s="80"/>
      <c r="O253" s="80"/>
      <c r="P253" s="80"/>
      <c r="Q253" s="80"/>
      <c r="R253" s="80"/>
      <c r="S253" s="80"/>
      <c r="T253" s="80"/>
      <c r="U253" s="80"/>
      <c r="V253" s="80"/>
      <c r="W253" s="80"/>
      <c r="X253" s="80"/>
      <c r="Y253" s="80"/>
      <c r="Z253" s="80"/>
      <c r="AA253" s="80"/>
      <c r="AB253" s="80"/>
      <c r="AC253" s="80"/>
      <c r="AD253" s="80"/>
      <c r="AE253" s="80"/>
      <c r="AF253" s="80"/>
      <c r="AG253" s="80"/>
      <c r="AH253" s="80"/>
    </row>
    <row r="254" spans="1:34" s="412" customFormat="1" x14ac:dyDescent="0.2">
      <c r="A254" s="18"/>
      <c r="B254" s="80"/>
      <c r="C254" s="80"/>
      <c r="D254" s="80"/>
      <c r="E254" s="93">
        <f t="shared" ref="E254:AH254" si="41">YEAR(E$131)</f>
        <v>2010</v>
      </c>
      <c r="F254" s="93">
        <f t="shared" si="41"/>
        <v>2011</v>
      </c>
      <c r="G254" s="93">
        <f t="shared" si="41"/>
        <v>2012</v>
      </c>
      <c r="H254" s="93">
        <f t="shared" si="41"/>
        <v>2013</v>
      </c>
      <c r="I254" s="93">
        <f t="shared" si="41"/>
        <v>2014</v>
      </c>
      <c r="J254" s="93">
        <f t="shared" si="41"/>
        <v>2015</v>
      </c>
      <c r="K254" s="93">
        <f t="shared" si="41"/>
        <v>2016</v>
      </c>
      <c r="L254" s="93">
        <f t="shared" si="41"/>
        <v>2017</v>
      </c>
      <c r="M254" s="93">
        <f t="shared" si="41"/>
        <v>2018</v>
      </c>
      <c r="N254" s="93">
        <f t="shared" si="41"/>
        <v>2019</v>
      </c>
      <c r="O254" s="93">
        <f t="shared" si="41"/>
        <v>2020</v>
      </c>
      <c r="P254" s="93">
        <f t="shared" si="41"/>
        <v>2021</v>
      </c>
      <c r="Q254" s="93">
        <f t="shared" si="41"/>
        <v>2022</v>
      </c>
      <c r="R254" s="93">
        <f t="shared" si="41"/>
        <v>2023</v>
      </c>
      <c r="S254" s="93">
        <f t="shared" si="41"/>
        <v>2024</v>
      </c>
      <c r="T254" s="93">
        <f t="shared" si="41"/>
        <v>2025</v>
      </c>
      <c r="U254" s="93">
        <f t="shared" si="41"/>
        <v>2026</v>
      </c>
      <c r="V254" s="93">
        <f t="shared" si="41"/>
        <v>2027</v>
      </c>
      <c r="W254" s="93">
        <f t="shared" si="41"/>
        <v>2028</v>
      </c>
      <c r="X254" s="93">
        <f t="shared" si="41"/>
        <v>2029</v>
      </c>
      <c r="Y254" s="93">
        <f t="shared" si="41"/>
        <v>2030</v>
      </c>
      <c r="Z254" s="93">
        <f t="shared" si="41"/>
        <v>2031</v>
      </c>
      <c r="AA254" s="93">
        <f t="shared" si="41"/>
        <v>2032</v>
      </c>
      <c r="AB254" s="93">
        <f t="shared" si="41"/>
        <v>2033</v>
      </c>
      <c r="AC254" s="93">
        <f t="shared" si="41"/>
        <v>2034</v>
      </c>
      <c r="AD254" s="93">
        <f t="shared" si="41"/>
        <v>2035</v>
      </c>
      <c r="AE254" s="93">
        <f t="shared" si="41"/>
        <v>2036</v>
      </c>
      <c r="AF254" s="93">
        <f t="shared" si="41"/>
        <v>2037</v>
      </c>
      <c r="AG254" s="93">
        <f t="shared" si="41"/>
        <v>2038</v>
      </c>
      <c r="AH254" s="93">
        <f t="shared" si="41"/>
        <v>2039</v>
      </c>
    </row>
    <row r="255" spans="1:34" s="412" customFormat="1" x14ac:dyDescent="0.2">
      <c r="A255" s="18"/>
      <c r="B255" s="80" t="s">
        <v>198</v>
      </c>
      <c r="C255" s="80"/>
      <c r="D255" s="80"/>
      <c r="E255" s="100">
        <f>IF(E132=1,SUM(E159:E168)/E251,0)</f>
        <v>2.7333333333333334</v>
      </c>
      <c r="F255" s="100">
        <f t="shared" ref="F255:I255" si="42">IF(F132=1,SUM(F159:F168)/F251,0)</f>
        <v>2.6666666666666665</v>
      </c>
      <c r="G255" s="100">
        <f t="shared" si="42"/>
        <v>2.6666666666666665</v>
      </c>
      <c r="H255" s="100">
        <f t="shared" si="42"/>
        <v>2.6666666666666665</v>
      </c>
      <c r="I255" s="100">
        <f t="shared" si="42"/>
        <v>2.6666666666666665</v>
      </c>
      <c r="J255" s="100">
        <f t="shared" ref="J255:AH255" si="43">IF(J132=1,SUM(J159:J168)/J251," ")</f>
        <v>2.6666666666666665</v>
      </c>
      <c r="K255" s="100">
        <f t="shared" si="43"/>
        <v>3</v>
      </c>
      <c r="L255" s="100">
        <f t="shared" si="43"/>
        <v>3</v>
      </c>
      <c r="M255" s="100">
        <f t="shared" si="43"/>
        <v>3</v>
      </c>
      <c r="N255" s="100">
        <f t="shared" si="43"/>
        <v>3</v>
      </c>
      <c r="O255" s="100">
        <f t="shared" si="43"/>
        <v>3</v>
      </c>
      <c r="P255" s="100">
        <f t="shared" si="43"/>
        <v>3</v>
      </c>
      <c r="Q255" s="100">
        <f t="shared" si="43"/>
        <v>3</v>
      </c>
      <c r="R255" s="100">
        <f t="shared" si="43"/>
        <v>3</v>
      </c>
      <c r="S255" s="100">
        <f t="shared" si="43"/>
        <v>3</v>
      </c>
      <c r="T255" s="100">
        <f t="shared" si="43"/>
        <v>3</v>
      </c>
      <c r="U255" s="100">
        <f t="shared" si="43"/>
        <v>3</v>
      </c>
      <c r="V255" s="100">
        <f t="shared" si="43"/>
        <v>3</v>
      </c>
      <c r="W255" s="100">
        <f t="shared" si="43"/>
        <v>3</v>
      </c>
      <c r="X255" s="100">
        <f t="shared" si="43"/>
        <v>3</v>
      </c>
      <c r="Y255" s="100">
        <f t="shared" si="43"/>
        <v>3</v>
      </c>
      <c r="Z255" s="100">
        <f t="shared" si="43"/>
        <v>3</v>
      </c>
      <c r="AA255" s="100">
        <f t="shared" si="43"/>
        <v>3</v>
      </c>
      <c r="AB255" s="100">
        <f t="shared" si="43"/>
        <v>3</v>
      </c>
      <c r="AC255" s="100">
        <f t="shared" si="43"/>
        <v>3</v>
      </c>
      <c r="AD255" s="100">
        <f t="shared" si="43"/>
        <v>3</v>
      </c>
      <c r="AE255" s="100">
        <f t="shared" si="43"/>
        <v>3</v>
      </c>
      <c r="AF255" s="100">
        <f t="shared" si="43"/>
        <v>3</v>
      </c>
      <c r="AG255" s="100">
        <f t="shared" si="43"/>
        <v>3</v>
      </c>
      <c r="AH255" s="100">
        <f t="shared" si="43"/>
        <v>3</v>
      </c>
    </row>
    <row r="256" spans="1:34" s="412" customFormat="1" x14ac:dyDescent="0.2">
      <c r="A256" s="18"/>
      <c r="B256" s="80" t="str">
        <f>B249</f>
        <v>EU railways</v>
      </c>
      <c r="C256" s="80"/>
      <c r="D256" s="80"/>
      <c r="E256" s="80">
        <f>IF(E132=1,'Assumptions - Freight'!$E$21,0)</f>
        <v>1</v>
      </c>
      <c r="F256" s="80">
        <f>IF(F132=1,'Assumptions - Freight'!$E$21,0)</f>
        <v>1</v>
      </c>
      <c r="G256" s="80">
        <f>IF(G132=1,'Assumptions - Freight'!$E$21,0)</f>
        <v>1</v>
      </c>
      <c r="H256" s="80">
        <f>IF(H132=1,'Assumptions - Freight'!$E$21,0)</f>
        <v>1</v>
      </c>
      <c r="I256" s="80">
        <f>IF(I132=1,'Assumptions - Freight'!$E$21,0)</f>
        <v>1</v>
      </c>
      <c r="J256" s="80">
        <f>IF(J132=1,'Assumptions - Freight'!$E$21," ")</f>
        <v>1</v>
      </c>
      <c r="K256" s="80">
        <f>IF(K132=1,'Assumptions - Freight'!$E$21," ")</f>
        <v>1</v>
      </c>
      <c r="L256" s="80">
        <f>IF(L132=1,'Assumptions - Freight'!$E$21," ")</f>
        <v>1</v>
      </c>
      <c r="M256" s="80">
        <f>IF(M132=1,'Assumptions - Freight'!$E$21," ")</f>
        <v>1</v>
      </c>
      <c r="N256" s="80">
        <f>IF(N132=1,'Assumptions - Freight'!$E$21," ")</f>
        <v>1</v>
      </c>
      <c r="O256" s="80">
        <f>IF(O132=1,'Assumptions - Freight'!$E$21," ")</f>
        <v>1</v>
      </c>
      <c r="P256" s="80">
        <f>IF(P132=1,'Assumptions - Freight'!$E$21," ")</f>
        <v>1</v>
      </c>
      <c r="Q256" s="80">
        <f>IF(Q132=1,'Assumptions - Freight'!$E$21," ")</f>
        <v>1</v>
      </c>
      <c r="R256" s="80">
        <f>IF(R132=1,'Assumptions - Freight'!$E$21," ")</f>
        <v>1</v>
      </c>
      <c r="S256" s="80">
        <f>IF(S132=1,'Assumptions - Freight'!$E$21," ")</f>
        <v>1</v>
      </c>
      <c r="T256" s="80">
        <f>IF(T132=1,'Assumptions - Freight'!$E$21," ")</f>
        <v>1</v>
      </c>
      <c r="U256" s="80">
        <f>IF(U132=1,'Assumptions - Freight'!$E$21," ")</f>
        <v>1</v>
      </c>
      <c r="V256" s="80">
        <f>IF(V132=1,'Assumptions - Freight'!$E$21," ")</f>
        <v>1</v>
      </c>
      <c r="W256" s="80">
        <f>IF(W132=1,'Assumptions - Freight'!$E$21," ")</f>
        <v>1</v>
      </c>
      <c r="X256" s="80">
        <f>IF(X132=1,'Assumptions - Freight'!$E$21," ")</f>
        <v>1</v>
      </c>
      <c r="Y256" s="80">
        <f>IF(Y132=1,'Assumptions - Freight'!$E$21," ")</f>
        <v>1</v>
      </c>
      <c r="Z256" s="80">
        <f>IF(Z132=1,'Assumptions - Freight'!$E$21," ")</f>
        <v>1</v>
      </c>
      <c r="AA256" s="80">
        <f>IF(AA132=1,'Assumptions - Freight'!$E$21," ")</f>
        <v>1</v>
      </c>
      <c r="AB256" s="80">
        <f>IF(AB132=1,'Assumptions - Freight'!$E$21," ")</f>
        <v>1</v>
      </c>
      <c r="AC256" s="80">
        <f>IF(AC132=1,'Assumptions - Freight'!$E$21," ")</f>
        <v>1</v>
      </c>
      <c r="AD256" s="80">
        <f>IF(AD132=1,'Assumptions - Freight'!$E$21," ")</f>
        <v>1</v>
      </c>
      <c r="AE256" s="80">
        <f>IF(AE132=1,'Assumptions - Freight'!$E$21," ")</f>
        <v>1</v>
      </c>
      <c r="AF256" s="80">
        <f>IF(AF132=1,'Assumptions - Freight'!$E$21," ")</f>
        <v>1</v>
      </c>
      <c r="AG256" s="80">
        <f>IF(AG132=1,'Assumptions - Freight'!$E$21," ")</f>
        <v>1</v>
      </c>
      <c r="AH256" s="80">
        <f>IF(AH132=1,'Assumptions - Freight'!$E$21," ")</f>
        <v>1</v>
      </c>
    </row>
    <row r="257" spans="2:34" s="18" customFormat="1" x14ac:dyDescent="0.2">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row>
    <row r="372" spans="1:42" s="277" customFormat="1" x14ac:dyDescent="0.2">
      <c r="A372" s="24"/>
      <c r="B372" s="24"/>
      <c r="C372" s="24"/>
      <c r="D372" s="24"/>
      <c r="E372" s="24"/>
      <c r="F372" s="24"/>
      <c r="G372" s="24"/>
      <c r="H372" s="24"/>
      <c r="I372" s="24"/>
      <c r="J372" s="22"/>
      <c r="K372" s="22"/>
      <c r="L372" s="22"/>
      <c r="M372" s="22"/>
      <c r="N372" s="22"/>
      <c r="O372" s="22"/>
      <c r="P372" s="22"/>
    </row>
    <row r="373" spans="1:42" s="18" customFormat="1" x14ac:dyDescent="0.2">
      <c r="A373" s="24"/>
      <c r="B373" s="22"/>
      <c r="C373" s="22"/>
      <c r="D373" s="22"/>
      <c r="E373" s="22"/>
      <c r="F373" s="22"/>
      <c r="G373" s="22"/>
      <c r="H373" s="24"/>
      <c r="I373" s="24"/>
      <c r="J373" s="24"/>
      <c r="K373" s="24"/>
      <c r="L373" s="24"/>
      <c r="M373" s="24"/>
      <c r="N373" s="24"/>
      <c r="O373" s="24"/>
      <c r="P373" s="277"/>
      <c r="Q373" s="277"/>
      <c r="R373" s="277"/>
      <c r="S373" s="277"/>
      <c r="T373" s="277"/>
      <c r="U373" s="277"/>
      <c r="V373" s="277"/>
      <c r="W373" s="277"/>
      <c r="X373" s="277"/>
      <c r="Y373" s="277"/>
      <c r="Z373" s="277"/>
      <c r="AA373" s="277"/>
      <c r="AB373" s="277"/>
      <c r="AC373" s="277"/>
      <c r="AD373" s="277"/>
      <c r="AE373" s="277"/>
      <c r="AF373" s="277"/>
      <c r="AG373" s="277"/>
      <c r="AH373" s="277"/>
      <c r="AI373" s="277"/>
      <c r="AJ373" s="277"/>
      <c r="AK373" s="277"/>
      <c r="AL373" s="277"/>
      <c r="AM373" s="277"/>
      <c r="AN373" s="277"/>
      <c r="AO373" s="277"/>
      <c r="AP373" s="277"/>
    </row>
    <row r="374" spans="1:42" s="18" customForma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P360"/>
  <sheetViews>
    <sheetView zoomScale="75" zoomScaleNormal="75" workbookViewId="0">
      <selection activeCell="AJ1" sqref="AJ1:XFD1048576"/>
    </sheetView>
  </sheetViews>
  <sheetFormatPr baseColWidth="10" defaultColWidth="0" defaultRowHeight="15" x14ac:dyDescent="0.2"/>
  <cols>
    <col min="1" max="1" width="9.1640625" style="278" customWidth="1"/>
    <col min="2" max="6" width="9.1640625" style="22" customWidth="1"/>
    <col min="7" max="7" width="10.83203125" style="22" bestFit="1" customWidth="1"/>
    <col min="8" max="8" width="9.1640625" style="22" customWidth="1"/>
    <col min="9" max="9" width="12" style="22" bestFit="1" customWidth="1"/>
    <col min="10" max="35" width="9.1640625" style="22" customWidth="1"/>
    <col min="36" max="16384" width="9.1640625" style="22" hidden="1"/>
  </cols>
  <sheetData>
    <row r="1" spans="1:34" s="18" customFormat="1" x14ac:dyDescent="0.2">
      <c r="A1" s="324"/>
      <c r="B1" s="323" t="s">
        <v>180</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row>
    <row r="2" spans="1:34" s="18" customFormat="1" x14ac:dyDescent="0.2">
      <c r="A2" s="324"/>
      <c r="B2" s="325" t="str">
        <f>'Assumptions - General'!$E$25</f>
        <v>Ruritania Passenger Rail Company</v>
      </c>
      <c r="C2" s="324"/>
      <c r="D2" s="324"/>
      <c r="E2" s="324"/>
      <c r="F2" s="324"/>
      <c r="G2" s="324"/>
      <c r="H2" s="324"/>
      <c r="I2" s="324"/>
      <c r="J2" s="324"/>
      <c r="K2" s="324"/>
      <c r="L2" s="324"/>
      <c r="M2" s="324"/>
      <c r="N2" s="324"/>
      <c r="O2" s="324"/>
      <c r="P2" s="324"/>
      <c r="Q2" s="324"/>
      <c r="R2" s="324"/>
      <c r="S2" s="324"/>
      <c r="T2" s="324"/>
      <c r="U2" s="324"/>
      <c r="V2" s="324"/>
      <c r="W2" s="324"/>
      <c r="X2" s="324"/>
      <c r="Y2" s="324"/>
      <c r="Z2" s="324"/>
      <c r="AA2" s="324"/>
      <c r="AB2" s="324"/>
      <c r="AC2" s="324"/>
      <c r="AD2" s="324"/>
      <c r="AE2" s="324"/>
      <c r="AF2" s="324"/>
      <c r="AG2" s="324"/>
      <c r="AH2" s="324"/>
    </row>
    <row r="3" spans="1:34" s="18" customFormat="1" x14ac:dyDescent="0.2">
      <c r="A3" s="324"/>
      <c r="B3" s="325" t="str">
        <f>"All units in "  &amp;'Assumptions - General'!$E$27&amp;  " millions unless otherwise stated"</f>
        <v>All units in R$ millions unless otherwise stated</v>
      </c>
      <c r="C3" s="326"/>
      <c r="D3" s="324"/>
      <c r="E3" s="324"/>
      <c r="F3" s="324"/>
      <c r="G3" s="324"/>
      <c r="H3" s="324"/>
      <c r="I3" s="324"/>
      <c r="J3" s="324"/>
      <c r="K3" s="324"/>
      <c r="L3" s="324"/>
      <c r="M3" s="324"/>
      <c r="N3" s="324"/>
      <c r="O3" s="324"/>
      <c r="P3" s="324"/>
      <c r="Q3" s="324"/>
      <c r="R3" s="324"/>
      <c r="S3" s="324"/>
      <c r="T3" s="324"/>
      <c r="U3" s="324"/>
      <c r="V3" s="324"/>
      <c r="W3" s="324"/>
      <c r="X3" s="324"/>
      <c r="Y3" s="324"/>
      <c r="Z3" s="324"/>
      <c r="AA3" s="324"/>
      <c r="AB3" s="324"/>
      <c r="AC3" s="324"/>
      <c r="AD3" s="324"/>
      <c r="AE3" s="324"/>
      <c r="AF3" s="324"/>
      <c r="AG3" s="324"/>
      <c r="AH3" s="324"/>
    </row>
    <row r="4" spans="1:34" s="18" customFormat="1" x14ac:dyDescent="0.2">
      <c r="B4" s="77"/>
      <c r="C4" s="78"/>
    </row>
    <row r="5" spans="1:34" s="18" customFormat="1" ht="16" thickBot="1" x14ac:dyDescent="0.25">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row>
    <row r="6" spans="1:34" s="18" customFormat="1" ht="16" thickBot="1" x14ac:dyDescent="0.25">
      <c r="B6" s="1"/>
      <c r="C6" s="1"/>
      <c r="D6" s="1"/>
      <c r="E6" s="1"/>
      <c r="F6" s="1"/>
      <c r="G6" s="1"/>
      <c r="H6" s="1"/>
      <c r="I6" s="1"/>
      <c r="J6" s="1"/>
      <c r="K6" s="1"/>
      <c r="L6" s="1"/>
      <c r="M6" s="1"/>
      <c r="N6" s="1"/>
      <c r="O6" s="1"/>
      <c r="P6" s="1"/>
      <c r="Q6" s="1"/>
      <c r="R6" s="1"/>
      <c r="S6" s="1"/>
      <c r="T6" s="1"/>
      <c r="U6" s="1"/>
      <c r="V6" s="1"/>
      <c r="W6" s="1"/>
      <c r="X6" s="1"/>
      <c r="Y6" s="1"/>
      <c r="Z6" s="1"/>
      <c r="AA6" s="1"/>
      <c r="AB6" s="1"/>
      <c r="AC6" s="130" t="s">
        <v>297</v>
      </c>
      <c r="AD6" s="129">
        <f>SUM(E156:AH156)</f>
        <v>0</v>
      </c>
      <c r="AE6" s="1"/>
      <c r="AF6" s="1"/>
      <c r="AG6" s="1"/>
      <c r="AH6" s="1"/>
    </row>
    <row r="7" spans="1:34" s="18" customFormat="1" x14ac:dyDescent="0.2">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row>
    <row r="8" spans="1:34" s="18" customFormat="1" x14ac:dyDescent="0.2">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row>
    <row r="9" spans="1:34" s="18" customFormat="1" x14ac:dyDescent="0.2">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row>
    <row r="10" spans="1:34" s="18" customFormat="1" x14ac:dyDescent="0.2">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row>
    <row r="11" spans="1:34" s="18" customFormat="1" x14ac:dyDescent="0.2">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row>
    <row r="12" spans="1:34" s="18" customFormat="1" x14ac:dyDescent="0.2">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row>
    <row r="13" spans="1:34" s="18" customFormat="1" x14ac:dyDescent="0.2">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row>
    <row r="14" spans="1:34" s="18" customFormat="1" x14ac:dyDescent="0.2">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row>
    <row r="15" spans="1:34" s="18" customFormat="1" x14ac:dyDescent="0.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row>
    <row r="16" spans="1:34" s="18" customFormat="1" x14ac:dyDescent="0.2">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row>
    <row r="17" spans="2:34" s="18" customFormat="1" x14ac:dyDescent="0.2">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row>
    <row r="18" spans="2:34" s="18" customFormat="1" x14ac:dyDescent="0.2">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row>
    <row r="19" spans="2:34" s="18" customFormat="1" x14ac:dyDescent="0.2">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row>
    <row r="20" spans="2:34" s="18" customFormat="1" ht="16" thickBot="1" x14ac:dyDescent="0.25">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row>
    <row r="21" spans="2:34" s="18" customFormat="1" ht="16" thickBot="1" x14ac:dyDescent="0.25">
      <c r="B21" s="1"/>
      <c r="C21" s="1"/>
      <c r="D21" s="1"/>
      <c r="E21" s="1"/>
      <c r="F21" s="1"/>
      <c r="G21" s="1"/>
      <c r="H21" s="130" t="s">
        <v>297</v>
      </c>
      <c r="I21" s="129">
        <f>SUM(E148:AH148)</f>
        <v>3.6301076626834794E-2</v>
      </c>
      <c r="J21" s="1"/>
      <c r="K21" s="1"/>
      <c r="L21" s="1"/>
      <c r="M21" s="1"/>
      <c r="N21" s="1"/>
      <c r="O21" s="1"/>
      <c r="P21" s="1"/>
      <c r="Q21" s="1"/>
      <c r="R21" s="1"/>
      <c r="S21" s="1"/>
      <c r="T21" s="1"/>
      <c r="U21" s="1"/>
      <c r="V21" s="1"/>
      <c r="W21" s="1"/>
      <c r="X21" s="1"/>
      <c r="Y21" s="1"/>
      <c r="Z21" s="1"/>
      <c r="AA21" s="1"/>
      <c r="AB21" s="1"/>
      <c r="AC21" s="130" t="s">
        <v>297</v>
      </c>
      <c r="AD21" s="129">
        <f>SUM(E163:AH163)</f>
        <v>3.6301076626834794E-2</v>
      </c>
      <c r="AE21" s="1"/>
      <c r="AF21" s="1"/>
      <c r="AG21" s="1"/>
      <c r="AH21" s="1"/>
    </row>
    <row r="22" spans="2:34" s="18" customFormat="1" x14ac:dyDescent="0.2">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row r="23" spans="2:34" s="18" customFormat="1" x14ac:dyDescent="0.2">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row>
    <row r="24" spans="2:34" s="18" customFormat="1" x14ac:dyDescent="0.2">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row>
    <row r="25" spans="2:34" s="18" customFormat="1" x14ac:dyDescent="0.2">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2:34" s="18" customFormat="1" x14ac:dyDescent="0.2">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row>
    <row r="27" spans="2:34" s="18" customFormat="1" x14ac:dyDescent="0.2">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row>
    <row r="28" spans="2:34" s="18" customFormat="1" x14ac:dyDescent="0.2">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row>
    <row r="29" spans="2:34" s="18" customFormat="1" x14ac:dyDescent="0.2">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row>
    <row r="30" spans="2:34" s="18" customFormat="1" x14ac:dyDescent="0.2">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row>
    <row r="31" spans="2:34" s="18" customFormat="1" x14ac:dyDescent="0.2">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row>
    <row r="32" spans="2:34" s="18" customFormat="1" x14ac:dyDescent="0.2">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row>
    <row r="33" spans="2:34" s="18" customFormat="1" x14ac:dyDescent="0.2">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row>
    <row r="34" spans="2:34" s="18" customFormat="1" x14ac:dyDescent="0.2">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row>
    <row r="35" spans="2:34" s="18" customFormat="1" x14ac:dyDescent="0.2">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row>
    <row r="36" spans="2:34" s="18" customFormat="1" x14ac:dyDescent="0.2">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row>
    <row r="37" spans="2:34" s="18" customFormat="1" x14ac:dyDescent="0.2">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row>
    <row r="38" spans="2:34" s="18" customFormat="1" x14ac:dyDescent="0.2">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row>
    <row r="39" spans="2:34" s="18" customFormat="1" x14ac:dyDescent="0.2">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row>
    <row r="40" spans="2:34" s="18" customFormat="1" x14ac:dyDescent="0.2">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row>
    <row r="41" spans="2:34" s="18" customFormat="1" x14ac:dyDescent="0.2">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row>
    <row r="42" spans="2:34" s="18" customFormat="1" x14ac:dyDescent="0.2">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row>
    <row r="43" spans="2:34" s="18" customFormat="1" x14ac:dyDescent="0.2">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row>
    <row r="44" spans="2:34" s="18" customFormat="1" x14ac:dyDescent="0.2">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row>
    <row r="45" spans="2:34" s="18" customFormat="1" x14ac:dyDescent="0.2">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row>
    <row r="46" spans="2:34" s="18" customFormat="1" x14ac:dyDescent="0.2">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row>
    <row r="47" spans="2:34" s="18" customFormat="1" x14ac:dyDescent="0.2">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row>
    <row r="48" spans="2:34" s="18" customFormat="1" x14ac:dyDescent="0.2">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row>
    <row r="49" spans="2:34" s="18" customFormat="1" x14ac:dyDescent="0.2">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row>
    <row r="50" spans="2:34" s="18" customFormat="1" x14ac:dyDescent="0.2">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row>
    <row r="51" spans="2:34" s="18" customFormat="1" x14ac:dyDescent="0.2">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row>
    <row r="52" spans="2:34" s="18" customFormat="1" x14ac:dyDescent="0.2">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row>
    <row r="53" spans="2:34" s="18" customFormat="1" x14ac:dyDescent="0.2">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row>
    <row r="54" spans="2:34" s="18" customFormat="1" x14ac:dyDescent="0.2">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row>
    <row r="55" spans="2:34" s="18" customFormat="1" x14ac:dyDescent="0.2">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row>
    <row r="56" spans="2:34" s="18" customFormat="1" x14ac:dyDescent="0.2">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row>
    <row r="57" spans="2:34" s="18" customFormat="1" x14ac:dyDescent="0.2">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row>
    <row r="58" spans="2:34" s="18" customFormat="1" x14ac:dyDescent="0.2">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row>
    <row r="59" spans="2:34" s="18" customFormat="1" x14ac:dyDescent="0.2">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row>
    <row r="60" spans="2:34" s="18" customFormat="1" x14ac:dyDescent="0.2">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row>
    <row r="61" spans="2:34" s="18" customFormat="1" x14ac:dyDescent="0.2">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row>
    <row r="62" spans="2:34" s="18" customFormat="1" x14ac:dyDescent="0.2">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row>
    <row r="63" spans="2:34" s="18" customFormat="1" x14ac:dyDescent="0.2">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row>
    <row r="64" spans="2:34" s="18" customFormat="1" x14ac:dyDescent="0.2">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row>
    <row r="65" spans="2:34" s="18" customFormat="1" x14ac:dyDescent="0.2">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row>
    <row r="66" spans="2:34" s="18" customFormat="1" x14ac:dyDescent="0.2">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row>
    <row r="67" spans="2:34" s="18" customFormat="1" x14ac:dyDescent="0.2">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row>
    <row r="68" spans="2:34" s="18" customFormat="1" x14ac:dyDescent="0.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row>
    <row r="69" spans="2:34" s="18" customFormat="1" x14ac:dyDescent="0.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row>
    <row r="70" spans="2:34" s="18" customFormat="1" x14ac:dyDescent="0.2">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row>
    <row r="71" spans="2:34" s="18" customFormat="1" x14ac:dyDescent="0.2">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row>
    <row r="72" spans="2:34" s="18" customFormat="1" x14ac:dyDescent="0.2">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row>
    <row r="73" spans="2:34" s="18" customFormat="1" x14ac:dyDescent="0.2">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row>
    <row r="74" spans="2:34" s="18" customFormat="1" x14ac:dyDescent="0.2">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row>
    <row r="75" spans="2:34" s="18" customFormat="1" x14ac:dyDescent="0.2">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row>
    <row r="76" spans="2:34" s="18" customFormat="1" x14ac:dyDescent="0.2">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row>
    <row r="77" spans="2:34" s="18" customFormat="1" x14ac:dyDescent="0.2">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row>
    <row r="78" spans="2:34" s="18" customFormat="1" x14ac:dyDescent="0.2">
      <c r="B78" s="1"/>
      <c r="C78" s="1"/>
      <c r="D78" s="1"/>
      <c r="E78" s="1"/>
      <c r="F78" s="1"/>
      <c r="G78" s="1"/>
      <c r="H78" s="1"/>
      <c r="I78" s="1"/>
      <c r="J78" s="1"/>
      <c r="K78" s="1"/>
      <c r="L78" s="1"/>
      <c r="M78" s="1"/>
      <c r="N78" s="1"/>
      <c r="O78" s="1"/>
      <c r="P78" s="1"/>
      <c r="Q78" s="1"/>
      <c r="R78" s="1"/>
      <c r="S78" s="1"/>
      <c r="T78" s="1"/>
      <c r="U78" s="1"/>
      <c r="V78" s="1"/>
      <c r="W78" s="1"/>
      <c r="X78" s="1"/>
      <c r="Y78" s="1"/>
      <c r="AA78" s="1"/>
      <c r="AB78" s="1"/>
      <c r="AC78" s="1"/>
      <c r="AD78" s="1"/>
      <c r="AE78" s="1"/>
      <c r="AF78" s="1"/>
      <c r="AG78" s="1"/>
      <c r="AH78" s="1"/>
    </row>
    <row r="79" spans="2:34" s="18" customFormat="1" x14ac:dyDescent="0.2">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row>
    <row r="80" spans="2:34" s="18" customFormat="1" x14ac:dyDescent="0.2">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row>
    <row r="81" spans="2:34" s="18" customFormat="1" x14ac:dyDescent="0.2">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row>
    <row r="82" spans="2:34" s="18" customFormat="1" x14ac:dyDescent="0.2">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row>
    <row r="83" spans="2:34" s="18" customFormat="1" x14ac:dyDescent="0.2">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row>
    <row r="84" spans="2:34" s="18" customFormat="1" x14ac:dyDescent="0.2">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row>
    <row r="85" spans="2:34" s="18" customFormat="1" x14ac:dyDescent="0.2">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row>
    <row r="86" spans="2:34" s="18" customFormat="1" x14ac:dyDescent="0.2">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row>
    <row r="87" spans="2:34" s="18" customFormat="1" x14ac:dyDescent="0.2">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row>
    <row r="88" spans="2:34" s="18" customFormat="1" x14ac:dyDescent="0.2">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row>
    <row r="89" spans="2:34" s="18" customFormat="1" x14ac:dyDescent="0.2">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row>
    <row r="90" spans="2:34" s="18" customFormat="1" x14ac:dyDescent="0.2">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row>
    <row r="91" spans="2:34" s="18" customFormat="1" x14ac:dyDescent="0.2">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row>
    <row r="92" spans="2:34" s="18" customFormat="1" x14ac:dyDescent="0.2">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row>
    <row r="93" spans="2:34" s="18" customFormat="1" x14ac:dyDescent="0.2">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row>
    <row r="94" spans="2:34" s="18" customFormat="1" x14ac:dyDescent="0.2">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row>
    <row r="95" spans="2:34" s="18" customFormat="1" x14ac:dyDescent="0.2">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row>
    <row r="96" spans="2:34" s="18" customFormat="1" x14ac:dyDescent="0.2">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row>
    <row r="97" spans="2:34" s="18" customFormat="1" x14ac:dyDescent="0.2">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row>
    <row r="98" spans="2:34" s="18" customFormat="1" x14ac:dyDescent="0.2">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row>
    <row r="99" spans="2:34" s="18" customFormat="1" x14ac:dyDescent="0.2">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row>
    <row r="100" spans="2:34" s="18" customFormat="1" x14ac:dyDescent="0.2">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row>
    <row r="101" spans="2:34" s="18" customFormat="1" x14ac:dyDescent="0.2">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row>
    <row r="102" spans="2:34" s="18" customFormat="1" x14ac:dyDescent="0.2">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row>
    <row r="103" spans="2:34" s="18" customFormat="1" x14ac:dyDescent="0.2">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row>
    <row r="104" spans="2:34" s="18" customFormat="1" x14ac:dyDescent="0.2">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row>
    <row r="105" spans="2:34" s="18" customFormat="1" x14ac:dyDescent="0.2">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row>
    <row r="106" spans="2:34" s="18" customFormat="1" x14ac:dyDescent="0.2">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row>
    <row r="107" spans="2:34" s="18" customFormat="1" x14ac:dyDescent="0.2">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row>
    <row r="108" spans="2:34" s="18" customFormat="1" x14ac:dyDescent="0.2">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row>
    <row r="109" spans="2:34" s="18" customFormat="1" x14ac:dyDescent="0.2">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row>
    <row r="110" spans="2:34" s="18" customFormat="1" x14ac:dyDescent="0.2">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row>
    <row r="111" spans="2:34" s="18" customFormat="1" x14ac:dyDescent="0.2">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row>
    <row r="112" spans="2:34" s="18" customFormat="1" x14ac:dyDescent="0.2">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row>
    <row r="113" spans="1:34" s="18" customFormat="1" x14ac:dyDescent="0.2">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row>
    <row r="114" spans="1:34" s="18" customFormat="1" x14ac:dyDescent="0.2">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row>
    <row r="115" spans="1:34" s="18" customFormat="1" x14ac:dyDescent="0.2">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row>
    <row r="116" spans="1:34" s="18" customFormat="1" x14ac:dyDescent="0.2">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row>
    <row r="117" spans="1:34" s="18" customFormat="1" x14ac:dyDescent="0.2">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row>
    <row r="118" spans="1:34" s="18" customFormat="1" x14ac:dyDescent="0.2">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row>
    <row r="119" spans="1:34" s="18" customFormat="1" x14ac:dyDescent="0.2">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row>
    <row r="120" spans="1:34" s="18" customFormat="1" x14ac:dyDescent="0.2">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row>
    <row r="121" spans="1:34" s="18" customFormat="1" x14ac:dyDescent="0.2">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row>
    <row r="122" spans="1:34" s="18" customFormat="1" x14ac:dyDescent="0.2">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row>
    <row r="123" spans="1:34" s="18" customFormat="1" x14ac:dyDescent="0.2">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row>
    <row r="124" spans="1:34" s="18" customFormat="1" x14ac:dyDescent="0.2">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row>
    <row r="125" spans="1:34" s="18" customFormat="1" x14ac:dyDescent="0.2">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row>
    <row r="126" spans="1:34" s="18" customFormat="1" x14ac:dyDescent="0.2">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row>
    <row r="127" spans="1:34" s="412" customFormat="1" x14ac:dyDescent="0.2">
      <c r="A127" s="18"/>
      <c r="B127" s="90" t="s">
        <v>208</v>
      </c>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row>
    <row r="128" spans="1:34" s="412" customFormat="1" x14ac:dyDescent="0.2">
      <c r="A128" s="18"/>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row>
    <row r="129" spans="1:34" s="412" customFormat="1" x14ac:dyDescent="0.2">
      <c r="A129" s="18"/>
      <c r="B129" s="91" t="s">
        <v>99</v>
      </c>
      <c r="C129" s="80"/>
      <c r="D129" s="80"/>
      <c r="E129" s="80">
        <v>1</v>
      </c>
      <c r="F129" s="80">
        <v>2</v>
      </c>
      <c r="G129" s="80">
        <v>3</v>
      </c>
      <c r="H129" s="80">
        <v>4</v>
      </c>
      <c r="I129" s="80">
        <v>5</v>
      </c>
      <c r="J129" s="80">
        <v>6</v>
      </c>
      <c r="K129" s="80">
        <v>7</v>
      </c>
      <c r="L129" s="80">
        <v>8</v>
      </c>
      <c r="M129" s="80">
        <v>9</v>
      </c>
      <c r="N129" s="80">
        <v>10</v>
      </c>
      <c r="O129" s="80">
        <v>11</v>
      </c>
      <c r="P129" s="80">
        <v>12</v>
      </c>
      <c r="Q129" s="80">
        <v>13</v>
      </c>
      <c r="R129" s="80">
        <v>14</v>
      </c>
      <c r="S129" s="80">
        <v>15</v>
      </c>
      <c r="T129" s="80">
        <v>16</v>
      </c>
      <c r="U129" s="80">
        <v>17</v>
      </c>
      <c r="V129" s="80">
        <v>18</v>
      </c>
      <c r="W129" s="80">
        <v>19</v>
      </c>
      <c r="X129" s="80">
        <v>20</v>
      </c>
      <c r="Y129" s="80">
        <v>21</v>
      </c>
      <c r="Z129" s="80">
        <v>22</v>
      </c>
      <c r="AA129" s="80">
        <v>23</v>
      </c>
      <c r="AB129" s="80">
        <v>24</v>
      </c>
      <c r="AC129" s="80">
        <v>25</v>
      </c>
      <c r="AD129" s="80">
        <v>26</v>
      </c>
      <c r="AE129" s="80">
        <v>27</v>
      </c>
      <c r="AF129" s="80">
        <v>28</v>
      </c>
      <c r="AG129" s="80">
        <v>29</v>
      </c>
      <c r="AH129" s="80">
        <v>30</v>
      </c>
    </row>
    <row r="130" spans="1:34" s="412" customFormat="1" x14ac:dyDescent="0.2">
      <c r="A130" s="18"/>
      <c r="B130" s="91" t="s">
        <v>12</v>
      </c>
      <c r="C130" s="80"/>
      <c r="D130" s="80"/>
      <c r="E130" s="92">
        <f>'Assumptions - General'!$E$28</f>
        <v>40179</v>
      </c>
      <c r="F130" s="92">
        <f t="shared" ref="F130:AH130" si="0">E131+1</f>
        <v>40544</v>
      </c>
      <c r="G130" s="92">
        <f t="shared" si="0"/>
        <v>40909</v>
      </c>
      <c r="H130" s="92">
        <f t="shared" si="0"/>
        <v>41275</v>
      </c>
      <c r="I130" s="92">
        <f t="shared" si="0"/>
        <v>41640</v>
      </c>
      <c r="J130" s="92">
        <f t="shared" si="0"/>
        <v>42005</v>
      </c>
      <c r="K130" s="92">
        <f t="shared" si="0"/>
        <v>42370</v>
      </c>
      <c r="L130" s="92">
        <f t="shared" si="0"/>
        <v>42736</v>
      </c>
      <c r="M130" s="92">
        <f t="shared" si="0"/>
        <v>43101</v>
      </c>
      <c r="N130" s="92">
        <f t="shared" si="0"/>
        <v>43466</v>
      </c>
      <c r="O130" s="92">
        <f t="shared" si="0"/>
        <v>43831</v>
      </c>
      <c r="P130" s="92">
        <f t="shared" si="0"/>
        <v>44197</v>
      </c>
      <c r="Q130" s="92">
        <f t="shared" si="0"/>
        <v>44562</v>
      </c>
      <c r="R130" s="92">
        <f t="shared" si="0"/>
        <v>44927</v>
      </c>
      <c r="S130" s="92">
        <f t="shared" si="0"/>
        <v>45292</v>
      </c>
      <c r="T130" s="92">
        <f t="shared" si="0"/>
        <v>45658</v>
      </c>
      <c r="U130" s="92">
        <f t="shared" si="0"/>
        <v>46023</v>
      </c>
      <c r="V130" s="92">
        <f t="shared" si="0"/>
        <v>46388</v>
      </c>
      <c r="W130" s="92">
        <f t="shared" si="0"/>
        <v>46753</v>
      </c>
      <c r="X130" s="92">
        <f t="shared" si="0"/>
        <v>47119</v>
      </c>
      <c r="Y130" s="92">
        <f t="shared" si="0"/>
        <v>47484</v>
      </c>
      <c r="Z130" s="92">
        <f t="shared" si="0"/>
        <v>47849</v>
      </c>
      <c r="AA130" s="92">
        <f t="shared" si="0"/>
        <v>48214</v>
      </c>
      <c r="AB130" s="92">
        <f t="shared" si="0"/>
        <v>48580</v>
      </c>
      <c r="AC130" s="92">
        <f t="shared" si="0"/>
        <v>48945</v>
      </c>
      <c r="AD130" s="92">
        <f t="shared" si="0"/>
        <v>49310</v>
      </c>
      <c r="AE130" s="92">
        <f t="shared" si="0"/>
        <v>49675</v>
      </c>
      <c r="AF130" s="92">
        <f t="shared" si="0"/>
        <v>50041</v>
      </c>
      <c r="AG130" s="92">
        <f t="shared" si="0"/>
        <v>50406</v>
      </c>
      <c r="AH130" s="92">
        <f t="shared" si="0"/>
        <v>50771</v>
      </c>
    </row>
    <row r="131" spans="1:34" s="412" customFormat="1" x14ac:dyDescent="0.2">
      <c r="A131" s="18"/>
      <c r="B131" s="91" t="s">
        <v>13</v>
      </c>
      <c r="C131" s="80"/>
      <c r="D131" s="80"/>
      <c r="E131" s="92">
        <f t="shared" ref="E131:AH131" si="1">DATE(YEAR(E130)+1, MONTH(E130), DAY(E130)-1)</f>
        <v>40543</v>
      </c>
      <c r="F131" s="92">
        <f t="shared" si="1"/>
        <v>40908</v>
      </c>
      <c r="G131" s="92">
        <f t="shared" si="1"/>
        <v>41274</v>
      </c>
      <c r="H131" s="92">
        <f t="shared" si="1"/>
        <v>41639</v>
      </c>
      <c r="I131" s="92">
        <f t="shared" si="1"/>
        <v>42004</v>
      </c>
      <c r="J131" s="92">
        <f t="shared" si="1"/>
        <v>42369</v>
      </c>
      <c r="K131" s="92">
        <f t="shared" si="1"/>
        <v>42735</v>
      </c>
      <c r="L131" s="92">
        <f t="shared" si="1"/>
        <v>43100</v>
      </c>
      <c r="M131" s="92">
        <f t="shared" si="1"/>
        <v>43465</v>
      </c>
      <c r="N131" s="92">
        <f t="shared" si="1"/>
        <v>43830</v>
      </c>
      <c r="O131" s="92">
        <f t="shared" si="1"/>
        <v>44196</v>
      </c>
      <c r="P131" s="92">
        <f t="shared" si="1"/>
        <v>44561</v>
      </c>
      <c r="Q131" s="92">
        <f t="shared" si="1"/>
        <v>44926</v>
      </c>
      <c r="R131" s="92">
        <f t="shared" si="1"/>
        <v>45291</v>
      </c>
      <c r="S131" s="92">
        <f t="shared" si="1"/>
        <v>45657</v>
      </c>
      <c r="T131" s="92">
        <f t="shared" si="1"/>
        <v>46022</v>
      </c>
      <c r="U131" s="92">
        <f t="shared" si="1"/>
        <v>46387</v>
      </c>
      <c r="V131" s="92">
        <f t="shared" si="1"/>
        <v>46752</v>
      </c>
      <c r="W131" s="92">
        <f t="shared" si="1"/>
        <v>47118</v>
      </c>
      <c r="X131" s="92">
        <f t="shared" si="1"/>
        <v>47483</v>
      </c>
      <c r="Y131" s="92">
        <f t="shared" si="1"/>
        <v>47848</v>
      </c>
      <c r="Z131" s="92">
        <f t="shared" si="1"/>
        <v>48213</v>
      </c>
      <c r="AA131" s="92">
        <f t="shared" si="1"/>
        <v>48579</v>
      </c>
      <c r="AB131" s="92">
        <f t="shared" si="1"/>
        <v>48944</v>
      </c>
      <c r="AC131" s="92">
        <f t="shared" si="1"/>
        <v>49309</v>
      </c>
      <c r="AD131" s="92">
        <f t="shared" si="1"/>
        <v>49674</v>
      </c>
      <c r="AE131" s="92">
        <f t="shared" si="1"/>
        <v>50040</v>
      </c>
      <c r="AF131" s="92">
        <f t="shared" si="1"/>
        <v>50405</v>
      </c>
      <c r="AG131" s="92">
        <f t="shared" si="1"/>
        <v>50770</v>
      </c>
      <c r="AH131" s="92">
        <f t="shared" si="1"/>
        <v>51135</v>
      </c>
    </row>
    <row r="132" spans="1:34" s="20" customFormat="1" x14ac:dyDescent="0.2">
      <c r="A132" s="18"/>
      <c r="B132" s="7" t="s">
        <v>226</v>
      </c>
      <c r="C132" s="8"/>
      <c r="D132" s="8"/>
      <c r="E132" s="29">
        <f>IF(Calculations!E$17=1,1,IF(Calculations!E$18=1,1,IF(Calculations!E$19=1,1,IF(Calculations!E$20=1,1,0))))</f>
        <v>1</v>
      </c>
      <c r="F132" s="29">
        <f>IF(Calculations!F$17=1,1,IF(Calculations!F$18=1,1,IF(Calculations!F$19=1,1,IF(Calculations!F$20=1,1,0))))</f>
        <v>1</v>
      </c>
      <c r="G132" s="29">
        <f>IF(Calculations!G$17=1,1,IF(Calculations!G$18=1,1,IF(Calculations!G$19=1,1,IF(Calculations!G$20=1,1,0))))</f>
        <v>1</v>
      </c>
      <c r="H132" s="29">
        <f>IF(Calculations!H$17=1,1,IF(Calculations!H$18=1,1,IF(Calculations!H$19=1,1,IF(Calculations!H$20=1,1,0))))</f>
        <v>1</v>
      </c>
      <c r="I132" s="29">
        <f>IF(Calculations!I$17=1,1,IF(Calculations!I$18=1,1,IF(Calculations!I$19=1,1,IF(Calculations!I$20=1,1,0))))</f>
        <v>1</v>
      </c>
      <c r="J132" s="29">
        <f>IF(Calculations!J$17=1,1,IF(Calculations!J$18=1,1,IF(Calculations!J$19=1,1,IF(Calculations!J$20=1,1,0))))</f>
        <v>1</v>
      </c>
      <c r="K132" s="29">
        <f>IF(Calculations!K$17=1,1,IF(Calculations!K$18=1,1,IF(Calculations!K$19=1,1,IF(Calculations!K$20=1,1,0))))</f>
        <v>1</v>
      </c>
      <c r="L132" s="29">
        <f>IF(Calculations!L$17=1,1,IF(Calculations!L$18=1,1,IF(Calculations!L$19=1,1,IF(Calculations!L$20=1,1,0))))</f>
        <v>1</v>
      </c>
      <c r="M132" s="29">
        <f>IF(Calculations!M$17=1,1,IF(Calculations!M$18=1,1,IF(Calculations!M$19=1,1,IF(Calculations!M$20=1,1,0))))</f>
        <v>1</v>
      </c>
      <c r="N132" s="29">
        <f>IF(Calculations!N$17=1,1,IF(Calculations!N$18=1,1,IF(Calculations!N$19=1,1,IF(Calculations!N$20=1,1,0))))</f>
        <v>1</v>
      </c>
      <c r="O132" s="29">
        <f>IF(Calculations!O$17=1,1,IF(Calculations!O$18=1,1,IF(Calculations!O$19=1,1,IF(Calculations!O$20=1,1,0))))</f>
        <v>1</v>
      </c>
      <c r="P132" s="29">
        <f>IF(Calculations!P$17=1,1,IF(Calculations!P$18=1,1,IF(Calculations!P$19=1,1,IF(Calculations!P$20=1,1,0))))</f>
        <v>1</v>
      </c>
      <c r="Q132" s="29">
        <f>IF(Calculations!Q$17=1,1,IF(Calculations!Q$18=1,1,IF(Calculations!Q$19=1,1,IF(Calculations!Q$20=1,1,0))))</f>
        <v>1</v>
      </c>
      <c r="R132" s="29">
        <f>IF(Calculations!R$17=1,1,IF(Calculations!R$18=1,1,IF(Calculations!R$19=1,1,IF(Calculations!R$20=1,1,0))))</f>
        <v>1</v>
      </c>
      <c r="S132" s="29">
        <f>IF(Calculations!S$17=1,1,IF(Calculations!S$18=1,1,IF(Calculations!S$19=1,1,IF(Calculations!S$20=1,1,0))))</f>
        <v>1</v>
      </c>
      <c r="T132" s="29">
        <f>IF(Calculations!T$17=1,1,IF(Calculations!T$18=1,1,IF(Calculations!T$19=1,1,IF(Calculations!T$20=1,1,0))))</f>
        <v>1</v>
      </c>
      <c r="U132" s="29">
        <f>IF(Calculations!U$17=1,1,IF(Calculations!U$18=1,1,IF(Calculations!U$19=1,1,IF(Calculations!U$20=1,1,0))))</f>
        <v>1</v>
      </c>
      <c r="V132" s="29">
        <f>IF(Calculations!V$17=1,1,IF(Calculations!V$18=1,1,IF(Calculations!V$19=1,1,IF(Calculations!V$20=1,1,0))))</f>
        <v>1</v>
      </c>
      <c r="W132" s="29">
        <f>IF(Calculations!W$17=1,1,IF(Calculations!W$18=1,1,IF(Calculations!W$19=1,1,IF(Calculations!W$20=1,1,0))))</f>
        <v>1</v>
      </c>
      <c r="X132" s="29">
        <f>IF(Calculations!X$17=1,1,IF(Calculations!X$18=1,1,IF(Calculations!X$19=1,1,IF(Calculations!X$20=1,1,0))))</f>
        <v>1</v>
      </c>
      <c r="Y132" s="29">
        <f>IF(Calculations!Y$17=1,1,IF(Calculations!Y$18=1,1,IF(Calculations!Y$19=1,1,IF(Calculations!Y$20=1,1,0))))</f>
        <v>1</v>
      </c>
      <c r="Z132" s="29">
        <f>IF(Calculations!Z$17=1,1,IF(Calculations!Z$18=1,1,IF(Calculations!Z$19=1,1,IF(Calculations!Z$20=1,1,0))))</f>
        <v>1</v>
      </c>
      <c r="AA132" s="29">
        <f>IF(Calculations!AA$17=1,1,IF(Calculations!AA$18=1,1,IF(Calculations!AA$19=1,1,IF(Calculations!AA$20=1,1,0))))</f>
        <v>1</v>
      </c>
      <c r="AB132" s="29">
        <f>IF(Calculations!AB$17=1,1,IF(Calculations!AB$18=1,1,IF(Calculations!AB$19=1,1,IF(Calculations!AB$20=1,1,0))))</f>
        <v>1</v>
      </c>
      <c r="AC132" s="29">
        <f>IF(Calculations!AC$17=1,1,IF(Calculations!AC$18=1,1,IF(Calculations!AC$19=1,1,IF(Calculations!AC$20=1,1,0))))</f>
        <v>1</v>
      </c>
      <c r="AD132" s="29">
        <f>IF(Calculations!AD$17=1,1,IF(Calculations!AD$18=1,1,IF(Calculations!AD$19=1,1,IF(Calculations!AD$20=1,1,0))))</f>
        <v>1</v>
      </c>
      <c r="AE132" s="29">
        <f>IF(Calculations!AE$17=1,1,IF(Calculations!AE$18=1,1,IF(Calculations!AE$19=1,1,IF(Calculations!AE$20=1,1,0))))</f>
        <v>1</v>
      </c>
      <c r="AF132" s="29">
        <f>IF(Calculations!AF$17=1,1,IF(Calculations!AF$18=1,1,IF(Calculations!AF$19=1,1,IF(Calculations!AF$20=1,1,0))))</f>
        <v>1</v>
      </c>
      <c r="AG132" s="29">
        <f>IF(Calculations!AG$17=1,1,IF(Calculations!AG$18=1,1,IF(Calculations!AG$19=1,1,IF(Calculations!AG$20=1,1,0))))</f>
        <v>1</v>
      </c>
      <c r="AH132" s="29">
        <f>IF(Calculations!AH$17=1,1,IF(Calculations!AH$18=1,1,IF(Calculations!AH$19=1,1,IF(Calculations!AH$20=1,1,0))))</f>
        <v>1</v>
      </c>
    </row>
    <row r="133" spans="1:34" s="20" customFormat="1" x14ac:dyDescent="0.2">
      <c r="A133" s="18"/>
      <c r="B133" s="7"/>
      <c r="C133" s="8"/>
      <c r="D133" s="8"/>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row>
    <row r="134" spans="1:34" s="412" customFormat="1" x14ac:dyDescent="0.2">
      <c r="A134" s="18"/>
      <c r="B134" s="91"/>
      <c r="C134" s="80"/>
      <c r="D134" s="80"/>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row>
    <row r="135" spans="1:34" s="412" customFormat="1" x14ac:dyDescent="0.2">
      <c r="A135" s="18"/>
      <c r="B135" s="80" t="s">
        <v>307</v>
      </c>
      <c r="C135" s="80"/>
      <c r="D135" s="80"/>
      <c r="E135" s="92" t="str">
        <f>Calculations!D310</f>
        <v>R$ millions</v>
      </c>
      <c r="F135" s="92"/>
      <c r="G135" s="92"/>
      <c r="H135" s="92"/>
      <c r="I135" s="92"/>
      <c r="J135" s="92"/>
      <c r="K135" s="92"/>
      <c r="L135" s="92"/>
      <c r="M135" s="92"/>
      <c r="N135" s="144"/>
      <c r="O135" s="92"/>
      <c r="P135" s="92"/>
      <c r="Q135" s="92"/>
      <c r="R135" s="92"/>
      <c r="S135" s="92"/>
      <c r="T135" s="92"/>
      <c r="U135" s="92"/>
      <c r="V135" s="92"/>
      <c r="W135" s="92"/>
      <c r="X135" s="92"/>
      <c r="Y135" s="92"/>
      <c r="Z135" s="92"/>
      <c r="AA135" s="92"/>
      <c r="AB135" s="92"/>
      <c r="AC135" s="92"/>
      <c r="AD135" s="92"/>
      <c r="AE135" s="92"/>
      <c r="AF135" s="92"/>
      <c r="AG135" s="92"/>
      <c r="AH135" s="92"/>
    </row>
    <row r="136" spans="1:34" s="412" customFormat="1" x14ac:dyDescent="0.2">
      <c r="A136" s="18"/>
      <c r="B136" s="91"/>
      <c r="C136" s="80"/>
      <c r="D136" s="80"/>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row>
    <row r="137" spans="1:34" s="412" customFormat="1" x14ac:dyDescent="0.2">
      <c r="A137" s="18"/>
      <c r="B137" s="90" t="s">
        <v>199</v>
      </c>
      <c r="C137" s="80"/>
      <c r="D137" s="80"/>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row>
    <row r="138" spans="1:34" s="412" customFormat="1" x14ac:dyDescent="0.2">
      <c r="A138" s="18"/>
      <c r="B138" s="91"/>
      <c r="C138" s="80"/>
      <c r="D138" s="80"/>
      <c r="E138" s="93">
        <f>IF(SUM(Calculations!E16:E21)&gt;=1,YEAR(E131)," ")</f>
        <v>2010</v>
      </c>
      <c r="F138" s="93">
        <f>IF(SUM(Calculations!F16:F21)&gt;=1,YEAR(F131)," ")</f>
        <v>2011</v>
      </c>
      <c r="G138" s="93">
        <f>IF(SUM(Calculations!G16:G21)&gt;=1,YEAR(G131)," ")</f>
        <v>2012</v>
      </c>
      <c r="H138" s="93">
        <f>IF(SUM(Calculations!H16:H21)&gt;=1,YEAR(H131)," ")</f>
        <v>2013</v>
      </c>
      <c r="I138" s="93">
        <f>IF(SUM(Calculations!I16:I21)&gt;=1,YEAR(I131)," ")</f>
        <v>2014</v>
      </c>
      <c r="J138" s="93">
        <f>IF(SUM(Calculations!J16:J21)&gt;=1,YEAR(J131)," ")</f>
        <v>2015</v>
      </c>
      <c r="K138" s="93">
        <f>IF(SUM(Calculations!K16:K21)&gt;=1,YEAR(K131)," ")</f>
        <v>2016</v>
      </c>
      <c r="L138" s="93">
        <f>IF(SUM(Calculations!L16:L21)&gt;=1,YEAR(L131)," ")</f>
        <v>2017</v>
      </c>
      <c r="M138" s="93">
        <f>IF(SUM(Calculations!M16:M21)&gt;=1,YEAR(M131)," ")</f>
        <v>2018</v>
      </c>
      <c r="N138" s="93">
        <f>IF(SUM(Calculations!N16:N21)&gt;=1,YEAR(N131)," ")</f>
        <v>2019</v>
      </c>
      <c r="O138" s="93">
        <f>IF(SUM(Calculations!O16:O21)&gt;=1,YEAR(O131)," ")</f>
        <v>2020</v>
      </c>
      <c r="P138" s="93">
        <f>IF(SUM(Calculations!P16:P21)&gt;=1,YEAR(P131)," ")</f>
        <v>2021</v>
      </c>
      <c r="Q138" s="93">
        <f>IF(SUM(Calculations!Q16:Q21)&gt;=1,YEAR(Q131)," ")</f>
        <v>2022</v>
      </c>
      <c r="R138" s="93">
        <f>IF(SUM(Calculations!R16:R21)&gt;=1,YEAR(R131)," ")</f>
        <v>2023</v>
      </c>
      <c r="S138" s="93">
        <f>IF(SUM(Calculations!S16:S21)&gt;=1,YEAR(S131)," ")</f>
        <v>2024</v>
      </c>
      <c r="T138" s="93">
        <f>IF(SUM(Calculations!T16:T21)&gt;=1,YEAR(T131)," ")</f>
        <v>2025</v>
      </c>
      <c r="U138" s="93">
        <f>IF(SUM(Calculations!U16:U21)&gt;=1,YEAR(U131)," ")</f>
        <v>2026</v>
      </c>
      <c r="V138" s="93">
        <f>IF(SUM(Calculations!V16:V21)&gt;=1,YEAR(V131)," ")</f>
        <v>2027</v>
      </c>
      <c r="W138" s="93">
        <f>IF(SUM(Calculations!W16:W21)&gt;=1,YEAR(W131)," ")</f>
        <v>2028</v>
      </c>
      <c r="X138" s="93">
        <f>IF(SUM(Calculations!X16:X21)&gt;=1,YEAR(X131)," ")</f>
        <v>2029</v>
      </c>
      <c r="Y138" s="93">
        <f>IF(SUM(Calculations!Y16:Y21)&gt;=1,YEAR(Y131)," ")</f>
        <v>2030</v>
      </c>
      <c r="Z138" s="93">
        <f>IF(SUM(Calculations!Z16:Z21)&gt;=1,YEAR(Z131)," ")</f>
        <v>2031</v>
      </c>
      <c r="AA138" s="93">
        <f>IF(SUM(Calculations!AA16:AA21)&gt;=1,YEAR(AA131)," ")</f>
        <v>2032</v>
      </c>
      <c r="AB138" s="93">
        <f>IF(SUM(Calculations!AB16:AB21)&gt;=1,YEAR(AB131)," ")</f>
        <v>2033</v>
      </c>
      <c r="AC138" s="93">
        <f>IF(SUM(Calculations!AC16:AC21)&gt;=1,YEAR(AC131)," ")</f>
        <v>2034</v>
      </c>
      <c r="AD138" s="93">
        <f>IF(SUM(Calculations!AD16:AD21)&gt;=1,YEAR(AD131)," ")</f>
        <v>2035</v>
      </c>
      <c r="AE138" s="93">
        <f>IF(SUM(Calculations!AE16:AE21)&gt;=1,YEAR(AE131)," ")</f>
        <v>2036</v>
      </c>
      <c r="AF138" s="93">
        <f>IF(SUM(Calculations!AF16:AF21)&gt;=1,YEAR(AF131)," ")</f>
        <v>2037</v>
      </c>
      <c r="AG138" s="93">
        <f>IF(SUM(Calculations!AG16:AG21)&gt;=1,YEAR(AG131)," ")</f>
        <v>2038</v>
      </c>
      <c r="AH138" s="93">
        <f>IF(SUM(Calculations!AH16:AH21)&gt;=1,YEAR(AH131)," ")</f>
        <v>2039</v>
      </c>
    </row>
    <row r="139" spans="1:34" s="412" customFormat="1" x14ac:dyDescent="0.2">
      <c r="A139" s="18"/>
      <c r="B139" s="80" t="s">
        <v>181</v>
      </c>
      <c r="C139" s="80"/>
      <c r="D139" s="80"/>
      <c r="E139" s="94">
        <f>IF(E132=1,'Income statement'!E103,0)</f>
        <v>24512</v>
      </c>
      <c r="F139" s="94">
        <f>IF(F132=1,'Income statement'!F103,0)</f>
        <v>26776.924713958808</v>
      </c>
      <c r="G139" s="94">
        <f>IF(G132=1,'Income statement'!G103,0)</f>
        <v>27566.26488385785</v>
      </c>
      <c r="H139" s="94">
        <f>IF(H132=1,'Income statement'!H103,0)</f>
        <v>30017.618080946355</v>
      </c>
      <c r="I139" s="94">
        <f>IF(I132=1,'Income statement'!I103,0)</f>
        <v>34279.949024389927</v>
      </c>
      <c r="J139" s="94">
        <f>IF(J132=1,'Income statement'!J103," ")</f>
        <v>37032.53579802921</v>
      </c>
      <c r="K139" s="94">
        <f>IF(K132=1,'Income statement'!K103," ")</f>
        <v>39919.86872866359</v>
      </c>
      <c r="L139" s="94">
        <f>IF(L132=1,'Income statement'!L103," ")</f>
        <v>42947.555221003211</v>
      </c>
      <c r="M139" s="94">
        <f>IF(M132=1,'Income statement'!M103," ")</f>
        <v>46121.417852499559</v>
      </c>
      <c r="N139" s="94">
        <f>IF(N132=1,'Income statement'!N103," ")</f>
        <v>49447.511898881392</v>
      </c>
      <c r="O139" s="94">
        <f>IF(O132=1,'Income statement'!O103," ")</f>
        <v>52932.085166842822</v>
      </c>
      <c r="P139" s="94">
        <f>IF(P132=1,'Income statement'!P103," ")</f>
        <v>56581.692703882596</v>
      </c>
      <c r="Q139" s="94">
        <f>IF(Q132=1,'Income statement'!Q103," ")</f>
        <v>60403.079921803474</v>
      </c>
      <c r="R139" s="94">
        <f>IF(R132=1,'Income statement'!R103," ")</f>
        <v>64403.26892675741</v>
      </c>
      <c r="S139" s="94">
        <f>IF(S132=1,'Income statement'!S103," ")</f>
        <v>68589.548549552623</v>
      </c>
      <c r="T139" s="94">
        <f>IF(T132=1,'Income statement'!T103," ")</f>
        <v>72969.484029237487</v>
      </c>
      <c r="U139" s="94">
        <f>IF(U132=1,'Income statement'!U103," ")</f>
        <v>77550.9270376473</v>
      </c>
      <c r="V139" s="94">
        <f>IF(V132=1,'Income statement'!V103," ")</f>
        <v>82342.026056656177</v>
      </c>
      <c r="W139" s="94">
        <f>IF(W132=1,'Income statement'!W103," ")</f>
        <v>87351.237120274876</v>
      </c>
      <c r="X139" s="94">
        <f>IF(X132=1,'Income statement'!X103," ")</f>
        <v>92587.19966844481</v>
      </c>
      <c r="Y139" s="94">
        <f>IF(Y132=1,'Income statement'!Y103," ")</f>
        <v>98058.577363466902</v>
      </c>
      <c r="Z139" s="94">
        <f>IF(Z132=1,'Income statement'!Z103," ")</f>
        <v>103776.10431871914</v>
      </c>
      <c r="AA139" s="94">
        <f>IF(AA132=1,'Income statement'!AA103," ")</f>
        <v>109748.87054206799</v>
      </c>
      <c r="AB139" s="94">
        <f>IF(AB132=1,'Income statement'!AB103," ")</f>
        <v>115987.04459601869</v>
      </c>
      <c r="AC139" s="94">
        <f>IF(AC132=1,'Income statement'!AC103," ")</f>
        <v>122501.07173193288</v>
      </c>
      <c r="AD139" s="94">
        <f>IF(AD132=1,'Income statement'!AD103," ")</f>
        <v>129302.09723360164</v>
      </c>
      <c r="AE139" s="94">
        <f>IF(AE132=1,'Income statement'!AE103," ")</f>
        <v>136401.37348583053</v>
      </c>
      <c r="AF139" s="94">
        <f>IF(AF132=1,'Income statement'!AF103," ")</f>
        <v>143810.6746003149</v>
      </c>
      <c r="AG139" s="94">
        <f>IF(AG132=1,'Income statement'!AG103," ")</f>
        <v>151542.21271132951</v>
      </c>
      <c r="AH139" s="94">
        <f>IF(AH132=1,'Income statement'!AH103," ")</f>
        <v>159608.6536601354</v>
      </c>
    </row>
    <row r="140" spans="1:34" s="412" customFormat="1" x14ac:dyDescent="0.2">
      <c r="A140" s="18"/>
      <c r="B140" s="80" t="s">
        <v>182</v>
      </c>
      <c r="C140" s="80"/>
      <c r="D140" s="80"/>
      <c r="E140" s="94">
        <f>IF(E132=1,'Income statement'!E113+'Income statement'!E120,0)</f>
        <v>11420</v>
      </c>
      <c r="F140" s="94">
        <f>IF(F132=1,'Income statement'!F113+'Income statement'!F120,0)</f>
        <v>12332.181064073227</v>
      </c>
      <c r="G140" s="94">
        <f>IF(G132=1,'Income statement'!G113+'Income statement'!G120,0)</f>
        <v>12713.684726210007</v>
      </c>
      <c r="H140" s="94">
        <f>IF(H132=1,'Income statement'!H113+'Income statement'!H120,0)</f>
        <v>13714.138266374508</v>
      </c>
      <c r="I140" s="94">
        <f>IF(I132=1,'Income statement'!I113+'Income statement'!I120,0)</f>
        <v>15395.968092789008</v>
      </c>
      <c r="J140" s="94">
        <f>IF(J132=1,'Income statement'!J113+'Income statement'!J120," ")</f>
        <v>16513.971275834763</v>
      </c>
      <c r="K140" s="94">
        <f>IF(K132=1,'Income statement'!K113+'Income statement'!K120," ")</f>
        <v>17684.901510670763</v>
      </c>
      <c r="L140" s="94">
        <f>IF(L132=1,'Income statement'!L113+'Income statement'!L120," ")</f>
        <v>18910.933491350843</v>
      </c>
      <c r="M140" s="94">
        <f>IF(M132=1,'Income statement'!M113+'Income statement'!M120," ")</f>
        <v>20194.324759225416</v>
      </c>
      <c r="N140" s="94">
        <f>IF(N132=1,'Income statement'!N113+'Income statement'!N120," ")</f>
        <v>21537.636107859071</v>
      </c>
      <c r="O140" s="94">
        <f>IF(O132=1,'Income statement'!O113+'Income statement'!O120," ")</f>
        <v>22942.647746376093</v>
      </c>
      <c r="P140" s="94">
        <f>IF(P132=1,'Income statement'!P113+'Income statement'!P120," ")</f>
        <v>24412.753833592946</v>
      </c>
      <c r="Q140" s="94">
        <f>IF(Q132=1,'Income statement'!Q113+'Income statement'!Q120," ")</f>
        <v>25950.139734550718</v>
      </c>
      <c r="R140" s="94">
        <f>IF(R132=1,'Income statement'!R113+'Income statement'!R120," ")</f>
        <v>27557.524612058682</v>
      </c>
      <c r="S140" s="94">
        <f>IF(S132=1,'Income statement'!S113+'Income statement'!S120," ")</f>
        <v>29237.730226862317</v>
      </c>
      <c r="T140" s="94">
        <f>IF(T132=1,'Income statement'!T113+'Income statement'!T120," ")</f>
        <v>30993.684646272926</v>
      </c>
      <c r="U140" s="94">
        <f>IF(U132=1,'Income statement'!U113+'Income statement'!U120," ")</f>
        <v>32828.426082976919</v>
      </c>
      <c r="V140" s="94">
        <f>IF(V132=1,'Income statement'!V113+'Income statement'!V120," ")</f>
        <v>34745.106868497758</v>
      </c>
      <c r="W140" s="94">
        <f>IF(W132=1,'Income statement'!W113+'Income statement'!W120," ")</f>
        <v>36746.997565934747</v>
      </c>
      <c r="X140" s="94">
        <f>IF(X132=1,'Income statement'!X113+'Income statement'!X120," ")</f>
        <v>38834.447748498344</v>
      </c>
      <c r="Y140" s="94">
        <f>IF(Y132=1,'Income statement'!Y113+'Income statement'!Y120," ")</f>
        <v>41001.197667513698</v>
      </c>
      <c r="Z140" s="94">
        <f>IF(Z132=1,'Income statement'!Z113+'Income statement'!Z120," ")</f>
        <v>43279.820293434881</v>
      </c>
      <c r="AA140" s="94">
        <f>IF(AA132=1,'Income statement'!AA113+'Income statement'!AA120," ")</f>
        <v>45658.004801167233</v>
      </c>
      <c r="AB140" s="94">
        <f>IF(AB132=1,'Income statement'!AB113+'Income statement'!AB120," ")</f>
        <v>48139.679821291968</v>
      </c>
      <c r="AC140" s="94">
        <f>IF(AC132=1,'Income statement'!AC113+'Income statement'!AC120," ")</f>
        <v>50726.690179634141</v>
      </c>
      <c r="AD140" s="94">
        <f>IF(AD132=1,'Income statement'!AD113+'Income statement'!AD120," ")</f>
        <v>53427.721795813428</v>
      </c>
      <c r="AE140" s="94">
        <f>IF(AE132=1,'Income statement'!AE113+'Income statement'!AE120," ")</f>
        <v>56244.927595176974</v>
      </c>
      <c r="AF140" s="94">
        <f>IF(AF132=1,'Income statement'!AF113+'Income statement'!AF120," ")</f>
        <v>59182.8527782971</v>
      </c>
      <c r="AG140" s="94">
        <f>IF(AG132=1,'Income statement'!AG113+'Income statement'!AG120," ")</f>
        <v>62246.210701015756</v>
      </c>
      <c r="AH140" s="94">
        <f>IF(AH132=1,'Income statement'!AH113+'Income statement'!AH120," ")</f>
        <v>65439.888873079959</v>
      </c>
    </row>
    <row r="141" spans="1:34" s="412" customFormat="1" x14ac:dyDescent="0.2">
      <c r="A141" s="18"/>
      <c r="B141" s="80" t="s">
        <v>177</v>
      </c>
      <c r="C141" s="80"/>
      <c r="D141" s="80"/>
      <c r="E141" s="95">
        <f>IF(AND(E132=1,E139&lt;&gt;0),(E139-E140)/E139,0)</f>
        <v>0.53410574412532641</v>
      </c>
      <c r="F141" s="95">
        <f t="shared" ref="F141:I141" si="2">IF(AND(F132=1,F139&lt;&gt;0),(F139-F140)/F139,0)</f>
        <v>0.53944744604504702</v>
      </c>
      <c r="G141" s="95">
        <f t="shared" si="2"/>
        <v>0.53879552490062443</v>
      </c>
      <c r="H141" s="95">
        <f t="shared" si="2"/>
        <v>0.54313036332887654</v>
      </c>
      <c r="I141" s="95">
        <f t="shared" si="2"/>
        <v>0.55087540877511543</v>
      </c>
      <c r="J141" s="95">
        <f>IF(AND(J132=1,J139&lt;&gt;0),(J139-J140)/J139," ")</f>
        <v>0.55406857996708936</v>
      </c>
      <c r="K141" s="95">
        <f t="shared" ref="K141:AH141" si="3">IF(AND(K132=1,K139&lt;&gt;0),(K139-K140)/K139," ")</f>
        <v>0.55698998834701818</v>
      </c>
      <c r="L141" s="95">
        <f t="shared" si="3"/>
        <v>0.55967380694809421</v>
      </c>
      <c r="M141" s="95">
        <f t="shared" si="3"/>
        <v>0.56214865675186565</v>
      </c>
      <c r="N141" s="95">
        <f t="shared" si="3"/>
        <v>0.56443438141229718</v>
      </c>
      <c r="O141" s="95">
        <f t="shared" si="3"/>
        <v>0.5665644443429636</v>
      </c>
      <c r="P141" s="95">
        <f t="shared" si="3"/>
        <v>0.56853970485902838</v>
      </c>
      <c r="Q141" s="95">
        <f t="shared" si="3"/>
        <v>0.57038383194788722</v>
      </c>
      <c r="R141" s="95">
        <f t="shared" si="3"/>
        <v>0.57210984673156162</v>
      </c>
      <c r="S141" s="95">
        <f t="shared" si="3"/>
        <v>0.57372907614722857</v>
      </c>
      <c r="T141" s="95">
        <f t="shared" si="3"/>
        <v>0.57525142107549576</v>
      </c>
      <c r="U141" s="95">
        <f t="shared" si="3"/>
        <v>0.57668557505392204</v>
      </c>
      <c r="V141" s="95">
        <f t="shared" si="3"/>
        <v>0.57803920388610464</v>
      </c>
      <c r="W141" s="95">
        <f t="shared" si="3"/>
        <v>0.57931909406918414</v>
      </c>
      <c r="X141" s="95">
        <f t="shared" si="3"/>
        <v>0.58056353483457024</v>
      </c>
      <c r="Y141" s="95">
        <f t="shared" si="3"/>
        <v>0.58187035984075708</v>
      </c>
      <c r="Z141" s="95">
        <f t="shared" si="3"/>
        <v>0.58295003866677175</v>
      </c>
      <c r="AA141" s="95">
        <f t="shared" si="3"/>
        <v>0.58397745165253434</v>
      </c>
      <c r="AB141" s="95">
        <f t="shared" si="3"/>
        <v>0.58495640621793732</v>
      </c>
      <c r="AC141" s="95">
        <f t="shared" si="3"/>
        <v>0.58590819278186779</v>
      </c>
      <c r="AD141" s="95">
        <f t="shared" si="3"/>
        <v>0.58679926359362089</v>
      </c>
      <c r="AE141" s="95">
        <f t="shared" si="3"/>
        <v>0.58765131055648989</v>
      </c>
      <c r="AF141" s="95">
        <f t="shared" si="3"/>
        <v>0.58846689967361088</v>
      </c>
      <c r="AG141" s="95">
        <f t="shared" si="3"/>
        <v>0.58924837121398232</v>
      </c>
      <c r="AH141" s="95">
        <f t="shared" si="3"/>
        <v>0.58999786432366519</v>
      </c>
    </row>
    <row r="142" spans="1:34" s="412" customFormat="1" x14ac:dyDescent="0.2">
      <c r="A142" s="18"/>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row>
    <row r="143" spans="1:34" s="412" customFormat="1" x14ac:dyDescent="0.2">
      <c r="A143" s="18"/>
      <c r="B143" s="90" t="s">
        <v>296</v>
      </c>
      <c r="C143" s="80"/>
      <c r="D143" s="80"/>
      <c r="E143" s="80" t="s">
        <v>305</v>
      </c>
      <c r="F143" s="80" t="s">
        <v>286</v>
      </c>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row>
    <row r="144" spans="1:34" s="412" customFormat="1" x14ac:dyDescent="0.2">
      <c r="A144" s="18"/>
      <c r="B144" s="80"/>
      <c r="C144" s="80"/>
      <c r="D144" s="80"/>
      <c r="E144" s="93">
        <f>YEAR('Charts - Freight'!E$131)</f>
        <v>2010</v>
      </c>
      <c r="F144" s="93">
        <f>YEAR('Charts - Freight'!F$131)</f>
        <v>2011</v>
      </c>
      <c r="G144" s="93">
        <f>YEAR('Charts - Freight'!G$131)</f>
        <v>2012</v>
      </c>
      <c r="H144" s="93">
        <f>YEAR('Charts - Freight'!H$131)</f>
        <v>2013</v>
      </c>
      <c r="I144" s="93">
        <f>YEAR('Charts - Freight'!I$131)</f>
        <v>2014</v>
      </c>
      <c r="J144" s="93">
        <f>YEAR('Charts - Freight'!J$131)</f>
        <v>2015</v>
      </c>
      <c r="K144" s="93">
        <f>YEAR('Charts - Freight'!K$131)</f>
        <v>2016</v>
      </c>
      <c r="L144" s="93">
        <f>YEAR('Charts - Freight'!L$131)</f>
        <v>2017</v>
      </c>
      <c r="M144" s="93">
        <f>YEAR('Charts - Freight'!M$131)</f>
        <v>2018</v>
      </c>
      <c r="N144" s="93">
        <f>YEAR('Charts - Freight'!N$131)</f>
        <v>2019</v>
      </c>
      <c r="O144" s="93">
        <f>YEAR('Charts - Freight'!O$131)</f>
        <v>2020</v>
      </c>
      <c r="P144" s="93">
        <f>YEAR('Charts - Freight'!P$131)</f>
        <v>2021</v>
      </c>
      <c r="Q144" s="93">
        <f>YEAR('Charts - Freight'!Q$131)</f>
        <v>2022</v>
      </c>
      <c r="R144" s="93">
        <f>YEAR('Charts - Freight'!R$131)</f>
        <v>2023</v>
      </c>
      <c r="S144" s="93">
        <f>YEAR('Charts - Freight'!S$131)</f>
        <v>2024</v>
      </c>
      <c r="T144" s="93">
        <f>YEAR('Charts - Freight'!T$131)</f>
        <v>2025</v>
      </c>
      <c r="U144" s="93">
        <f>YEAR('Charts - Freight'!U$131)</f>
        <v>2026</v>
      </c>
      <c r="V144" s="93">
        <f>YEAR('Charts - Freight'!V$131)</f>
        <v>2027</v>
      </c>
      <c r="W144" s="93">
        <f>YEAR('Charts - Freight'!W$131)</f>
        <v>2028</v>
      </c>
      <c r="X144" s="93">
        <f>YEAR('Charts - Freight'!X$131)</f>
        <v>2029</v>
      </c>
      <c r="Y144" s="93">
        <f>YEAR('Charts - Freight'!Y$131)</f>
        <v>2030</v>
      </c>
      <c r="Z144" s="93">
        <f>YEAR('Charts - Freight'!Z$131)</f>
        <v>2031</v>
      </c>
      <c r="AA144" s="93">
        <f>YEAR('Charts - Freight'!AA$131)</f>
        <v>2032</v>
      </c>
      <c r="AB144" s="93">
        <f>YEAR('Charts - Freight'!AB$131)</f>
        <v>2033</v>
      </c>
      <c r="AC144" s="93">
        <f>YEAR('Charts - Freight'!AC$131)</f>
        <v>2034</v>
      </c>
      <c r="AD144" s="93">
        <f>YEAR('Charts - Freight'!AD$131)</f>
        <v>2035</v>
      </c>
      <c r="AE144" s="93">
        <f>YEAR('Charts - Freight'!AE$131)</f>
        <v>2036</v>
      </c>
      <c r="AF144" s="93">
        <f>YEAR('Charts - Freight'!AF$131)</f>
        <v>2037</v>
      </c>
      <c r="AG144" s="93">
        <f>YEAR('Charts - Freight'!AG$131)</f>
        <v>2038</v>
      </c>
      <c r="AH144" s="93">
        <f>YEAR('Charts - Freight'!AH$131)</f>
        <v>2039</v>
      </c>
    </row>
    <row r="145" spans="1:34" s="412" customFormat="1" x14ac:dyDescent="0.2">
      <c r="A145" s="18"/>
      <c r="B145" s="80" t="str">
        <f>'Assumptions - Passenger'!B136</f>
        <v>Domestic passenger</v>
      </c>
      <c r="C145" s="80"/>
      <c r="D145" s="80"/>
      <c r="E145" s="94">
        <f>IF(OR(Calculations!E$17=1,Calculations!E$18=1, Calculations!E$19=1, Calculations!E$20=1),Calculations!E628,0)</f>
        <v>10000</v>
      </c>
      <c r="F145" s="94">
        <f>IF(OR(Calculations!F$17=1,Calculations!F$18=1, Calculations!F$19=1, Calculations!F$20=1),Calculations!F628,0)</f>
        <v>10625</v>
      </c>
      <c r="G145" s="94">
        <f>IF(OR(Calculations!G$17=1,Calculations!G$18=1, Calculations!G$19=1, Calculations!G$20=1),Calculations!G628,0)</f>
        <v>10625</v>
      </c>
      <c r="H145" s="94">
        <f>IF(OR(Calculations!H$17=1,Calculations!H$18=1, Calculations!H$19=1, Calculations!H$20=1),Calculations!H628,0)</f>
        <v>11250</v>
      </c>
      <c r="I145" s="94">
        <f>IF(OR(Calculations!I$17=1,Calculations!I$18=1, Calculations!I$19=1, Calculations!I$20=1),Calculations!I628,0)</f>
        <v>12500</v>
      </c>
      <c r="J145" s="94">
        <f>IF(OR(Calculations!J$17=1,Calculations!J$18=1, Calculations!J$19=1, Calculations!J$20=1),Calculations!J628," ")</f>
        <v>13125</v>
      </c>
      <c r="K145" s="94">
        <f>IF(OR(Calculations!K$17=1,Calculations!K$18=1, Calculations!K$19=1, Calculations!K$20=1),Calculations!K628," ")</f>
        <v>13750</v>
      </c>
      <c r="L145" s="94">
        <f>IF(OR(Calculations!L$17=1,Calculations!L$18=1, Calculations!L$19=1, Calculations!L$20=1),Calculations!L628," ")</f>
        <v>14375</v>
      </c>
      <c r="M145" s="94">
        <f>IF(OR(Calculations!M$17=1,Calculations!M$18=1, Calculations!M$19=1, Calculations!M$20=1),Calculations!M628," ")</f>
        <v>15000</v>
      </c>
      <c r="N145" s="94">
        <f>IF(OR(Calculations!N$17=1,Calculations!N$18=1, Calculations!N$19=1, Calculations!N$20=1),Calculations!N628," ")</f>
        <v>15625</v>
      </c>
      <c r="O145" s="94">
        <f>IF(OR(Calculations!O$17=1,Calculations!O$18=1, Calculations!O$19=1, Calculations!O$20=1),Calculations!O628," ")</f>
        <v>16250</v>
      </c>
      <c r="P145" s="94">
        <f>IF(OR(Calculations!P$17=1,Calculations!P$18=1, Calculations!P$19=1, Calculations!P$20=1),Calculations!P628," ")</f>
        <v>16875</v>
      </c>
      <c r="Q145" s="94">
        <f>IF(OR(Calculations!Q$17=1,Calculations!Q$18=1, Calculations!Q$19=1, Calculations!Q$20=1),Calculations!Q628," ")</f>
        <v>17500</v>
      </c>
      <c r="R145" s="94">
        <f>IF(OR(Calculations!R$17=1,Calculations!R$18=1, Calculations!R$19=1, Calculations!R$20=1),Calculations!R628," ")</f>
        <v>18125</v>
      </c>
      <c r="S145" s="94">
        <f>IF(OR(Calculations!S$17=1,Calculations!S$18=1, Calculations!S$19=1, Calculations!S$20=1),Calculations!S628," ")</f>
        <v>18750</v>
      </c>
      <c r="T145" s="94">
        <f>IF(OR(Calculations!T$17=1,Calculations!T$18=1, Calculations!T$19=1, Calculations!T$20=1),Calculations!T628," ")</f>
        <v>19375</v>
      </c>
      <c r="U145" s="94">
        <f>IF(OR(Calculations!U$17=1,Calculations!U$18=1, Calculations!U$19=1, Calculations!U$20=1),Calculations!U628," ")</f>
        <v>20000</v>
      </c>
      <c r="V145" s="94">
        <f>IF(OR(Calculations!V$17=1,Calculations!V$18=1, Calculations!V$19=1, Calculations!V$20=1),Calculations!V628," ")</f>
        <v>20625</v>
      </c>
      <c r="W145" s="94">
        <f>IF(OR(Calculations!W$17=1,Calculations!W$18=1, Calculations!W$19=1, Calculations!W$20=1),Calculations!W628," ")</f>
        <v>21250</v>
      </c>
      <c r="X145" s="94">
        <f>IF(OR(Calculations!X$17=1,Calculations!X$18=1, Calculations!X$19=1, Calculations!X$20=1),Calculations!X628," ")</f>
        <v>21875</v>
      </c>
      <c r="Y145" s="94">
        <f>IF(OR(Calculations!Y$17=1,Calculations!Y$18=1, Calculations!Y$19=1, Calculations!Y$20=1),Calculations!Y628," ")</f>
        <v>22500</v>
      </c>
      <c r="Z145" s="94">
        <f>IF(OR(Calculations!Z$17=1,Calculations!Z$18=1, Calculations!Z$19=1, Calculations!Z$20=1),Calculations!Z628," ")</f>
        <v>23125</v>
      </c>
      <c r="AA145" s="94">
        <f>IF(OR(Calculations!AA$17=1,Calculations!AA$18=1, Calculations!AA$19=1, Calculations!AA$20=1),Calculations!AA628," ")</f>
        <v>23750</v>
      </c>
      <c r="AB145" s="94">
        <f>IF(OR(Calculations!AB$17=1,Calculations!AB$18=1, Calculations!AB$19=1, Calculations!AB$20=1),Calculations!AB628," ")</f>
        <v>24375</v>
      </c>
      <c r="AC145" s="94">
        <f>IF(OR(Calculations!AC$17=1,Calculations!AC$18=1, Calculations!AC$19=1, Calculations!AC$20=1),Calculations!AC628," ")</f>
        <v>25000</v>
      </c>
      <c r="AD145" s="94">
        <f>IF(OR(Calculations!AD$17=1,Calculations!AD$18=1, Calculations!AD$19=1, Calculations!AD$20=1),Calculations!AD628," ")</f>
        <v>25625</v>
      </c>
      <c r="AE145" s="94">
        <f>IF(OR(Calculations!AE$17=1,Calculations!AE$18=1, Calculations!AE$19=1, Calculations!AE$20=1),Calculations!AE628," ")</f>
        <v>26250</v>
      </c>
      <c r="AF145" s="94">
        <f>IF(OR(Calculations!AF$17=1,Calculations!AF$18=1, Calculations!AF$19=1, Calculations!AF$20=1),Calculations!AF628," ")</f>
        <v>26875</v>
      </c>
      <c r="AG145" s="94">
        <f>IF(OR(Calculations!AG$17=1,Calculations!AG$18=1, Calculations!AG$19=1, Calculations!AG$20=1),Calculations!AG628," ")</f>
        <v>27500</v>
      </c>
      <c r="AH145" s="94">
        <f>IF(OR(Calculations!AH$17=1,Calculations!AH$18=1, Calculations!AH$19=1, Calculations!AH$20=1),Calculations!AH628," ")</f>
        <v>28125</v>
      </c>
    </row>
    <row r="146" spans="1:34" s="412" customFormat="1" x14ac:dyDescent="0.2">
      <c r="A146" s="18"/>
      <c r="B146" s="80" t="str">
        <f>'Assumptions - Passenger'!B141</f>
        <v>International passenger</v>
      </c>
      <c r="C146" s="80"/>
      <c r="D146" s="80"/>
      <c r="E146" s="94">
        <f>IF(OR(Calculations!E$17=1,Calculations!E$18=1, Calculations!E$19=1, Calculations!E$20=1),Calculations!E629,0)</f>
        <v>10000</v>
      </c>
      <c r="F146" s="94">
        <f>IF(OR(Calculations!F$17=1,Calculations!F$18=1, Calculations!F$19=1, Calculations!F$20=1),Calculations!F629,0)</f>
        <v>10625</v>
      </c>
      <c r="G146" s="94">
        <f>IF(OR(Calculations!G$17=1,Calculations!G$18=1, Calculations!G$19=1, Calculations!G$20=1),Calculations!G629,0)</f>
        <v>10625</v>
      </c>
      <c r="H146" s="94">
        <f>IF(OR(Calculations!H$17=1,Calculations!H$18=1, Calculations!H$19=1, Calculations!H$20=1),Calculations!H629,0)</f>
        <v>11250</v>
      </c>
      <c r="I146" s="94">
        <f>IF(OR(Calculations!I$17=1,Calculations!I$18=1, Calculations!I$19=1, Calculations!I$20=1),Calculations!I629,0)</f>
        <v>12500</v>
      </c>
      <c r="J146" s="94">
        <f>IF(OR(Calculations!J$17=1,Calculations!J$18=1, Calculations!J$19=1, Calculations!J$20=1),Calculations!J629," ")</f>
        <v>13125</v>
      </c>
      <c r="K146" s="94">
        <f>IF(OR(Calculations!K$17=1,Calculations!K$18=1, Calculations!K$19=1, Calculations!K$20=1),Calculations!K629," ")</f>
        <v>13750</v>
      </c>
      <c r="L146" s="94">
        <f>IF(OR(Calculations!L$17=1,Calculations!L$18=1, Calculations!L$19=1, Calculations!L$20=1),Calculations!L629," ")</f>
        <v>14375</v>
      </c>
      <c r="M146" s="94">
        <f>IF(OR(Calculations!M$17=1,Calculations!M$18=1, Calculations!M$19=1, Calculations!M$20=1),Calculations!M629," ")</f>
        <v>15000</v>
      </c>
      <c r="N146" s="94">
        <f>IF(OR(Calculations!N$17=1,Calculations!N$18=1, Calculations!N$19=1, Calculations!N$20=1),Calculations!N629," ")</f>
        <v>15625</v>
      </c>
      <c r="O146" s="94">
        <f>IF(OR(Calculations!O$17=1,Calculations!O$18=1, Calculations!O$19=1, Calculations!O$20=1),Calculations!O629," ")</f>
        <v>16250</v>
      </c>
      <c r="P146" s="94">
        <f>IF(OR(Calculations!P$17=1,Calculations!P$18=1, Calculations!P$19=1, Calculations!P$20=1),Calculations!P629," ")</f>
        <v>16875</v>
      </c>
      <c r="Q146" s="94">
        <f>IF(OR(Calculations!Q$17=1,Calculations!Q$18=1, Calculations!Q$19=1, Calculations!Q$20=1),Calculations!Q629," ")</f>
        <v>17500</v>
      </c>
      <c r="R146" s="94">
        <f>IF(OR(Calculations!R$17=1,Calculations!R$18=1, Calculations!R$19=1, Calculations!R$20=1),Calculations!R629," ")</f>
        <v>18125</v>
      </c>
      <c r="S146" s="94">
        <f>IF(OR(Calculations!S$17=1,Calculations!S$18=1, Calculations!S$19=1, Calculations!S$20=1),Calculations!S629," ")</f>
        <v>18750</v>
      </c>
      <c r="T146" s="94">
        <f>IF(OR(Calculations!T$17=1,Calculations!T$18=1, Calculations!T$19=1, Calculations!T$20=1),Calculations!T629," ")</f>
        <v>19375</v>
      </c>
      <c r="U146" s="94">
        <f>IF(OR(Calculations!U$17=1,Calculations!U$18=1, Calculations!U$19=1, Calculations!U$20=1),Calculations!U629," ")</f>
        <v>20000</v>
      </c>
      <c r="V146" s="94">
        <f>IF(OR(Calculations!V$17=1,Calculations!V$18=1, Calculations!V$19=1, Calculations!V$20=1),Calculations!V629," ")</f>
        <v>20625</v>
      </c>
      <c r="W146" s="94">
        <f>IF(OR(Calculations!W$17=1,Calculations!W$18=1, Calculations!W$19=1, Calculations!W$20=1),Calculations!W629," ")</f>
        <v>21250</v>
      </c>
      <c r="X146" s="94">
        <f>IF(OR(Calculations!X$17=1,Calculations!X$18=1, Calculations!X$19=1, Calculations!X$20=1),Calculations!X629," ")</f>
        <v>21875</v>
      </c>
      <c r="Y146" s="94">
        <f>IF(OR(Calculations!Y$17=1,Calculations!Y$18=1, Calculations!Y$19=1, Calculations!Y$20=1),Calculations!Y629," ")</f>
        <v>22500</v>
      </c>
      <c r="Z146" s="94">
        <f>IF(OR(Calculations!Z$17=1,Calculations!Z$18=1, Calculations!Z$19=1, Calculations!Z$20=1),Calculations!Z629," ")</f>
        <v>23125</v>
      </c>
      <c r="AA146" s="94">
        <f>IF(OR(Calculations!AA$17=1,Calculations!AA$18=1, Calculations!AA$19=1, Calculations!AA$20=1),Calculations!AA629," ")</f>
        <v>23750</v>
      </c>
      <c r="AB146" s="94">
        <f>IF(OR(Calculations!AB$17=1,Calculations!AB$18=1, Calculations!AB$19=1, Calculations!AB$20=1),Calculations!AB629," ")</f>
        <v>24375</v>
      </c>
      <c r="AC146" s="94">
        <f>IF(OR(Calculations!AC$17=1,Calculations!AC$18=1, Calculations!AC$19=1, Calculations!AC$20=1),Calculations!AC629," ")</f>
        <v>25000</v>
      </c>
      <c r="AD146" s="94">
        <f>IF(OR(Calculations!AD$17=1,Calculations!AD$18=1, Calculations!AD$19=1, Calculations!AD$20=1),Calculations!AD629," ")</f>
        <v>25625</v>
      </c>
      <c r="AE146" s="94">
        <f>IF(OR(Calculations!AE$17=1,Calculations!AE$18=1, Calculations!AE$19=1, Calculations!AE$20=1),Calculations!AE629," ")</f>
        <v>26250</v>
      </c>
      <c r="AF146" s="94">
        <f>IF(OR(Calculations!AF$17=1,Calculations!AF$18=1, Calculations!AF$19=1, Calculations!AF$20=1),Calculations!AF629," ")</f>
        <v>26875</v>
      </c>
      <c r="AG146" s="94">
        <f>IF(OR(Calculations!AG$17=1,Calculations!AG$18=1, Calculations!AG$19=1, Calculations!AG$20=1),Calculations!AG629," ")</f>
        <v>27500</v>
      </c>
      <c r="AH146" s="94">
        <f>IF(OR(Calculations!AH$17=1,Calculations!AH$18=1, Calculations!AH$19=1, Calculations!AH$20=1),Calculations!AH629," ")</f>
        <v>28125</v>
      </c>
    </row>
    <row r="147" spans="1:34" s="412" customFormat="1" x14ac:dyDescent="0.2">
      <c r="A147" s="18"/>
      <c r="B147" s="80" t="str">
        <f>'Assumptions - Passenger'!B146</f>
        <v>Sub-urban passenger</v>
      </c>
      <c r="C147" s="80"/>
      <c r="D147" s="80"/>
      <c r="E147" s="94">
        <f>IF(OR(Calculations!E$17=1,Calculations!E$18=1, Calculations!E$19=1, Calculations!E$20=1),Calculations!E630,0)</f>
        <v>10000</v>
      </c>
      <c r="F147" s="94">
        <f>IF(OR(Calculations!F$17=1,Calculations!F$18=1, Calculations!F$19=1, Calculations!F$20=1),Calculations!F630,0)</f>
        <v>10625</v>
      </c>
      <c r="G147" s="94">
        <f>IF(OR(Calculations!G$17=1,Calculations!G$18=1, Calculations!G$19=1, Calculations!G$20=1),Calculations!G630,0)</f>
        <v>10625</v>
      </c>
      <c r="H147" s="94">
        <f>IF(OR(Calculations!H$17=1,Calculations!H$18=1, Calculations!H$19=1, Calculations!H$20=1),Calculations!H630,0)</f>
        <v>11250</v>
      </c>
      <c r="I147" s="94">
        <f>IF(OR(Calculations!I$17=1,Calculations!I$18=1, Calculations!I$19=1, Calculations!I$20=1),Calculations!I630,0)</f>
        <v>12500</v>
      </c>
      <c r="J147" s="94">
        <f>IF(OR(Calculations!J$17=1,Calculations!J$18=1, Calculations!J$19=1, Calculations!J$20=1),Calculations!J630," ")</f>
        <v>13125</v>
      </c>
      <c r="K147" s="94">
        <f>IF(OR(Calculations!K$17=1,Calculations!K$18=1, Calculations!K$19=1, Calculations!K$20=1),Calculations!K630," ")</f>
        <v>13750</v>
      </c>
      <c r="L147" s="94">
        <f>IF(OR(Calculations!L$17=1,Calculations!L$18=1, Calculations!L$19=1, Calculations!L$20=1),Calculations!L630," ")</f>
        <v>14375</v>
      </c>
      <c r="M147" s="94">
        <f>IF(OR(Calculations!M$17=1,Calculations!M$18=1, Calculations!M$19=1, Calculations!M$20=1),Calculations!M630," ")</f>
        <v>15000</v>
      </c>
      <c r="N147" s="94">
        <f>IF(OR(Calculations!N$17=1,Calculations!N$18=1, Calculations!N$19=1, Calculations!N$20=1),Calculations!N630," ")</f>
        <v>15625</v>
      </c>
      <c r="O147" s="94">
        <f>IF(OR(Calculations!O$17=1,Calculations!O$18=1, Calculations!O$19=1, Calculations!O$20=1),Calculations!O630," ")</f>
        <v>16250</v>
      </c>
      <c r="P147" s="94">
        <f>IF(OR(Calculations!P$17=1,Calculations!P$18=1, Calculations!P$19=1, Calculations!P$20=1),Calculations!P630," ")</f>
        <v>16875</v>
      </c>
      <c r="Q147" s="94">
        <f>IF(OR(Calculations!Q$17=1,Calculations!Q$18=1, Calculations!Q$19=1, Calculations!Q$20=1),Calculations!Q630," ")</f>
        <v>17500</v>
      </c>
      <c r="R147" s="94">
        <f>IF(OR(Calculations!R$17=1,Calculations!R$18=1, Calculations!R$19=1, Calculations!R$20=1),Calculations!R630," ")</f>
        <v>18125</v>
      </c>
      <c r="S147" s="94">
        <f>IF(OR(Calculations!S$17=1,Calculations!S$18=1, Calculations!S$19=1, Calculations!S$20=1),Calculations!S630," ")</f>
        <v>18750</v>
      </c>
      <c r="T147" s="94">
        <f>IF(OR(Calculations!T$17=1,Calculations!T$18=1, Calculations!T$19=1, Calculations!T$20=1),Calculations!T630," ")</f>
        <v>19375</v>
      </c>
      <c r="U147" s="94">
        <f>IF(OR(Calculations!U$17=1,Calculations!U$18=1, Calculations!U$19=1, Calculations!U$20=1),Calculations!U630," ")</f>
        <v>20000</v>
      </c>
      <c r="V147" s="94">
        <f>IF(OR(Calculations!V$17=1,Calculations!V$18=1, Calculations!V$19=1, Calculations!V$20=1),Calculations!V630," ")</f>
        <v>20625</v>
      </c>
      <c r="W147" s="94">
        <f>IF(OR(Calculations!W$17=1,Calculations!W$18=1, Calculations!W$19=1, Calculations!W$20=1),Calculations!W630," ")</f>
        <v>21250</v>
      </c>
      <c r="X147" s="94">
        <f>IF(OR(Calculations!X$17=1,Calculations!X$18=1, Calculations!X$19=1, Calculations!X$20=1),Calculations!X630," ")</f>
        <v>21875</v>
      </c>
      <c r="Y147" s="94">
        <f>IF(OR(Calculations!Y$17=1,Calculations!Y$18=1, Calculations!Y$19=1, Calculations!Y$20=1),Calculations!Y630," ")</f>
        <v>22500</v>
      </c>
      <c r="Z147" s="94">
        <f>IF(OR(Calculations!Z$17=1,Calculations!Z$18=1, Calculations!Z$19=1, Calculations!Z$20=1),Calculations!Z630," ")</f>
        <v>23125</v>
      </c>
      <c r="AA147" s="94">
        <f>IF(OR(Calculations!AA$17=1,Calculations!AA$18=1, Calculations!AA$19=1, Calculations!AA$20=1),Calculations!AA630," ")</f>
        <v>23750</v>
      </c>
      <c r="AB147" s="94">
        <f>IF(OR(Calculations!AB$17=1,Calculations!AB$18=1, Calculations!AB$19=1, Calculations!AB$20=1),Calculations!AB630," ")</f>
        <v>24375</v>
      </c>
      <c r="AC147" s="94">
        <f>IF(OR(Calculations!AC$17=1,Calculations!AC$18=1, Calculations!AC$19=1, Calculations!AC$20=1),Calculations!AC630," ")</f>
        <v>25000</v>
      </c>
      <c r="AD147" s="94">
        <f>IF(OR(Calculations!AD$17=1,Calculations!AD$18=1, Calculations!AD$19=1, Calculations!AD$20=1),Calculations!AD630," ")</f>
        <v>25625</v>
      </c>
      <c r="AE147" s="94">
        <f>IF(OR(Calculations!AE$17=1,Calculations!AE$18=1, Calculations!AE$19=1, Calculations!AE$20=1),Calculations!AE630," ")</f>
        <v>26250</v>
      </c>
      <c r="AF147" s="94">
        <f>IF(OR(Calculations!AF$17=1,Calculations!AF$18=1, Calculations!AF$19=1, Calculations!AF$20=1),Calculations!AF630," ")</f>
        <v>26875</v>
      </c>
      <c r="AG147" s="94">
        <f>IF(OR(Calculations!AG$17=1,Calculations!AG$18=1, Calculations!AG$19=1, Calculations!AG$20=1),Calculations!AG630," ")</f>
        <v>27500</v>
      </c>
      <c r="AH147" s="94">
        <f>IF(OR(Calculations!AH$17=1,Calculations!AH$18=1, Calculations!AH$19=1, Calculations!AH$20=1),Calculations!AH630," ")</f>
        <v>28125</v>
      </c>
    </row>
    <row r="148" spans="1:34" s="412" customFormat="1" x14ac:dyDescent="0.2">
      <c r="A148" s="18"/>
      <c r="B148" s="80" t="s">
        <v>297</v>
      </c>
      <c r="C148" s="80"/>
      <c r="D148" s="80"/>
      <c r="E148" s="128" t="str">
        <f>IF(E132=1,IF(($E144+SUM($F$132:$AH$132))=E144,(SUM(E145:E147)/SUM($E145:$E147))^(1/SUM($F$132:$AH$132))-1," "),0)</f>
        <v xml:space="preserve"> </v>
      </c>
      <c r="F148" s="128" t="str">
        <f t="shared" ref="F148:I148" si="4">IF(F132=1,IF(($E144+SUM($F$132:$AH$132))=F144,(SUM(F145:F147)/SUM($E145:$E147))^(1/SUM($F$132:$AH$132))-1," "),0)</f>
        <v xml:space="preserve"> </v>
      </c>
      <c r="G148" s="128" t="str">
        <f t="shared" si="4"/>
        <v xml:space="preserve"> </v>
      </c>
      <c r="H148" s="128" t="str">
        <f t="shared" si="4"/>
        <v xml:space="preserve"> </v>
      </c>
      <c r="I148" s="128" t="str">
        <f t="shared" si="4"/>
        <v xml:space="preserve"> </v>
      </c>
      <c r="J148" s="128" t="str">
        <f t="shared" ref="J148:AH148" si="5">IF(J132=1,IF(($E144+SUM($F$132:$AH$132))=J144,(SUM(J145:J147)/SUM($E145:$E147))^(1/SUM($F$132:$AH$132))-1," ")," ")</f>
        <v xml:space="preserve"> </v>
      </c>
      <c r="K148" s="128" t="str">
        <f t="shared" si="5"/>
        <v xml:space="preserve"> </v>
      </c>
      <c r="L148" s="128" t="str">
        <f t="shared" si="5"/>
        <v xml:space="preserve"> </v>
      </c>
      <c r="M148" s="128" t="str">
        <f t="shared" si="5"/>
        <v xml:space="preserve"> </v>
      </c>
      <c r="N148" s="128" t="str">
        <f t="shared" si="5"/>
        <v xml:space="preserve"> </v>
      </c>
      <c r="O148" s="128" t="str">
        <f t="shared" si="5"/>
        <v xml:space="preserve"> </v>
      </c>
      <c r="P148" s="128" t="str">
        <f t="shared" si="5"/>
        <v xml:space="preserve"> </v>
      </c>
      <c r="Q148" s="128" t="str">
        <f t="shared" si="5"/>
        <v xml:space="preserve"> </v>
      </c>
      <c r="R148" s="128" t="str">
        <f t="shared" si="5"/>
        <v xml:space="preserve"> </v>
      </c>
      <c r="S148" s="128" t="str">
        <f t="shared" si="5"/>
        <v xml:space="preserve"> </v>
      </c>
      <c r="T148" s="128" t="str">
        <f t="shared" si="5"/>
        <v xml:space="preserve"> </v>
      </c>
      <c r="U148" s="128" t="str">
        <f t="shared" si="5"/>
        <v xml:space="preserve"> </v>
      </c>
      <c r="V148" s="128" t="str">
        <f t="shared" si="5"/>
        <v xml:space="preserve"> </v>
      </c>
      <c r="W148" s="128" t="str">
        <f t="shared" si="5"/>
        <v xml:space="preserve"> </v>
      </c>
      <c r="X148" s="128" t="str">
        <f t="shared" si="5"/>
        <v xml:space="preserve"> </v>
      </c>
      <c r="Y148" s="128" t="str">
        <f t="shared" si="5"/>
        <v xml:space="preserve"> </v>
      </c>
      <c r="Z148" s="128" t="str">
        <f t="shared" si="5"/>
        <v xml:space="preserve"> </v>
      </c>
      <c r="AA148" s="128" t="str">
        <f t="shared" si="5"/>
        <v xml:space="preserve"> </v>
      </c>
      <c r="AB148" s="128" t="str">
        <f t="shared" si="5"/>
        <v xml:space="preserve"> </v>
      </c>
      <c r="AC148" s="128" t="str">
        <f t="shared" si="5"/>
        <v xml:space="preserve"> </v>
      </c>
      <c r="AD148" s="128" t="str">
        <f t="shared" si="5"/>
        <v xml:space="preserve"> </v>
      </c>
      <c r="AE148" s="128" t="str">
        <f t="shared" si="5"/>
        <v xml:space="preserve"> </v>
      </c>
      <c r="AF148" s="128" t="str">
        <f t="shared" si="5"/>
        <v xml:space="preserve"> </v>
      </c>
      <c r="AG148" s="128" t="str">
        <f t="shared" si="5"/>
        <v xml:space="preserve"> </v>
      </c>
      <c r="AH148" s="128">
        <f t="shared" si="5"/>
        <v>3.6301076626834794E-2</v>
      </c>
    </row>
    <row r="149" spans="1:34" s="412" customFormat="1" x14ac:dyDescent="0.2">
      <c r="A149" s="18"/>
      <c r="B149" s="80" t="s">
        <v>446</v>
      </c>
      <c r="C149" s="80"/>
      <c r="D149" s="80"/>
      <c r="E149" s="95">
        <f>IF(OR(Calculations!E$17=1,Calculations!E$18=1, Calculations!E$19=1, Calculations!E$20=1),'Assumptions - Passenger'!E16,0)</f>
        <v>0.5</v>
      </c>
      <c r="F149" s="95">
        <f>IF(OR(Calculations!F$17=1,Calculations!F$18=1, Calculations!F$19=1, Calculations!F$20=1),'Assumptions - Passenger'!F16,0)</f>
        <v>0.5</v>
      </c>
      <c r="G149" s="95">
        <f>IF(OR(Calculations!G$17=1,Calculations!G$18=1, Calculations!G$19=1, Calculations!G$20=1),'Assumptions - Passenger'!G16,0)</f>
        <v>0.5</v>
      </c>
      <c r="H149" s="95">
        <f>IF(OR(Calculations!H$17=1,Calculations!H$18=1, Calculations!H$19=1, Calculations!H$20=1),'Assumptions - Passenger'!H16,0)</f>
        <v>0.5</v>
      </c>
      <c r="I149" s="95">
        <f>IF(OR(Calculations!I$17=1,Calculations!I$18=1, Calculations!I$19=1, Calculations!I$20=1),'Assumptions - Passenger'!I16,0)</f>
        <v>0.5</v>
      </c>
      <c r="J149" s="95">
        <f>IF(OR(Calculations!J$17=1,Calculations!J$18=1, Calculations!J$19=1, Calculations!J$20=1),'Assumptions - Passenger'!J16," ")</f>
        <v>0.5</v>
      </c>
      <c r="K149" s="95">
        <f>IF(OR(Calculations!K$17=1,Calculations!K$18=1, Calculations!K$19=1, Calculations!K$20=1),'Assumptions - Passenger'!K16," ")</f>
        <v>0.5</v>
      </c>
      <c r="L149" s="95">
        <f>IF(OR(Calculations!L$17=1,Calculations!L$18=1, Calculations!L$19=1, Calculations!L$20=1),'Assumptions - Passenger'!L16," ")</f>
        <v>0.5</v>
      </c>
      <c r="M149" s="95">
        <f>IF(OR(Calculations!M$17=1,Calculations!M$18=1, Calculations!M$19=1, Calculations!M$20=1),'Assumptions - Passenger'!M16," ")</f>
        <v>0.5</v>
      </c>
      <c r="N149" s="95">
        <f>IF(OR(Calculations!N$17=1,Calculations!N$18=1, Calculations!N$19=1, Calculations!N$20=1),'Assumptions - Passenger'!N16," ")</f>
        <v>0.5</v>
      </c>
      <c r="O149" s="95">
        <f>IF(OR(Calculations!O$17=1,Calculations!O$18=1, Calculations!O$19=1, Calculations!O$20=1),'Assumptions - Passenger'!O16," ")</f>
        <v>0.5</v>
      </c>
      <c r="P149" s="95">
        <f>IF(OR(Calculations!P$17=1,Calculations!P$18=1, Calculations!P$19=1, Calculations!P$20=1),'Assumptions - Passenger'!P16," ")</f>
        <v>0.5</v>
      </c>
      <c r="Q149" s="95">
        <f>IF(OR(Calculations!Q$17=1,Calculations!Q$18=1, Calculations!Q$19=1, Calculations!Q$20=1),'Assumptions - Passenger'!Q16," ")</f>
        <v>0.5</v>
      </c>
      <c r="R149" s="95">
        <f>IF(OR(Calculations!R$17=1,Calculations!R$18=1, Calculations!R$19=1, Calculations!R$20=1),'Assumptions - Passenger'!R16," ")</f>
        <v>0.5</v>
      </c>
      <c r="S149" s="95">
        <f>IF(OR(Calculations!S$17=1,Calculations!S$18=1, Calculations!S$19=1, Calculations!S$20=1),'Assumptions - Passenger'!S16," ")</f>
        <v>0.5</v>
      </c>
      <c r="T149" s="95">
        <f>IF(OR(Calculations!T$17=1,Calculations!T$18=1, Calculations!T$19=1, Calculations!T$20=1),'Assumptions - Passenger'!T16," ")</f>
        <v>0.5</v>
      </c>
      <c r="U149" s="95">
        <f>IF(OR(Calculations!U$17=1,Calculations!U$18=1, Calculations!U$19=1, Calculations!U$20=1),'Assumptions - Passenger'!U16," ")</f>
        <v>0.5</v>
      </c>
      <c r="V149" s="95">
        <f>IF(OR(Calculations!V$17=1,Calculations!V$18=1, Calculations!V$19=1, Calculations!V$20=1),'Assumptions - Passenger'!V16," ")</f>
        <v>0.5</v>
      </c>
      <c r="W149" s="95">
        <f>IF(OR(Calculations!W$17=1,Calculations!W$18=1, Calculations!W$19=1, Calculations!W$20=1),'Assumptions - Passenger'!W16," ")</f>
        <v>0.5</v>
      </c>
      <c r="X149" s="95">
        <f>IF(OR(Calculations!X$17=1,Calculations!X$18=1, Calculations!X$19=1, Calculations!X$20=1),'Assumptions - Passenger'!X16," ")</f>
        <v>0.5</v>
      </c>
      <c r="Y149" s="95">
        <f>IF(OR(Calculations!Y$17=1,Calculations!Y$18=1, Calculations!Y$19=1, Calculations!Y$20=1),'Assumptions - Passenger'!Y16," ")</f>
        <v>0.5</v>
      </c>
      <c r="Z149" s="95">
        <f>IF(OR(Calculations!Z$17=1,Calculations!Z$18=1, Calculations!Z$19=1, Calculations!Z$20=1),'Assumptions - Passenger'!Z16," ")</f>
        <v>0.5</v>
      </c>
      <c r="AA149" s="95">
        <f>IF(OR(Calculations!AA$17=1,Calculations!AA$18=1, Calculations!AA$19=1, Calculations!AA$20=1),'Assumptions - Passenger'!AA16," ")</f>
        <v>0.5</v>
      </c>
      <c r="AB149" s="95">
        <f>IF(OR(Calculations!AB$17=1,Calculations!AB$18=1, Calculations!AB$19=1, Calculations!AB$20=1),'Assumptions - Passenger'!AB16," ")</f>
        <v>0.5</v>
      </c>
      <c r="AC149" s="95">
        <f>IF(OR(Calculations!AC$17=1,Calculations!AC$18=1, Calculations!AC$19=1, Calculations!AC$20=1),'Assumptions - Passenger'!AC16," ")</f>
        <v>0.5</v>
      </c>
      <c r="AD149" s="95">
        <f>IF(OR(Calculations!AD$17=1,Calculations!AD$18=1, Calculations!AD$19=1, Calculations!AD$20=1),'Assumptions - Passenger'!AD16," ")</f>
        <v>0.5</v>
      </c>
      <c r="AE149" s="95">
        <f>IF(OR(Calculations!AE$17=1,Calculations!AE$18=1, Calculations!AE$19=1, Calculations!AE$20=1),'Assumptions - Passenger'!AE16," ")</f>
        <v>0.5</v>
      </c>
      <c r="AF149" s="95">
        <f>IF(OR(Calculations!AF$17=1,Calculations!AF$18=1, Calculations!AF$19=1, Calculations!AF$20=1),'Assumptions - Passenger'!AF16," ")</f>
        <v>0.5</v>
      </c>
      <c r="AG149" s="95">
        <f>IF(OR(Calculations!AG$17=1,Calculations!AG$18=1, Calculations!AG$19=1, Calculations!AG$20=1),'Assumptions - Passenger'!AG16," ")</f>
        <v>0.5</v>
      </c>
      <c r="AH149" s="95">
        <f>IF(OR(Calculations!AH$17=1,Calculations!AH$18=1, Calculations!AH$19=1, Calculations!AH$20=1),'Assumptions - Passenger'!AH16," ")</f>
        <v>0.5</v>
      </c>
    </row>
    <row r="150" spans="1:34" s="412" customFormat="1" x14ac:dyDescent="0.2">
      <c r="A150" s="18"/>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row>
    <row r="151" spans="1:34" s="412" customFormat="1" x14ac:dyDescent="0.2">
      <c r="A151" s="18"/>
      <c r="B151" s="90" t="s">
        <v>370</v>
      </c>
      <c r="C151" s="80"/>
      <c r="D151" s="80"/>
      <c r="E151" s="80" t="s">
        <v>305</v>
      </c>
      <c r="F151" s="80" t="s">
        <v>370</v>
      </c>
      <c r="G151" s="80"/>
      <c r="H151" s="80"/>
      <c r="I151" s="80"/>
      <c r="J151" s="80"/>
      <c r="K151" s="80"/>
      <c r="L151" s="80"/>
      <c r="M151" s="80"/>
      <c r="N151" s="80"/>
      <c r="O151" s="80"/>
      <c r="P151" s="80"/>
      <c r="Q151" s="80"/>
      <c r="R151" s="80"/>
      <c r="S151" s="80"/>
      <c r="T151" s="80"/>
      <c r="U151" s="80"/>
      <c r="V151" s="80"/>
      <c r="W151" s="80"/>
      <c r="X151" s="80"/>
      <c r="Y151" s="80"/>
      <c r="Z151" s="80"/>
      <c r="AA151" s="80"/>
      <c r="AB151" s="80"/>
      <c r="AC151" s="80"/>
      <c r="AD151" s="80"/>
      <c r="AE151" s="80"/>
      <c r="AF151" s="80"/>
      <c r="AG151" s="80"/>
      <c r="AH151" s="80"/>
    </row>
    <row r="152" spans="1:34" s="412" customFormat="1" x14ac:dyDescent="0.2">
      <c r="A152" s="18"/>
      <c r="B152" s="80"/>
      <c r="C152" s="80"/>
      <c r="D152" s="80"/>
      <c r="E152" s="93">
        <f>YEAR('Charts - Freight'!E$131)</f>
        <v>2010</v>
      </c>
      <c r="F152" s="93">
        <f>YEAR('Charts - Freight'!F$131)</f>
        <v>2011</v>
      </c>
      <c r="G152" s="93">
        <f>YEAR('Charts - Freight'!G$131)</f>
        <v>2012</v>
      </c>
      <c r="H152" s="93">
        <f>YEAR('Charts - Freight'!H$131)</f>
        <v>2013</v>
      </c>
      <c r="I152" s="93">
        <f>YEAR('Charts - Freight'!I$131)</f>
        <v>2014</v>
      </c>
      <c r="J152" s="93">
        <f>YEAR('Charts - Freight'!J$131)</f>
        <v>2015</v>
      </c>
      <c r="K152" s="93">
        <f>YEAR('Charts - Freight'!K$131)</f>
        <v>2016</v>
      </c>
      <c r="L152" s="93">
        <f>YEAR('Charts - Freight'!L$131)</f>
        <v>2017</v>
      </c>
      <c r="M152" s="93">
        <f>YEAR('Charts - Freight'!M$131)</f>
        <v>2018</v>
      </c>
      <c r="N152" s="93">
        <f>YEAR('Charts - Freight'!N$131)</f>
        <v>2019</v>
      </c>
      <c r="O152" s="93">
        <f>YEAR('Charts - Freight'!O$131)</f>
        <v>2020</v>
      </c>
      <c r="P152" s="93">
        <f>YEAR('Charts - Freight'!P$131)</f>
        <v>2021</v>
      </c>
      <c r="Q152" s="93">
        <f>YEAR('Charts - Freight'!Q$131)</f>
        <v>2022</v>
      </c>
      <c r="R152" s="93">
        <f>YEAR('Charts - Freight'!R$131)</f>
        <v>2023</v>
      </c>
      <c r="S152" s="93">
        <f>YEAR('Charts - Freight'!S$131)</f>
        <v>2024</v>
      </c>
      <c r="T152" s="93">
        <f>YEAR('Charts - Freight'!T$131)</f>
        <v>2025</v>
      </c>
      <c r="U152" s="93">
        <f>YEAR('Charts - Freight'!U$131)</f>
        <v>2026</v>
      </c>
      <c r="V152" s="93">
        <f>YEAR('Charts - Freight'!V$131)</f>
        <v>2027</v>
      </c>
      <c r="W152" s="93">
        <f>YEAR('Charts - Freight'!W$131)</f>
        <v>2028</v>
      </c>
      <c r="X152" s="93">
        <f>YEAR('Charts - Freight'!X$131)</f>
        <v>2029</v>
      </c>
      <c r="Y152" s="93">
        <f>YEAR('Charts - Freight'!Y$131)</f>
        <v>2030</v>
      </c>
      <c r="Z152" s="93">
        <f>YEAR('Charts - Freight'!Z$131)</f>
        <v>2031</v>
      </c>
      <c r="AA152" s="93">
        <f>YEAR('Charts - Freight'!AA$131)</f>
        <v>2032</v>
      </c>
      <c r="AB152" s="93">
        <f>YEAR('Charts - Freight'!AB$131)</f>
        <v>2033</v>
      </c>
      <c r="AC152" s="93">
        <f>YEAR('Charts - Freight'!AC$131)</f>
        <v>2034</v>
      </c>
      <c r="AD152" s="93">
        <f>YEAR('Charts - Freight'!AD$131)</f>
        <v>2035</v>
      </c>
      <c r="AE152" s="93">
        <f>YEAR('Charts - Freight'!AE$131)</f>
        <v>2036</v>
      </c>
      <c r="AF152" s="93">
        <f>YEAR('Charts - Freight'!AF$131)</f>
        <v>2037</v>
      </c>
      <c r="AG152" s="93">
        <f>YEAR('Charts - Freight'!AG$131)</f>
        <v>2038</v>
      </c>
      <c r="AH152" s="93">
        <f>YEAR('Charts - Freight'!AH$131)</f>
        <v>2039</v>
      </c>
    </row>
    <row r="153" spans="1:34" s="412" customFormat="1" x14ac:dyDescent="0.2">
      <c r="A153" s="18"/>
      <c r="B153" s="80" t="str">
        <f>B145</f>
        <v>Domestic passenger</v>
      </c>
      <c r="C153" s="80"/>
      <c r="D153" s="80"/>
      <c r="E153" s="94">
        <f>IF(OR(Calculations!E$17=1,Calculations!E$18=1, Calculations!E$19=1, Calculations!E$20=1),Calculations!E624,0)</f>
        <v>500</v>
      </c>
      <c r="F153" s="94">
        <f>IF(OR(Calculations!F$17=1,Calculations!F$18=1, Calculations!F$19=1, Calculations!F$20=1),Calculations!F624,0)</f>
        <v>500</v>
      </c>
      <c r="G153" s="94">
        <f>IF(OR(Calculations!G$17=1,Calculations!G$18=1, Calculations!G$19=1, Calculations!G$20=1),Calculations!G624,0)</f>
        <v>500</v>
      </c>
      <c r="H153" s="94">
        <f>IF(OR(Calculations!H$17=1,Calculations!H$18=1, Calculations!H$19=1, Calculations!H$20=1),Calculations!H624,0)</f>
        <v>500</v>
      </c>
      <c r="I153" s="94">
        <f>IF(OR(Calculations!I$17=1,Calculations!I$18=1, Calculations!I$19=1, Calculations!I$20=1),Calculations!I624,0)</f>
        <v>500</v>
      </c>
      <c r="J153" s="94">
        <f>IF(OR(Calculations!J$17=1,Calculations!J$18=1, Calculations!J$19=1, Calculations!J$20=1),Calculations!J624," ")</f>
        <v>500</v>
      </c>
      <c r="K153" s="94">
        <f>IF(OR(Calculations!K$17=1,Calculations!K$18=1, Calculations!K$19=1, Calculations!K$20=1),Calculations!K624," ")</f>
        <v>500</v>
      </c>
      <c r="L153" s="94">
        <f>IF(OR(Calculations!L$17=1,Calculations!L$18=1, Calculations!L$19=1, Calculations!L$20=1),Calculations!L624," ")</f>
        <v>500</v>
      </c>
      <c r="M153" s="94">
        <f>IF(OR(Calculations!M$17=1,Calculations!M$18=1, Calculations!M$19=1, Calculations!M$20=1),Calculations!M624," ")</f>
        <v>500</v>
      </c>
      <c r="N153" s="94">
        <f>IF(OR(Calculations!N$17=1,Calculations!N$18=1, Calculations!N$19=1, Calculations!N$20=1),Calculations!N624," ")</f>
        <v>500</v>
      </c>
      <c r="O153" s="94">
        <f>IF(OR(Calculations!O$17=1,Calculations!O$18=1, Calculations!O$19=1, Calculations!O$20=1),Calculations!O624," ")</f>
        <v>500</v>
      </c>
      <c r="P153" s="94">
        <f>IF(OR(Calculations!P$17=1,Calculations!P$18=1, Calculations!P$19=1, Calculations!P$20=1),Calculations!P624," ")</f>
        <v>500</v>
      </c>
      <c r="Q153" s="94">
        <f>IF(OR(Calculations!Q$17=1,Calculations!Q$18=1, Calculations!Q$19=1, Calculations!Q$20=1),Calculations!Q624," ")</f>
        <v>500</v>
      </c>
      <c r="R153" s="94">
        <f>IF(OR(Calculations!R$17=1,Calculations!R$18=1, Calculations!R$19=1, Calculations!R$20=1),Calculations!R624," ")</f>
        <v>500</v>
      </c>
      <c r="S153" s="94">
        <f>IF(OR(Calculations!S$17=1,Calculations!S$18=1, Calculations!S$19=1, Calculations!S$20=1),Calculations!S624," ")</f>
        <v>500</v>
      </c>
      <c r="T153" s="94">
        <f>IF(OR(Calculations!T$17=1,Calculations!T$18=1, Calculations!T$19=1, Calculations!T$20=1),Calculations!T624," ")</f>
        <v>500</v>
      </c>
      <c r="U153" s="94">
        <f>IF(OR(Calculations!U$17=1,Calculations!U$18=1, Calculations!U$19=1, Calculations!U$20=1),Calculations!U624," ")</f>
        <v>500</v>
      </c>
      <c r="V153" s="94">
        <f>IF(OR(Calculations!V$17=1,Calculations!V$18=1, Calculations!V$19=1, Calculations!V$20=1),Calculations!V624," ")</f>
        <v>500</v>
      </c>
      <c r="W153" s="94">
        <f>IF(OR(Calculations!W$17=1,Calculations!W$18=1, Calculations!W$19=1, Calculations!W$20=1),Calculations!W624," ")</f>
        <v>500</v>
      </c>
      <c r="X153" s="94">
        <f>IF(OR(Calculations!X$17=1,Calculations!X$18=1, Calculations!X$19=1, Calculations!X$20=1),Calculations!X624," ")</f>
        <v>500</v>
      </c>
      <c r="Y153" s="94">
        <f>IF(OR(Calculations!Y$17=1,Calculations!Y$18=1, Calculations!Y$19=1, Calculations!Y$20=1),Calculations!Y624," ")</f>
        <v>500</v>
      </c>
      <c r="Z153" s="94">
        <f>IF(OR(Calculations!Z$17=1,Calculations!Z$18=1, Calculations!Z$19=1, Calculations!Z$20=1),Calculations!Z624," ")</f>
        <v>500</v>
      </c>
      <c r="AA153" s="94">
        <f>IF(OR(Calculations!AA$17=1,Calculations!AA$18=1, Calculations!AA$19=1, Calculations!AA$20=1),Calculations!AA624," ")</f>
        <v>500</v>
      </c>
      <c r="AB153" s="94">
        <f>IF(OR(Calculations!AB$17=1,Calculations!AB$18=1, Calculations!AB$19=1, Calculations!AB$20=1),Calculations!AB624," ")</f>
        <v>500</v>
      </c>
      <c r="AC153" s="94">
        <f>IF(OR(Calculations!AC$17=1,Calculations!AC$18=1, Calculations!AC$19=1, Calculations!AC$20=1),Calculations!AC624," ")</f>
        <v>500</v>
      </c>
      <c r="AD153" s="94">
        <f>IF(OR(Calculations!AD$17=1,Calculations!AD$18=1, Calculations!AD$19=1, Calculations!AD$20=1),Calculations!AD624," ")</f>
        <v>500</v>
      </c>
      <c r="AE153" s="94">
        <f>IF(OR(Calculations!AE$17=1,Calculations!AE$18=1, Calculations!AE$19=1, Calculations!AE$20=1),Calculations!AE624," ")</f>
        <v>500</v>
      </c>
      <c r="AF153" s="94">
        <f>IF(OR(Calculations!AF$17=1,Calculations!AF$18=1, Calculations!AF$19=1, Calculations!AF$20=1),Calculations!AF624," ")</f>
        <v>500</v>
      </c>
      <c r="AG153" s="94">
        <f>IF(OR(Calculations!AG$17=1,Calculations!AG$18=1, Calculations!AG$19=1, Calculations!AG$20=1),Calculations!AG624," ")</f>
        <v>500</v>
      </c>
      <c r="AH153" s="94">
        <f>IF(OR(Calculations!AH$17=1,Calculations!AH$18=1, Calculations!AH$19=1, Calculations!AH$20=1),Calculations!AH624," ")</f>
        <v>500</v>
      </c>
    </row>
    <row r="154" spans="1:34" s="412" customFormat="1" x14ac:dyDescent="0.2">
      <c r="A154" s="18"/>
      <c r="B154" s="80" t="str">
        <f>B146</f>
        <v>International passenger</v>
      </c>
      <c r="C154" s="80"/>
      <c r="D154" s="80"/>
      <c r="E154" s="94">
        <f>IF(OR(Calculations!E$17=1,Calculations!E$18=1, Calculations!E$19=1, Calculations!E$20=1),Calculations!E625,0)</f>
        <v>500</v>
      </c>
      <c r="F154" s="94">
        <f>IF(OR(Calculations!F$17=1,Calculations!F$18=1, Calculations!F$19=1, Calculations!F$20=1),Calculations!F625,0)</f>
        <v>500</v>
      </c>
      <c r="G154" s="94">
        <f>IF(OR(Calculations!G$17=1,Calculations!G$18=1, Calculations!G$19=1, Calculations!G$20=1),Calculations!G625,0)</f>
        <v>500</v>
      </c>
      <c r="H154" s="94">
        <f>IF(OR(Calculations!H$17=1,Calculations!H$18=1, Calculations!H$19=1, Calculations!H$20=1),Calculations!H625,0)</f>
        <v>500</v>
      </c>
      <c r="I154" s="94">
        <f>IF(OR(Calculations!I$17=1,Calculations!I$18=1, Calculations!I$19=1, Calculations!I$20=1),Calculations!I625,0)</f>
        <v>500</v>
      </c>
      <c r="J154" s="94">
        <f>IF(OR(Calculations!J$17=1,Calculations!J$18=1, Calculations!J$19=1, Calculations!J$20=1),Calculations!J625," ")</f>
        <v>500</v>
      </c>
      <c r="K154" s="94">
        <f>IF(OR(Calculations!K$17=1,Calculations!K$18=1, Calculations!K$19=1, Calculations!K$20=1),Calculations!K625," ")</f>
        <v>500</v>
      </c>
      <c r="L154" s="94">
        <f>IF(OR(Calculations!L$17=1,Calculations!L$18=1, Calculations!L$19=1, Calculations!L$20=1),Calculations!L625," ")</f>
        <v>500</v>
      </c>
      <c r="M154" s="94">
        <f>IF(OR(Calculations!M$17=1,Calculations!M$18=1, Calculations!M$19=1, Calculations!M$20=1),Calculations!M625," ")</f>
        <v>500</v>
      </c>
      <c r="N154" s="94">
        <f>IF(OR(Calculations!N$17=1,Calculations!N$18=1, Calculations!N$19=1, Calculations!N$20=1),Calculations!N625," ")</f>
        <v>500</v>
      </c>
      <c r="O154" s="94">
        <f>IF(OR(Calculations!O$17=1,Calculations!O$18=1, Calculations!O$19=1, Calculations!O$20=1),Calculations!O625," ")</f>
        <v>500</v>
      </c>
      <c r="P154" s="94">
        <f>IF(OR(Calculations!P$17=1,Calculations!P$18=1, Calculations!P$19=1, Calculations!P$20=1),Calculations!P625," ")</f>
        <v>500</v>
      </c>
      <c r="Q154" s="94">
        <f>IF(OR(Calculations!Q$17=1,Calculations!Q$18=1, Calculations!Q$19=1, Calculations!Q$20=1),Calculations!Q625," ")</f>
        <v>500</v>
      </c>
      <c r="R154" s="94">
        <f>IF(OR(Calculations!R$17=1,Calculations!R$18=1, Calculations!R$19=1, Calculations!R$20=1),Calculations!R625," ")</f>
        <v>500</v>
      </c>
      <c r="S154" s="94">
        <f>IF(OR(Calculations!S$17=1,Calculations!S$18=1, Calculations!S$19=1, Calculations!S$20=1),Calculations!S625," ")</f>
        <v>500</v>
      </c>
      <c r="T154" s="94">
        <f>IF(OR(Calculations!T$17=1,Calculations!T$18=1, Calculations!T$19=1, Calculations!T$20=1),Calculations!T625," ")</f>
        <v>500</v>
      </c>
      <c r="U154" s="94">
        <f>IF(OR(Calculations!U$17=1,Calculations!U$18=1, Calculations!U$19=1, Calculations!U$20=1),Calculations!U625," ")</f>
        <v>500</v>
      </c>
      <c r="V154" s="94">
        <f>IF(OR(Calculations!V$17=1,Calculations!V$18=1, Calculations!V$19=1, Calculations!V$20=1),Calculations!V625," ")</f>
        <v>500</v>
      </c>
      <c r="W154" s="94">
        <f>IF(OR(Calculations!W$17=1,Calculations!W$18=1, Calculations!W$19=1, Calculations!W$20=1),Calculations!W625," ")</f>
        <v>500</v>
      </c>
      <c r="X154" s="94">
        <f>IF(OR(Calculations!X$17=1,Calculations!X$18=1, Calculations!X$19=1, Calculations!X$20=1),Calculations!X625," ")</f>
        <v>500</v>
      </c>
      <c r="Y154" s="94">
        <f>IF(OR(Calculations!Y$17=1,Calculations!Y$18=1, Calculations!Y$19=1, Calculations!Y$20=1),Calculations!Y625," ")</f>
        <v>500</v>
      </c>
      <c r="Z154" s="94">
        <f>IF(OR(Calculations!Z$17=1,Calculations!Z$18=1, Calculations!Z$19=1, Calculations!Z$20=1),Calculations!Z625," ")</f>
        <v>500</v>
      </c>
      <c r="AA154" s="94">
        <f>IF(OR(Calculations!AA$17=1,Calculations!AA$18=1, Calculations!AA$19=1, Calculations!AA$20=1),Calculations!AA625," ")</f>
        <v>500</v>
      </c>
      <c r="AB154" s="94">
        <f>IF(OR(Calculations!AB$17=1,Calculations!AB$18=1, Calculations!AB$19=1, Calculations!AB$20=1),Calculations!AB625," ")</f>
        <v>500</v>
      </c>
      <c r="AC154" s="94">
        <f>IF(OR(Calculations!AC$17=1,Calculations!AC$18=1, Calculations!AC$19=1, Calculations!AC$20=1),Calculations!AC625," ")</f>
        <v>500</v>
      </c>
      <c r="AD154" s="94">
        <f>IF(OR(Calculations!AD$17=1,Calculations!AD$18=1, Calculations!AD$19=1, Calculations!AD$20=1),Calculations!AD625," ")</f>
        <v>500</v>
      </c>
      <c r="AE154" s="94">
        <f>IF(OR(Calculations!AE$17=1,Calculations!AE$18=1, Calculations!AE$19=1, Calculations!AE$20=1),Calculations!AE625," ")</f>
        <v>500</v>
      </c>
      <c r="AF154" s="94">
        <f>IF(OR(Calculations!AF$17=1,Calculations!AF$18=1, Calculations!AF$19=1, Calculations!AF$20=1),Calculations!AF625," ")</f>
        <v>500</v>
      </c>
      <c r="AG154" s="94">
        <f>IF(OR(Calculations!AG$17=1,Calculations!AG$18=1, Calculations!AG$19=1, Calculations!AG$20=1),Calculations!AG625," ")</f>
        <v>500</v>
      </c>
      <c r="AH154" s="94">
        <f>IF(OR(Calculations!AH$17=1,Calculations!AH$18=1, Calculations!AH$19=1, Calculations!AH$20=1),Calculations!AH625," ")</f>
        <v>500</v>
      </c>
    </row>
    <row r="155" spans="1:34" s="412" customFormat="1" x14ac:dyDescent="0.2">
      <c r="A155" s="18"/>
      <c r="B155" s="80" t="str">
        <f>B147</f>
        <v>Sub-urban passenger</v>
      </c>
      <c r="C155" s="80"/>
      <c r="D155" s="80"/>
      <c r="E155" s="94">
        <f>IF(OR(Calculations!E$17=1,Calculations!E$18=1, Calculations!E$19=1, Calculations!E$20=1),Calculations!E626,0)</f>
        <v>500</v>
      </c>
      <c r="F155" s="94">
        <f>IF(OR(Calculations!F$17=1,Calculations!F$18=1, Calculations!F$19=1, Calculations!F$20=1),Calculations!F626,0)</f>
        <v>500</v>
      </c>
      <c r="G155" s="94">
        <f>IF(OR(Calculations!G$17=1,Calculations!G$18=1, Calculations!G$19=1, Calculations!G$20=1),Calculations!G626,0)</f>
        <v>500</v>
      </c>
      <c r="H155" s="94">
        <f>IF(OR(Calculations!H$17=1,Calculations!H$18=1, Calculations!H$19=1, Calculations!H$20=1),Calculations!H626,0)</f>
        <v>500</v>
      </c>
      <c r="I155" s="94">
        <f>IF(OR(Calculations!I$17=1,Calculations!I$18=1, Calculations!I$19=1, Calculations!I$20=1),Calculations!I626,0)</f>
        <v>500</v>
      </c>
      <c r="J155" s="94">
        <f>IF(OR(Calculations!J$17=1,Calculations!J$18=1, Calculations!J$19=1, Calculations!J$20=1),Calculations!J626," ")</f>
        <v>500</v>
      </c>
      <c r="K155" s="94">
        <f>IF(OR(Calculations!K$17=1,Calculations!K$18=1, Calculations!K$19=1, Calculations!K$20=1),Calculations!K626," ")</f>
        <v>500</v>
      </c>
      <c r="L155" s="94">
        <f>IF(OR(Calculations!L$17=1,Calculations!L$18=1, Calculations!L$19=1, Calculations!L$20=1),Calculations!L626," ")</f>
        <v>500</v>
      </c>
      <c r="M155" s="94">
        <f>IF(OR(Calculations!M$17=1,Calculations!M$18=1, Calculations!M$19=1, Calculations!M$20=1),Calculations!M626," ")</f>
        <v>500</v>
      </c>
      <c r="N155" s="94">
        <f>IF(OR(Calculations!N$17=1,Calculations!N$18=1, Calculations!N$19=1, Calculations!N$20=1),Calculations!N626," ")</f>
        <v>500</v>
      </c>
      <c r="O155" s="94">
        <f>IF(OR(Calculations!O$17=1,Calculations!O$18=1, Calculations!O$19=1, Calculations!O$20=1),Calculations!O626," ")</f>
        <v>500</v>
      </c>
      <c r="P155" s="94">
        <f>IF(OR(Calculations!P$17=1,Calculations!P$18=1, Calculations!P$19=1, Calculations!P$20=1),Calculations!P626," ")</f>
        <v>500</v>
      </c>
      <c r="Q155" s="94">
        <f>IF(OR(Calculations!Q$17=1,Calculations!Q$18=1, Calculations!Q$19=1, Calculations!Q$20=1),Calculations!Q626," ")</f>
        <v>500</v>
      </c>
      <c r="R155" s="94">
        <f>IF(OR(Calculations!R$17=1,Calculations!R$18=1, Calculations!R$19=1, Calculations!R$20=1),Calculations!R626," ")</f>
        <v>500</v>
      </c>
      <c r="S155" s="94">
        <f>IF(OR(Calculations!S$17=1,Calculations!S$18=1, Calculations!S$19=1, Calculations!S$20=1),Calculations!S626," ")</f>
        <v>500</v>
      </c>
      <c r="T155" s="94">
        <f>IF(OR(Calculations!T$17=1,Calculations!T$18=1, Calculations!T$19=1, Calculations!T$20=1),Calculations!T626," ")</f>
        <v>500</v>
      </c>
      <c r="U155" s="94">
        <f>IF(OR(Calculations!U$17=1,Calculations!U$18=1, Calculations!U$19=1, Calculations!U$20=1),Calculations!U626," ")</f>
        <v>500</v>
      </c>
      <c r="V155" s="94">
        <f>IF(OR(Calculations!V$17=1,Calculations!V$18=1, Calculations!V$19=1, Calculations!V$20=1),Calculations!V626," ")</f>
        <v>500</v>
      </c>
      <c r="W155" s="94">
        <f>IF(OR(Calculations!W$17=1,Calculations!W$18=1, Calculations!W$19=1, Calculations!W$20=1),Calculations!W626," ")</f>
        <v>500</v>
      </c>
      <c r="X155" s="94">
        <f>IF(OR(Calculations!X$17=1,Calculations!X$18=1, Calculations!X$19=1, Calculations!X$20=1),Calculations!X626," ")</f>
        <v>500</v>
      </c>
      <c r="Y155" s="94">
        <f>IF(OR(Calculations!Y$17=1,Calculations!Y$18=1, Calculations!Y$19=1, Calculations!Y$20=1),Calculations!Y626," ")</f>
        <v>500</v>
      </c>
      <c r="Z155" s="94">
        <f>IF(OR(Calculations!Z$17=1,Calculations!Z$18=1, Calculations!Z$19=1, Calculations!Z$20=1),Calculations!Z626," ")</f>
        <v>500</v>
      </c>
      <c r="AA155" s="94">
        <f>IF(OR(Calculations!AA$17=1,Calculations!AA$18=1, Calculations!AA$19=1, Calculations!AA$20=1),Calculations!AA626," ")</f>
        <v>500</v>
      </c>
      <c r="AB155" s="94">
        <f>IF(OR(Calculations!AB$17=1,Calculations!AB$18=1, Calculations!AB$19=1, Calculations!AB$20=1),Calculations!AB626," ")</f>
        <v>500</v>
      </c>
      <c r="AC155" s="94">
        <f>IF(OR(Calculations!AC$17=1,Calculations!AC$18=1, Calculations!AC$19=1, Calculations!AC$20=1),Calculations!AC626," ")</f>
        <v>500</v>
      </c>
      <c r="AD155" s="94">
        <f>IF(OR(Calculations!AD$17=1,Calculations!AD$18=1, Calculations!AD$19=1, Calculations!AD$20=1),Calculations!AD626," ")</f>
        <v>500</v>
      </c>
      <c r="AE155" s="94">
        <f>IF(OR(Calculations!AE$17=1,Calculations!AE$18=1, Calculations!AE$19=1, Calculations!AE$20=1),Calculations!AE626," ")</f>
        <v>500</v>
      </c>
      <c r="AF155" s="94">
        <f>IF(OR(Calculations!AF$17=1,Calculations!AF$18=1, Calculations!AF$19=1, Calculations!AF$20=1),Calculations!AF626," ")</f>
        <v>500</v>
      </c>
      <c r="AG155" s="94">
        <f>IF(OR(Calculations!AG$17=1,Calculations!AG$18=1, Calculations!AG$19=1, Calculations!AG$20=1),Calculations!AG626," ")</f>
        <v>500</v>
      </c>
      <c r="AH155" s="94">
        <f>IF(OR(Calculations!AH$17=1,Calculations!AH$18=1, Calculations!AH$19=1, Calculations!AH$20=1),Calculations!AH626," ")</f>
        <v>500</v>
      </c>
    </row>
    <row r="156" spans="1:34" s="412" customFormat="1" x14ac:dyDescent="0.2">
      <c r="A156" s="18"/>
      <c r="B156" s="80" t="s">
        <v>297</v>
      </c>
      <c r="C156" s="80"/>
      <c r="D156" s="80"/>
      <c r="E156" s="128" t="str">
        <f>IF(E132=1,IF(($E152+SUM($F$132:$AH$132))=E152,(SUM(E153:E155)/SUM($E153:$E155))^(1/SUM($F$132:$AH$132))-1," "),0)</f>
        <v xml:space="preserve"> </v>
      </c>
      <c r="F156" s="128" t="str">
        <f t="shared" ref="F156:I156" si="6">IF(F132=1,IF(($E152+SUM($F$132:$AH$132))=F152,(SUM(F153:F155)/SUM($E153:$E155))^(1/SUM($F$132:$AH$132))-1," "),0)</f>
        <v xml:space="preserve"> </v>
      </c>
      <c r="G156" s="128" t="str">
        <f t="shared" si="6"/>
        <v xml:space="preserve"> </v>
      </c>
      <c r="H156" s="128" t="str">
        <f t="shared" si="6"/>
        <v xml:space="preserve"> </v>
      </c>
      <c r="I156" s="128" t="str">
        <f t="shared" si="6"/>
        <v xml:space="preserve"> </v>
      </c>
      <c r="J156" s="128" t="str">
        <f t="shared" ref="J156:AH156" si="7">IF(J132=1,IF(($E152+SUM($F$132:$AH$132))=J152,(SUM(J153:J155)/SUM($E153:$E155))^(1/SUM($F$132:$AH$132))-1," ")," ")</f>
        <v xml:space="preserve"> </v>
      </c>
      <c r="K156" s="128" t="str">
        <f t="shared" si="7"/>
        <v xml:space="preserve"> </v>
      </c>
      <c r="L156" s="128" t="str">
        <f t="shared" si="7"/>
        <v xml:space="preserve"> </v>
      </c>
      <c r="M156" s="128" t="str">
        <f t="shared" si="7"/>
        <v xml:space="preserve"> </v>
      </c>
      <c r="N156" s="128" t="str">
        <f t="shared" si="7"/>
        <v xml:space="preserve"> </v>
      </c>
      <c r="O156" s="128" t="str">
        <f t="shared" si="7"/>
        <v xml:space="preserve"> </v>
      </c>
      <c r="P156" s="128" t="str">
        <f t="shared" si="7"/>
        <v xml:space="preserve"> </v>
      </c>
      <c r="Q156" s="128" t="str">
        <f t="shared" si="7"/>
        <v xml:space="preserve"> </v>
      </c>
      <c r="R156" s="128" t="str">
        <f t="shared" si="7"/>
        <v xml:space="preserve"> </v>
      </c>
      <c r="S156" s="128" t="str">
        <f t="shared" si="7"/>
        <v xml:space="preserve"> </v>
      </c>
      <c r="T156" s="128" t="str">
        <f t="shared" si="7"/>
        <v xml:space="preserve"> </v>
      </c>
      <c r="U156" s="128" t="str">
        <f t="shared" si="7"/>
        <v xml:space="preserve"> </v>
      </c>
      <c r="V156" s="128" t="str">
        <f t="shared" si="7"/>
        <v xml:space="preserve"> </v>
      </c>
      <c r="W156" s="128" t="str">
        <f t="shared" si="7"/>
        <v xml:space="preserve"> </v>
      </c>
      <c r="X156" s="128" t="str">
        <f t="shared" si="7"/>
        <v xml:space="preserve"> </v>
      </c>
      <c r="Y156" s="128" t="str">
        <f t="shared" si="7"/>
        <v xml:space="preserve"> </v>
      </c>
      <c r="Z156" s="128" t="str">
        <f t="shared" si="7"/>
        <v xml:space="preserve"> </v>
      </c>
      <c r="AA156" s="128" t="str">
        <f t="shared" si="7"/>
        <v xml:space="preserve"> </v>
      </c>
      <c r="AB156" s="128" t="str">
        <f t="shared" si="7"/>
        <v xml:space="preserve"> </v>
      </c>
      <c r="AC156" s="128" t="str">
        <f t="shared" si="7"/>
        <v xml:space="preserve"> </v>
      </c>
      <c r="AD156" s="128" t="str">
        <f t="shared" si="7"/>
        <v xml:space="preserve"> </v>
      </c>
      <c r="AE156" s="128" t="str">
        <f t="shared" si="7"/>
        <v xml:space="preserve"> </v>
      </c>
      <c r="AF156" s="128" t="str">
        <f t="shared" si="7"/>
        <v xml:space="preserve"> </v>
      </c>
      <c r="AG156" s="128" t="str">
        <f t="shared" si="7"/>
        <v xml:space="preserve"> </v>
      </c>
      <c r="AH156" s="128">
        <f t="shared" si="7"/>
        <v>0</v>
      </c>
    </row>
    <row r="157" spans="1:34" s="412" customFormat="1" x14ac:dyDescent="0.2">
      <c r="A157" s="18"/>
      <c r="B157" s="80"/>
      <c r="C157" s="80"/>
      <c r="D157" s="80"/>
      <c r="E157" s="94"/>
      <c r="F157" s="94"/>
      <c r="G157" s="94"/>
      <c r="H157" s="94"/>
      <c r="I157" s="94"/>
      <c r="J157" s="94"/>
      <c r="K157" s="94"/>
      <c r="L157" s="94"/>
      <c r="M157" s="94"/>
      <c r="N157" s="94"/>
      <c r="O157" s="94"/>
      <c r="P157" s="94"/>
      <c r="Q157" s="94"/>
      <c r="R157" s="94"/>
      <c r="S157" s="94"/>
      <c r="T157" s="94"/>
      <c r="U157" s="94"/>
      <c r="V157" s="94"/>
      <c r="W157" s="94"/>
      <c r="X157" s="94"/>
      <c r="Y157" s="94"/>
      <c r="Z157" s="94"/>
      <c r="AA157" s="94"/>
      <c r="AB157" s="94"/>
      <c r="AC157" s="94"/>
      <c r="AD157" s="94"/>
      <c r="AE157" s="94"/>
      <c r="AF157" s="94"/>
      <c r="AG157" s="94"/>
      <c r="AH157" s="94"/>
    </row>
    <row r="158" spans="1:34" s="412" customFormat="1" x14ac:dyDescent="0.2">
      <c r="A158" s="18"/>
      <c r="B158" s="90" t="s">
        <v>371</v>
      </c>
      <c r="C158" s="80"/>
      <c r="D158" s="80"/>
      <c r="E158" s="80" t="s">
        <v>305</v>
      </c>
      <c r="F158" s="80" t="s">
        <v>371</v>
      </c>
      <c r="G158" s="80"/>
      <c r="H158" s="80"/>
      <c r="I158" s="80"/>
      <c r="J158" s="80"/>
      <c r="K158" s="80"/>
      <c r="L158" s="80"/>
      <c r="M158" s="80"/>
      <c r="N158" s="80"/>
      <c r="O158" s="80"/>
      <c r="P158" s="80"/>
      <c r="Q158" s="80"/>
      <c r="R158" s="80"/>
      <c r="S158" s="80"/>
      <c r="T158" s="80"/>
      <c r="U158" s="80"/>
      <c r="V158" s="80"/>
      <c r="W158" s="80"/>
      <c r="X158" s="80"/>
      <c r="Y158" s="80"/>
      <c r="Z158" s="80"/>
      <c r="AA158" s="80"/>
      <c r="AB158" s="80"/>
      <c r="AC158" s="80"/>
      <c r="AD158" s="80"/>
      <c r="AE158" s="80"/>
      <c r="AF158" s="80"/>
      <c r="AG158" s="80"/>
      <c r="AH158" s="80"/>
    </row>
    <row r="159" spans="1:34" s="412" customFormat="1" x14ac:dyDescent="0.2">
      <c r="A159" s="18"/>
      <c r="B159" s="80"/>
      <c r="C159" s="80"/>
      <c r="D159" s="80"/>
      <c r="E159" s="93">
        <f>YEAR('Charts - Freight'!E$131)</f>
        <v>2010</v>
      </c>
      <c r="F159" s="93">
        <f>YEAR('Charts - Freight'!F$131)</f>
        <v>2011</v>
      </c>
      <c r="G159" s="93">
        <f>YEAR('Charts - Freight'!G$131)</f>
        <v>2012</v>
      </c>
      <c r="H159" s="93">
        <f>YEAR('Charts - Freight'!H$131)</f>
        <v>2013</v>
      </c>
      <c r="I159" s="93">
        <f>YEAR('Charts - Freight'!I$131)</f>
        <v>2014</v>
      </c>
      <c r="J159" s="93">
        <f>YEAR('Charts - Freight'!J$131)</f>
        <v>2015</v>
      </c>
      <c r="K159" s="93">
        <f>YEAR('Charts - Freight'!K$131)</f>
        <v>2016</v>
      </c>
      <c r="L159" s="93">
        <f>YEAR('Charts - Freight'!L$131)</f>
        <v>2017</v>
      </c>
      <c r="M159" s="93">
        <f>YEAR('Charts - Freight'!M$131)</f>
        <v>2018</v>
      </c>
      <c r="N159" s="93">
        <f>YEAR('Charts - Freight'!N$131)</f>
        <v>2019</v>
      </c>
      <c r="O159" s="93">
        <f>YEAR('Charts - Freight'!O$131)</f>
        <v>2020</v>
      </c>
      <c r="P159" s="93">
        <f>YEAR('Charts - Freight'!P$131)</f>
        <v>2021</v>
      </c>
      <c r="Q159" s="93">
        <f>YEAR('Charts - Freight'!Q$131)</f>
        <v>2022</v>
      </c>
      <c r="R159" s="93">
        <f>YEAR('Charts - Freight'!R$131)</f>
        <v>2023</v>
      </c>
      <c r="S159" s="93">
        <f>YEAR('Charts - Freight'!S$131)</f>
        <v>2024</v>
      </c>
      <c r="T159" s="93">
        <f>YEAR('Charts - Freight'!T$131)</f>
        <v>2025</v>
      </c>
      <c r="U159" s="93">
        <f>YEAR('Charts - Freight'!U$131)</f>
        <v>2026</v>
      </c>
      <c r="V159" s="93">
        <f>YEAR('Charts - Freight'!V$131)</f>
        <v>2027</v>
      </c>
      <c r="W159" s="93">
        <f>YEAR('Charts - Freight'!W$131)</f>
        <v>2028</v>
      </c>
      <c r="X159" s="93">
        <f>YEAR('Charts - Freight'!X$131)</f>
        <v>2029</v>
      </c>
      <c r="Y159" s="93">
        <f>YEAR('Charts - Freight'!Y$131)</f>
        <v>2030</v>
      </c>
      <c r="Z159" s="93">
        <f>YEAR('Charts - Freight'!Z$131)</f>
        <v>2031</v>
      </c>
      <c r="AA159" s="93">
        <f>YEAR('Charts - Freight'!AA$131)</f>
        <v>2032</v>
      </c>
      <c r="AB159" s="93">
        <f>YEAR('Charts - Freight'!AB$131)</f>
        <v>2033</v>
      </c>
      <c r="AC159" s="93">
        <f>YEAR('Charts - Freight'!AC$131)</f>
        <v>2034</v>
      </c>
      <c r="AD159" s="93">
        <f>YEAR('Charts - Freight'!AD$131)</f>
        <v>2035</v>
      </c>
      <c r="AE159" s="93">
        <f>YEAR('Charts - Freight'!AE$131)</f>
        <v>2036</v>
      </c>
      <c r="AF159" s="93">
        <f>YEAR('Charts - Freight'!AF$131)</f>
        <v>2037</v>
      </c>
      <c r="AG159" s="93">
        <f>YEAR('Charts - Freight'!AG$131)</f>
        <v>2038</v>
      </c>
      <c r="AH159" s="93">
        <f>YEAR('Charts - Freight'!AH$131)</f>
        <v>2039</v>
      </c>
    </row>
    <row r="160" spans="1:34" s="412" customFormat="1" x14ac:dyDescent="0.2">
      <c r="A160" s="18"/>
      <c r="B160" s="80" t="str">
        <f>B153</f>
        <v>Domestic passenger</v>
      </c>
      <c r="C160" s="80"/>
      <c r="D160" s="80"/>
      <c r="E160" s="94">
        <f>IF(OR(Calculations!E$17=1,Calculations!E$18=1, Calculations!E$19=1, Calculations!E$20=1),Calculations!E619:E619,0)</f>
        <v>8000</v>
      </c>
      <c r="F160" s="94">
        <f>IF(OR(Calculations!F$17=1,Calculations!F$18=1, Calculations!F$19=1, Calculations!F$20=1),Calculations!F619:F619,0)</f>
        <v>8500</v>
      </c>
      <c r="G160" s="94">
        <f>IF(OR(Calculations!G$17=1,Calculations!G$18=1, Calculations!G$19=1, Calculations!G$20=1),Calculations!G619:G619,0)</f>
        <v>8500</v>
      </c>
      <c r="H160" s="94">
        <f>IF(OR(Calculations!H$17=1,Calculations!H$18=1, Calculations!H$19=1, Calculations!H$20=1),Calculations!H619:H619,0)</f>
        <v>9000</v>
      </c>
      <c r="I160" s="94">
        <f>IF(OR(Calculations!I$17=1,Calculations!I$18=1, Calculations!I$19=1, Calculations!I$20=1),Calculations!I619:I619,0)</f>
        <v>10000</v>
      </c>
      <c r="J160" s="94">
        <f>IF(OR(Calculations!J$17=1,Calculations!J$18=1, Calculations!J$19=1, Calculations!J$20=1),Calculations!J619:J619," ")</f>
        <v>10500</v>
      </c>
      <c r="K160" s="94">
        <f>IF(OR(Calculations!K$17=1,Calculations!K$18=1, Calculations!K$19=1, Calculations!K$20=1),Calculations!K619:K619," ")</f>
        <v>11000</v>
      </c>
      <c r="L160" s="94">
        <f>IF(OR(Calculations!L$17=1,Calculations!L$18=1, Calculations!L$19=1, Calculations!L$20=1),Calculations!L619:L619," ")</f>
        <v>11500</v>
      </c>
      <c r="M160" s="94">
        <f>IF(OR(Calculations!M$17=1,Calculations!M$18=1, Calculations!M$19=1, Calculations!M$20=1),Calculations!M619:M619," ")</f>
        <v>12000</v>
      </c>
      <c r="N160" s="94">
        <f>IF(OR(Calculations!N$17=1,Calculations!N$18=1, Calculations!N$19=1, Calculations!N$20=1),Calculations!N619:N619," ")</f>
        <v>12500</v>
      </c>
      <c r="O160" s="94">
        <f>IF(OR(Calculations!O$17=1,Calculations!O$18=1, Calculations!O$19=1, Calculations!O$20=1),Calculations!O619:O619," ")</f>
        <v>13000</v>
      </c>
      <c r="P160" s="94">
        <f>IF(OR(Calculations!P$17=1,Calculations!P$18=1, Calculations!P$19=1, Calculations!P$20=1),Calculations!P619:P619," ")</f>
        <v>13500</v>
      </c>
      <c r="Q160" s="94">
        <f>IF(OR(Calculations!Q$17=1,Calculations!Q$18=1, Calculations!Q$19=1, Calculations!Q$20=1),Calculations!Q619:Q619," ")</f>
        <v>14000</v>
      </c>
      <c r="R160" s="94">
        <f>IF(OR(Calculations!R$17=1,Calculations!R$18=1, Calculations!R$19=1, Calculations!R$20=1),Calculations!R619:R619," ")</f>
        <v>14500</v>
      </c>
      <c r="S160" s="94">
        <f>IF(OR(Calculations!S$17=1,Calculations!S$18=1, Calculations!S$19=1, Calculations!S$20=1),Calculations!S619:S619," ")</f>
        <v>15000</v>
      </c>
      <c r="T160" s="94">
        <f>IF(OR(Calculations!T$17=1,Calculations!T$18=1, Calculations!T$19=1, Calculations!T$20=1),Calculations!T619:T619," ")</f>
        <v>15500</v>
      </c>
      <c r="U160" s="94">
        <f>IF(OR(Calculations!U$17=1,Calculations!U$18=1, Calculations!U$19=1, Calculations!U$20=1),Calculations!U619:U619," ")</f>
        <v>16000</v>
      </c>
      <c r="V160" s="94">
        <f>IF(OR(Calculations!V$17=1,Calculations!V$18=1, Calculations!V$19=1, Calculations!V$20=1),Calculations!V619:V619," ")</f>
        <v>16500</v>
      </c>
      <c r="W160" s="94">
        <f>IF(OR(Calculations!W$17=1,Calculations!W$18=1, Calculations!W$19=1, Calculations!W$20=1),Calculations!W619:W619," ")</f>
        <v>17000</v>
      </c>
      <c r="X160" s="94">
        <f>IF(OR(Calculations!X$17=1,Calculations!X$18=1, Calculations!X$19=1, Calculations!X$20=1),Calculations!X619:X619," ")</f>
        <v>17500</v>
      </c>
      <c r="Y160" s="94">
        <f>IF(OR(Calculations!Y$17=1,Calculations!Y$18=1, Calculations!Y$19=1, Calculations!Y$20=1),Calculations!Y619:Y619," ")</f>
        <v>18000</v>
      </c>
      <c r="Z160" s="94">
        <f>IF(OR(Calculations!Z$17=1,Calculations!Z$18=1, Calculations!Z$19=1, Calculations!Z$20=1),Calculations!Z619:Z619," ")</f>
        <v>18500</v>
      </c>
      <c r="AA160" s="94">
        <f>IF(OR(Calculations!AA$17=1,Calculations!AA$18=1, Calculations!AA$19=1, Calculations!AA$20=1),Calculations!AA619:AA619," ")</f>
        <v>19000</v>
      </c>
      <c r="AB160" s="94">
        <f>IF(OR(Calculations!AB$17=1,Calculations!AB$18=1, Calculations!AB$19=1, Calculations!AB$20=1),Calculations!AB619:AB619," ")</f>
        <v>19500</v>
      </c>
      <c r="AC160" s="94">
        <f>IF(OR(Calculations!AC$17=1,Calculations!AC$18=1, Calculations!AC$19=1, Calculations!AC$20=1),Calculations!AC619:AC619," ")</f>
        <v>20000</v>
      </c>
      <c r="AD160" s="94">
        <f>IF(OR(Calculations!AD$17=1,Calculations!AD$18=1, Calculations!AD$19=1, Calculations!AD$20=1),Calculations!AD619:AD619," ")</f>
        <v>20500</v>
      </c>
      <c r="AE160" s="94">
        <f>IF(OR(Calculations!AE$17=1,Calculations!AE$18=1, Calculations!AE$19=1, Calculations!AE$20=1),Calculations!AE619:AE619," ")</f>
        <v>21000</v>
      </c>
      <c r="AF160" s="94">
        <f>IF(OR(Calculations!AF$17=1,Calculations!AF$18=1, Calculations!AF$19=1, Calculations!AF$20=1),Calculations!AF619:AF619," ")</f>
        <v>21500</v>
      </c>
      <c r="AG160" s="94">
        <f>IF(OR(Calculations!AG$17=1,Calculations!AG$18=1, Calculations!AG$19=1, Calculations!AG$20=1),Calculations!AG619:AG619," ")</f>
        <v>22000</v>
      </c>
      <c r="AH160" s="94">
        <f>IF(OR(Calculations!AH$17=1,Calculations!AH$18=1, Calculations!AH$19=1, Calculations!AH$20=1),Calculations!AH619:AH619," ")</f>
        <v>22500</v>
      </c>
    </row>
    <row r="161" spans="1:34" s="412" customFormat="1" x14ac:dyDescent="0.2">
      <c r="A161" s="18"/>
      <c r="B161" s="80" t="str">
        <f>B154</f>
        <v>International passenger</v>
      </c>
      <c r="C161" s="80"/>
      <c r="D161" s="80"/>
      <c r="E161" s="94">
        <f>IF(OR(Calculations!E$17=1,Calculations!E$18=1, Calculations!E$19=1, Calculations!E$20=1),Calculations!E620:E620,0)</f>
        <v>8000</v>
      </c>
      <c r="F161" s="94">
        <f>IF(OR(Calculations!F$17=1,Calculations!F$18=1, Calculations!F$19=1, Calculations!F$20=1),Calculations!F620:F620,0)</f>
        <v>8500</v>
      </c>
      <c r="G161" s="94">
        <f>IF(OR(Calculations!G$17=1,Calculations!G$18=1, Calculations!G$19=1, Calculations!G$20=1),Calculations!G620:G620,0)</f>
        <v>8500</v>
      </c>
      <c r="H161" s="94">
        <f>IF(OR(Calculations!H$17=1,Calculations!H$18=1, Calculations!H$19=1, Calculations!H$20=1),Calculations!H620:H620,0)</f>
        <v>9000</v>
      </c>
      <c r="I161" s="94">
        <f>IF(OR(Calculations!I$17=1,Calculations!I$18=1, Calculations!I$19=1, Calculations!I$20=1),Calculations!I620:I620,0)</f>
        <v>10000</v>
      </c>
      <c r="J161" s="94">
        <f>IF(OR(Calculations!J$17=1,Calculations!J$18=1, Calculations!J$19=1, Calculations!J$20=1),Calculations!J620:J620," ")</f>
        <v>10500</v>
      </c>
      <c r="K161" s="94">
        <f>IF(OR(Calculations!K$17=1,Calculations!K$18=1, Calculations!K$19=1, Calculations!K$20=1),Calculations!K620:K620," ")</f>
        <v>11000</v>
      </c>
      <c r="L161" s="94">
        <f>IF(OR(Calculations!L$17=1,Calculations!L$18=1, Calculations!L$19=1, Calculations!L$20=1),Calculations!L620:L620," ")</f>
        <v>11500</v>
      </c>
      <c r="M161" s="94">
        <f>IF(OR(Calculations!M$17=1,Calculations!M$18=1, Calculations!M$19=1, Calculations!M$20=1),Calculations!M620:M620," ")</f>
        <v>12000</v>
      </c>
      <c r="N161" s="94">
        <f>IF(OR(Calculations!N$17=1,Calculations!N$18=1, Calculations!N$19=1, Calculations!N$20=1),Calculations!N620:N620," ")</f>
        <v>12500</v>
      </c>
      <c r="O161" s="94">
        <f>IF(OR(Calculations!O$17=1,Calculations!O$18=1, Calculations!O$19=1, Calculations!O$20=1),Calculations!O620:O620," ")</f>
        <v>13000</v>
      </c>
      <c r="P161" s="94">
        <f>IF(OR(Calculations!P$17=1,Calculations!P$18=1, Calculations!P$19=1, Calculations!P$20=1),Calculations!P620:P620," ")</f>
        <v>13500</v>
      </c>
      <c r="Q161" s="94">
        <f>IF(OR(Calculations!Q$17=1,Calculations!Q$18=1, Calculations!Q$19=1, Calculations!Q$20=1),Calculations!Q620:Q620," ")</f>
        <v>14000</v>
      </c>
      <c r="R161" s="94">
        <f>IF(OR(Calculations!R$17=1,Calculations!R$18=1, Calculations!R$19=1, Calculations!R$20=1),Calculations!R620:R620," ")</f>
        <v>14500</v>
      </c>
      <c r="S161" s="94">
        <f>IF(OR(Calculations!S$17=1,Calculations!S$18=1, Calculations!S$19=1, Calculations!S$20=1),Calculations!S620:S620," ")</f>
        <v>15000</v>
      </c>
      <c r="T161" s="94">
        <f>IF(OR(Calculations!T$17=1,Calculations!T$18=1, Calculations!T$19=1, Calculations!T$20=1),Calculations!T620:T620," ")</f>
        <v>15500</v>
      </c>
      <c r="U161" s="94">
        <f>IF(OR(Calculations!U$17=1,Calculations!U$18=1, Calculations!U$19=1, Calculations!U$20=1),Calculations!U620:U620," ")</f>
        <v>16000</v>
      </c>
      <c r="V161" s="94">
        <f>IF(OR(Calculations!V$17=1,Calculations!V$18=1, Calculations!V$19=1, Calculations!V$20=1),Calculations!V620:V620," ")</f>
        <v>16500</v>
      </c>
      <c r="W161" s="94">
        <f>IF(OR(Calculations!W$17=1,Calculations!W$18=1, Calculations!W$19=1, Calculations!W$20=1),Calculations!W620:W620," ")</f>
        <v>17000</v>
      </c>
      <c r="X161" s="94">
        <f>IF(OR(Calculations!X$17=1,Calculations!X$18=1, Calculations!X$19=1, Calculations!X$20=1),Calculations!X620:X620," ")</f>
        <v>17500</v>
      </c>
      <c r="Y161" s="94">
        <f>IF(OR(Calculations!Y$17=1,Calculations!Y$18=1, Calculations!Y$19=1, Calculations!Y$20=1),Calculations!Y620:Y620," ")</f>
        <v>18000</v>
      </c>
      <c r="Z161" s="94">
        <f>IF(OR(Calculations!Z$17=1,Calculations!Z$18=1, Calculations!Z$19=1, Calculations!Z$20=1),Calculations!Z620:Z620," ")</f>
        <v>18500</v>
      </c>
      <c r="AA161" s="94">
        <f>IF(OR(Calculations!AA$17=1,Calculations!AA$18=1, Calculations!AA$19=1, Calculations!AA$20=1),Calculations!AA620:AA620," ")</f>
        <v>19000</v>
      </c>
      <c r="AB161" s="94">
        <f>IF(OR(Calculations!AB$17=1,Calculations!AB$18=1, Calculations!AB$19=1, Calculations!AB$20=1),Calculations!AB620:AB620," ")</f>
        <v>19500</v>
      </c>
      <c r="AC161" s="94">
        <f>IF(OR(Calculations!AC$17=1,Calculations!AC$18=1, Calculations!AC$19=1, Calculations!AC$20=1),Calculations!AC620:AC620," ")</f>
        <v>20000</v>
      </c>
      <c r="AD161" s="94">
        <f>IF(OR(Calculations!AD$17=1,Calculations!AD$18=1, Calculations!AD$19=1, Calculations!AD$20=1),Calculations!AD620:AD620," ")</f>
        <v>20500</v>
      </c>
      <c r="AE161" s="94">
        <f>IF(OR(Calculations!AE$17=1,Calculations!AE$18=1, Calculations!AE$19=1, Calculations!AE$20=1),Calculations!AE620:AE620," ")</f>
        <v>21000</v>
      </c>
      <c r="AF161" s="94">
        <f>IF(OR(Calculations!AF$17=1,Calculations!AF$18=1, Calculations!AF$19=1, Calculations!AF$20=1),Calculations!AF620:AF620," ")</f>
        <v>21500</v>
      </c>
      <c r="AG161" s="94">
        <f>IF(OR(Calculations!AG$17=1,Calculations!AG$18=1, Calculations!AG$19=1, Calculations!AG$20=1),Calculations!AG620:AG620," ")</f>
        <v>22000</v>
      </c>
      <c r="AH161" s="94">
        <f>IF(OR(Calculations!AH$17=1,Calculations!AH$18=1, Calculations!AH$19=1, Calculations!AH$20=1),Calculations!AH620:AH620," ")</f>
        <v>22500</v>
      </c>
    </row>
    <row r="162" spans="1:34" s="412" customFormat="1" x14ac:dyDescent="0.2">
      <c r="A162" s="18"/>
      <c r="B162" s="80" t="str">
        <f>B155</f>
        <v>Sub-urban passenger</v>
      </c>
      <c r="C162" s="80"/>
      <c r="D162" s="80"/>
      <c r="E162" s="94">
        <f>IF(OR(Calculations!E$17=1,Calculations!E$18=1, Calculations!E$19=1, Calculations!E$20=1),Calculations!E621:E621,0)</f>
        <v>8000</v>
      </c>
      <c r="F162" s="94">
        <f>IF(OR(Calculations!F$17=1,Calculations!F$18=1, Calculations!F$19=1, Calculations!F$20=1),Calculations!F621:F621,0)</f>
        <v>8500</v>
      </c>
      <c r="G162" s="94">
        <f>IF(OR(Calculations!G$17=1,Calculations!G$18=1, Calculations!G$19=1, Calculations!G$20=1),Calculations!G621:G621,0)</f>
        <v>8500</v>
      </c>
      <c r="H162" s="94">
        <f>IF(OR(Calculations!H$17=1,Calculations!H$18=1, Calculations!H$19=1, Calculations!H$20=1),Calculations!H621:H621,0)</f>
        <v>9000</v>
      </c>
      <c r="I162" s="94">
        <f>IF(OR(Calculations!I$17=1,Calculations!I$18=1, Calculations!I$19=1, Calculations!I$20=1),Calculations!I621:I621,0)</f>
        <v>10000</v>
      </c>
      <c r="J162" s="94">
        <f>IF(OR(Calculations!J$17=1,Calculations!J$18=1, Calculations!J$19=1, Calculations!J$20=1),Calculations!J621:J621," ")</f>
        <v>10500</v>
      </c>
      <c r="K162" s="94">
        <f>IF(OR(Calculations!K$17=1,Calculations!K$18=1, Calculations!K$19=1, Calculations!K$20=1),Calculations!K621:K621," ")</f>
        <v>11000</v>
      </c>
      <c r="L162" s="94">
        <f>IF(OR(Calculations!L$17=1,Calculations!L$18=1, Calculations!L$19=1, Calculations!L$20=1),Calculations!L621:L621," ")</f>
        <v>11500</v>
      </c>
      <c r="M162" s="94">
        <f>IF(OR(Calculations!M$17=1,Calculations!M$18=1, Calculations!M$19=1, Calculations!M$20=1),Calculations!M621:M621," ")</f>
        <v>12000</v>
      </c>
      <c r="N162" s="94">
        <f>IF(OR(Calculations!N$17=1,Calculations!N$18=1, Calculations!N$19=1, Calculations!N$20=1),Calculations!N621:N621," ")</f>
        <v>12500</v>
      </c>
      <c r="O162" s="94">
        <f>IF(OR(Calculations!O$17=1,Calculations!O$18=1, Calculations!O$19=1, Calculations!O$20=1),Calculations!O621:O621," ")</f>
        <v>13000</v>
      </c>
      <c r="P162" s="94">
        <f>IF(OR(Calculations!P$17=1,Calculations!P$18=1, Calculations!P$19=1, Calculations!P$20=1),Calculations!P621:P621," ")</f>
        <v>13500</v>
      </c>
      <c r="Q162" s="94">
        <f>IF(OR(Calculations!Q$17=1,Calculations!Q$18=1, Calculations!Q$19=1, Calculations!Q$20=1),Calculations!Q621:Q621," ")</f>
        <v>14000</v>
      </c>
      <c r="R162" s="94">
        <f>IF(OR(Calculations!R$17=1,Calculations!R$18=1, Calculations!R$19=1, Calculations!R$20=1),Calculations!R621:R621," ")</f>
        <v>14500</v>
      </c>
      <c r="S162" s="94">
        <f>IF(OR(Calculations!S$17=1,Calculations!S$18=1, Calculations!S$19=1, Calculations!S$20=1),Calculations!S621:S621," ")</f>
        <v>15000</v>
      </c>
      <c r="T162" s="94">
        <f>IF(OR(Calculations!T$17=1,Calculations!T$18=1, Calculations!T$19=1, Calculations!T$20=1),Calculations!T621:T621," ")</f>
        <v>15500</v>
      </c>
      <c r="U162" s="94">
        <f>IF(OR(Calculations!U$17=1,Calculations!U$18=1, Calculations!U$19=1, Calculations!U$20=1),Calculations!U621:U621," ")</f>
        <v>16000</v>
      </c>
      <c r="V162" s="94">
        <f>IF(OR(Calculations!V$17=1,Calculations!V$18=1, Calculations!V$19=1, Calculations!V$20=1),Calculations!V621:V621," ")</f>
        <v>16500</v>
      </c>
      <c r="W162" s="94">
        <f>IF(OR(Calculations!W$17=1,Calculations!W$18=1, Calculations!W$19=1, Calculations!W$20=1),Calculations!W621:W621," ")</f>
        <v>17000</v>
      </c>
      <c r="X162" s="94">
        <f>IF(OR(Calculations!X$17=1,Calculations!X$18=1, Calculations!X$19=1, Calculations!X$20=1),Calculations!X621:X621," ")</f>
        <v>17500</v>
      </c>
      <c r="Y162" s="94">
        <f>IF(OR(Calculations!Y$17=1,Calculations!Y$18=1, Calculations!Y$19=1, Calculations!Y$20=1),Calculations!Y621:Y621," ")</f>
        <v>18000</v>
      </c>
      <c r="Z162" s="94">
        <f>IF(OR(Calculations!Z$17=1,Calculations!Z$18=1, Calculations!Z$19=1, Calculations!Z$20=1),Calculations!Z621:Z621," ")</f>
        <v>18500</v>
      </c>
      <c r="AA162" s="94">
        <f>IF(OR(Calculations!AA$17=1,Calculations!AA$18=1, Calculations!AA$19=1, Calculations!AA$20=1),Calculations!AA621:AA621," ")</f>
        <v>19000</v>
      </c>
      <c r="AB162" s="94">
        <f>IF(OR(Calculations!AB$17=1,Calculations!AB$18=1, Calculations!AB$19=1, Calculations!AB$20=1),Calculations!AB621:AB621," ")</f>
        <v>19500</v>
      </c>
      <c r="AC162" s="94">
        <f>IF(OR(Calculations!AC$17=1,Calculations!AC$18=1, Calculations!AC$19=1, Calculations!AC$20=1),Calculations!AC621:AC621," ")</f>
        <v>20000</v>
      </c>
      <c r="AD162" s="94">
        <f>IF(OR(Calculations!AD$17=1,Calculations!AD$18=1, Calculations!AD$19=1, Calculations!AD$20=1),Calculations!AD621:AD621," ")</f>
        <v>20500</v>
      </c>
      <c r="AE162" s="94">
        <f>IF(OR(Calculations!AE$17=1,Calculations!AE$18=1, Calculations!AE$19=1, Calculations!AE$20=1),Calculations!AE621:AE621," ")</f>
        <v>21000</v>
      </c>
      <c r="AF162" s="94">
        <f>IF(OR(Calculations!AF$17=1,Calculations!AF$18=1, Calculations!AF$19=1, Calculations!AF$20=1),Calculations!AF621:AF621," ")</f>
        <v>21500</v>
      </c>
      <c r="AG162" s="94">
        <f>IF(OR(Calculations!AG$17=1,Calculations!AG$18=1, Calculations!AG$19=1, Calculations!AG$20=1),Calculations!AG621:AG621," ")</f>
        <v>22000</v>
      </c>
      <c r="AH162" s="94">
        <f>IF(OR(Calculations!AH$17=1,Calculations!AH$18=1, Calculations!AH$19=1, Calculations!AH$20=1),Calculations!AH621:AH621," ")</f>
        <v>22500</v>
      </c>
    </row>
    <row r="163" spans="1:34" s="412" customFormat="1" x14ac:dyDescent="0.2">
      <c r="A163" s="18"/>
      <c r="B163" s="80" t="s">
        <v>297</v>
      </c>
      <c r="C163" s="80"/>
      <c r="D163" s="80"/>
      <c r="E163" s="128" t="str">
        <f>IF(E132=1,IF(($E159+SUM($F$132:$AH$132))=E159,(SUM(E160:E162)/SUM($E160:$E162))^(1/SUM($F$132:$AH$132))-1," "),0)</f>
        <v xml:space="preserve"> </v>
      </c>
      <c r="F163" s="128" t="str">
        <f t="shared" ref="F163:I163" si="8">IF(F132=1,IF(($E159+SUM($F$132:$AH$132))=F159,(SUM(F160:F162)/SUM($E160:$E162))^(1/SUM($F$132:$AH$132))-1," "),0)</f>
        <v xml:space="preserve"> </v>
      </c>
      <c r="G163" s="128" t="str">
        <f t="shared" si="8"/>
        <v xml:space="preserve"> </v>
      </c>
      <c r="H163" s="128" t="str">
        <f t="shared" si="8"/>
        <v xml:space="preserve"> </v>
      </c>
      <c r="I163" s="128" t="str">
        <f t="shared" si="8"/>
        <v xml:space="preserve"> </v>
      </c>
      <c r="J163" s="128" t="str">
        <f t="shared" ref="J163:AH163" si="9">IF(J132=1,IF(($E159+SUM($F$132:$AH$132))=J159,(SUM(J160:J162)/SUM($E160:$E162))^(1/SUM($F$132:$AH$132))-1," ")," ")</f>
        <v xml:space="preserve"> </v>
      </c>
      <c r="K163" s="128" t="str">
        <f t="shared" si="9"/>
        <v xml:space="preserve"> </v>
      </c>
      <c r="L163" s="128" t="str">
        <f t="shared" si="9"/>
        <v xml:space="preserve"> </v>
      </c>
      <c r="M163" s="128" t="str">
        <f t="shared" si="9"/>
        <v xml:space="preserve"> </v>
      </c>
      <c r="N163" s="128" t="str">
        <f t="shared" si="9"/>
        <v xml:space="preserve"> </v>
      </c>
      <c r="O163" s="128" t="str">
        <f t="shared" si="9"/>
        <v xml:space="preserve"> </v>
      </c>
      <c r="P163" s="128" t="str">
        <f t="shared" si="9"/>
        <v xml:space="preserve"> </v>
      </c>
      <c r="Q163" s="128" t="str">
        <f t="shared" si="9"/>
        <v xml:space="preserve"> </v>
      </c>
      <c r="R163" s="128" t="str">
        <f t="shared" si="9"/>
        <v xml:space="preserve"> </v>
      </c>
      <c r="S163" s="128" t="str">
        <f t="shared" si="9"/>
        <v xml:space="preserve"> </v>
      </c>
      <c r="T163" s="128" t="str">
        <f t="shared" si="9"/>
        <v xml:space="preserve"> </v>
      </c>
      <c r="U163" s="128" t="str">
        <f t="shared" si="9"/>
        <v xml:space="preserve"> </v>
      </c>
      <c r="V163" s="128" t="str">
        <f t="shared" si="9"/>
        <v xml:space="preserve"> </v>
      </c>
      <c r="W163" s="128" t="str">
        <f t="shared" si="9"/>
        <v xml:space="preserve"> </v>
      </c>
      <c r="X163" s="128" t="str">
        <f t="shared" si="9"/>
        <v xml:space="preserve"> </v>
      </c>
      <c r="Y163" s="128" t="str">
        <f t="shared" si="9"/>
        <v xml:space="preserve"> </v>
      </c>
      <c r="Z163" s="128" t="str">
        <f t="shared" si="9"/>
        <v xml:space="preserve"> </v>
      </c>
      <c r="AA163" s="128" t="str">
        <f t="shared" si="9"/>
        <v xml:space="preserve"> </v>
      </c>
      <c r="AB163" s="128" t="str">
        <f t="shared" si="9"/>
        <v xml:space="preserve"> </v>
      </c>
      <c r="AC163" s="128" t="str">
        <f t="shared" si="9"/>
        <v xml:space="preserve"> </v>
      </c>
      <c r="AD163" s="128" t="str">
        <f t="shared" si="9"/>
        <v xml:space="preserve"> </v>
      </c>
      <c r="AE163" s="128" t="str">
        <f t="shared" si="9"/>
        <v xml:space="preserve"> </v>
      </c>
      <c r="AF163" s="128" t="str">
        <f t="shared" si="9"/>
        <v xml:space="preserve"> </v>
      </c>
      <c r="AG163" s="128" t="str">
        <f t="shared" si="9"/>
        <v xml:space="preserve"> </v>
      </c>
      <c r="AH163" s="128">
        <f t="shared" si="9"/>
        <v>3.6301076626834794E-2</v>
      </c>
    </row>
    <row r="164" spans="1:34" s="412" customFormat="1" x14ac:dyDescent="0.2">
      <c r="A164" s="18"/>
      <c r="B164" s="80"/>
      <c r="C164" s="80"/>
      <c r="D164" s="80"/>
      <c r="E164" s="94"/>
      <c r="F164" s="94"/>
      <c r="G164" s="94"/>
      <c r="H164" s="94"/>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c r="AF164" s="94"/>
      <c r="AG164" s="94"/>
      <c r="AH164" s="94"/>
    </row>
    <row r="165" spans="1:34" s="412" customFormat="1" x14ac:dyDescent="0.2">
      <c r="A165" s="18"/>
      <c r="B165" s="90" t="str">
        <f>"Fares"&amp; " (" &amp; 'Assumptions - Passenger'!D137&amp;")"</f>
        <v>Fares (R$/Passenger-km)</v>
      </c>
      <c r="C165" s="80"/>
      <c r="D165" s="80"/>
      <c r="E165" s="80" t="s">
        <v>305</v>
      </c>
      <c r="F165" s="80" t="str">
        <f>'Assumptions - Passenger'!D137</f>
        <v>R$/Passenger-km</v>
      </c>
      <c r="G165" s="80" t="s">
        <v>308</v>
      </c>
      <c r="H165" s="80" t="str">
        <f>"Fare (" &amp;F165&amp;")"</f>
        <v>Fare (R$/Passenger-km)</v>
      </c>
      <c r="I165" s="80"/>
      <c r="J165" s="80"/>
      <c r="K165" s="80"/>
      <c r="L165" s="80"/>
      <c r="M165" s="80"/>
      <c r="N165" s="80"/>
      <c r="O165" s="80"/>
      <c r="P165" s="80"/>
      <c r="Q165" s="80"/>
      <c r="R165" s="80"/>
      <c r="S165" s="80"/>
      <c r="T165" s="80"/>
      <c r="U165" s="80"/>
      <c r="V165" s="80"/>
      <c r="W165" s="80"/>
      <c r="X165" s="80"/>
      <c r="Y165" s="80"/>
      <c r="Z165" s="80"/>
      <c r="AA165" s="80"/>
      <c r="AB165" s="80"/>
      <c r="AC165" s="80"/>
      <c r="AD165" s="80"/>
      <c r="AE165" s="80"/>
      <c r="AF165" s="80"/>
      <c r="AG165" s="80"/>
      <c r="AH165" s="80"/>
    </row>
    <row r="166" spans="1:34" s="412" customFormat="1" x14ac:dyDescent="0.2">
      <c r="A166" s="18"/>
      <c r="B166" s="80"/>
      <c r="C166" s="80"/>
      <c r="D166" s="80"/>
      <c r="E166" s="93">
        <f>YEAR('Charts - Freight'!E$131)</f>
        <v>2010</v>
      </c>
      <c r="F166" s="93">
        <f>YEAR('Charts - Freight'!F$131)</f>
        <v>2011</v>
      </c>
      <c r="G166" s="93">
        <f>YEAR('Charts - Freight'!G$131)</f>
        <v>2012</v>
      </c>
      <c r="H166" s="93">
        <f>YEAR('Charts - Freight'!H$131)</f>
        <v>2013</v>
      </c>
      <c r="I166" s="93">
        <f>YEAR('Charts - Freight'!I$131)</f>
        <v>2014</v>
      </c>
      <c r="J166" s="93">
        <f>YEAR('Charts - Freight'!J$131)</f>
        <v>2015</v>
      </c>
      <c r="K166" s="93">
        <f>YEAR('Charts - Freight'!K$131)</f>
        <v>2016</v>
      </c>
      <c r="L166" s="93">
        <f>YEAR('Charts - Freight'!L$131)</f>
        <v>2017</v>
      </c>
      <c r="M166" s="93">
        <f>YEAR('Charts - Freight'!M$131)</f>
        <v>2018</v>
      </c>
      <c r="N166" s="93">
        <f>YEAR('Charts - Freight'!N$131)</f>
        <v>2019</v>
      </c>
      <c r="O166" s="93">
        <f>YEAR('Charts - Freight'!O$131)</f>
        <v>2020</v>
      </c>
      <c r="P166" s="93">
        <f>YEAR('Charts - Freight'!P$131)</f>
        <v>2021</v>
      </c>
      <c r="Q166" s="93">
        <f>YEAR('Charts - Freight'!Q$131)</f>
        <v>2022</v>
      </c>
      <c r="R166" s="93">
        <f>YEAR('Charts - Freight'!R$131)</f>
        <v>2023</v>
      </c>
      <c r="S166" s="93">
        <f>YEAR('Charts - Freight'!S$131)</f>
        <v>2024</v>
      </c>
      <c r="T166" s="93">
        <f>YEAR('Charts - Freight'!T$131)</f>
        <v>2025</v>
      </c>
      <c r="U166" s="93">
        <f>YEAR('Charts - Freight'!U$131)</f>
        <v>2026</v>
      </c>
      <c r="V166" s="93">
        <f>YEAR('Charts - Freight'!V$131)</f>
        <v>2027</v>
      </c>
      <c r="W166" s="93">
        <f>YEAR('Charts - Freight'!W$131)</f>
        <v>2028</v>
      </c>
      <c r="X166" s="93">
        <f>YEAR('Charts - Freight'!X$131)</f>
        <v>2029</v>
      </c>
      <c r="Y166" s="93">
        <f>YEAR('Charts - Freight'!Y$131)</f>
        <v>2030</v>
      </c>
      <c r="Z166" s="93">
        <f>YEAR('Charts - Freight'!Z$131)</f>
        <v>2031</v>
      </c>
      <c r="AA166" s="93">
        <f>YEAR('Charts - Freight'!AA$131)</f>
        <v>2032</v>
      </c>
      <c r="AB166" s="93">
        <f>YEAR('Charts - Freight'!AB$131)</f>
        <v>2033</v>
      </c>
      <c r="AC166" s="93">
        <f>YEAR('Charts - Freight'!AC$131)</f>
        <v>2034</v>
      </c>
      <c r="AD166" s="93">
        <f>YEAR('Charts - Freight'!AD$131)</f>
        <v>2035</v>
      </c>
      <c r="AE166" s="93">
        <f>YEAR('Charts - Freight'!AE$131)</f>
        <v>2036</v>
      </c>
      <c r="AF166" s="93">
        <f>YEAR('Charts - Freight'!AF$131)</f>
        <v>2037</v>
      </c>
      <c r="AG166" s="93">
        <f>YEAR('Charts - Freight'!AG$131)</f>
        <v>2038</v>
      </c>
      <c r="AH166" s="93">
        <f>YEAR('Charts - Freight'!AH$131)</f>
        <v>2039</v>
      </c>
    </row>
    <row r="167" spans="1:34" s="412" customFormat="1" x14ac:dyDescent="0.2">
      <c r="A167" s="18"/>
      <c r="B167" s="80" t="str">
        <f>B153</f>
        <v>Domestic passenger</v>
      </c>
      <c r="C167" s="80"/>
      <c r="D167" s="80"/>
      <c r="E167" s="96">
        <f>IF(E132=1,Calculations!E651,0)</f>
        <v>1</v>
      </c>
      <c r="F167" s="96">
        <f>IF(F132=1,Calculations!F651,0)</f>
        <v>1.03</v>
      </c>
      <c r="G167" s="96">
        <f>IF(G132=1,Calculations!G651,0)</f>
        <v>1.0609</v>
      </c>
      <c r="H167" s="96">
        <f>IF(H132=1,Calculations!H651,0)</f>
        <v>1.092727</v>
      </c>
      <c r="I167" s="96">
        <f>IF(I132=1,Calculations!I651,0)</f>
        <v>1.1255088100000001</v>
      </c>
      <c r="J167" s="96">
        <f>IF(J132=1,Calculations!J651," ")</f>
        <v>1.1592740743000001</v>
      </c>
      <c r="K167" s="96">
        <f>IF(K132=1,Calculations!K651," ")</f>
        <v>1.1940522965290001</v>
      </c>
      <c r="L167" s="96">
        <f>IF(L132=1,Calculations!L651," ")</f>
        <v>1.2298738654248702</v>
      </c>
      <c r="M167" s="96">
        <f>IF(M132=1,Calculations!M651," ")</f>
        <v>1.2667700813876164</v>
      </c>
      <c r="N167" s="96">
        <f>IF(N132=1,Calculations!N651," ")</f>
        <v>1.3047731838292449</v>
      </c>
      <c r="O167" s="96">
        <f>IF(O132=1,Calculations!O651," ")</f>
        <v>1.3439163793441222</v>
      </c>
      <c r="P167" s="96">
        <f>IF(P132=1,Calculations!P651," ")</f>
        <v>1.3842338707244459</v>
      </c>
      <c r="Q167" s="96">
        <f>IF(Q132=1,Calculations!Q651," ")</f>
        <v>1.4257608868461793</v>
      </c>
      <c r="R167" s="96">
        <f>IF(R132=1,Calculations!R651," ")</f>
        <v>1.4685337134515648</v>
      </c>
      <c r="S167" s="96">
        <f>IF(S132=1,Calculations!S651," ")</f>
        <v>1.5125897248551119</v>
      </c>
      <c r="T167" s="96">
        <f>IF(T132=1,Calculations!T651," ")</f>
        <v>1.5579674166007653</v>
      </c>
      <c r="U167" s="96">
        <f>IF(U132=1,Calculations!U651," ")</f>
        <v>1.6047064390987884</v>
      </c>
      <c r="V167" s="96">
        <f>IF(V132=1,Calculations!V651," ")</f>
        <v>1.652847632271752</v>
      </c>
      <c r="W167" s="96">
        <f>IF(W132=1,Calculations!W651," ")</f>
        <v>1.7024330612399046</v>
      </c>
      <c r="X167" s="96">
        <f>IF(X132=1,Calculations!X651," ")</f>
        <v>1.7535060530771018</v>
      </c>
      <c r="Y167" s="96">
        <f>IF(Y132=1,Calculations!Y651," ")</f>
        <v>1.806111234669415</v>
      </c>
      <c r="Z167" s="96">
        <f>IF(Z132=1,Calculations!Z651," ")</f>
        <v>1.8602945717094976</v>
      </c>
      <c r="AA167" s="96">
        <f>IF(AA132=1,Calculations!AA651," ")</f>
        <v>1.9161034088607827</v>
      </c>
      <c r="AB167" s="96">
        <f>IF(AB132=1,Calculations!AB651," ")</f>
        <v>1.9735865111266062</v>
      </c>
      <c r="AC167" s="96">
        <f>IF(AC132=1,Calculations!AC651," ")</f>
        <v>2.0327941064604045</v>
      </c>
      <c r="AD167" s="96">
        <f>IF(AD132=1,Calculations!AD651," ")</f>
        <v>2.0937779296542165</v>
      </c>
      <c r="AE167" s="96">
        <f>IF(AE132=1,Calculations!AE651," ")</f>
        <v>2.1565912675438432</v>
      </c>
      <c r="AF167" s="96">
        <f>IF(AF132=1,Calculations!AF651," ")</f>
        <v>2.2212890055701586</v>
      </c>
      <c r="AG167" s="96">
        <f>IF(AG132=1,Calculations!AG651," ")</f>
        <v>2.2879276757372633</v>
      </c>
      <c r="AH167" s="96">
        <f>IF(AH132=1,Calculations!AH651," ")</f>
        <v>2.3565655060093813</v>
      </c>
    </row>
    <row r="168" spans="1:34" s="412" customFormat="1" x14ac:dyDescent="0.2">
      <c r="A168" s="18"/>
      <c r="B168" s="80" t="str">
        <f>B154</f>
        <v>International passenger</v>
      </c>
      <c r="C168" s="80"/>
      <c r="D168" s="80"/>
      <c r="E168" s="96">
        <f>IF(E132=1,Calculations!E653,0)</f>
        <v>1</v>
      </c>
      <c r="F168" s="96">
        <f>IF(F132=1,Calculations!F653,0)</f>
        <v>1.03</v>
      </c>
      <c r="G168" s="96">
        <f>IF(G132=1,Calculations!G653,0)</f>
        <v>1.0609</v>
      </c>
      <c r="H168" s="96">
        <f>IF(H132=1,Calculations!H653,0)</f>
        <v>1.092727</v>
      </c>
      <c r="I168" s="96">
        <f>IF(I132=1,Calculations!I653,0)</f>
        <v>1.1255088100000001</v>
      </c>
      <c r="J168" s="96">
        <f>IF(J132=1,Calculations!J653," ")</f>
        <v>1.1592740743000001</v>
      </c>
      <c r="K168" s="96">
        <f>IF(K132=1,Calculations!K653," ")</f>
        <v>1.1940522965290001</v>
      </c>
      <c r="L168" s="96">
        <f>IF(L132=1,Calculations!L653," ")</f>
        <v>1.2298738654248702</v>
      </c>
      <c r="M168" s="96">
        <f>IF(M132=1,Calculations!M653," ")</f>
        <v>1.2667700813876164</v>
      </c>
      <c r="N168" s="96">
        <f>IF(N132=1,Calculations!N653," ")</f>
        <v>1.3047731838292449</v>
      </c>
      <c r="O168" s="96">
        <f>IF(O132=1,Calculations!O653," ")</f>
        <v>1.3439163793441222</v>
      </c>
      <c r="P168" s="96">
        <f>IF(P132=1,Calculations!P653," ")</f>
        <v>1.3842338707244459</v>
      </c>
      <c r="Q168" s="96">
        <f>IF(Q132=1,Calculations!Q653," ")</f>
        <v>1.4257608868461793</v>
      </c>
      <c r="R168" s="96">
        <f>IF(R132=1,Calculations!R653," ")</f>
        <v>1.4685337134515648</v>
      </c>
      <c r="S168" s="96">
        <f>IF(S132=1,Calculations!S653," ")</f>
        <v>1.5125897248551119</v>
      </c>
      <c r="T168" s="96">
        <f>IF(T132=1,Calculations!T653," ")</f>
        <v>1.5579674166007653</v>
      </c>
      <c r="U168" s="96">
        <f>IF(U132=1,Calculations!U653," ")</f>
        <v>1.6047064390987884</v>
      </c>
      <c r="V168" s="96">
        <f>IF(V132=1,Calculations!V653," ")</f>
        <v>1.652847632271752</v>
      </c>
      <c r="W168" s="96">
        <f>IF(W132=1,Calculations!W653," ")</f>
        <v>1.7024330612399046</v>
      </c>
      <c r="X168" s="96">
        <f>IF(X132=1,Calculations!X653," ")</f>
        <v>1.7535060530771018</v>
      </c>
      <c r="Y168" s="96">
        <f>IF(Y132=1,Calculations!Y653," ")</f>
        <v>1.806111234669415</v>
      </c>
      <c r="Z168" s="96">
        <f>IF(Z132=1,Calculations!Z653," ")</f>
        <v>1.8602945717094976</v>
      </c>
      <c r="AA168" s="96">
        <f>IF(AA132=1,Calculations!AA653," ")</f>
        <v>1.9161034088607827</v>
      </c>
      <c r="AB168" s="96">
        <f>IF(AB132=1,Calculations!AB653," ")</f>
        <v>1.9735865111266062</v>
      </c>
      <c r="AC168" s="96">
        <f>IF(AC132=1,Calculations!AC653," ")</f>
        <v>2.0327941064604045</v>
      </c>
      <c r="AD168" s="96">
        <f>IF(AD132=1,Calculations!AD653," ")</f>
        <v>2.0937779296542165</v>
      </c>
      <c r="AE168" s="96">
        <f>IF(AE132=1,Calculations!AE653," ")</f>
        <v>2.1565912675438432</v>
      </c>
      <c r="AF168" s="96">
        <f>IF(AF132=1,Calculations!AF653," ")</f>
        <v>2.2212890055701586</v>
      </c>
      <c r="AG168" s="96">
        <f>IF(AG132=1,Calculations!AG653," ")</f>
        <v>2.2879276757372633</v>
      </c>
      <c r="AH168" s="96">
        <f>IF(AH132=1,Calculations!AH653," ")</f>
        <v>2.3565655060093813</v>
      </c>
    </row>
    <row r="169" spans="1:34" s="412" customFormat="1" x14ac:dyDescent="0.2">
      <c r="A169" s="18"/>
      <c r="B169" s="80" t="str">
        <f>B155</f>
        <v>Sub-urban passenger</v>
      </c>
      <c r="C169" s="80"/>
      <c r="D169" s="80"/>
      <c r="E169" s="96">
        <f>IF(E132=1,Calculations!E655,0)</f>
        <v>1</v>
      </c>
      <c r="F169" s="96">
        <f>IF(F132=1,Calculations!F655,0)</f>
        <v>1.03</v>
      </c>
      <c r="G169" s="96">
        <f>IF(G132=1,Calculations!G655,0)</f>
        <v>1.0609</v>
      </c>
      <c r="H169" s="96">
        <f>IF(H132=1,Calculations!H655,0)</f>
        <v>1.092727</v>
      </c>
      <c r="I169" s="96">
        <f>IF(I132=1,Calculations!I655,0)</f>
        <v>1.1255088100000001</v>
      </c>
      <c r="J169" s="96">
        <f>IF(J132=1,Calculations!J655," ")</f>
        <v>1.1592740743000001</v>
      </c>
      <c r="K169" s="96">
        <f>IF(K132=1,Calculations!K655," ")</f>
        <v>1.1940522965290001</v>
      </c>
      <c r="L169" s="96">
        <f>IF(L132=1,Calculations!L655," ")</f>
        <v>1.2298738654248702</v>
      </c>
      <c r="M169" s="96">
        <f>IF(M132=1,Calculations!M655," ")</f>
        <v>1.2667700813876164</v>
      </c>
      <c r="N169" s="96">
        <f>IF(N132=1,Calculations!N655," ")</f>
        <v>1.3047731838292449</v>
      </c>
      <c r="O169" s="96">
        <f>IF(O132=1,Calculations!O655," ")</f>
        <v>1.3439163793441222</v>
      </c>
      <c r="P169" s="96">
        <f>IF(P132=1,Calculations!P655," ")</f>
        <v>1.3842338707244459</v>
      </c>
      <c r="Q169" s="96">
        <f>IF(Q132=1,Calculations!Q655," ")</f>
        <v>1.4257608868461793</v>
      </c>
      <c r="R169" s="96">
        <f>IF(R132=1,Calculations!R655," ")</f>
        <v>1.4685337134515648</v>
      </c>
      <c r="S169" s="96">
        <f>IF(S132=1,Calculations!S655," ")</f>
        <v>1.5125897248551119</v>
      </c>
      <c r="T169" s="96">
        <f>IF(T132=1,Calculations!T655," ")</f>
        <v>1.5579674166007653</v>
      </c>
      <c r="U169" s="96">
        <f>IF(U132=1,Calculations!U655," ")</f>
        <v>1.6047064390987884</v>
      </c>
      <c r="V169" s="96">
        <f>IF(V132=1,Calculations!V655," ")</f>
        <v>1.652847632271752</v>
      </c>
      <c r="W169" s="96">
        <f>IF(W132=1,Calculations!W655," ")</f>
        <v>1.7024330612399046</v>
      </c>
      <c r="X169" s="96">
        <f>IF(X132=1,Calculations!X655," ")</f>
        <v>1.7535060530771018</v>
      </c>
      <c r="Y169" s="96">
        <f>IF(Y132=1,Calculations!Y655," ")</f>
        <v>1.806111234669415</v>
      </c>
      <c r="Z169" s="96">
        <f>IF(Z132=1,Calculations!Z655," ")</f>
        <v>1.8602945717094976</v>
      </c>
      <c r="AA169" s="96">
        <f>IF(AA132=1,Calculations!AA655," ")</f>
        <v>1.9161034088607827</v>
      </c>
      <c r="AB169" s="96">
        <f>IF(AB132=1,Calculations!AB655," ")</f>
        <v>1.9735865111266062</v>
      </c>
      <c r="AC169" s="96">
        <f>IF(AC132=1,Calculations!AC655," ")</f>
        <v>2.0327941064604045</v>
      </c>
      <c r="AD169" s="96">
        <f>IF(AD132=1,Calculations!AD655," ")</f>
        <v>2.0937779296542165</v>
      </c>
      <c r="AE169" s="96">
        <f>IF(AE132=1,Calculations!AE655," ")</f>
        <v>2.1565912675438432</v>
      </c>
      <c r="AF169" s="96">
        <f>IF(AF132=1,Calculations!AF655," ")</f>
        <v>2.2212890055701586</v>
      </c>
      <c r="AG169" s="96">
        <f>IF(AG132=1,Calculations!AG655," ")</f>
        <v>2.2879276757372633</v>
      </c>
      <c r="AH169" s="96">
        <f>IF(AH132=1,Calculations!AH655," ")</f>
        <v>2.3565655060093813</v>
      </c>
    </row>
    <row r="170" spans="1:34" s="412" customFormat="1" x14ac:dyDescent="0.2">
      <c r="A170" s="18"/>
      <c r="B170" s="80" t="s">
        <v>297</v>
      </c>
      <c r="C170" s="80"/>
      <c r="D170" s="80"/>
      <c r="E170" s="128" t="str">
        <f>IF(E132=1,IF(AND(SUM($E$167:$AH$169)&gt;0,($E166+SUM($F$132:$AH$132))=E166),(SUM(E167:E169)/SUM($E167:$E169))^(1/SUM($F$132:$AH$132))-1," "),0)</f>
        <v xml:space="preserve"> </v>
      </c>
      <c r="F170" s="128" t="str">
        <f t="shared" ref="F170:I170" si="10">IF(F132=1,IF(AND(SUM($E$167:$AH$169)&gt;0,($E166+SUM($F$132:$AH$132))=F166),(SUM(F167:F169)/SUM($E167:$E169))^(1/SUM($F$132:$AH$132))-1," "),0)</f>
        <v xml:space="preserve"> </v>
      </c>
      <c r="G170" s="128" t="str">
        <f t="shared" si="10"/>
        <v xml:space="preserve"> </v>
      </c>
      <c r="H170" s="128" t="str">
        <f t="shared" si="10"/>
        <v xml:space="preserve"> </v>
      </c>
      <c r="I170" s="128" t="str">
        <f t="shared" si="10"/>
        <v xml:space="preserve"> </v>
      </c>
      <c r="J170" s="128" t="str">
        <f t="shared" ref="J170:AH170" si="11">IF(J132=1,IF(AND(SUM($E$167:$AH$169)&gt;0,($E166+SUM($F$132:$AH$132))=J166),(SUM(J167:J169)/SUM($E167:$E169))^(1/SUM($F$132:$AH$132))-1," ")," ")</f>
        <v xml:space="preserve"> </v>
      </c>
      <c r="K170" s="128" t="str">
        <f t="shared" si="11"/>
        <v xml:space="preserve"> </v>
      </c>
      <c r="L170" s="128" t="str">
        <f t="shared" si="11"/>
        <v xml:space="preserve"> </v>
      </c>
      <c r="M170" s="128" t="str">
        <f t="shared" si="11"/>
        <v xml:space="preserve"> </v>
      </c>
      <c r="N170" s="128" t="str">
        <f t="shared" si="11"/>
        <v xml:space="preserve"> </v>
      </c>
      <c r="O170" s="128" t="str">
        <f t="shared" si="11"/>
        <v xml:space="preserve"> </v>
      </c>
      <c r="P170" s="128" t="str">
        <f t="shared" si="11"/>
        <v xml:space="preserve"> </v>
      </c>
      <c r="Q170" s="128" t="str">
        <f t="shared" si="11"/>
        <v xml:space="preserve"> </v>
      </c>
      <c r="R170" s="128" t="str">
        <f t="shared" si="11"/>
        <v xml:space="preserve"> </v>
      </c>
      <c r="S170" s="128" t="str">
        <f t="shared" si="11"/>
        <v xml:space="preserve"> </v>
      </c>
      <c r="T170" s="128" t="str">
        <f t="shared" si="11"/>
        <v xml:space="preserve"> </v>
      </c>
      <c r="U170" s="128" t="str">
        <f t="shared" si="11"/>
        <v xml:space="preserve"> </v>
      </c>
      <c r="V170" s="128" t="str">
        <f t="shared" si="11"/>
        <v xml:space="preserve"> </v>
      </c>
      <c r="W170" s="128" t="str">
        <f t="shared" si="11"/>
        <v xml:space="preserve"> </v>
      </c>
      <c r="X170" s="128" t="str">
        <f t="shared" si="11"/>
        <v xml:space="preserve"> </v>
      </c>
      <c r="Y170" s="128" t="str">
        <f t="shared" si="11"/>
        <v xml:space="preserve"> </v>
      </c>
      <c r="Z170" s="128" t="str">
        <f t="shared" si="11"/>
        <v xml:space="preserve"> </v>
      </c>
      <c r="AA170" s="128" t="str">
        <f t="shared" si="11"/>
        <v xml:space="preserve"> </v>
      </c>
      <c r="AB170" s="128" t="str">
        <f t="shared" si="11"/>
        <v xml:space="preserve"> </v>
      </c>
      <c r="AC170" s="128" t="str">
        <f t="shared" si="11"/>
        <v xml:space="preserve"> </v>
      </c>
      <c r="AD170" s="128" t="str">
        <f t="shared" si="11"/>
        <v xml:space="preserve"> </v>
      </c>
      <c r="AE170" s="128" t="str">
        <f t="shared" si="11"/>
        <v xml:space="preserve"> </v>
      </c>
      <c r="AF170" s="128" t="str">
        <f t="shared" si="11"/>
        <v xml:space="preserve"> </v>
      </c>
      <c r="AG170" s="128" t="str">
        <f t="shared" si="11"/>
        <v xml:space="preserve"> </v>
      </c>
      <c r="AH170" s="128">
        <f t="shared" si="11"/>
        <v>3.0000000000000027E-2</v>
      </c>
    </row>
    <row r="171" spans="1:34" s="412" customFormat="1" x14ac:dyDescent="0.2">
      <c r="A171" s="18"/>
      <c r="B171" s="80"/>
      <c r="C171" s="80"/>
      <c r="D171" s="80"/>
      <c r="E171" s="96"/>
      <c r="F171" s="96"/>
      <c r="G171" s="96"/>
      <c r="H171" s="96"/>
      <c r="I171" s="96"/>
      <c r="J171" s="96"/>
      <c r="K171" s="96"/>
      <c r="L171" s="96"/>
      <c r="M171" s="96"/>
      <c r="N171" s="96"/>
      <c r="O171" s="96"/>
      <c r="P171" s="96"/>
      <c r="Q171" s="96"/>
      <c r="R171" s="96"/>
      <c r="S171" s="96"/>
      <c r="T171" s="96"/>
      <c r="U171" s="96"/>
      <c r="V171" s="96"/>
      <c r="W171" s="96"/>
      <c r="X171" s="96"/>
      <c r="Y171" s="96"/>
      <c r="Z171" s="96"/>
      <c r="AA171" s="96"/>
      <c r="AB171" s="96"/>
      <c r="AC171" s="96"/>
      <c r="AD171" s="96"/>
      <c r="AE171" s="96"/>
      <c r="AF171" s="96"/>
      <c r="AG171" s="96"/>
      <c r="AH171" s="96"/>
    </row>
    <row r="172" spans="1:34" s="412" customFormat="1" x14ac:dyDescent="0.2">
      <c r="A172" s="18"/>
      <c r="B172" s="90" t="s">
        <v>131</v>
      </c>
      <c r="C172" s="80"/>
      <c r="D172" s="80"/>
      <c r="E172" s="80" t="s">
        <v>305</v>
      </c>
      <c r="F172" s="80" t="str">
        <f>'Assumptions - General'!E27&amp;" millions"</f>
        <v>R$ millions</v>
      </c>
      <c r="G172" s="80"/>
      <c r="H172" s="80" t="s">
        <v>445</v>
      </c>
      <c r="I172" s="80" t="str">
        <f>'Assumptions - General'!E27</f>
        <v>R$</v>
      </c>
      <c r="J172" s="80"/>
      <c r="K172" s="80" t="s">
        <v>308</v>
      </c>
      <c r="L172" s="80" t="s">
        <v>529</v>
      </c>
      <c r="M172" s="80"/>
      <c r="N172" s="80"/>
      <c r="O172" s="80"/>
      <c r="P172" s="80"/>
      <c r="Q172" s="80"/>
      <c r="R172" s="80"/>
      <c r="S172" s="80"/>
      <c r="T172" s="80"/>
      <c r="U172" s="80"/>
      <c r="V172" s="80"/>
      <c r="W172" s="80"/>
      <c r="X172" s="80"/>
      <c r="Y172" s="80"/>
      <c r="Z172" s="80"/>
      <c r="AA172" s="80"/>
      <c r="AB172" s="80"/>
      <c r="AC172" s="80"/>
      <c r="AD172" s="80"/>
      <c r="AE172" s="80"/>
      <c r="AF172" s="80"/>
      <c r="AG172" s="80"/>
      <c r="AH172" s="80"/>
    </row>
    <row r="173" spans="1:34" s="412" customFormat="1" x14ac:dyDescent="0.2">
      <c r="A173" s="18"/>
      <c r="B173" s="80" t="s">
        <v>652</v>
      </c>
      <c r="C173" s="80"/>
      <c r="D173" s="80"/>
      <c r="E173" s="80">
        <f>IF(SUM(Calculations!E16:E21)&gt;=1,1,0)</f>
        <v>1</v>
      </c>
      <c r="F173" s="80">
        <f>IF(SUM(Calculations!F16:F21)&gt;=1,1,0)</f>
        <v>1</v>
      </c>
      <c r="G173" s="80">
        <f>IF(SUM(Calculations!G16:G21)&gt;=1,1,0)</f>
        <v>1</v>
      </c>
      <c r="H173" s="80">
        <f>IF(SUM(Calculations!H16:H21)&gt;=1,1,0)</f>
        <v>1</v>
      </c>
      <c r="I173" s="80">
        <f>IF(SUM(Calculations!I16:I21)&gt;=1,1,0)</f>
        <v>1</v>
      </c>
      <c r="J173" s="80">
        <f>IF(SUM(Calculations!J16:J21)&gt;=1,1,0)</f>
        <v>1</v>
      </c>
      <c r="K173" s="80">
        <f>IF(SUM(Calculations!K16:K21)&gt;=1,1,0)</f>
        <v>1</v>
      </c>
      <c r="L173" s="80">
        <f>IF(SUM(Calculations!L16:L21)&gt;=1,1,0)</f>
        <v>1</v>
      </c>
      <c r="M173" s="80">
        <f>IF(SUM(Calculations!M16:M21)&gt;=1,1,0)</f>
        <v>1</v>
      </c>
      <c r="N173" s="80">
        <f>IF(SUM(Calculations!N16:N21)&gt;=1,1,0)</f>
        <v>1</v>
      </c>
      <c r="O173" s="80">
        <f>IF(SUM(Calculations!O16:O21)&gt;=1,1,0)</f>
        <v>1</v>
      </c>
      <c r="P173" s="80">
        <f>IF(SUM(Calculations!P16:P21)&gt;=1,1,0)</f>
        <v>1</v>
      </c>
      <c r="Q173" s="80">
        <f>IF(SUM(Calculations!Q16:Q21)&gt;=1,1,0)</f>
        <v>1</v>
      </c>
      <c r="R173" s="80">
        <f>IF(SUM(Calculations!R16:R21)&gt;=1,1,0)</f>
        <v>1</v>
      </c>
      <c r="S173" s="80">
        <f>IF(SUM(Calculations!S16:S21)&gt;=1,1,0)</f>
        <v>1</v>
      </c>
      <c r="T173" s="80">
        <f>IF(SUM(Calculations!T16:T21)&gt;=1,1,0)</f>
        <v>1</v>
      </c>
      <c r="U173" s="80">
        <f>IF(SUM(Calculations!U16:U21)&gt;=1,1,0)</f>
        <v>1</v>
      </c>
      <c r="V173" s="80">
        <f>IF(SUM(Calculations!V16:V21)&gt;=1,1,0)</f>
        <v>1</v>
      </c>
      <c r="W173" s="80">
        <f>IF(SUM(Calculations!W16:W21)&gt;=1,1,0)</f>
        <v>1</v>
      </c>
      <c r="X173" s="80">
        <f>IF(SUM(Calculations!X16:X21)&gt;=1,1,0)</f>
        <v>1</v>
      </c>
      <c r="Y173" s="80">
        <f>IF(SUM(Calculations!Y16:Y21)&gt;=1,1,0)</f>
        <v>1</v>
      </c>
      <c r="Z173" s="80">
        <f>IF(SUM(Calculations!Z16:Z21)&gt;=1,1,0)</f>
        <v>1</v>
      </c>
      <c r="AA173" s="80">
        <f>IF(SUM(Calculations!AA16:AA21)&gt;=1,1,0)</f>
        <v>1</v>
      </c>
      <c r="AB173" s="80">
        <f>IF(SUM(Calculations!AB16:AB21)&gt;=1,1,0)</f>
        <v>1</v>
      </c>
      <c r="AC173" s="80">
        <f>IF(SUM(Calculations!AC16:AC21)&gt;=1,1,0)</f>
        <v>1</v>
      </c>
      <c r="AD173" s="80">
        <f>IF(SUM(Calculations!AD16:AD21)&gt;=1,1,0)</f>
        <v>1</v>
      </c>
      <c r="AE173" s="80">
        <f>IF(SUM(Calculations!AE16:AE21)&gt;=1,1,0)</f>
        <v>1</v>
      </c>
      <c r="AF173" s="80">
        <f>IF(SUM(Calculations!AF16:AF21)&gt;=1,1,0)</f>
        <v>1</v>
      </c>
      <c r="AG173" s="80">
        <f>IF(SUM(Calculations!AG16:AG21)&gt;=1,1,0)</f>
        <v>1</v>
      </c>
      <c r="AH173" s="80">
        <f>IF(SUM(Calculations!AH16:AH21)&gt;=1,1,0)</f>
        <v>1</v>
      </c>
    </row>
    <row r="174" spans="1:34" s="412" customFormat="1" x14ac:dyDescent="0.2">
      <c r="A174" s="18"/>
      <c r="B174" s="80"/>
      <c r="C174" s="80"/>
      <c r="D174" s="80"/>
      <c r="E174" s="93">
        <f>YEAR('Charts - Freight'!E$131)</f>
        <v>2010</v>
      </c>
      <c r="F174" s="93">
        <f>YEAR('Charts - Freight'!F$131)</f>
        <v>2011</v>
      </c>
      <c r="G174" s="93">
        <f>YEAR('Charts - Freight'!G$131)</f>
        <v>2012</v>
      </c>
      <c r="H174" s="93">
        <f>YEAR('Charts - Freight'!H$131)</f>
        <v>2013</v>
      </c>
      <c r="I174" s="93">
        <f>YEAR('Charts - Freight'!I$131)</f>
        <v>2014</v>
      </c>
      <c r="J174" s="93">
        <f>YEAR('Charts - Freight'!J$131)</f>
        <v>2015</v>
      </c>
      <c r="K174" s="93">
        <f>YEAR('Charts - Freight'!K$131)</f>
        <v>2016</v>
      </c>
      <c r="L174" s="93">
        <f>YEAR('Charts - Freight'!L$131)</f>
        <v>2017</v>
      </c>
      <c r="M174" s="93">
        <f>YEAR('Charts - Freight'!M$131)</f>
        <v>2018</v>
      </c>
      <c r="N174" s="93">
        <f>YEAR('Charts - Freight'!N$131)</f>
        <v>2019</v>
      </c>
      <c r="O174" s="93">
        <f>YEAR('Charts - Freight'!O$131)</f>
        <v>2020</v>
      </c>
      <c r="P174" s="93">
        <f>YEAR('Charts - Freight'!P$131)</f>
        <v>2021</v>
      </c>
      <c r="Q174" s="93">
        <f>YEAR('Charts - Freight'!Q$131)</f>
        <v>2022</v>
      </c>
      <c r="R174" s="93">
        <f>YEAR('Charts - Freight'!R$131)</f>
        <v>2023</v>
      </c>
      <c r="S174" s="93">
        <f>YEAR('Charts - Freight'!S$131)</f>
        <v>2024</v>
      </c>
      <c r="T174" s="93">
        <f>YEAR('Charts - Freight'!T$131)</f>
        <v>2025</v>
      </c>
      <c r="U174" s="93">
        <f>YEAR('Charts - Freight'!U$131)</f>
        <v>2026</v>
      </c>
      <c r="V174" s="93">
        <f>YEAR('Charts - Freight'!V$131)</f>
        <v>2027</v>
      </c>
      <c r="W174" s="93">
        <f>YEAR('Charts - Freight'!W$131)</f>
        <v>2028</v>
      </c>
      <c r="X174" s="93">
        <f>YEAR('Charts - Freight'!X$131)</f>
        <v>2029</v>
      </c>
      <c r="Y174" s="93">
        <f>YEAR('Charts - Freight'!Y$131)</f>
        <v>2030</v>
      </c>
      <c r="Z174" s="93">
        <f>YEAR('Charts - Freight'!Z$131)</f>
        <v>2031</v>
      </c>
      <c r="AA174" s="93">
        <f>YEAR('Charts - Freight'!AA$131)</f>
        <v>2032</v>
      </c>
      <c r="AB174" s="93">
        <f>YEAR('Charts - Freight'!AB$131)</f>
        <v>2033</v>
      </c>
      <c r="AC174" s="93">
        <f>YEAR('Charts - Freight'!AC$131)</f>
        <v>2034</v>
      </c>
      <c r="AD174" s="93">
        <f>YEAR('Charts - Freight'!AD$131)</f>
        <v>2035</v>
      </c>
      <c r="AE174" s="93">
        <f>YEAR('Charts - Freight'!AE$131)</f>
        <v>2036</v>
      </c>
      <c r="AF174" s="93">
        <f>YEAR('Charts - Freight'!AF$131)</f>
        <v>2037</v>
      </c>
      <c r="AG174" s="93">
        <f>YEAR('Charts - Freight'!AG$131)</f>
        <v>2038</v>
      </c>
      <c r="AH174" s="93">
        <f>YEAR('Charts - Freight'!AH$131)</f>
        <v>2039</v>
      </c>
    </row>
    <row r="175" spans="1:34" s="412" customFormat="1" x14ac:dyDescent="0.2">
      <c r="A175" s="18"/>
      <c r="B175" s="80" t="str">
        <f>'Assumptions - General'!E27&amp;" per GTK"</f>
        <v>R$ per GTK</v>
      </c>
      <c r="C175" s="80"/>
      <c r="D175" s="80"/>
      <c r="E175" s="98">
        <f>Calculations!E1123</f>
        <v>0.25</v>
      </c>
      <c r="F175" s="98">
        <f>Calculations!F1123</f>
        <v>0.25750000000000001</v>
      </c>
      <c r="G175" s="98">
        <f>Calculations!G1123</f>
        <v>0.26522499999999999</v>
      </c>
      <c r="H175" s="98">
        <f>Calculations!H1123</f>
        <v>0.27318175</v>
      </c>
      <c r="I175" s="98">
        <f>Calculations!I1123</f>
        <v>0.28137720250000003</v>
      </c>
      <c r="J175" s="98">
        <f>Calculations!J1123</f>
        <v>0.28981851857500002</v>
      </c>
      <c r="K175" s="98">
        <f>Calculations!K1123</f>
        <v>0.29851307413225003</v>
      </c>
      <c r="L175" s="98">
        <f>Calculations!L1123</f>
        <v>0.30746846635621755</v>
      </c>
      <c r="M175" s="98">
        <f>Calculations!M1123</f>
        <v>0.31669252034690409</v>
      </c>
      <c r="N175" s="98">
        <f>Calculations!N1123</f>
        <v>0.32619329595731122</v>
      </c>
      <c r="O175" s="98">
        <f>Calculations!O1123</f>
        <v>0.33597909483603056</v>
      </c>
      <c r="P175" s="98">
        <f>Calculations!P1123</f>
        <v>0.34605846768111148</v>
      </c>
      <c r="Q175" s="98">
        <f>Calculations!Q1123</f>
        <v>0.35644022171154482</v>
      </c>
      <c r="R175" s="98">
        <f>Calculations!R1123</f>
        <v>0.3671334283628912</v>
      </c>
      <c r="S175" s="98">
        <f>Calculations!S1123</f>
        <v>0.37814743121377797</v>
      </c>
      <c r="T175" s="98">
        <f>Calculations!T1123</f>
        <v>0.38949185415019133</v>
      </c>
      <c r="U175" s="98">
        <f>Calculations!U1123</f>
        <v>0.4011766097746971</v>
      </c>
      <c r="V175" s="98">
        <f>Calculations!V1123</f>
        <v>0.41321190806793801</v>
      </c>
      <c r="W175" s="98">
        <f>Calculations!W1123</f>
        <v>0.42560826530997614</v>
      </c>
      <c r="X175" s="98">
        <f>Calculations!X1123</f>
        <v>0.43837651326927546</v>
      </c>
      <c r="Y175" s="98">
        <f>Calculations!Y1123</f>
        <v>0.45152780866735376</v>
      </c>
      <c r="Z175" s="98">
        <f>Calculations!Z1123</f>
        <v>0.46507364292737441</v>
      </c>
      <c r="AA175" s="98">
        <f>Calculations!AA1123</f>
        <v>0.47902585221519567</v>
      </c>
      <c r="AB175" s="98">
        <f>Calculations!AB1123</f>
        <v>0.49339662778165155</v>
      </c>
      <c r="AC175" s="98">
        <f>Calculations!AC1123</f>
        <v>0.50819852661510112</v>
      </c>
      <c r="AD175" s="98">
        <f>Calculations!AD1123</f>
        <v>0.52344448241355412</v>
      </c>
      <c r="AE175" s="98">
        <f>Calculations!AE1123</f>
        <v>0.53914781688596081</v>
      </c>
      <c r="AF175" s="98">
        <f>Calculations!AF1123</f>
        <v>0.55532225139253966</v>
      </c>
      <c r="AG175" s="98">
        <f>Calculations!AG1123</f>
        <v>0.57198191893431582</v>
      </c>
      <c r="AH175" s="98">
        <f>Calculations!AH1123</f>
        <v>0.58914137650234533</v>
      </c>
    </row>
    <row r="176" spans="1:34" s="412" customFormat="1" x14ac:dyDescent="0.2">
      <c r="A176" s="18"/>
      <c r="B176" s="80" t="str">
        <f>'Assumptions - General'!E27&amp;" per train-km"</f>
        <v>R$ per train-km</v>
      </c>
      <c r="C176" s="80"/>
      <c r="D176" s="80"/>
      <c r="E176" s="98">
        <f>Calculations!E1124</f>
        <v>0.25</v>
      </c>
      <c r="F176" s="98">
        <f>Calculations!F1124</f>
        <v>0.25750000000000001</v>
      </c>
      <c r="G176" s="98">
        <f>Calculations!G1124</f>
        <v>0.26522499999999999</v>
      </c>
      <c r="H176" s="98">
        <f>Calculations!H1124</f>
        <v>0.27318175</v>
      </c>
      <c r="I176" s="98">
        <f>Calculations!I1124</f>
        <v>0.28137720250000003</v>
      </c>
      <c r="J176" s="98">
        <f>Calculations!J1124</f>
        <v>0.28981851857500002</v>
      </c>
      <c r="K176" s="98">
        <f>Calculations!K1124</f>
        <v>0.29851307413225003</v>
      </c>
      <c r="L176" s="98">
        <f>Calculations!L1124</f>
        <v>0.30746846635621755</v>
      </c>
      <c r="M176" s="98">
        <f>Calculations!M1124</f>
        <v>0.31669252034690409</v>
      </c>
      <c r="N176" s="98">
        <f>Calculations!N1124</f>
        <v>0.32619329595731122</v>
      </c>
      <c r="O176" s="98">
        <f>Calculations!O1124</f>
        <v>0.33597909483603056</v>
      </c>
      <c r="P176" s="98">
        <f>Calculations!P1124</f>
        <v>0.34605846768111148</v>
      </c>
      <c r="Q176" s="98">
        <f>Calculations!Q1124</f>
        <v>0.35644022171154482</v>
      </c>
      <c r="R176" s="98">
        <f>Calculations!R1124</f>
        <v>0.3671334283628912</v>
      </c>
      <c r="S176" s="98">
        <f>Calculations!S1124</f>
        <v>0.37814743121377797</v>
      </c>
      <c r="T176" s="98">
        <f>Calculations!T1124</f>
        <v>0.38949185415019133</v>
      </c>
      <c r="U176" s="98">
        <f>Calculations!U1124</f>
        <v>0.4011766097746971</v>
      </c>
      <c r="V176" s="98">
        <f>Calculations!V1124</f>
        <v>0.41321190806793801</v>
      </c>
      <c r="W176" s="98">
        <f>Calculations!W1124</f>
        <v>0.42560826530997614</v>
      </c>
      <c r="X176" s="98">
        <f>Calculations!X1124</f>
        <v>0.43837651326927546</v>
      </c>
      <c r="Y176" s="98">
        <f>Calculations!Y1124</f>
        <v>0.45152780866735376</v>
      </c>
      <c r="Z176" s="98">
        <f>Calculations!Z1124</f>
        <v>0.46507364292737441</v>
      </c>
      <c r="AA176" s="98">
        <f>Calculations!AA1124</f>
        <v>0.47902585221519567</v>
      </c>
      <c r="AB176" s="98">
        <f>Calculations!AB1124</f>
        <v>0.49339662778165155</v>
      </c>
      <c r="AC176" s="98">
        <f>Calculations!AC1124</f>
        <v>0.50819852661510112</v>
      </c>
      <c r="AD176" s="98">
        <f>Calculations!AD1124</f>
        <v>0.52344448241355412</v>
      </c>
      <c r="AE176" s="98">
        <f>Calculations!AE1124</f>
        <v>0.53914781688596081</v>
      </c>
      <c r="AF176" s="98">
        <f>Calculations!AF1124</f>
        <v>0.55532225139253966</v>
      </c>
      <c r="AG176" s="98">
        <f>Calculations!AG1124</f>
        <v>0.57198191893431582</v>
      </c>
      <c r="AH176" s="98">
        <f>Calculations!AH1124</f>
        <v>0.58914137650234533</v>
      </c>
    </row>
    <row r="177" spans="1:34" s="412" customFormat="1" x14ac:dyDescent="0.2">
      <c r="A177" s="18"/>
      <c r="B177" s="99" t="s">
        <v>530</v>
      </c>
      <c r="C177" s="80"/>
      <c r="D177" s="80"/>
      <c r="E177" s="94">
        <f>IF(E132=1,Calculations!E1129,0)</f>
        <v>15750</v>
      </c>
      <c r="F177" s="94">
        <f>IF(F132=1,Calculations!F1129,0)</f>
        <v>17188.125</v>
      </c>
      <c r="G177" s="94">
        <f>IF(G132=1,Calculations!G1129,0)</f>
        <v>17703.768750000003</v>
      </c>
      <c r="H177" s="94">
        <f>IF(H132=1,Calculations!H1129,0)</f>
        <v>19259.313375000002</v>
      </c>
      <c r="I177" s="94">
        <f>IF(I132=1,Calculations!I1129,0)</f>
        <v>21947.421795000002</v>
      </c>
      <c r="J177" s="94">
        <f>IF(J132=1,Calculations!J1129," ")</f>
        <v>23692.663893506251</v>
      </c>
      <c r="K177" s="94">
        <f>IF(K132=1,Calculations!K1129," ")</f>
        <v>25522.867838307378</v>
      </c>
      <c r="L177" s="94">
        <f>IF(L132=1,Calculations!L1129," ")</f>
        <v>27441.560622292414</v>
      </c>
      <c r="M177" s="94">
        <f>IF(M132=1,Calculations!M1129," ")</f>
        <v>29452.404392262084</v>
      </c>
      <c r="N177" s="94">
        <f>IF(N132=1,Calculations!N1129," ")</f>
        <v>31559.201383869862</v>
      </c>
      <c r="O177" s="94">
        <f>IF(O132=1,Calculations!O1129," ")</f>
        <v>33765.899031021072</v>
      </c>
      <c r="P177" s="94">
        <f>IF(P132=1,Calculations!P1129," ")</f>
        <v>36076.595255755878</v>
      </c>
      <c r="Q177" s="94">
        <f>IF(Q132=1,Calculations!Q1129," ")</f>
        <v>38495.543944846839</v>
      </c>
      <c r="R177" s="94">
        <f>IF(R132=1,Calculations!R1129," ")</f>
        <v>41027.160619553091</v>
      </c>
      <c r="S177" s="94">
        <f>IF(S132=1,Calculations!S1129," ")</f>
        <v>43676.028305191358</v>
      </c>
      <c r="T177" s="94">
        <f>IF(T132=1,Calculations!T1129," ")</f>
        <v>46446.903607410313</v>
      </c>
      <c r="U177" s="94">
        <f>IF(U132=1,Calculations!U1129," ")</f>
        <v>49344.723002287741</v>
      </c>
      <c r="V177" s="94">
        <f>IF(V132=1,Calculations!V1129," ")</f>
        <v>52374.609347611149</v>
      </c>
      <c r="W177" s="94">
        <f>IF(W132=1,Calculations!W1129," ")</f>
        <v>55541.878622951881</v>
      </c>
      <c r="X177" s="94">
        <f>IF(X132=1,Calculations!X1129," ")</f>
        <v>58852.046906400225</v>
      </c>
      <c r="Y177" s="94">
        <f>IF(Y132=1,Calculations!Y1129," ")</f>
        <v>62310.837596094818</v>
      </c>
      <c r="Z177" s="94">
        <f>IF(Z132=1,Calculations!Z1129," ")</f>
        <v>65924.188884955322</v>
      </c>
      <c r="AA177" s="94">
        <f>IF(AA132=1,Calculations!AA1129," ")</f>
        <v>69698.261497310974</v>
      </c>
      <c r="AB177" s="94">
        <f>IF(AB132=1,Calculations!AB1129," ")</f>
        <v>73639.446696411498</v>
      </c>
      <c r="AC177" s="94">
        <f>IF(AC132=1,Calculations!AC1129," ")</f>
        <v>77754.374572110479</v>
      </c>
      <c r="AD177" s="94">
        <f>IF(AD132=1,Calculations!AD1129," ")</f>
        <v>82049.922618324621</v>
      </c>
      <c r="AE177" s="94">
        <f>IF(AE132=1,Calculations!AE1129," ")</f>
        <v>86533.224610196718</v>
      </c>
      <c r="AF177" s="94">
        <f>IF(AF132=1,Calculations!AF1129," ")</f>
        <v>91211.67979122464</v>
      </c>
      <c r="AG177" s="94">
        <f>IF(AG132=1,Calculations!AG1129," ")</f>
        <v>96092.962380965051</v>
      </c>
      <c r="AH177" s="94">
        <f>IF(AH132=1,Calculations!AH1129," ")</f>
        <v>101185.03141427781</v>
      </c>
    </row>
    <row r="178" spans="1:34" s="412" customFormat="1" x14ac:dyDescent="0.2">
      <c r="A178" s="18"/>
      <c r="B178" s="80" t="s">
        <v>430</v>
      </c>
      <c r="C178" s="80"/>
      <c r="D178" s="80"/>
      <c r="E178" s="128">
        <f>IF(AND(($E174+SUM($F$173:$AH$173))=E174,SUM($E$175:$E$175)&gt;0),(SUM(E175:E175)/SUM($E175:$E175))^(1/SUM($F$173:$AH$173))-1,0)</f>
        <v>0</v>
      </c>
      <c r="F178" s="128">
        <f t="shared" ref="F178:I178" si="12">IF(AND(($E174+SUM($F$173:$AH$173))=F174,SUM($E$175:$E$175)&gt;0),(SUM(F175:F175)/SUM($E175:$E175))^(1/SUM($F$173:$AH$173))-1,0)</f>
        <v>0</v>
      </c>
      <c r="G178" s="128">
        <f t="shared" si="12"/>
        <v>0</v>
      </c>
      <c r="H178" s="128">
        <f t="shared" si="12"/>
        <v>0</v>
      </c>
      <c r="I178" s="128">
        <f t="shared" si="12"/>
        <v>0</v>
      </c>
      <c r="J178" s="128" t="str">
        <f t="shared" ref="J178:AH178" si="13">IF(AND(($E174+SUM($F$132:$AH$132))=J174,SUM($E$175:$E$175)&gt;0),(SUM(J175:J175)/SUM($E175:$E175))^(1/SUM($F$132:$AH$132))-1," ")</f>
        <v xml:space="preserve"> </v>
      </c>
      <c r="K178" s="128" t="str">
        <f t="shared" si="13"/>
        <v xml:space="preserve"> </v>
      </c>
      <c r="L178" s="128" t="str">
        <f t="shared" si="13"/>
        <v xml:space="preserve"> </v>
      </c>
      <c r="M178" s="128" t="str">
        <f t="shared" si="13"/>
        <v xml:space="preserve"> </v>
      </c>
      <c r="N178" s="128" t="str">
        <f t="shared" si="13"/>
        <v xml:space="preserve"> </v>
      </c>
      <c r="O178" s="128" t="str">
        <f t="shared" si="13"/>
        <v xml:space="preserve"> </v>
      </c>
      <c r="P178" s="128" t="str">
        <f t="shared" si="13"/>
        <v xml:space="preserve"> </v>
      </c>
      <c r="Q178" s="128" t="str">
        <f t="shared" si="13"/>
        <v xml:space="preserve"> </v>
      </c>
      <c r="R178" s="128" t="str">
        <f t="shared" si="13"/>
        <v xml:space="preserve"> </v>
      </c>
      <c r="S178" s="128" t="str">
        <f t="shared" si="13"/>
        <v xml:space="preserve"> </v>
      </c>
      <c r="T178" s="128" t="str">
        <f t="shared" si="13"/>
        <v xml:space="preserve"> </v>
      </c>
      <c r="U178" s="128" t="str">
        <f t="shared" si="13"/>
        <v xml:space="preserve"> </v>
      </c>
      <c r="V178" s="128" t="str">
        <f t="shared" si="13"/>
        <v xml:space="preserve"> </v>
      </c>
      <c r="W178" s="128" t="str">
        <f t="shared" si="13"/>
        <v xml:space="preserve"> </v>
      </c>
      <c r="X178" s="128" t="str">
        <f t="shared" si="13"/>
        <v xml:space="preserve"> </v>
      </c>
      <c r="Y178" s="128" t="str">
        <f t="shared" si="13"/>
        <v xml:space="preserve"> </v>
      </c>
      <c r="Z178" s="128" t="str">
        <f t="shared" si="13"/>
        <v xml:space="preserve"> </v>
      </c>
      <c r="AA178" s="128" t="str">
        <f t="shared" si="13"/>
        <v xml:space="preserve"> </v>
      </c>
      <c r="AB178" s="128" t="str">
        <f t="shared" si="13"/>
        <v xml:space="preserve"> </v>
      </c>
      <c r="AC178" s="128" t="str">
        <f t="shared" si="13"/>
        <v xml:space="preserve"> </v>
      </c>
      <c r="AD178" s="128" t="str">
        <f t="shared" si="13"/>
        <v xml:space="preserve"> </v>
      </c>
      <c r="AE178" s="128" t="str">
        <f t="shared" si="13"/>
        <v xml:space="preserve"> </v>
      </c>
      <c r="AF178" s="128" t="str">
        <f t="shared" si="13"/>
        <v xml:space="preserve"> </v>
      </c>
      <c r="AG178" s="128" t="str">
        <f t="shared" si="13"/>
        <v xml:space="preserve"> </v>
      </c>
      <c r="AH178" s="128">
        <f t="shared" si="13"/>
        <v>3.0000000000000027E-2</v>
      </c>
    </row>
    <row r="179" spans="1:34" s="412" customFormat="1" x14ac:dyDescent="0.2">
      <c r="A179" s="18"/>
      <c r="B179" s="80" t="s">
        <v>431</v>
      </c>
      <c r="C179" s="80"/>
      <c r="D179" s="80"/>
      <c r="E179" s="128">
        <f>IF(AND(($E174+SUM($F$173:$AH$173))=E174,SUM($E$176:$E$176)&gt;0),(SUM(E176:E176)/SUM($E176:$E176))^(1/SUM($F$173:$AH$173))-1,0)</f>
        <v>0</v>
      </c>
      <c r="F179" s="128">
        <f t="shared" ref="F179:I179" si="14">IF(AND(($E174+SUM($F$173:$AH$173))=F174,SUM($E$176:$E$176)&gt;0),(SUM(F176:F176)/SUM($E176:$E176))^(1/SUM($F$173:$AH$173))-1,0)</f>
        <v>0</v>
      </c>
      <c r="G179" s="128">
        <f t="shared" si="14"/>
        <v>0</v>
      </c>
      <c r="H179" s="128">
        <f t="shared" si="14"/>
        <v>0</v>
      </c>
      <c r="I179" s="128">
        <f t="shared" si="14"/>
        <v>0</v>
      </c>
      <c r="J179" s="128" t="str">
        <f t="shared" ref="J179:AH179" si="15">IF(AND(($E174+SUM($F$132:$AH$132))=J174,SUM($E$176:$E$176)&gt;0),(SUM(J176:J176)/SUM($E176:$E176))^(1/SUM($F$132:$AH$132))-1," ")</f>
        <v xml:space="preserve"> </v>
      </c>
      <c r="K179" s="128" t="str">
        <f t="shared" si="15"/>
        <v xml:space="preserve"> </v>
      </c>
      <c r="L179" s="128" t="str">
        <f t="shared" si="15"/>
        <v xml:space="preserve"> </v>
      </c>
      <c r="M179" s="128" t="str">
        <f t="shared" si="15"/>
        <v xml:space="preserve"> </v>
      </c>
      <c r="N179" s="128" t="str">
        <f t="shared" si="15"/>
        <v xml:space="preserve"> </v>
      </c>
      <c r="O179" s="128" t="str">
        <f t="shared" si="15"/>
        <v xml:space="preserve"> </v>
      </c>
      <c r="P179" s="128" t="str">
        <f t="shared" si="15"/>
        <v xml:space="preserve"> </v>
      </c>
      <c r="Q179" s="128" t="str">
        <f t="shared" si="15"/>
        <v xml:space="preserve"> </v>
      </c>
      <c r="R179" s="128" t="str">
        <f t="shared" si="15"/>
        <v xml:space="preserve"> </v>
      </c>
      <c r="S179" s="128" t="str">
        <f t="shared" si="15"/>
        <v xml:space="preserve"> </v>
      </c>
      <c r="T179" s="128" t="str">
        <f t="shared" si="15"/>
        <v xml:space="preserve"> </v>
      </c>
      <c r="U179" s="128" t="str">
        <f t="shared" si="15"/>
        <v xml:space="preserve"> </v>
      </c>
      <c r="V179" s="128" t="str">
        <f t="shared" si="15"/>
        <v xml:space="preserve"> </v>
      </c>
      <c r="W179" s="128" t="str">
        <f t="shared" si="15"/>
        <v xml:space="preserve"> </v>
      </c>
      <c r="X179" s="128" t="str">
        <f t="shared" si="15"/>
        <v xml:space="preserve"> </v>
      </c>
      <c r="Y179" s="128" t="str">
        <f t="shared" si="15"/>
        <v xml:space="preserve"> </v>
      </c>
      <c r="Z179" s="128" t="str">
        <f t="shared" si="15"/>
        <v xml:space="preserve"> </v>
      </c>
      <c r="AA179" s="128" t="str">
        <f t="shared" si="15"/>
        <v xml:space="preserve"> </v>
      </c>
      <c r="AB179" s="128" t="str">
        <f t="shared" si="15"/>
        <v xml:space="preserve"> </v>
      </c>
      <c r="AC179" s="128" t="str">
        <f t="shared" si="15"/>
        <v xml:space="preserve"> </v>
      </c>
      <c r="AD179" s="128" t="str">
        <f t="shared" si="15"/>
        <v xml:space="preserve"> </v>
      </c>
      <c r="AE179" s="128" t="str">
        <f t="shared" si="15"/>
        <v xml:space="preserve"> </v>
      </c>
      <c r="AF179" s="128" t="str">
        <f t="shared" si="15"/>
        <v xml:space="preserve"> </v>
      </c>
      <c r="AG179" s="128" t="str">
        <f t="shared" si="15"/>
        <v xml:space="preserve"> </v>
      </c>
      <c r="AH179" s="128">
        <f t="shared" si="15"/>
        <v>3.0000000000000027E-2</v>
      </c>
    </row>
    <row r="180" spans="1:34" s="412" customFormat="1" x14ac:dyDescent="0.2">
      <c r="A180" s="18"/>
      <c r="B180" s="80"/>
      <c r="C180" s="80"/>
      <c r="D180" s="80"/>
      <c r="E180" s="80"/>
      <c r="F180" s="80"/>
      <c r="G180" s="80"/>
      <c r="H180" s="80"/>
      <c r="I180" s="80"/>
      <c r="J180" s="80"/>
      <c r="K180" s="80"/>
      <c r="L180" s="80"/>
      <c r="M180" s="80"/>
      <c r="N180" s="80"/>
      <c r="O180" s="80"/>
      <c r="P180" s="80"/>
      <c r="Q180" s="80"/>
      <c r="R180" s="80"/>
      <c r="S180" s="80"/>
      <c r="T180" s="80"/>
      <c r="U180" s="80"/>
      <c r="V180" s="80"/>
      <c r="W180" s="80"/>
      <c r="X180" s="80"/>
      <c r="Y180" s="80"/>
      <c r="Z180" s="80"/>
      <c r="AA180" s="80"/>
      <c r="AB180" s="80"/>
      <c r="AC180" s="80"/>
      <c r="AD180" s="80"/>
      <c r="AE180" s="80"/>
      <c r="AF180" s="80"/>
      <c r="AG180" s="80"/>
      <c r="AH180" s="80"/>
    </row>
    <row r="181" spans="1:34" s="412" customFormat="1" x14ac:dyDescent="0.2">
      <c r="A181" s="18"/>
      <c r="B181" s="90" t="s">
        <v>321</v>
      </c>
      <c r="C181" s="80"/>
      <c r="D181" s="80"/>
      <c r="E181" s="80"/>
      <c r="F181" s="80"/>
      <c r="G181" s="80"/>
      <c r="H181" s="80"/>
      <c r="I181" s="80"/>
      <c r="J181" s="80"/>
      <c r="K181" s="80"/>
      <c r="L181" s="80"/>
      <c r="M181" s="80"/>
      <c r="N181" s="80"/>
      <c r="O181" s="80"/>
      <c r="P181" s="80"/>
      <c r="Q181" s="80"/>
      <c r="R181" s="80"/>
      <c r="S181" s="80"/>
      <c r="T181" s="80"/>
      <c r="U181" s="80"/>
      <c r="V181" s="80"/>
      <c r="W181" s="80"/>
      <c r="X181" s="80"/>
      <c r="Y181" s="80"/>
      <c r="Z181" s="80"/>
      <c r="AA181" s="80"/>
      <c r="AB181" s="80"/>
      <c r="AC181" s="80"/>
      <c r="AD181" s="80"/>
      <c r="AE181" s="80"/>
      <c r="AF181" s="80"/>
      <c r="AG181" s="80"/>
      <c r="AH181" s="80"/>
    </row>
    <row r="182" spans="1:34" s="412" customFormat="1" x14ac:dyDescent="0.2">
      <c r="A182" s="18"/>
      <c r="B182" s="80"/>
      <c r="C182" s="80"/>
      <c r="D182" s="80"/>
      <c r="E182" s="93">
        <f>YEAR('Charts - Freight'!E$131)</f>
        <v>2010</v>
      </c>
      <c r="F182" s="93">
        <f>YEAR('Charts - Freight'!F$131)</f>
        <v>2011</v>
      </c>
      <c r="G182" s="93">
        <f>YEAR('Charts - Freight'!G$131)</f>
        <v>2012</v>
      </c>
      <c r="H182" s="93">
        <f>YEAR('Charts - Freight'!H$131)</f>
        <v>2013</v>
      </c>
      <c r="I182" s="93">
        <f>YEAR('Charts - Freight'!I$131)</f>
        <v>2014</v>
      </c>
      <c r="J182" s="93">
        <f>YEAR('Charts - Freight'!J$131)</f>
        <v>2015</v>
      </c>
      <c r="K182" s="93">
        <f>YEAR('Charts - Freight'!K$131)</f>
        <v>2016</v>
      </c>
      <c r="L182" s="93">
        <f>YEAR('Charts - Freight'!L$131)</f>
        <v>2017</v>
      </c>
      <c r="M182" s="93">
        <f>YEAR('Charts - Freight'!M$131)</f>
        <v>2018</v>
      </c>
      <c r="N182" s="93">
        <f>YEAR('Charts - Freight'!N$131)</f>
        <v>2019</v>
      </c>
      <c r="O182" s="93">
        <f>YEAR('Charts - Freight'!O$131)</f>
        <v>2020</v>
      </c>
      <c r="P182" s="93">
        <f>YEAR('Charts - Freight'!P$131)</f>
        <v>2021</v>
      </c>
      <c r="Q182" s="93">
        <f>YEAR('Charts - Freight'!Q$131)</f>
        <v>2022</v>
      </c>
      <c r="R182" s="93">
        <f>YEAR('Charts - Freight'!R$131)</f>
        <v>2023</v>
      </c>
      <c r="S182" s="93">
        <f>YEAR('Charts - Freight'!S$131)</f>
        <v>2024</v>
      </c>
      <c r="T182" s="93">
        <f>YEAR('Charts - Freight'!T$131)</f>
        <v>2025</v>
      </c>
      <c r="U182" s="93">
        <f>YEAR('Charts - Freight'!U$131)</f>
        <v>2026</v>
      </c>
      <c r="V182" s="93">
        <f>YEAR('Charts - Freight'!V$131)</f>
        <v>2027</v>
      </c>
      <c r="W182" s="93">
        <f>YEAR('Charts - Freight'!W$131)</f>
        <v>2028</v>
      </c>
      <c r="X182" s="93">
        <f>YEAR('Charts - Freight'!X$131)</f>
        <v>2029</v>
      </c>
      <c r="Y182" s="93">
        <f>YEAR('Charts - Freight'!Y$131)</f>
        <v>2030</v>
      </c>
      <c r="Z182" s="93">
        <f>YEAR('Charts - Freight'!Z$131)</f>
        <v>2031</v>
      </c>
      <c r="AA182" s="93">
        <f>YEAR('Charts - Freight'!AA$131)</f>
        <v>2032</v>
      </c>
      <c r="AB182" s="93">
        <f>YEAR('Charts - Freight'!AB$131)</f>
        <v>2033</v>
      </c>
      <c r="AC182" s="93">
        <f>YEAR('Charts - Freight'!AC$131)</f>
        <v>2034</v>
      </c>
      <c r="AD182" s="93">
        <f>YEAR('Charts - Freight'!AD$131)</f>
        <v>2035</v>
      </c>
      <c r="AE182" s="93">
        <f>YEAR('Charts - Freight'!AE$131)</f>
        <v>2036</v>
      </c>
      <c r="AF182" s="93">
        <f>YEAR('Charts - Freight'!AF$131)</f>
        <v>2037</v>
      </c>
      <c r="AG182" s="93">
        <f>YEAR('Charts - Freight'!AG$131)</f>
        <v>2038</v>
      </c>
      <c r="AH182" s="93">
        <f>YEAR('Charts - Freight'!AH$131)</f>
        <v>2039</v>
      </c>
    </row>
    <row r="183" spans="1:34" s="412" customFormat="1" x14ac:dyDescent="0.2">
      <c r="A183" s="18"/>
      <c r="B183" s="80" t="s">
        <v>642</v>
      </c>
      <c r="C183" s="80"/>
      <c r="D183" s="80"/>
      <c r="E183" s="100">
        <f>IF(E132=1,Calculations!E672,0)</f>
        <v>10</v>
      </c>
      <c r="F183" s="100">
        <f>IF(F132=1,Calculations!F672,0)</f>
        <v>10.3</v>
      </c>
      <c r="G183" s="100">
        <f>IF(G132=1,Calculations!G672,0)</f>
        <v>10.609000000000002</v>
      </c>
      <c r="H183" s="100">
        <f>IF(H132=1,Calculations!H672,0)</f>
        <v>10.927270000000002</v>
      </c>
      <c r="I183" s="100">
        <f>IF(I132=1,Calculations!I672,0)</f>
        <v>11.255088100000002</v>
      </c>
      <c r="J183" s="100">
        <f>IF(J132=1,Calculations!J672," ")</f>
        <v>11.592740743000002</v>
      </c>
      <c r="K183" s="100">
        <f>IF(K132=1,Calculations!K672," ")</f>
        <v>11.940522965290002</v>
      </c>
      <c r="L183" s="100">
        <f>IF(L132=1,Calculations!L672," ")</f>
        <v>12.298738654248703</v>
      </c>
      <c r="M183" s="100">
        <f>IF(M132=1,Calculations!M672," ")</f>
        <v>12.667700813876165</v>
      </c>
      <c r="N183" s="100">
        <f>IF(N132=1,Calculations!N672," ")</f>
        <v>13.047731838292449</v>
      </c>
      <c r="O183" s="100">
        <f>IF(O132=1,Calculations!O672," ")</f>
        <v>13.439163793441223</v>
      </c>
      <c r="P183" s="100">
        <f>IF(P132=1,Calculations!P672," ")</f>
        <v>13.84233870724446</v>
      </c>
      <c r="Q183" s="100">
        <f>IF(Q132=1,Calculations!Q672," ")</f>
        <v>14.257608868461794</v>
      </c>
      <c r="R183" s="100">
        <f>IF(R132=1,Calculations!R672," ")</f>
        <v>14.685337134515649</v>
      </c>
      <c r="S183" s="100">
        <f>IF(S132=1,Calculations!S672," ")</f>
        <v>15.125897248551119</v>
      </c>
      <c r="T183" s="100">
        <f>IF(T132=1,Calculations!T672," ")</f>
        <v>15.579674166007653</v>
      </c>
      <c r="U183" s="100">
        <f>IF(U132=1,Calculations!U672," ")</f>
        <v>16.047064390987885</v>
      </c>
      <c r="V183" s="100">
        <f>IF(V132=1,Calculations!V672," ")</f>
        <v>16.52847632271752</v>
      </c>
      <c r="W183" s="100">
        <f>IF(W132=1,Calculations!W672," ")</f>
        <v>17.024330612399044</v>
      </c>
      <c r="X183" s="100">
        <f>IF(X132=1,Calculations!X672," ")</f>
        <v>17.535060530771016</v>
      </c>
      <c r="Y183" s="100">
        <f>IF(Y132=1,Calculations!Y672," ")</f>
        <v>18.061112346694149</v>
      </c>
      <c r="Z183" s="100">
        <f>IF(Z132=1,Calculations!Z672," ")</f>
        <v>18.602945717094972</v>
      </c>
      <c r="AA183" s="100">
        <f>IF(AA132=1,Calculations!AA672," ")</f>
        <v>19.161034088607821</v>
      </c>
      <c r="AB183" s="100">
        <f>IF(AB132=1,Calculations!AB672," ")</f>
        <v>19.735865111266055</v>
      </c>
      <c r="AC183" s="100">
        <f>IF(AC132=1,Calculations!AC672," ")</f>
        <v>20.327941064604037</v>
      </c>
      <c r="AD183" s="100">
        <f>IF(AD132=1,Calculations!AD672," ")</f>
        <v>20.937779296542157</v>
      </c>
      <c r="AE183" s="100">
        <f>IF(AE132=1,Calculations!AE672," ")</f>
        <v>21.565912675438422</v>
      </c>
      <c r="AF183" s="100">
        <f>IF(AF132=1,Calculations!AF672," ")</f>
        <v>22.212890055701575</v>
      </c>
      <c r="AG183" s="100">
        <f>IF(AG132=1,Calculations!AG672," ")</f>
        <v>22.879276757372622</v>
      </c>
      <c r="AH183" s="100">
        <f>IF(AH132=1,Calculations!AH672," ")</f>
        <v>23.565655060093803</v>
      </c>
    </row>
    <row r="184" spans="1:34" s="412" customFormat="1" x14ac:dyDescent="0.2">
      <c r="A184" s="18"/>
      <c r="B184" s="80" t="s">
        <v>609</v>
      </c>
      <c r="C184" s="80"/>
      <c r="D184" s="80"/>
      <c r="E184" s="100">
        <f>IF(E132=1,Calculations!E673,0)</f>
        <v>15</v>
      </c>
      <c r="F184" s="100">
        <f>IF(F132=1,Calculations!F673,0)</f>
        <v>15.450000000000001</v>
      </c>
      <c r="G184" s="100">
        <f>IF(G132=1,Calculations!G673,0)</f>
        <v>15.913500000000001</v>
      </c>
      <c r="H184" s="100">
        <f>IF(H132=1,Calculations!H673,0)</f>
        <v>16.390905</v>
      </c>
      <c r="I184" s="100">
        <f>IF(I132=1,Calculations!I673,0)</f>
        <v>16.882632149999999</v>
      </c>
      <c r="J184" s="100">
        <f>IF(J132=1,Calculations!J673," ")</f>
        <v>17.3891111145</v>
      </c>
      <c r="K184" s="100">
        <f>IF(K132=1,Calculations!K673," ")</f>
        <v>17.910784447935001</v>
      </c>
      <c r="L184" s="100">
        <f>IF(L132=1,Calculations!L673," ")</f>
        <v>18.448107981373052</v>
      </c>
      <c r="M184" s="100">
        <f>IF(M132=1,Calculations!M673," ")</f>
        <v>19.001551220814246</v>
      </c>
      <c r="N184" s="100">
        <f>IF(N132=1,Calculations!N673," ")</f>
        <v>19.571597757438674</v>
      </c>
      <c r="O184" s="100">
        <f>IF(O132=1,Calculations!O673," ")</f>
        <v>20.158745690161833</v>
      </c>
      <c r="P184" s="100">
        <f>IF(P132=1,Calculations!P673," ")</f>
        <v>20.763508060866688</v>
      </c>
      <c r="Q184" s="100">
        <f>IF(Q132=1,Calculations!Q673," ")</f>
        <v>21.386413302692688</v>
      </c>
      <c r="R184" s="100">
        <f>IF(R132=1,Calculations!R673," ")</f>
        <v>22.02800570177347</v>
      </c>
      <c r="S184" s="100">
        <f>IF(S132=1,Calculations!S673," ")</f>
        <v>22.688845872826676</v>
      </c>
      <c r="T184" s="100">
        <f>IF(T132=1,Calculations!T673," ")</f>
        <v>23.369511249011477</v>
      </c>
      <c r="U184" s="100">
        <f>IF(U132=1,Calculations!U673," ")</f>
        <v>24.070596586481823</v>
      </c>
      <c r="V184" s="100">
        <f>IF(V132=1,Calculations!V673," ")</f>
        <v>24.792714484076278</v>
      </c>
      <c r="W184" s="100">
        <f>IF(W132=1,Calculations!W673," ")</f>
        <v>25.536495918598568</v>
      </c>
      <c r="X184" s="100">
        <f>IF(X132=1,Calculations!X673," ")</f>
        <v>26.302590796156526</v>
      </c>
      <c r="Y184" s="100">
        <f>IF(Y132=1,Calculations!Y673," ")</f>
        <v>27.091668520041221</v>
      </c>
      <c r="Z184" s="100">
        <f>IF(Z132=1,Calculations!Z673," ")</f>
        <v>27.90441857564246</v>
      </c>
      <c r="AA184" s="100">
        <f>IF(AA132=1,Calculations!AA673," ")</f>
        <v>28.741551132911734</v>
      </c>
      <c r="AB184" s="100">
        <f>IF(AB132=1,Calculations!AB673," ")</f>
        <v>29.603797666899087</v>
      </c>
      <c r="AC184" s="100">
        <f>IF(AC132=1,Calculations!AC673," ")</f>
        <v>30.491911596906061</v>
      </c>
      <c r="AD184" s="100">
        <f>IF(AD132=1,Calculations!AD673," ")</f>
        <v>31.406668944813244</v>
      </c>
      <c r="AE184" s="100">
        <f>IF(AE132=1,Calculations!AE673," ")</f>
        <v>32.348869013157639</v>
      </c>
      <c r="AF184" s="100">
        <f>IF(AF132=1,Calculations!AF673," ")</f>
        <v>33.319335083552367</v>
      </c>
      <c r="AG184" s="100">
        <f>IF(AG132=1,Calculations!AG673," ")</f>
        <v>34.318915136058941</v>
      </c>
      <c r="AH184" s="100">
        <f>IF(AH132=1,Calculations!AH673," ")</f>
        <v>35.348482590140712</v>
      </c>
    </row>
    <row r="185" spans="1:34" s="412" customFormat="1" x14ac:dyDescent="0.2">
      <c r="A185" s="18"/>
      <c r="B185" s="80" t="s">
        <v>297</v>
      </c>
      <c r="C185" s="80"/>
      <c r="D185" s="80"/>
      <c r="E185" s="128">
        <f>IF(AND(SUM($E$183:$AB$184)&gt;0,($E182+SUM($F$132:$AH$132))=E182),((E183+E184)/($E183+$E184))^(1/SUM($F$132:$AH$132))-1,0)</f>
        <v>0</v>
      </c>
      <c r="F185" s="128">
        <f t="shared" ref="F185:I185" si="16">IF(AND(SUM($E$183:$AB$184)&gt;0,($E182+SUM($F$132:$AH$132))=F182),((F183+F184)/($E183+$E184))^(1/SUM($F$132:$AH$132))-1,0)</f>
        <v>0</v>
      </c>
      <c r="G185" s="128">
        <f t="shared" si="16"/>
        <v>0</v>
      </c>
      <c r="H185" s="128">
        <f t="shared" si="16"/>
        <v>0</v>
      </c>
      <c r="I185" s="128">
        <f t="shared" si="16"/>
        <v>0</v>
      </c>
      <c r="J185" s="128" t="str">
        <f t="shared" ref="J185:AH185" si="17">IF(AND(SUM($E$183:$AB$184)&gt;0,($E182+SUM($F$132:$AH$132))=J182),((J183+J184)/($E183+$E184))^(1/SUM($F$132:$AH$132))-1," ")</f>
        <v xml:space="preserve"> </v>
      </c>
      <c r="K185" s="128" t="str">
        <f t="shared" si="17"/>
        <v xml:space="preserve"> </v>
      </c>
      <c r="L185" s="128" t="str">
        <f t="shared" si="17"/>
        <v xml:space="preserve"> </v>
      </c>
      <c r="M185" s="128" t="str">
        <f t="shared" si="17"/>
        <v xml:space="preserve"> </v>
      </c>
      <c r="N185" s="128" t="str">
        <f t="shared" si="17"/>
        <v xml:space="preserve"> </v>
      </c>
      <c r="O185" s="128" t="str">
        <f t="shared" si="17"/>
        <v xml:space="preserve"> </v>
      </c>
      <c r="P185" s="128" t="str">
        <f t="shared" si="17"/>
        <v xml:space="preserve"> </v>
      </c>
      <c r="Q185" s="128" t="str">
        <f t="shared" si="17"/>
        <v xml:space="preserve"> </v>
      </c>
      <c r="R185" s="128" t="str">
        <f t="shared" si="17"/>
        <v xml:space="preserve"> </v>
      </c>
      <c r="S185" s="128" t="str">
        <f t="shared" si="17"/>
        <v xml:space="preserve"> </v>
      </c>
      <c r="T185" s="128" t="str">
        <f t="shared" si="17"/>
        <v xml:space="preserve"> </v>
      </c>
      <c r="U185" s="128" t="str">
        <f t="shared" si="17"/>
        <v xml:space="preserve"> </v>
      </c>
      <c r="V185" s="128" t="str">
        <f t="shared" si="17"/>
        <v xml:space="preserve"> </v>
      </c>
      <c r="W185" s="128" t="str">
        <f t="shared" si="17"/>
        <v xml:space="preserve"> </v>
      </c>
      <c r="X185" s="128" t="str">
        <f t="shared" si="17"/>
        <v xml:space="preserve"> </v>
      </c>
      <c r="Y185" s="128" t="str">
        <f t="shared" si="17"/>
        <v xml:space="preserve"> </v>
      </c>
      <c r="Z185" s="128" t="str">
        <f t="shared" si="17"/>
        <v xml:space="preserve"> </v>
      </c>
      <c r="AA185" s="128" t="str">
        <f t="shared" si="17"/>
        <v xml:space="preserve"> </v>
      </c>
      <c r="AB185" s="128" t="str">
        <f t="shared" si="17"/>
        <v xml:space="preserve"> </v>
      </c>
      <c r="AC185" s="128" t="str">
        <f t="shared" si="17"/>
        <v xml:space="preserve"> </v>
      </c>
      <c r="AD185" s="128" t="str">
        <f t="shared" si="17"/>
        <v xml:space="preserve"> </v>
      </c>
      <c r="AE185" s="128" t="str">
        <f t="shared" si="17"/>
        <v xml:space="preserve"> </v>
      </c>
      <c r="AF185" s="128" t="str">
        <f t="shared" si="17"/>
        <v xml:space="preserve"> </v>
      </c>
      <c r="AG185" s="128" t="str">
        <f t="shared" si="17"/>
        <v xml:space="preserve"> </v>
      </c>
      <c r="AH185" s="128">
        <f t="shared" si="17"/>
        <v>3.0000000000000027E-2</v>
      </c>
    </row>
    <row r="186" spans="1:34" s="412" customFormat="1" x14ac:dyDescent="0.2">
      <c r="A186" s="18"/>
      <c r="B186" s="80"/>
      <c r="C186" s="80"/>
      <c r="D186" s="80"/>
      <c r="E186" s="80"/>
      <c r="F186" s="80"/>
      <c r="G186" s="80"/>
      <c r="H186" s="80"/>
      <c r="I186" s="80"/>
      <c r="J186" s="80"/>
      <c r="K186" s="80"/>
      <c r="L186" s="80"/>
      <c r="M186" s="80"/>
      <c r="N186" s="80"/>
      <c r="O186" s="80"/>
      <c r="P186" s="80"/>
      <c r="Q186" s="80"/>
      <c r="R186" s="80"/>
      <c r="S186" s="80"/>
      <c r="T186" s="80"/>
      <c r="U186" s="80"/>
      <c r="V186" s="80"/>
      <c r="W186" s="80"/>
      <c r="X186" s="80"/>
      <c r="Y186" s="80"/>
      <c r="Z186" s="80"/>
      <c r="AA186" s="80"/>
      <c r="AB186" s="80"/>
      <c r="AC186" s="80"/>
      <c r="AD186" s="80"/>
      <c r="AE186" s="80"/>
      <c r="AF186" s="80"/>
      <c r="AG186" s="80"/>
      <c r="AH186" s="80"/>
    </row>
    <row r="187" spans="1:34" s="412" customFormat="1" x14ac:dyDescent="0.2">
      <c r="A187" s="18"/>
      <c r="B187" s="90" t="s">
        <v>183</v>
      </c>
      <c r="C187" s="80"/>
      <c r="D187" s="80"/>
      <c r="E187" s="80"/>
      <c r="F187" s="80"/>
      <c r="G187" s="80"/>
      <c r="H187" s="80"/>
      <c r="I187" s="80"/>
      <c r="J187" s="80"/>
      <c r="K187" s="80"/>
      <c r="L187" s="80"/>
      <c r="M187" s="80"/>
      <c r="N187" s="80"/>
      <c r="O187" s="80"/>
      <c r="P187" s="80"/>
      <c r="Q187" s="80"/>
      <c r="R187" s="80"/>
      <c r="S187" s="80"/>
      <c r="T187" s="80"/>
      <c r="U187" s="80"/>
      <c r="V187" s="80"/>
      <c r="W187" s="80"/>
      <c r="X187" s="80"/>
      <c r="Y187" s="80"/>
      <c r="Z187" s="80"/>
      <c r="AA187" s="80"/>
      <c r="AB187" s="80"/>
      <c r="AC187" s="80"/>
      <c r="AD187" s="80"/>
      <c r="AE187" s="80"/>
      <c r="AF187" s="80"/>
      <c r="AG187" s="80"/>
      <c r="AH187" s="80"/>
    </row>
    <row r="188" spans="1:34" s="412" customFormat="1" x14ac:dyDescent="0.2">
      <c r="A188" s="18"/>
      <c r="B188" s="80"/>
      <c r="C188" s="80"/>
      <c r="D188" s="80"/>
      <c r="E188" s="93">
        <f>YEAR('Charts - Freight'!E$131)</f>
        <v>2010</v>
      </c>
      <c r="F188" s="93">
        <f>YEAR('Charts - Freight'!F$131)</f>
        <v>2011</v>
      </c>
      <c r="G188" s="93">
        <f>YEAR('Charts - Freight'!G$131)</f>
        <v>2012</v>
      </c>
      <c r="H188" s="93">
        <f>YEAR('Charts - Freight'!H$131)</f>
        <v>2013</v>
      </c>
      <c r="I188" s="93">
        <f>YEAR('Charts - Freight'!I$131)</f>
        <v>2014</v>
      </c>
      <c r="J188" s="93">
        <f>YEAR('Charts - Freight'!J$131)</f>
        <v>2015</v>
      </c>
      <c r="K188" s="93">
        <f>YEAR('Charts - Freight'!K$131)</f>
        <v>2016</v>
      </c>
      <c r="L188" s="93">
        <f>YEAR('Charts - Freight'!L$131)</f>
        <v>2017</v>
      </c>
      <c r="M188" s="93">
        <f>YEAR('Charts - Freight'!M$131)</f>
        <v>2018</v>
      </c>
      <c r="N188" s="93">
        <f>YEAR('Charts - Freight'!N$131)</f>
        <v>2019</v>
      </c>
      <c r="O188" s="93">
        <f>YEAR('Charts - Freight'!O$131)</f>
        <v>2020</v>
      </c>
      <c r="P188" s="93">
        <f>YEAR('Charts - Freight'!P$131)</f>
        <v>2021</v>
      </c>
      <c r="Q188" s="93">
        <f>YEAR('Charts - Freight'!Q$131)</f>
        <v>2022</v>
      </c>
      <c r="R188" s="93">
        <f>YEAR('Charts - Freight'!R$131)</f>
        <v>2023</v>
      </c>
      <c r="S188" s="93">
        <f>YEAR('Charts - Freight'!S$131)</f>
        <v>2024</v>
      </c>
      <c r="T188" s="93">
        <f>YEAR('Charts - Freight'!T$131)</f>
        <v>2025</v>
      </c>
      <c r="U188" s="93">
        <f>YEAR('Charts - Freight'!U$131)</f>
        <v>2026</v>
      </c>
      <c r="V188" s="93">
        <f>YEAR('Charts - Freight'!V$131)</f>
        <v>2027</v>
      </c>
      <c r="W188" s="93">
        <f>YEAR('Charts - Freight'!W$131)</f>
        <v>2028</v>
      </c>
      <c r="X188" s="93">
        <f>YEAR('Charts - Freight'!X$131)</f>
        <v>2029</v>
      </c>
      <c r="Y188" s="93">
        <f>YEAR('Charts - Freight'!Y$131)</f>
        <v>2030</v>
      </c>
      <c r="Z188" s="93">
        <f>YEAR('Charts - Freight'!Z$131)</f>
        <v>2031</v>
      </c>
      <c r="AA188" s="93">
        <f>YEAR('Charts - Freight'!AA$131)</f>
        <v>2032</v>
      </c>
      <c r="AB188" s="93">
        <f>YEAR('Charts - Freight'!AB$131)</f>
        <v>2033</v>
      </c>
      <c r="AC188" s="93">
        <f>YEAR('Charts - Freight'!AC$131)</f>
        <v>2034</v>
      </c>
      <c r="AD188" s="93">
        <f>YEAR('Charts - Freight'!AD$131)</f>
        <v>2035</v>
      </c>
      <c r="AE188" s="93">
        <f>YEAR('Charts - Freight'!AE$131)</f>
        <v>2036</v>
      </c>
      <c r="AF188" s="93">
        <f>YEAR('Charts - Freight'!AF$131)</f>
        <v>2037</v>
      </c>
      <c r="AG188" s="93">
        <f>YEAR('Charts - Freight'!AG$131)</f>
        <v>2038</v>
      </c>
      <c r="AH188" s="93">
        <f>YEAR('Charts - Freight'!AH$131)</f>
        <v>2039</v>
      </c>
    </row>
    <row r="189" spans="1:34" s="412" customFormat="1" x14ac:dyDescent="0.2">
      <c r="A189" s="18"/>
      <c r="B189" s="80" t="s">
        <v>151</v>
      </c>
      <c r="C189" s="80"/>
      <c r="D189" s="80"/>
      <c r="E189" s="94">
        <f>IF(E132=1,'Cash flow statement'!E115,0)</f>
        <v>0</v>
      </c>
      <c r="F189" s="94">
        <f>IF(F132=1,'Cash flow statement'!F115,0)</f>
        <v>9711.9983596389757</v>
      </c>
      <c r="G189" s="94">
        <f>IF(G132=1,'Cash flow statement'!G115,0)</f>
        <v>10383.080923793646</v>
      </c>
      <c r="H189" s="94">
        <f>IF(H132=1,'Cash flow statement'!H115,0)</f>
        <v>11332.038751553499</v>
      </c>
      <c r="I189" s="94">
        <f>IF(I132=1,'Cash flow statement'!I115,0)</f>
        <v>13105.456950143558</v>
      </c>
      <c r="J189" s="94">
        <f>IF(J132=1,'Cash flow statement'!J115," ")</f>
        <v>14824.734865934801</v>
      </c>
      <c r="K189" s="94">
        <f>IF(K132=1,'Cash flow statement'!K115," ")</f>
        <v>16376.906870982404</v>
      </c>
      <c r="L189" s="94">
        <f>IF(L132=1,'Cash flow statement'!L115," ")</f>
        <v>18025.558867202464</v>
      </c>
      <c r="M189" s="94">
        <f>IF(M132=1,'Cash flow statement'!M115," ")</f>
        <v>19797.382657557842</v>
      </c>
      <c r="N189" s="94">
        <f>IF(N132=1,'Cash flow statement'!N115," ")</f>
        <v>21677.486956082153</v>
      </c>
      <c r="O189" s="94">
        <f>IF(O132=1,'Cash flow statement'!O115," ")</f>
        <v>23227.61198253063</v>
      </c>
      <c r="P189" s="94">
        <f>IF(P132=1,'Cash flow statement'!P115," ")</f>
        <v>25179.813063298785</v>
      </c>
      <c r="Q189" s="94">
        <f>IF(Q132=1,'Cash flow statement'!Q115," ")</f>
        <v>27273.580134959677</v>
      </c>
      <c r="R189" s="94">
        <f>IF(R132=1,'Cash flow statement'!R115," ")</f>
        <v>29486.136986414142</v>
      </c>
      <c r="S189" s="94">
        <f>IF(S132=1,'Cash flow statement'!S115," ")</f>
        <v>31823.055235942418</v>
      </c>
      <c r="T189" s="94">
        <f>IF(T132=1,'Cash flow statement'!T115," ")</f>
        <v>34290.140776367734</v>
      </c>
      <c r="U189" s="94">
        <f>IF(U132=1,'Cash flow statement'!U115," ")</f>
        <v>36893.067960858076</v>
      </c>
      <c r="V189" s="94">
        <f>IF(V132=1,'Cash flow statement'!V115," ")</f>
        <v>39637.482506988839</v>
      </c>
      <c r="W189" s="94">
        <f>IF(W132=1,'Cash flow statement'!W115," ")</f>
        <v>42532.940545235855</v>
      </c>
      <c r="X189" s="94">
        <f>IF(X132=1,'Cash flow statement'!X115," ")</f>
        <v>45583.475785839277</v>
      </c>
      <c r="Y189" s="94">
        <f>IF(Y132=1,'Cash flow statement'!Y115," ")</f>
        <v>48793.392030694806</v>
      </c>
      <c r="Z189" s="94">
        <f>IF(Z132=1,'Cash flow statement'!Z115," ")</f>
        <v>52178.32062702479</v>
      </c>
      <c r="AA189" s="94">
        <f>IF(AA132=1,'Cash flow statement'!AA115," ")</f>
        <v>55741.360295724051</v>
      </c>
      <c r="AB189" s="94">
        <f>IF(AB132=1,'Cash flow statement'!AB115," ")</f>
        <v>59490.656925452909</v>
      </c>
      <c r="AC189" s="94">
        <f>IF(AC132=1,'Cash flow statement'!AC115," ")</f>
        <v>63433.94622038371</v>
      </c>
      <c r="AD189" s="94">
        <f>IF(AD132=1,'Cash flow statement'!AD115," ")</f>
        <v>67581.208911534108</v>
      </c>
      <c r="AE189" s="94">
        <f>IF(AE132=1,'Cash flow statement'!AE115," ")</f>
        <v>71940.517206861725</v>
      </c>
      <c r="AF189" s="94">
        <f>IF(AF132=1,'Cash flow statement'!AF115," ")</f>
        <v>76520.658109752476</v>
      </c>
      <c r="AG189" s="94">
        <f>IF(AG132=1,'Cash flow statement'!AG115," ")</f>
        <v>81333.913072660231</v>
      </c>
      <c r="AH189" s="94">
        <f>IF(AH132=1,'Cash flow statement'!AH115," ")</f>
        <v>86389.08806641557</v>
      </c>
    </row>
    <row r="190" spans="1:34" s="412" customFormat="1" x14ac:dyDescent="0.2">
      <c r="A190" s="18"/>
      <c r="B190" s="80" t="s">
        <v>176</v>
      </c>
      <c r="C190" s="80"/>
      <c r="D190" s="80"/>
      <c r="E190" s="94">
        <f>IF(E132=1,'Cash flow statement'!E135,0)</f>
        <v>0</v>
      </c>
      <c r="F190" s="94">
        <f>IF(F132=1,'Cash flow statement'!F135,0)</f>
        <v>4723.0495548194867</v>
      </c>
      <c r="G190" s="94">
        <f>IF(G132=1,'Cash flow statement'!G135,0)</f>
        <v>5073.3793368968227</v>
      </c>
      <c r="H190" s="94">
        <f>IF(H132=1,'Cash flow statement'!H135,0)</f>
        <v>5550.2805782767491</v>
      </c>
      <c r="I190" s="94">
        <f>IF(I132=1,'Cash flow statement'!I135,0)</f>
        <v>6436.6386661467795</v>
      </c>
      <c r="J190" s="94">
        <f>IF(J132=1,'Cash flow statement'!J135," ")</f>
        <v>7295.97448852465</v>
      </c>
      <c r="K190" s="94">
        <f>IF(K132=1,'Cash flow statement'!K135," ")</f>
        <v>8071.7930777151696</v>
      </c>
      <c r="L190" s="94">
        <f>IF(L132=1,'Cash flow statement'!L135," ")</f>
        <v>8872.7288592584609</v>
      </c>
      <c r="M190" s="94">
        <f>IF(M132=1,'Cash flow statement'!M135," ")</f>
        <v>9759.5942260558695</v>
      </c>
      <c r="N190" s="94">
        <f>IF(N132=1,'Cash flow statement'!N135," ")</f>
        <v>10698.120398586338</v>
      </c>
      <c r="O190" s="94">
        <f>IF(O132=1,'Cash flow statement'!O135," ")</f>
        <v>11474.184860776939</v>
      </c>
      <c r="P190" s="94">
        <f>IF(P132=1,'Cash flow statement'!P135," ")</f>
        <v>12463.42603234637</v>
      </c>
      <c r="Q190" s="94">
        <f>IF(Q132=1,'Cash flow statement'!Q135," ")</f>
        <v>13510.621020797729</v>
      </c>
      <c r="R190" s="94">
        <f>IF(R132=1,'Cash flow statement'!R135," ")</f>
        <v>14617.220242724499</v>
      </c>
      <c r="S190" s="94">
        <f>IF(S132=1,'Cash flow statement'!S135," ")</f>
        <v>15786.009787574165</v>
      </c>
      <c r="T190" s="94">
        <f>IF(T132=1,'Cash flow statement'!T135," ")</f>
        <v>17019.892890474915</v>
      </c>
      <c r="U190" s="94">
        <f>IF(U132=1,'Cash flow statement'!U135," ")</f>
        <v>18297.33202538882</v>
      </c>
      <c r="V190" s="94">
        <f>IF(V132=1,'Cash flow statement'!V135," ")</f>
        <v>19702.387610736456</v>
      </c>
      <c r="W190" s="94">
        <f>IF(W132=1,'Cash flow statement'!W135," ")</f>
        <v>21150.488520577226</v>
      </c>
      <c r="X190" s="94">
        <f>IF(X132=1,'Cash flow statement'!X135," ")</f>
        <v>22676.139188317717</v>
      </c>
      <c r="Y190" s="94">
        <f>IF(Y132=1,'Cash flow statement'!Y135," ")</f>
        <v>24281.491849607424</v>
      </c>
      <c r="Z190" s="94">
        <f>IF(Z132=1,'Cash flow statement'!Z135," ")</f>
        <v>25971.862522800217</v>
      </c>
      <c r="AA190" s="94">
        <f>IF(AA132=1,'Cash flow statement'!AA135," ")</f>
        <v>27753.800923428484</v>
      </c>
      <c r="AB190" s="94">
        <f>IF(AB132=1,'Cash flow statement'!AB135," ")</f>
        <v>29628.880361559906</v>
      </c>
      <c r="AC190" s="94">
        <f>IF(AC132=1,'Cash flow statement'!AC135," ")</f>
        <v>31600.969065990306</v>
      </c>
      <c r="AD190" s="94">
        <f>IF(AD132=1,'Cash flow statement'!AD135," ")</f>
        <v>33675.057790239465</v>
      </c>
      <c r="AE190" s="94">
        <f>IF(AE132=1,'Cash flow statement'!AE135," ")</f>
        <v>35830.808037937437</v>
      </c>
      <c r="AF190" s="94">
        <f>IF(AF132=1,'Cash flow statement'!AF135," ")</f>
        <v>38146.988722418013</v>
      </c>
      <c r="AG190" s="94">
        <f>IF(AG132=1,'Cash flow statement'!AG135," ")</f>
        <v>40554.115993898144</v>
      </c>
      <c r="AH190" s="94">
        <f>IF(AH132=1,'Cash flow statement'!AH135," ")</f>
        <v>43082.218274502855</v>
      </c>
    </row>
    <row r="191" spans="1:34" s="412" customFormat="1" x14ac:dyDescent="0.2">
      <c r="A191" s="18"/>
      <c r="B191" s="80"/>
      <c r="C191" s="80"/>
      <c r="D191" s="80"/>
      <c r="E191" s="80"/>
      <c r="F191" s="80"/>
      <c r="G191" s="80"/>
      <c r="H191" s="80"/>
      <c r="I191" s="80"/>
      <c r="J191" s="80"/>
      <c r="K191" s="80"/>
      <c r="L191" s="80"/>
      <c r="M191" s="80"/>
      <c r="N191" s="80"/>
      <c r="O191" s="80"/>
      <c r="P191" s="80"/>
      <c r="Q191" s="80"/>
      <c r="R191" s="80"/>
      <c r="S191" s="80"/>
      <c r="T191" s="80"/>
      <c r="U191" s="80"/>
      <c r="V191" s="80"/>
      <c r="W191" s="80"/>
      <c r="X191" s="80"/>
      <c r="Y191" s="80"/>
      <c r="Z191" s="80"/>
      <c r="AA191" s="80"/>
      <c r="AB191" s="80"/>
      <c r="AC191" s="80"/>
      <c r="AD191" s="80"/>
      <c r="AE191" s="80"/>
      <c r="AF191" s="80"/>
      <c r="AG191" s="80"/>
      <c r="AH191" s="80"/>
    </row>
    <row r="192" spans="1:34" s="412" customFormat="1" x14ac:dyDescent="0.2">
      <c r="A192" s="18"/>
      <c r="B192" s="80"/>
      <c r="C192" s="80"/>
      <c r="D192" s="80"/>
      <c r="E192" s="93">
        <f>YEAR('Charts - Freight'!E$131)</f>
        <v>2010</v>
      </c>
      <c r="F192" s="93">
        <f>YEAR('Charts - Freight'!F$131)</f>
        <v>2011</v>
      </c>
      <c r="G192" s="93">
        <f>YEAR('Charts - Freight'!G$131)</f>
        <v>2012</v>
      </c>
      <c r="H192" s="93">
        <f>YEAR('Charts - Freight'!H$131)</f>
        <v>2013</v>
      </c>
      <c r="I192" s="93">
        <f>YEAR('Charts - Freight'!I$131)</f>
        <v>2014</v>
      </c>
      <c r="J192" s="93">
        <f>YEAR('Charts - Freight'!J$131)</f>
        <v>2015</v>
      </c>
      <c r="K192" s="93">
        <f>YEAR('Charts - Freight'!K$131)</f>
        <v>2016</v>
      </c>
      <c r="L192" s="93">
        <f>YEAR('Charts - Freight'!L$131)</f>
        <v>2017</v>
      </c>
      <c r="M192" s="93">
        <f>YEAR('Charts - Freight'!M$131)</f>
        <v>2018</v>
      </c>
      <c r="N192" s="93">
        <f>YEAR('Charts - Freight'!N$131)</f>
        <v>2019</v>
      </c>
      <c r="O192" s="93">
        <f>YEAR('Charts - Freight'!O$131)</f>
        <v>2020</v>
      </c>
      <c r="P192" s="93">
        <f>YEAR('Charts - Freight'!P$131)</f>
        <v>2021</v>
      </c>
      <c r="Q192" s="93">
        <f>YEAR('Charts - Freight'!Q$131)</f>
        <v>2022</v>
      </c>
      <c r="R192" s="93">
        <f>YEAR('Charts - Freight'!R$131)</f>
        <v>2023</v>
      </c>
      <c r="S192" s="93">
        <f>YEAR('Charts - Freight'!S$131)</f>
        <v>2024</v>
      </c>
      <c r="T192" s="93">
        <f>YEAR('Charts - Freight'!T$131)</f>
        <v>2025</v>
      </c>
      <c r="U192" s="93">
        <f>YEAR('Charts - Freight'!U$131)</f>
        <v>2026</v>
      </c>
      <c r="V192" s="93">
        <f>YEAR('Charts - Freight'!V$131)</f>
        <v>2027</v>
      </c>
      <c r="W192" s="93">
        <f>YEAR('Charts - Freight'!W$131)</f>
        <v>2028</v>
      </c>
      <c r="X192" s="93">
        <f>YEAR('Charts - Freight'!X$131)</f>
        <v>2029</v>
      </c>
      <c r="Y192" s="93">
        <f>YEAR('Charts - Freight'!Y$131)</f>
        <v>2030</v>
      </c>
      <c r="Z192" s="93">
        <f>YEAR('Charts - Freight'!Z$131)</f>
        <v>2031</v>
      </c>
      <c r="AA192" s="93">
        <f>YEAR('Charts - Freight'!AA$131)</f>
        <v>2032</v>
      </c>
      <c r="AB192" s="93">
        <f>YEAR('Charts - Freight'!AB$131)</f>
        <v>2033</v>
      </c>
      <c r="AC192" s="93">
        <f>YEAR('Charts - Freight'!AC$131)</f>
        <v>2034</v>
      </c>
      <c r="AD192" s="93">
        <f>YEAR('Charts - Freight'!AD$131)</f>
        <v>2035</v>
      </c>
      <c r="AE192" s="93">
        <f>YEAR('Charts - Freight'!AE$131)</f>
        <v>2036</v>
      </c>
      <c r="AF192" s="93">
        <f>YEAR('Charts - Freight'!AF$131)</f>
        <v>2037</v>
      </c>
      <c r="AG192" s="93">
        <f>YEAR('Charts - Freight'!AG$131)</f>
        <v>2038</v>
      </c>
      <c r="AH192" s="93">
        <f>YEAR('Charts - Freight'!AH$131)</f>
        <v>2039</v>
      </c>
    </row>
    <row r="193" spans="1:34" s="412" customFormat="1" x14ac:dyDescent="0.2">
      <c r="A193" s="18"/>
      <c r="B193" s="80" t="str">
        <f>B189</f>
        <v>Operating cash flow</v>
      </c>
      <c r="C193" s="80"/>
      <c r="D193" s="80"/>
      <c r="E193" s="97">
        <f t="shared" ref="E193:AH193" si="18">E189</f>
        <v>0</v>
      </c>
      <c r="F193" s="97">
        <f t="shared" si="18"/>
        <v>9711.9983596389757</v>
      </c>
      <c r="G193" s="97">
        <f t="shared" si="18"/>
        <v>10383.080923793646</v>
      </c>
      <c r="H193" s="97">
        <f t="shared" si="18"/>
        <v>11332.038751553499</v>
      </c>
      <c r="I193" s="97">
        <f t="shared" si="18"/>
        <v>13105.456950143558</v>
      </c>
      <c r="J193" s="97">
        <f t="shared" si="18"/>
        <v>14824.734865934801</v>
      </c>
      <c r="K193" s="97">
        <f t="shared" si="18"/>
        <v>16376.906870982404</v>
      </c>
      <c r="L193" s="97">
        <f t="shared" si="18"/>
        <v>18025.558867202464</v>
      </c>
      <c r="M193" s="97">
        <f t="shared" si="18"/>
        <v>19797.382657557842</v>
      </c>
      <c r="N193" s="97">
        <f t="shared" si="18"/>
        <v>21677.486956082153</v>
      </c>
      <c r="O193" s="97">
        <f t="shared" si="18"/>
        <v>23227.61198253063</v>
      </c>
      <c r="P193" s="97">
        <f t="shared" si="18"/>
        <v>25179.813063298785</v>
      </c>
      <c r="Q193" s="97">
        <f t="shared" si="18"/>
        <v>27273.580134959677</v>
      </c>
      <c r="R193" s="97">
        <f t="shared" si="18"/>
        <v>29486.136986414142</v>
      </c>
      <c r="S193" s="97">
        <f t="shared" si="18"/>
        <v>31823.055235942418</v>
      </c>
      <c r="T193" s="97">
        <f t="shared" si="18"/>
        <v>34290.140776367734</v>
      </c>
      <c r="U193" s="97">
        <f t="shared" si="18"/>
        <v>36893.067960858076</v>
      </c>
      <c r="V193" s="97">
        <f t="shared" si="18"/>
        <v>39637.482506988839</v>
      </c>
      <c r="W193" s="97">
        <f t="shared" si="18"/>
        <v>42532.940545235855</v>
      </c>
      <c r="X193" s="97">
        <f t="shared" si="18"/>
        <v>45583.475785839277</v>
      </c>
      <c r="Y193" s="97">
        <f t="shared" si="18"/>
        <v>48793.392030694806</v>
      </c>
      <c r="Z193" s="97">
        <f t="shared" si="18"/>
        <v>52178.32062702479</v>
      </c>
      <c r="AA193" s="97">
        <f t="shared" si="18"/>
        <v>55741.360295724051</v>
      </c>
      <c r="AB193" s="97">
        <f t="shared" si="18"/>
        <v>59490.656925452909</v>
      </c>
      <c r="AC193" s="97">
        <f t="shared" si="18"/>
        <v>63433.94622038371</v>
      </c>
      <c r="AD193" s="97">
        <f t="shared" si="18"/>
        <v>67581.208911534108</v>
      </c>
      <c r="AE193" s="97">
        <f t="shared" si="18"/>
        <v>71940.517206861725</v>
      </c>
      <c r="AF193" s="97">
        <f t="shared" si="18"/>
        <v>76520.658109752476</v>
      </c>
      <c r="AG193" s="97">
        <f t="shared" si="18"/>
        <v>81333.913072660231</v>
      </c>
      <c r="AH193" s="97">
        <f t="shared" si="18"/>
        <v>86389.08806641557</v>
      </c>
    </row>
    <row r="194" spans="1:34" s="412" customFormat="1" x14ac:dyDescent="0.2">
      <c r="A194" s="18"/>
      <c r="B194" s="80" t="s">
        <v>155</v>
      </c>
      <c r="C194" s="80"/>
      <c r="D194" s="80"/>
      <c r="E194" s="94">
        <f>IF(E132=1,'Cash flow statement'!E122,0)</f>
        <v>0</v>
      </c>
      <c r="F194" s="94">
        <f>IF(F132=1,'Cash flow statement'!F122,0)</f>
        <v>-250</v>
      </c>
      <c r="G194" s="94">
        <f>IF(G132=1,'Cash flow statement'!G122,0)</f>
        <v>-250</v>
      </c>
      <c r="H194" s="94">
        <f>IF(H132=1,'Cash flow statement'!H122,0)</f>
        <v>-250</v>
      </c>
      <c r="I194" s="94">
        <f>IF(I132=1,'Cash flow statement'!I122,0)</f>
        <v>-250</v>
      </c>
      <c r="J194" s="94">
        <f>IF(J132=1,'Cash flow statement'!J122," ")</f>
        <v>-250</v>
      </c>
      <c r="K194" s="94">
        <f>IF(K132=1,'Cash flow statement'!K122," ")</f>
        <v>-250</v>
      </c>
      <c r="L194" s="94">
        <f>IF(L132=1,'Cash flow statement'!L122," ")</f>
        <v>-250</v>
      </c>
      <c r="M194" s="94">
        <f>IF(M132=1,'Cash flow statement'!M122," ")</f>
        <v>-250</v>
      </c>
      <c r="N194" s="94">
        <f>IF(N132=1,'Cash flow statement'!N122," ")</f>
        <v>-255</v>
      </c>
      <c r="O194" s="94">
        <f>IF(O132=1,'Cash flow statement'!O122," ")</f>
        <v>-255</v>
      </c>
      <c r="P194" s="94">
        <f>IF(P132=1,'Cash flow statement'!P122," ")</f>
        <v>-255</v>
      </c>
      <c r="Q194" s="94">
        <f>IF(Q132=1,'Cash flow statement'!Q122," ")</f>
        <v>-255</v>
      </c>
      <c r="R194" s="94">
        <f>IF(R132=1,'Cash flow statement'!R122," ")</f>
        <v>-255</v>
      </c>
      <c r="S194" s="94">
        <f>IF(S132=1,'Cash flow statement'!S122," ")</f>
        <v>-255</v>
      </c>
      <c r="T194" s="94">
        <f>IF(T132=1,'Cash flow statement'!T122," ")</f>
        <v>-255</v>
      </c>
      <c r="U194" s="94">
        <f>IF(U132=1,'Cash flow statement'!U122," ")</f>
        <v>-255</v>
      </c>
      <c r="V194" s="94">
        <f>IF(V132=1,'Cash flow statement'!V122," ")</f>
        <v>-255</v>
      </c>
      <c r="W194" s="94">
        <f>IF(W132=1,'Cash flow statement'!W122," ")</f>
        <v>-255</v>
      </c>
      <c r="X194" s="94">
        <f>IF(X132=1,'Cash flow statement'!X122," ")</f>
        <v>-255</v>
      </c>
      <c r="Y194" s="94">
        <f>IF(Y132=1,'Cash flow statement'!Y122," ")</f>
        <v>-255</v>
      </c>
      <c r="Z194" s="94">
        <f>IF(Z132=1,'Cash flow statement'!Z122," ")</f>
        <v>-260</v>
      </c>
      <c r="AA194" s="94">
        <f>IF(AA132=1,'Cash flow statement'!AA122," ")</f>
        <v>-260</v>
      </c>
      <c r="AB194" s="94">
        <f>IF(AB132=1,'Cash flow statement'!AB122," ")</f>
        <v>-260</v>
      </c>
      <c r="AC194" s="94">
        <f>IF(AC132=1,'Cash flow statement'!AC122," ")</f>
        <v>-260</v>
      </c>
      <c r="AD194" s="94">
        <f>IF(AD132=1,'Cash flow statement'!AD122," ")</f>
        <v>-260</v>
      </c>
      <c r="AE194" s="94">
        <f>IF(AE132=1,'Cash flow statement'!AE122," ")</f>
        <v>-260</v>
      </c>
      <c r="AF194" s="94">
        <f>IF(AF132=1,'Cash flow statement'!AF122," ")</f>
        <v>-260</v>
      </c>
      <c r="AG194" s="94">
        <f>IF(AG132=1,'Cash flow statement'!AG122," ")</f>
        <v>-260</v>
      </c>
      <c r="AH194" s="94">
        <f>IF(AH132=1,'Cash flow statement'!AH122," ")</f>
        <v>-260</v>
      </c>
    </row>
    <row r="195" spans="1:34" s="412" customFormat="1" x14ac:dyDescent="0.2">
      <c r="A195" s="18"/>
      <c r="B195" s="80" t="s">
        <v>621</v>
      </c>
      <c r="C195" s="80"/>
      <c r="D195" s="80"/>
      <c r="E195" s="94">
        <f>IF(E132=1,'Cash flow statement'!E128+'Cash flow statement'!E126-'Cash flow statement'!E125,0)</f>
        <v>0</v>
      </c>
      <c r="F195" s="94">
        <f>IF(F132=1,'Cash flow statement'!F128+'Cash flow statement'!F126-'Cash flow statement'!F125,0)</f>
        <v>-20</v>
      </c>
      <c r="G195" s="94">
        <f>IF(G132=1,'Cash flow statement'!G128+'Cash flow statement'!G126-'Cash flow statement'!G125,0)</f>
        <v>10</v>
      </c>
      <c r="H195" s="94">
        <f>IF(H132=1,'Cash flow statement'!H128+'Cash flow statement'!H126-'Cash flow statement'!H125,0)</f>
        <v>15</v>
      </c>
      <c r="I195" s="94">
        <f>IF(I132=1,'Cash flow statement'!I128+'Cash flow statement'!I126-'Cash flow statement'!I125,0)</f>
        <v>15</v>
      </c>
      <c r="J195" s="94">
        <f>IF(J132=1,'Cash flow statement'!J128+'Cash flow statement'!J126-'Cash flow statement'!J125," ")</f>
        <v>15</v>
      </c>
      <c r="K195" s="94">
        <f>IF(K132=1,'Cash flow statement'!K128+'Cash flow statement'!K126-'Cash flow statement'!K125," ")</f>
        <v>15</v>
      </c>
      <c r="L195" s="94">
        <f>IF(L132=1,'Cash flow statement'!L128+'Cash flow statement'!L126-'Cash flow statement'!L125," ")</f>
        <v>-32.4395066669153</v>
      </c>
      <c r="M195" s="94">
        <f>IF(M132=1,'Cash flow statement'!M128+'Cash flow statement'!M126-'Cash flow statement'!M125," ")</f>
        <v>-32.807442498607458</v>
      </c>
      <c r="N195" s="94">
        <f>IF(N132=1,'Cash flow statement'!N128+'Cash flow statement'!N126-'Cash flow statement'!N125," ")</f>
        <v>-33.238398074929925</v>
      </c>
      <c r="O195" s="94">
        <f>IF(O132=1,'Cash flow statement'!O128+'Cash flow statement'!O126-'Cash flow statement'!O125," ")</f>
        <v>-34.094414864335292</v>
      </c>
      <c r="P195" s="94">
        <f>IF(P132=1,'Cash flow statement'!P128+'Cash flow statement'!P126-'Cash flow statement'!P125," ")</f>
        <v>-9.6624153580774621</v>
      </c>
      <c r="Q195" s="94">
        <f>IF(Q132=1,'Cash flow statement'!Q128+'Cash flow statement'!Q126-'Cash flow statement'!Q125," ")</f>
        <v>-10.24214612536878</v>
      </c>
      <c r="R195" s="94">
        <f>IF(R132=1,'Cash flow statement'!R128+'Cash flow statement'!R126-'Cash flow statement'!R125," ")</f>
        <v>-10.857626130981783</v>
      </c>
      <c r="S195" s="94">
        <f>IF(S132=1,'Cash flow statement'!S128+'Cash flow statement'!S126-'Cash flow statement'!S125," ")</f>
        <v>-11.511116225829554</v>
      </c>
      <c r="T195" s="94">
        <f>IF(T132=1,'Cash flow statement'!T128+'Cash flow statement'!T126-'Cash flow statement'!T125," ")</f>
        <v>-12.205023440600621</v>
      </c>
      <c r="U195" s="94">
        <f>IF(U132=1,'Cash flow statement'!U128+'Cash flow statement'!U126-'Cash flow statement'!U125," ")</f>
        <v>-62.941910614353816</v>
      </c>
      <c r="V195" s="94">
        <f>IF(V132=1,'Cash flow statement'!V128+'Cash flow statement'!V126-'Cash flow statement'!V125," ")</f>
        <v>0</v>
      </c>
      <c r="W195" s="94">
        <f>IF(W132=1,'Cash flow statement'!W128+'Cash flow statement'!W126-'Cash flow statement'!W125," ")</f>
        <v>0</v>
      </c>
      <c r="X195" s="94">
        <f>IF(X132=1,'Cash flow statement'!X128+'Cash flow statement'!X126-'Cash flow statement'!X125," ")</f>
        <v>0</v>
      </c>
      <c r="Y195" s="94">
        <f>IF(Y132=1,'Cash flow statement'!Y128+'Cash flow statement'!Y126-'Cash flow statement'!Y125," ")</f>
        <v>0</v>
      </c>
      <c r="Z195" s="94">
        <f>IF(Z132=1,'Cash flow statement'!Z128+'Cash flow statement'!Z126-'Cash flow statement'!Z125," ")</f>
        <v>0</v>
      </c>
      <c r="AA195" s="94">
        <f>IF(AA132=1,'Cash flow statement'!AA128+'Cash flow statement'!AA126-'Cash flow statement'!AA125," ")</f>
        <v>0</v>
      </c>
      <c r="AB195" s="94">
        <f>IF(AB132=1,'Cash flow statement'!AB128+'Cash flow statement'!AB126-'Cash flow statement'!AB125," ")</f>
        <v>0</v>
      </c>
      <c r="AC195" s="94">
        <f>IF(AC132=1,'Cash flow statement'!AC128+'Cash flow statement'!AC126-'Cash flow statement'!AC125," ")</f>
        <v>0</v>
      </c>
      <c r="AD195" s="94">
        <f>IF(AD132=1,'Cash flow statement'!AD128+'Cash flow statement'!AD126-'Cash flow statement'!AD125," ")</f>
        <v>0</v>
      </c>
      <c r="AE195" s="94">
        <f>IF(AE132=1,'Cash flow statement'!AE128+'Cash flow statement'!AE126-'Cash flow statement'!AE125," ")</f>
        <v>-50</v>
      </c>
      <c r="AF195" s="94">
        <f>IF(AF132=1,'Cash flow statement'!AF128+'Cash flow statement'!AF126-'Cash flow statement'!AF125," ")</f>
        <v>0</v>
      </c>
      <c r="AG195" s="94">
        <f>IF(AG132=1,'Cash flow statement'!AG128+'Cash flow statement'!AG126-'Cash flow statement'!AG125," ")</f>
        <v>0</v>
      </c>
      <c r="AH195" s="94">
        <f>IF(AH132=1,'Cash flow statement'!AH128+'Cash flow statement'!AH126-'Cash flow statement'!AH125," ")</f>
        <v>0</v>
      </c>
    </row>
    <row r="196" spans="1:34" s="412" customFormat="1" x14ac:dyDescent="0.2">
      <c r="A196" s="18"/>
      <c r="B196" s="80" t="s">
        <v>81</v>
      </c>
      <c r="C196" s="80"/>
      <c r="D196" s="80"/>
      <c r="E196" s="94">
        <f>IF(E132=1,'Cash flow statement'!E129,0)</f>
        <v>0</v>
      </c>
      <c r="F196" s="94">
        <f>IF(F132=1,'Cash flow statement'!F129,0)</f>
        <v>0</v>
      </c>
      <c r="G196" s="94">
        <f>IF(G132=1,'Cash flow statement'!G129,0)</f>
        <v>0</v>
      </c>
      <c r="H196" s="94">
        <f>IF(H132=1,'Cash flow statement'!H129,0)</f>
        <v>0</v>
      </c>
      <c r="I196" s="94">
        <f>IF(I132=1,'Cash flow statement'!I129,0)</f>
        <v>0</v>
      </c>
      <c r="J196" s="94">
        <f>IF(J132=1,'Cash flow statement'!J129," ")</f>
        <v>0</v>
      </c>
      <c r="K196" s="94">
        <f>IF(K132=1,'Cash flow statement'!K129," ")</f>
        <v>0</v>
      </c>
      <c r="L196" s="94">
        <f>IF(L132=1,'Cash flow statement'!L129," ")</f>
        <v>0</v>
      </c>
      <c r="M196" s="94">
        <f>IF(M132=1,'Cash flow statement'!M129," ")</f>
        <v>0</v>
      </c>
      <c r="N196" s="94">
        <f>IF(N132=1,'Cash flow statement'!N129," ")</f>
        <v>0</v>
      </c>
      <c r="O196" s="94">
        <f>IF(O132=1,'Cash flow statement'!O129," ")</f>
        <v>0</v>
      </c>
      <c r="P196" s="94">
        <f>IF(P132=1,'Cash flow statement'!P129," ")</f>
        <v>0</v>
      </c>
      <c r="Q196" s="94">
        <f>IF(Q132=1,'Cash flow statement'!Q129," ")</f>
        <v>0</v>
      </c>
      <c r="R196" s="94">
        <f>IF(R132=1,'Cash flow statement'!R129," ")</f>
        <v>0</v>
      </c>
      <c r="S196" s="94">
        <f>IF(S132=1,'Cash flow statement'!S129," ")</f>
        <v>0</v>
      </c>
      <c r="T196" s="94">
        <f>IF(T132=1,'Cash flow statement'!T129," ")</f>
        <v>0</v>
      </c>
      <c r="U196" s="94">
        <f>IF(U132=1,'Cash flow statement'!U129," ")</f>
        <v>0</v>
      </c>
      <c r="V196" s="94">
        <f>IF(V132=1,'Cash flow statement'!V129," ")</f>
        <v>0</v>
      </c>
      <c r="W196" s="94">
        <f>IF(W132=1,'Cash flow statement'!W129," ")</f>
        <v>0</v>
      </c>
      <c r="X196" s="94">
        <f>IF(X132=1,'Cash flow statement'!X129," ")</f>
        <v>0</v>
      </c>
      <c r="Y196" s="94">
        <f>IF(Y132=1,'Cash flow statement'!Y129," ")</f>
        <v>0</v>
      </c>
      <c r="Z196" s="94">
        <f>IF(Z132=1,'Cash flow statement'!Z129," ")</f>
        <v>0</v>
      </c>
      <c r="AA196" s="94">
        <f>IF(AA132=1,'Cash flow statement'!AA129," ")</f>
        <v>0</v>
      </c>
      <c r="AB196" s="94">
        <f>IF(AB132=1,'Cash flow statement'!AB129," ")</f>
        <v>0</v>
      </c>
      <c r="AC196" s="94">
        <f>IF(AC132=1,'Cash flow statement'!AC129," ")</f>
        <v>0</v>
      </c>
      <c r="AD196" s="94">
        <f>IF(AD132=1,'Cash flow statement'!AD129," ")</f>
        <v>0</v>
      </c>
      <c r="AE196" s="94">
        <f>IF(AE132=1,'Cash flow statement'!AE129," ")</f>
        <v>0</v>
      </c>
      <c r="AF196" s="94">
        <f>IF(AF132=1,'Cash flow statement'!AF129," ")</f>
        <v>0</v>
      </c>
      <c r="AG196" s="94">
        <f>IF(AG132=1,'Cash flow statement'!AG129," ")</f>
        <v>0</v>
      </c>
      <c r="AH196" s="94">
        <f>IF(AH132=1,'Cash flow statement'!AH129," ")</f>
        <v>0</v>
      </c>
    </row>
    <row r="197" spans="1:34" s="412" customFormat="1" x14ac:dyDescent="0.2">
      <c r="A197" s="18"/>
      <c r="B197" s="80" t="s">
        <v>206</v>
      </c>
      <c r="C197" s="80"/>
      <c r="D197" s="80"/>
      <c r="E197" s="94">
        <f>IF(E132=1,'Cash flow statement'!E130*-1,0)</f>
        <v>0</v>
      </c>
      <c r="F197" s="94">
        <f>IF(F132=1,'Cash flow statement'!F130*-1,0)</f>
        <v>-11.349249999999998</v>
      </c>
      <c r="G197" s="94">
        <f>IF(G132=1,'Cash flow statement'!G130*-1,0)</f>
        <v>-12.235749999999996</v>
      </c>
      <c r="H197" s="94">
        <f>IF(H132=1,'Cash flow statement'!H130*-1,0)</f>
        <v>-12.868499999999983</v>
      </c>
      <c r="I197" s="94">
        <f>IF(I132=1,'Cash flow statement'!I130*-1,0)</f>
        <v>-14.062249999999949</v>
      </c>
      <c r="J197" s="94">
        <f>IF(J132=1,'Cash flow statement'!J130*-1," ")</f>
        <v>-15.174999999999955</v>
      </c>
      <c r="K197" s="94">
        <f>IF(K132=1,'Cash flow statement'!K130*-1," ")</f>
        <v>-16.231500000000096</v>
      </c>
      <c r="L197" s="94">
        <f>IF(L132=1,'Cash flow statement'!L130*-1," ")</f>
        <v>-16.109750000000076</v>
      </c>
      <c r="M197" s="94">
        <f>IF(M132=1,'Cash flow statement'!M130*-1," ")</f>
        <v>-14.388314168307716</v>
      </c>
      <c r="N197" s="94">
        <f>IF(N132=1,'Cash flow statement'!N130*-1," ")</f>
        <v>-12.57935859198551</v>
      </c>
      <c r="O197" s="94">
        <f>IF(O132=1,'Cash flow statement'!O130*-1," ")</f>
        <v>-10.306591802579987</v>
      </c>
      <c r="P197" s="94">
        <f>IF(P132=1,'Cash flow statement'!P130*-1," ")</f>
        <v>-9.0620913088378074</v>
      </c>
      <c r="Q197" s="94">
        <f>IF(Q132=1,'Cash flow statement'!Q130*-1," ")</f>
        <v>-8.4823605415467682</v>
      </c>
      <c r="R197" s="94">
        <f>IF(R132=1,'Cash flow statement'!R130*-1," ")</f>
        <v>-7.8668805359338876</v>
      </c>
      <c r="S197" s="94">
        <f>IF(S132=1,'Cash flow statement'!S130*-1," ")</f>
        <v>-7.2133904410857212</v>
      </c>
      <c r="T197" s="94">
        <f>IF(T132=1,'Cash flow statement'!T130*-1," ")</f>
        <v>-6.5194832263150602</v>
      </c>
      <c r="U197" s="94">
        <f>IF(U132=1,'Cash flow statement'!U130*-1," ")</f>
        <v>-4.5325960525606206</v>
      </c>
      <c r="V197" s="94">
        <f>IF(V132=1,'Cash flow statement'!V130*-1," ")</f>
        <v>-2.5</v>
      </c>
      <c r="W197" s="94">
        <f>IF(W132=1,'Cash flow statement'!W130*-1," ")</f>
        <v>-2.5</v>
      </c>
      <c r="X197" s="94">
        <f>IF(X132=1,'Cash flow statement'!X130*-1," ")</f>
        <v>-2.5</v>
      </c>
      <c r="Y197" s="94">
        <f>IF(Y132=1,'Cash flow statement'!Y130*-1," ")</f>
        <v>-2.5</v>
      </c>
      <c r="Z197" s="94">
        <f>IF(Z132=1,'Cash flow statement'!Z130*-1," ")</f>
        <v>-2.5</v>
      </c>
      <c r="AA197" s="94">
        <f>IF(AA132=1,'Cash flow statement'!AA130*-1," ")</f>
        <v>-2.5</v>
      </c>
      <c r="AB197" s="94">
        <f>IF(AB132=1,'Cash flow statement'!AB130*-1," ")</f>
        <v>-2.5</v>
      </c>
      <c r="AC197" s="94">
        <f>IF(AC132=1,'Cash flow statement'!AC130*-1," ")</f>
        <v>-2.5</v>
      </c>
      <c r="AD197" s="94">
        <f>IF(AD132=1,'Cash flow statement'!AD130*-1," ")</f>
        <v>-2.5</v>
      </c>
      <c r="AE197" s="94">
        <f>IF(AE132=1,'Cash flow statement'!AE130*-1," ")</f>
        <v>-1.25</v>
      </c>
      <c r="AF197" s="94">
        <f>IF(AF132=1,'Cash flow statement'!AF130*-1," ")</f>
        <v>0</v>
      </c>
      <c r="AG197" s="94">
        <f>IF(AG132=1,'Cash flow statement'!AG130*-1," ")</f>
        <v>0</v>
      </c>
      <c r="AH197" s="94">
        <f>IF(AH132=1,'Cash flow statement'!AH130*-1," ")</f>
        <v>0</v>
      </c>
    </row>
    <row r="198" spans="1:34" s="412" customFormat="1" x14ac:dyDescent="0.2">
      <c r="A198" s="18"/>
      <c r="B198" s="80" t="s">
        <v>111</v>
      </c>
      <c r="C198" s="80"/>
      <c r="D198" s="80"/>
      <c r="E198" s="94">
        <f>IF(E132=1,'Cash flow statement'!E131*-1,0)</f>
        <v>0</v>
      </c>
      <c r="F198" s="94">
        <f>IF(F132=1,'Cash flow statement'!F131*-1,0)</f>
        <v>-4723.0495548194885</v>
      </c>
      <c r="G198" s="94">
        <f>IF(G132=1,'Cash flow statement'!G131*-1,0)</f>
        <v>-5073.3793368968236</v>
      </c>
      <c r="H198" s="94">
        <f>IF(H132=1,'Cash flow statement'!H131*-1,0)</f>
        <v>-5550.2805782767491</v>
      </c>
      <c r="I198" s="94">
        <f>IF(I132=1,'Cash flow statement'!I131*-1,0)</f>
        <v>-6436.6386661467786</v>
      </c>
      <c r="J198" s="94">
        <f>IF(J132=1,'Cash flow statement'!J131*-1," ")</f>
        <v>-7295.974488524651</v>
      </c>
      <c r="K198" s="94">
        <f>IF(K132=1,'Cash flow statement'!K131*-1," ")</f>
        <v>-8071.7930777151696</v>
      </c>
      <c r="L198" s="94">
        <f>IF(L132=1,'Cash flow statement'!L131*-1," ")</f>
        <v>-8872.7288592584609</v>
      </c>
      <c r="M198" s="94">
        <f>IF(M132=1,'Cash flow statement'!M131*-1," ")</f>
        <v>-9759.5942260558713</v>
      </c>
      <c r="N198" s="94">
        <f>IF(N132=1,'Cash flow statement'!N131*-1," ")</f>
        <v>-10698.120398586339</v>
      </c>
      <c r="O198" s="94">
        <f>IF(O132=1,'Cash flow statement'!O131*-1," ")</f>
        <v>-11474.184860776939</v>
      </c>
      <c r="P198" s="94">
        <f>IF(P132=1,'Cash flow statement'!P131*-1," ")</f>
        <v>-12463.426032346368</v>
      </c>
      <c r="Q198" s="94">
        <f>IF(Q132=1,'Cash flow statement'!Q131*-1," ")</f>
        <v>-13510.621020797726</v>
      </c>
      <c r="R198" s="94">
        <f>IF(R132=1,'Cash flow statement'!R131*-1," ")</f>
        <v>-14617.220242724499</v>
      </c>
      <c r="S198" s="94">
        <f>IF(S132=1,'Cash flow statement'!S131*-1," ")</f>
        <v>-15786.009787574165</v>
      </c>
      <c r="T198" s="94">
        <f>IF(T132=1,'Cash flow statement'!T131*-1," ")</f>
        <v>-17019.892890474915</v>
      </c>
      <c r="U198" s="94">
        <f>IF(U132=1,'Cash flow statement'!U131*-1," ")</f>
        <v>-18297.332025388823</v>
      </c>
      <c r="V198" s="94">
        <f>IF(V132=1,'Cash flow statement'!V131*-1," ")</f>
        <v>-19702.387610736459</v>
      </c>
      <c r="W198" s="94">
        <f>IF(W132=1,'Cash flow statement'!W131*-1," ")</f>
        <v>-21150.488520577226</v>
      </c>
      <c r="X198" s="94">
        <f>IF(X132=1,'Cash flow statement'!X131*-1," ")</f>
        <v>-22676.139188317717</v>
      </c>
      <c r="Y198" s="94">
        <f>IF(Y132=1,'Cash flow statement'!Y131*-1," ")</f>
        <v>-24281.491849607424</v>
      </c>
      <c r="Z198" s="94">
        <f>IF(Z132=1,'Cash flow statement'!Z131*-1," ")</f>
        <v>-25971.862522800217</v>
      </c>
      <c r="AA198" s="94">
        <f>IF(AA132=1,'Cash flow statement'!AA131*-1," ")</f>
        <v>-27753.80092342848</v>
      </c>
      <c r="AB198" s="94">
        <f>IF(AB132=1,'Cash flow statement'!AB131*-1," ")</f>
        <v>-29628.880361559903</v>
      </c>
      <c r="AC198" s="94">
        <f>IF(AC132=1,'Cash flow statement'!AC131*-1," ")</f>
        <v>-31600.96906599031</v>
      </c>
      <c r="AD198" s="94">
        <f>IF(AD132=1,'Cash flow statement'!AD131*-1," ")</f>
        <v>-33675.057790239458</v>
      </c>
      <c r="AE198" s="94">
        <f>IF(AE132=1,'Cash flow statement'!AE131*-1," ")</f>
        <v>-35830.808037937444</v>
      </c>
      <c r="AF198" s="94">
        <f>IF(AF132=1,'Cash flow statement'!AF131*-1," ")</f>
        <v>-38146.988722418013</v>
      </c>
      <c r="AG198" s="94">
        <f>IF(AG132=1,'Cash flow statement'!AG131*-1," ")</f>
        <v>-40554.115993898144</v>
      </c>
      <c r="AH198" s="94">
        <f>IF(AH132=1,'Cash flow statement'!AH131*-1," ")</f>
        <v>-43082.218274502855</v>
      </c>
    </row>
    <row r="199" spans="1:34" s="412" customFormat="1" x14ac:dyDescent="0.2">
      <c r="A199" s="18"/>
      <c r="B199" s="80"/>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c r="AA199" s="80"/>
      <c r="AB199" s="80"/>
      <c r="AC199" s="80"/>
      <c r="AD199" s="80"/>
      <c r="AE199" s="80"/>
      <c r="AF199" s="80"/>
      <c r="AG199" s="80"/>
      <c r="AH199" s="80"/>
    </row>
    <row r="200" spans="1:34" s="412" customFormat="1" x14ac:dyDescent="0.2">
      <c r="A200" s="18"/>
      <c r="B200" s="90" t="s">
        <v>184</v>
      </c>
      <c r="C200" s="80"/>
      <c r="D200" s="80"/>
      <c r="E200" s="80"/>
      <c r="F200" s="80"/>
      <c r="G200" s="80"/>
      <c r="H200" s="80"/>
      <c r="I200" s="80"/>
      <c r="J200" s="80"/>
      <c r="K200" s="80"/>
      <c r="L200" s="80"/>
      <c r="M200" s="80"/>
      <c r="N200" s="80"/>
      <c r="O200" s="80"/>
      <c r="P200" s="80"/>
      <c r="Q200" s="80"/>
      <c r="R200" s="80"/>
      <c r="S200" s="80"/>
      <c r="T200" s="80"/>
      <c r="U200" s="80"/>
      <c r="V200" s="80"/>
      <c r="W200" s="80"/>
      <c r="X200" s="80"/>
      <c r="Y200" s="80"/>
      <c r="Z200" s="80"/>
      <c r="AA200" s="80"/>
      <c r="AB200" s="80"/>
      <c r="AC200" s="80"/>
      <c r="AD200" s="80"/>
      <c r="AE200" s="80"/>
      <c r="AF200" s="80"/>
      <c r="AG200" s="80"/>
      <c r="AH200" s="80"/>
    </row>
    <row r="201" spans="1:34" s="412" customFormat="1" x14ac:dyDescent="0.2">
      <c r="A201" s="18"/>
      <c r="B201" s="80"/>
      <c r="C201" s="80"/>
      <c r="D201" s="80"/>
      <c r="E201" s="93">
        <f>YEAR('Charts - Freight'!E$131)</f>
        <v>2010</v>
      </c>
      <c r="F201" s="93">
        <f>YEAR('Charts - Freight'!F$131)</f>
        <v>2011</v>
      </c>
      <c r="G201" s="93">
        <f>YEAR('Charts - Freight'!G$131)</f>
        <v>2012</v>
      </c>
      <c r="H201" s="93">
        <f>YEAR('Charts - Freight'!H$131)</f>
        <v>2013</v>
      </c>
      <c r="I201" s="93">
        <f>YEAR('Charts - Freight'!I$131)</f>
        <v>2014</v>
      </c>
      <c r="J201" s="93">
        <f>YEAR('Charts - Freight'!J$131)</f>
        <v>2015</v>
      </c>
      <c r="K201" s="93">
        <f>YEAR('Charts - Freight'!K$131)</f>
        <v>2016</v>
      </c>
      <c r="L201" s="93">
        <f>YEAR('Charts - Freight'!L$131)</f>
        <v>2017</v>
      </c>
      <c r="M201" s="93">
        <f>YEAR('Charts - Freight'!M$131)</f>
        <v>2018</v>
      </c>
      <c r="N201" s="93">
        <f>YEAR('Charts - Freight'!N$131)</f>
        <v>2019</v>
      </c>
      <c r="O201" s="93">
        <f>YEAR('Charts - Freight'!O$131)</f>
        <v>2020</v>
      </c>
      <c r="P201" s="93">
        <f>YEAR('Charts - Freight'!P$131)</f>
        <v>2021</v>
      </c>
      <c r="Q201" s="93">
        <f>YEAR('Charts - Freight'!Q$131)</f>
        <v>2022</v>
      </c>
      <c r="R201" s="93">
        <f>YEAR('Charts - Freight'!R$131)</f>
        <v>2023</v>
      </c>
      <c r="S201" s="93">
        <f>YEAR('Charts - Freight'!S$131)</f>
        <v>2024</v>
      </c>
      <c r="T201" s="93">
        <f>YEAR('Charts - Freight'!T$131)</f>
        <v>2025</v>
      </c>
      <c r="U201" s="93">
        <f>YEAR('Charts - Freight'!U$131)</f>
        <v>2026</v>
      </c>
      <c r="V201" s="93">
        <f>YEAR('Charts - Freight'!V$131)</f>
        <v>2027</v>
      </c>
      <c r="W201" s="93">
        <f>YEAR('Charts - Freight'!W$131)</f>
        <v>2028</v>
      </c>
      <c r="X201" s="93">
        <f>YEAR('Charts - Freight'!X$131)</f>
        <v>2029</v>
      </c>
      <c r="Y201" s="93">
        <f>YEAR('Charts - Freight'!Y$131)</f>
        <v>2030</v>
      </c>
      <c r="Z201" s="93">
        <f>YEAR('Charts - Freight'!Z$131)</f>
        <v>2031</v>
      </c>
      <c r="AA201" s="93">
        <f>YEAR('Charts - Freight'!AA$131)</f>
        <v>2032</v>
      </c>
      <c r="AB201" s="93">
        <f>YEAR('Charts - Freight'!AB$131)</f>
        <v>2033</v>
      </c>
      <c r="AC201" s="93">
        <f>YEAR('Charts - Freight'!AC$131)</f>
        <v>2034</v>
      </c>
      <c r="AD201" s="93">
        <f>YEAR('Charts - Freight'!AD$131)</f>
        <v>2035</v>
      </c>
      <c r="AE201" s="93">
        <f>YEAR('Charts - Freight'!AE$131)</f>
        <v>2036</v>
      </c>
      <c r="AF201" s="93">
        <f>YEAR('Charts - Freight'!AF$131)</f>
        <v>2037</v>
      </c>
      <c r="AG201" s="93">
        <f>YEAR('Charts - Freight'!AG$131)</f>
        <v>2038</v>
      </c>
      <c r="AH201" s="93">
        <f>YEAR('Charts - Freight'!AH$131)</f>
        <v>2039</v>
      </c>
    </row>
    <row r="202" spans="1:34" s="412" customFormat="1" x14ac:dyDescent="0.2">
      <c r="A202" s="18"/>
      <c r="B202" s="80" t="s">
        <v>184</v>
      </c>
      <c r="C202" s="80"/>
      <c r="D202" s="80"/>
      <c r="E202" s="80">
        <f>IF(E132=1,'Cash flow statement'!E118,0)</f>
        <v>0</v>
      </c>
      <c r="F202" s="80">
        <f>IF(F132=1,'Cash flow statement'!F118,0)</f>
        <v>280</v>
      </c>
      <c r="G202" s="80">
        <f>IF(G132=1,'Cash flow statement'!G118,0)</f>
        <v>280</v>
      </c>
      <c r="H202" s="80">
        <f>IF(H132=1,'Cash flow statement'!H118,0)</f>
        <v>280</v>
      </c>
      <c r="I202" s="80">
        <f>IF(I132=1,'Cash flow statement'!I118,0)</f>
        <v>280</v>
      </c>
      <c r="J202" s="80">
        <f>IF(J132=1,'Cash flow statement'!J118," ")</f>
        <v>280</v>
      </c>
      <c r="K202" s="80">
        <f>IF(K132=1,'Cash flow statement'!K118," ")</f>
        <v>280</v>
      </c>
      <c r="L202" s="80">
        <f>IF(L132=1,'Cash flow statement'!L118," ")</f>
        <v>280</v>
      </c>
      <c r="M202" s="80">
        <f>IF(M132=1,'Cash flow statement'!M118," ")</f>
        <v>280</v>
      </c>
      <c r="N202" s="80">
        <f>IF(N132=1,'Cash flow statement'!N118," ")</f>
        <v>280</v>
      </c>
      <c r="O202" s="80">
        <f>IF(O132=1,'Cash flow statement'!O118," ")</f>
        <v>280</v>
      </c>
      <c r="P202" s="80">
        <f>IF(P132=1,'Cash flow statement'!P118," ")</f>
        <v>280</v>
      </c>
      <c r="Q202" s="80">
        <f>IF(Q132=1,'Cash flow statement'!Q118," ")</f>
        <v>280</v>
      </c>
      <c r="R202" s="80">
        <f>IF(R132=1,'Cash flow statement'!R118," ")</f>
        <v>280</v>
      </c>
      <c r="S202" s="80">
        <f>IF(S132=1,'Cash flow statement'!S118," ")</f>
        <v>280</v>
      </c>
      <c r="T202" s="80">
        <f>IF(T132=1,'Cash flow statement'!T118," ")</f>
        <v>280</v>
      </c>
      <c r="U202" s="80">
        <f>IF(U132=1,'Cash flow statement'!U118," ")</f>
        <v>280</v>
      </c>
      <c r="V202" s="80">
        <f>IF(V132=1,'Cash flow statement'!V118," ")</f>
        <v>280</v>
      </c>
      <c r="W202" s="80">
        <f>IF(W132=1,'Cash flow statement'!W118," ")</f>
        <v>280</v>
      </c>
      <c r="X202" s="80">
        <f>IF(X132=1,'Cash flow statement'!X118," ")</f>
        <v>280</v>
      </c>
      <c r="Y202" s="80">
        <f>IF(Y132=1,'Cash flow statement'!Y118," ")</f>
        <v>280</v>
      </c>
      <c r="Z202" s="80">
        <f>IF(Z132=1,'Cash flow statement'!Z118," ")</f>
        <v>280</v>
      </c>
      <c r="AA202" s="80">
        <f>IF(AA132=1,'Cash flow statement'!AA118," ")</f>
        <v>280</v>
      </c>
      <c r="AB202" s="80">
        <f>IF(AB132=1,'Cash flow statement'!AB118," ")</f>
        <v>280</v>
      </c>
      <c r="AC202" s="80">
        <f>IF(AC132=1,'Cash flow statement'!AC118," ")</f>
        <v>280</v>
      </c>
      <c r="AD202" s="80">
        <f>IF(AD132=1,'Cash flow statement'!AD118," ")</f>
        <v>280</v>
      </c>
      <c r="AE202" s="80">
        <f>IF(AE132=1,'Cash flow statement'!AE118," ")</f>
        <v>280</v>
      </c>
      <c r="AF202" s="80">
        <f>IF(AF132=1,'Cash flow statement'!AF118," ")</f>
        <v>280</v>
      </c>
      <c r="AG202" s="80">
        <f>IF(AG132=1,'Cash flow statement'!AG118," ")</f>
        <v>280</v>
      </c>
      <c r="AH202" s="80">
        <f>IF(AH132=1,'Cash flow statement'!AH118," ")</f>
        <v>280</v>
      </c>
    </row>
    <row r="203" spans="1:34" s="412" customFormat="1" x14ac:dyDescent="0.2">
      <c r="A203" s="18"/>
      <c r="B203" s="80"/>
      <c r="C203" s="80"/>
      <c r="D203" s="80"/>
      <c r="E203" s="80"/>
      <c r="F203" s="80"/>
      <c r="G203" s="80"/>
      <c r="H203" s="80"/>
      <c r="I203" s="80"/>
      <c r="J203" s="80"/>
      <c r="K203" s="80"/>
      <c r="L203" s="80"/>
      <c r="M203" s="80"/>
      <c r="N203" s="80"/>
      <c r="O203" s="80"/>
      <c r="P203" s="80"/>
      <c r="Q203" s="80"/>
      <c r="R203" s="80"/>
      <c r="S203" s="80"/>
      <c r="T203" s="80"/>
      <c r="U203" s="80"/>
      <c r="V203" s="80"/>
      <c r="W203" s="80"/>
      <c r="X203" s="80"/>
      <c r="Y203" s="80"/>
      <c r="Z203" s="80"/>
      <c r="AA203" s="80"/>
      <c r="AB203" s="80"/>
      <c r="AC203" s="80"/>
      <c r="AD203" s="80"/>
      <c r="AE203" s="80"/>
      <c r="AF203" s="80"/>
      <c r="AG203" s="80"/>
      <c r="AH203" s="80"/>
    </row>
    <row r="204" spans="1:34" s="412" customFormat="1" x14ac:dyDescent="0.2">
      <c r="A204" s="18"/>
      <c r="B204" s="90" t="s">
        <v>185</v>
      </c>
      <c r="C204" s="80"/>
      <c r="D204" s="80"/>
      <c r="E204" s="80"/>
      <c r="F204" s="80"/>
      <c r="G204" s="80"/>
      <c r="H204" s="80"/>
      <c r="I204" s="80"/>
      <c r="J204" s="80"/>
      <c r="K204" s="80"/>
      <c r="L204" s="80"/>
      <c r="M204" s="80"/>
      <c r="N204" s="80"/>
      <c r="O204" s="80"/>
      <c r="P204" s="80"/>
      <c r="Q204" s="80"/>
      <c r="R204" s="80"/>
      <c r="S204" s="80"/>
      <c r="T204" s="80"/>
      <c r="U204" s="80"/>
      <c r="V204" s="80"/>
      <c r="W204" s="80"/>
      <c r="X204" s="80"/>
      <c r="Y204" s="80"/>
      <c r="Z204" s="80"/>
      <c r="AA204" s="80"/>
      <c r="AB204" s="80"/>
      <c r="AC204" s="80"/>
      <c r="AD204" s="80"/>
      <c r="AE204" s="80"/>
      <c r="AF204" s="80"/>
      <c r="AG204" s="80"/>
      <c r="AH204" s="80"/>
    </row>
    <row r="205" spans="1:34" s="412" customFormat="1" x14ac:dyDescent="0.2">
      <c r="A205" s="18"/>
      <c r="B205" s="80"/>
      <c r="C205" s="80"/>
      <c r="D205" s="80"/>
      <c r="E205" s="93">
        <f>YEAR('Charts - Freight'!E$131)</f>
        <v>2010</v>
      </c>
      <c r="F205" s="93">
        <f>YEAR('Charts - Freight'!F$131)</f>
        <v>2011</v>
      </c>
      <c r="G205" s="93">
        <f>YEAR('Charts - Freight'!G$131)</f>
        <v>2012</v>
      </c>
      <c r="H205" s="93">
        <f>YEAR('Charts - Freight'!H$131)</f>
        <v>2013</v>
      </c>
      <c r="I205" s="93">
        <f>YEAR('Charts - Freight'!I$131)</f>
        <v>2014</v>
      </c>
      <c r="J205" s="93">
        <f>YEAR('Charts - Freight'!J$131)</f>
        <v>2015</v>
      </c>
      <c r="K205" s="93">
        <f>YEAR('Charts - Freight'!K$131)</f>
        <v>2016</v>
      </c>
      <c r="L205" s="93">
        <f>YEAR('Charts - Freight'!L$131)</f>
        <v>2017</v>
      </c>
      <c r="M205" s="93">
        <f>YEAR('Charts - Freight'!M$131)</f>
        <v>2018</v>
      </c>
      <c r="N205" s="93">
        <f>YEAR('Charts - Freight'!N$131)</f>
        <v>2019</v>
      </c>
      <c r="O205" s="93">
        <f>YEAR('Charts - Freight'!O$131)</f>
        <v>2020</v>
      </c>
      <c r="P205" s="93">
        <f>YEAR('Charts - Freight'!P$131)</f>
        <v>2021</v>
      </c>
      <c r="Q205" s="93">
        <f>YEAR('Charts - Freight'!Q$131)</f>
        <v>2022</v>
      </c>
      <c r="R205" s="93">
        <f>YEAR('Charts - Freight'!R$131)</f>
        <v>2023</v>
      </c>
      <c r="S205" s="93">
        <f>YEAR('Charts - Freight'!S$131)</f>
        <v>2024</v>
      </c>
      <c r="T205" s="93">
        <f>YEAR('Charts - Freight'!T$131)</f>
        <v>2025</v>
      </c>
      <c r="U205" s="93">
        <f>YEAR('Charts - Freight'!U$131)</f>
        <v>2026</v>
      </c>
      <c r="V205" s="93">
        <f>YEAR('Charts - Freight'!V$131)</f>
        <v>2027</v>
      </c>
      <c r="W205" s="93">
        <f>YEAR('Charts - Freight'!W$131)</f>
        <v>2028</v>
      </c>
      <c r="X205" s="93">
        <f>YEAR('Charts - Freight'!X$131)</f>
        <v>2029</v>
      </c>
      <c r="Y205" s="93">
        <f>YEAR('Charts - Freight'!Y$131)</f>
        <v>2030</v>
      </c>
      <c r="Z205" s="93">
        <f>YEAR('Charts - Freight'!Z$131)</f>
        <v>2031</v>
      </c>
      <c r="AA205" s="93">
        <f>YEAR('Charts - Freight'!AA$131)</f>
        <v>2032</v>
      </c>
      <c r="AB205" s="93">
        <f>YEAR('Charts - Freight'!AB$131)</f>
        <v>2033</v>
      </c>
      <c r="AC205" s="93">
        <f>YEAR('Charts - Freight'!AC$131)</f>
        <v>2034</v>
      </c>
      <c r="AD205" s="93">
        <f>YEAR('Charts - Freight'!AD$131)</f>
        <v>2035</v>
      </c>
      <c r="AE205" s="93">
        <f>YEAR('Charts - Freight'!AE$131)</f>
        <v>2036</v>
      </c>
      <c r="AF205" s="93">
        <f>YEAR('Charts - Freight'!AF$131)</f>
        <v>2037</v>
      </c>
      <c r="AG205" s="93">
        <f>YEAR('Charts - Freight'!AG$131)</f>
        <v>2038</v>
      </c>
      <c r="AH205" s="93">
        <f>YEAR('Charts - Freight'!AH$131)</f>
        <v>2039</v>
      </c>
    </row>
    <row r="206" spans="1:34" s="412" customFormat="1" x14ac:dyDescent="0.2">
      <c r="A206" s="18"/>
      <c r="B206" s="80" t="s">
        <v>163</v>
      </c>
      <c r="C206" s="80"/>
      <c r="D206" s="80"/>
      <c r="E206" s="94" t="str">
        <f>IF(E132=1,Calculations!E703,0)</f>
        <v>N/A</v>
      </c>
      <c r="F206" s="94">
        <f>IF(F132=1,Calculations!F703,0)</f>
        <v>309.80002263655354</v>
      </c>
      <c r="G206" s="94">
        <f>IF(G132=1,Calculations!G703,0)</f>
        <v>245.83630985110116</v>
      </c>
      <c r="H206" s="94">
        <f>IF(H132=1,Calculations!H703,0)</f>
        <v>299.24709855297937</v>
      </c>
      <c r="I206" s="94">
        <f>IF(I132=1,Calculations!I703,0)</f>
        <v>335.50184513548396</v>
      </c>
      <c r="J206" s="94">
        <f>IF(J132=1,Calculations!J703," ")</f>
        <v>369.00397923919849</v>
      </c>
      <c r="K206" s="94">
        <f>IF(K132=1,Calculations!K703," ")</f>
        <v>397.19405966269494</v>
      </c>
      <c r="L206" s="94">
        <f>IF(L132=1,Calculations!L703," ")</f>
        <v>371.28393109850191</v>
      </c>
      <c r="M206" s="94">
        <f>IF(M132=1,Calculations!M703," ")</f>
        <v>419.47378441833536</v>
      </c>
      <c r="N206" s="94">
        <f>IF(N132=1,Calculations!N703," ")</f>
        <v>473.12414515779477</v>
      </c>
      <c r="O206" s="94">
        <f>IF(O132=1,Calculations!O703," ")</f>
        <v>523.13255320488747</v>
      </c>
      <c r="P206" s="94">
        <f>IF(P132=1,Calculations!P703," ")</f>
        <v>1344.7517476008861</v>
      </c>
      <c r="Q206" s="94">
        <f>IF(Q132=1,Calculations!Q703," ")</f>
        <v>1456.5713596689793</v>
      </c>
      <c r="R206" s="94">
        <f>IF(R132=1,Calculations!R703," ")</f>
        <v>1574.7350523532768</v>
      </c>
      <c r="S206" s="94">
        <f>IF(S132=1,Calculations!S703," ")</f>
        <v>1699.5403832011882</v>
      </c>
      <c r="T206" s="94">
        <f>IF(T132=1,Calculations!T703," ")</f>
        <v>1831.2974214138137</v>
      </c>
      <c r="U206" s="94">
        <f>IF(U132=1,Calculations!U703," ")</f>
        <v>546.77047352089528</v>
      </c>
      <c r="V206" s="94">
        <f>IF(V132=1,Calculations!V703," ")</f>
        <v>15854.993002795536</v>
      </c>
      <c r="W206" s="94">
        <f>IF(W132=1,Calculations!W703," ")</f>
        <v>17013.176218094341</v>
      </c>
      <c r="X206" s="94">
        <f>IF(X132=1,Calculations!X703," ")</f>
        <v>18233.390314335709</v>
      </c>
      <c r="Y206" s="94">
        <f>IF(Y132=1,Calculations!Y703," ")</f>
        <v>19517.356812277922</v>
      </c>
      <c r="Z206" s="94">
        <f>IF(Z132=1,Calculations!Z703," ")</f>
        <v>20871.328250809915</v>
      </c>
      <c r="AA206" s="94">
        <f>IF(AA132=1,Calculations!AA703," ")</f>
        <v>22296.544118289621</v>
      </c>
      <c r="AB206" s="94">
        <f>IF(AB132=1,Calculations!AB703," ")</f>
        <v>23796.262770181165</v>
      </c>
      <c r="AC206" s="94">
        <f>IF(AC132=1,Calculations!AC703," ")</f>
        <v>25373.578488153486</v>
      </c>
      <c r="AD206" s="94">
        <f>IF(AD132=1,Calculations!AD703," ")</f>
        <v>27032.483564613642</v>
      </c>
      <c r="AE206" s="94">
        <f>IF(AE132=1,Calculations!AE703," ")</f>
        <v>1403.717408914375</v>
      </c>
      <c r="AF206" s="94" t="str">
        <f>IF(AF132=1,Calculations!AF703," ")</f>
        <v>N/A</v>
      </c>
      <c r="AG206" s="94" t="str">
        <f>IF(AG132=1,Calculations!AG703," ")</f>
        <v>N/A</v>
      </c>
      <c r="AH206" s="94" t="str">
        <f>IF(AH132=1,Calculations!AH703," ")</f>
        <v>N/A</v>
      </c>
    </row>
    <row r="207" spans="1:34" s="412" customFormat="1" x14ac:dyDescent="0.2">
      <c r="A207" s="18"/>
      <c r="B207" s="80" t="s">
        <v>186</v>
      </c>
      <c r="C207" s="80"/>
      <c r="D207" s="80"/>
      <c r="E207" s="95">
        <f>IF(AND(E132=1,'Balance sheet'!E132&lt;&gt;0),('Balance sheet'!E119+'Balance sheet'!E122)/'Balance sheet'!E132,0)</f>
        <v>5.3879310344827583E-2</v>
      </c>
      <c r="F207" s="95">
        <f>IF(AND(F132=1,'Balance sheet'!F132&lt;&gt;0),('Balance sheet'!F119+'Balance sheet'!F122)/'Balance sheet'!F132,0)</f>
        <v>2.3088213573641096E-2</v>
      </c>
      <c r="G207" s="95">
        <f>IF(AND(G132=1,'Balance sheet'!G132&lt;&gt;0),('Balance sheet'!G119+'Balance sheet'!G122)/'Balance sheet'!G132,0)</f>
        <v>1.563989789586049E-2</v>
      </c>
      <c r="H207" s="95">
        <f>IF(AND(H132=1,'Balance sheet'!H132&lt;&gt;0),('Balance sheet'!H119+'Balance sheet'!H122)/'Balance sheet'!H132,0)</f>
        <v>1.1876439264092023E-2</v>
      </c>
      <c r="I207" s="95">
        <f>IF(AND(I132=1,'Balance sheet'!I132&lt;&gt;0),('Balance sheet'!I119+'Balance sheet'!I122)/'Balance sheet'!I132,0)</f>
        <v>9.3821594726081047E-3</v>
      </c>
      <c r="J207" s="95">
        <f>IF(AND(J132=1,'Balance sheet'!J132&lt;&gt;0),('Balance sheet'!J119+'Balance sheet'!J122)/'Balance sheet'!J132," ")</f>
        <v>7.7684071807457402E-3</v>
      </c>
      <c r="K207" s="95">
        <f>IF(AND(K132=1,'Balance sheet'!K132&lt;&gt;0),('Balance sheet'!K119+'Balance sheet'!K122)/'Balance sheet'!K132," ")</f>
        <v>6.6096665332910347E-3</v>
      </c>
      <c r="L207" s="95">
        <f>IF(AND(L132=1,'Balance sheet'!L132&lt;&gt;0),('Balance sheet'!L119+'Balance sheet'!L122)/'Balance sheet'!L132," ")</f>
        <v>4.8687609482066796E-3</v>
      </c>
      <c r="M207" s="95">
        <f>IF(AND(M132=1,'Balance sheet'!M132&lt;&gt;0),('Balance sheet'!M119+'Balance sheet'!M122)/'Balance sheet'!M132," ")</f>
        <v>3.5880549602058795E-3</v>
      </c>
      <c r="N207" s="95">
        <f>IF(AND(N132=1,'Balance sheet'!N132&lt;&gt;0),('Balance sheet'!N119+'Balance sheet'!N122)/'Balance sheet'!N132," ")</f>
        <v>2.6218140566332798E-3</v>
      </c>
      <c r="O207" s="95">
        <f>IF(AND(O132=1,'Balance sheet'!O132&lt;&gt;0),('Balance sheet'!O119+'Balance sheet'!O122)/'Balance sheet'!O132," ")</f>
        <v>1.8791737894279649E-3</v>
      </c>
      <c r="P207" s="95">
        <f>IF(AND(P132=1,'Balance sheet'!P132&lt;&gt;0),('Balance sheet'!P119+'Balance sheet'!P122)/'Balance sheet'!P132," ")</f>
        <v>1.5419605863926321E-3</v>
      </c>
      <c r="Q207" s="95">
        <f>IF(AND(Q132=1,'Balance sheet'!Q132&lt;&gt;0),('Balance sheet'!Q119+'Balance sheet'!Q122)/'Balance sheet'!Q132," ")</f>
        <v>1.2651743546528748E-3</v>
      </c>
      <c r="R207" s="95">
        <f>IF(AND(R132=1,'Balance sheet'!R132&lt;&gt;0),('Balance sheet'!R119+'Balance sheet'!R122)/'Balance sheet'!R132," ")</f>
        <v>1.0351727924491311E-3</v>
      </c>
      <c r="S207" s="95">
        <f>IF(AND(S132=1,'Balance sheet'!S132&lt;&gt;0),('Balance sheet'!S119+'Balance sheet'!S122)/'Balance sheet'!S132," ")</f>
        <v>8.4202498259532208E-4</v>
      </c>
      <c r="T207" s="95">
        <f>IF(AND(T132=1,'Balance sheet'!T132&lt;&gt;0),('Balance sheet'!T119+'Balance sheet'!T122)/'Balance sheet'!T132," ")</f>
        <v>6.783388473317137E-4</v>
      </c>
      <c r="U207" s="95">
        <f>IF(AND(U132=1,'Balance sheet'!U132&lt;&gt;0),('Balance sheet'!U119+'Balance sheet'!U122)/'Balance sheet'!U132," ")</f>
        <v>2.6921598159984817E-4</v>
      </c>
      <c r="V207" s="95">
        <f>IF(AND(V132=1,'Balance sheet'!V132&lt;&gt;0),('Balance sheet'!V119+'Balance sheet'!V122)/'Balance sheet'!V132," ")</f>
        <v>2.423401640288271E-4</v>
      </c>
      <c r="W207" s="95">
        <f>IF(AND(W132=1,'Balance sheet'!W132&lt;&gt;0),('Balance sheet'!W119+'Balance sheet'!W122)/'Balance sheet'!W132," ")</f>
        <v>2.1891766865191132E-4</v>
      </c>
      <c r="X207" s="95">
        <f>IF(AND(X132=1,'Balance sheet'!X132&lt;&gt;0),('Balance sheet'!X119+'Balance sheet'!X122)/'Balance sheet'!X132," ")</f>
        <v>1.9838833338801294E-4</v>
      </c>
      <c r="Y207" s="95">
        <f>IF(AND(Y132=1,'Balance sheet'!Y132&lt;&gt;0),('Balance sheet'!Y119+'Balance sheet'!Y122)/'Balance sheet'!Y132," ")</f>
        <v>1.8029756606967689E-4</v>
      </c>
      <c r="Z207" s="95">
        <f>IF(AND(Z132=1,'Balance sheet'!Z132&lt;&gt;0),('Balance sheet'!Z119+'Balance sheet'!Z122)/'Balance sheet'!Z132," ")</f>
        <v>1.6429157066419464E-4</v>
      </c>
      <c r="AA207" s="95">
        <f>IF(AND(AA132=1,'Balance sheet'!AA132&lt;&gt;0),('Balance sheet'!AA119+'Balance sheet'!AA122)/'Balance sheet'!AA132," ")</f>
        <v>1.5007260179825298E-4</v>
      </c>
      <c r="AB207" s="95">
        <f>IF(AND(AB132=1,'Balance sheet'!AB132&lt;&gt;0),('Balance sheet'!AB119+'Balance sheet'!AB122)/'Balance sheet'!AB132," ")</f>
        <v>1.3739304788249786E-4</v>
      </c>
      <c r="AC207" s="95">
        <f>IF(AND(AC132=1,'Balance sheet'!AC132&lt;&gt;0),('Balance sheet'!AC119+'Balance sheet'!AC122)/'Balance sheet'!AC132," ")</f>
        <v>1.2604617498977017E-4</v>
      </c>
      <c r="AD207" s="95">
        <f>IF(AND(AD132=1,'Balance sheet'!AD132&lt;&gt;0),('Balance sheet'!AD119+'Balance sheet'!AD122)/'Balance sheet'!AD132," ")</f>
        <v>1.1585997315333427E-4</v>
      </c>
      <c r="AE207" s="95">
        <f>IF(AND(AE132=1,'Balance sheet'!AE132&lt;&gt;0),('Balance sheet'!AE119+'Balance sheet'!AE122)/'Balance sheet'!AE132," ")</f>
        <v>0</v>
      </c>
      <c r="AF207" s="95">
        <f>IF(AND(AF132=1,'Balance sheet'!AF132&lt;&gt;0),('Balance sheet'!AF119+'Balance sheet'!AF122)/'Balance sheet'!AF132," ")</f>
        <v>0</v>
      </c>
      <c r="AG207" s="95">
        <f>IF(AND(AG132=1,'Balance sheet'!AG132&lt;&gt;0),('Balance sheet'!AG119+'Balance sheet'!AG122)/'Balance sheet'!AG132," ")</f>
        <v>0</v>
      </c>
      <c r="AH207" s="95">
        <f>IF(AND(AH132=1,'Balance sheet'!AH132&lt;&gt;0),('Balance sheet'!AH119+'Balance sheet'!AH122)/'Balance sheet'!AH132," ")</f>
        <v>0</v>
      </c>
    </row>
    <row r="208" spans="1:34" s="412" customFormat="1" x14ac:dyDescent="0.2">
      <c r="A208" s="18"/>
      <c r="B208" s="80"/>
      <c r="C208" s="80"/>
      <c r="D208" s="80"/>
      <c r="E208" s="80"/>
      <c r="F208" s="80"/>
      <c r="G208" s="80"/>
      <c r="H208" s="80"/>
      <c r="I208" s="80"/>
      <c r="J208" s="80"/>
      <c r="K208" s="80"/>
      <c r="L208" s="80"/>
      <c r="M208" s="80"/>
      <c r="N208" s="80"/>
      <c r="O208" s="80"/>
      <c r="P208" s="80"/>
      <c r="Q208" s="80"/>
      <c r="R208" s="80"/>
      <c r="S208" s="80"/>
      <c r="T208" s="80"/>
      <c r="U208" s="80"/>
      <c r="V208" s="80"/>
      <c r="W208" s="80"/>
      <c r="X208" s="80"/>
      <c r="Y208" s="80"/>
      <c r="Z208" s="80"/>
      <c r="AA208" s="80"/>
      <c r="AB208" s="80"/>
      <c r="AC208" s="80"/>
      <c r="AD208" s="80"/>
      <c r="AE208" s="80"/>
      <c r="AF208" s="80"/>
      <c r="AG208" s="80"/>
      <c r="AH208" s="80"/>
    </row>
    <row r="209" spans="1:34" s="412" customFormat="1" x14ac:dyDescent="0.2">
      <c r="A209" s="18"/>
      <c r="B209" s="90" t="s">
        <v>187</v>
      </c>
      <c r="C209" s="80"/>
      <c r="D209" s="80"/>
      <c r="E209" s="80"/>
      <c r="F209" s="80"/>
      <c r="G209" s="80"/>
      <c r="H209" s="80"/>
      <c r="I209" s="80"/>
      <c r="J209" s="80"/>
      <c r="K209" s="80"/>
      <c r="L209" s="80"/>
      <c r="M209" s="80"/>
      <c r="N209" s="80"/>
      <c r="O209" s="80"/>
      <c r="P209" s="80"/>
      <c r="Q209" s="80"/>
      <c r="R209" s="80"/>
      <c r="S209" s="80"/>
      <c r="T209" s="80"/>
      <c r="U209" s="80"/>
      <c r="V209" s="80"/>
      <c r="W209" s="80"/>
      <c r="X209" s="80"/>
      <c r="Y209" s="80"/>
      <c r="Z209" s="80"/>
      <c r="AA209" s="80"/>
      <c r="AB209" s="80"/>
      <c r="AC209" s="80"/>
      <c r="AD209" s="80"/>
      <c r="AE209" s="80"/>
      <c r="AF209" s="80"/>
      <c r="AG209" s="80"/>
      <c r="AH209" s="80"/>
    </row>
    <row r="210" spans="1:34" s="412" customFormat="1" x14ac:dyDescent="0.2">
      <c r="A210" s="18"/>
      <c r="B210" s="80"/>
      <c r="C210" s="80"/>
      <c r="D210" s="80"/>
      <c r="E210" s="93">
        <f>YEAR('Charts - Freight'!E$131)</f>
        <v>2010</v>
      </c>
      <c r="F210" s="93">
        <f>YEAR('Charts - Freight'!F$131)</f>
        <v>2011</v>
      </c>
      <c r="G210" s="93">
        <f>YEAR('Charts - Freight'!G$131)</f>
        <v>2012</v>
      </c>
      <c r="H210" s="93">
        <f>YEAR('Charts - Freight'!H$131)</f>
        <v>2013</v>
      </c>
      <c r="I210" s="93">
        <f>YEAR('Charts - Freight'!I$131)</f>
        <v>2014</v>
      </c>
      <c r="J210" s="93">
        <f>YEAR('Charts - Freight'!J$131)</f>
        <v>2015</v>
      </c>
      <c r="K210" s="93">
        <f>YEAR('Charts - Freight'!K$131)</f>
        <v>2016</v>
      </c>
      <c r="L210" s="93">
        <f>YEAR('Charts - Freight'!L$131)</f>
        <v>2017</v>
      </c>
      <c r="M210" s="93">
        <f>YEAR('Charts - Freight'!M$131)</f>
        <v>2018</v>
      </c>
      <c r="N210" s="93">
        <f>YEAR('Charts - Freight'!N$131)</f>
        <v>2019</v>
      </c>
      <c r="O210" s="93">
        <f>YEAR('Charts - Freight'!O$131)</f>
        <v>2020</v>
      </c>
      <c r="P210" s="93">
        <f>YEAR('Charts - Freight'!P$131)</f>
        <v>2021</v>
      </c>
      <c r="Q210" s="93">
        <f>YEAR('Charts - Freight'!Q$131)</f>
        <v>2022</v>
      </c>
      <c r="R210" s="93">
        <f>YEAR('Charts - Freight'!R$131)</f>
        <v>2023</v>
      </c>
      <c r="S210" s="93">
        <f>YEAR('Charts - Freight'!S$131)</f>
        <v>2024</v>
      </c>
      <c r="T210" s="93">
        <f>YEAR('Charts - Freight'!T$131)</f>
        <v>2025</v>
      </c>
      <c r="U210" s="93">
        <f>YEAR('Charts - Freight'!U$131)</f>
        <v>2026</v>
      </c>
      <c r="V210" s="93">
        <f>YEAR('Charts - Freight'!V$131)</f>
        <v>2027</v>
      </c>
      <c r="W210" s="93">
        <f>YEAR('Charts - Freight'!W$131)</f>
        <v>2028</v>
      </c>
      <c r="X210" s="93">
        <f>YEAR('Charts - Freight'!X$131)</f>
        <v>2029</v>
      </c>
      <c r="Y210" s="93">
        <f>YEAR('Charts - Freight'!Y$131)</f>
        <v>2030</v>
      </c>
      <c r="Z210" s="93">
        <f>YEAR('Charts - Freight'!Z$131)</f>
        <v>2031</v>
      </c>
      <c r="AA210" s="93">
        <f>YEAR('Charts - Freight'!AA$131)</f>
        <v>2032</v>
      </c>
      <c r="AB210" s="93">
        <f>YEAR('Charts - Freight'!AB$131)</f>
        <v>2033</v>
      </c>
      <c r="AC210" s="93">
        <f>YEAR('Charts - Freight'!AC$131)</f>
        <v>2034</v>
      </c>
      <c r="AD210" s="93">
        <f>YEAR('Charts - Freight'!AD$131)</f>
        <v>2035</v>
      </c>
      <c r="AE210" s="93">
        <f>YEAR('Charts - Freight'!AE$131)</f>
        <v>2036</v>
      </c>
      <c r="AF210" s="93">
        <f>YEAR('Charts - Freight'!AF$131)</f>
        <v>2037</v>
      </c>
      <c r="AG210" s="93">
        <f>YEAR('Charts - Freight'!AG$131)</f>
        <v>2038</v>
      </c>
      <c r="AH210" s="93">
        <f>YEAR('Charts - Freight'!AH$131)</f>
        <v>2039</v>
      </c>
    </row>
    <row r="211" spans="1:34" s="412" customFormat="1" x14ac:dyDescent="0.2">
      <c r="A211" s="18"/>
      <c r="B211" s="80" t="s">
        <v>69</v>
      </c>
      <c r="C211" s="80"/>
      <c r="D211" s="80"/>
      <c r="E211" s="94">
        <f>IF(E132=1,'Balance sheet'!E107,0)</f>
        <v>5300</v>
      </c>
      <c r="F211" s="94">
        <f>IF(F132=1,'Balance sheet'!F107,0)</f>
        <v>10504.656567522527</v>
      </c>
      <c r="G211" s="94">
        <f>IF(G132=1,'Balance sheet'!G107,0)</f>
        <v>15745.912686229014</v>
      </c>
      <c r="H211" s="94">
        <f>IF(H132=1,'Balance sheet'!H107,0)</f>
        <v>21817.270858117801</v>
      </c>
      <c r="I211" s="94">
        <f>IF(I132=1,'Balance sheet'!I107,0)</f>
        <v>29159.673824533947</v>
      </c>
      <c r="J211" s="94">
        <f>IF(J132=1,'Balance sheet'!J107," ")</f>
        <v>37040.734382045477</v>
      </c>
      <c r="K211" s="94">
        <f>IF(K132=1,'Balance sheet'!K107," ")</f>
        <v>45726.247142624328</v>
      </c>
      <c r="L211" s="94">
        <f>IF(L132=1,'Balance sheet'!L107," ")</f>
        <v>55242.520737993786</v>
      </c>
      <c r="M211" s="94">
        <f>IF(M132=1,'Balance sheet'!M107," ")</f>
        <v>65676.721908888241</v>
      </c>
      <c r="N211" s="94">
        <f>IF(N132=1,'Balance sheet'!N107," ")</f>
        <v>77081.79600330189</v>
      </c>
      <c r="O211" s="94">
        <f>IF(O132=1,'Balance sheet'!O107," ")</f>
        <v>89296.614969703864</v>
      </c>
      <c r="P211" s="94">
        <f>IF(P132=1,'Balance sheet'!P107," ")</f>
        <v>102535.74008373456</v>
      </c>
      <c r="Q211" s="94">
        <f>IF(Q132=1,'Balance sheet'!Q107," ")</f>
        <v>116858.56249014447</v>
      </c>
      <c r="R211" s="94">
        <f>IF(R132=1,'Balance sheet'!R107," ")</f>
        <v>132325.9784314711</v>
      </c>
      <c r="S211" s="94">
        <f>IF(S132=1,'Balance sheet'!S107," ")</f>
        <v>149001.7269081698</v>
      </c>
      <c r="T211" s="94">
        <f>IF(T132=1,'Balance sheet'!T107," ")</f>
        <v>166952.50888159408</v>
      </c>
      <c r="U211" s="94">
        <f>IF(U132=1,'Balance sheet'!U107," ")</f>
        <v>186223.54864256649</v>
      </c>
      <c r="V211" s="94">
        <f>IF(V132=1,'Balance sheet'!V107," ")</f>
        <v>206944.19396050414</v>
      </c>
      <c r="W211" s="94">
        <f>IF(W132=1,'Balance sheet'!W107," ")</f>
        <v>229159.2868212352</v>
      </c>
      <c r="X211" s="94">
        <f>IF(X132=1,'Balance sheet'!X107," ")</f>
        <v>252948.24134870004</v>
      </c>
      <c r="Y211" s="94">
        <f>IF(Y132=1,'Balance sheet'!Y107," ")</f>
        <v>278392.69405248144</v>
      </c>
      <c r="Z211" s="94">
        <f>IF(Z132=1,'Balance sheet'!Z107," ")</f>
        <v>305579.67014157865</v>
      </c>
      <c r="AA211" s="94">
        <f>IF(AA132=1,'Balance sheet'!AA107," ")</f>
        <v>334602.81984138599</v>
      </c>
      <c r="AB211" s="94">
        <f>IF(AB132=1,'Balance sheet'!AB107," ")</f>
        <v>365557.44469980174</v>
      </c>
      <c r="AC211" s="94">
        <f>IF(AC132=1,'Balance sheet'!AC107," ")</f>
        <v>398542.79531245481</v>
      </c>
      <c r="AD211" s="94">
        <f>IF(AD132=1,'Balance sheet'!AD107," ")</f>
        <v>433663.19675210508</v>
      </c>
      <c r="AE211" s="94">
        <f>IF(AE132=1,'Balance sheet'!AE107," ")</f>
        <v>471002.72232497443</v>
      </c>
      <c r="AF211" s="94">
        <f>IF(AF132=1,'Balance sheet'!AF107," ")</f>
        <v>510724.30409169226</v>
      </c>
      <c r="AG211" s="94">
        <f>IF(AG132=1,'Balance sheet'!AG107," ")</f>
        <v>552921.48332403856</v>
      </c>
      <c r="AH211" s="94">
        <f>IF(AH132=1,'Balance sheet'!AH107," ")</f>
        <v>597717.92610904702</v>
      </c>
    </row>
    <row r="212" spans="1:34" s="412" customFormat="1" x14ac:dyDescent="0.2">
      <c r="A212" s="18"/>
      <c r="B212" s="80" t="s">
        <v>77</v>
      </c>
      <c r="C212" s="80"/>
      <c r="D212" s="80"/>
      <c r="E212" s="94">
        <f>IF(E132=1,'Balance sheet'!E120,0)</f>
        <v>1520</v>
      </c>
      <c r="F212" s="94">
        <f>IF(F132=1,'Balance sheet'!F120,0)</f>
        <v>1646.3076923076922</v>
      </c>
      <c r="G212" s="94">
        <f>IF(G132=1,'Balance sheet'!G120,0)</f>
        <v>1689.7969230769229</v>
      </c>
      <c r="H212" s="94">
        <f>IF(H132=1,'Balance sheet'!H120,0)</f>
        <v>1815.3911615384613</v>
      </c>
      <c r="I212" s="94">
        <f>IF(I132=1,'Balance sheet'!I120,0)</f>
        <v>2024.9425777692311</v>
      </c>
      <c r="J212" s="94">
        <f>IF(J132=1,'Balance sheet'!J120," ")</f>
        <v>2165.1982910153847</v>
      </c>
      <c r="K212" s="94">
        <f>IF(K132=1,'Balance sheet'!K120," ")</f>
        <v>2319.5089054032305</v>
      </c>
      <c r="L212" s="94">
        <f>IF(L132=1,'Balance sheet'!L120," ")</f>
        <v>2473.6340369571958</v>
      </c>
      <c r="M212" s="94">
        <f>IF(M132=1,'Balance sheet'!M120," ")</f>
        <v>2634.989257540265</v>
      </c>
      <c r="N212" s="94">
        <f>IF(N132=1,'Balance sheet'!N120," ")</f>
        <v>2804.2282513018085</v>
      </c>
      <c r="O212" s="94">
        <f>IF(O132=1,'Balance sheet'!O120," ")</f>
        <v>2955.9406316124991</v>
      </c>
      <c r="P212" s="94">
        <f>IF(P132=1,'Balance sheet'!P120," ")</f>
        <v>3140.7402845329621</v>
      </c>
      <c r="Q212" s="94">
        <f>IF(Q132=1,'Balance sheet'!Q120," ")</f>
        <v>3333.977231626307</v>
      </c>
      <c r="R212" s="94">
        <f>IF(R132=1,'Balance sheet'!R120," ")</f>
        <v>3535.992028509585</v>
      </c>
      <c r="S212" s="94">
        <f>IF(S132=1,'Balance sheet'!S120," ")</f>
        <v>3747.1381132751458</v>
      </c>
      <c r="T212" s="94">
        <f>IF(T132=1,'Balance sheet'!T120," ")</f>
        <v>4017.7822758316806</v>
      </c>
      <c r="U212" s="94">
        <f>IF(U132=1,'Balance sheet'!U120," ")</f>
        <v>4184.5806373422247</v>
      </c>
      <c r="V212" s="94">
        <f>IF(V132=1,'Balance sheet'!V120," ")</f>
        <v>4424.5459694659212</v>
      </c>
      <c r="W212" s="94">
        <f>IF(W132=1,'Balance sheet'!W120," ")</f>
        <v>4675.1430989434311</v>
      </c>
      <c r="X212" s="94">
        <f>IF(X132=1,'Balance sheet'!X120," ")</f>
        <v>4936.7939648170704</v>
      </c>
      <c r="Y212" s="94">
        <f>IF(Y132=1,'Balance sheet'!Y120," ")</f>
        <v>5209.9362538540818</v>
      </c>
      <c r="Z212" s="94">
        <f>IF(Z132=1,'Balance sheet'!Z120," ")</f>
        <v>5495.0239656649774</v>
      </c>
      <c r="AA212" s="94">
        <f>IF(AA132=1,'Balance sheet'!AA120," ")</f>
        <v>5792.5279975560588</v>
      </c>
      <c r="AB212" s="94">
        <f>IF(AB132=1,'Balance sheet'!AB120," ")</f>
        <v>6102.9367497915055</v>
      </c>
      <c r="AC212" s="94">
        <f>IF(AC132=1,'Balance sheet'!AC120," ")</f>
        <v>6426.7567519632785</v>
      </c>
      <c r="AD212" s="94">
        <f>IF(AD132=1,'Balance sheet'!AD120," ")</f>
        <v>6814.5133111905452</v>
      </c>
      <c r="AE212" s="94">
        <f>IF(AE132=1,'Balance sheet'!AE120," ")</f>
        <v>7116.7511828946826</v>
      </c>
      <c r="AF212" s="94">
        <f>IF(AF132=1,'Balance sheet'!AF120," ")</f>
        <v>7484.0352649209954</v>
      </c>
      <c r="AG212" s="94">
        <f>IF(AG132=1,'Balance sheet'!AG120," ")</f>
        <v>7866.951315804281</v>
      </c>
      <c r="AH212" s="94">
        <f>IF(AH132=1,'Balance sheet'!AH120," ")</f>
        <v>8266.1066980021351</v>
      </c>
    </row>
    <row r="213" spans="1:34" s="412" customFormat="1" x14ac:dyDescent="0.2">
      <c r="A213" s="18"/>
      <c r="B213" s="80" t="s">
        <v>178</v>
      </c>
      <c r="C213" s="80"/>
      <c r="D213" s="80"/>
      <c r="E213" s="98">
        <f>IF(AND(E132=1,E212&lt;&gt;0),E211/E212,0)</f>
        <v>3.486842105263158</v>
      </c>
      <c r="F213" s="98">
        <f t="shared" ref="F213:I213" si="19">IF(AND(F132=1,F212&lt;&gt;0),F211/F212,0)</f>
        <v>6.3807370982988907</v>
      </c>
      <c r="G213" s="98">
        <f t="shared" si="19"/>
        <v>9.3182278125809024</v>
      </c>
      <c r="H213" s="98">
        <f t="shared" si="19"/>
        <v>12.017944848662069</v>
      </c>
      <c r="I213" s="98">
        <f t="shared" si="19"/>
        <v>14.400247268570732</v>
      </c>
      <c r="J213" s="98">
        <f>IF(AND(J132=1,J212&lt;&gt;0),J211/J212," ")</f>
        <v>17.107317392475387</v>
      </c>
      <c r="K213" s="98">
        <f t="shared" ref="K213:AH213" si="20">IF(AND(K132=1,K212&lt;&gt;0),K211/K212," ")</f>
        <v>19.713762269291713</v>
      </c>
      <c r="L213" s="98">
        <f t="shared" si="20"/>
        <v>22.332535820839254</v>
      </c>
      <c r="M213" s="98">
        <f t="shared" si="20"/>
        <v>24.924853762097221</v>
      </c>
      <c r="N213" s="98">
        <f t="shared" si="20"/>
        <v>27.487703958305875</v>
      </c>
      <c r="O213" s="98">
        <f t="shared" si="20"/>
        <v>30.209204479520128</v>
      </c>
      <c r="P213" s="98">
        <f t="shared" si="20"/>
        <v>32.646997457474249</v>
      </c>
      <c r="Q213" s="98">
        <f t="shared" si="20"/>
        <v>35.050798002343015</v>
      </c>
      <c r="R213" s="98">
        <f t="shared" si="20"/>
        <v>37.422589577286544</v>
      </c>
      <c r="S213" s="98">
        <f t="shared" si="20"/>
        <v>39.764140633166157</v>
      </c>
      <c r="T213" s="98">
        <f t="shared" si="20"/>
        <v>41.553398720948593</v>
      </c>
      <c r="U213" s="98">
        <f t="shared" si="20"/>
        <v>44.502320490792037</v>
      </c>
      <c r="V213" s="98">
        <f t="shared" si="20"/>
        <v>46.771848544153329</v>
      </c>
      <c r="W213" s="98">
        <f t="shared" si="20"/>
        <v>49.016528900051114</v>
      </c>
      <c r="X213" s="98">
        <f t="shared" si="20"/>
        <v>51.237350221901124</v>
      </c>
      <c r="Y213" s="98">
        <f t="shared" si="20"/>
        <v>53.434952077684017</v>
      </c>
      <c r="Z213" s="98">
        <f t="shared" si="20"/>
        <v>55.610252484967845</v>
      </c>
      <c r="AA213" s="98">
        <f t="shared" si="20"/>
        <v>57.764558062137837</v>
      </c>
      <c r="AB213" s="98">
        <f t="shared" si="20"/>
        <v>59.898612698597979</v>
      </c>
      <c r="AC213" s="98">
        <f t="shared" si="20"/>
        <v>62.013051169348508</v>
      </c>
      <c r="AD213" s="98">
        <f t="shared" si="20"/>
        <v>63.638175897310113</v>
      </c>
      <c r="AE213" s="98">
        <f t="shared" si="20"/>
        <v>66.182266348870414</v>
      </c>
      <c r="AF213" s="98">
        <f t="shared" si="20"/>
        <v>68.241835589090272</v>
      </c>
      <c r="AG213" s="98">
        <f t="shared" si="20"/>
        <v>70.284086061807599</v>
      </c>
      <c r="AH213" s="98">
        <f t="shared" si="20"/>
        <v>72.30948594620871</v>
      </c>
    </row>
    <row r="214" spans="1:34" s="412" customFormat="1" x14ac:dyDescent="0.2">
      <c r="A214" s="18"/>
      <c r="B214" s="80"/>
      <c r="C214" s="80"/>
      <c r="D214" s="80"/>
      <c r="E214" s="80"/>
      <c r="F214" s="80"/>
      <c r="G214" s="80"/>
      <c r="H214" s="80"/>
      <c r="I214" s="80"/>
      <c r="J214" s="80"/>
      <c r="K214" s="80"/>
      <c r="L214" s="80"/>
      <c r="M214" s="80"/>
      <c r="N214" s="80"/>
      <c r="O214" s="80"/>
      <c r="P214" s="80"/>
      <c r="Q214" s="80"/>
      <c r="R214" s="80"/>
      <c r="S214" s="80"/>
      <c r="T214" s="80"/>
      <c r="U214" s="80"/>
      <c r="V214" s="80"/>
      <c r="W214" s="80"/>
      <c r="X214" s="80"/>
      <c r="Y214" s="80"/>
      <c r="Z214" s="80"/>
      <c r="AA214" s="80"/>
      <c r="AB214" s="80"/>
      <c r="AC214" s="80"/>
      <c r="AD214" s="80"/>
      <c r="AE214" s="80"/>
      <c r="AF214" s="80"/>
      <c r="AG214" s="80"/>
      <c r="AH214" s="80"/>
    </row>
    <row r="215" spans="1:34" s="412" customFormat="1" x14ac:dyDescent="0.2">
      <c r="A215" s="18"/>
      <c r="B215" s="90" t="s">
        <v>188</v>
      </c>
      <c r="C215" s="80"/>
      <c r="D215" s="80"/>
      <c r="E215" s="80"/>
      <c r="F215" s="80"/>
      <c r="G215" s="80"/>
      <c r="H215" s="80"/>
      <c r="I215" s="80"/>
      <c r="J215" s="80"/>
      <c r="K215" s="80"/>
      <c r="L215" s="80"/>
      <c r="M215" s="80"/>
      <c r="N215" s="80"/>
      <c r="O215" s="80"/>
      <c r="P215" s="80"/>
      <c r="Q215" s="80"/>
      <c r="R215" s="80"/>
      <c r="S215" s="80"/>
      <c r="T215" s="80"/>
      <c r="U215" s="80"/>
      <c r="V215" s="80"/>
      <c r="W215" s="80"/>
      <c r="X215" s="80"/>
      <c r="Y215" s="80"/>
      <c r="Z215" s="80"/>
      <c r="AA215" s="80"/>
      <c r="AB215" s="80"/>
      <c r="AC215" s="80"/>
      <c r="AD215" s="80"/>
      <c r="AE215" s="80"/>
      <c r="AF215" s="80"/>
      <c r="AG215" s="80"/>
      <c r="AH215" s="80"/>
    </row>
    <row r="216" spans="1:34" s="412" customFormat="1" x14ac:dyDescent="0.2">
      <c r="A216" s="18"/>
      <c r="B216" s="80"/>
      <c r="C216" s="80"/>
      <c r="D216" s="80"/>
      <c r="E216" s="93">
        <f>YEAR('Charts - Freight'!E$131)</f>
        <v>2010</v>
      </c>
      <c r="F216" s="93">
        <f>YEAR('Charts - Freight'!F$131)</f>
        <v>2011</v>
      </c>
      <c r="G216" s="93">
        <f>YEAR('Charts - Freight'!G$131)</f>
        <v>2012</v>
      </c>
      <c r="H216" s="93">
        <f>YEAR('Charts - Freight'!H$131)</f>
        <v>2013</v>
      </c>
      <c r="I216" s="93">
        <f>YEAR('Charts - Freight'!I$131)</f>
        <v>2014</v>
      </c>
      <c r="J216" s="93">
        <f>YEAR('Charts - Freight'!J$131)</f>
        <v>2015</v>
      </c>
      <c r="K216" s="93">
        <f>YEAR('Charts - Freight'!K$131)</f>
        <v>2016</v>
      </c>
      <c r="L216" s="93">
        <f>YEAR('Charts - Freight'!L$131)</f>
        <v>2017</v>
      </c>
      <c r="M216" s="93">
        <f>YEAR('Charts - Freight'!M$131)</f>
        <v>2018</v>
      </c>
      <c r="N216" s="93">
        <f>YEAR('Charts - Freight'!N$131)</f>
        <v>2019</v>
      </c>
      <c r="O216" s="93">
        <f>YEAR('Charts - Freight'!O$131)</f>
        <v>2020</v>
      </c>
      <c r="P216" s="93">
        <f>YEAR('Charts - Freight'!P$131)</f>
        <v>2021</v>
      </c>
      <c r="Q216" s="93">
        <f>YEAR('Charts - Freight'!Q$131)</f>
        <v>2022</v>
      </c>
      <c r="R216" s="93">
        <f>YEAR('Charts - Freight'!R$131)</f>
        <v>2023</v>
      </c>
      <c r="S216" s="93">
        <f>YEAR('Charts - Freight'!S$131)</f>
        <v>2024</v>
      </c>
      <c r="T216" s="93">
        <f>YEAR('Charts - Freight'!T$131)</f>
        <v>2025</v>
      </c>
      <c r="U216" s="93">
        <f>YEAR('Charts - Freight'!U$131)</f>
        <v>2026</v>
      </c>
      <c r="V216" s="93">
        <f>YEAR('Charts - Freight'!V$131)</f>
        <v>2027</v>
      </c>
      <c r="W216" s="93">
        <f>YEAR('Charts - Freight'!W$131)</f>
        <v>2028</v>
      </c>
      <c r="X216" s="93">
        <f>YEAR('Charts - Freight'!X$131)</f>
        <v>2029</v>
      </c>
      <c r="Y216" s="93">
        <f>YEAR('Charts - Freight'!Y$131)</f>
        <v>2030</v>
      </c>
      <c r="Z216" s="93">
        <f>YEAR('Charts - Freight'!Z$131)</f>
        <v>2031</v>
      </c>
      <c r="AA216" s="93">
        <f>YEAR('Charts - Freight'!AA$131)</f>
        <v>2032</v>
      </c>
      <c r="AB216" s="93">
        <f>YEAR('Charts - Freight'!AB$131)</f>
        <v>2033</v>
      </c>
      <c r="AC216" s="93">
        <f>YEAR('Charts - Freight'!AC$131)</f>
        <v>2034</v>
      </c>
      <c r="AD216" s="93">
        <f>YEAR('Charts - Freight'!AD$131)</f>
        <v>2035</v>
      </c>
      <c r="AE216" s="93">
        <f>YEAR('Charts - Freight'!AE$131)</f>
        <v>2036</v>
      </c>
      <c r="AF216" s="93">
        <f>YEAR('Charts - Freight'!AF$131)</f>
        <v>2037</v>
      </c>
      <c r="AG216" s="93">
        <f>YEAR('Charts - Freight'!AG$131)</f>
        <v>2038</v>
      </c>
      <c r="AH216" s="93">
        <f>YEAR('Charts - Freight'!AH$131)</f>
        <v>2039</v>
      </c>
    </row>
    <row r="217" spans="1:34" s="412" customFormat="1" x14ac:dyDescent="0.2">
      <c r="A217" s="18"/>
      <c r="B217" s="80" t="s">
        <v>167</v>
      </c>
      <c r="C217" s="80"/>
      <c r="D217" s="80"/>
      <c r="E217" s="99">
        <f>IF(E132=1,IF(Calculations!E715="N/A",0,Calculations!E715),0)</f>
        <v>1.958114224137931</v>
      </c>
      <c r="F217" s="99">
        <f>IF(F132=1,IF(Calculations!F715="N/A",0,Calculations!F715),0)</f>
        <v>1.3739432150093156</v>
      </c>
      <c r="G217" s="99">
        <f>IF(G132=1,IF(Calculations!G715="N/A",0,Calculations!G715),0)</f>
        <v>0.8253590682974461</v>
      </c>
      <c r="H217" s="99">
        <f>IF(H132=1,IF(Calculations!H715="N/A",0,Calculations!H715),0)</f>
        <v>0.63355725264966745</v>
      </c>
      <c r="I217" s="99">
        <f>IF(I132=1,IF(Calculations!I715="N/A",0,Calculations!I715),0)</f>
        <v>0.54648243887428682</v>
      </c>
      <c r="J217" s="99">
        <f>IF(J132=1,IF(Calculations!J715="N/A",0,Calculations!J715)," ")</f>
        <v>0.46410787340011067</v>
      </c>
      <c r="K217" s="99">
        <f>IF(K132=1,IF(Calculations!K715="N/A",0,Calculations!K715)," ")</f>
        <v>0.40838429349915489</v>
      </c>
      <c r="L217" s="99">
        <f>IF(L132=1,IF(Calculations!L715="N/A",0,Calculations!L715)," ")</f>
        <v>0.36724888856455606</v>
      </c>
      <c r="M217" s="99">
        <f>IF(M132=1,IF(Calculations!M715="N/A",0,Calculations!M715)," ")</f>
        <v>0.33589000557375115</v>
      </c>
      <c r="N217" s="99">
        <f>IF(N132=1,IF(Calculations!N715="N/A",0,Calculations!N715)," ")</f>
        <v>0.31090000800391304</v>
      </c>
      <c r="O217" s="99">
        <f>IF(O132=1,IF(Calculations!O715="N/A",0,Calculations!O715)," ")</f>
        <v>0.28552178268206951</v>
      </c>
      <c r="P217" s="99">
        <f>IF(P132=1,IF(Calculations!P715="N/A",0,Calculations!P715)," ")</f>
        <v>0.26819378414886802</v>
      </c>
      <c r="Q217" s="99">
        <f>IF(Q132=1,IF(Calculations!Q715="N/A",0,Calculations!Q715)," ")</f>
        <v>0.25383672902519727</v>
      </c>
      <c r="R217" s="99">
        <f>IF(R132=1,IF(Calculations!R715="N/A",0,Calculations!R715)," ")</f>
        <v>0.24150234495088763</v>
      </c>
      <c r="S217" s="99">
        <f>IF(S132=1,IF(Calculations!S715="N/A",0,Calculations!S715)," ")</f>
        <v>0.23077632677401277</v>
      </c>
      <c r="T217" s="99">
        <f>IF(T132=1,IF(Calculations!T715="N/A",0,Calculations!T715)," ")</f>
        <v>0.22135143642840346</v>
      </c>
      <c r="U217" s="99">
        <f>IF(U132=1,IF(Calculations!U715="N/A",0,Calculations!U715)," ")</f>
        <v>0.21298449942702966</v>
      </c>
      <c r="V217" s="99">
        <f>IF(V132=1,IF(Calculations!V715="N/A",0,Calculations!V715)," ")</f>
        <v>0.2055075199856515</v>
      </c>
      <c r="W217" s="99">
        <f>IF(W132=1,IF(Calculations!W715="N/A",0,Calculations!W715)," ")</f>
        <v>0.1987950593286911</v>
      </c>
      <c r="X217" s="99">
        <f>IF(X132=1,IF(Calculations!X715="N/A",0,Calculations!X715)," ")</f>
        <v>0.19272433160603655</v>
      </c>
      <c r="Y217" s="99">
        <f>IF(Y132=1,IF(Calculations!Y715="N/A",0,Calculations!Y715)," ")</f>
        <v>0.18722305906826417</v>
      </c>
      <c r="Z217" s="99">
        <f>IF(Z132=1,IF(Calculations!Z715="N/A",0,Calculations!Z715)," ")</f>
        <v>0.18214453678955636</v>
      </c>
      <c r="AA217" s="99">
        <f>IF(AA132=1,IF(Calculations!AA715="N/A",0,Calculations!AA715)," ")</f>
        <v>0.17747817474438504</v>
      </c>
      <c r="AB217" s="99">
        <f>IF(AB132=1,IF(Calculations!AB715="N/A",0,Calculations!AB715)," ")</f>
        <v>0.17317420215939461</v>
      </c>
      <c r="AC217" s="99">
        <f>IF(AC132=1,IF(Calculations!AC715="N/A",0,Calculations!AC715)," ")</f>
        <v>0.16919330577496131</v>
      </c>
      <c r="AD217" s="99">
        <f>IF(AD132=1,IF(Calculations!AD715="N/A",0,Calculations!AD715)," ")</f>
        <v>0.1654912668581163</v>
      </c>
      <c r="AE217" s="99">
        <f>IF(AE132=1,IF(Calculations!AE715="N/A",0,Calculations!AE715)," ")</f>
        <v>0.16203943118351019</v>
      </c>
      <c r="AF217" s="99">
        <f>IF(AF132=1,IF(Calculations!AF715="N/A",0,Calculations!AF715)," ")</f>
        <v>0.1588124487490257</v>
      </c>
      <c r="AG217" s="99">
        <f>IF(AG132=1,IF(Calculations!AG715="N/A",0,Calculations!AG715)," ")</f>
        <v>0.15579397912995183</v>
      </c>
      <c r="AH217" s="99">
        <f>IF(AH132=1,IF(Calculations!AH715="N/A",0,Calculations!AH715)," ")</f>
        <v>0.15295941682412614</v>
      </c>
    </row>
    <row r="218" spans="1:34" s="412" customFormat="1" x14ac:dyDescent="0.2">
      <c r="A218" s="18"/>
      <c r="B218" s="80" t="s">
        <v>170</v>
      </c>
      <c r="C218" s="80"/>
      <c r="D218" s="80"/>
      <c r="E218" s="99">
        <f>IF(E132=1,IF(Calculations!E717="N/A",0,Calculations!E717),0)</f>
        <v>1.417418096723869</v>
      </c>
      <c r="F218" s="99">
        <f>IF(F132=1,IF(Calculations!F717="N/A",0,Calculations!F717),0)</f>
        <v>1.1000067773530233</v>
      </c>
      <c r="G218" s="99">
        <f>IF(G132=1,IF(Calculations!G717="N/A",0,Calculations!G717),0)</f>
        <v>0.71782611230937809</v>
      </c>
      <c r="H218" s="99">
        <f>IF(H132=1,IF(Calculations!H717="N/A",0,Calculations!H717),0)</f>
        <v>0.57160623974732139</v>
      </c>
      <c r="I218" s="99">
        <f>IF(I132=1,IF(Calculations!I717="N/A",0,Calculations!I717),0)</f>
        <v>0.50289416164274781</v>
      </c>
      <c r="J218" s="99">
        <f>IF(J132=1,IF(Calculations!J717="N/A",0,Calculations!J717)," ")</f>
        <v>0.43280289852427778</v>
      </c>
      <c r="K218" s="99">
        <f>IF(K132=1,IF(Calculations!K717="N/A",0,Calculations!K717)," ")</f>
        <v>0.38470325958913548</v>
      </c>
      <c r="L218" s="99">
        <f>IF(L132=1,IF(Calculations!L717="N/A",0,Calculations!L717)," ")</f>
        <v>0.34870728721570238</v>
      </c>
      <c r="M218" s="99">
        <f>IF(M132=1,IF(Calculations!M717="N/A",0,Calculations!M717)," ")</f>
        <v>0.32099778382410993</v>
      </c>
      <c r="N218" s="99">
        <f>IF(N132=1,IF(Calculations!N717="N/A",0,Calculations!N717)," ")</f>
        <v>0.29862614803634391</v>
      </c>
      <c r="O218" s="99">
        <f>IF(O132=1,IF(Calculations!O717="N/A",0,Calculations!O717)," ")</f>
        <v>0.27535828721350214</v>
      </c>
      <c r="P218" s="99">
        <f>IF(P132=1,IF(Calculations!P717="N/A",0,Calculations!P717)," ")</f>
        <v>0.25946120017130336</v>
      </c>
      <c r="Q218" s="99">
        <f>IF(Q132=1,IF(Calculations!Q717="N/A",0,Calculations!Q717)," ")</f>
        <v>0.24619045863427791</v>
      </c>
      <c r="R218" s="99">
        <f>IF(R132=1,IF(Calculations!R717="N/A",0,Calculations!R717)," ")</f>
        <v>0.23473099515794715</v>
      </c>
      <c r="S218" s="99">
        <f>IF(S132=1,IF(Calculations!S717="N/A",0,Calculations!S717)," ")</f>
        <v>0.22472172006582813</v>
      </c>
      <c r="T218" s="99">
        <f>IF(T132=1,IF(Calculations!T717="N/A",0,Calculations!T717)," ")</f>
        <v>0.21589262316721305</v>
      </c>
      <c r="U218" s="99">
        <f>IF(U132=1,IF(Calculations!U717="N/A",0,Calculations!U717)," ")</f>
        <v>0.20805668939145111</v>
      </c>
      <c r="V218" s="99">
        <f>IF(V132=1,IF(Calculations!V717="N/A",0,Calculations!V717)," ")</f>
        <v>0.20102140976405833</v>
      </c>
      <c r="W218" s="99">
        <f>IF(W132=1,IF(Calculations!W717="N/A",0,Calculations!W717)," ")</f>
        <v>0.1946577171916993</v>
      </c>
      <c r="X218" s="99">
        <f>IF(X132=1,IF(Calculations!X717="N/A",0,Calculations!X717)," ")</f>
        <v>0.18889015147126512</v>
      </c>
      <c r="Y218" s="99">
        <f>IF(Y132=1,IF(Calculations!Y717="N/A",0,Calculations!Y717)," ")</f>
        <v>0.18365415428656293</v>
      </c>
      <c r="Z218" s="99">
        <f>IF(Z132=1,IF(Calculations!Z717="N/A",0,Calculations!Z717)," ")</f>
        <v>0.17881061943218129</v>
      </c>
      <c r="AA218" s="99">
        <f>IF(AA132=1,IF(Calculations!AA717="N/A",0,Calculations!AA717)," ")</f>
        <v>0.17435284469814902</v>
      </c>
      <c r="AB218" s="99">
        <f>IF(AB132=1,IF(Calculations!AB717="N/A",0,Calculations!AB717)," ")</f>
        <v>0.17023505008945106</v>
      </c>
      <c r="AC218" s="99">
        <f>IF(AC132=1,IF(Calculations!AC717="N/A",0,Calculations!AC717)," ")</f>
        <v>0.16642114381705167</v>
      </c>
      <c r="AD218" s="99">
        <f>IF(AD132=1,IF(Calculations!AD717="N/A",0,Calculations!AD717)," ")</f>
        <v>0.16286971741378112</v>
      </c>
      <c r="AE218" s="99">
        <f>IF(AE132=1,IF(Calculations!AE717="N/A",0,Calculations!AE717)," ")</f>
        <v>0.15956307888752549</v>
      </c>
      <c r="AF218" s="99">
        <f>IF(AF132=1,IF(Calculations!AF717="N/A",0,Calculations!AF717)," ")</f>
        <v>0.15646721928127991</v>
      </c>
      <c r="AG218" s="99">
        <f>IF(AG132=1,IF(Calculations!AG717="N/A",0,Calculations!AG717)," ")</f>
        <v>0.15356034237708091</v>
      </c>
      <c r="AH218" s="99">
        <f>IF(AH132=1,IF(Calculations!AH717="N/A",0,Calculations!AH717)," ")</f>
        <v>0.15082799028417254</v>
      </c>
    </row>
    <row r="219" spans="1:34" s="412" customFormat="1" x14ac:dyDescent="0.2">
      <c r="A219" s="18"/>
      <c r="B219" s="80"/>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c r="AA219" s="80"/>
      <c r="AB219" s="80"/>
      <c r="AC219" s="80"/>
      <c r="AD219" s="80"/>
      <c r="AE219" s="80"/>
      <c r="AF219" s="80"/>
      <c r="AG219" s="80"/>
      <c r="AH219" s="80"/>
    </row>
    <row r="220" spans="1:34" s="412" customFormat="1" x14ac:dyDescent="0.2">
      <c r="A220" s="18"/>
      <c r="B220" s="90" t="s">
        <v>189</v>
      </c>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c r="AA220" s="80"/>
      <c r="AB220" s="80"/>
      <c r="AC220" s="80"/>
      <c r="AD220" s="80"/>
      <c r="AE220" s="80"/>
      <c r="AF220" s="80"/>
      <c r="AG220" s="80"/>
      <c r="AH220" s="80"/>
    </row>
    <row r="221" spans="1:34" s="412" customFormat="1" x14ac:dyDescent="0.2">
      <c r="A221" s="18"/>
      <c r="B221" s="80"/>
      <c r="C221" s="80"/>
      <c r="D221" s="80"/>
      <c r="E221" s="93">
        <f>YEAR('Charts - Freight'!E$131)</f>
        <v>2010</v>
      </c>
      <c r="F221" s="93">
        <f>YEAR('Charts - Freight'!F$131)</f>
        <v>2011</v>
      </c>
      <c r="G221" s="93">
        <f>YEAR('Charts - Freight'!G$131)</f>
        <v>2012</v>
      </c>
      <c r="H221" s="93">
        <f>YEAR('Charts - Freight'!H$131)</f>
        <v>2013</v>
      </c>
      <c r="I221" s="93">
        <f>YEAR('Charts - Freight'!I$131)</f>
        <v>2014</v>
      </c>
      <c r="J221" s="93">
        <f>YEAR('Charts - Freight'!J$131)</f>
        <v>2015</v>
      </c>
      <c r="K221" s="93">
        <f>YEAR('Charts - Freight'!K$131)</f>
        <v>2016</v>
      </c>
      <c r="L221" s="93">
        <f>YEAR('Charts - Freight'!L$131)</f>
        <v>2017</v>
      </c>
      <c r="M221" s="93">
        <f>YEAR('Charts - Freight'!M$131)</f>
        <v>2018</v>
      </c>
      <c r="N221" s="93">
        <f>YEAR('Charts - Freight'!N$131)</f>
        <v>2019</v>
      </c>
      <c r="O221" s="93">
        <f>YEAR('Charts - Freight'!O$131)</f>
        <v>2020</v>
      </c>
      <c r="P221" s="93">
        <f>YEAR('Charts - Freight'!P$131)</f>
        <v>2021</v>
      </c>
      <c r="Q221" s="93">
        <f>YEAR('Charts - Freight'!Q$131)</f>
        <v>2022</v>
      </c>
      <c r="R221" s="93">
        <f>YEAR('Charts - Freight'!R$131)</f>
        <v>2023</v>
      </c>
      <c r="S221" s="93">
        <f>YEAR('Charts - Freight'!S$131)</f>
        <v>2024</v>
      </c>
      <c r="T221" s="93">
        <f>YEAR('Charts - Freight'!T$131)</f>
        <v>2025</v>
      </c>
      <c r="U221" s="93">
        <f>YEAR('Charts - Freight'!U$131)</f>
        <v>2026</v>
      </c>
      <c r="V221" s="93">
        <f>YEAR('Charts - Freight'!V$131)</f>
        <v>2027</v>
      </c>
      <c r="W221" s="93">
        <f>YEAR('Charts - Freight'!W$131)</f>
        <v>2028</v>
      </c>
      <c r="X221" s="93">
        <f>YEAR('Charts - Freight'!X$131)</f>
        <v>2029</v>
      </c>
      <c r="Y221" s="93">
        <f>YEAR('Charts - Freight'!Y$131)</f>
        <v>2030</v>
      </c>
      <c r="Z221" s="93">
        <f>YEAR('Charts - Freight'!Z$131)</f>
        <v>2031</v>
      </c>
      <c r="AA221" s="93">
        <f>YEAR('Charts - Freight'!AA$131)</f>
        <v>2032</v>
      </c>
      <c r="AB221" s="93">
        <f>YEAR('Charts - Freight'!AB$131)</f>
        <v>2033</v>
      </c>
      <c r="AC221" s="93">
        <f>YEAR('Charts - Freight'!AC$131)</f>
        <v>2034</v>
      </c>
      <c r="AD221" s="93">
        <f>YEAR('Charts - Freight'!AD$131)</f>
        <v>2035</v>
      </c>
      <c r="AE221" s="93">
        <f>YEAR('Charts - Freight'!AE$131)</f>
        <v>2036</v>
      </c>
      <c r="AF221" s="93">
        <f>YEAR('Charts - Freight'!AF$131)</f>
        <v>2037</v>
      </c>
      <c r="AG221" s="93">
        <f>YEAR('Charts - Freight'!AG$131)</f>
        <v>2038</v>
      </c>
      <c r="AH221" s="93">
        <f>YEAR('Charts - Freight'!AH$131)</f>
        <v>2039</v>
      </c>
    </row>
    <row r="222" spans="1:34" s="412" customFormat="1" x14ac:dyDescent="0.2">
      <c r="A222" s="18"/>
      <c r="B222" s="80" t="s">
        <v>190</v>
      </c>
      <c r="C222" s="80"/>
      <c r="D222" s="80"/>
      <c r="E222" s="95">
        <f>IF(AND(E132=1,'Income statement'!E103&lt;&gt;0),('Income statement'!E113+'Income statement'!E120)/'Income statement'!E103,0)</f>
        <v>0.46589425587467365</v>
      </c>
      <c r="F222" s="95">
        <f>IF(AND(F132=1,'Income statement'!F103&lt;&gt;0),('Income statement'!F113+'Income statement'!F120)/'Income statement'!F103,0)</f>
        <v>0.46055255395495298</v>
      </c>
      <c r="G222" s="95">
        <f>IF(AND(G132=1,'Income statement'!G103&lt;&gt;0),('Income statement'!G113+'Income statement'!G120)/'Income statement'!G103,0)</f>
        <v>0.46120447509937551</v>
      </c>
      <c r="H222" s="95">
        <f>IF(AND(H132=1,'Income statement'!H103&lt;&gt;0),('Income statement'!H113+'Income statement'!H120)/'Income statement'!H103,0)</f>
        <v>0.45686963667112346</v>
      </c>
      <c r="I222" s="95">
        <f>IF(AND(I132=1,'Income statement'!I103&lt;&gt;0),('Income statement'!I113+'Income statement'!I120)/'Income statement'!I103,0)</f>
        <v>0.44912459122488457</v>
      </c>
      <c r="J222" s="95">
        <f>IF(AND(J132=1,'Income statement'!J103&lt;&gt;0),('Income statement'!J113+'Income statement'!J120)/'Income statement'!J103," ")</f>
        <v>0.44593142003291064</v>
      </c>
      <c r="K222" s="95">
        <f>IF(AND(K132=1,'Income statement'!K103&lt;&gt;0),('Income statement'!K113+'Income statement'!K120)/'Income statement'!K103," ")</f>
        <v>0.44301001165298187</v>
      </c>
      <c r="L222" s="95">
        <f>IF(AND(L132=1,'Income statement'!L103&lt;&gt;0),('Income statement'!L113+'Income statement'!L120)/'Income statement'!L103," ")</f>
        <v>0.44032619305190573</v>
      </c>
      <c r="M222" s="95">
        <f>IF(AND(M132=1,'Income statement'!M103&lt;&gt;0),('Income statement'!M113+'Income statement'!M120)/'Income statement'!M103," ")</f>
        <v>0.43785134324813435</v>
      </c>
      <c r="N222" s="95">
        <f>IF(AND(N132=1,'Income statement'!N103&lt;&gt;0),('Income statement'!N113+'Income statement'!N120)/'Income statement'!N103," ")</f>
        <v>0.43556561858770287</v>
      </c>
      <c r="O222" s="95">
        <f>IF(AND(O132=1,'Income statement'!O103&lt;&gt;0),('Income statement'!O113+'Income statement'!O120)/'Income statement'!O103," ")</f>
        <v>0.4334355556570364</v>
      </c>
      <c r="P222" s="95">
        <f>IF(AND(P132=1,'Income statement'!P103&lt;&gt;0),('Income statement'!P113+'Income statement'!P120)/'Income statement'!P103," ")</f>
        <v>0.43146029514097162</v>
      </c>
      <c r="Q222" s="95">
        <f>IF(AND(Q132=1,'Income statement'!Q103&lt;&gt;0),('Income statement'!Q113+'Income statement'!Q120)/'Income statement'!Q103," ")</f>
        <v>0.42961616805211272</v>
      </c>
      <c r="R222" s="95">
        <f>IF(AND(R132=1,'Income statement'!R103&lt;&gt;0),('Income statement'!R113+'Income statement'!R120)/'Income statement'!R103," ")</f>
        <v>0.42789015326843838</v>
      </c>
      <c r="S222" s="95">
        <f>IF(AND(S132=1,'Income statement'!S103&lt;&gt;0),('Income statement'!S113+'Income statement'!S120)/'Income statement'!S103," ")</f>
        <v>0.42627092385277143</v>
      </c>
      <c r="T222" s="95">
        <f>IF(AND(T132=1,'Income statement'!T103&lt;&gt;0),('Income statement'!T113+'Income statement'!T120)/'Income statement'!T103," ")</f>
        <v>0.42474857892450418</v>
      </c>
      <c r="U222" s="95">
        <f>IF(AND(U132=1,'Income statement'!U103&lt;&gt;0),('Income statement'!U113+'Income statement'!U120)/'Income statement'!U103," ")</f>
        <v>0.42331442494607802</v>
      </c>
      <c r="V222" s="95">
        <f>IF(AND(V132=1,'Income statement'!V103&lt;&gt;0),('Income statement'!V113+'Income statement'!V120)/'Income statement'!V103," ")</f>
        <v>0.42196079611389536</v>
      </c>
      <c r="W222" s="95">
        <f>IF(AND(W132=1,'Income statement'!W103&lt;&gt;0),('Income statement'!W113+'Income statement'!W120)/'Income statement'!W103," ")</f>
        <v>0.42068090593081586</v>
      </c>
      <c r="X222" s="95">
        <f>IF(AND(X132=1,'Income statement'!X103&lt;&gt;0),('Income statement'!X113+'Income statement'!X120)/'Income statement'!X103," ")</f>
        <v>0.41943646516542976</v>
      </c>
      <c r="Y222" s="95">
        <f>IF(AND(Y132=1,'Income statement'!Y103&lt;&gt;0),('Income statement'!Y113+'Income statement'!Y120)/'Income statement'!Y103," ")</f>
        <v>0.41812964015924292</v>
      </c>
      <c r="Z222" s="95">
        <f>IF(AND(Z132=1,'Income statement'!Z103&lt;&gt;0),('Income statement'!Z113+'Income statement'!Z120)/'Income statement'!Z103," ")</f>
        <v>0.4170499613332283</v>
      </c>
      <c r="AA222" s="95">
        <f>IF(AND(AA132=1,'Income statement'!AA103&lt;&gt;0),('Income statement'!AA113+'Income statement'!AA120)/'Income statement'!AA103," ")</f>
        <v>0.41602254834746566</v>
      </c>
      <c r="AB222" s="95">
        <f>IF(AND(AB132=1,'Income statement'!AB103&lt;&gt;0),('Income statement'!AB113+'Income statement'!AB120)/'Income statement'!AB103," ")</f>
        <v>0.41504359378206268</v>
      </c>
      <c r="AC222" s="95">
        <f>IF(AND(AC132=1,'Income statement'!AC103&lt;&gt;0),('Income statement'!AC113+'Income statement'!AC120)/'Income statement'!AC103," ")</f>
        <v>0.41409180721813227</v>
      </c>
      <c r="AD222" s="95">
        <f>IF(AND(AD132=1,'Income statement'!AD103&lt;&gt;0),('Income statement'!AD113+'Income statement'!AD120)/'Income statement'!AD103," ")</f>
        <v>0.41320073640637905</v>
      </c>
      <c r="AE222" s="95">
        <f>IF(AND(AE132=1,'Income statement'!AE103&lt;&gt;0),('Income statement'!AE113+'Income statement'!AE120)/'Income statement'!AE103," ")</f>
        <v>0.41234868944351016</v>
      </c>
      <c r="AF222" s="95">
        <f>IF(AND(AF132=1,'Income statement'!AF103&lt;&gt;0),('Income statement'!AF113+'Income statement'!AF120)/'Income statement'!AF103," ")</f>
        <v>0.41153310032638918</v>
      </c>
      <c r="AG222" s="95">
        <f>IF(AND(AG132=1,'Income statement'!AG103&lt;&gt;0),('Income statement'!AG113+'Income statement'!AG120)/'Income statement'!AG103," ")</f>
        <v>0.41075162878601773</v>
      </c>
      <c r="AH222" s="95">
        <f>IF(AND(AH132=1,'Income statement'!AH103&lt;&gt;0),('Income statement'!AH113+'Income statement'!AH120)/'Income statement'!AH103," ")</f>
        <v>0.41000213567633476</v>
      </c>
    </row>
    <row r="223" spans="1:34" s="412" customFormat="1" x14ac:dyDescent="0.2">
      <c r="A223" s="18"/>
      <c r="B223" s="80" t="s">
        <v>191</v>
      </c>
      <c r="C223" s="80"/>
      <c r="D223" s="80"/>
      <c r="E223" s="95">
        <f>IF(AND(E132=1,'Income statement'!E103&lt;&gt;0),'Income statement'!E113/'Income statement'!E103,0)</f>
        <v>0.46405842036553524</v>
      </c>
      <c r="F223" s="95">
        <f>IF(AND(F132=1,'Income statement'!F103&lt;&gt;0),'Income statement'!F113/'Income statement'!F103,0)</f>
        <v>0.459187346244817</v>
      </c>
      <c r="G223" s="95">
        <f>IF(AND(G132=1,'Income statement'!G103&lt;&gt;0),'Income statement'!G113/'Income statement'!G103,0)</f>
        <v>0.45942001222719248</v>
      </c>
      <c r="H223" s="95">
        <f>IF(AND(H132=1,'Income statement'!H103&lt;&gt;0),'Income statement'!H113/'Income statement'!H103,0)</f>
        <v>0.45503568814709144</v>
      </c>
      <c r="I223" s="95">
        <f>IF(AND(I132=1,'Income statement'!I103&lt;&gt;0),'Income statement'!I113/'Income statement'!I103,0)</f>
        <v>0.44734773454123927</v>
      </c>
      <c r="J223" s="95">
        <f>IF(AND(J132=1,'Income statement'!J103&lt;&gt;0),'Income statement'!J113/'Income statement'!J103," ")</f>
        <v>0.44412840154485284</v>
      </c>
      <c r="K223" s="95">
        <f>IF(AND(K132=1,'Income statement'!K103&lt;&gt;0),'Income statement'!K113/'Income statement'!K103," ")</f>
        <v>0.44119061346403288</v>
      </c>
      <c r="L223" s="95">
        <f>IF(AND(L132=1,'Income statement'!L103&lt;&gt;0),'Income statement'!L113/'Income statement'!L103," ")</f>
        <v>0.43849861691564812</v>
      </c>
      <c r="M223" s="95">
        <f>IF(AND(M132=1,'Income statement'!M103&lt;&gt;0),'Income statement'!M113/'Income statement'!M103," ")</f>
        <v>0.43602248105949198</v>
      </c>
      <c r="N223" s="95">
        <f>IF(AND(N132=1,'Income statement'!N103&lt;&gt;0),'Income statement'!N113/'Income statement'!N103," ")</f>
        <v>0.43373687341543249</v>
      </c>
      <c r="O223" s="95">
        <f>IF(AND(O132=1,'Income statement'!O103&lt;&gt;0),'Income statement'!O113/'Income statement'!O103," ")</f>
        <v>0.43162060169814359</v>
      </c>
      <c r="P223" s="95">
        <f>IF(AND(P132=1,'Income statement'!P103&lt;&gt;0),'Income statement'!P113/'Income statement'!P103," ")</f>
        <v>0.42965500310898097</v>
      </c>
      <c r="Q223" s="95">
        <f>IF(AND(Q132=1,'Income statement'!Q103&lt;&gt;0),'Income statement'!Q113/'Income statement'!Q103," ")</f>
        <v>0.42782447695616505</v>
      </c>
      <c r="R223" s="95">
        <f>IF(AND(R132=1,'Income statement'!R103&lt;&gt;0),'Income statement'!R113/'Income statement'!R103," ")</f>
        <v>0.42611538556118816</v>
      </c>
      <c r="S223" s="95">
        <f>IF(AND(S132=1,'Income statement'!S103&lt;&gt;0),'Income statement'!S113/'Income statement'!S103," ")</f>
        <v>0.42451587478265779</v>
      </c>
      <c r="T223" s="95">
        <f>IF(AND(T132=1,'Income statement'!T103&lt;&gt;0),'Income statement'!T113/'Income statement'!T103," ")</f>
        <v>0.42301559140852302</v>
      </c>
      <c r="U223" s="95">
        <f>IF(AND(U132=1,'Income statement'!U103&lt;&gt;0),'Income statement'!U113/'Income statement'!U103," ")</f>
        <v>0.4216054526435965</v>
      </c>
      <c r="V223" s="95">
        <f>IF(AND(V132=1,'Income statement'!V103&lt;&gt;0),'Income statement'!V113/'Income statement'!V103," ")</f>
        <v>0.42027745682233386</v>
      </c>
      <c r="W223" s="95">
        <f>IF(AND(W132=1,'Income statement'!W103&lt;&gt;0),'Income statement'!W113/'Income statement'!W103," ")</f>
        <v>0.41902452699393167</v>
      </c>
      <c r="X223" s="95">
        <f>IF(AND(X132=1,'Income statement'!X103&lt;&gt;0),'Income statement'!X113/'Income statement'!X103," ")</f>
        <v>0.4178409913524862</v>
      </c>
      <c r="Y223" s="95">
        <f>IF(AND(Y132=1,'Income statement'!Y103&lt;&gt;0),'Income statement'!Y113/'Income statement'!Y103," ")</f>
        <v>0.41672302192321736</v>
      </c>
      <c r="Z223" s="95">
        <f>IF(AND(Z132=1,'Income statement'!Z103&lt;&gt;0),'Income statement'!Z113/'Income statement'!Z103," ")</f>
        <v>0.41566004683539831</v>
      </c>
      <c r="AA223" s="95">
        <f>IF(AND(AA132=1,'Income statement'!AA103&lt;&gt;0),'Income statement'!AA113/'Income statement'!AA103," ")</f>
        <v>0.41465079080700035</v>
      </c>
      <c r="AB223" s="95">
        <f>IF(AND(AB132=1,'Income statement'!AB103&lt;&gt;0),'Income statement'!AB113/'Income statement'!AB103," ")</f>
        <v>0.41369122059182667</v>
      </c>
      <c r="AC223" s="95">
        <f>IF(AND(AC132=1,'Income statement'!AC103&lt;&gt;0),'Income statement'!AC113/'Income statement'!AC103," ")</f>
        <v>0.41277804906764232</v>
      </c>
      <c r="AD223" s="95">
        <f>IF(AND(AD132=1,'Income statement'!AD103&lt;&gt;0),'Income statement'!AD113/'Income statement'!AD103," ")</f>
        <v>0.4119072870825668</v>
      </c>
      <c r="AE223" s="95">
        <f>IF(AND(AE132=1,'Income statement'!AE103&lt;&gt;0),'Income statement'!AE113/'Income statement'!AE103," ")</f>
        <v>0.41107630754146823</v>
      </c>
      <c r="AF223" s="95">
        <f>IF(AND(AF132=1,'Income statement'!AF103&lt;&gt;0),'Income statement'!AF113/'Income statement'!AF103," ")</f>
        <v>0.41028240340601346</v>
      </c>
      <c r="AG223" s="95">
        <f>IF(AND(AG132=1,'Income statement'!AG103&lt;&gt;0),'Income statement'!AG113/'Income statement'!AG103," ")</f>
        <v>0.40952310972646611</v>
      </c>
      <c r="AH223" s="95">
        <f>IF(AND(AH132=1,'Income statement'!AH103&lt;&gt;0),'Income statement'!AH113/'Income statement'!AH103," ")</f>
        <v>0.40879617709557331</v>
      </c>
    </row>
    <row r="224" spans="1:34" s="412" customFormat="1" x14ac:dyDescent="0.2">
      <c r="A224" s="18"/>
      <c r="B224" s="80"/>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c r="AA224" s="80"/>
      <c r="AB224" s="80"/>
      <c r="AC224" s="80"/>
      <c r="AD224" s="80"/>
      <c r="AE224" s="80"/>
      <c r="AF224" s="80"/>
      <c r="AG224" s="80"/>
      <c r="AH224" s="80"/>
    </row>
    <row r="225" spans="1:34" s="412" customFormat="1" x14ac:dyDescent="0.2">
      <c r="A225" s="18"/>
      <c r="B225" s="90" t="s">
        <v>192</v>
      </c>
      <c r="C225" s="80"/>
      <c r="D225" s="80"/>
      <c r="E225" s="80" t="s">
        <v>305</v>
      </c>
      <c r="F225" s="80" t="s">
        <v>325</v>
      </c>
      <c r="G225" s="80"/>
      <c r="H225" s="80"/>
      <c r="I225" s="80"/>
      <c r="J225" s="80"/>
      <c r="K225" s="80"/>
      <c r="L225" s="80"/>
      <c r="M225" s="80"/>
      <c r="N225" s="80"/>
      <c r="O225" s="80"/>
      <c r="P225" s="80"/>
      <c r="Q225" s="80"/>
      <c r="R225" s="80"/>
      <c r="S225" s="80"/>
      <c r="T225" s="80"/>
      <c r="U225" s="80"/>
      <c r="V225" s="80"/>
      <c r="W225" s="80"/>
      <c r="X225" s="80"/>
      <c r="Y225" s="80"/>
      <c r="Z225" s="80"/>
      <c r="AA225" s="80"/>
      <c r="AB225" s="80"/>
      <c r="AC225" s="80"/>
      <c r="AD225" s="80"/>
      <c r="AE225" s="80"/>
      <c r="AF225" s="80"/>
      <c r="AG225" s="80"/>
      <c r="AH225" s="80"/>
    </row>
    <row r="226" spans="1:34" s="412" customFormat="1" x14ac:dyDescent="0.2">
      <c r="A226" s="18"/>
      <c r="B226" s="80"/>
      <c r="C226" s="80"/>
      <c r="D226" s="80"/>
      <c r="E226" s="93">
        <f>YEAR('Charts - Freight'!E$131)</f>
        <v>2010</v>
      </c>
      <c r="F226" s="93">
        <f>YEAR('Charts - Freight'!F$131)</f>
        <v>2011</v>
      </c>
      <c r="G226" s="93">
        <f>YEAR('Charts - Freight'!G$131)</f>
        <v>2012</v>
      </c>
      <c r="H226" s="93">
        <f>YEAR('Charts - Freight'!H$131)</f>
        <v>2013</v>
      </c>
      <c r="I226" s="93">
        <f>YEAR('Charts - Freight'!I$131)</f>
        <v>2014</v>
      </c>
      <c r="J226" s="93">
        <f>YEAR('Charts - Freight'!J$131)</f>
        <v>2015</v>
      </c>
      <c r="K226" s="93">
        <f>YEAR('Charts - Freight'!K$131)</f>
        <v>2016</v>
      </c>
      <c r="L226" s="93">
        <f>YEAR('Charts - Freight'!L$131)</f>
        <v>2017</v>
      </c>
      <c r="M226" s="93">
        <f>YEAR('Charts - Freight'!M$131)</f>
        <v>2018</v>
      </c>
      <c r="N226" s="93">
        <f>YEAR('Charts - Freight'!N$131)</f>
        <v>2019</v>
      </c>
      <c r="O226" s="93">
        <f>YEAR('Charts - Freight'!O$131)</f>
        <v>2020</v>
      </c>
      <c r="P226" s="93">
        <f>YEAR('Charts - Freight'!P$131)</f>
        <v>2021</v>
      </c>
      <c r="Q226" s="93">
        <f>YEAR('Charts - Freight'!Q$131)</f>
        <v>2022</v>
      </c>
      <c r="R226" s="93">
        <f>YEAR('Charts - Freight'!R$131)</f>
        <v>2023</v>
      </c>
      <c r="S226" s="93">
        <f>YEAR('Charts - Freight'!S$131)</f>
        <v>2024</v>
      </c>
      <c r="T226" s="93">
        <f>YEAR('Charts - Freight'!T$131)</f>
        <v>2025</v>
      </c>
      <c r="U226" s="93">
        <f>YEAR('Charts - Freight'!U$131)</f>
        <v>2026</v>
      </c>
      <c r="V226" s="93">
        <f>YEAR('Charts - Freight'!V$131)</f>
        <v>2027</v>
      </c>
      <c r="W226" s="93">
        <f>YEAR('Charts - Freight'!W$131)</f>
        <v>2028</v>
      </c>
      <c r="X226" s="93">
        <f>YEAR('Charts - Freight'!X$131)</f>
        <v>2029</v>
      </c>
      <c r="Y226" s="93">
        <f>YEAR('Charts - Freight'!Y$131)</f>
        <v>2030</v>
      </c>
      <c r="Z226" s="93">
        <f>YEAR('Charts - Freight'!Z$131)</f>
        <v>2031</v>
      </c>
      <c r="AA226" s="93">
        <f>YEAR('Charts - Freight'!AA$131)</f>
        <v>2032</v>
      </c>
      <c r="AB226" s="93">
        <f>YEAR('Charts - Freight'!AB$131)</f>
        <v>2033</v>
      </c>
      <c r="AC226" s="93">
        <f>YEAR('Charts - Freight'!AC$131)</f>
        <v>2034</v>
      </c>
      <c r="AD226" s="93">
        <f>YEAR('Charts - Freight'!AD$131)</f>
        <v>2035</v>
      </c>
      <c r="AE226" s="93">
        <f>YEAR('Charts - Freight'!AE$131)</f>
        <v>2036</v>
      </c>
      <c r="AF226" s="93">
        <f>YEAR('Charts - Freight'!AF$131)</f>
        <v>2037</v>
      </c>
      <c r="AG226" s="93">
        <f>YEAR('Charts - Freight'!AG$131)</f>
        <v>2038</v>
      </c>
      <c r="AH226" s="93">
        <f>YEAR('Charts - Freight'!AH$131)</f>
        <v>2039</v>
      </c>
    </row>
    <row r="227" spans="1:34" s="412" customFormat="1" x14ac:dyDescent="0.2">
      <c r="A227" s="18"/>
      <c r="B227" s="80" t="s">
        <v>195</v>
      </c>
      <c r="C227" s="80"/>
      <c r="D227" s="80"/>
      <c r="E227" s="100">
        <f>IF(E132=1,E230/E229,0)</f>
        <v>1.6</v>
      </c>
      <c r="F227" s="100">
        <f t="shared" ref="F227:I227" si="21">IF(F132=1,F230/F229,0)</f>
        <v>1.7</v>
      </c>
      <c r="G227" s="100">
        <f t="shared" si="21"/>
        <v>1.7</v>
      </c>
      <c r="H227" s="100">
        <f t="shared" si="21"/>
        <v>1.8</v>
      </c>
      <c r="I227" s="100">
        <f t="shared" si="21"/>
        <v>2</v>
      </c>
      <c r="J227" s="100">
        <f t="shared" ref="J227:AH227" si="22">IF(J132=1,J230/J229," ")</f>
        <v>2.1</v>
      </c>
      <c r="K227" s="100">
        <f t="shared" si="22"/>
        <v>2.2000000000000002</v>
      </c>
      <c r="L227" s="100">
        <f t="shared" si="22"/>
        <v>2.2999999999999998</v>
      </c>
      <c r="M227" s="100">
        <f t="shared" si="22"/>
        <v>2.4</v>
      </c>
      <c r="N227" s="100">
        <f t="shared" si="22"/>
        <v>2.5</v>
      </c>
      <c r="O227" s="100">
        <f t="shared" si="22"/>
        <v>2.6</v>
      </c>
      <c r="P227" s="100">
        <f t="shared" si="22"/>
        <v>2.7</v>
      </c>
      <c r="Q227" s="100">
        <f t="shared" si="22"/>
        <v>2.8</v>
      </c>
      <c r="R227" s="100">
        <f t="shared" si="22"/>
        <v>2.9</v>
      </c>
      <c r="S227" s="100">
        <f t="shared" si="22"/>
        <v>3</v>
      </c>
      <c r="T227" s="100">
        <f t="shared" si="22"/>
        <v>3.1</v>
      </c>
      <c r="U227" s="100">
        <f t="shared" si="22"/>
        <v>3.2</v>
      </c>
      <c r="V227" s="100">
        <f t="shared" si="22"/>
        <v>3.3</v>
      </c>
      <c r="W227" s="100">
        <f t="shared" si="22"/>
        <v>3.4</v>
      </c>
      <c r="X227" s="100">
        <f t="shared" si="22"/>
        <v>3.5</v>
      </c>
      <c r="Y227" s="100">
        <f t="shared" si="22"/>
        <v>3.6</v>
      </c>
      <c r="Z227" s="100">
        <f t="shared" si="22"/>
        <v>3.7</v>
      </c>
      <c r="AA227" s="100">
        <f t="shared" si="22"/>
        <v>3.8</v>
      </c>
      <c r="AB227" s="100">
        <f t="shared" si="22"/>
        <v>3.9</v>
      </c>
      <c r="AC227" s="100">
        <f t="shared" si="22"/>
        <v>4</v>
      </c>
      <c r="AD227" s="100">
        <f t="shared" si="22"/>
        <v>4.0999999999999996</v>
      </c>
      <c r="AE227" s="100">
        <f t="shared" si="22"/>
        <v>4.2</v>
      </c>
      <c r="AF227" s="100">
        <f t="shared" si="22"/>
        <v>4.3</v>
      </c>
      <c r="AG227" s="100">
        <f t="shared" si="22"/>
        <v>4.4000000000000004</v>
      </c>
      <c r="AH227" s="100">
        <f t="shared" si="22"/>
        <v>4.5</v>
      </c>
    </row>
    <row r="228" spans="1:34" s="412" customFormat="1" x14ac:dyDescent="0.2">
      <c r="A228" s="18"/>
      <c r="B228" s="80" t="str">
        <f>'Assumptions - Passenger'!E19</f>
        <v>EU railways</v>
      </c>
      <c r="C228" s="80"/>
      <c r="D228" s="80"/>
      <c r="E228" s="96">
        <f>IF(E132=1,'Assumptions - Passenger'!$E$20,0)</f>
        <v>1</v>
      </c>
      <c r="F228" s="96">
        <f>IF(F132=1,'Assumptions - Passenger'!$E$20,0)</f>
        <v>1</v>
      </c>
      <c r="G228" s="96">
        <f>IF(G132=1,'Assumptions - Passenger'!$E$20,0)</f>
        <v>1</v>
      </c>
      <c r="H228" s="96">
        <f>IF(H132=1,'Assumptions - Passenger'!$E$20,0)</f>
        <v>1</v>
      </c>
      <c r="I228" s="96">
        <f>IF(I132=1,'Assumptions - Passenger'!$E$20,0)</f>
        <v>1</v>
      </c>
      <c r="J228" s="96">
        <f>IF(J132=1,'Assumptions - Passenger'!$E$20," ")</f>
        <v>1</v>
      </c>
      <c r="K228" s="96">
        <f>IF(K132=1,'Assumptions - Passenger'!$E$20," ")</f>
        <v>1</v>
      </c>
      <c r="L228" s="96">
        <f>IF(L132=1,'Assumptions - Passenger'!$E$20," ")</f>
        <v>1</v>
      </c>
      <c r="M228" s="96">
        <f>IF(M132=1,'Assumptions - Passenger'!$E$20," ")</f>
        <v>1</v>
      </c>
      <c r="N228" s="96">
        <f>IF(N132=1,'Assumptions - Passenger'!$E$20," ")</f>
        <v>1</v>
      </c>
      <c r="O228" s="96">
        <f>IF(O132=1,'Assumptions - Passenger'!$E$20," ")</f>
        <v>1</v>
      </c>
      <c r="P228" s="96">
        <f>IF(P132=1,'Assumptions - Passenger'!$E$20," ")</f>
        <v>1</v>
      </c>
      <c r="Q228" s="96">
        <f>IF(Q132=1,'Assumptions - Passenger'!$E$20," ")</f>
        <v>1</v>
      </c>
      <c r="R228" s="96">
        <f>IF(R132=1,'Assumptions - Passenger'!$E$20," ")</f>
        <v>1</v>
      </c>
      <c r="S228" s="96">
        <f>IF(S132=1,'Assumptions - Passenger'!$E$20," ")</f>
        <v>1</v>
      </c>
      <c r="T228" s="96">
        <f>IF(T132=1,'Assumptions - Passenger'!$E$20," ")</f>
        <v>1</v>
      </c>
      <c r="U228" s="96">
        <f>IF(U132=1,'Assumptions - Passenger'!$E$20," ")</f>
        <v>1</v>
      </c>
      <c r="V228" s="96">
        <f>IF(V132=1,'Assumptions - Passenger'!$E$20," ")</f>
        <v>1</v>
      </c>
      <c r="W228" s="96">
        <f>IF(W132=1,'Assumptions - Passenger'!$E$20," ")</f>
        <v>1</v>
      </c>
      <c r="X228" s="96">
        <f>IF(X132=1,'Assumptions - Passenger'!$E$20," ")</f>
        <v>1</v>
      </c>
      <c r="Y228" s="96">
        <f>IF(Y132=1,'Assumptions - Passenger'!$E$20," ")</f>
        <v>1</v>
      </c>
      <c r="Z228" s="96">
        <f>IF(Z132=1,'Assumptions - Passenger'!$E$20," ")</f>
        <v>1</v>
      </c>
      <c r="AA228" s="96">
        <f>IF(AA132=1,'Assumptions - Passenger'!$E$20," ")</f>
        <v>1</v>
      </c>
      <c r="AB228" s="96">
        <f>IF(AB132=1,'Assumptions - Passenger'!$E$20," ")</f>
        <v>1</v>
      </c>
      <c r="AC228" s="96">
        <f>IF(AC132=1,'Assumptions - Passenger'!$E$20," ")</f>
        <v>1</v>
      </c>
      <c r="AD228" s="96">
        <f>IF(AD132=1,'Assumptions - Passenger'!$E$20," ")</f>
        <v>1</v>
      </c>
      <c r="AE228" s="96">
        <f>IF(AE132=1,'Assumptions - Passenger'!$E$20," ")</f>
        <v>1</v>
      </c>
      <c r="AF228" s="96">
        <f>IF(AF132=1,'Assumptions - Passenger'!$E$20," ")</f>
        <v>1</v>
      </c>
      <c r="AG228" s="96">
        <f>IF(AG132=1,'Assumptions - Passenger'!$E$20," ")</f>
        <v>1</v>
      </c>
      <c r="AH228" s="96">
        <f>IF(AH132=1,'Assumptions - Passenger'!$E$20," ")</f>
        <v>1</v>
      </c>
    </row>
    <row r="229" spans="1:34" s="412" customFormat="1" x14ac:dyDescent="0.2">
      <c r="A229" s="18"/>
      <c r="B229" s="80" t="s">
        <v>193</v>
      </c>
      <c r="C229" s="80"/>
      <c r="D229" s="80"/>
      <c r="E229" s="94">
        <f>IF(E132=1,'Assumptions - Passenger'!E14,0)</f>
        <v>15000</v>
      </c>
      <c r="F229" s="94">
        <f>IF(F132=1,'Assumptions - Passenger'!F14,0)</f>
        <v>15000</v>
      </c>
      <c r="G229" s="94">
        <f>IF(G132=1,'Assumptions - Passenger'!G14,0)</f>
        <v>15000</v>
      </c>
      <c r="H229" s="94">
        <f>IF(H132=1,'Assumptions - Passenger'!H14,0)</f>
        <v>15000</v>
      </c>
      <c r="I229" s="94">
        <f>IF(I132=1,'Assumptions - Passenger'!I14,0)</f>
        <v>15000</v>
      </c>
      <c r="J229" s="94">
        <f>IF(J132=1,'Assumptions - Passenger'!J14," ")</f>
        <v>15000</v>
      </c>
      <c r="K229" s="94">
        <f>IF(K132=1,'Assumptions - Passenger'!K14," ")</f>
        <v>15000</v>
      </c>
      <c r="L229" s="94">
        <f>IF(L132=1,'Assumptions - Passenger'!L14," ")</f>
        <v>15000</v>
      </c>
      <c r="M229" s="94">
        <f>IF(M132=1,'Assumptions - Passenger'!M14," ")</f>
        <v>15000</v>
      </c>
      <c r="N229" s="94">
        <f>IF(N132=1,'Assumptions - Passenger'!N14," ")</f>
        <v>15000</v>
      </c>
      <c r="O229" s="94">
        <f>IF(O132=1,'Assumptions - Passenger'!O14," ")</f>
        <v>15000</v>
      </c>
      <c r="P229" s="94">
        <f>IF(P132=1,'Assumptions - Passenger'!P14," ")</f>
        <v>15000</v>
      </c>
      <c r="Q229" s="94">
        <f>IF(Q132=1,'Assumptions - Passenger'!Q14," ")</f>
        <v>15000</v>
      </c>
      <c r="R229" s="94">
        <f>IF(R132=1,'Assumptions - Passenger'!R14," ")</f>
        <v>15000</v>
      </c>
      <c r="S229" s="94">
        <f>IF(S132=1,'Assumptions - Passenger'!S14," ")</f>
        <v>15000</v>
      </c>
      <c r="T229" s="94">
        <f>IF(T132=1,'Assumptions - Passenger'!T14," ")</f>
        <v>15000</v>
      </c>
      <c r="U229" s="94">
        <f>IF(U132=1,'Assumptions - Passenger'!U14," ")</f>
        <v>15000</v>
      </c>
      <c r="V229" s="94">
        <f>IF(V132=1,'Assumptions - Passenger'!V14," ")</f>
        <v>15000</v>
      </c>
      <c r="W229" s="94">
        <f>IF(W132=1,'Assumptions - Passenger'!W14," ")</f>
        <v>15000</v>
      </c>
      <c r="X229" s="94">
        <f>IF(X132=1,'Assumptions - Passenger'!X14," ")</f>
        <v>15000</v>
      </c>
      <c r="Y229" s="94">
        <f>IF(Y132=1,'Assumptions - Passenger'!Y14," ")</f>
        <v>15000</v>
      </c>
      <c r="Z229" s="94">
        <f>IF(Z132=1,'Assumptions - Passenger'!Z14," ")</f>
        <v>15000</v>
      </c>
      <c r="AA229" s="94">
        <f>IF(AA132=1,'Assumptions - Passenger'!AA14," ")</f>
        <v>15000</v>
      </c>
      <c r="AB229" s="94">
        <f>IF(AB132=1,'Assumptions - Passenger'!AB14," ")</f>
        <v>15000</v>
      </c>
      <c r="AC229" s="94">
        <f>IF(AC132=1,'Assumptions - Passenger'!AC14," ")</f>
        <v>15000</v>
      </c>
      <c r="AD229" s="94">
        <f>IF(AD132=1,'Assumptions - Passenger'!AD14," ")</f>
        <v>15000</v>
      </c>
      <c r="AE229" s="94">
        <f>IF(AE132=1,'Assumptions - Passenger'!AE14," ")</f>
        <v>15000</v>
      </c>
      <c r="AF229" s="94">
        <f>IF(AF132=1,'Assumptions - Passenger'!AF14," ")</f>
        <v>15000</v>
      </c>
      <c r="AG229" s="94">
        <f>IF(AG132=1,'Assumptions - Passenger'!AG14," ")</f>
        <v>15000</v>
      </c>
      <c r="AH229" s="94">
        <f>IF(AH132=1,'Assumptions - Passenger'!AH14," ")</f>
        <v>15000</v>
      </c>
    </row>
    <row r="230" spans="1:34" s="412" customFormat="1" x14ac:dyDescent="0.2">
      <c r="A230" s="18"/>
      <c r="B230" s="80" t="s">
        <v>194</v>
      </c>
      <c r="C230" s="80"/>
      <c r="D230" s="80"/>
      <c r="E230" s="97">
        <f>IF(E132=1,SUM(E160:E162),0)</f>
        <v>24000</v>
      </c>
      <c r="F230" s="97">
        <f t="shared" ref="F230:I230" si="23">IF(F132=1,SUM(F160:F162),0)</f>
        <v>25500</v>
      </c>
      <c r="G230" s="97">
        <f t="shared" si="23"/>
        <v>25500</v>
      </c>
      <c r="H230" s="97">
        <f t="shared" si="23"/>
        <v>27000</v>
      </c>
      <c r="I230" s="97">
        <f t="shared" si="23"/>
        <v>30000</v>
      </c>
      <c r="J230" s="97">
        <f t="shared" ref="J230:AH230" si="24">IF(J132=1,SUM(J160:J162)," ")</f>
        <v>31500</v>
      </c>
      <c r="K230" s="97">
        <f t="shared" si="24"/>
        <v>33000</v>
      </c>
      <c r="L230" s="97">
        <f t="shared" si="24"/>
        <v>34500</v>
      </c>
      <c r="M230" s="97">
        <f t="shared" si="24"/>
        <v>36000</v>
      </c>
      <c r="N230" s="97">
        <f t="shared" si="24"/>
        <v>37500</v>
      </c>
      <c r="O230" s="97">
        <f t="shared" si="24"/>
        <v>39000</v>
      </c>
      <c r="P230" s="97">
        <f t="shared" si="24"/>
        <v>40500</v>
      </c>
      <c r="Q230" s="97">
        <f t="shared" si="24"/>
        <v>42000</v>
      </c>
      <c r="R230" s="97">
        <f t="shared" si="24"/>
        <v>43500</v>
      </c>
      <c r="S230" s="97">
        <f t="shared" si="24"/>
        <v>45000</v>
      </c>
      <c r="T230" s="97">
        <f t="shared" si="24"/>
        <v>46500</v>
      </c>
      <c r="U230" s="97">
        <f t="shared" si="24"/>
        <v>48000</v>
      </c>
      <c r="V230" s="97">
        <f t="shared" si="24"/>
        <v>49500</v>
      </c>
      <c r="W230" s="97">
        <f t="shared" si="24"/>
        <v>51000</v>
      </c>
      <c r="X230" s="97">
        <f t="shared" si="24"/>
        <v>52500</v>
      </c>
      <c r="Y230" s="97">
        <f t="shared" si="24"/>
        <v>54000</v>
      </c>
      <c r="Z230" s="97">
        <f t="shared" si="24"/>
        <v>55500</v>
      </c>
      <c r="AA230" s="97">
        <f t="shared" si="24"/>
        <v>57000</v>
      </c>
      <c r="AB230" s="97">
        <f t="shared" si="24"/>
        <v>58500</v>
      </c>
      <c r="AC230" s="97">
        <f t="shared" si="24"/>
        <v>60000</v>
      </c>
      <c r="AD230" s="97">
        <f t="shared" si="24"/>
        <v>61500</v>
      </c>
      <c r="AE230" s="97">
        <f t="shared" si="24"/>
        <v>63000</v>
      </c>
      <c r="AF230" s="97">
        <f t="shared" si="24"/>
        <v>64500</v>
      </c>
      <c r="AG230" s="97">
        <f t="shared" si="24"/>
        <v>66000</v>
      </c>
      <c r="AH230" s="97">
        <f t="shared" si="24"/>
        <v>67500</v>
      </c>
    </row>
    <row r="231" spans="1:34" s="412" customFormat="1" x14ac:dyDescent="0.2">
      <c r="A231" s="18"/>
      <c r="B231" s="80"/>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c r="AA231" s="80"/>
      <c r="AB231" s="80"/>
      <c r="AC231" s="80"/>
      <c r="AD231" s="80"/>
      <c r="AE231" s="80"/>
      <c r="AF231" s="80"/>
      <c r="AG231" s="80"/>
      <c r="AH231" s="80"/>
    </row>
    <row r="232" spans="1:34" s="412" customFormat="1" x14ac:dyDescent="0.2">
      <c r="A232" s="18"/>
      <c r="B232" s="90" t="s">
        <v>192</v>
      </c>
      <c r="C232" s="80"/>
      <c r="D232" s="80"/>
      <c r="E232" s="80" t="s">
        <v>305</v>
      </c>
      <c r="F232" s="80" t="s">
        <v>302</v>
      </c>
      <c r="G232" s="80"/>
      <c r="H232" s="80"/>
      <c r="I232" s="80"/>
      <c r="J232" s="80"/>
      <c r="K232" s="80"/>
      <c r="L232" s="80"/>
      <c r="M232" s="80"/>
      <c r="N232" s="80"/>
      <c r="O232" s="80"/>
      <c r="P232" s="80"/>
      <c r="Q232" s="80"/>
      <c r="R232" s="80"/>
      <c r="S232" s="80"/>
      <c r="T232" s="80"/>
      <c r="U232" s="80"/>
      <c r="V232" s="80"/>
      <c r="W232" s="80"/>
      <c r="X232" s="80"/>
      <c r="Y232" s="80"/>
      <c r="Z232" s="80"/>
      <c r="AA232" s="80"/>
      <c r="AB232" s="80"/>
      <c r="AC232" s="80"/>
      <c r="AD232" s="80"/>
      <c r="AE232" s="80"/>
      <c r="AF232" s="80"/>
      <c r="AG232" s="80"/>
      <c r="AH232" s="80"/>
    </row>
    <row r="233" spans="1:34" s="412" customFormat="1" x14ac:dyDescent="0.2">
      <c r="A233" s="18"/>
      <c r="B233" s="80"/>
      <c r="C233" s="80"/>
      <c r="D233" s="80"/>
      <c r="E233" s="93">
        <f>YEAR('Charts - Freight'!E$131)</f>
        <v>2010</v>
      </c>
      <c r="F233" s="93">
        <f>YEAR('Charts - Freight'!F$131)</f>
        <v>2011</v>
      </c>
      <c r="G233" s="93">
        <f>YEAR('Charts - Freight'!G$131)</f>
        <v>2012</v>
      </c>
      <c r="H233" s="93">
        <f>YEAR('Charts - Freight'!H$131)</f>
        <v>2013</v>
      </c>
      <c r="I233" s="93">
        <f>YEAR('Charts - Freight'!I$131)</f>
        <v>2014</v>
      </c>
      <c r="J233" s="93">
        <f>YEAR('Charts - Freight'!J$131)</f>
        <v>2015</v>
      </c>
      <c r="K233" s="93">
        <f>YEAR('Charts - Freight'!K$131)</f>
        <v>2016</v>
      </c>
      <c r="L233" s="93">
        <f>YEAR('Charts - Freight'!L$131)</f>
        <v>2017</v>
      </c>
      <c r="M233" s="93">
        <f>YEAR('Charts - Freight'!M$131)</f>
        <v>2018</v>
      </c>
      <c r="N233" s="93">
        <f>YEAR('Charts - Freight'!N$131)</f>
        <v>2019</v>
      </c>
      <c r="O233" s="93">
        <f>YEAR('Charts - Freight'!O$131)</f>
        <v>2020</v>
      </c>
      <c r="P233" s="93">
        <f>YEAR('Charts - Freight'!P$131)</f>
        <v>2021</v>
      </c>
      <c r="Q233" s="93">
        <f>YEAR('Charts - Freight'!Q$131)</f>
        <v>2022</v>
      </c>
      <c r="R233" s="93">
        <f>YEAR('Charts - Freight'!R$131)</f>
        <v>2023</v>
      </c>
      <c r="S233" s="93">
        <f>YEAR('Charts - Freight'!S$131)</f>
        <v>2024</v>
      </c>
      <c r="T233" s="93">
        <f>YEAR('Charts - Freight'!T$131)</f>
        <v>2025</v>
      </c>
      <c r="U233" s="93">
        <f>YEAR('Charts - Freight'!U$131)</f>
        <v>2026</v>
      </c>
      <c r="V233" s="93">
        <f>YEAR('Charts - Freight'!V$131)</f>
        <v>2027</v>
      </c>
      <c r="W233" s="93">
        <f>YEAR('Charts - Freight'!W$131)</f>
        <v>2028</v>
      </c>
      <c r="X233" s="93">
        <f>YEAR('Charts - Freight'!X$131)</f>
        <v>2029</v>
      </c>
      <c r="Y233" s="93">
        <f>YEAR('Charts - Freight'!Y$131)</f>
        <v>2030</v>
      </c>
      <c r="Z233" s="93">
        <f>YEAR('Charts - Freight'!Z$131)</f>
        <v>2031</v>
      </c>
      <c r="AA233" s="93">
        <f>YEAR('Charts - Freight'!AA$131)</f>
        <v>2032</v>
      </c>
      <c r="AB233" s="93">
        <f>YEAR('Charts - Freight'!AB$131)</f>
        <v>2033</v>
      </c>
      <c r="AC233" s="93">
        <f>YEAR('Charts - Freight'!AC$131)</f>
        <v>2034</v>
      </c>
      <c r="AD233" s="93">
        <f>YEAR('Charts - Freight'!AD$131)</f>
        <v>2035</v>
      </c>
      <c r="AE233" s="93">
        <f>YEAR('Charts - Freight'!AE$131)</f>
        <v>2036</v>
      </c>
      <c r="AF233" s="93">
        <f>YEAR('Charts - Freight'!AF$131)</f>
        <v>2037</v>
      </c>
      <c r="AG233" s="93">
        <f>YEAR('Charts - Freight'!AG$131)</f>
        <v>2038</v>
      </c>
      <c r="AH233" s="93">
        <f>YEAR('Charts - Freight'!AH$131)</f>
        <v>2039</v>
      </c>
    </row>
    <row r="234" spans="1:34" s="412" customFormat="1" x14ac:dyDescent="0.2">
      <c r="A234" s="18"/>
      <c r="B234" s="80" t="s">
        <v>196</v>
      </c>
      <c r="C234" s="80"/>
      <c r="D234" s="80"/>
      <c r="E234" s="96">
        <f>IF(E132=1,E236/E237,0)</f>
        <v>1</v>
      </c>
      <c r="F234" s="96">
        <f t="shared" ref="F234:I234" si="25">IF(F132=1,F236/F237,0)</f>
        <v>1</v>
      </c>
      <c r="G234" s="96">
        <f t="shared" si="25"/>
        <v>1</v>
      </c>
      <c r="H234" s="96">
        <f t="shared" si="25"/>
        <v>1</v>
      </c>
      <c r="I234" s="96">
        <f t="shared" si="25"/>
        <v>1</v>
      </c>
      <c r="J234" s="96">
        <f t="shared" ref="J234:AH234" si="26">IF(J132=1,J236/J237," ")</f>
        <v>1</v>
      </c>
      <c r="K234" s="96">
        <f t="shared" si="26"/>
        <v>1</v>
      </c>
      <c r="L234" s="96">
        <f t="shared" si="26"/>
        <v>1</v>
      </c>
      <c r="M234" s="96">
        <f t="shared" si="26"/>
        <v>1</v>
      </c>
      <c r="N234" s="96">
        <f t="shared" si="26"/>
        <v>1</v>
      </c>
      <c r="O234" s="96">
        <f t="shared" si="26"/>
        <v>1</v>
      </c>
      <c r="P234" s="96">
        <f t="shared" si="26"/>
        <v>1</v>
      </c>
      <c r="Q234" s="96">
        <f t="shared" si="26"/>
        <v>1</v>
      </c>
      <c r="R234" s="96">
        <f t="shared" si="26"/>
        <v>1</v>
      </c>
      <c r="S234" s="96">
        <f t="shared" si="26"/>
        <v>1</v>
      </c>
      <c r="T234" s="96">
        <f t="shared" si="26"/>
        <v>1</v>
      </c>
      <c r="U234" s="96">
        <f t="shared" si="26"/>
        <v>1</v>
      </c>
      <c r="V234" s="96">
        <f t="shared" si="26"/>
        <v>1</v>
      </c>
      <c r="W234" s="96">
        <f t="shared" si="26"/>
        <v>1</v>
      </c>
      <c r="X234" s="96">
        <f t="shared" si="26"/>
        <v>1</v>
      </c>
      <c r="Y234" s="96">
        <f t="shared" si="26"/>
        <v>1</v>
      </c>
      <c r="Z234" s="96">
        <f t="shared" si="26"/>
        <v>1</v>
      </c>
      <c r="AA234" s="96">
        <f t="shared" si="26"/>
        <v>1</v>
      </c>
      <c r="AB234" s="96">
        <f t="shared" si="26"/>
        <v>1</v>
      </c>
      <c r="AC234" s="96">
        <f t="shared" si="26"/>
        <v>1</v>
      </c>
      <c r="AD234" s="96">
        <f t="shared" si="26"/>
        <v>1</v>
      </c>
      <c r="AE234" s="96">
        <f t="shared" si="26"/>
        <v>1</v>
      </c>
      <c r="AF234" s="96">
        <f t="shared" si="26"/>
        <v>1</v>
      </c>
      <c r="AG234" s="96">
        <f t="shared" si="26"/>
        <v>1</v>
      </c>
      <c r="AH234" s="96">
        <f t="shared" si="26"/>
        <v>1</v>
      </c>
    </row>
    <row r="235" spans="1:34" s="412" customFormat="1" x14ac:dyDescent="0.2">
      <c r="A235" s="18"/>
      <c r="B235" s="80" t="str">
        <f>B228</f>
        <v>EU railways</v>
      </c>
      <c r="C235" s="80"/>
      <c r="D235" s="80"/>
      <c r="E235" s="96">
        <f>IF(E132=1,'Assumptions - Passenger'!$E$22,0)</f>
        <v>1</v>
      </c>
      <c r="F235" s="96">
        <f>IF(F132=1,'Assumptions - Passenger'!$E$22,0)</f>
        <v>1</v>
      </c>
      <c r="G235" s="96">
        <f>IF(G132=1,'Assumptions - Passenger'!$E$22,0)</f>
        <v>1</v>
      </c>
      <c r="H235" s="96">
        <f>IF(H132=1,'Assumptions - Passenger'!$E$22,0)</f>
        <v>1</v>
      </c>
      <c r="I235" s="96">
        <f>IF(I132=1,'Assumptions - Passenger'!$E$22,0)</f>
        <v>1</v>
      </c>
      <c r="J235" s="96">
        <f>IF(J132=1,'Assumptions - Passenger'!$E$22," ")</f>
        <v>1</v>
      </c>
      <c r="K235" s="96">
        <f>IF(K132=1,'Assumptions - Passenger'!$E$22," ")</f>
        <v>1</v>
      </c>
      <c r="L235" s="96">
        <f>IF(L132=1,'Assumptions - Passenger'!$E$22," ")</f>
        <v>1</v>
      </c>
      <c r="M235" s="96">
        <f>IF(M132=1,'Assumptions - Passenger'!$E$22," ")</f>
        <v>1</v>
      </c>
      <c r="N235" s="96">
        <f>IF(N132=1,'Assumptions - Passenger'!$E$22," ")</f>
        <v>1</v>
      </c>
      <c r="O235" s="96">
        <f>IF(O132=1,'Assumptions - Passenger'!$E$22," ")</f>
        <v>1</v>
      </c>
      <c r="P235" s="96">
        <f>IF(P132=1,'Assumptions - Passenger'!$E$22," ")</f>
        <v>1</v>
      </c>
      <c r="Q235" s="96">
        <f>IF(Q132=1,'Assumptions - Passenger'!$E$22," ")</f>
        <v>1</v>
      </c>
      <c r="R235" s="96">
        <f>IF(R132=1,'Assumptions - Passenger'!$E$22," ")</f>
        <v>1</v>
      </c>
      <c r="S235" s="96">
        <f>IF(S132=1,'Assumptions - Passenger'!$E$22," ")</f>
        <v>1</v>
      </c>
      <c r="T235" s="96">
        <f>IF(T132=1,'Assumptions - Passenger'!$E$22," ")</f>
        <v>1</v>
      </c>
      <c r="U235" s="96">
        <f>IF(U132=1,'Assumptions - Passenger'!$E$22," ")</f>
        <v>1</v>
      </c>
      <c r="V235" s="96">
        <f>IF(V132=1,'Assumptions - Passenger'!$E$22," ")</f>
        <v>1</v>
      </c>
      <c r="W235" s="96">
        <f>IF(W132=1,'Assumptions - Passenger'!$E$22," ")</f>
        <v>1</v>
      </c>
      <c r="X235" s="96">
        <f>IF(X132=1,'Assumptions - Passenger'!$E$22," ")</f>
        <v>1</v>
      </c>
      <c r="Y235" s="96">
        <f>IF(Y132=1,'Assumptions - Passenger'!$E$22," ")</f>
        <v>1</v>
      </c>
      <c r="Z235" s="96">
        <f>IF(Z132=1,'Assumptions - Passenger'!$E$22," ")</f>
        <v>1</v>
      </c>
      <c r="AA235" s="96">
        <f>IF(AA132=1,'Assumptions - Passenger'!$E$22," ")</f>
        <v>1</v>
      </c>
      <c r="AB235" s="96">
        <f>IF(AB132=1,'Assumptions - Passenger'!$E$22," ")</f>
        <v>1</v>
      </c>
      <c r="AC235" s="96">
        <f>IF(AC132=1,'Assumptions - Passenger'!$E$22," ")</f>
        <v>1</v>
      </c>
      <c r="AD235" s="96">
        <f>IF(AD132=1,'Assumptions - Passenger'!$E$22," ")</f>
        <v>1</v>
      </c>
      <c r="AE235" s="96">
        <f>IF(AE132=1,'Assumptions - Passenger'!$E$22," ")</f>
        <v>1</v>
      </c>
      <c r="AF235" s="96">
        <f>IF(AF132=1,'Assumptions - Passenger'!$E$22," ")</f>
        <v>1</v>
      </c>
      <c r="AG235" s="96">
        <f>IF(AG132=1,'Assumptions - Passenger'!$E$22," ")</f>
        <v>1</v>
      </c>
      <c r="AH235" s="96">
        <f>IF(AH132=1,'Assumptions - Passenger'!$E$22," ")</f>
        <v>1</v>
      </c>
    </row>
    <row r="236" spans="1:34" s="412" customFormat="1" x14ac:dyDescent="0.2">
      <c r="A236" s="18"/>
      <c r="B236" s="80" t="s">
        <v>37</v>
      </c>
      <c r="C236" s="80"/>
      <c r="D236" s="80"/>
      <c r="E236" s="94">
        <f>IF(E132=1,'Assumptions - Passenger'!E254,0)</f>
        <v>15000</v>
      </c>
      <c r="F236" s="94">
        <f>IF(F132=1,'Assumptions - Passenger'!F254,0)</f>
        <v>15000</v>
      </c>
      <c r="G236" s="94">
        <f>IF(G132=1,'Assumptions - Passenger'!G254,0)</f>
        <v>15000</v>
      </c>
      <c r="H236" s="94">
        <f>IF(H132=1,'Assumptions - Passenger'!H254,0)</f>
        <v>15000</v>
      </c>
      <c r="I236" s="94">
        <f>IF(I132=1,'Assumptions - Passenger'!I254,0)</f>
        <v>15000</v>
      </c>
      <c r="J236" s="94">
        <f>IF(J132=1,'Assumptions - Passenger'!J254," ")</f>
        <v>15000</v>
      </c>
      <c r="K236" s="94">
        <f>IF(K132=1,'Assumptions - Passenger'!K254," ")</f>
        <v>15000</v>
      </c>
      <c r="L236" s="94">
        <f>IF(L132=1,'Assumptions - Passenger'!L254," ")</f>
        <v>15000</v>
      </c>
      <c r="M236" s="94">
        <f>IF(M132=1,'Assumptions - Passenger'!M254," ")</f>
        <v>15000</v>
      </c>
      <c r="N236" s="94">
        <f>IF(N132=1,'Assumptions - Passenger'!N254," ")</f>
        <v>15000</v>
      </c>
      <c r="O236" s="94">
        <f>IF(O132=1,'Assumptions - Passenger'!O254," ")</f>
        <v>15000</v>
      </c>
      <c r="P236" s="94">
        <f>IF(P132=1,'Assumptions - Passenger'!P254," ")</f>
        <v>15000</v>
      </c>
      <c r="Q236" s="94">
        <f>IF(Q132=1,'Assumptions - Passenger'!Q254," ")</f>
        <v>15000</v>
      </c>
      <c r="R236" s="94">
        <f>IF(R132=1,'Assumptions - Passenger'!R254," ")</f>
        <v>15000</v>
      </c>
      <c r="S236" s="94">
        <f>IF(S132=1,'Assumptions - Passenger'!S254," ")</f>
        <v>15000</v>
      </c>
      <c r="T236" s="94">
        <f>IF(T132=1,'Assumptions - Passenger'!T254," ")</f>
        <v>15000</v>
      </c>
      <c r="U236" s="94">
        <f>IF(U132=1,'Assumptions - Passenger'!U254," ")</f>
        <v>15000</v>
      </c>
      <c r="V236" s="94">
        <f>IF(V132=1,'Assumptions - Passenger'!V254," ")</f>
        <v>15000</v>
      </c>
      <c r="W236" s="94">
        <f>IF(W132=1,'Assumptions - Passenger'!W254," ")</f>
        <v>15000</v>
      </c>
      <c r="X236" s="94">
        <f>IF(X132=1,'Assumptions - Passenger'!X254," ")</f>
        <v>15000</v>
      </c>
      <c r="Y236" s="94">
        <f>IF(Y132=1,'Assumptions - Passenger'!Y254," ")</f>
        <v>15000</v>
      </c>
      <c r="Z236" s="94">
        <f>IF(Z132=1,'Assumptions - Passenger'!Z254," ")</f>
        <v>15000</v>
      </c>
      <c r="AA236" s="94">
        <f>IF(AA132=1,'Assumptions - Passenger'!AA254," ")</f>
        <v>15000</v>
      </c>
      <c r="AB236" s="94">
        <f>IF(AB132=1,'Assumptions - Passenger'!AB254," ")</f>
        <v>15000</v>
      </c>
      <c r="AC236" s="94">
        <f>IF(AC132=1,'Assumptions - Passenger'!AC254," ")</f>
        <v>15000</v>
      </c>
      <c r="AD236" s="94">
        <f>IF(AD132=1,'Assumptions - Passenger'!AD254," ")</f>
        <v>15000</v>
      </c>
      <c r="AE236" s="94">
        <f>IF(AE132=1,'Assumptions - Passenger'!AE254," ")</f>
        <v>15000</v>
      </c>
      <c r="AF236" s="94">
        <f>IF(AF132=1,'Assumptions - Passenger'!AF254," ")</f>
        <v>15000</v>
      </c>
      <c r="AG236" s="94">
        <f>IF(AG132=1,'Assumptions - Passenger'!AG254," ")</f>
        <v>15000</v>
      </c>
      <c r="AH236" s="94">
        <f>IF(AH132=1,'Assumptions - Passenger'!AH254," ")</f>
        <v>15000</v>
      </c>
    </row>
    <row r="237" spans="1:34" s="412" customFormat="1" x14ac:dyDescent="0.2">
      <c r="A237" s="18"/>
      <c r="B237" s="80" t="s">
        <v>179</v>
      </c>
      <c r="C237" s="80"/>
      <c r="D237" s="80"/>
      <c r="E237" s="94">
        <f>IF(E132=1,'Assumptions - Passenger'!E13,0)</f>
        <v>15000</v>
      </c>
      <c r="F237" s="94">
        <f>IF(F132=1,'Assumptions - Passenger'!F13,0)</f>
        <v>15000</v>
      </c>
      <c r="G237" s="94">
        <f>IF(G132=1,'Assumptions - Passenger'!G13,0)</f>
        <v>15000</v>
      </c>
      <c r="H237" s="94">
        <f>IF(H132=1,'Assumptions - Passenger'!H13,0)</f>
        <v>15000</v>
      </c>
      <c r="I237" s="94">
        <f>IF(I132=1,'Assumptions - Passenger'!I13,0)</f>
        <v>15000</v>
      </c>
      <c r="J237" s="94">
        <f>IF(J132=1,'Assumptions - Passenger'!J13," ")</f>
        <v>15000</v>
      </c>
      <c r="K237" s="94">
        <f>IF(K132=1,'Assumptions - Passenger'!K13," ")</f>
        <v>15000</v>
      </c>
      <c r="L237" s="94">
        <f>IF(L132=1,'Assumptions - Passenger'!L13," ")</f>
        <v>15000</v>
      </c>
      <c r="M237" s="94">
        <f>IF(M132=1,'Assumptions - Passenger'!M13," ")</f>
        <v>15000</v>
      </c>
      <c r="N237" s="94">
        <f>IF(N132=1,'Assumptions - Passenger'!N13," ")</f>
        <v>15000</v>
      </c>
      <c r="O237" s="94">
        <f>IF(O132=1,'Assumptions - Passenger'!O13," ")</f>
        <v>15000</v>
      </c>
      <c r="P237" s="94">
        <f>IF(P132=1,'Assumptions - Passenger'!P13," ")</f>
        <v>15000</v>
      </c>
      <c r="Q237" s="94">
        <f>IF(Q132=1,'Assumptions - Passenger'!Q13," ")</f>
        <v>15000</v>
      </c>
      <c r="R237" s="94">
        <f>IF(R132=1,'Assumptions - Passenger'!R13," ")</f>
        <v>15000</v>
      </c>
      <c r="S237" s="94">
        <f>IF(S132=1,'Assumptions - Passenger'!S13," ")</f>
        <v>15000</v>
      </c>
      <c r="T237" s="94">
        <f>IF(T132=1,'Assumptions - Passenger'!T13," ")</f>
        <v>15000</v>
      </c>
      <c r="U237" s="94">
        <f>IF(U132=1,'Assumptions - Passenger'!U13," ")</f>
        <v>15000</v>
      </c>
      <c r="V237" s="94">
        <f>IF(V132=1,'Assumptions - Passenger'!V13," ")</f>
        <v>15000</v>
      </c>
      <c r="W237" s="94">
        <f>IF(W132=1,'Assumptions - Passenger'!W13," ")</f>
        <v>15000</v>
      </c>
      <c r="X237" s="94">
        <f>IF(X132=1,'Assumptions - Passenger'!X13," ")</f>
        <v>15000</v>
      </c>
      <c r="Y237" s="94">
        <f>IF(Y132=1,'Assumptions - Passenger'!Y13," ")</f>
        <v>15000</v>
      </c>
      <c r="Z237" s="94">
        <f>IF(Z132=1,'Assumptions - Passenger'!Z13," ")</f>
        <v>15000</v>
      </c>
      <c r="AA237" s="94">
        <f>IF(AA132=1,'Assumptions - Passenger'!AA13," ")</f>
        <v>15000</v>
      </c>
      <c r="AB237" s="94">
        <f>IF(AB132=1,'Assumptions - Passenger'!AB13," ")</f>
        <v>15000</v>
      </c>
      <c r="AC237" s="94">
        <f>IF(AC132=1,'Assumptions - Passenger'!AC13," ")</f>
        <v>15000</v>
      </c>
      <c r="AD237" s="94">
        <f>IF(AD132=1,'Assumptions - Passenger'!AD13," ")</f>
        <v>15000</v>
      </c>
      <c r="AE237" s="94">
        <f>IF(AE132=1,'Assumptions - Passenger'!AE13," ")</f>
        <v>15000</v>
      </c>
      <c r="AF237" s="94">
        <f>IF(AF132=1,'Assumptions - Passenger'!AF13," ")</f>
        <v>15000</v>
      </c>
      <c r="AG237" s="94">
        <f>IF(AG132=1,'Assumptions - Passenger'!AG13," ")</f>
        <v>15000</v>
      </c>
      <c r="AH237" s="94">
        <f>IF(AH132=1,'Assumptions - Passenger'!AH13," ")</f>
        <v>15000</v>
      </c>
    </row>
    <row r="238" spans="1:34" s="412" customFormat="1" x14ac:dyDescent="0.2">
      <c r="A238" s="18"/>
      <c r="B238" s="80"/>
      <c r="C238" s="80"/>
      <c r="D238" s="80"/>
      <c r="E238" s="80"/>
      <c r="F238" s="80"/>
      <c r="G238" s="80"/>
      <c r="H238" s="80"/>
      <c r="I238" s="80"/>
      <c r="J238" s="80"/>
      <c r="K238" s="80"/>
      <c r="L238" s="80"/>
      <c r="M238" s="80"/>
      <c r="N238" s="80"/>
      <c r="O238" s="80"/>
      <c r="P238" s="80"/>
      <c r="Q238" s="80"/>
      <c r="R238" s="80"/>
      <c r="S238" s="80"/>
      <c r="T238" s="80"/>
      <c r="U238" s="80"/>
      <c r="V238" s="80"/>
      <c r="W238" s="80"/>
      <c r="X238" s="80"/>
      <c r="Y238" s="80"/>
      <c r="Z238" s="80"/>
      <c r="AA238" s="80"/>
      <c r="AB238" s="80"/>
      <c r="AC238" s="80"/>
      <c r="AD238" s="80"/>
      <c r="AE238" s="80"/>
      <c r="AF238" s="80"/>
      <c r="AG238" s="80"/>
      <c r="AH238" s="80"/>
    </row>
    <row r="239" spans="1:34" s="412" customFormat="1" x14ac:dyDescent="0.2">
      <c r="A239" s="18"/>
      <c r="B239" s="90" t="s">
        <v>197</v>
      </c>
      <c r="C239" s="80"/>
      <c r="D239" s="80"/>
      <c r="E239" s="80" t="s">
        <v>305</v>
      </c>
      <c r="F239" s="80" t="s">
        <v>326</v>
      </c>
      <c r="G239" s="80"/>
      <c r="H239" s="80"/>
      <c r="I239" s="80"/>
      <c r="J239" s="80"/>
      <c r="K239" s="80"/>
      <c r="L239" s="80"/>
      <c r="M239" s="80"/>
      <c r="N239" s="80"/>
      <c r="O239" s="80"/>
      <c r="P239" s="80"/>
      <c r="Q239" s="80"/>
      <c r="R239" s="80"/>
      <c r="S239" s="80"/>
      <c r="T239" s="80"/>
      <c r="U239" s="80"/>
      <c r="V239" s="80"/>
      <c r="W239" s="80"/>
      <c r="X239" s="80"/>
      <c r="Y239" s="80"/>
      <c r="Z239" s="80"/>
      <c r="AA239" s="80"/>
      <c r="AB239" s="80"/>
      <c r="AC239" s="80"/>
      <c r="AD239" s="80"/>
      <c r="AE239" s="80"/>
      <c r="AF239" s="80"/>
      <c r="AG239" s="80"/>
      <c r="AH239" s="80"/>
    </row>
    <row r="240" spans="1:34" s="412" customFormat="1" x14ac:dyDescent="0.2">
      <c r="A240" s="18"/>
      <c r="B240" s="80"/>
      <c r="C240" s="80"/>
      <c r="D240" s="80"/>
      <c r="E240" s="93">
        <f>YEAR('Charts - Freight'!E$131)</f>
        <v>2010</v>
      </c>
      <c r="F240" s="93">
        <f>YEAR('Charts - Freight'!F$131)</f>
        <v>2011</v>
      </c>
      <c r="G240" s="93">
        <f>YEAR('Charts - Freight'!G$131)</f>
        <v>2012</v>
      </c>
      <c r="H240" s="93">
        <f>YEAR('Charts - Freight'!H$131)</f>
        <v>2013</v>
      </c>
      <c r="I240" s="93">
        <f>YEAR('Charts - Freight'!I$131)</f>
        <v>2014</v>
      </c>
      <c r="J240" s="93">
        <f>YEAR('Charts - Freight'!J$131)</f>
        <v>2015</v>
      </c>
      <c r="K240" s="93">
        <f>YEAR('Charts - Freight'!K$131)</f>
        <v>2016</v>
      </c>
      <c r="L240" s="93">
        <f>YEAR('Charts - Freight'!L$131)</f>
        <v>2017</v>
      </c>
      <c r="M240" s="93">
        <f>YEAR('Charts - Freight'!M$131)</f>
        <v>2018</v>
      </c>
      <c r="N240" s="93">
        <f>YEAR('Charts - Freight'!N$131)</f>
        <v>2019</v>
      </c>
      <c r="O240" s="93">
        <f>YEAR('Charts - Freight'!O$131)</f>
        <v>2020</v>
      </c>
      <c r="P240" s="93">
        <f>YEAR('Charts - Freight'!P$131)</f>
        <v>2021</v>
      </c>
      <c r="Q240" s="93">
        <f>YEAR('Charts - Freight'!Q$131)</f>
        <v>2022</v>
      </c>
      <c r="R240" s="93">
        <f>YEAR('Charts - Freight'!R$131)</f>
        <v>2023</v>
      </c>
      <c r="S240" s="93">
        <f>YEAR('Charts - Freight'!S$131)</f>
        <v>2024</v>
      </c>
      <c r="T240" s="93">
        <f>YEAR('Charts - Freight'!T$131)</f>
        <v>2025</v>
      </c>
      <c r="U240" s="93">
        <f>YEAR('Charts - Freight'!U$131)</f>
        <v>2026</v>
      </c>
      <c r="V240" s="93">
        <f>YEAR('Charts - Freight'!V$131)</f>
        <v>2027</v>
      </c>
      <c r="W240" s="93">
        <f>YEAR('Charts - Freight'!W$131)</f>
        <v>2028</v>
      </c>
      <c r="X240" s="93">
        <f>YEAR('Charts - Freight'!X$131)</f>
        <v>2029</v>
      </c>
      <c r="Y240" s="93">
        <f>YEAR('Charts - Freight'!Y$131)</f>
        <v>2030</v>
      </c>
      <c r="Z240" s="93">
        <f>YEAR('Charts - Freight'!Z$131)</f>
        <v>2031</v>
      </c>
      <c r="AA240" s="93">
        <f>YEAR('Charts - Freight'!AA$131)</f>
        <v>2032</v>
      </c>
      <c r="AB240" s="93">
        <f>YEAR('Charts - Freight'!AB$131)</f>
        <v>2033</v>
      </c>
      <c r="AC240" s="93">
        <f>YEAR('Charts - Freight'!AC$131)</f>
        <v>2034</v>
      </c>
      <c r="AD240" s="93">
        <f>YEAR('Charts - Freight'!AD$131)</f>
        <v>2035</v>
      </c>
      <c r="AE240" s="93">
        <f>YEAR('Charts - Freight'!AE$131)</f>
        <v>2036</v>
      </c>
      <c r="AF240" s="93">
        <f>YEAR('Charts - Freight'!AF$131)</f>
        <v>2037</v>
      </c>
      <c r="AG240" s="93">
        <f>YEAR('Charts - Freight'!AG$131)</f>
        <v>2038</v>
      </c>
      <c r="AH240" s="93">
        <f>YEAR('Charts - Freight'!AH$131)</f>
        <v>2039</v>
      </c>
    </row>
    <row r="241" spans="1:34" s="412" customFormat="1" x14ac:dyDescent="0.2">
      <c r="A241" s="18"/>
      <c r="B241" s="80" t="s">
        <v>198</v>
      </c>
      <c r="C241" s="80"/>
      <c r="D241" s="80"/>
      <c r="E241" s="100">
        <f>IF(E132=1,SUM(E160:E162)/E237,0)</f>
        <v>1.6</v>
      </c>
      <c r="F241" s="100">
        <f t="shared" ref="F241:I241" si="27">IF(F132=1,SUM(F160:F162)/F237,0)</f>
        <v>1.7</v>
      </c>
      <c r="G241" s="100">
        <f t="shared" si="27"/>
        <v>1.7</v>
      </c>
      <c r="H241" s="100">
        <f t="shared" si="27"/>
        <v>1.8</v>
      </c>
      <c r="I241" s="100">
        <f t="shared" si="27"/>
        <v>2</v>
      </c>
      <c r="J241" s="100">
        <f t="shared" ref="J241:AH241" si="28">IF(J132=1,SUM(J160:J162)/J237," ")</f>
        <v>2.1</v>
      </c>
      <c r="K241" s="100">
        <f t="shared" si="28"/>
        <v>2.2000000000000002</v>
      </c>
      <c r="L241" s="100">
        <f t="shared" si="28"/>
        <v>2.2999999999999998</v>
      </c>
      <c r="M241" s="100">
        <f t="shared" si="28"/>
        <v>2.4</v>
      </c>
      <c r="N241" s="100">
        <f t="shared" si="28"/>
        <v>2.5</v>
      </c>
      <c r="O241" s="100">
        <f t="shared" si="28"/>
        <v>2.6</v>
      </c>
      <c r="P241" s="100">
        <f t="shared" si="28"/>
        <v>2.7</v>
      </c>
      <c r="Q241" s="100">
        <f t="shared" si="28"/>
        <v>2.8</v>
      </c>
      <c r="R241" s="100">
        <f t="shared" si="28"/>
        <v>2.9</v>
      </c>
      <c r="S241" s="100">
        <f t="shared" si="28"/>
        <v>3</v>
      </c>
      <c r="T241" s="100">
        <f t="shared" si="28"/>
        <v>3.1</v>
      </c>
      <c r="U241" s="100">
        <f t="shared" si="28"/>
        <v>3.2</v>
      </c>
      <c r="V241" s="100">
        <f t="shared" si="28"/>
        <v>3.3</v>
      </c>
      <c r="W241" s="100">
        <f t="shared" si="28"/>
        <v>3.4</v>
      </c>
      <c r="X241" s="100">
        <f t="shared" si="28"/>
        <v>3.5</v>
      </c>
      <c r="Y241" s="100">
        <f t="shared" si="28"/>
        <v>3.6</v>
      </c>
      <c r="Z241" s="100">
        <f t="shared" si="28"/>
        <v>3.7</v>
      </c>
      <c r="AA241" s="100">
        <f t="shared" si="28"/>
        <v>3.8</v>
      </c>
      <c r="AB241" s="100">
        <f t="shared" si="28"/>
        <v>3.9</v>
      </c>
      <c r="AC241" s="100">
        <f t="shared" si="28"/>
        <v>4</v>
      </c>
      <c r="AD241" s="100">
        <f t="shared" si="28"/>
        <v>4.0999999999999996</v>
      </c>
      <c r="AE241" s="100">
        <f t="shared" si="28"/>
        <v>4.2</v>
      </c>
      <c r="AF241" s="100">
        <f t="shared" si="28"/>
        <v>4.3</v>
      </c>
      <c r="AG241" s="100">
        <f t="shared" si="28"/>
        <v>4.4000000000000004</v>
      </c>
      <c r="AH241" s="100">
        <f t="shared" si="28"/>
        <v>4.5</v>
      </c>
    </row>
    <row r="242" spans="1:34" s="412" customFormat="1" x14ac:dyDescent="0.2">
      <c r="A242" s="18"/>
      <c r="B242" s="80" t="str">
        <f>B235</f>
        <v>EU railways</v>
      </c>
      <c r="C242" s="80"/>
      <c r="D242" s="80"/>
      <c r="E242" s="96">
        <f>IF(E132=1,'Assumptions - Passenger'!$E$21,0)</f>
        <v>1</v>
      </c>
      <c r="F242" s="96">
        <f>IF(F132=1,'Assumptions - Passenger'!$E$21,0)</f>
        <v>1</v>
      </c>
      <c r="G242" s="96">
        <f>IF(G132=1,'Assumptions - Passenger'!$E$21,0)</f>
        <v>1</v>
      </c>
      <c r="H242" s="96">
        <f>IF(H132=1,'Assumptions - Passenger'!$E$21,0)</f>
        <v>1</v>
      </c>
      <c r="I242" s="96">
        <f>IF(I132=1,'Assumptions - Passenger'!$E$21,0)</f>
        <v>1</v>
      </c>
      <c r="J242" s="96">
        <f>IF(J132=1,'Assumptions - Passenger'!$E$21," ")</f>
        <v>1</v>
      </c>
      <c r="K242" s="96">
        <f>IF(K132=1,'Assumptions - Passenger'!$E$21," ")</f>
        <v>1</v>
      </c>
      <c r="L242" s="96">
        <f>IF(L132=1,'Assumptions - Passenger'!$E$21," ")</f>
        <v>1</v>
      </c>
      <c r="M242" s="96">
        <f>IF(M132=1,'Assumptions - Passenger'!$E$21," ")</f>
        <v>1</v>
      </c>
      <c r="N242" s="96">
        <f>IF(N132=1,'Assumptions - Passenger'!$E$21," ")</f>
        <v>1</v>
      </c>
      <c r="O242" s="96">
        <f>IF(O132=1,'Assumptions - Passenger'!$E$21," ")</f>
        <v>1</v>
      </c>
      <c r="P242" s="96">
        <f>IF(P132=1,'Assumptions - Passenger'!$E$21," ")</f>
        <v>1</v>
      </c>
      <c r="Q242" s="96">
        <f>IF(Q132=1,'Assumptions - Passenger'!$E$21," ")</f>
        <v>1</v>
      </c>
      <c r="R242" s="96">
        <f>IF(R132=1,'Assumptions - Passenger'!$E$21," ")</f>
        <v>1</v>
      </c>
      <c r="S242" s="96">
        <f>IF(S132=1,'Assumptions - Passenger'!$E$21," ")</f>
        <v>1</v>
      </c>
      <c r="T242" s="96">
        <f>IF(T132=1,'Assumptions - Passenger'!$E$21," ")</f>
        <v>1</v>
      </c>
      <c r="U242" s="96">
        <f>IF(U132=1,'Assumptions - Passenger'!$E$21," ")</f>
        <v>1</v>
      </c>
      <c r="V242" s="96">
        <f>IF(V132=1,'Assumptions - Passenger'!$E$21," ")</f>
        <v>1</v>
      </c>
      <c r="W242" s="96">
        <f>IF(W132=1,'Assumptions - Passenger'!$E$21," ")</f>
        <v>1</v>
      </c>
      <c r="X242" s="96">
        <f>IF(X132=1,'Assumptions - Passenger'!$E$21," ")</f>
        <v>1</v>
      </c>
      <c r="Y242" s="96">
        <f>IF(Y132=1,'Assumptions - Passenger'!$E$21," ")</f>
        <v>1</v>
      </c>
      <c r="Z242" s="96">
        <f>IF(Z132=1,'Assumptions - Passenger'!$E$21," ")</f>
        <v>1</v>
      </c>
      <c r="AA242" s="96">
        <f>IF(AA132=1,'Assumptions - Passenger'!$E$21," ")</f>
        <v>1</v>
      </c>
      <c r="AB242" s="96">
        <f>IF(AB132=1,'Assumptions - Passenger'!$E$21," ")</f>
        <v>1</v>
      </c>
      <c r="AC242" s="96">
        <f>IF(AC132=1,'Assumptions - Passenger'!$E$21," ")</f>
        <v>1</v>
      </c>
      <c r="AD242" s="96">
        <f>IF(AD132=1,'Assumptions - Passenger'!$E$21," ")</f>
        <v>1</v>
      </c>
      <c r="AE242" s="96">
        <f>IF(AE132=1,'Assumptions - Passenger'!$E$21," ")</f>
        <v>1</v>
      </c>
      <c r="AF242" s="96">
        <f>IF(AF132=1,'Assumptions - Passenger'!$E$21," ")</f>
        <v>1</v>
      </c>
      <c r="AG242" s="96">
        <f>IF(AG132=1,'Assumptions - Passenger'!$E$21," ")</f>
        <v>1</v>
      </c>
      <c r="AH242" s="96">
        <f>IF(AH132=1,'Assumptions - Passenger'!$E$21," ")</f>
        <v>1</v>
      </c>
    </row>
    <row r="243" spans="1:34" s="18" customFormat="1" x14ac:dyDescent="0.2">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row>
    <row r="359" spans="1:42" s="18" customFormat="1" x14ac:dyDescent="0.2">
      <c r="A359" s="277"/>
      <c r="B359" s="22"/>
      <c r="C359" s="22"/>
      <c r="D359" s="22"/>
      <c r="E359" s="22"/>
      <c r="F359" s="22"/>
      <c r="G359" s="22"/>
      <c r="H359" s="24"/>
      <c r="I359" s="24"/>
      <c r="J359" s="24"/>
      <c r="K359" s="24"/>
      <c r="L359" s="24"/>
      <c r="M359" s="24"/>
      <c r="N359" s="24"/>
      <c r="O359" s="24"/>
      <c r="P359" s="277"/>
      <c r="Q359" s="277"/>
      <c r="R359" s="277"/>
      <c r="S359" s="277"/>
      <c r="T359" s="277"/>
      <c r="U359" s="277"/>
      <c r="V359" s="277"/>
      <c r="W359" s="277"/>
      <c r="X359" s="277"/>
      <c r="Y359" s="277"/>
      <c r="Z359" s="277"/>
      <c r="AA359" s="277"/>
      <c r="AB359" s="277"/>
      <c r="AC359" s="277"/>
      <c r="AD359" s="277"/>
      <c r="AE359" s="277"/>
      <c r="AF359" s="277"/>
      <c r="AG359" s="277"/>
      <c r="AH359" s="277"/>
      <c r="AI359" s="277"/>
      <c r="AJ359" s="277"/>
      <c r="AK359" s="277"/>
      <c r="AL359" s="277"/>
      <c r="AM359" s="277"/>
      <c r="AN359" s="277"/>
      <c r="AO359" s="277"/>
      <c r="AP359" s="277"/>
    </row>
    <row r="360" spans="1:42" s="18" customFormat="1" x14ac:dyDescent="0.2">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AI352"/>
  <sheetViews>
    <sheetView zoomScale="75" zoomScaleNormal="75" workbookViewId="0">
      <selection activeCell="AJ1" sqref="AJ1:XFD1048576"/>
    </sheetView>
  </sheetViews>
  <sheetFormatPr baseColWidth="10" defaultColWidth="0" defaultRowHeight="15" x14ac:dyDescent="0.2"/>
  <cols>
    <col min="1" max="1" width="9.1640625" style="278" customWidth="1"/>
    <col min="2" max="6" width="9.1640625" style="22" customWidth="1"/>
    <col min="7" max="7" width="10.83203125" style="22" bestFit="1" customWidth="1"/>
    <col min="8" max="8" width="9.1640625" style="22" customWidth="1"/>
    <col min="9" max="9" width="12" style="22" bestFit="1" customWidth="1"/>
    <col min="10" max="35" width="9.1640625" style="22" customWidth="1"/>
    <col min="36" max="16384" width="9.1640625" style="22" hidden="1"/>
  </cols>
  <sheetData>
    <row r="1" spans="1:34" s="18" customFormat="1" x14ac:dyDescent="0.2">
      <c r="A1" s="316"/>
      <c r="B1" s="315" t="s">
        <v>180</v>
      </c>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row>
    <row r="2" spans="1:34" s="18" customFormat="1" x14ac:dyDescent="0.2">
      <c r="A2" s="316"/>
      <c r="B2" s="317" t="str">
        <f>'Assumptions - General'!$E$26</f>
        <v>Ruritania Railway Infrastructure Company</v>
      </c>
      <c r="C2" s="316"/>
      <c r="D2" s="316"/>
      <c r="E2" s="316"/>
      <c r="F2" s="316"/>
      <c r="G2" s="316"/>
      <c r="H2" s="316"/>
      <c r="I2" s="316"/>
      <c r="J2" s="316"/>
      <c r="K2" s="316"/>
      <c r="L2" s="316"/>
      <c r="M2" s="316"/>
      <c r="N2" s="316"/>
      <c r="O2" s="316"/>
      <c r="P2" s="316"/>
      <c r="Q2" s="316"/>
      <c r="R2" s="316"/>
      <c r="S2" s="316"/>
      <c r="T2" s="316"/>
      <c r="U2" s="316"/>
      <c r="V2" s="316"/>
      <c r="W2" s="316"/>
      <c r="X2" s="316"/>
      <c r="Y2" s="316"/>
      <c r="Z2" s="316"/>
      <c r="AA2" s="316"/>
      <c r="AB2" s="316"/>
      <c r="AC2" s="316"/>
      <c r="AD2" s="316"/>
      <c r="AE2" s="316"/>
      <c r="AF2" s="316"/>
      <c r="AG2" s="316"/>
      <c r="AH2" s="316"/>
    </row>
    <row r="3" spans="1:34" s="18" customFormat="1" x14ac:dyDescent="0.2">
      <c r="A3" s="316"/>
      <c r="B3" s="317" t="str">
        <f>"All units in "  &amp;'Assumptions - General'!$E$27&amp;  " millions unless otherwise stated"</f>
        <v>All units in R$ millions unless otherwise stated</v>
      </c>
      <c r="C3" s="318"/>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row>
    <row r="4" spans="1:34" s="18" customFormat="1" x14ac:dyDescent="0.2">
      <c r="B4" s="77"/>
      <c r="C4" s="78"/>
    </row>
    <row r="5" spans="1:34" s="18" customFormat="1" x14ac:dyDescent="0.2">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row>
    <row r="6" spans="1:34" s="18" customFormat="1" x14ac:dyDescent="0.2">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row>
    <row r="7" spans="1:34" s="18" customFormat="1" x14ac:dyDescent="0.2">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row>
    <row r="8" spans="1:34" s="18" customFormat="1" x14ac:dyDescent="0.2">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row>
    <row r="9" spans="1:34" s="18" customFormat="1" x14ac:dyDescent="0.2">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row>
    <row r="10" spans="1:34" s="18" customFormat="1" x14ac:dyDescent="0.2">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row>
    <row r="11" spans="1:34" s="18" customFormat="1" x14ac:dyDescent="0.2">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row>
    <row r="12" spans="1:34" s="18" customFormat="1" x14ac:dyDescent="0.2">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row>
    <row r="13" spans="1:34" s="18" customFormat="1" x14ac:dyDescent="0.2">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row>
    <row r="14" spans="1:34" s="18" customFormat="1" x14ac:dyDescent="0.2">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row>
    <row r="15" spans="1:34" s="18" customFormat="1" x14ac:dyDescent="0.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row>
    <row r="16" spans="1:34" s="18" customFormat="1" x14ac:dyDescent="0.2">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row>
    <row r="17" spans="2:34" s="18" customFormat="1" x14ac:dyDescent="0.2">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row>
    <row r="18" spans="2:34" s="18" customFormat="1" x14ac:dyDescent="0.2">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row>
    <row r="19" spans="2:34" s="18" customFormat="1" x14ac:dyDescent="0.2">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row>
    <row r="20" spans="2:34" s="18" customFormat="1" ht="16" thickBot="1" x14ac:dyDescent="0.25">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row>
    <row r="21" spans="2:34" s="18" customFormat="1" ht="16" thickBot="1" x14ac:dyDescent="0.25">
      <c r="B21" s="1"/>
      <c r="C21" s="1"/>
      <c r="D21" s="1"/>
      <c r="E21" s="1"/>
      <c r="F21" s="1"/>
      <c r="G21" s="1"/>
      <c r="H21" s="130" t="s">
        <v>297</v>
      </c>
      <c r="I21" s="129">
        <f>SUM(E147:AH147)</f>
        <v>1.9469174057293204E-2</v>
      </c>
      <c r="J21" s="1"/>
      <c r="K21" s="1"/>
      <c r="L21" s="1"/>
      <c r="M21" s="1"/>
      <c r="N21" s="1"/>
      <c r="O21" s="1"/>
      <c r="P21" s="1"/>
      <c r="Q21" s="1"/>
      <c r="R21" s="1"/>
      <c r="S21" s="1"/>
      <c r="T21" s="1"/>
      <c r="U21" s="1"/>
      <c r="V21" s="1"/>
      <c r="W21" s="1"/>
      <c r="X21" s="1"/>
      <c r="Y21" s="1"/>
      <c r="Z21" s="1"/>
      <c r="AA21" s="1"/>
      <c r="AB21" s="1"/>
      <c r="AC21" s="1"/>
      <c r="AD21" s="1"/>
      <c r="AE21" s="1"/>
      <c r="AF21" s="1"/>
      <c r="AG21" s="1"/>
      <c r="AH21" s="1"/>
    </row>
    <row r="22" spans="2:34" s="18" customFormat="1" x14ac:dyDescent="0.2">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row r="23" spans="2:34" s="18" customFormat="1" x14ac:dyDescent="0.2">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row>
    <row r="24" spans="2:34" s="18" customFormat="1" x14ac:dyDescent="0.2">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row>
    <row r="25" spans="2:34" s="18" customFormat="1" x14ac:dyDescent="0.2">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2:34" s="18" customFormat="1" x14ac:dyDescent="0.2">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row>
    <row r="27" spans="2:34" s="18" customFormat="1" x14ac:dyDescent="0.2">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row>
    <row r="28" spans="2:34" s="18" customFormat="1" x14ac:dyDescent="0.2">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row>
    <row r="29" spans="2:34" s="18" customFormat="1" x14ac:dyDescent="0.2">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row>
    <row r="30" spans="2:34" s="18" customFormat="1" x14ac:dyDescent="0.2">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row>
    <row r="31" spans="2:34" s="18" customFormat="1" x14ac:dyDescent="0.2">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row>
    <row r="32" spans="2:34" s="18" customFormat="1" x14ac:dyDescent="0.2">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row>
    <row r="33" spans="2:34" s="18" customFormat="1" x14ac:dyDescent="0.2">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row>
    <row r="34" spans="2:34" s="18" customFormat="1" x14ac:dyDescent="0.2">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row>
    <row r="35" spans="2:34" s="18" customFormat="1" x14ac:dyDescent="0.2">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row>
    <row r="36" spans="2:34" s="18" customFormat="1" ht="16" thickBot="1" x14ac:dyDescent="0.25">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row>
    <row r="37" spans="2:34" s="18" customFormat="1" ht="16" thickBot="1" x14ac:dyDescent="0.25">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30" t="s">
        <v>297</v>
      </c>
      <c r="AD37" s="129">
        <f>SUM(E155:AH155)</f>
        <v>3.6301076626834794E-2</v>
      </c>
      <c r="AE37" s="1"/>
      <c r="AF37" s="1"/>
      <c r="AG37" s="1"/>
      <c r="AH37" s="1"/>
    </row>
    <row r="38" spans="2:34" s="18" customFormat="1" x14ac:dyDescent="0.2">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row>
    <row r="39" spans="2:34" s="18" customFormat="1" x14ac:dyDescent="0.2">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row>
    <row r="40" spans="2:34" s="18" customFormat="1" x14ac:dyDescent="0.2">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row>
    <row r="41" spans="2:34" s="18" customFormat="1" x14ac:dyDescent="0.2">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row>
    <row r="42" spans="2:34" s="18" customFormat="1" x14ac:dyDescent="0.2">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row>
    <row r="43" spans="2:34" s="18" customFormat="1" x14ac:dyDescent="0.2">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row>
    <row r="44" spans="2:34" s="18" customFormat="1" x14ac:dyDescent="0.2">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row>
    <row r="45" spans="2:34" s="18" customFormat="1" x14ac:dyDescent="0.2">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row>
    <row r="46" spans="2:34" s="18" customFormat="1" x14ac:dyDescent="0.2">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row>
    <row r="47" spans="2:34" s="18" customFormat="1" x14ac:dyDescent="0.2">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row>
    <row r="48" spans="2:34" s="18" customFormat="1" x14ac:dyDescent="0.2">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row>
    <row r="49" spans="2:34" s="18" customFormat="1" x14ac:dyDescent="0.2">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row>
    <row r="50" spans="2:34" s="18" customFormat="1" x14ac:dyDescent="0.2">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row>
    <row r="51" spans="2:34" s="18" customFormat="1" x14ac:dyDescent="0.2">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row>
    <row r="52" spans="2:34" s="18" customFormat="1" x14ac:dyDescent="0.2">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row>
    <row r="53" spans="2:34" s="18" customFormat="1" x14ac:dyDescent="0.2">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row>
    <row r="54" spans="2:34" s="18" customFormat="1" x14ac:dyDescent="0.2">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row>
    <row r="55" spans="2:34" s="18" customFormat="1" x14ac:dyDescent="0.2">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row>
    <row r="56" spans="2:34" s="18" customFormat="1" x14ac:dyDescent="0.2">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row>
    <row r="57" spans="2:34" s="18" customFormat="1" x14ac:dyDescent="0.2">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row>
    <row r="58" spans="2:34" s="18" customFormat="1" x14ac:dyDescent="0.2">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row>
    <row r="59" spans="2:34" s="18" customFormat="1" x14ac:dyDescent="0.2">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row>
    <row r="60" spans="2:34" s="18" customFormat="1" x14ac:dyDescent="0.2">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row>
    <row r="61" spans="2:34" s="18" customFormat="1" x14ac:dyDescent="0.2">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row>
    <row r="62" spans="2:34" s="18" customFormat="1" x14ac:dyDescent="0.2">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row>
    <row r="63" spans="2:34" s="18" customFormat="1" x14ac:dyDescent="0.2">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row>
    <row r="64" spans="2:34" s="18" customFormat="1" x14ac:dyDescent="0.2">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row>
    <row r="65" spans="2:34" s="18" customFormat="1" x14ac:dyDescent="0.2">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row>
    <row r="66" spans="2:34" s="18" customFormat="1" x14ac:dyDescent="0.2">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row>
    <row r="67" spans="2:34" s="18" customFormat="1" x14ac:dyDescent="0.2">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row>
    <row r="68" spans="2:34" s="18" customFormat="1" x14ac:dyDescent="0.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row>
    <row r="69" spans="2:34" s="18" customFormat="1" x14ac:dyDescent="0.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row>
    <row r="70" spans="2:34" s="18" customFormat="1" x14ac:dyDescent="0.2">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row>
    <row r="71" spans="2:34" s="18" customFormat="1" x14ac:dyDescent="0.2">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row>
    <row r="72" spans="2:34" s="18" customFormat="1" x14ac:dyDescent="0.2">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row>
    <row r="73" spans="2:34" s="18" customFormat="1" x14ac:dyDescent="0.2">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row>
    <row r="74" spans="2:34" s="18" customFormat="1" x14ac:dyDescent="0.2">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row>
    <row r="75" spans="2:34" s="18" customFormat="1" x14ac:dyDescent="0.2">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row>
    <row r="76" spans="2:34" s="18" customFormat="1" x14ac:dyDescent="0.2">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row>
    <row r="77" spans="2:34" s="18" customFormat="1" x14ac:dyDescent="0.2">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row>
    <row r="78" spans="2:34" s="18" customFormat="1" x14ac:dyDescent="0.2">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row>
    <row r="79" spans="2:34" s="18" customFormat="1" x14ac:dyDescent="0.2">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row>
    <row r="80" spans="2:34" s="18" customFormat="1" x14ac:dyDescent="0.2">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row>
    <row r="81" spans="2:34" s="18" customFormat="1" x14ac:dyDescent="0.2">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row>
    <row r="82" spans="2:34" s="18" customFormat="1" x14ac:dyDescent="0.2">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row>
    <row r="83" spans="2:34" s="18" customFormat="1" x14ac:dyDescent="0.2">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row>
    <row r="84" spans="2:34" s="18" customFormat="1" x14ac:dyDescent="0.2">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row>
    <row r="85" spans="2:34" s="18" customFormat="1" x14ac:dyDescent="0.2">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row>
    <row r="86" spans="2:34" s="18" customFormat="1" x14ac:dyDescent="0.2">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row>
    <row r="87" spans="2:34" s="18" customFormat="1" x14ac:dyDescent="0.2">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row>
    <row r="88" spans="2:34" s="18" customFormat="1" x14ac:dyDescent="0.2">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row>
    <row r="89" spans="2:34" s="18" customFormat="1" x14ac:dyDescent="0.2">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row>
    <row r="90" spans="2:34" s="18" customFormat="1" x14ac:dyDescent="0.2">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row>
    <row r="91" spans="2:34" s="18" customFormat="1" x14ac:dyDescent="0.2">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row>
    <row r="92" spans="2:34" s="18" customFormat="1" x14ac:dyDescent="0.2">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row>
    <row r="93" spans="2:34" s="18" customFormat="1" x14ac:dyDescent="0.2">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row>
    <row r="94" spans="2:34" s="18" customFormat="1" x14ac:dyDescent="0.2">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row>
    <row r="95" spans="2:34" s="18" customFormat="1" x14ac:dyDescent="0.2">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row>
    <row r="96" spans="2:34" s="18" customFormat="1" x14ac:dyDescent="0.2">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row>
    <row r="97" spans="2:34" s="18" customFormat="1" x14ac:dyDescent="0.2">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row>
    <row r="98" spans="2:34" s="18" customFormat="1" x14ac:dyDescent="0.2">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row>
    <row r="99" spans="2:34" s="18" customFormat="1" x14ac:dyDescent="0.2">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row>
    <row r="100" spans="2:34" s="18" customFormat="1" x14ac:dyDescent="0.2">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row>
    <row r="101" spans="2:34" s="18" customFormat="1" x14ac:dyDescent="0.2">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row>
    <row r="102" spans="2:34" s="18" customFormat="1" x14ac:dyDescent="0.2">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row>
    <row r="103" spans="2:34" s="18" customFormat="1" x14ac:dyDescent="0.2">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row>
    <row r="104" spans="2:34" s="18" customFormat="1" x14ac:dyDescent="0.2">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row>
    <row r="105" spans="2:34" s="18" customFormat="1" x14ac:dyDescent="0.2">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row>
    <row r="106" spans="2:34" s="18" customFormat="1" x14ac:dyDescent="0.2">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row>
    <row r="107" spans="2:34" s="18" customFormat="1" x14ac:dyDescent="0.2">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row>
    <row r="108" spans="2:34" s="18" customFormat="1" x14ac:dyDescent="0.2">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row>
    <row r="109" spans="2:34" s="18" customFormat="1" x14ac:dyDescent="0.2">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row>
    <row r="110" spans="2:34" s="18" customFormat="1" x14ac:dyDescent="0.2">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row>
    <row r="111" spans="2:34" s="18" customFormat="1" x14ac:dyDescent="0.2">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row>
    <row r="112" spans="2:34" s="18" customFormat="1" x14ac:dyDescent="0.2">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row>
    <row r="113" spans="1:34" s="18" customFormat="1" x14ac:dyDescent="0.2">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row>
    <row r="114" spans="1:34" s="18" customFormat="1" x14ac:dyDescent="0.2">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row>
    <row r="115" spans="1:34" s="18" customFormat="1" x14ac:dyDescent="0.2">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row>
    <row r="116" spans="1:34" s="18" customFormat="1" x14ac:dyDescent="0.2">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row>
    <row r="117" spans="1:34" s="18" customFormat="1" x14ac:dyDescent="0.2">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row>
    <row r="118" spans="1:34" s="18" customFormat="1" x14ac:dyDescent="0.2">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row>
    <row r="119" spans="1:34" s="18" customFormat="1" x14ac:dyDescent="0.2">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row>
    <row r="120" spans="1:34" s="18" customFormat="1" x14ac:dyDescent="0.2">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row>
    <row r="121" spans="1:34" s="18" customFormat="1" x14ac:dyDescent="0.2">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row>
    <row r="122" spans="1:34" s="18" customFormat="1" x14ac:dyDescent="0.2">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row>
    <row r="123" spans="1:34" s="18" customFormat="1" x14ac:dyDescent="0.2">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row>
    <row r="124" spans="1:34" s="18" customFormat="1" x14ac:dyDescent="0.2">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row>
    <row r="125" spans="1:34" s="18" customFormat="1" x14ac:dyDescent="0.2">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row>
    <row r="126" spans="1:34" s="18" customFormat="1" x14ac:dyDescent="0.2">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row>
    <row r="127" spans="1:34" s="412" customFormat="1" x14ac:dyDescent="0.2">
      <c r="A127" s="18"/>
      <c r="B127" s="90" t="s">
        <v>208</v>
      </c>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row>
    <row r="128" spans="1:34" s="412" customFormat="1" x14ac:dyDescent="0.2">
      <c r="A128" s="18"/>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row>
    <row r="129" spans="1:34" s="412" customFormat="1" x14ac:dyDescent="0.2">
      <c r="A129" s="18"/>
      <c r="B129" s="91" t="s">
        <v>99</v>
      </c>
      <c r="C129" s="80"/>
      <c r="D129" s="80"/>
      <c r="E129" s="80">
        <v>1</v>
      </c>
      <c r="F129" s="80">
        <v>2</v>
      </c>
      <c r="G129" s="80">
        <v>3</v>
      </c>
      <c r="H129" s="80">
        <v>4</v>
      </c>
      <c r="I129" s="80">
        <v>5</v>
      </c>
      <c r="J129" s="80">
        <v>6</v>
      </c>
      <c r="K129" s="80">
        <v>7</v>
      </c>
      <c r="L129" s="80">
        <v>8</v>
      </c>
      <c r="M129" s="80">
        <v>9</v>
      </c>
      <c r="N129" s="80">
        <v>10</v>
      </c>
      <c r="O129" s="80">
        <v>11</v>
      </c>
      <c r="P129" s="80">
        <v>12</v>
      </c>
      <c r="Q129" s="80">
        <v>13</v>
      </c>
      <c r="R129" s="80">
        <v>14</v>
      </c>
      <c r="S129" s="80">
        <v>15</v>
      </c>
      <c r="T129" s="80">
        <v>16</v>
      </c>
      <c r="U129" s="80">
        <v>17</v>
      </c>
      <c r="V129" s="80">
        <v>18</v>
      </c>
      <c r="W129" s="80">
        <v>19</v>
      </c>
      <c r="X129" s="80">
        <v>20</v>
      </c>
      <c r="Y129" s="80">
        <v>21</v>
      </c>
      <c r="Z129" s="80">
        <v>22</v>
      </c>
      <c r="AA129" s="80">
        <v>23</v>
      </c>
      <c r="AB129" s="80">
        <v>24</v>
      </c>
      <c r="AC129" s="80">
        <v>25</v>
      </c>
      <c r="AD129" s="80">
        <v>26</v>
      </c>
      <c r="AE129" s="80">
        <v>27</v>
      </c>
      <c r="AF129" s="80">
        <v>28</v>
      </c>
      <c r="AG129" s="80">
        <v>29</v>
      </c>
      <c r="AH129" s="80">
        <v>30</v>
      </c>
    </row>
    <row r="130" spans="1:34" s="412" customFormat="1" x14ac:dyDescent="0.2">
      <c r="A130" s="18"/>
      <c r="B130" s="91" t="s">
        <v>12</v>
      </c>
      <c r="C130" s="80"/>
      <c r="D130" s="80"/>
      <c r="E130" s="92">
        <f>'Assumptions - General'!$E$28</f>
        <v>40179</v>
      </c>
      <c r="F130" s="92">
        <f t="shared" ref="F130:AH130" si="0">E131+1</f>
        <v>40544</v>
      </c>
      <c r="G130" s="92">
        <f t="shared" si="0"/>
        <v>40909</v>
      </c>
      <c r="H130" s="92">
        <f t="shared" si="0"/>
        <v>41275</v>
      </c>
      <c r="I130" s="92">
        <f t="shared" si="0"/>
        <v>41640</v>
      </c>
      <c r="J130" s="92">
        <f t="shared" si="0"/>
        <v>42005</v>
      </c>
      <c r="K130" s="92">
        <f t="shared" si="0"/>
        <v>42370</v>
      </c>
      <c r="L130" s="92">
        <f t="shared" si="0"/>
        <v>42736</v>
      </c>
      <c r="M130" s="92">
        <f t="shared" si="0"/>
        <v>43101</v>
      </c>
      <c r="N130" s="92">
        <f t="shared" si="0"/>
        <v>43466</v>
      </c>
      <c r="O130" s="92">
        <f t="shared" si="0"/>
        <v>43831</v>
      </c>
      <c r="P130" s="92">
        <f t="shared" si="0"/>
        <v>44197</v>
      </c>
      <c r="Q130" s="92">
        <f t="shared" si="0"/>
        <v>44562</v>
      </c>
      <c r="R130" s="92">
        <f t="shared" si="0"/>
        <v>44927</v>
      </c>
      <c r="S130" s="92">
        <f t="shared" si="0"/>
        <v>45292</v>
      </c>
      <c r="T130" s="92">
        <f t="shared" si="0"/>
        <v>45658</v>
      </c>
      <c r="U130" s="92">
        <f t="shared" si="0"/>
        <v>46023</v>
      </c>
      <c r="V130" s="92">
        <f t="shared" si="0"/>
        <v>46388</v>
      </c>
      <c r="W130" s="92">
        <f t="shared" si="0"/>
        <v>46753</v>
      </c>
      <c r="X130" s="92">
        <f t="shared" si="0"/>
        <v>47119</v>
      </c>
      <c r="Y130" s="92">
        <f t="shared" si="0"/>
        <v>47484</v>
      </c>
      <c r="Z130" s="92">
        <f t="shared" si="0"/>
        <v>47849</v>
      </c>
      <c r="AA130" s="92">
        <f t="shared" si="0"/>
        <v>48214</v>
      </c>
      <c r="AB130" s="92">
        <f t="shared" si="0"/>
        <v>48580</v>
      </c>
      <c r="AC130" s="92">
        <f t="shared" si="0"/>
        <v>48945</v>
      </c>
      <c r="AD130" s="92">
        <f t="shared" si="0"/>
        <v>49310</v>
      </c>
      <c r="AE130" s="92">
        <f t="shared" si="0"/>
        <v>49675</v>
      </c>
      <c r="AF130" s="92">
        <f t="shared" si="0"/>
        <v>50041</v>
      </c>
      <c r="AG130" s="92">
        <f t="shared" si="0"/>
        <v>50406</v>
      </c>
      <c r="AH130" s="92">
        <f t="shared" si="0"/>
        <v>50771</v>
      </c>
    </row>
    <row r="131" spans="1:34" s="412" customFormat="1" x14ac:dyDescent="0.2">
      <c r="A131" s="18"/>
      <c r="B131" s="91" t="s">
        <v>13</v>
      </c>
      <c r="C131" s="80"/>
      <c r="D131" s="80"/>
      <c r="E131" s="92">
        <f t="shared" ref="E131:AH131" si="1">DATE(YEAR(E130)+1, MONTH(E130), DAY(E130)-1)</f>
        <v>40543</v>
      </c>
      <c r="F131" s="92">
        <f t="shared" si="1"/>
        <v>40908</v>
      </c>
      <c r="G131" s="92">
        <f t="shared" si="1"/>
        <v>41274</v>
      </c>
      <c r="H131" s="92">
        <f t="shared" si="1"/>
        <v>41639</v>
      </c>
      <c r="I131" s="92">
        <f t="shared" si="1"/>
        <v>42004</v>
      </c>
      <c r="J131" s="92">
        <f t="shared" si="1"/>
        <v>42369</v>
      </c>
      <c r="K131" s="92">
        <f t="shared" si="1"/>
        <v>42735</v>
      </c>
      <c r="L131" s="92">
        <f t="shared" si="1"/>
        <v>43100</v>
      </c>
      <c r="M131" s="92">
        <f t="shared" si="1"/>
        <v>43465</v>
      </c>
      <c r="N131" s="92">
        <f t="shared" si="1"/>
        <v>43830</v>
      </c>
      <c r="O131" s="92">
        <f t="shared" si="1"/>
        <v>44196</v>
      </c>
      <c r="P131" s="92">
        <f t="shared" si="1"/>
        <v>44561</v>
      </c>
      <c r="Q131" s="92">
        <f t="shared" si="1"/>
        <v>44926</v>
      </c>
      <c r="R131" s="92">
        <f t="shared" si="1"/>
        <v>45291</v>
      </c>
      <c r="S131" s="92">
        <f t="shared" si="1"/>
        <v>45657</v>
      </c>
      <c r="T131" s="92">
        <f t="shared" si="1"/>
        <v>46022</v>
      </c>
      <c r="U131" s="92">
        <f t="shared" si="1"/>
        <v>46387</v>
      </c>
      <c r="V131" s="92">
        <f t="shared" si="1"/>
        <v>46752</v>
      </c>
      <c r="W131" s="92">
        <f t="shared" si="1"/>
        <v>47118</v>
      </c>
      <c r="X131" s="92">
        <f t="shared" si="1"/>
        <v>47483</v>
      </c>
      <c r="Y131" s="92">
        <f t="shared" si="1"/>
        <v>47848</v>
      </c>
      <c r="Z131" s="92">
        <f t="shared" si="1"/>
        <v>48213</v>
      </c>
      <c r="AA131" s="92">
        <f t="shared" si="1"/>
        <v>48579</v>
      </c>
      <c r="AB131" s="92">
        <f t="shared" si="1"/>
        <v>48944</v>
      </c>
      <c r="AC131" s="92">
        <f t="shared" si="1"/>
        <v>49309</v>
      </c>
      <c r="AD131" s="92">
        <f t="shared" si="1"/>
        <v>49674</v>
      </c>
      <c r="AE131" s="92">
        <f t="shared" si="1"/>
        <v>50040</v>
      </c>
      <c r="AF131" s="92">
        <f t="shared" si="1"/>
        <v>50405</v>
      </c>
      <c r="AG131" s="92">
        <f t="shared" si="1"/>
        <v>50770</v>
      </c>
      <c r="AH131" s="92">
        <f t="shared" si="1"/>
        <v>51135</v>
      </c>
    </row>
    <row r="132" spans="1:34" s="20" customFormat="1" x14ac:dyDescent="0.2">
      <c r="A132" s="18"/>
      <c r="B132" s="7" t="s">
        <v>226</v>
      </c>
      <c r="C132" s="8"/>
      <c r="D132" s="8"/>
      <c r="E132" s="29">
        <f>IF(Calculations!E19=1,1,IF(Calculations!E20=1,1,0))</f>
        <v>1</v>
      </c>
      <c r="F132" s="29">
        <f>IF(Calculations!F19=1,1,IF(Calculations!F20=1,1,0))</f>
        <v>1</v>
      </c>
      <c r="G132" s="29">
        <f>IF(Calculations!G19=1,1,IF(Calculations!G20=1,1,0))</f>
        <v>1</v>
      </c>
      <c r="H132" s="29">
        <f>IF(Calculations!H19=1,1,IF(Calculations!H20=1,1,0))</f>
        <v>1</v>
      </c>
      <c r="I132" s="29">
        <f>IF(Calculations!I19=1,1,IF(Calculations!I20=1,1,0))</f>
        <v>1</v>
      </c>
      <c r="J132" s="29">
        <f>IF(Calculations!J19=1,1,IF(Calculations!J20=1,1,0))</f>
        <v>1</v>
      </c>
      <c r="K132" s="29">
        <f>IF(Calculations!K19=1,1,IF(Calculations!K20=1,1,0))</f>
        <v>1</v>
      </c>
      <c r="L132" s="29">
        <f>IF(Calculations!L19=1,1,IF(Calculations!L20=1,1,0))</f>
        <v>1</v>
      </c>
      <c r="M132" s="29">
        <f>IF(Calculations!M19=1,1,IF(Calculations!M20=1,1,0))</f>
        <v>1</v>
      </c>
      <c r="N132" s="29">
        <f>IF(Calculations!N19=1,1,IF(Calculations!N20=1,1,0))</f>
        <v>1</v>
      </c>
      <c r="O132" s="29">
        <f>IF(Calculations!O19=1,1,IF(Calculations!O20=1,1,0))</f>
        <v>1</v>
      </c>
      <c r="P132" s="29">
        <f>IF(Calculations!P19=1,1,IF(Calculations!P20=1,1,0))</f>
        <v>1</v>
      </c>
      <c r="Q132" s="29">
        <f>IF(Calculations!Q19=1,1,IF(Calculations!Q20=1,1,0))</f>
        <v>1</v>
      </c>
      <c r="R132" s="29">
        <f>IF(Calculations!R19=1,1,IF(Calculations!R20=1,1,0))</f>
        <v>1</v>
      </c>
      <c r="S132" s="29">
        <f>IF(Calculations!S19=1,1,IF(Calculations!S20=1,1,0))</f>
        <v>1</v>
      </c>
      <c r="T132" s="29">
        <f>IF(Calculations!T19=1,1,IF(Calculations!T20=1,1,0))</f>
        <v>1</v>
      </c>
      <c r="U132" s="29">
        <f>IF(Calculations!U19=1,1,IF(Calculations!U20=1,1,0))</f>
        <v>1</v>
      </c>
      <c r="V132" s="29">
        <f>IF(Calculations!V19=1,1,IF(Calculations!V20=1,1,0))</f>
        <v>1</v>
      </c>
      <c r="W132" s="29">
        <f>IF(Calculations!W19=1,1,IF(Calculations!W20=1,1,0))</f>
        <v>1</v>
      </c>
      <c r="X132" s="29">
        <f>IF(Calculations!X19=1,1,IF(Calculations!X20=1,1,0))</f>
        <v>1</v>
      </c>
      <c r="Y132" s="29">
        <f>IF(Calculations!Y19=1,1,IF(Calculations!Y20=1,1,0))</f>
        <v>1</v>
      </c>
      <c r="Z132" s="29">
        <f>IF(Calculations!Z19=1,1,IF(Calculations!Z20=1,1,0))</f>
        <v>1</v>
      </c>
      <c r="AA132" s="29">
        <f>IF(Calculations!AA19=1,1,IF(Calculations!AA20=1,1,0))</f>
        <v>1</v>
      </c>
      <c r="AB132" s="29">
        <f>IF(Calculations!AB19=1,1,IF(Calculations!AB20=1,1,0))</f>
        <v>1</v>
      </c>
      <c r="AC132" s="29">
        <f>IF(Calculations!AC19=1,1,IF(Calculations!AC20=1,1,0))</f>
        <v>1</v>
      </c>
      <c r="AD132" s="29">
        <f>IF(Calculations!AD19=1,1,IF(Calculations!AD20=1,1,0))</f>
        <v>1</v>
      </c>
      <c r="AE132" s="29">
        <f>IF(Calculations!AE19=1,1,IF(Calculations!AE20=1,1,0))</f>
        <v>1</v>
      </c>
      <c r="AF132" s="29">
        <f>IF(Calculations!AF19=1,1,IF(Calculations!AF20=1,1,0))</f>
        <v>1</v>
      </c>
      <c r="AG132" s="29">
        <f>IF(Calculations!AG19=1,1,IF(Calculations!AG20=1,1,0))</f>
        <v>1</v>
      </c>
      <c r="AH132" s="29">
        <f>IF(Calculations!AH19=1,1,IF(Calculations!AH20=1,1,0))</f>
        <v>1</v>
      </c>
    </row>
    <row r="133" spans="1:34" s="412" customFormat="1" x14ac:dyDescent="0.2">
      <c r="A133" s="18"/>
      <c r="B133" s="91"/>
      <c r="C133" s="80"/>
      <c r="D133" s="80"/>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row>
    <row r="134" spans="1:34" s="412" customFormat="1" x14ac:dyDescent="0.2">
      <c r="A134" s="18"/>
      <c r="B134" s="80" t="s">
        <v>307</v>
      </c>
      <c r="C134" s="80"/>
      <c r="D134" s="80"/>
      <c r="E134" s="92" t="str">
        <f>Calculations!D495</f>
        <v>R$ millions</v>
      </c>
      <c r="F134" s="92"/>
      <c r="G134" s="92"/>
      <c r="H134" s="92"/>
      <c r="I134" s="92"/>
      <c r="J134" s="92"/>
      <c r="K134" s="92"/>
      <c r="L134" s="92"/>
      <c r="M134" s="92"/>
      <c r="N134" s="144"/>
      <c r="O134" s="92"/>
      <c r="P134" s="92"/>
      <c r="Q134" s="92"/>
      <c r="R134" s="92"/>
      <c r="S134" s="92"/>
      <c r="T134" s="92"/>
      <c r="U134" s="92"/>
      <c r="V134" s="92"/>
      <c r="W134" s="92"/>
      <c r="X134" s="92"/>
      <c r="Y134" s="92"/>
      <c r="Z134" s="92"/>
      <c r="AA134" s="92"/>
      <c r="AB134" s="92"/>
      <c r="AC134" s="92"/>
      <c r="AD134" s="92"/>
      <c r="AE134" s="92"/>
      <c r="AF134" s="92"/>
      <c r="AG134" s="92"/>
      <c r="AH134" s="92"/>
    </row>
    <row r="135" spans="1:34" s="412" customFormat="1" x14ac:dyDescent="0.2">
      <c r="A135" s="18"/>
      <c r="B135" s="91"/>
      <c r="C135" s="80"/>
      <c r="D135" s="80"/>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row>
    <row r="136" spans="1:34" s="412" customFormat="1" x14ac:dyDescent="0.2">
      <c r="A136" s="18"/>
      <c r="B136" s="90" t="s">
        <v>199</v>
      </c>
      <c r="C136" s="80"/>
      <c r="D136" s="80"/>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row>
    <row r="137" spans="1:34" s="412" customFormat="1" x14ac:dyDescent="0.2">
      <c r="A137" s="18"/>
      <c r="B137" s="91"/>
      <c r="C137" s="80"/>
      <c r="D137" s="80"/>
      <c r="E137" s="93">
        <f>IF(SUM(Calculations!E16:E21)&gt;=1,YEAR(E131)," ")</f>
        <v>2010</v>
      </c>
      <c r="F137" s="93">
        <f>IF(SUM(Calculations!F16:F21)&gt;=1,YEAR(F131)," ")</f>
        <v>2011</v>
      </c>
      <c r="G137" s="93">
        <f>IF(SUM(Calculations!G16:G21)&gt;=1,YEAR(G131)," ")</f>
        <v>2012</v>
      </c>
      <c r="H137" s="93">
        <f>IF(SUM(Calculations!H16:H21)&gt;=1,YEAR(H131)," ")</f>
        <v>2013</v>
      </c>
      <c r="I137" s="93">
        <f>IF(SUM(Calculations!I16:I21)&gt;=1,YEAR(I131)," ")</f>
        <v>2014</v>
      </c>
      <c r="J137" s="93">
        <f>IF(SUM(Calculations!J16:J21)&gt;=1,YEAR(J131)," ")</f>
        <v>2015</v>
      </c>
      <c r="K137" s="93">
        <f>IF(SUM(Calculations!K16:K21)&gt;=1,YEAR(K131)," ")</f>
        <v>2016</v>
      </c>
      <c r="L137" s="93">
        <f>IF(SUM(Calculations!L16:L21)&gt;=1,YEAR(L131)," ")</f>
        <v>2017</v>
      </c>
      <c r="M137" s="93">
        <f>IF(SUM(Calculations!M16:M21)&gt;=1,YEAR(M131)," ")</f>
        <v>2018</v>
      </c>
      <c r="N137" s="93">
        <f>IF(SUM(Calculations!N16:N21)&gt;=1,YEAR(N131)," ")</f>
        <v>2019</v>
      </c>
      <c r="O137" s="93">
        <f>IF(SUM(Calculations!O16:O21)&gt;=1,YEAR(O131)," ")</f>
        <v>2020</v>
      </c>
      <c r="P137" s="93">
        <f>IF(SUM(Calculations!P16:P21)&gt;=1,YEAR(P131)," ")</f>
        <v>2021</v>
      </c>
      <c r="Q137" s="93">
        <f>IF(SUM(Calculations!Q16:Q21)&gt;=1,YEAR(Q131)," ")</f>
        <v>2022</v>
      </c>
      <c r="R137" s="93">
        <f>IF(SUM(Calculations!R16:R21)&gt;=1,YEAR(R131)," ")</f>
        <v>2023</v>
      </c>
      <c r="S137" s="93">
        <f>IF(SUM(Calculations!S16:S21)&gt;=1,YEAR(S131)," ")</f>
        <v>2024</v>
      </c>
      <c r="T137" s="93">
        <f>IF(SUM(Calculations!T16:T21)&gt;=1,YEAR(T131)," ")</f>
        <v>2025</v>
      </c>
      <c r="U137" s="93">
        <f>IF(SUM(Calculations!U16:U21)&gt;=1,YEAR(U131)," ")</f>
        <v>2026</v>
      </c>
      <c r="V137" s="93">
        <f>IF(SUM(Calculations!V16:V21)&gt;=1,YEAR(V131)," ")</f>
        <v>2027</v>
      </c>
      <c r="W137" s="93">
        <f>IF(SUM(Calculations!W16:W21)&gt;=1,YEAR(W131)," ")</f>
        <v>2028</v>
      </c>
      <c r="X137" s="93">
        <f>IF(SUM(Calculations!X16:X21)&gt;=1,YEAR(X131)," ")</f>
        <v>2029</v>
      </c>
      <c r="Y137" s="93">
        <f>IF(SUM(Calculations!Y16:Y21)&gt;=1,YEAR(Y131)," ")</f>
        <v>2030</v>
      </c>
      <c r="Z137" s="93">
        <f>IF(SUM(Calculations!Z16:Z21)&gt;=1,YEAR(Z131)," ")</f>
        <v>2031</v>
      </c>
      <c r="AA137" s="93">
        <f>IF(SUM(Calculations!AA16:AA21)&gt;=1,YEAR(AA131)," ")</f>
        <v>2032</v>
      </c>
      <c r="AB137" s="93">
        <f>IF(SUM(Calculations!AB16:AB21)&gt;=1,YEAR(AB131)," ")</f>
        <v>2033</v>
      </c>
      <c r="AC137" s="93">
        <f>IF(SUM(Calculations!AC16:AC21)&gt;=1,YEAR(AC131)," ")</f>
        <v>2034</v>
      </c>
      <c r="AD137" s="93">
        <f>IF(SUM(Calculations!AD16:AD21)&gt;=1,YEAR(AD131)," ")</f>
        <v>2035</v>
      </c>
      <c r="AE137" s="93">
        <f>IF(SUM(Calculations!AE16:AE21)&gt;=1,YEAR(AE131)," ")</f>
        <v>2036</v>
      </c>
      <c r="AF137" s="93">
        <f>IF(SUM(Calculations!AF16:AF21)&gt;=1,YEAR(AF131)," ")</f>
        <v>2037</v>
      </c>
      <c r="AG137" s="93">
        <f>IF(SUM(Calculations!AG16:AG21)&gt;=1,YEAR(AG131)," ")</f>
        <v>2038</v>
      </c>
      <c r="AH137" s="93">
        <f>IF(SUM(Calculations!AH16:AH21)&gt;=1,YEAR(AH131)," ")</f>
        <v>2039</v>
      </c>
    </row>
    <row r="138" spans="1:34" s="412" customFormat="1" x14ac:dyDescent="0.2">
      <c r="A138" s="18"/>
      <c r="B138" s="80" t="s">
        <v>181</v>
      </c>
      <c r="C138" s="80"/>
      <c r="D138" s="80"/>
      <c r="E138" s="94">
        <f>IF(E132=1,'Income statement'!E147,0)</f>
        <v>41464.5</v>
      </c>
      <c r="F138" s="94">
        <f>IF(F132=1,'Income statement'!F147,0)</f>
        <v>43342.413367254689</v>
      </c>
      <c r="G138" s="94">
        <f>IF(G132=1,'Income statement'!G147,0)</f>
        <v>44629.462475560264</v>
      </c>
      <c r="H138" s="94">
        <f>IF(H132=1,'Income statement'!H147,0)</f>
        <v>46978.379153601578</v>
      </c>
      <c r="I138" s="94">
        <f>IF(I132=1,'Income statement'!I147,0)</f>
        <v>50483.639846161881</v>
      </c>
      <c r="J138" s="94">
        <f>IF(J132=1,'Income statement'!J147," ")</f>
        <v>53070.542842196119</v>
      </c>
      <c r="K138" s="94">
        <f>IF(K132=1,'Income statement'!K147," ")</f>
        <v>59477.445059466445</v>
      </c>
      <c r="L138" s="94">
        <f>IF(L132=1,'Income statement'!L147," ")</f>
        <v>62400.347313710416</v>
      </c>
      <c r="M138" s="94">
        <f>IF(M132=1,'Income statement'!M147," ")</f>
        <v>65445.527251028543</v>
      </c>
      <c r="N138" s="94">
        <f>IF(N132=1,'Income statement'!N147," ")</f>
        <v>68617.681653750478</v>
      </c>
      <c r="O138" s="94">
        <f>IF(O132=1,'Income statement'!O147," ")</f>
        <v>71921.707245378129</v>
      </c>
      <c r="P138" s="94">
        <f>IF(P132=1,'Income statement'!P147," ")</f>
        <v>75362.660041040275</v>
      </c>
      <c r="Q138" s="94">
        <f>IF(Q132=1,'Income statement'!Q147," ")</f>
        <v>78945.614046321498</v>
      </c>
      <c r="R138" s="94">
        <f>IF(R132=1,'Income statement'!R147," ")</f>
        <v>82675.927741823587</v>
      </c>
      <c r="S138" s="94">
        <f>IF(S132=1,'Income statement'!S147," ")</f>
        <v>86559.815758387616</v>
      </c>
      <c r="T138" s="94">
        <f>IF(T132=1,'Income statement'!T147," ")</f>
        <v>90602.231248637938</v>
      </c>
      <c r="U138" s="94">
        <f>IF(U132=1,'Income statement'!U147," ")</f>
        <v>94810.329061139098</v>
      </c>
      <c r="V138" s="94">
        <f>IF(V132=1,'Income statement'!V147," ")</f>
        <v>99189.802583153782</v>
      </c>
      <c r="W138" s="94">
        <f>IF(W132=1,'Income statement'!W147," ")</f>
        <v>103747.14700685862</v>
      </c>
      <c r="X138" s="94">
        <f>IF(X132=1,'Income statement'!X147," ")</f>
        <v>108489.0930096604</v>
      </c>
      <c r="Y138" s="94">
        <f>IF(Y132=1,'Income statement'!Y147," ")</f>
        <v>113422.61503471887</v>
      </c>
      <c r="Z138" s="94">
        <f>IF(Z132=1,'Income statement'!Z147," ")</f>
        <v>118554.93985719691</v>
      </c>
      <c r="AA138" s="94">
        <f>IF(AA132=1,'Income statement'!AA147," ")</f>
        <v>123893.55544566346</v>
      </c>
      <c r="AB138" s="94">
        <f>IF(AB132=1,'Income statement'!AB147," ")</f>
        <v>129446.22012847484</v>
      </c>
      <c r="AC138" s="94">
        <f>IF(AC132=1,'Income statement'!AC147," ")</f>
        <v>135220.9720753438</v>
      </c>
      <c r="AD138" s="94">
        <f>IF(AD132=1,'Income statement'!AD147," ")</f>
        <v>141226.13910467943</v>
      </c>
      <c r="AE138" s="94">
        <f>IF(AE132=1,'Income statement'!AE147," ")</f>
        <v>147470.34882765758</v>
      </c>
      <c r="AF138" s="94">
        <f>IF(AF132=1,'Income statement'!AF147," ")</f>
        <v>153962.53914036011</v>
      </c>
      <c r="AG138" s="94">
        <f>IF(AG132=1,'Income statement'!AG147," ")</f>
        <v>160711.78798815043</v>
      </c>
      <c r="AH138" s="94">
        <f>IF(AH132=1,'Income statement'!AH147," ")</f>
        <v>167722.96358057851</v>
      </c>
    </row>
    <row r="139" spans="1:34" s="412" customFormat="1" x14ac:dyDescent="0.2">
      <c r="A139" s="18"/>
      <c r="B139" s="80" t="s">
        <v>182</v>
      </c>
      <c r="C139" s="80"/>
      <c r="D139" s="80"/>
      <c r="E139" s="94">
        <f>IF(E132=1,'Income statement'!E156+'Income statement'!E163,0)</f>
        <v>3550</v>
      </c>
      <c r="F139" s="94">
        <f>IF(F132=1,'Income statement'!F156+'Income statement'!F163,0)</f>
        <v>3748.4206269971501</v>
      </c>
      <c r="G139" s="94">
        <f>IF(G132=1,'Income statement'!G156+'Income statement'!G163,0)</f>
        <v>3946.1247642761541</v>
      </c>
      <c r="H139" s="94">
        <f>IF(H132=1,'Income statement'!H156+'Income statement'!H163,0)</f>
        <v>4185.4608501872744</v>
      </c>
      <c r="I139" s="94">
        <f>IF(I132=1,'Income statement'!I156+'Income statement'!I163,0)</f>
        <v>4549.5671991484451</v>
      </c>
      <c r="J139" s="94">
        <f>IF(J132=1,'Income statement'!J156+'Income statement'!J163," ")</f>
        <v>4735.7969394132788</v>
      </c>
      <c r="K139" s="94">
        <f>IF(K132=1,'Income statement'!K156+'Income statement'!K163," ")</f>
        <v>5066.7074593903944</v>
      </c>
      <c r="L139" s="94">
        <f>IF(L132=1,'Income statement'!L156+'Income statement'!L163," ")</f>
        <v>5270.2327337625711</v>
      </c>
      <c r="M139" s="94">
        <f>IF(M132=1,'Income statement'!M156+'Income statement'!M163," ")</f>
        <v>5480.8105501550281</v>
      </c>
      <c r="N139" s="94">
        <f>IF(N132=1,'Income statement'!N156+'Income statement'!N163," ")</f>
        <v>5698.484526435881</v>
      </c>
      <c r="O139" s="94">
        <f>IF(O132=1,'Income statement'!O156+'Income statement'!O163," ")</f>
        <v>5923.9801743809367</v>
      </c>
      <c r="P139" s="94">
        <f>IF(P132=1,'Income statement'!P156+'Income statement'!P163," ")</f>
        <v>6157.4148725794203</v>
      </c>
      <c r="Q139" s="94">
        <f>IF(Q132=1,'Income statement'!Q156+'Income statement'!Q163," ")</f>
        <v>6394.9573583713882</v>
      </c>
      <c r="R139" s="94">
        <f>IF(R132=1,'Income statement'!R156+'Income statement'!R163," ")</f>
        <v>6635.1193010906163</v>
      </c>
      <c r="S139" s="94">
        <f>IF(S132=1,'Income statement'!S156+'Income statement'!S163," ")</f>
        <v>6892.9730195988905</v>
      </c>
      <c r="T139" s="94">
        <f>IF(T132=1,'Income statement'!T156+'Income statement'!T163," ")</f>
        <v>7146.6211870398638</v>
      </c>
      <c r="U139" s="94">
        <f>IF(U132=1,'Income statement'!U156+'Income statement'!U163," ")</f>
        <v>7423.9517082869934</v>
      </c>
      <c r="V139" s="94">
        <f>IF(V132=1,'Income statement'!V156+'Income statement'!V163," ")</f>
        <v>7710.9278528051327</v>
      </c>
      <c r="W139" s="94">
        <f>IF(W132=1,'Income statement'!W156+'Income statement'!W163," ")</f>
        <v>8007.8897632070866</v>
      </c>
      <c r="X139" s="94">
        <f>IF(X132=1,'Income statement'!X156+'Income statement'!X163," ")</f>
        <v>8315.1893096014828</v>
      </c>
      <c r="Y139" s="94">
        <f>IF(Y132=1,'Income statement'!Y156+'Income statement'!Y163," ")</f>
        <v>8633.190487114176</v>
      </c>
      <c r="Z139" s="94">
        <f>IF(Z132=1,'Income statement'!Z156+'Income statement'!Z163," ")</f>
        <v>8962.2698267061751</v>
      </c>
      <c r="AA139" s="94">
        <f>IF(AA132=1,'Income statement'!AA156+'Income statement'!AA163," ")</f>
        <v>9302.8168197281411</v>
      </c>
      <c r="AB139" s="94">
        <f>IF(AB132=1,'Income statement'!AB156+'Income statement'!AB163," ")</f>
        <v>9655.2343566659129</v>
      </c>
      <c r="AC139" s="94">
        <f>IF(AC132=1,'Income statement'!AC156+'Income statement'!AC163," ")</f>
        <v>10019.939180546371</v>
      </c>
      <c r="AD139" s="94">
        <f>IF(AD132=1,'Income statement'!AD156+'Income statement'!AD163," ")</f>
        <v>10397.362355488514</v>
      </c>
      <c r="AE139" s="94">
        <f>IF(AE132=1,'Income statement'!AE156+'Income statement'!AE163," ")</f>
        <v>10787.949750900212</v>
      </c>
      <c r="AF139" s="94">
        <f>IF(AF132=1,'Income statement'!AF156+'Income statement'!AF163," ")</f>
        <v>11192.162541837859</v>
      </c>
      <c r="AG139" s="94">
        <f>IF(AG132=1,'Income statement'!AG156+'Income statement'!AG163," ")</f>
        <v>11606.118458328252</v>
      </c>
      <c r="AH139" s="94">
        <f>IF(AH132=1,'Income statement'!AH156+'Income statement'!AH163," ")</f>
        <v>11980.276911587915</v>
      </c>
    </row>
    <row r="140" spans="1:34" s="412" customFormat="1" x14ac:dyDescent="0.2">
      <c r="A140" s="18"/>
      <c r="B140" s="80" t="s">
        <v>177</v>
      </c>
      <c r="C140" s="80"/>
      <c r="D140" s="80"/>
      <c r="E140" s="95">
        <f>IF(E132=1,(E138-E139)/E138,0)</f>
        <v>0.91438459405033223</v>
      </c>
      <c r="F140" s="95">
        <f t="shared" ref="F140:I140" si="2">IF(F132=1,(F138-F139)/F138,0)</f>
        <v>0.91351610730035882</v>
      </c>
      <c r="G140" s="95">
        <f t="shared" si="2"/>
        <v>0.91158027577775314</v>
      </c>
      <c r="H140" s="95">
        <f t="shared" si="2"/>
        <v>0.91090665694313566</v>
      </c>
      <c r="I140" s="95">
        <f t="shared" si="2"/>
        <v>0.90988036494570768</v>
      </c>
      <c r="J140" s="95">
        <f t="shared" ref="J140:AH140" si="3">IF(J132=1,(J138-J139)/J138," ")</f>
        <v>0.91076411346507136</v>
      </c>
      <c r="K140" s="95">
        <f t="shared" si="3"/>
        <v>0.91481296053782024</v>
      </c>
      <c r="L140" s="95">
        <f t="shared" si="3"/>
        <v>0.91554161217617758</v>
      </c>
      <c r="M140" s="95">
        <f t="shared" si="3"/>
        <v>0.9162538559872494</v>
      </c>
      <c r="N140" s="95">
        <f t="shared" si="3"/>
        <v>0.91695311778105792</v>
      </c>
      <c r="O140" s="95">
        <f t="shared" si="3"/>
        <v>0.91763293167986326</v>
      </c>
      <c r="P140" s="95">
        <f t="shared" si="3"/>
        <v>0.91829621102511139</v>
      </c>
      <c r="Q140" s="95">
        <f t="shared" si="3"/>
        <v>0.91899540670341562</v>
      </c>
      <c r="R140" s="95">
        <f t="shared" si="3"/>
        <v>0.91974545091516302</v>
      </c>
      <c r="S140" s="95">
        <f t="shared" si="3"/>
        <v>0.92036751743050038</v>
      </c>
      <c r="T140" s="95">
        <f t="shared" si="3"/>
        <v>0.92112091403767382</v>
      </c>
      <c r="U140" s="95">
        <f t="shared" si="3"/>
        <v>0.92169680474898885</v>
      </c>
      <c r="V140" s="95">
        <f t="shared" si="3"/>
        <v>0.92226088113905824</v>
      </c>
      <c r="W140" s="95">
        <f t="shared" si="3"/>
        <v>0.92281339782116911</v>
      </c>
      <c r="X140" s="95">
        <f t="shared" si="3"/>
        <v>0.92335460571265848</v>
      </c>
      <c r="Y140" s="95">
        <f t="shared" si="3"/>
        <v>0.92388475186829766</v>
      </c>
      <c r="Z140" s="95">
        <f t="shared" si="3"/>
        <v>0.92440407934497282</v>
      </c>
      <c r="AA140" s="95">
        <f t="shared" si="3"/>
        <v>0.92491282709367295</v>
      </c>
      <c r="AB140" s="95">
        <f t="shared" si="3"/>
        <v>0.92541122987536339</v>
      </c>
      <c r="AC140" s="95">
        <f t="shared" si="3"/>
        <v>0.92589951819778848</v>
      </c>
      <c r="AD140" s="95">
        <f t="shared" si="3"/>
        <v>0.92637791827062699</v>
      </c>
      <c r="AE140" s="95">
        <f t="shared" si="3"/>
        <v>0.92684665197674665</v>
      </c>
      <c r="AF140" s="95">
        <f t="shared" si="3"/>
        <v>0.92730593685757212</v>
      </c>
      <c r="AG140" s="95">
        <f t="shared" si="3"/>
        <v>0.92778302946151037</v>
      </c>
      <c r="AH140" s="95">
        <f t="shared" si="3"/>
        <v>0.92857103967261889</v>
      </c>
    </row>
    <row r="141" spans="1:34" s="412" customFormat="1" x14ac:dyDescent="0.2">
      <c r="A141" s="18"/>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row>
    <row r="142" spans="1:34" s="412" customFormat="1" x14ac:dyDescent="0.2">
      <c r="A142" s="18"/>
      <c r="B142" s="90" t="s">
        <v>296</v>
      </c>
      <c r="C142" s="80"/>
      <c r="D142" s="80"/>
      <c r="E142" s="80" t="s">
        <v>305</v>
      </c>
      <c r="F142" s="80" t="s">
        <v>286</v>
      </c>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row>
    <row r="143" spans="1:34" s="412" customFormat="1" x14ac:dyDescent="0.2">
      <c r="A143" s="18"/>
      <c r="B143" s="80" t="s">
        <v>658</v>
      </c>
      <c r="C143" s="80"/>
      <c r="D143" s="80"/>
      <c r="E143" s="80">
        <f>IF(SUM(Calculations!E16:E21)&gt;=1,1,0)</f>
        <v>1</v>
      </c>
      <c r="F143" s="80">
        <f>IF(SUM(Calculations!F16:F21)&gt;=1,1,0)</f>
        <v>1</v>
      </c>
      <c r="G143" s="80">
        <f>IF(SUM(Calculations!G16:G21)&gt;=1,1,0)</f>
        <v>1</v>
      </c>
      <c r="H143" s="80">
        <f>IF(SUM(Calculations!H16:H21)&gt;=1,1,0)</f>
        <v>1</v>
      </c>
      <c r="I143" s="80">
        <f>IF(SUM(Calculations!I16:I21)&gt;=1,1,0)</f>
        <v>1</v>
      </c>
      <c r="J143" s="80">
        <f>IF(SUM(Calculations!J16:J21)&gt;=1,1,0)</f>
        <v>1</v>
      </c>
      <c r="K143" s="80">
        <f>IF(SUM(Calculations!K16:K21)&gt;=1,1,0)</f>
        <v>1</v>
      </c>
      <c r="L143" s="80">
        <f>IF(SUM(Calculations!L16:L21)&gt;=1,1,0)</f>
        <v>1</v>
      </c>
      <c r="M143" s="80">
        <f>IF(SUM(Calculations!M16:M21)&gt;=1,1,0)</f>
        <v>1</v>
      </c>
      <c r="N143" s="80">
        <f>IF(SUM(Calculations!N16:N21)&gt;=1,1,0)</f>
        <v>1</v>
      </c>
      <c r="O143" s="80">
        <f>IF(SUM(Calculations!O16:O21)&gt;=1,1,0)</f>
        <v>1</v>
      </c>
      <c r="P143" s="80">
        <f>IF(SUM(Calculations!P16:P21)&gt;=1,1,0)</f>
        <v>1</v>
      </c>
      <c r="Q143" s="80">
        <f>IF(SUM(Calculations!Q16:Q21)&gt;=1,1,0)</f>
        <v>1</v>
      </c>
      <c r="R143" s="80">
        <f>IF(SUM(Calculations!R16:R21)&gt;=1,1,0)</f>
        <v>1</v>
      </c>
      <c r="S143" s="80">
        <f>IF(SUM(Calculations!S16:S21)&gt;=1,1,0)</f>
        <v>1</v>
      </c>
      <c r="T143" s="80">
        <f>IF(SUM(Calculations!T16:T21)&gt;=1,1,0)</f>
        <v>1</v>
      </c>
      <c r="U143" s="80">
        <f>IF(SUM(Calculations!U16:U21)&gt;=1,1,0)</f>
        <v>1</v>
      </c>
      <c r="V143" s="80">
        <f>IF(SUM(Calculations!V16:V21)&gt;=1,1,0)</f>
        <v>1</v>
      </c>
      <c r="W143" s="80">
        <f>IF(SUM(Calculations!W16:W21)&gt;=1,1,0)</f>
        <v>1</v>
      </c>
      <c r="X143" s="80">
        <f>IF(SUM(Calculations!X16:X21)&gt;=1,1,0)</f>
        <v>1</v>
      </c>
      <c r="Y143" s="80">
        <f>IF(SUM(Calculations!Y16:Y21)&gt;=1,1,0)</f>
        <v>1</v>
      </c>
      <c r="Z143" s="80">
        <f>IF(SUM(Calculations!Z16:Z21)&gt;=1,1,0)</f>
        <v>1</v>
      </c>
      <c r="AA143" s="80">
        <f>IF(SUM(Calculations!AA16:AA21)&gt;=1,1,0)</f>
        <v>1</v>
      </c>
      <c r="AB143" s="80">
        <f>IF(SUM(Calculations!AB16:AB21)&gt;=1,1,0)</f>
        <v>1</v>
      </c>
      <c r="AC143" s="80">
        <f>IF(SUM(Calculations!AC16:AC21)&gt;=1,1,0)</f>
        <v>1</v>
      </c>
      <c r="AD143" s="80">
        <f>IF(SUM(Calculations!AD16:AD21)&gt;=1,1,0)</f>
        <v>1</v>
      </c>
      <c r="AE143" s="80">
        <f>IF(SUM(Calculations!AE16:AE21)&gt;=1,1,0)</f>
        <v>1</v>
      </c>
      <c r="AF143" s="80">
        <f>IF(SUM(Calculations!AF16:AF21)&gt;=1,1,0)</f>
        <v>1</v>
      </c>
      <c r="AG143" s="80">
        <f>IF(SUM(Calculations!AG16:AG21)&gt;=1,1,0)</f>
        <v>1</v>
      </c>
      <c r="AH143" s="80">
        <f>IF(SUM(Calculations!AH16:AH21)&gt;=1,1,0)</f>
        <v>1</v>
      </c>
    </row>
    <row r="144" spans="1:34" s="412" customFormat="1" x14ac:dyDescent="0.2">
      <c r="A144" s="18"/>
      <c r="B144" s="80"/>
      <c r="C144" s="80"/>
      <c r="D144" s="80"/>
      <c r="E144" s="93">
        <f>YEAR('Charts - Freight'!E$131)</f>
        <v>2010</v>
      </c>
      <c r="F144" s="93">
        <f>YEAR('Charts - Freight'!F$131)</f>
        <v>2011</v>
      </c>
      <c r="G144" s="93">
        <f>YEAR('Charts - Freight'!G$131)</f>
        <v>2012</v>
      </c>
      <c r="H144" s="93">
        <f>YEAR('Charts - Freight'!H$131)</f>
        <v>2013</v>
      </c>
      <c r="I144" s="93">
        <f>YEAR('Charts - Freight'!I$131)</f>
        <v>2014</v>
      </c>
      <c r="J144" s="93">
        <f>YEAR('Charts - Freight'!J$131)</f>
        <v>2015</v>
      </c>
      <c r="K144" s="93">
        <f>YEAR('Charts - Freight'!K$131)</f>
        <v>2016</v>
      </c>
      <c r="L144" s="93">
        <f>YEAR('Charts - Freight'!L$131)</f>
        <v>2017</v>
      </c>
      <c r="M144" s="93">
        <f>YEAR('Charts - Freight'!M$131)</f>
        <v>2018</v>
      </c>
      <c r="N144" s="93">
        <f>YEAR('Charts - Freight'!N$131)</f>
        <v>2019</v>
      </c>
      <c r="O144" s="93">
        <f>YEAR('Charts - Freight'!O$131)</f>
        <v>2020</v>
      </c>
      <c r="P144" s="93">
        <f>YEAR('Charts - Freight'!P$131)</f>
        <v>2021</v>
      </c>
      <c r="Q144" s="93">
        <f>YEAR('Charts - Freight'!Q$131)</f>
        <v>2022</v>
      </c>
      <c r="R144" s="93">
        <f>YEAR('Charts - Freight'!R$131)</f>
        <v>2023</v>
      </c>
      <c r="S144" s="93">
        <f>YEAR('Charts - Freight'!S$131)</f>
        <v>2024</v>
      </c>
      <c r="T144" s="93">
        <f>YEAR('Charts - Freight'!T$131)</f>
        <v>2025</v>
      </c>
      <c r="U144" s="93">
        <f>YEAR('Charts - Freight'!U$131)</f>
        <v>2026</v>
      </c>
      <c r="V144" s="93">
        <f>YEAR('Charts - Freight'!V$131)</f>
        <v>2027</v>
      </c>
      <c r="W144" s="93">
        <f>YEAR('Charts - Freight'!W$131)</f>
        <v>2028</v>
      </c>
      <c r="X144" s="93">
        <f>YEAR('Charts - Freight'!X$131)</f>
        <v>2029</v>
      </c>
      <c r="Y144" s="93">
        <f>YEAR('Charts - Freight'!Y$131)</f>
        <v>2030</v>
      </c>
      <c r="Z144" s="93">
        <f>YEAR('Charts - Freight'!Z$131)</f>
        <v>2031</v>
      </c>
      <c r="AA144" s="93">
        <f>YEAR('Charts - Freight'!AA$131)</f>
        <v>2032</v>
      </c>
      <c r="AB144" s="93">
        <f>YEAR('Charts - Freight'!AB$131)</f>
        <v>2033</v>
      </c>
      <c r="AC144" s="93">
        <f>YEAR('Charts - Freight'!AC$131)</f>
        <v>2034</v>
      </c>
      <c r="AD144" s="93">
        <f>YEAR('Charts - Freight'!AD$131)</f>
        <v>2035</v>
      </c>
      <c r="AE144" s="93">
        <f>YEAR('Charts - Freight'!AE$131)</f>
        <v>2036</v>
      </c>
      <c r="AF144" s="93">
        <f>YEAR('Charts - Freight'!AF$131)</f>
        <v>2037</v>
      </c>
      <c r="AG144" s="93">
        <f>YEAR('Charts - Freight'!AG$131)</f>
        <v>2038</v>
      </c>
      <c r="AH144" s="93">
        <f>YEAR('Charts - Freight'!AH$131)</f>
        <v>2039</v>
      </c>
    </row>
    <row r="145" spans="1:34" s="412" customFormat="1" x14ac:dyDescent="0.2">
      <c r="A145" s="18"/>
      <c r="B145" s="80" t="s">
        <v>439</v>
      </c>
      <c r="C145" s="80"/>
      <c r="D145" s="80"/>
      <c r="E145" s="94">
        <f>IF(E$143=1,IF(E132=1,SUM(Calculations!E167:E176)+SUM(Calculations!E1058:E1063),SUM(Calculations!E167:E176)),0)</f>
        <v>100000.00000000001</v>
      </c>
      <c r="F145" s="94">
        <f>IF(F$143=1,IF(F132=1,SUM(Calculations!F167:F176)+SUM(Calculations!F1058:F1063),SUM(Calculations!F167:F176)),0)</f>
        <v>98780.487804878067</v>
      </c>
      <c r="G145" s="94">
        <f>IF(G$143=1,IF(G132=1,SUM(Calculations!G167:G176)+SUM(Calculations!G1058:G1063),SUM(Calculations!G167:G176)),0)</f>
        <v>98780.487804878067</v>
      </c>
      <c r="H145" s="94">
        <f>IF(H$143=1,IF(H132=1,SUM(Calculations!H167:H176)+SUM(Calculations!H1058:H1063),SUM(Calculations!H167:H176)),0)</f>
        <v>98780.487804878067</v>
      </c>
      <c r="I145" s="94">
        <f>IF(I$143=1,IF(I132=1,SUM(Calculations!I167:I176)+SUM(Calculations!I1058:I1063),SUM(Calculations!I167:I176)),0)</f>
        <v>98780.487804878067</v>
      </c>
      <c r="J145" s="94">
        <f>IF(J$143=1,IF(J132=1,SUM(Calculations!J167:J176)+SUM(Calculations!J1058:J1063),SUM(Calculations!J167:J176))," ")</f>
        <v>98780.487804878067</v>
      </c>
      <c r="K145" s="94">
        <f>IF(K$143=1,IF(K132=1,SUM(Calculations!K167:K176)+SUM(Calculations!K1058:K1063),SUM(Calculations!K167:K176))," ")</f>
        <v>111128.04878048781</v>
      </c>
      <c r="L145" s="94">
        <f>IF(L$143=1,IF(L132=1,SUM(Calculations!L167:L176)+SUM(Calculations!L1058:L1063),SUM(Calculations!L167:L176))," ")</f>
        <v>111128.04878048781</v>
      </c>
      <c r="M145" s="94">
        <f>IF(M$143=1,IF(M132=1,SUM(Calculations!M167:M176)+SUM(Calculations!M1058:M1063),SUM(Calculations!M167:M176))," ")</f>
        <v>111128.04878048781</v>
      </c>
      <c r="N145" s="94">
        <f>IF(N$143=1,IF(N132=1,SUM(Calculations!N167:N176)+SUM(Calculations!N1058:N1063),SUM(Calculations!N167:N176))," ")</f>
        <v>111128.04878048781</v>
      </c>
      <c r="O145" s="94">
        <f>IF(O$143=1,IF(O132=1,SUM(Calculations!O167:O176)+SUM(Calculations!O1058:O1063),SUM(Calculations!O167:O176))," ")</f>
        <v>111128.04878048781</v>
      </c>
      <c r="P145" s="94">
        <f>IF(P$143=1,IF(P132=1,SUM(Calculations!P167:P176)+SUM(Calculations!P1058:P1063),SUM(Calculations!P167:P176))," ")</f>
        <v>111128.04878048781</v>
      </c>
      <c r="Q145" s="94">
        <f>IF(Q$143=1,IF(Q132=1,SUM(Calculations!Q167:Q176)+SUM(Calculations!Q1058:Q1063),SUM(Calculations!Q167:Q176))," ")</f>
        <v>111128.04878048781</v>
      </c>
      <c r="R145" s="94">
        <f>IF(R$143=1,IF(R132=1,SUM(Calculations!R167:R176)+SUM(Calculations!R1058:R1063),SUM(Calculations!R167:R176))," ")</f>
        <v>111128.04878048781</v>
      </c>
      <c r="S145" s="94">
        <f>IF(S$143=1,IF(S132=1,SUM(Calculations!S167:S176)+SUM(Calculations!S1058:S1063),SUM(Calculations!S167:S176))," ")</f>
        <v>111128.04878048781</v>
      </c>
      <c r="T145" s="94">
        <f>IF(T$143=1,IF(T132=1,SUM(Calculations!T167:T176)+SUM(Calculations!T1058:T1063),SUM(Calculations!T167:T176))," ")</f>
        <v>111128.04878048781</v>
      </c>
      <c r="U145" s="94">
        <f>IF(U$143=1,IF(U132=1,SUM(Calculations!U167:U176)+SUM(Calculations!U1058:U1063),SUM(Calculations!U167:U176))," ")</f>
        <v>111128.04878048781</v>
      </c>
      <c r="V145" s="94">
        <f>IF(V$143=1,IF(V132=1,SUM(Calculations!V167:V176)+SUM(Calculations!V1058:V1063),SUM(Calculations!V167:V176))," ")</f>
        <v>111128.04878048781</v>
      </c>
      <c r="W145" s="94">
        <f>IF(W$143=1,IF(W132=1,SUM(Calculations!W167:W176)+SUM(Calculations!W1058:W1063),SUM(Calculations!W167:W176))," ")</f>
        <v>111128.04878048781</v>
      </c>
      <c r="X145" s="94">
        <f>IF(X$143=1,IF(X132=1,SUM(Calculations!X167:X176)+SUM(Calculations!X1058:X1063),SUM(Calculations!X167:X176))," ")</f>
        <v>111128.04878048781</v>
      </c>
      <c r="Y145" s="94">
        <f>IF(Y$143=1,IF(Y132=1,SUM(Calculations!Y167:Y176)+SUM(Calculations!Y1058:Y1063),SUM(Calculations!Y167:Y176))," ")</f>
        <v>111128.04878048781</v>
      </c>
      <c r="Z145" s="94">
        <f>IF(Z$143=1,IF(Z132=1,SUM(Calculations!Z167:Z176)+SUM(Calculations!Z1058:Z1063),SUM(Calculations!Z167:Z176))," ")</f>
        <v>111128.04878048781</v>
      </c>
      <c r="AA145" s="94">
        <f>IF(AA$143=1,IF(AA132=1,SUM(Calculations!AA167:AA176)+SUM(Calculations!AA1058:AA1063),SUM(Calculations!AA167:AA176))," ")</f>
        <v>111128.04878048781</v>
      </c>
      <c r="AB145" s="94">
        <f>IF(AB$143=1,IF(AB132=1,SUM(Calculations!AB167:AB176)+SUM(Calculations!AB1058:AB1063),SUM(Calculations!AB167:AB176))," ")</f>
        <v>111128.04878048781</v>
      </c>
      <c r="AC145" s="94">
        <f>IF(AC$143=1,IF(AC132=1,SUM(Calculations!AC167:AC176)+SUM(Calculations!AC1058:AC1063),SUM(Calculations!AC167:AC176))," ")</f>
        <v>111128.04878048781</v>
      </c>
      <c r="AD145" s="94">
        <f>IF(AD$143=1,IF(AD132=1,SUM(Calculations!AD167:AD176)+SUM(Calculations!AD1058:AD1063),SUM(Calculations!AD167:AD176))," ")</f>
        <v>111128.04878048781</v>
      </c>
      <c r="AE145" s="94">
        <f>IF(AE$143=1,IF(AE132=1,SUM(Calculations!AE167:AE176)+SUM(Calculations!AE1058:AE1063),SUM(Calculations!AE167:AE176))," ")</f>
        <v>111128.04878048781</v>
      </c>
      <c r="AF145" s="94">
        <f>IF(AF$143=1,IF(AF132=1,SUM(Calculations!AF167:AF176)+SUM(Calculations!AF1058:AF1063),SUM(Calculations!AF167:AF176))," ")</f>
        <v>111128.04878048781</v>
      </c>
      <c r="AG145" s="94">
        <f>IF(AG$143=1,IF(AG132=1,SUM(Calculations!AG167:AG176)+SUM(Calculations!AG1058:AG1063),SUM(Calculations!AG167:AG176))," ")</f>
        <v>111128.04878048781</v>
      </c>
      <c r="AH145" s="94">
        <f>IF(AH$143=1,IF(AH132=1,SUM(Calculations!AH167:AH176)+SUM(Calculations!AH1058:AH1063),SUM(Calculations!AH167:AH176))," ")</f>
        <v>111128.04878048781</v>
      </c>
    </row>
    <row r="146" spans="1:34" s="412" customFormat="1" x14ac:dyDescent="0.2">
      <c r="A146" s="18"/>
      <c r="B146" s="80" t="s">
        <v>440</v>
      </c>
      <c r="C146" s="80"/>
      <c r="D146" s="80"/>
      <c r="E146" s="94">
        <f>IF(E$143=1,IF(E132=1,SUM(Calculations!E628:E630)+SUM(Calculations!E1091:E1093),SUM(Calculations!E628:E630)),0)</f>
        <v>60000</v>
      </c>
      <c r="F146" s="94">
        <f>IF(F$143=1,IF(F132=1,SUM(Calculations!F628:F630)+SUM(Calculations!F1091:F1093),SUM(Calculations!F628:F630)),0)</f>
        <v>63750</v>
      </c>
      <c r="G146" s="94">
        <f>IF(G$143=1,IF(G132=1,SUM(Calculations!G628:G630)+SUM(Calculations!G1091:G1093),SUM(Calculations!G628:G630)),0)</f>
        <v>63750</v>
      </c>
      <c r="H146" s="94">
        <f>IF(H$143=1,IF(H132=1,SUM(Calculations!H628:H630)+SUM(Calculations!H1091:H1093),SUM(Calculations!H628:H630)),0)</f>
        <v>67500</v>
      </c>
      <c r="I146" s="94">
        <f>IF(I$143=1,IF(I132=1,SUM(Calculations!I628:I630)+SUM(Calculations!I1091:I1093),SUM(Calculations!I628:I630)),0)</f>
        <v>75000</v>
      </c>
      <c r="J146" s="94">
        <f>IF(J$143=1,IF(J132=1,SUM(Calculations!J628:J630)+SUM(Calculations!J1091:J1093),SUM(Calculations!J628:J630))," ")</f>
        <v>78750</v>
      </c>
      <c r="K146" s="94">
        <f>IF(K$143=1,IF(K132=1,SUM(Calculations!K628:K630)+SUM(Calculations!K1091:K1093),SUM(Calculations!K628:K630))," ")</f>
        <v>82500</v>
      </c>
      <c r="L146" s="94">
        <f>IF(L$143=1,IF(L132=1,SUM(Calculations!L628:L630)+SUM(Calculations!L1091:L1093),SUM(Calculations!L628:L630))," ")</f>
        <v>86250</v>
      </c>
      <c r="M146" s="94">
        <f>IF(M$143=1,IF(M132=1,SUM(Calculations!M628:M630)+SUM(Calculations!M1091:M1093),SUM(Calculations!M628:M630))," ")</f>
        <v>90000</v>
      </c>
      <c r="N146" s="94">
        <f>IF(N$143=1,IF(N132=1,SUM(Calculations!N628:N630)+SUM(Calculations!N1091:N1093),SUM(Calculations!N628:N630))," ")</f>
        <v>93750</v>
      </c>
      <c r="O146" s="94">
        <f>IF(O$143=1,IF(O132=1,SUM(Calculations!O628:O630)+SUM(Calculations!O1091:O1093),SUM(Calculations!O628:O630))," ")</f>
        <v>97500</v>
      </c>
      <c r="P146" s="94">
        <f>IF(P$143=1,IF(P132=1,SUM(Calculations!P628:P630)+SUM(Calculations!P1091:P1093),SUM(Calculations!P628:P630))," ")</f>
        <v>101250</v>
      </c>
      <c r="Q146" s="94">
        <f>IF(Q$143=1,IF(Q132=1,SUM(Calculations!Q628:Q630)+SUM(Calculations!Q1091:Q1093),SUM(Calculations!Q628:Q630))," ")</f>
        <v>105000</v>
      </c>
      <c r="R146" s="94">
        <f>IF(R$143=1,IF(R132=1,SUM(Calculations!R628:R630)+SUM(Calculations!R1091:R1093),SUM(Calculations!R628:R630))," ")</f>
        <v>108750</v>
      </c>
      <c r="S146" s="94">
        <f>IF(S$143=1,IF(S132=1,SUM(Calculations!S628:S630)+SUM(Calculations!S1091:S1093),SUM(Calculations!S628:S630))," ")</f>
        <v>112500</v>
      </c>
      <c r="T146" s="94">
        <f>IF(T$143=1,IF(T132=1,SUM(Calculations!T628:T630)+SUM(Calculations!T1091:T1093),SUM(Calculations!T628:T630))," ")</f>
        <v>116250</v>
      </c>
      <c r="U146" s="94">
        <f>IF(U$143=1,IF(U132=1,SUM(Calculations!U628:U630)+SUM(Calculations!U1091:U1093),SUM(Calculations!U628:U630))," ")</f>
        <v>120000</v>
      </c>
      <c r="V146" s="94">
        <f>IF(V$143=1,IF(V132=1,SUM(Calculations!V628:V630)+SUM(Calculations!V1091:V1093),SUM(Calculations!V628:V630))," ")</f>
        <v>123750</v>
      </c>
      <c r="W146" s="94">
        <f>IF(W$143=1,IF(W132=1,SUM(Calculations!W628:W630)+SUM(Calculations!W1091:W1093),SUM(Calculations!W628:W630))," ")</f>
        <v>127500</v>
      </c>
      <c r="X146" s="94">
        <f>IF(X$143=1,IF(X132=1,SUM(Calculations!X628:X630)+SUM(Calculations!X1091:X1093),SUM(Calculations!X628:X630))," ")</f>
        <v>131250</v>
      </c>
      <c r="Y146" s="94">
        <f>IF(Y$143=1,IF(Y132=1,SUM(Calculations!Y628:Y630)+SUM(Calculations!Y1091:Y1093),SUM(Calculations!Y628:Y630))," ")</f>
        <v>135000</v>
      </c>
      <c r="Z146" s="94">
        <f>IF(Z$143=1,IF(Z132=1,SUM(Calculations!Z628:Z630)+SUM(Calculations!Z1091:Z1093),SUM(Calculations!Z628:Z630))," ")</f>
        <v>138750</v>
      </c>
      <c r="AA146" s="94">
        <f>IF(AA$143=1,IF(AA132=1,SUM(Calculations!AA628:AA630)+SUM(Calculations!AA1091:AA1093),SUM(Calculations!AA628:AA630))," ")</f>
        <v>142500</v>
      </c>
      <c r="AB146" s="94">
        <f>IF(AB$143=1,IF(AB132=1,SUM(Calculations!AB628:AB630)+SUM(Calculations!AB1091:AB1093),SUM(Calculations!AB628:AB630))," ")</f>
        <v>146250</v>
      </c>
      <c r="AC146" s="94">
        <f>IF(AC$143=1,IF(AC132=1,SUM(Calculations!AC628:AC630)+SUM(Calculations!AC1091:AC1093),SUM(Calculations!AC628:AC630))," ")</f>
        <v>150000</v>
      </c>
      <c r="AD146" s="94">
        <f>IF(AD$143=1,IF(AD132=1,SUM(Calculations!AD628:AD630)+SUM(Calculations!AD1091:AD1093),SUM(Calculations!AD628:AD630))," ")</f>
        <v>153750</v>
      </c>
      <c r="AE146" s="94">
        <f>IF(AE$143=1,IF(AE132=1,SUM(Calculations!AE628:AE630)+SUM(Calculations!AE1091:AE1093),SUM(Calculations!AE628:AE630))," ")</f>
        <v>157500</v>
      </c>
      <c r="AF146" s="94">
        <f>IF(AF$143=1,IF(AF132=1,SUM(Calculations!AF628:AF630)+SUM(Calculations!AF1091:AF1093),SUM(Calculations!AF628:AF630))," ")</f>
        <v>161250</v>
      </c>
      <c r="AG146" s="94">
        <f>IF(AG$143=1,IF(AG132=1,SUM(Calculations!AG628:AG630)+SUM(Calculations!AG1091:AG1093),SUM(Calculations!AG628:AG630))," ")</f>
        <v>165000</v>
      </c>
      <c r="AH146" s="94">
        <f>IF(AH$143=1,IF(AH132=1,SUM(Calculations!AH628:AH630)+SUM(Calculations!AH1091:AH1093),SUM(Calculations!AH628:AH630))," ")</f>
        <v>168750</v>
      </c>
    </row>
    <row r="147" spans="1:34" s="412" customFormat="1" x14ac:dyDescent="0.2">
      <c r="A147" s="18"/>
      <c r="B147" s="80" t="s">
        <v>297</v>
      </c>
      <c r="C147" s="80"/>
      <c r="D147" s="80"/>
      <c r="E147" s="128" t="str">
        <f>IF(E143=1,IF(($E144+SUM($F$143:$AH$143))=E144,(SUM(E145:E146)/SUM($E145:$E146))^(1/SUM($F$143:$AH$143))-1," "),0)</f>
        <v xml:space="preserve"> </v>
      </c>
      <c r="F147" s="128" t="str">
        <f t="shared" ref="F147:I147" si="4">IF(F143=1,IF(($E144+SUM($F$143:$AH$143))=F144,(SUM(F145:F146)/SUM($E145:$E146))^(1/SUM($F$143:$AH$143))-1," "),0)</f>
        <v xml:space="preserve"> </v>
      </c>
      <c r="G147" s="128" t="str">
        <f t="shared" si="4"/>
        <v xml:space="preserve"> </v>
      </c>
      <c r="H147" s="128" t="str">
        <f t="shared" si="4"/>
        <v xml:space="preserve"> </v>
      </c>
      <c r="I147" s="128" t="str">
        <f t="shared" si="4"/>
        <v xml:space="preserve"> </v>
      </c>
      <c r="J147" s="128" t="str">
        <f t="shared" ref="J147:AH147" si="5">IF(J143=1,IF(($E144+SUM($F$143:$AH$143))=J144,(SUM(J145:J146)/SUM($E145:$E146))^(1/SUM($F$143:$AH$143))-1," ")," ")</f>
        <v xml:space="preserve"> </v>
      </c>
      <c r="K147" s="128" t="str">
        <f t="shared" si="5"/>
        <v xml:space="preserve"> </v>
      </c>
      <c r="L147" s="128" t="str">
        <f t="shared" si="5"/>
        <v xml:space="preserve"> </v>
      </c>
      <c r="M147" s="128" t="str">
        <f t="shared" si="5"/>
        <v xml:space="preserve"> </v>
      </c>
      <c r="N147" s="128" t="str">
        <f t="shared" si="5"/>
        <v xml:space="preserve"> </v>
      </c>
      <c r="O147" s="128" t="str">
        <f t="shared" si="5"/>
        <v xml:space="preserve"> </v>
      </c>
      <c r="P147" s="128" t="str">
        <f t="shared" si="5"/>
        <v xml:space="preserve"> </v>
      </c>
      <c r="Q147" s="128" t="str">
        <f t="shared" si="5"/>
        <v xml:space="preserve"> </v>
      </c>
      <c r="R147" s="128" t="str">
        <f t="shared" si="5"/>
        <v xml:space="preserve"> </v>
      </c>
      <c r="S147" s="128" t="str">
        <f t="shared" si="5"/>
        <v xml:space="preserve"> </v>
      </c>
      <c r="T147" s="128" t="str">
        <f t="shared" si="5"/>
        <v xml:space="preserve"> </v>
      </c>
      <c r="U147" s="128" t="str">
        <f t="shared" si="5"/>
        <v xml:space="preserve"> </v>
      </c>
      <c r="V147" s="128" t="str">
        <f t="shared" si="5"/>
        <v xml:space="preserve"> </v>
      </c>
      <c r="W147" s="128" t="str">
        <f t="shared" si="5"/>
        <v xml:space="preserve"> </v>
      </c>
      <c r="X147" s="128" t="str">
        <f t="shared" si="5"/>
        <v xml:space="preserve"> </v>
      </c>
      <c r="Y147" s="128" t="str">
        <f t="shared" si="5"/>
        <v xml:space="preserve"> </v>
      </c>
      <c r="Z147" s="128" t="str">
        <f t="shared" si="5"/>
        <v xml:space="preserve"> </v>
      </c>
      <c r="AA147" s="128" t="str">
        <f t="shared" si="5"/>
        <v xml:space="preserve"> </v>
      </c>
      <c r="AB147" s="128" t="str">
        <f t="shared" si="5"/>
        <v xml:space="preserve"> </v>
      </c>
      <c r="AC147" s="128" t="str">
        <f t="shared" si="5"/>
        <v xml:space="preserve"> </v>
      </c>
      <c r="AD147" s="128" t="str">
        <f t="shared" si="5"/>
        <v xml:space="preserve"> </v>
      </c>
      <c r="AE147" s="128" t="str">
        <f t="shared" si="5"/>
        <v xml:space="preserve"> </v>
      </c>
      <c r="AF147" s="128" t="str">
        <f t="shared" si="5"/>
        <v xml:space="preserve"> </v>
      </c>
      <c r="AG147" s="128" t="str">
        <f t="shared" si="5"/>
        <v xml:space="preserve"> </v>
      </c>
      <c r="AH147" s="128">
        <f t="shared" si="5"/>
        <v>1.9469174057293204E-2</v>
      </c>
    </row>
    <row r="148" spans="1:34" s="412" customFormat="1" x14ac:dyDescent="0.2">
      <c r="A148" s="18"/>
      <c r="B148" s="80" t="s">
        <v>446</v>
      </c>
      <c r="C148" s="80"/>
      <c r="D148" s="80"/>
      <c r="E148" s="95">
        <f>IF(SUM(Calculations!E16:E21)&gt;=1,('Assumptions - Freight'!E16*'Charts - Infrastructure'!E145+'Assumptions - Passenger'!E16*'Charts - Infrastructure'!E146)/('Charts - Infrastructure'!E145+'Charts - Infrastructure'!E146),0)</f>
        <v>0.5</v>
      </c>
      <c r="F148" s="95">
        <f>IF(SUM(Calculations!F16:F21)&gt;=1,('Assumptions - Freight'!F16*'Charts - Infrastructure'!F145+'Assumptions - Passenger'!F16*'Charts - Infrastructure'!F146)/('Charts - Infrastructure'!F145+'Charts - Infrastructure'!F146),0)</f>
        <v>0.50607765897580193</v>
      </c>
      <c r="G148" s="95">
        <f>IF(SUM(Calculations!G16:G21)&gt;=1,('Assumptions - Freight'!G16*'Charts - Infrastructure'!G145+'Assumptions - Passenger'!G16*'Charts - Infrastructure'!G146)/('Charts - Infrastructure'!G145+'Charts - Infrastructure'!G146),0)</f>
        <v>0.51215531795160385</v>
      </c>
      <c r="H148" s="95">
        <f>IF(SUM(Calculations!H16:H21)&gt;=1,('Assumptions - Freight'!H16*'Charts - Infrastructure'!H145+'Assumptions - Passenger'!H16*'Charts - Infrastructure'!H146)/('Charts - Infrastructure'!H145+'Charts - Infrastructure'!H146),0)</f>
        <v>0.51782178217821773</v>
      </c>
      <c r="I148" s="95">
        <f>IF(SUM(Calculations!I16:I21)&gt;=1,('Assumptions - Freight'!I16*'Charts - Infrastructure'!I145+'Assumptions - Passenger'!I16*'Charts - Infrastructure'!I146)/('Charts - Infrastructure'!I145+'Charts - Infrastructure'!I146),0)</f>
        <v>0.52273684210526317</v>
      </c>
      <c r="J148" s="95">
        <f>IF(SUM(Calculations!J16:J21)&gt;=1,('Assumptions - Freight'!J16*'Charts - Infrastructure'!J145+'Assumptions - Passenger'!J16*'Charts - Infrastructure'!J146)/('Charts - Infrastructure'!J145+'Charts - Infrastructure'!J146)," ")</f>
        <v>0.52782071097372496</v>
      </c>
      <c r="K148" s="95">
        <f>IF(SUM(Calculations!K16:K21)&gt;=1,('Assumptions - Freight'!K16*'Charts - Infrastructure'!K145+'Assumptions - Passenger'!K16*'Charts - Infrastructure'!K146)/('Charts - Infrastructure'!K145+'Charts - Infrastructure'!K146)," ")</f>
        <v>0.53443552196504496</v>
      </c>
      <c r="L148" s="95">
        <f>IF(SUM(Calculations!L16:L21)&gt;=1,('Assumptions - Freight'!L16*'Charts - Infrastructure'!L145+'Assumptions - Passenger'!L16*'Charts - Infrastructure'!L146)/('Charts - Infrastructure'!L145+'Charts - Infrastructure'!L146)," ")</f>
        <v>0.53941149212233563</v>
      </c>
      <c r="M148" s="95">
        <f>IF(SUM(Calculations!M16:M21)&gt;=1,('Assumptions - Freight'!M16*'Charts - Infrastructure'!M145+'Assumptions - Passenger'!M16*'Charts - Infrastructure'!M146)/('Charts - Infrastructure'!M145+'Charts - Infrastructure'!M146)," ")</f>
        <v>0.54420190995907247</v>
      </c>
      <c r="N148" s="95">
        <f>IF(SUM(Calculations!N16:N21)&gt;=1,('Assumptions - Freight'!N16*'Charts - Infrastructure'!N145+'Assumptions - Passenger'!N16*'Charts - Infrastructure'!N146)/('Charts - Infrastructure'!N145+'Charts - Infrastructure'!N146)," ")</f>
        <v>0.54881696428571436</v>
      </c>
      <c r="O148" s="95">
        <f>IF(SUM(Calculations!O16:O21)&gt;=1,('Assumptions - Freight'!O16*'Charts - Infrastructure'!O145+'Assumptions - Passenger'!O16*'Charts - Infrastructure'!O146)/('Charts - Infrastructure'!O145+'Charts - Infrastructure'!O146)," ")</f>
        <v>0.55326611135466908</v>
      </c>
      <c r="P148" s="95">
        <f>IF(SUM(Calculations!P16:P21)&gt;=1,('Assumptions - Freight'!P16*'Charts - Infrastructure'!P145+'Assumptions - Passenger'!P16*'Charts - Infrastructure'!P146)/('Charts - Infrastructure'!P145+'Charts - Infrastructure'!P146)," ")</f>
        <v>0.55755813953488387</v>
      </c>
      <c r="Q148" s="95">
        <f>IF(SUM(Calculations!Q16:Q21)&gt;=1,('Assumptions - Freight'!Q16*'Charts - Infrastructure'!Q145+'Assumptions - Passenger'!Q16*'Charts - Infrastructure'!Q146)/('Charts - Infrastructure'!Q145+'Charts - Infrastructure'!Q146)," ")</f>
        <v>0.56170122725349148</v>
      </c>
      <c r="R148" s="95">
        <f>IF(SUM(Calculations!R16:R21)&gt;=1,('Assumptions - Freight'!R16*'Charts - Infrastructure'!R145+'Assumptions - Passenger'!R16*'Charts - Infrastructure'!R146)/('Charts - Infrastructure'!R145+'Charts - Infrastructure'!R146)," ")</f>
        <v>0.56570299500831955</v>
      </c>
      <c r="S148" s="95">
        <f>IF(SUM(Calculations!S16:S21)&gt;=1,('Assumptions - Freight'!S16*'Charts - Infrastructure'!S145+'Assumptions - Passenger'!S16*'Charts - Infrastructure'!S146)/('Charts - Infrastructure'!S145+'Charts - Infrastructure'!S146)," ")</f>
        <v>0.5695705521472394</v>
      </c>
      <c r="T148" s="95">
        <f>IF(SUM(Calculations!T16:T21)&gt;=1,('Assumptions - Freight'!T16*'Charts - Infrastructure'!T145+'Assumptions - Passenger'!T16*'Charts - Infrastructure'!T146)/('Charts - Infrastructure'!T145+'Charts - Infrastructure'!T146)," ")</f>
        <v>0.57331053901850371</v>
      </c>
      <c r="U148" s="95">
        <f>IF(SUM(Calculations!U16:U21)&gt;=1,('Assumptions - Freight'!U16*'Charts - Infrastructure'!U145+'Assumptions - Passenger'!U16*'Charts - Infrastructure'!U146)/('Charts - Infrastructure'!U145+'Charts - Infrastructure'!U146)," ")</f>
        <v>0.57692916501780778</v>
      </c>
      <c r="V148" s="95">
        <f>IF(SUM(Calculations!V16:V21)&gt;=1,('Assumptions - Freight'!V16*'Charts - Infrastructure'!V145+'Assumptions - Passenger'!V16*'Charts - Infrastructure'!V146)/('Charts - Infrastructure'!V145+'Charts - Infrastructure'!V146)," ")</f>
        <v>0.58043224299065443</v>
      </c>
      <c r="W148" s="95">
        <f>IF(SUM(Calculations!W16:W21)&gt;=1,('Assumptions - Freight'!W16*'Charts - Infrastructure'!W145+'Assumptions - Passenger'!W16*'Charts - Infrastructure'!W146)/('Charts - Infrastructure'!W145+'Charts - Infrastructure'!W146)," ")</f>
        <v>0.58382522039095441</v>
      </c>
      <c r="X148" s="95">
        <f>IF(SUM(Calculations!X16:X21)&gt;=1,('Assumptions - Freight'!X16*'Charts - Infrastructure'!X145+'Assumptions - Passenger'!X16*'Charts - Infrastructure'!X146)/('Charts - Infrastructure'!X145+'Charts - Infrastructure'!X146)," ")</f>
        <v>0.58711320754717</v>
      </c>
      <c r="Y148" s="95">
        <f>IF(SUM(Calculations!Y16:Y21)&gt;=1,('Assumptions - Freight'!Y16*'Charts - Infrastructure'!Y145+'Assumptions - Passenger'!Y16*'Charts - Infrastructure'!Y146)/('Charts - Infrastructure'!Y145+'Charts - Infrastructure'!Y146)," ")</f>
        <v>0.59030100334448166</v>
      </c>
      <c r="Z148" s="95">
        <f>IF(SUM(Calculations!Z16:Z21)&gt;=1,('Assumptions - Freight'!Z16*'Charts - Infrastructure'!Z145+'Assumptions - Passenger'!Z16*'Charts - Infrastructure'!Z146)/('Charts - Infrastructure'!Z145+'Charts - Infrastructure'!Z146)," ")</f>
        <v>0.59339311859443644</v>
      </c>
      <c r="AA148" s="95">
        <f>IF(SUM(Calculations!AA16:AA21)&gt;=1,('Assumptions - Freight'!AA16*'Charts - Infrastructure'!AA145+'Assumptions - Passenger'!AA16*'Charts - Infrastructure'!AA146)/('Charts - Infrastructure'!AA145+'Charts - Infrastructure'!AA146)," ")</f>
        <v>0.59639379733141007</v>
      </c>
      <c r="AB148" s="95">
        <f>IF(SUM(Calculations!AB16:AB21)&gt;=1,('Assumptions - Freight'!AB16*'Charts - Infrastructure'!AB145+'Assumptions - Passenger'!AB16*'Charts - Infrastructure'!AB146)/('Charts - Infrastructure'!AB145+'Charts - Infrastructure'!AB146)," ")</f>
        <v>0.59930703624733495</v>
      </c>
      <c r="AC148" s="95">
        <f>IF(SUM(Calculations!AC16:AC21)&gt;=1,('Assumptions - Freight'!AC16*'Charts - Infrastructure'!AC145+'Assumptions - Passenger'!AC16*'Charts - Infrastructure'!AC146)/('Charts - Infrastructure'!AC145+'Charts - Infrastructure'!AC146)," ")</f>
        <v>0.60213660245183898</v>
      </c>
      <c r="AD148" s="95">
        <f>IF(SUM(Calculations!AD16:AD21)&gt;=1,('Assumptions - Freight'!AD16*'Charts - Infrastructure'!AD145+'Assumptions - Passenger'!AD16*'Charts - Infrastructure'!AD146)/('Charts - Infrastructure'!AD145+'Charts - Infrastructure'!AD146)," ")</f>
        <v>0.60488604972375704</v>
      </c>
      <c r="AE148" s="95">
        <f>IF(SUM(Calculations!AE16:AE21)&gt;=1,('Assumptions - Freight'!AE16*'Charts - Infrastructure'!AE145+'Assumptions - Passenger'!AE16*'Charts - Infrastructure'!AE146)/('Charts - Infrastructure'!AE145+'Charts - Infrastructure'!AE146)," ")</f>
        <v>0.60755873340143018</v>
      </c>
      <c r="AF148" s="95">
        <f>IF(SUM(Calculations!AF16:AF21)&gt;=1,('Assumptions - Freight'!AF16*'Charts - Infrastructure'!AF145+'Assumptions - Passenger'!AF16*'Charts - Infrastructure'!AF146)/('Charts - Infrastructure'!AF145+'Charts - Infrastructure'!AF146)," ")</f>
        <v>0.61015782404298202</v>
      </c>
      <c r="AG148" s="95">
        <f>IF(SUM(Calculations!AG16:AG21)&gt;=1,('Assumptions - Freight'!AG16*'Charts - Infrastructure'!AG145+'Assumptions - Passenger'!AG16*'Charts - Infrastructure'!AG146)/('Charts - Infrastructure'!AG145+'Charts - Infrastructure'!AG146)," ")</f>
        <v>0.61268631997350131</v>
      </c>
      <c r="AH148" s="95">
        <f>IF(SUM(Calculations!AH16:AH21)&gt;=1,('Assumptions - Freight'!AH16*'Charts - Infrastructure'!AH145+'Assumptions - Passenger'!AH16*'Charts - Infrastructure'!AH146)/('Charts - Infrastructure'!AH145+'Charts - Infrastructure'!AH146)," ")</f>
        <v>0.6151470588235296</v>
      </c>
    </row>
    <row r="149" spans="1:34" s="412" customFormat="1" x14ac:dyDescent="0.2">
      <c r="A149" s="18"/>
      <c r="B149" s="80"/>
      <c r="C149" s="80"/>
      <c r="D149" s="80"/>
      <c r="E149" s="80"/>
      <c r="F149" s="128"/>
      <c r="G149" s="128"/>
      <c r="H149" s="128"/>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row>
    <row r="150" spans="1:34" s="412" customFormat="1" x14ac:dyDescent="0.2">
      <c r="A150" s="18"/>
      <c r="B150" s="90" t="s">
        <v>441</v>
      </c>
      <c r="C150" s="80"/>
      <c r="D150" s="80"/>
      <c r="E150" s="80" t="s">
        <v>305</v>
      </c>
      <c r="F150" s="80" t="s">
        <v>441</v>
      </c>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row>
    <row r="151" spans="1:34" s="412" customFormat="1" x14ac:dyDescent="0.2">
      <c r="A151" s="18"/>
      <c r="B151" s="80"/>
      <c r="C151" s="80"/>
      <c r="D151" s="80"/>
      <c r="E151" s="93">
        <f>YEAR('Charts - Freight'!E$131)</f>
        <v>2010</v>
      </c>
      <c r="F151" s="93">
        <f>YEAR('Charts - Freight'!F$131)</f>
        <v>2011</v>
      </c>
      <c r="G151" s="93">
        <f>YEAR('Charts - Freight'!G$131)</f>
        <v>2012</v>
      </c>
      <c r="H151" s="93">
        <f>YEAR('Charts - Freight'!H$131)</f>
        <v>2013</v>
      </c>
      <c r="I151" s="93">
        <f>YEAR('Charts - Freight'!I$131)</f>
        <v>2014</v>
      </c>
      <c r="J151" s="93">
        <f>YEAR('Charts - Freight'!J$131)</f>
        <v>2015</v>
      </c>
      <c r="K151" s="93">
        <f>YEAR('Charts - Freight'!K$131)</f>
        <v>2016</v>
      </c>
      <c r="L151" s="93">
        <f>YEAR('Charts - Freight'!L$131)</f>
        <v>2017</v>
      </c>
      <c r="M151" s="93">
        <f>YEAR('Charts - Freight'!M$131)</f>
        <v>2018</v>
      </c>
      <c r="N151" s="93">
        <f>YEAR('Charts - Freight'!N$131)</f>
        <v>2019</v>
      </c>
      <c r="O151" s="93">
        <f>YEAR('Charts - Freight'!O$131)</f>
        <v>2020</v>
      </c>
      <c r="P151" s="93">
        <f>YEAR('Charts - Freight'!P$131)</f>
        <v>2021</v>
      </c>
      <c r="Q151" s="93">
        <f>YEAR('Charts - Freight'!Q$131)</f>
        <v>2022</v>
      </c>
      <c r="R151" s="93">
        <f>YEAR('Charts - Freight'!R$131)</f>
        <v>2023</v>
      </c>
      <c r="S151" s="93">
        <f>YEAR('Charts - Freight'!S$131)</f>
        <v>2024</v>
      </c>
      <c r="T151" s="93">
        <f>YEAR('Charts - Freight'!T$131)</f>
        <v>2025</v>
      </c>
      <c r="U151" s="93">
        <f>YEAR('Charts - Freight'!U$131)</f>
        <v>2026</v>
      </c>
      <c r="V151" s="93">
        <f>YEAR('Charts - Freight'!V$131)</f>
        <v>2027</v>
      </c>
      <c r="W151" s="93">
        <f>YEAR('Charts - Freight'!W$131)</f>
        <v>2028</v>
      </c>
      <c r="X151" s="93">
        <f>YEAR('Charts - Freight'!X$131)</f>
        <v>2029</v>
      </c>
      <c r="Y151" s="93">
        <f>YEAR('Charts - Freight'!Y$131)</f>
        <v>2030</v>
      </c>
      <c r="Z151" s="93">
        <f>YEAR('Charts - Freight'!Z$131)</f>
        <v>2031</v>
      </c>
      <c r="AA151" s="93">
        <f>YEAR('Charts - Freight'!AA$131)</f>
        <v>2032</v>
      </c>
      <c r="AB151" s="93">
        <f>YEAR('Charts - Freight'!AB$131)</f>
        <v>2033</v>
      </c>
      <c r="AC151" s="93">
        <f>YEAR('Charts - Freight'!AC$131)</f>
        <v>2034</v>
      </c>
      <c r="AD151" s="93">
        <f>YEAR('Charts - Freight'!AD$131)</f>
        <v>2035</v>
      </c>
      <c r="AE151" s="93">
        <f>YEAR('Charts - Freight'!AE$131)</f>
        <v>2036</v>
      </c>
      <c r="AF151" s="93">
        <f>YEAR('Charts - Freight'!AF$131)</f>
        <v>2037</v>
      </c>
      <c r="AG151" s="93">
        <f>YEAR('Charts - Freight'!AG$131)</f>
        <v>2038</v>
      </c>
      <c r="AH151" s="93">
        <f>YEAR('Charts - Freight'!AH$131)</f>
        <v>2039</v>
      </c>
    </row>
    <row r="152" spans="1:34" s="412" customFormat="1" x14ac:dyDescent="0.2">
      <c r="A152" s="18"/>
      <c r="B152" s="80" t="str">
        <f>B145</f>
        <v>Total freight traffic</v>
      </c>
      <c r="C152" s="80"/>
      <c r="D152" s="80"/>
      <c r="E152" s="94">
        <f>IF(E143=1,(IF('Assumptions - Freight'!$E$111=1,SUM(Calculations!E134:E143),SUM(Calculations!E134:E143)*'Assumptions - Freight'!$E$113)+IF('Assumptions - Infrastructure'!$E$116=1,SUM(Calculations!E1037:E1042),SUM(Calculations!E1037:E1042)*'Assumptions - Infrastructure'!$E$118)),0)</f>
        <v>65000</v>
      </c>
      <c r="F152" s="94">
        <f>IF(F143=1,(IF('Assumptions - Freight'!$E$111=1,SUM(Calculations!F134:F143),SUM(Calculations!F134:F143)*'Assumptions - Freight'!$E$113)+IF('Assumptions - Infrastructure'!$E$116=1,SUM(Calculations!F1037:F1042),SUM(Calculations!F1037:F1042)*'Assumptions - Infrastructure'!$E$118)),0)</f>
        <v>64000</v>
      </c>
      <c r="G152" s="94">
        <f>IF(G143=1,(IF('Assumptions - Freight'!$E$111=1,SUM(Calculations!G134:G143),SUM(Calculations!G134:G143)*'Assumptions - Freight'!$E$113)+IF('Assumptions - Infrastructure'!$E$116=1,SUM(Calculations!G1037:G1042),SUM(Calculations!G1037:G1042)*'Assumptions - Infrastructure'!$E$118)),0)</f>
        <v>64000</v>
      </c>
      <c r="H152" s="94">
        <f>IF(H143=1,(IF('Assumptions - Freight'!$E$111=1,SUM(Calculations!H134:H143),SUM(Calculations!H134:H143)*'Assumptions - Freight'!$E$113)+IF('Assumptions - Infrastructure'!$E$116=1,SUM(Calculations!H1037:H1042),SUM(Calculations!H1037:H1042)*'Assumptions - Infrastructure'!$E$118)),0)</f>
        <v>64000</v>
      </c>
      <c r="I152" s="94">
        <f>IF(I143=1,(IF('Assumptions - Freight'!$E$111=1,SUM(Calculations!I134:I143),SUM(Calculations!I134:I143)*'Assumptions - Freight'!$E$113)+IF('Assumptions - Infrastructure'!$E$116=1,SUM(Calculations!I1037:I1042),SUM(Calculations!I1037:I1042)*'Assumptions - Infrastructure'!$E$118)),0)</f>
        <v>64000</v>
      </c>
      <c r="J152" s="94">
        <f>IF(J143=1,(IF('Assumptions - Freight'!$E$111=1,SUM(Calculations!J134:J143),SUM(Calculations!J134:J143)*'Assumptions - Freight'!$E$113)+IF('Assumptions - Infrastructure'!$E$116=1,SUM(Calculations!J1037:J1042),SUM(Calculations!J1037:J1042)*'Assumptions - Infrastructure'!$E$118))," ")</f>
        <v>64000</v>
      </c>
      <c r="K152" s="94">
        <f>IF(K143=1,(IF('Assumptions - Freight'!$E$111=1,SUM(Calculations!K134:K143),SUM(Calculations!K134:K143)*'Assumptions - Freight'!$E$113)+IF('Assumptions - Infrastructure'!$E$116=1,SUM(Calculations!K1037:K1042),SUM(Calculations!K1037:K1042)*'Assumptions - Infrastructure'!$E$118))," ")</f>
        <v>72000</v>
      </c>
      <c r="L152" s="94">
        <f>IF(L143=1,(IF('Assumptions - Freight'!$E$111=1,SUM(Calculations!L134:L143),SUM(Calculations!L134:L143)*'Assumptions - Freight'!$E$113)+IF('Assumptions - Infrastructure'!$E$116=1,SUM(Calculations!L1037:L1042),SUM(Calculations!L1037:L1042)*'Assumptions - Infrastructure'!$E$118))," ")</f>
        <v>72000</v>
      </c>
      <c r="M152" s="94">
        <f>IF(M143=1,(IF('Assumptions - Freight'!$E$111=1,SUM(Calculations!M134:M143),SUM(Calculations!M134:M143)*'Assumptions - Freight'!$E$113)+IF('Assumptions - Infrastructure'!$E$116=1,SUM(Calculations!M1037:M1042),SUM(Calculations!M1037:M1042)*'Assumptions - Infrastructure'!$E$118))," ")</f>
        <v>72000</v>
      </c>
      <c r="N152" s="94">
        <f>IF(N143=1,(IF('Assumptions - Freight'!$E$111=1,SUM(Calculations!N134:N143),SUM(Calculations!N134:N143)*'Assumptions - Freight'!$E$113)+IF('Assumptions - Infrastructure'!$E$116=1,SUM(Calculations!N1037:N1042),SUM(Calculations!N1037:N1042)*'Assumptions - Infrastructure'!$E$118))," ")</f>
        <v>72000</v>
      </c>
      <c r="O152" s="94">
        <f>IF(O143=1,(IF('Assumptions - Freight'!$E$111=1,SUM(Calculations!O134:O143),SUM(Calculations!O134:O143)*'Assumptions - Freight'!$E$113)+IF('Assumptions - Infrastructure'!$E$116=1,SUM(Calculations!O1037:O1042),SUM(Calculations!O1037:O1042)*'Assumptions - Infrastructure'!$E$118))," ")</f>
        <v>72000</v>
      </c>
      <c r="P152" s="94">
        <f>IF(P143=1,(IF('Assumptions - Freight'!$E$111=1,SUM(Calculations!P134:P143),SUM(Calculations!P134:P143)*'Assumptions - Freight'!$E$113)+IF('Assumptions - Infrastructure'!$E$116=1,SUM(Calculations!P1037:P1042),SUM(Calculations!P1037:P1042)*'Assumptions - Infrastructure'!$E$118))," ")</f>
        <v>72000</v>
      </c>
      <c r="Q152" s="94">
        <f>IF(Q143=1,(IF('Assumptions - Freight'!$E$111=1,SUM(Calculations!Q134:Q143),SUM(Calculations!Q134:Q143)*'Assumptions - Freight'!$E$113)+IF('Assumptions - Infrastructure'!$E$116=1,SUM(Calculations!Q1037:Q1042),SUM(Calculations!Q1037:Q1042)*'Assumptions - Infrastructure'!$E$118))," ")</f>
        <v>72000</v>
      </c>
      <c r="R152" s="94">
        <f>IF(R143=1,(IF('Assumptions - Freight'!$E$111=1,SUM(Calculations!R134:R143),SUM(Calculations!R134:R143)*'Assumptions - Freight'!$E$113)+IF('Assumptions - Infrastructure'!$E$116=1,SUM(Calculations!R1037:R1042),SUM(Calculations!R1037:R1042)*'Assumptions - Infrastructure'!$E$118))," ")</f>
        <v>72000</v>
      </c>
      <c r="S152" s="94">
        <f>IF(S143=1,(IF('Assumptions - Freight'!$E$111=1,SUM(Calculations!S134:S143),SUM(Calculations!S134:S143)*'Assumptions - Freight'!$E$113)+IF('Assumptions - Infrastructure'!$E$116=1,SUM(Calculations!S1037:S1042),SUM(Calculations!S1037:S1042)*'Assumptions - Infrastructure'!$E$118))," ")</f>
        <v>72000</v>
      </c>
      <c r="T152" s="94">
        <f>IF(T143=1,(IF('Assumptions - Freight'!$E$111=1,SUM(Calculations!T134:T143),SUM(Calculations!T134:T143)*'Assumptions - Freight'!$E$113)+IF('Assumptions - Infrastructure'!$E$116=1,SUM(Calculations!T1037:T1042),SUM(Calculations!T1037:T1042)*'Assumptions - Infrastructure'!$E$118))," ")</f>
        <v>72000</v>
      </c>
      <c r="U152" s="94">
        <f>IF(U143=1,(IF('Assumptions - Freight'!$E$111=1,SUM(Calculations!U134:U143),SUM(Calculations!U134:U143)*'Assumptions - Freight'!$E$113)+IF('Assumptions - Infrastructure'!$E$116=1,SUM(Calculations!U1037:U1042),SUM(Calculations!U1037:U1042)*'Assumptions - Infrastructure'!$E$118))," ")</f>
        <v>72000</v>
      </c>
      <c r="V152" s="94">
        <f>IF(V143=1,(IF('Assumptions - Freight'!$E$111=1,SUM(Calculations!V134:V143),SUM(Calculations!V134:V143)*'Assumptions - Freight'!$E$113)+IF('Assumptions - Infrastructure'!$E$116=1,SUM(Calculations!V1037:V1042),SUM(Calculations!V1037:V1042)*'Assumptions - Infrastructure'!$E$118))," ")</f>
        <v>72000</v>
      </c>
      <c r="W152" s="94">
        <f>IF(W143=1,(IF('Assumptions - Freight'!$E$111=1,SUM(Calculations!W134:W143),SUM(Calculations!W134:W143)*'Assumptions - Freight'!$E$113)+IF('Assumptions - Infrastructure'!$E$116=1,SUM(Calculations!W1037:W1042),SUM(Calculations!W1037:W1042)*'Assumptions - Infrastructure'!$E$118))," ")</f>
        <v>72000</v>
      </c>
      <c r="X152" s="94">
        <f>IF(X143=1,(IF('Assumptions - Freight'!$E$111=1,SUM(Calculations!X134:X143),SUM(Calculations!X134:X143)*'Assumptions - Freight'!$E$113)+IF('Assumptions - Infrastructure'!$E$116=1,SUM(Calculations!X1037:X1042),SUM(Calculations!X1037:X1042)*'Assumptions - Infrastructure'!$E$118))," ")</f>
        <v>72000</v>
      </c>
      <c r="Y152" s="94">
        <f>IF(Y143=1,(IF('Assumptions - Freight'!$E$111=1,SUM(Calculations!Y134:Y143),SUM(Calculations!Y134:Y143)*'Assumptions - Freight'!$E$113)+IF('Assumptions - Infrastructure'!$E$116=1,SUM(Calculations!Y1037:Y1042),SUM(Calculations!Y1037:Y1042)*'Assumptions - Infrastructure'!$E$118))," ")</f>
        <v>72000</v>
      </c>
      <c r="Z152" s="94">
        <f>IF(Z143=1,(IF('Assumptions - Freight'!$E$111=1,SUM(Calculations!Z134:Z143),SUM(Calculations!Z134:Z143)*'Assumptions - Freight'!$E$113)+IF('Assumptions - Infrastructure'!$E$116=1,SUM(Calculations!Z1037:Z1042),SUM(Calculations!Z1037:Z1042)*'Assumptions - Infrastructure'!$E$118))," ")</f>
        <v>72000</v>
      </c>
      <c r="AA152" s="94">
        <f>IF(AA143=1,(IF('Assumptions - Freight'!$E$111=1,SUM(Calculations!AA134:AA143),SUM(Calculations!AA134:AA143)*'Assumptions - Freight'!$E$113)+IF('Assumptions - Infrastructure'!$E$116=1,SUM(Calculations!AA1037:AA1042),SUM(Calculations!AA1037:AA1042)*'Assumptions - Infrastructure'!$E$118))," ")</f>
        <v>72000</v>
      </c>
      <c r="AB152" s="94">
        <f>IF(AB143=1,(IF('Assumptions - Freight'!$E$111=1,SUM(Calculations!AB134:AB143),SUM(Calculations!AB134:AB143)*'Assumptions - Freight'!$E$113)+IF('Assumptions - Infrastructure'!$E$116=1,SUM(Calculations!AB1037:AB1042),SUM(Calculations!AB1037:AB1042)*'Assumptions - Infrastructure'!$E$118))," ")</f>
        <v>72000</v>
      </c>
      <c r="AC152" s="94">
        <f>IF(AC143=1,(IF('Assumptions - Freight'!$E$111=1,SUM(Calculations!AC134:AC143),SUM(Calculations!AC134:AC143)*'Assumptions - Freight'!$E$113)+IF('Assumptions - Infrastructure'!$E$116=1,SUM(Calculations!AC1037:AC1042),SUM(Calculations!AC1037:AC1042)*'Assumptions - Infrastructure'!$E$118))," ")</f>
        <v>72000</v>
      </c>
      <c r="AD152" s="94">
        <f>IF(AD143=1,(IF('Assumptions - Freight'!$E$111=1,SUM(Calculations!AD134:AD143),SUM(Calculations!AD134:AD143)*'Assumptions - Freight'!$E$113)+IF('Assumptions - Infrastructure'!$E$116=1,SUM(Calculations!AD1037:AD1042),SUM(Calculations!AD1037:AD1042)*'Assumptions - Infrastructure'!$E$118))," ")</f>
        <v>72000</v>
      </c>
      <c r="AE152" s="94">
        <f>IF(AE143=1,(IF('Assumptions - Freight'!$E$111=1,SUM(Calculations!AE134:AE143),SUM(Calculations!AE134:AE143)*'Assumptions - Freight'!$E$113)+IF('Assumptions - Infrastructure'!$E$116=1,SUM(Calculations!AE1037:AE1042),SUM(Calculations!AE1037:AE1042)*'Assumptions - Infrastructure'!$E$118))," ")</f>
        <v>72000</v>
      </c>
      <c r="AF152" s="94">
        <f>IF(AF143=1,(IF('Assumptions - Freight'!$E$111=1,SUM(Calculations!AF134:AF143),SUM(Calculations!AF134:AF143)*'Assumptions - Freight'!$E$113)+IF('Assumptions - Infrastructure'!$E$116=1,SUM(Calculations!AF1037:AF1042),SUM(Calculations!AF1037:AF1042)*'Assumptions - Infrastructure'!$E$118))," ")</f>
        <v>72000</v>
      </c>
      <c r="AG152" s="94">
        <f>IF(AG143=1,(IF('Assumptions - Freight'!$E$111=1,SUM(Calculations!AG134:AG143),SUM(Calculations!AG134:AG143)*'Assumptions - Freight'!$E$113)+IF('Assumptions - Infrastructure'!$E$116=1,SUM(Calculations!AG1037:AG1042),SUM(Calculations!AG1037:AG1042)*'Assumptions - Infrastructure'!$E$118))," ")</f>
        <v>72000</v>
      </c>
      <c r="AH152" s="94">
        <f>IF(AH143=1,(IF('Assumptions - Freight'!$E$111=1,SUM(Calculations!AH134:AH143),SUM(Calculations!AH134:AH143)*'Assumptions - Freight'!$E$113)+IF('Assumptions - Infrastructure'!$E$116=1,SUM(Calculations!AH1037:AH1042),SUM(Calculations!AH1037:AH1042)*'Assumptions - Infrastructure'!$E$118))," ")</f>
        <v>72000</v>
      </c>
    </row>
    <row r="153" spans="1:34" s="412" customFormat="1" x14ac:dyDescent="0.2">
      <c r="A153" s="18"/>
      <c r="B153" s="80" t="str">
        <f>B146</f>
        <v>Total passenger traffic</v>
      </c>
      <c r="C153" s="80"/>
      <c r="D153" s="80"/>
      <c r="E153" s="94">
        <f>IF(E143=1,SUM(Calculations!E619:E621)+SUM(Calculations!E1082:E1084),0)</f>
        <v>48000</v>
      </c>
      <c r="F153" s="94">
        <f>IF(F143=1,SUM(Calculations!F619:F621)+SUM(Calculations!F1082:F1084),0)</f>
        <v>51000</v>
      </c>
      <c r="G153" s="94">
        <f>IF(G143=1,SUM(Calculations!G619:G621)+SUM(Calculations!G1082:G1084),0)</f>
        <v>51000</v>
      </c>
      <c r="H153" s="94">
        <f>IF(H143=1,SUM(Calculations!H619:H621)+SUM(Calculations!H1082:H1084),0)</f>
        <v>54000</v>
      </c>
      <c r="I153" s="94">
        <f>IF(I143=1,SUM(Calculations!I619:I621)+SUM(Calculations!I1082:I1084),0)</f>
        <v>60000</v>
      </c>
      <c r="J153" s="94">
        <f>IF(J143=1,SUM(Calculations!J619:J621)+SUM(Calculations!J1082:J1084)," ")</f>
        <v>63000</v>
      </c>
      <c r="K153" s="94">
        <f>IF(K143=1,SUM(Calculations!K619:K621)+SUM(Calculations!K1082:K1084)," ")</f>
        <v>66000</v>
      </c>
      <c r="L153" s="94">
        <f>IF(L143=1,SUM(Calculations!L619:L621)+SUM(Calculations!L1082:L1084)," ")</f>
        <v>69000</v>
      </c>
      <c r="M153" s="94">
        <f>IF(M143=1,SUM(Calculations!M619:M621)+SUM(Calculations!M1082:M1084)," ")</f>
        <v>72000</v>
      </c>
      <c r="N153" s="94">
        <f>IF(N143=1,SUM(Calculations!N619:N621)+SUM(Calculations!N1082:N1084)," ")</f>
        <v>75000</v>
      </c>
      <c r="O153" s="94">
        <f>IF(O143=1,SUM(Calculations!O619:O621)+SUM(Calculations!O1082:O1084)," ")</f>
        <v>78000</v>
      </c>
      <c r="P153" s="94">
        <f>IF(P143=1,SUM(Calculations!P619:P621)+SUM(Calculations!P1082:P1084)," ")</f>
        <v>81000</v>
      </c>
      <c r="Q153" s="94">
        <f>IF(Q143=1,SUM(Calculations!Q619:Q621)+SUM(Calculations!Q1082:Q1084)," ")</f>
        <v>84000</v>
      </c>
      <c r="R153" s="94">
        <f>IF(R143=1,SUM(Calculations!R619:R621)+SUM(Calculations!R1082:R1084)," ")</f>
        <v>87000</v>
      </c>
      <c r="S153" s="94">
        <f>IF(S143=1,SUM(Calculations!S619:S621)+SUM(Calculations!S1082:S1084)," ")</f>
        <v>90000</v>
      </c>
      <c r="T153" s="94">
        <f>IF(T143=1,SUM(Calculations!T619:T621)+SUM(Calculations!T1082:T1084)," ")</f>
        <v>93000</v>
      </c>
      <c r="U153" s="94">
        <f>IF(U143=1,SUM(Calculations!U619:U621)+SUM(Calculations!U1082:U1084)," ")</f>
        <v>96000</v>
      </c>
      <c r="V153" s="94">
        <f>IF(V143=1,SUM(Calculations!V619:V621)+SUM(Calculations!V1082:V1084)," ")</f>
        <v>99000</v>
      </c>
      <c r="W153" s="94">
        <f>IF(W143=1,SUM(Calculations!W619:W621)+SUM(Calculations!W1082:W1084)," ")</f>
        <v>102000</v>
      </c>
      <c r="X153" s="94">
        <f>IF(X143=1,SUM(Calculations!X619:X621)+SUM(Calculations!X1082:X1084)," ")</f>
        <v>105000</v>
      </c>
      <c r="Y153" s="94">
        <f>IF(Y143=1,SUM(Calculations!Y619:Y621)+SUM(Calculations!Y1082:Y1084)," ")</f>
        <v>108000</v>
      </c>
      <c r="Z153" s="94">
        <f>IF(Z143=1,SUM(Calculations!Z619:Z621)+SUM(Calculations!Z1082:Z1084)," ")</f>
        <v>111000</v>
      </c>
      <c r="AA153" s="94">
        <f>IF(AA143=1,SUM(Calculations!AA619:AA621)+SUM(Calculations!AA1082:AA1084)," ")</f>
        <v>114000</v>
      </c>
      <c r="AB153" s="94">
        <f>IF(AB143=1,SUM(Calculations!AB619:AB621)+SUM(Calculations!AB1082:AB1084)," ")</f>
        <v>117000</v>
      </c>
      <c r="AC153" s="94">
        <f>IF(AC143=1,SUM(Calculations!AC619:AC621)+SUM(Calculations!AC1082:AC1084)," ")</f>
        <v>120000</v>
      </c>
      <c r="AD153" s="94">
        <f>IF(AD143=1,SUM(Calculations!AD619:AD621)+SUM(Calculations!AD1082:AD1084)," ")</f>
        <v>123000</v>
      </c>
      <c r="AE153" s="94">
        <f>IF(AE143=1,SUM(Calculations!AE619:AE621)+SUM(Calculations!AE1082:AE1084)," ")</f>
        <v>126000</v>
      </c>
      <c r="AF153" s="94">
        <f>IF(AF143=1,SUM(Calculations!AF619:AF621)+SUM(Calculations!AF1082:AF1084)," ")</f>
        <v>129000</v>
      </c>
      <c r="AG153" s="94">
        <f>IF(AG143=1,SUM(Calculations!AG619:AG621)+SUM(Calculations!AG1082:AG1084)," ")</f>
        <v>132000</v>
      </c>
      <c r="AH153" s="94">
        <f>IF(AH143=1,SUM(Calculations!AH619:AH621)+SUM(Calculations!AH1082:AH1084)," ")</f>
        <v>135000</v>
      </c>
    </row>
    <row r="154" spans="1:34" s="412" customFormat="1" x14ac:dyDescent="0.2">
      <c r="A154" s="18"/>
      <c r="B154" s="80" t="s">
        <v>515</v>
      </c>
      <c r="C154" s="80"/>
      <c r="D154" s="80"/>
      <c r="E154" s="128" t="str">
        <f>IF(E132=1,IF(($E151+SUM($F$132:$AH$132))=E151,(SUM(E152:E152)/SUM($E152:$E152))^(1/SUM($F$132:$AH$132))-1," "),0)</f>
        <v xml:space="preserve"> </v>
      </c>
      <c r="F154" s="128" t="str">
        <f t="shared" ref="F154:I154" si="6">IF(F132=1,IF(($E151+SUM($F$132:$AH$132))=F151,(SUM(F152:F152)/SUM($E152:$E152))^(1/SUM($F$132:$AH$132))-1," "),0)</f>
        <v xml:space="preserve"> </v>
      </c>
      <c r="G154" s="128" t="str">
        <f t="shared" si="6"/>
        <v xml:space="preserve"> </v>
      </c>
      <c r="H154" s="128" t="str">
        <f t="shared" si="6"/>
        <v xml:space="preserve"> </v>
      </c>
      <c r="I154" s="128" t="str">
        <f t="shared" si="6"/>
        <v xml:space="preserve"> </v>
      </c>
      <c r="J154" s="128" t="str">
        <f t="shared" ref="J154:AH154" si="7">IF(J132=1,IF(($E151+SUM($F$132:$AH$132))=J151,(SUM(J152:J152)/SUM($E152:$E152))^(1/SUM($F$132:$AH$132))-1," ")," ")</f>
        <v xml:space="preserve"> </v>
      </c>
      <c r="K154" s="128" t="str">
        <f t="shared" si="7"/>
        <v xml:space="preserve"> </v>
      </c>
      <c r="L154" s="128" t="str">
        <f t="shared" si="7"/>
        <v xml:space="preserve"> </v>
      </c>
      <c r="M154" s="128" t="str">
        <f t="shared" si="7"/>
        <v xml:space="preserve"> </v>
      </c>
      <c r="N154" s="128" t="str">
        <f t="shared" si="7"/>
        <v xml:space="preserve"> </v>
      </c>
      <c r="O154" s="128" t="str">
        <f t="shared" si="7"/>
        <v xml:space="preserve"> </v>
      </c>
      <c r="P154" s="128" t="str">
        <f t="shared" si="7"/>
        <v xml:space="preserve"> </v>
      </c>
      <c r="Q154" s="128" t="str">
        <f t="shared" si="7"/>
        <v xml:space="preserve"> </v>
      </c>
      <c r="R154" s="128" t="str">
        <f t="shared" si="7"/>
        <v xml:space="preserve"> </v>
      </c>
      <c r="S154" s="128" t="str">
        <f t="shared" si="7"/>
        <v xml:space="preserve"> </v>
      </c>
      <c r="T154" s="128" t="str">
        <f t="shared" si="7"/>
        <v xml:space="preserve"> </v>
      </c>
      <c r="U154" s="128" t="str">
        <f t="shared" si="7"/>
        <v xml:space="preserve"> </v>
      </c>
      <c r="V154" s="128" t="str">
        <f t="shared" si="7"/>
        <v xml:space="preserve"> </v>
      </c>
      <c r="W154" s="128" t="str">
        <f t="shared" si="7"/>
        <v xml:space="preserve"> </v>
      </c>
      <c r="X154" s="128" t="str">
        <f t="shared" si="7"/>
        <v xml:space="preserve"> </v>
      </c>
      <c r="Y154" s="128" t="str">
        <f t="shared" si="7"/>
        <v xml:space="preserve"> </v>
      </c>
      <c r="Z154" s="128" t="str">
        <f t="shared" si="7"/>
        <v xml:space="preserve"> </v>
      </c>
      <c r="AA154" s="128" t="str">
        <f t="shared" si="7"/>
        <v xml:space="preserve"> </v>
      </c>
      <c r="AB154" s="128" t="str">
        <f t="shared" si="7"/>
        <v xml:space="preserve"> </v>
      </c>
      <c r="AC154" s="128" t="str">
        <f t="shared" si="7"/>
        <v xml:space="preserve"> </v>
      </c>
      <c r="AD154" s="128" t="str">
        <f t="shared" si="7"/>
        <v xml:space="preserve"> </v>
      </c>
      <c r="AE154" s="128" t="str">
        <f t="shared" si="7"/>
        <v xml:space="preserve"> </v>
      </c>
      <c r="AF154" s="128" t="str">
        <f t="shared" si="7"/>
        <v xml:space="preserve"> </v>
      </c>
      <c r="AG154" s="128" t="str">
        <f t="shared" si="7"/>
        <v xml:space="preserve"> </v>
      </c>
      <c r="AH154" s="128">
        <f t="shared" si="7"/>
        <v>3.533083543947102E-3</v>
      </c>
    </row>
    <row r="155" spans="1:34" s="412" customFormat="1" x14ac:dyDescent="0.2">
      <c r="A155" s="18"/>
      <c r="B155" s="80" t="s">
        <v>516</v>
      </c>
      <c r="C155" s="80"/>
      <c r="D155" s="80"/>
      <c r="E155" s="128" t="str">
        <f>IF(E132=1,IF(($E151+SUM($F$132:$AH$132))=E151,(SUM(E153:E153)/SUM($E153:$E153))^(1/SUM($F$132:$AH$132))-1," "),0)</f>
        <v xml:space="preserve"> </v>
      </c>
      <c r="F155" s="128" t="str">
        <f t="shared" ref="F155:I155" si="8">IF(F132=1,IF(($E151+SUM($F$132:$AH$132))=F151,(SUM(F153:F153)/SUM($E153:$E153))^(1/SUM($F$132:$AH$132))-1," "),0)</f>
        <v xml:space="preserve"> </v>
      </c>
      <c r="G155" s="128" t="str">
        <f t="shared" si="8"/>
        <v xml:space="preserve"> </v>
      </c>
      <c r="H155" s="128" t="str">
        <f t="shared" si="8"/>
        <v xml:space="preserve"> </v>
      </c>
      <c r="I155" s="128" t="str">
        <f t="shared" si="8"/>
        <v xml:space="preserve"> </v>
      </c>
      <c r="J155" s="128" t="str">
        <f t="shared" ref="J155:AH155" si="9">IF(J132=1,IF(($E151+SUM($F$132:$AH$132))=J151,(SUM(J153:J153)/SUM($E153:$E153))^(1/SUM($F$132:$AH$132))-1," ")," ")</f>
        <v xml:space="preserve"> </v>
      </c>
      <c r="K155" s="128" t="str">
        <f t="shared" si="9"/>
        <v xml:space="preserve"> </v>
      </c>
      <c r="L155" s="128" t="str">
        <f t="shared" si="9"/>
        <v xml:space="preserve"> </v>
      </c>
      <c r="M155" s="128" t="str">
        <f t="shared" si="9"/>
        <v xml:space="preserve"> </v>
      </c>
      <c r="N155" s="128" t="str">
        <f t="shared" si="9"/>
        <v xml:space="preserve"> </v>
      </c>
      <c r="O155" s="128" t="str">
        <f t="shared" si="9"/>
        <v xml:space="preserve"> </v>
      </c>
      <c r="P155" s="128" t="str">
        <f t="shared" si="9"/>
        <v xml:space="preserve"> </v>
      </c>
      <c r="Q155" s="128" t="str">
        <f t="shared" si="9"/>
        <v xml:space="preserve"> </v>
      </c>
      <c r="R155" s="128" t="str">
        <f t="shared" si="9"/>
        <v xml:space="preserve"> </v>
      </c>
      <c r="S155" s="128" t="str">
        <f t="shared" si="9"/>
        <v xml:space="preserve"> </v>
      </c>
      <c r="T155" s="128" t="str">
        <f t="shared" si="9"/>
        <v xml:space="preserve"> </v>
      </c>
      <c r="U155" s="128" t="str">
        <f t="shared" si="9"/>
        <v xml:space="preserve"> </v>
      </c>
      <c r="V155" s="128" t="str">
        <f t="shared" si="9"/>
        <v xml:space="preserve"> </v>
      </c>
      <c r="W155" s="128" t="str">
        <f t="shared" si="9"/>
        <v xml:space="preserve"> </v>
      </c>
      <c r="X155" s="128" t="str">
        <f t="shared" si="9"/>
        <v xml:space="preserve"> </v>
      </c>
      <c r="Y155" s="128" t="str">
        <f t="shared" si="9"/>
        <v xml:space="preserve"> </v>
      </c>
      <c r="Z155" s="128" t="str">
        <f t="shared" si="9"/>
        <v xml:space="preserve"> </v>
      </c>
      <c r="AA155" s="128" t="str">
        <f t="shared" si="9"/>
        <v xml:space="preserve"> </v>
      </c>
      <c r="AB155" s="128" t="str">
        <f t="shared" si="9"/>
        <v xml:space="preserve"> </v>
      </c>
      <c r="AC155" s="128" t="str">
        <f t="shared" si="9"/>
        <v xml:space="preserve"> </v>
      </c>
      <c r="AD155" s="128" t="str">
        <f t="shared" si="9"/>
        <v xml:space="preserve"> </v>
      </c>
      <c r="AE155" s="128" t="str">
        <f t="shared" si="9"/>
        <v xml:space="preserve"> </v>
      </c>
      <c r="AF155" s="128" t="str">
        <f t="shared" si="9"/>
        <v xml:space="preserve"> </v>
      </c>
      <c r="AG155" s="128" t="str">
        <f t="shared" si="9"/>
        <v xml:space="preserve"> </v>
      </c>
      <c r="AH155" s="128">
        <f t="shared" si="9"/>
        <v>3.6301076626834794E-2</v>
      </c>
    </row>
    <row r="156" spans="1:34" s="412" customFormat="1" x14ac:dyDescent="0.2">
      <c r="A156" s="18"/>
      <c r="B156" s="80" t="s">
        <v>517</v>
      </c>
      <c r="C156" s="80"/>
      <c r="D156" s="80"/>
      <c r="E156" s="128" t="str">
        <f>IF(E132=1,IF(($E151+SUM($F$132:$AH$132))=E151,(SUM(E152:E153)/SUM($E152:$E153))^(1/SUM($F$132:$AH$132))-1," "),0)</f>
        <v xml:space="preserve"> </v>
      </c>
      <c r="F156" s="128" t="str">
        <f t="shared" ref="F156:I156" si="10">IF(F132=1,IF(($E151+SUM($F$132:$AH$132))=F151,(SUM(F152:F153)/SUM($E152:$E153))^(1/SUM($F$132:$AH$132))-1," "),0)</f>
        <v xml:space="preserve"> </v>
      </c>
      <c r="G156" s="128" t="str">
        <f t="shared" si="10"/>
        <v xml:space="preserve"> </v>
      </c>
      <c r="H156" s="128" t="str">
        <f t="shared" si="10"/>
        <v xml:space="preserve"> </v>
      </c>
      <c r="I156" s="128" t="str">
        <f t="shared" si="10"/>
        <v xml:space="preserve"> </v>
      </c>
      <c r="J156" s="128" t="str">
        <f t="shared" ref="J156:AH156" si="11">IF(J132=1,IF(($E151+SUM($F$132:$AH$132))=J151,(SUM(J152:J153)/SUM($E152:$E153))^(1/SUM($F$132:$AH$132))-1," ")," ")</f>
        <v xml:space="preserve"> </v>
      </c>
      <c r="K156" s="128" t="str">
        <f t="shared" si="11"/>
        <v xml:space="preserve"> </v>
      </c>
      <c r="L156" s="128" t="str">
        <f t="shared" si="11"/>
        <v xml:space="preserve"> </v>
      </c>
      <c r="M156" s="128" t="str">
        <f t="shared" si="11"/>
        <v xml:space="preserve"> </v>
      </c>
      <c r="N156" s="128" t="str">
        <f t="shared" si="11"/>
        <v xml:space="preserve"> </v>
      </c>
      <c r="O156" s="128" t="str">
        <f t="shared" si="11"/>
        <v xml:space="preserve"> </v>
      </c>
      <c r="P156" s="128" t="str">
        <f t="shared" si="11"/>
        <v xml:space="preserve"> </v>
      </c>
      <c r="Q156" s="128" t="str">
        <f t="shared" si="11"/>
        <v xml:space="preserve"> </v>
      </c>
      <c r="R156" s="128" t="str">
        <f t="shared" si="11"/>
        <v xml:space="preserve"> </v>
      </c>
      <c r="S156" s="128" t="str">
        <f t="shared" si="11"/>
        <v xml:space="preserve"> </v>
      </c>
      <c r="T156" s="128" t="str">
        <f t="shared" si="11"/>
        <v xml:space="preserve"> </v>
      </c>
      <c r="U156" s="128" t="str">
        <f t="shared" si="11"/>
        <v xml:space="preserve"> </v>
      </c>
      <c r="V156" s="128" t="str">
        <f t="shared" si="11"/>
        <v xml:space="preserve"> </v>
      </c>
      <c r="W156" s="128" t="str">
        <f t="shared" si="11"/>
        <v xml:space="preserve"> </v>
      </c>
      <c r="X156" s="128" t="str">
        <f t="shared" si="11"/>
        <v xml:space="preserve"> </v>
      </c>
      <c r="Y156" s="128" t="str">
        <f t="shared" si="11"/>
        <v xml:space="preserve"> </v>
      </c>
      <c r="Z156" s="128" t="str">
        <f t="shared" si="11"/>
        <v xml:space="preserve"> </v>
      </c>
      <c r="AA156" s="128" t="str">
        <f t="shared" si="11"/>
        <v xml:space="preserve"> </v>
      </c>
      <c r="AB156" s="128" t="str">
        <f t="shared" si="11"/>
        <v xml:space="preserve"> </v>
      </c>
      <c r="AC156" s="128" t="str">
        <f t="shared" si="11"/>
        <v xml:space="preserve"> </v>
      </c>
      <c r="AD156" s="128" t="str">
        <f t="shared" si="11"/>
        <v xml:space="preserve"> </v>
      </c>
      <c r="AE156" s="128" t="str">
        <f t="shared" si="11"/>
        <v xml:space="preserve"> </v>
      </c>
      <c r="AF156" s="128" t="str">
        <f t="shared" si="11"/>
        <v xml:space="preserve"> </v>
      </c>
      <c r="AG156" s="128" t="str">
        <f t="shared" si="11"/>
        <v xml:space="preserve"> </v>
      </c>
      <c r="AH156" s="128">
        <f t="shared" si="11"/>
        <v>2.1092856717537467E-2</v>
      </c>
    </row>
    <row r="157" spans="1:34" s="412" customFormat="1" x14ac:dyDescent="0.2">
      <c r="A157" s="18"/>
      <c r="B157" s="80"/>
      <c r="C157" s="80"/>
      <c r="D157" s="80"/>
      <c r="E157" s="80"/>
      <c r="F157" s="313"/>
      <c r="G157" s="313"/>
      <c r="H157" s="313"/>
      <c r="I157" s="80"/>
      <c r="J157" s="80"/>
      <c r="K157" s="80"/>
      <c r="L157" s="80"/>
      <c r="M157" s="80"/>
      <c r="N157" s="80"/>
      <c r="O157" s="80"/>
      <c r="P157" s="80"/>
      <c r="Q157" s="80"/>
      <c r="R157" s="80"/>
      <c r="S157" s="80"/>
      <c r="T157" s="80"/>
      <c r="U157" s="80"/>
      <c r="V157" s="80"/>
      <c r="W157" s="80"/>
      <c r="X157" s="80"/>
      <c r="Y157" s="80"/>
      <c r="Z157" s="80"/>
      <c r="AA157" s="80"/>
      <c r="AB157" s="80"/>
      <c r="AC157" s="80"/>
      <c r="AD157" s="80"/>
      <c r="AE157" s="80"/>
      <c r="AF157" s="80"/>
      <c r="AG157" s="80"/>
      <c r="AH157" s="80"/>
    </row>
    <row r="158" spans="1:34" s="412" customFormat="1" x14ac:dyDescent="0.2">
      <c r="A158" s="18"/>
      <c r="B158" s="90" t="str">
        <f>"Track access charge"&amp; " (" &amp; 'Assumptions - General'!E27&amp;" per traffic unit)"</f>
        <v>Track access charge (R$ per traffic unit)</v>
      </c>
      <c r="C158" s="80"/>
      <c r="D158" s="80"/>
      <c r="E158" s="80" t="s">
        <v>305</v>
      </c>
      <c r="F158" s="80" t="str">
        <f>'Assumptions - General'!E27</f>
        <v>R$</v>
      </c>
      <c r="G158" s="80" t="s">
        <v>308</v>
      </c>
      <c r="H158" s="80" t="str">
        <f>"Track access charge"</f>
        <v>Track access charge</v>
      </c>
      <c r="I158" s="80"/>
      <c r="J158" s="80"/>
      <c r="K158" s="80" t="str">
        <f>"Freight track access charge"</f>
        <v>Freight track access charge</v>
      </c>
      <c r="L158" s="80"/>
      <c r="M158" s="80"/>
      <c r="N158" s="80"/>
      <c r="O158" s="80" t="str">
        <f>"Passenger track access charge"</f>
        <v>Passenger track access charge</v>
      </c>
      <c r="P158" s="80"/>
      <c r="Q158" s="80"/>
      <c r="R158" s="80"/>
      <c r="S158" s="80"/>
      <c r="T158" s="80"/>
      <c r="U158" s="80"/>
      <c r="V158" s="80"/>
      <c r="W158" s="80"/>
      <c r="X158" s="80"/>
      <c r="Y158" s="80"/>
      <c r="Z158" s="80"/>
      <c r="AA158" s="80"/>
      <c r="AB158" s="80"/>
      <c r="AC158" s="80"/>
      <c r="AD158" s="80"/>
      <c r="AE158" s="80"/>
      <c r="AF158" s="80"/>
      <c r="AG158" s="80"/>
      <c r="AH158" s="80"/>
    </row>
    <row r="159" spans="1:34" s="412" customFormat="1" x14ac:dyDescent="0.2">
      <c r="A159" s="18"/>
      <c r="B159" s="80"/>
      <c r="C159" s="80"/>
      <c r="D159" s="80"/>
      <c r="E159" s="93">
        <f>YEAR('Charts - Freight'!E$131)</f>
        <v>2010</v>
      </c>
      <c r="F159" s="93">
        <f>YEAR('Charts - Freight'!F$131)</f>
        <v>2011</v>
      </c>
      <c r="G159" s="93">
        <f>YEAR('Charts - Freight'!G$131)</f>
        <v>2012</v>
      </c>
      <c r="H159" s="93">
        <f>YEAR('Charts - Freight'!H$131)</f>
        <v>2013</v>
      </c>
      <c r="I159" s="93">
        <f>YEAR('Charts - Freight'!I$131)</f>
        <v>2014</v>
      </c>
      <c r="J159" s="93">
        <f>YEAR('Charts - Freight'!J$131)</f>
        <v>2015</v>
      </c>
      <c r="K159" s="93">
        <f>YEAR('Charts - Freight'!K$131)</f>
        <v>2016</v>
      </c>
      <c r="L159" s="93">
        <f>YEAR('Charts - Freight'!L$131)</f>
        <v>2017</v>
      </c>
      <c r="M159" s="93">
        <f>YEAR('Charts - Freight'!M$131)</f>
        <v>2018</v>
      </c>
      <c r="N159" s="93">
        <f>YEAR('Charts - Freight'!N$131)</f>
        <v>2019</v>
      </c>
      <c r="O159" s="93">
        <f>YEAR('Charts - Freight'!O$131)</f>
        <v>2020</v>
      </c>
      <c r="P159" s="93">
        <f>YEAR('Charts - Freight'!P$131)</f>
        <v>2021</v>
      </c>
      <c r="Q159" s="93">
        <f>YEAR('Charts - Freight'!Q$131)</f>
        <v>2022</v>
      </c>
      <c r="R159" s="93">
        <f>YEAR('Charts - Freight'!R$131)</f>
        <v>2023</v>
      </c>
      <c r="S159" s="93">
        <f>YEAR('Charts - Freight'!S$131)</f>
        <v>2024</v>
      </c>
      <c r="T159" s="93">
        <f>YEAR('Charts - Freight'!T$131)</f>
        <v>2025</v>
      </c>
      <c r="U159" s="93">
        <f>YEAR('Charts - Freight'!U$131)</f>
        <v>2026</v>
      </c>
      <c r="V159" s="93">
        <f>YEAR('Charts - Freight'!V$131)</f>
        <v>2027</v>
      </c>
      <c r="W159" s="93">
        <f>YEAR('Charts - Freight'!W$131)</f>
        <v>2028</v>
      </c>
      <c r="X159" s="93">
        <f>YEAR('Charts - Freight'!X$131)</f>
        <v>2029</v>
      </c>
      <c r="Y159" s="93">
        <f>YEAR('Charts - Freight'!Y$131)</f>
        <v>2030</v>
      </c>
      <c r="Z159" s="93">
        <f>YEAR('Charts - Freight'!Z$131)</f>
        <v>2031</v>
      </c>
      <c r="AA159" s="93">
        <f>YEAR('Charts - Freight'!AA$131)</f>
        <v>2032</v>
      </c>
      <c r="AB159" s="93">
        <f>YEAR('Charts - Freight'!AB$131)</f>
        <v>2033</v>
      </c>
      <c r="AC159" s="93">
        <f>YEAR('Charts - Freight'!AC$131)</f>
        <v>2034</v>
      </c>
      <c r="AD159" s="93">
        <f>YEAR('Charts - Freight'!AD$131)</f>
        <v>2035</v>
      </c>
      <c r="AE159" s="93">
        <f>YEAR('Charts - Freight'!AE$131)</f>
        <v>2036</v>
      </c>
      <c r="AF159" s="93">
        <f>YEAR('Charts - Freight'!AF$131)</f>
        <v>2037</v>
      </c>
      <c r="AG159" s="93">
        <f>YEAR('Charts - Freight'!AG$131)</f>
        <v>2038</v>
      </c>
      <c r="AH159" s="93">
        <f>YEAR('Charts - Freight'!AH$131)</f>
        <v>2039</v>
      </c>
    </row>
    <row r="160" spans="1:34" s="412" customFormat="1" x14ac:dyDescent="0.2">
      <c r="A160" s="18"/>
      <c r="B160" s="80" t="str">
        <f>"Freight ("&amp;'Assumptions - Freight'!D282&amp;")"</f>
        <v>Freight (R$/GTK)</v>
      </c>
      <c r="C160" s="80"/>
      <c r="D160" s="80"/>
      <c r="E160" s="96">
        <f>Calculations!E1115</f>
        <v>0.25</v>
      </c>
      <c r="F160" s="96">
        <f>Calculations!F1115</f>
        <v>0.25750000000000001</v>
      </c>
      <c r="G160" s="96">
        <f>Calculations!G1115</f>
        <v>0.26522499999999999</v>
      </c>
      <c r="H160" s="96">
        <f>Calculations!H1115</f>
        <v>0.27318175</v>
      </c>
      <c r="I160" s="96">
        <f>Calculations!I1115</f>
        <v>0.28137720250000003</v>
      </c>
      <c r="J160" s="96">
        <f>Calculations!J1115</f>
        <v>0.28981851857500002</v>
      </c>
      <c r="K160" s="96">
        <f>Calculations!K1115</f>
        <v>0.29851307413225003</v>
      </c>
      <c r="L160" s="96">
        <f>Calculations!L1115</f>
        <v>0.30746846635621755</v>
      </c>
      <c r="M160" s="96">
        <f>Calculations!M1115</f>
        <v>0.31669252034690409</v>
      </c>
      <c r="N160" s="96">
        <f>Calculations!N1115</f>
        <v>0.32619329595731122</v>
      </c>
      <c r="O160" s="96">
        <f>Calculations!O1115</f>
        <v>0.33597909483603056</v>
      </c>
      <c r="P160" s="96">
        <f>Calculations!P1115</f>
        <v>0.34605846768111148</v>
      </c>
      <c r="Q160" s="96">
        <f>Calculations!Q1115</f>
        <v>0.35644022171154482</v>
      </c>
      <c r="R160" s="96">
        <f>Calculations!R1115</f>
        <v>0.3671334283628912</v>
      </c>
      <c r="S160" s="96">
        <f>Calculations!S1115</f>
        <v>0.37814743121377797</v>
      </c>
      <c r="T160" s="96">
        <f>Calculations!T1115</f>
        <v>0.38949185415019133</v>
      </c>
      <c r="U160" s="96">
        <f>Calculations!U1115</f>
        <v>0.4011766097746971</v>
      </c>
      <c r="V160" s="96">
        <f>Calculations!V1115</f>
        <v>0.41321190806793801</v>
      </c>
      <c r="W160" s="96">
        <f>Calculations!W1115</f>
        <v>0.42560826530997614</v>
      </c>
      <c r="X160" s="96">
        <f>Calculations!X1115</f>
        <v>0.43837651326927546</v>
      </c>
      <c r="Y160" s="96">
        <f>Calculations!Y1115</f>
        <v>0.45152780866735376</v>
      </c>
      <c r="Z160" s="96">
        <f>Calculations!Z1115</f>
        <v>0.46507364292737441</v>
      </c>
      <c r="AA160" s="96">
        <f>Calculations!AA1115</f>
        <v>0.47902585221519567</v>
      </c>
      <c r="AB160" s="96">
        <f>Calculations!AB1115</f>
        <v>0.49339662778165155</v>
      </c>
      <c r="AC160" s="96">
        <f>Calculations!AC1115</f>
        <v>0.50819852661510112</v>
      </c>
      <c r="AD160" s="96">
        <f>Calculations!AD1115</f>
        <v>0.52344448241355412</v>
      </c>
      <c r="AE160" s="96">
        <f>Calculations!AE1115</f>
        <v>0.53914781688596081</v>
      </c>
      <c r="AF160" s="96">
        <f>Calculations!AF1115</f>
        <v>0.55532225139253966</v>
      </c>
      <c r="AG160" s="96">
        <f>Calculations!AG1115</f>
        <v>0.57198191893431582</v>
      </c>
      <c r="AH160" s="96">
        <f>Calculations!AH1115</f>
        <v>0.58914137650234533</v>
      </c>
    </row>
    <row r="161" spans="1:34" s="412" customFormat="1" x14ac:dyDescent="0.2">
      <c r="A161" s="18"/>
      <c r="B161" s="80" t="str">
        <f>"Freight ("&amp;'Assumptions - Freight'!D283&amp;")"</f>
        <v>Freight (R$/Train-km)</v>
      </c>
      <c r="C161" s="80"/>
      <c r="D161" s="80"/>
      <c r="E161" s="96">
        <f>Calculations!E1116</f>
        <v>0.25</v>
      </c>
      <c r="F161" s="96">
        <f>Calculations!F1116</f>
        <v>0.25750000000000001</v>
      </c>
      <c r="G161" s="96">
        <f>Calculations!G1116</f>
        <v>0.26522499999999999</v>
      </c>
      <c r="H161" s="96">
        <f>Calculations!H1116</f>
        <v>0.27318175</v>
      </c>
      <c r="I161" s="96">
        <f>Calculations!I1116</f>
        <v>0.28137720250000003</v>
      </c>
      <c r="J161" s="96">
        <f>Calculations!J1116</f>
        <v>0.28981851857500002</v>
      </c>
      <c r="K161" s="96">
        <f>Calculations!K1116</f>
        <v>0.29851307413225003</v>
      </c>
      <c r="L161" s="96">
        <f>Calculations!L1116</f>
        <v>0.30746846635621755</v>
      </c>
      <c r="M161" s="96">
        <f>Calculations!M1116</f>
        <v>0.31669252034690409</v>
      </c>
      <c r="N161" s="96">
        <f>Calculations!N1116</f>
        <v>0.32619329595731122</v>
      </c>
      <c r="O161" s="96">
        <f>Calculations!O1116</f>
        <v>0.33597909483603056</v>
      </c>
      <c r="P161" s="96">
        <f>Calculations!P1116</f>
        <v>0.34605846768111148</v>
      </c>
      <c r="Q161" s="96">
        <f>Calculations!Q1116</f>
        <v>0.35644022171154482</v>
      </c>
      <c r="R161" s="96">
        <f>Calculations!R1116</f>
        <v>0.3671334283628912</v>
      </c>
      <c r="S161" s="96">
        <f>Calculations!S1116</f>
        <v>0.37814743121377797</v>
      </c>
      <c r="T161" s="96">
        <f>Calculations!T1116</f>
        <v>0.38949185415019133</v>
      </c>
      <c r="U161" s="96">
        <f>Calculations!U1116</f>
        <v>0.4011766097746971</v>
      </c>
      <c r="V161" s="96">
        <f>Calculations!V1116</f>
        <v>0.41321190806793801</v>
      </c>
      <c r="W161" s="96">
        <f>Calculations!W1116</f>
        <v>0.42560826530997614</v>
      </c>
      <c r="X161" s="96">
        <f>Calculations!X1116</f>
        <v>0.43837651326927546</v>
      </c>
      <c r="Y161" s="96">
        <f>Calculations!Y1116</f>
        <v>0.45152780866735376</v>
      </c>
      <c r="Z161" s="96">
        <f>Calculations!Z1116</f>
        <v>0.46507364292737441</v>
      </c>
      <c r="AA161" s="96">
        <f>Calculations!AA1116</f>
        <v>0.47902585221519567</v>
      </c>
      <c r="AB161" s="96">
        <f>Calculations!AB1116</f>
        <v>0.49339662778165155</v>
      </c>
      <c r="AC161" s="96">
        <f>Calculations!AC1116</f>
        <v>0.50819852661510112</v>
      </c>
      <c r="AD161" s="96">
        <f>Calculations!AD1116</f>
        <v>0.52344448241355412</v>
      </c>
      <c r="AE161" s="96">
        <f>Calculations!AE1116</f>
        <v>0.53914781688596081</v>
      </c>
      <c r="AF161" s="96">
        <f>Calculations!AF1116</f>
        <v>0.55532225139253966</v>
      </c>
      <c r="AG161" s="96">
        <f>Calculations!AG1116</f>
        <v>0.57198191893431582</v>
      </c>
      <c r="AH161" s="96">
        <f>Calculations!AH1116</f>
        <v>0.58914137650234533</v>
      </c>
    </row>
    <row r="162" spans="1:34" s="412" customFormat="1" x14ac:dyDescent="0.2">
      <c r="A162" s="18"/>
      <c r="B162" s="80" t="str">
        <f>"Passenger ("&amp;'Assumptions - Passenger'!D231&amp;")"</f>
        <v>Passenger (R$/GTK)</v>
      </c>
      <c r="C162" s="80"/>
      <c r="D162" s="80"/>
      <c r="E162" s="96">
        <f>Calculations!E1123</f>
        <v>0.25</v>
      </c>
      <c r="F162" s="96">
        <f>Calculations!F1123</f>
        <v>0.25750000000000001</v>
      </c>
      <c r="G162" s="96">
        <f>Calculations!G1123</f>
        <v>0.26522499999999999</v>
      </c>
      <c r="H162" s="96">
        <f>Calculations!H1123</f>
        <v>0.27318175</v>
      </c>
      <c r="I162" s="96">
        <f>Calculations!I1123</f>
        <v>0.28137720250000003</v>
      </c>
      <c r="J162" s="96">
        <f>Calculations!J1123</f>
        <v>0.28981851857500002</v>
      </c>
      <c r="K162" s="96">
        <f>Calculations!K1123</f>
        <v>0.29851307413225003</v>
      </c>
      <c r="L162" s="96">
        <f>Calculations!L1123</f>
        <v>0.30746846635621755</v>
      </c>
      <c r="M162" s="96">
        <f>Calculations!M1123</f>
        <v>0.31669252034690409</v>
      </c>
      <c r="N162" s="96">
        <f>Calculations!N1123</f>
        <v>0.32619329595731122</v>
      </c>
      <c r="O162" s="96">
        <f>Calculations!O1123</f>
        <v>0.33597909483603056</v>
      </c>
      <c r="P162" s="96">
        <f>Calculations!P1123</f>
        <v>0.34605846768111148</v>
      </c>
      <c r="Q162" s="96">
        <f>Calculations!Q1123</f>
        <v>0.35644022171154482</v>
      </c>
      <c r="R162" s="96">
        <f>Calculations!R1123</f>
        <v>0.3671334283628912</v>
      </c>
      <c r="S162" s="96">
        <f>Calculations!S1123</f>
        <v>0.37814743121377797</v>
      </c>
      <c r="T162" s="96">
        <f>Calculations!T1123</f>
        <v>0.38949185415019133</v>
      </c>
      <c r="U162" s="96">
        <f>Calculations!U1123</f>
        <v>0.4011766097746971</v>
      </c>
      <c r="V162" s="96">
        <f>Calculations!V1123</f>
        <v>0.41321190806793801</v>
      </c>
      <c r="W162" s="96">
        <f>Calculations!W1123</f>
        <v>0.42560826530997614</v>
      </c>
      <c r="X162" s="96">
        <f>Calculations!X1123</f>
        <v>0.43837651326927546</v>
      </c>
      <c r="Y162" s="96">
        <f>Calculations!Y1123</f>
        <v>0.45152780866735376</v>
      </c>
      <c r="Z162" s="96">
        <f>Calculations!Z1123</f>
        <v>0.46507364292737441</v>
      </c>
      <c r="AA162" s="96">
        <f>Calculations!AA1123</f>
        <v>0.47902585221519567</v>
      </c>
      <c r="AB162" s="96">
        <f>Calculations!AB1123</f>
        <v>0.49339662778165155</v>
      </c>
      <c r="AC162" s="96">
        <f>Calculations!AC1123</f>
        <v>0.50819852661510112</v>
      </c>
      <c r="AD162" s="96">
        <f>Calculations!AD1123</f>
        <v>0.52344448241355412</v>
      </c>
      <c r="AE162" s="96">
        <f>Calculations!AE1123</f>
        <v>0.53914781688596081</v>
      </c>
      <c r="AF162" s="96">
        <f>Calculations!AF1123</f>
        <v>0.55532225139253966</v>
      </c>
      <c r="AG162" s="96">
        <f>Calculations!AG1123</f>
        <v>0.57198191893431582</v>
      </c>
      <c r="AH162" s="96">
        <f>Calculations!AH1123</f>
        <v>0.58914137650234533</v>
      </c>
    </row>
    <row r="163" spans="1:34" s="412" customFormat="1" x14ac:dyDescent="0.2">
      <c r="A163" s="18"/>
      <c r="B163" s="80" t="str">
        <f>"Passenger ("&amp;'Assumptions - Passenger'!D232&amp;")"</f>
        <v>Passenger (R$/Train-km)</v>
      </c>
      <c r="C163" s="80"/>
      <c r="D163" s="80"/>
      <c r="E163" s="96">
        <f>Calculations!E1124</f>
        <v>0.25</v>
      </c>
      <c r="F163" s="96">
        <f>Calculations!F1124</f>
        <v>0.25750000000000001</v>
      </c>
      <c r="G163" s="96">
        <f>Calculations!G1124</f>
        <v>0.26522499999999999</v>
      </c>
      <c r="H163" s="96">
        <f>Calculations!H1124</f>
        <v>0.27318175</v>
      </c>
      <c r="I163" s="96">
        <f>Calculations!I1124</f>
        <v>0.28137720250000003</v>
      </c>
      <c r="J163" s="96">
        <f>Calculations!J1124</f>
        <v>0.28981851857500002</v>
      </c>
      <c r="K163" s="96">
        <f>Calculations!K1124</f>
        <v>0.29851307413225003</v>
      </c>
      <c r="L163" s="96">
        <f>Calculations!L1124</f>
        <v>0.30746846635621755</v>
      </c>
      <c r="M163" s="96">
        <f>Calculations!M1124</f>
        <v>0.31669252034690409</v>
      </c>
      <c r="N163" s="96">
        <f>Calculations!N1124</f>
        <v>0.32619329595731122</v>
      </c>
      <c r="O163" s="96">
        <f>Calculations!O1124</f>
        <v>0.33597909483603056</v>
      </c>
      <c r="P163" s="96">
        <f>Calculations!P1124</f>
        <v>0.34605846768111148</v>
      </c>
      <c r="Q163" s="96">
        <f>Calculations!Q1124</f>
        <v>0.35644022171154482</v>
      </c>
      <c r="R163" s="96">
        <f>Calculations!R1124</f>
        <v>0.3671334283628912</v>
      </c>
      <c r="S163" s="96">
        <f>Calculations!S1124</f>
        <v>0.37814743121377797</v>
      </c>
      <c r="T163" s="96">
        <f>Calculations!T1124</f>
        <v>0.38949185415019133</v>
      </c>
      <c r="U163" s="96">
        <f>Calculations!U1124</f>
        <v>0.4011766097746971</v>
      </c>
      <c r="V163" s="96">
        <f>Calculations!V1124</f>
        <v>0.41321190806793801</v>
      </c>
      <c r="W163" s="96">
        <f>Calculations!W1124</f>
        <v>0.42560826530997614</v>
      </c>
      <c r="X163" s="96">
        <f>Calculations!X1124</f>
        <v>0.43837651326927546</v>
      </c>
      <c r="Y163" s="96">
        <f>Calculations!Y1124</f>
        <v>0.45152780866735376</v>
      </c>
      <c r="Z163" s="96">
        <f>Calculations!Z1124</f>
        <v>0.46507364292737441</v>
      </c>
      <c r="AA163" s="96">
        <f>Calculations!AA1124</f>
        <v>0.47902585221519567</v>
      </c>
      <c r="AB163" s="96">
        <f>Calculations!AB1124</f>
        <v>0.49339662778165155</v>
      </c>
      <c r="AC163" s="96">
        <f>Calculations!AC1124</f>
        <v>0.50819852661510112</v>
      </c>
      <c r="AD163" s="96">
        <f>Calculations!AD1124</f>
        <v>0.52344448241355412</v>
      </c>
      <c r="AE163" s="96">
        <f>Calculations!AE1124</f>
        <v>0.53914781688596081</v>
      </c>
      <c r="AF163" s="96">
        <f>Calculations!AF1124</f>
        <v>0.55532225139253966</v>
      </c>
      <c r="AG163" s="96">
        <f>Calculations!AG1124</f>
        <v>0.57198191893431582</v>
      </c>
      <c r="AH163" s="96">
        <f>Calculations!AH1124</f>
        <v>0.58914137650234533</v>
      </c>
    </row>
    <row r="164" spans="1:34" s="412" customFormat="1" x14ac:dyDescent="0.2">
      <c r="A164" s="18"/>
      <c r="B164" s="80" t="s">
        <v>297</v>
      </c>
      <c r="C164" s="80"/>
      <c r="D164" s="80"/>
      <c r="E164" s="128" t="str">
        <f>IF(E132=1,IF(($E159+SUM($F$132:$AH$132))=E159,(SUM(E160:E163)/SUM($E160:$E163))^(1/SUM($F$132:$AH$132))-1," "),0)</f>
        <v xml:space="preserve"> </v>
      </c>
      <c r="F164" s="128" t="str">
        <f t="shared" ref="F164:I164" si="12">IF(F132=1,IF(($E159+SUM($F$132:$AH$132))=F159,(SUM(F160:F163)/SUM($E160:$E163))^(1/SUM($F$132:$AH$132))-1," "),0)</f>
        <v xml:space="preserve"> </v>
      </c>
      <c r="G164" s="128" t="str">
        <f t="shared" si="12"/>
        <v xml:space="preserve"> </v>
      </c>
      <c r="H164" s="128" t="str">
        <f t="shared" si="12"/>
        <v xml:space="preserve"> </v>
      </c>
      <c r="I164" s="128" t="str">
        <f t="shared" si="12"/>
        <v xml:space="preserve"> </v>
      </c>
      <c r="J164" s="128" t="str">
        <f t="shared" ref="J164:AH164" si="13">IF(J132=1,IF(($E159+SUM($F$132:$AH$132))=J159,(SUM(J160:J163)/SUM($E160:$E163))^(1/SUM($F$132:$AH$132))-1," ")," ")</f>
        <v xml:space="preserve"> </v>
      </c>
      <c r="K164" s="128" t="str">
        <f t="shared" si="13"/>
        <v xml:space="preserve"> </v>
      </c>
      <c r="L164" s="128" t="str">
        <f t="shared" si="13"/>
        <v xml:space="preserve"> </v>
      </c>
      <c r="M164" s="128" t="str">
        <f t="shared" si="13"/>
        <v xml:space="preserve"> </v>
      </c>
      <c r="N164" s="128" t="str">
        <f t="shared" si="13"/>
        <v xml:space="preserve"> </v>
      </c>
      <c r="O164" s="128" t="str">
        <f t="shared" si="13"/>
        <v xml:space="preserve"> </v>
      </c>
      <c r="P164" s="128" t="str">
        <f t="shared" si="13"/>
        <v xml:space="preserve"> </v>
      </c>
      <c r="Q164" s="128" t="str">
        <f t="shared" si="13"/>
        <v xml:space="preserve"> </v>
      </c>
      <c r="R164" s="128" t="str">
        <f t="shared" si="13"/>
        <v xml:space="preserve"> </v>
      </c>
      <c r="S164" s="128" t="str">
        <f t="shared" si="13"/>
        <v xml:space="preserve"> </v>
      </c>
      <c r="T164" s="128" t="str">
        <f t="shared" si="13"/>
        <v xml:space="preserve"> </v>
      </c>
      <c r="U164" s="128" t="str">
        <f t="shared" si="13"/>
        <v xml:space="preserve"> </v>
      </c>
      <c r="V164" s="128" t="str">
        <f t="shared" si="13"/>
        <v xml:space="preserve"> </v>
      </c>
      <c r="W164" s="128" t="str">
        <f t="shared" si="13"/>
        <v xml:space="preserve"> </v>
      </c>
      <c r="X164" s="128" t="str">
        <f t="shared" si="13"/>
        <v xml:space="preserve"> </v>
      </c>
      <c r="Y164" s="128" t="str">
        <f t="shared" si="13"/>
        <v xml:space="preserve"> </v>
      </c>
      <c r="Z164" s="128" t="str">
        <f t="shared" si="13"/>
        <v xml:space="preserve"> </v>
      </c>
      <c r="AA164" s="128" t="str">
        <f t="shared" si="13"/>
        <v xml:space="preserve"> </v>
      </c>
      <c r="AB164" s="128" t="str">
        <f t="shared" si="13"/>
        <v xml:space="preserve"> </v>
      </c>
      <c r="AC164" s="128" t="str">
        <f t="shared" si="13"/>
        <v xml:space="preserve"> </v>
      </c>
      <c r="AD164" s="128" t="str">
        <f t="shared" si="13"/>
        <v xml:space="preserve"> </v>
      </c>
      <c r="AE164" s="128" t="str">
        <f t="shared" si="13"/>
        <v xml:space="preserve"> </v>
      </c>
      <c r="AF164" s="128" t="str">
        <f t="shared" si="13"/>
        <v xml:space="preserve"> </v>
      </c>
      <c r="AG164" s="128" t="str">
        <f t="shared" si="13"/>
        <v xml:space="preserve"> </v>
      </c>
      <c r="AH164" s="128">
        <f t="shared" si="13"/>
        <v>3.0000000000000027E-2</v>
      </c>
    </row>
    <row r="165" spans="1:34" s="412" customFormat="1" x14ac:dyDescent="0.2">
      <c r="A165" s="18"/>
      <c r="B165" s="80"/>
      <c r="C165" s="80"/>
      <c r="D165" s="80"/>
      <c r="E165" s="96"/>
      <c r="F165" s="96"/>
      <c r="G165" s="96"/>
      <c r="H165" s="96"/>
      <c r="I165" s="96"/>
      <c r="J165" s="96"/>
      <c r="K165" s="96"/>
      <c r="L165" s="96"/>
      <c r="M165" s="96"/>
      <c r="N165" s="96"/>
      <c r="O165" s="96"/>
      <c r="P165" s="96"/>
      <c r="Q165" s="96"/>
      <c r="R165" s="96"/>
      <c r="S165" s="96"/>
      <c r="T165" s="96"/>
      <c r="U165" s="96"/>
      <c r="V165" s="96"/>
      <c r="W165" s="96"/>
      <c r="X165" s="96"/>
      <c r="Y165" s="96"/>
      <c r="Z165" s="96"/>
      <c r="AA165" s="96"/>
      <c r="AB165" s="96"/>
      <c r="AC165" s="96"/>
      <c r="AD165" s="96"/>
      <c r="AE165" s="96"/>
      <c r="AF165" s="96"/>
      <c r="AG165" s="96"/>
      <c r="AH165" s="96"/>
    </row>
    <row r="166" spans="1:34" s="412" customFormat="1" x14ac:dyDescent="0.2">
      <c r="A166" s="18"/>
      <c r="B166" s="90" t="s">
        <v>442</v>
      </c>
      <c r="C166" s="80"/>
      <c r="D166" s="80"/>
      <c r="E166" s="80" t="s">
        <v>305</v>
      </c>
      <c r="F166" s="80" t="str">
        <f>Calculations!D1121</f>
        <v>R$ millions</v>
      </c>
      <c r="G166" s="80"/>
      <c r="H166" s="80"/>
      <c r="I166" s="80"/>
      <c r="J166" s="80"/>
      <c r="K166" s="80"/>
      <c r="L166" s="80"/>
      <c r="M166" s="80"/>
      <c r="N166" s="80"/>
      <c r="O166" s="80"/>
      <c r="P166" s="80"/>
      <c r="Q166" s="80"/>
      <c r="R166" s="80"/>
      <c r="S166" s="80"/>
      <c r="T166" s="80"/>
      <c r="U166" s="80"/>
      <c r="V166" s="80"/>
      <c r="W166" s="80"/>
      <c r="X166" s="80"/>
      <c r="Y166" s="80"/>
      <c r="Z166" s="80"/>
      <c r="AA166" s="80"/>
      <c r="AB166" s="80"/>
      <c r="AC166" s="80"/>
      <c r="AD166" s="80"/>
      <c r="AE166" s="80"/>
      <c r="AF166" s="80"/>
      <c r="AG166" s="80"/>
      <c r="AH166" s="80"/>
    </row>
    <row r="167" spans="1:34" s="412" customFormat="1" x14ac:dyDescent="0.2">
      <c r="A167" s="18"/>
      <c r="B167" s="80"/>
      <c r="C167" s="80"/>
      <c r="D167" s="80"/>
      <c r="E167" s="93">
        <f>YEAR('Charts - Freight'!E$131)</f>
        <v>2010</v>
      </c>
      <c r="F167" s="93">
        <f>YEAR('Charts - Freight'!F$131)</f>
        <v>2011</v>
      </c>
      <c r="G167" s="93">
        <f>YEAR('Charts - Freight'!G$131)</f>
        <v>2012</v>
      </c>
      <c r="H167" s="93">
        <f>YEAR('Charts - Freight'!H$131)</f>
        <v>2013</v>
      </c>
      <c r="I167" s="93">
        <f>YEAR('Charts - Freight'!I$131)</f>
        <v>2014</v>
      </c>
      <c r="J167" s="93">
        <f>YEAR('Charts - Freight'!J$131)</f>
        <v>2015</v>
      </c>
      <c r="K167" s="93">
        <f>YEAR('Charts - Freight'!K$131)</f>
        <v>2016</v>
      </c>
      <c r="L167" s="93">
        <f>YEAR('Charts - Freight'!L$131)</f>
        <v>2017</v>
      </c>
      <c r="M167" s="93">
        <f>YEAR('Charts - Freight'!M$131)</f>
        <v>2018</v>
      </c>
      <c r="N167" s="93">
        <f>YEAR('Charts - Freight'!N$131)</f>
        <v>2019</v>
      </c>
      <c r="O167" s="93">
        <f>YEAR('Charts - Freight'!O$131)</f>
        <v>2020</v>
      </c>
      <c r="P167" s="93">
        <f>YEAR('Charts - Freight'!P$131)</f>
        <v>2021</v>
      </c>
      <c r="Q167" s="93">
        <f>YEAR('Charts - Freight'!Q$131)</f>
        <v>2022</v>
      </c>
      <c r="R167" s="93">
        <f>YEAR('Charts - Freight'!R$131)</f>
        <v>2023</v>
      </c>
      <c r="S167" s="93">
        <f>YEAR('Charts - Freight'!S$131)</f>
        <v>2024</v>
      </c>
      <c r="T167" s="93">
        <f>YEAR('Charts - Freight'!T$131)</f>
        <v>2025</v>
      </c>
      <c r="U167" s="93">
        <f>YEAR('Charts - Freight'!U$131)</f>
        <v>2026</v>
      </c>
      <c r="V167" s="93">
        <f>YEAR('Charts - Freight'!V$131)</f>
        <v>2027</v>
      </c>
      <c r="W167" s="93">
        <f>YEAR('Charts - Freight'!W$131)</f>
        <v>2028</v>
      </c>
      <c r="X167" s="93">
        <f>YEAR('Charts - Freight'!X$131)</f>
        <v>2029</v>
      </c>
      <c r="Y167" s="93">
        <f>YEAR('Charts - Freight'!Y$131)</f>
        <v>2030</v>
      </c>
      <c r="Z167" s="93">
        <f>YEAR('Charts - Freight'!Z$131)</f>
        <v>2031</v>
      </c>
      <c r="AA167" s="93">
        <f>YEAR('Charts - Freight'!AA$131)</f>
        <v>2032</v>
      </c>
      <c r="AB167" s="93">
        <f>YEAR('Charts - Freight'!AB$131)</f>
        <v>2033</v>
      </c>
      <c r="AC167" s="93">
        <f>YEAR('Charts - Freight'!AC$131)</f>
        <v>2034</v>
      </c>
      <c r="AD167" s="93">
        <f>YEAR('Charts - Freight'!AD$131)</f>
        <v>2035</v>
      </c>
      <c r="AE167" s="93">
        <f>YEAR('Charts - Freight'!AE$131)</f>
        <v>2036</v>
      </c>
      <c r="AF167" s="93">
        <f>YEAR('Charts - Freight'!AF$131)</f>
        <v>2037</v>
      </c>
      <c r="AG167" s="93">
        <f>YEAR('Charts - Freight'!AG$131)</f>
        <v>2038</v>
      </c>
      <c r="AH167" s="93">
        <f>YEAR('Charts - Freight'!AH$131)</f>
        <v>2039</v>
      </c>
    </row>
    <row r="168" spans="1:34" s="412" customFormat="1" x14ac:dyDescent="0.2">
      <c r="A168" s="18"/>
      <c r="B168" s="80" t="s">
        <v>443</v>
      </c>
      <c r="C168" s="80"/>
      <c r="D168" s="80"/>
      <c r="E168" s="94">
        <f>IF(E132=1,Calculations!E1121,0)</f>
        <v>25162.500000000004</v>
      </c>
      <c r="F168" s="94">
        <f>IF(F132=1,Calculations!F1121,0)</f>
        <v>25600.775609756103</v>
      </c>
      <c r="G168" s="94">
        <f>IF(G132=1,Calculations!G1121,0)</f>
        <v>26368.798878048783</v>
      </c>
      <c r="H168" s="94">
        <f>IF(H132=1,Calculations!H1121,0)</f>
        <v>27159.862844390249</v>
      </c>
      <c r="I168" s="94">
        <f>IF(I132=1,Calculations!I1121,0)</f>
        <v>27974.658729721959</v>
      </c>
      <c r="J168" s="94">
        <f>IF(J132=1,Calculations!J1121," ")</f>
        <v>28813.898491613618</v>
      </c>
      <c r="K168" s="94">
        <f>IF(K132=1,Calculations!K1121," ")</f>
        <v>33388.104877157268</v>
      </c>
      <c r="L168" s="94">
        <f>IF(L132=1,Calculations!L1121," ")</f>
        <v>34389.748023471991</v>
      </c>
      <c r="M168" s="94">
        <f>IF(M132=1,Calculations!M1121," ")</f>
        <v>35421.440464176165</v>
      </c>
      <c r="N168" s="94">
        <f>IF(N132=1,Calculations!N1121," ")</f>
        <v>36484.083678101444</v>
      </c>
      <c r="O168" s="94">
        <f>IF(O132=1,Calculations!O1121," ")</f>
        <v>37578.606188444479</v>
      </c>
      <c r="P168" s="94">
        <f>IF(P132=1,Calculations!P1121," ")</f>
        <v>38705.964374097821</v>
      </c>
      <c r="Q168" s="94">
        <f>IF(Q132=1,Calculations!Q1121," ")</f>
        <v>39867.143305320758</v>
      </c>
      <c r="R168" s="94">
        <f>IF(R132=1,Calculations!R1121," ")</f>
        <v>41063.157604480381</v>
      </c>
      <c r="S168" s="94">
        <f>IF(S132=1,Calculations!S1121," ")</f>
        <v>42295.052332614796</v>
      </c>
      <c r="T168" s="94">
        <f>IF(T132=1,Calculations!T1121," ")</f>
        <v>43563.903902593236</v>
      </c>
      <c r="U168" s="94">
        <f>IF(U132=1,Calculations!U1121," ")</f>
        <v>44870.821019671035</v>
      </c>
      <c r="V168" s="94">
        <f>IF(V132=1,Calculations!V1121," ")</f>
        <v>46216.945650261172</v>
      </c>
      <c r="W168" s="94">
        <f>IF(W132=1,Calculations!W1121," ")</f>
        <v>47603.454019769008</v>
      </c>
      <c r="X168" s="94">
        <f>IF(X132=1,Calculations!X1121," ")</f>
        <v>49031.55764036208</v>
      </c>
      <c r="Y168" s="94">
        <f>IF(Y132=1,Calculations!Y1121," ")</f>
        <v>50502.504369572955</v>
      </c>
      <c r="Z168" s="94">
        <f>IF(Z132=1,Calculations!Z1121," ")</f>
        <v>52017.57950066014</v>
      </c>
      <c r="AA168" s="94">
        <f>IF(AA132=1,Calculations!AA1121," ")</f>
        <v>53578.106885679939</v>
      </c>
      <c r="AB168" s="94">
        <f>IF(AB132=1,Calculations!AB1121," ")</f>
        <v>55185.45009225035</v>
      </c>
      <c r="AC168" s="94">
        <f>IF(AC132=1,Calculations!AC1121," ")</f>
        <v>56841.013595017866</v>
      </c>
      <c r="AD168" s="94">
        <f>IF(AD132=1,Calculations!AD1121," ")</f>
        <v>58546.244002868392</v>
      </c>
      <c r="AE168" s="94">
        <f>IF(AE132=1,Calculations!AE1121," ")</f>
        <v>60302.631322954447</v>
      </c>
      <c r="AF168" s="94">
        <f>IF(AF132=1,Calculations!AF1121," ")</f>
        <v>62111.710262643086</v>
      </c>
      <c r="AG168" s="94">
        <f>IF(AG132=1,Calculations!AG1121," ")</f>
        <v>63975.061570522375</v>
      </c>
      <c r="AH168" s="94">
        <f>IF(AH132=1,Calculations!AH1121," ")</f>
        <v>65894.313417638055</v>
      </c>
    </row>
    <row r="169" spans="1:34" s="412" customFormat="1" x14ac:dyDescent="0.2">
      <c r="A169" s="18"/>
      <c r="B169" s="80" t="s">
        <v>444</v>
      </c>
      <c r="C169" s="80"/>
      <c r="D169" s="80"/>
      <c r="E169" s="94">
        <f>IF(E132=1,Calculations!E1129,0)</f>
        <v>15750</v>
      </c>
      <c r="F169" s="94">
        <f>IF(F132=1,Calculations!F1129,0)</f>
        <v>17188.125</v>
      </c>
      <c r="G169" s="94">
        <f>IF(G132=1,Calculations!G1129,0)</f>
        <v>17703.768750000003</v>
      </c>
      <c r="H169" s="94">
        <f>IF(H132=1,Calculations!H1129,0)</f>
        <v>19259.313375000002</v>
      </c>
      <c r="I169" s="94">
        <f>IF(I132=1,Calculations!I1129,0)</f>
        <v>21947.421795000002</v>
      </c>
      <c r="J169" s="94">
        <f>IF(J132=1,Calculations!J1129," ")</f>
        <v>23692.663893506251</v>
      </c>
      <c r="K169" s="94">
        <f>IF(K132=1,Calculations!K1129," ")</f>
        <v>25522.867838307378</v>
      </c>
      <c r="L169" s="94">
        <f>IF(L132=1,Calculations!L1129," ")</f>
        <v>27441.560622292414</v>
      </c>
      <c r="M169" s="94">
        <f>IF(M132=1,Calculations!M1129," ")</f>
        <v>29452.404392262084</v>
      </c>
      <c r="N169" s="94">
        <f>IF(N132=1,Calculations!N1129," ")</f>
        <v>31559.201383869862</v>
      </c>
      <c r="O169" s="94">
        <f>IF(O132=1,Calculations!O1129," ")</f>
        <v>33765.899031021072</v>
      </c>
      <c r="P169" s="94">
        <f>IF(P132=1,Calculations!P1129," ")</f>
        <v>36076.595255755878</v>
      </c>
      <c r="Q169" s="94">
        <f>IF(Q132=1,Calculations!Q1129," ")</f>
        <v>38495.543944846839</v>
      </c>
      <c r="R169" s="94">
        <f>IF(R132=1,Calculations!R1129," ")</f>
        <v>41027.160619553091</v>
      </c>
      <c r="S169" s="94">
        <f>IF(S132=1,Calculations!S1129," ")</f>
        <v>43676.028305191358</v>
      </c>
      <c r="T169" s="94">
        <f>IF(T132=1,Calculations!T1129," ")</f>
        <v>46446.903607410313</v>
      </c>
      <c r="U169" s="94">
        <f>IF(U132=1,Calculations!U1129," ")</f>
        <v>49344.723002287741</v>
      </c>
      <c r="V169" s="94">
        <f>IF(V132=1,Calculations!V1129," ")</f>
        <v>52374.609347611149</v>
      </c>
      <c r="W169" s="94">
        <f>IF(W132=1,Calculations!W1129," ")</f>
        <v>55541.878622951881</v>
      </c>
      <c r="X169" s="94">
        <f>IF(X132=1,Calculations!X1129," ")</f>
        <v>58852.046906400225</v>
      </c>
      <c r="Y169" s="94">
        <f>IF(Y132=1,Calculations!Y1129," ")</f>
        <v>62310.837596094818</v>
      </c>
      <c r="Z169" s="94">
        <f>IF(Z132=1,Calculations!Z1129," ")</f>
        <v>65924.188884955322</v>
      </c>
      <c r="AA169" s="94">
        <f>IF(AA132=1,Calculations!AA1129," ")</f>
        <v>69698.261497310974</v>
      </c>
      <c r="AB169" s="94">
        <f>IF(AB132=1,Calculations!AB1129," ")</f>
        <v>73639.446696411498</v>
      </c>
      <c r="AC169" s="94">
        <f>IF(AC132=1,Calculations!AC1129," ")</f>
        <v>77754.374572110479</v>
      </c>
      <c r="AD169" s="94">
        <f>IF(AD132=1,Calculations!AD1129," ")</f>
        <v>82049.922618324621</v>
      </c>
      <c r="AE169" s="94">
        <f>IF(AE132=1,Calculations!AE1129," ")</f>
        <v>86533.224610196718</v>
      </c>
      <c r="AF169" s="94">
        <f>IF(AF132=1,Calculations!AF1129," ")</f>
        <v>91211.67979122464</v>
      </c>
      <c r="AG169" s="94">
        <f>IF(AG132=1,Calculations!AG1129," ")</f>
        <v>96092.962380965051</v>
      </c>
      <c r="AH169" s="94">
        <f>IF(AH132=1,Calculations!AH1129," ")</f>
        <v>101185.03141427781</v>
      </c>
    </row>
    <row r="170" spans="1:34" s="412" customFormat="1" x14ac:dyDescent="0.2">
      <c r="A170" s="18"/>
      <c r="B170" s="80" t="s">
        <v>297</v>
      </c>
      <c r="C170" s="80"/>
      <c r="D170" s="80"/>
      <c r="E170" s="128">
        <f>IF(AND(($E167+SUM($F$132:$AH$132))=E167,SUM($E$168:$AH$169)),(SUM(E168:E169)/SUM($E168:$E169))^(1/SUM($F$132:$AH$132))-1,0)</f>
        <v>0</v>
      </c>
      <c r="F170" s="128">
        <f t="shared" ref="F170:I170" si="14">IF(AND(($E167+SUM($F$132:$AH$132))=F167,SUM($E$168:$AH$169)),(SUM(F168:F169)/SUM($E168:$E169))^(1/SUM($F$132:$AH$132))-1,0)</f>
        <v>0</v>
      </c>
      <c r="G170" s="128">
        <f t="shared" si="14"/>
        <v>0</v>
      </c>
      <c r="H170" s="128">
        <f t="shared" si="14"/>
        <v>0</v>
      </c>
      <c r="I170" s="128">
        <f t="shared" si="14"/>
        <v>0</v>
      </c>
      <c r="J170" s="128" t="str">
        <f t="shared" ref="J170:AH170" si="15">IF(AND(($E167+SUM($F$132:$AH$132))=J167,SUM($E$168:$AH$169)),(SUM(J168:J169)/SUM($E168:$E169))^(1/SUM($F$132:$AH$132))-1," ")</f>
        <v xml:space="preserve"> </v>
      </c>
      <c r="K170" s="128" t="str">
        <f t="shared" si="15"/>
        <v xml:space="preserve"> </v>
      </c>
      <c r="L170" s="128" t="str">
        <f t="shared" si="15"/>
        <v xml:space="preserve"> </v>
      </c>
      <c r="M170" s="128" t="str">
        <f t="shared" si="15"/>
        <v xml:space="preserve"> </v>
      </c>
      <c r="N170" s="128" t="str">
        <f t="shared" si="15"/>
        <v xml:space="preserve"> </v>
      </c>
      <c r="O170" s="128" t="str">
        <f t="shared" si="15"/>
        <v xml:space="preserve"> </v>
      </c>
      <c r="P170" s="128" t="str">
        <f t="shared" si="15"/>
        <v xml:space="preserve"> </v>
      </c>
      <c r="Q170" s="128" t="str">
        <f t="shared" si="15"/>
        <v xml:space="preserve"> </v>
      </c>
      <c r="R170" s="128" t="str">
        <f t="shared" si="15"/>
        <v xml:space="preserve"> </v>
      </c>
      <c r="S170" s="128" t="str">
        <f t="shared" si="15"/>
        <v xml:space="preserve"> </v>
      </c>
      <c r="T170" s="128" t="str">
        <f t="shared" si="15"/>
        <v xml:space="preserve"> </v>
      </c>
      <c r="U170" s="128" t="str">
        <f t="shared" si="15"/>
        <v xml:space="preserve"> </v>
      </c>
      <c r="V170" s="128" t="str">
        <f t="shared" si="15"/>
        <v xml:space="preserve"> </v>
      </c>
      <c r="W170" s="128" t="str">
        <f t="shared" si="15"/>
        <v xml:space="preserve"> </v>
      </c>
      <c r="X170" s="128" t="str">
        <f t="shared" si="15"/>
        <v xml:space="preserve"> </v>
      </c>
      <c r="Y170" s="128" t="str">
        <f t="shared" si="15"/>
        <v xml:space="preserve"> </v>
      </c>
      <c r="Z170" s="128" t="str">
        <f t="shared" si="15"/>
        <v xml:space="preserve"> </v>
      </c>
      <c r="AA170" s="128" t="str">
        <f t="shared" si="15"/>
        <v xml:space="preserve"> </v>
      </c>
      <c r="AB170" s="128" t="str">
        <f t="shared" si="15"/>
        <v xml:space="preserve"> </v>
      </c>
      <c r="AC170" s="128" t="str">
        <f t="shared" si="15"/>
        <v xml:space="preserve"> </v>
      </c>
      <c r="AD170" s="128" t="str">
        <f t="shared" si="15"/>
        <v xml:space="preserve"> </v>
      </c>
      <c r="AE170" s="128" t="str">
        <f t="shared" si="15"/>
        <v xml:space="preserve"> </v>
      </c>
      <c r="AF170" s="128" t="str">
        <f t="shared" si="15"/>
        <v xml:space="preserve"> </v>
      </c>
      <c r="AG170" s="128" t="str">
        <f t="shared" si="15"/>
        <v xml:space="preserve"> </v>
      </c>
      <c r="AH170" s="128">
        <f t="shared" si="15"/>
        <v>4.9714671136171784E-2</v>
      </c>
    </row>
    <row r="171" spans="1:34" s="412" customFormat="1" x14ac:dyDescent="0.2">
      <c r="A171" s="18"/>
      <c r="B171" s="80"/>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c r="AA171" s="80"/>
      <c r="AB171" s="80"/>
      <c r="AC171" s="80"/>
      <c r="AD171" s="80"/>
      <c r="AE171" s="80"/>
      <c r="AF171" s="80"/>
      <c r="AG171" s="80"/>
      <c r="AH171" s="80"/>
    </row>
    <row r="172" spans="1:34" s="412" customFormat="1" x14ac:dyDescent="0.2">
      <c r="A172" s="18"/>
      <c r="B172" s="90" t="s">
        <v>321</v>
      </c>
      <c r="C172" s="80"/>
      <c r="D172" s="80"/>
      <c r="E172" s="80"/>
      <c r="F172" s="80"/>
      <c r="G172" s="80"/>
      <c r="H172" s="80"/>
      <c r="I172" s="80"/>
      <c r="J172" s="80"/>
      <c r="K172" s="80"/>
      <c r="L172" s="80"/>
      <c r="M172" s="80"/>
      <c r="N172" s="80"/>
      <c r="O172" s="80"/>
      <c r="P172" s="80"/>
      <c r="Q172" s="80"/>
      <c r="R172" s="80"/>
      <c r="S172" s="80"/>
      <c r="T172" s="80"/>
      <c r="U172" s="80"/>
      <c r="V172" s="80"/>
      <c r="W172" s="80"/>
      <c r="X172" s="80"/>
      <c r="Y172" s="80"/>
      <c r="Z172" s="80"/>
      <c r="AA172" s="80"/>
      <c r="AB172" s="80"/>
      <c r="AC172" s="80"/>
      <c r="AD172" s="80"/>
      <c r="AE172" s="80"/>
      <c r="AF172" s="80"/>
      <c r="AG172" s="80"/>
      <c r="AH172" s="80"/>
    </row>
    <row r="173" spans="1:34" s="412" customFormat="1" x14ac:dyDescent="0.2">
      <c r="A173" s="18"/>
      <c r="B173" s="80"/>
      <c r="C173" s="80"/>
      <c r="D173" s="80"/>
      <c r="E173" s="93">
        <f>YEAR('Charts - Freight'!E$131)</f>
        <v>2010</v>
      </c>
      <c r="F173" s="93">
        <f>YEAR('Charts - Freight'!F$131)</f>
        <v>2011</v>
      </c>
      <c r="G173" s="93">
        <f>YEAR('Charts - Freight'!G$131)</f>
        <v>2012</v>
      </c>
      <c r="H173" s="93">
        <f>YEAR('Charts - Freight'!H$131)</f>
        <v>2013</v>
      </c>
      <c r="I173" s="93">
        <f>YEAR('Charts - Freight'!I$131)</f>
        <v>2014</v>
      </c>
      <c r="J173" s="93">
        <f>YEAR('Charts - Freight'!J$131)</f>
        <v>2015</v>
      </c>
      <c r="K173" s="93">
        <f>YEAR('Charts - Freight'!K$131)</f>
        <v>2016</v>
      </c>
      <c r="L173" s="93">
        <f>YEAR('Charts - Freight'!L$131)</f>
        <v>2017</v>
      </c>
      <c r="M173" s="93">
        <f>YEAR('Charts - Freight'!M$131)</f>
        <v>2018</v>
      </c>
      <c r="N173" s="93">
        <f>YEAR('Charts - Freight'!N$131)</f>
        <v>2019</v>
      </c>
      <c r="O173" s="93">
        <f>YEAR('Charts - Freight'!O$131)</f>
        <v>2020</v>
      </c>
      <c r="P173" s="93">
        <f>YEAR('Charts - Freight'!P$131)</f>
        <v>2021</v>
      </c>
      <c r="Q173" s="93">
        <f>YEAR('Charts - Freight'!Q$131)</f>
        <v>2022</v>
      </c>
      <c r="R173" s="93">
        <f>YEAR('Charts - Freight'!R$131)</f>
        <v>2023</v>
      </c>
      <c r="S173" s="93">
        <f>YEAR('Charts - Freight'!S$131)</f>
        <v>2024</v>
      </c>
      <c r="T173" s="93">
        <f>YEAR('Charts - Freight'!T$131)</f>
        <v>2025</v>
      </c>
      <c r="U173" s="93">
        <f>YEAR('Charts - Freight'!U$131)</f>
        <v>2026</v>
      </c>
      <c r="V173" s="93">
        <f>YEAR('Charts - Freight'!V$131)</f>
        <v>2027</v>
      </c>
      <c r="W173" s="93">
        <f>YEAR('Charts - Freight'!W$131)</f>
        <v>2028</v>
      </c>
      <c r="X173" s="93">
        <f>YEAR('Charts - Freight'!X$131)</f>
        <v>2029</v>
      </c>
      <c r="Y173" s="93">
        <f>YEAR('Charts - Freight'!Y$131)</f>
        <v>2030</v>
      </c>
      <c r="Z173" s="93">
        <f>YEAR('Charts - Freight'!Z$131)</f>
        <v>2031</v>
      </c>
      <c r="AA173" s="93">
        <f>YEAR('Charts - Freight'!AA$131)</f>
        <v>2032</v>
      </c>
      <c r="AB173" s="93">
        <f>YEAR('Charts - Freight'!AB$131)</f>
        <v>2033</v>
      </c>
      <c r="AC173" s="93">
        <f>YEAR('Charts - Freight'!AC$131)</f>
        <v>2034</v>
      </c>
      <c r="AD173" s="93">
        <f>YEAR('Charts - Freight'!AD$131)</f>
        <v>2035</v>
      </c>
      <c r="AE173" s="93">
        <f>YEAR('Charts - Freight'!AE$131)</f>
        <v>2036</v>
      </c>
      <c r="AF173" s="93">
        <f>YEAR('Charts - Freight'!AF$131)</f>
        <v>2037</v>
      </c>
      <c r="AG173" s="93">
        <f>YEAR('Charts - Freight'!AG$131)</f>
        <v>2038</v>
      </c>
      <c r="AH173" s="93">
        <f>YEAR('Charts - Freight'!AH$131)</f>
        <v>2039</v>
      </c>
    </row>
    <row r="174" spans="1:34" s="412" customFormat="1" x14ac:dyDescent="0.2">
      <c r="A174" s="18"/>
      <c r="B174" s="80" t="s">
        <v>642</v>
      </c>
      <c r="C174" s="80"/>
      <c r="D174" s="80"/>
      <c r="E174" s="100">
        <f>IF(E132=1,Calculations!E1141,0)</f>
        <v>50</v>
      </c>
      <c r="F174" s="100">
        <f>IF(F132=1,Calculations!F1141,0)</f>
        <v>51.5</v>
      </c>
      <c r="G174" s="100">
        <f>IF(G132=1,Calculations!G1141,0)</f>
        <v>53.045000000000002</v>
      </c>
      <c r="H174" s="100">
        <f>IF(H132=1,Calculations!H1141,0)</f>
        <v>54.63635</v>
      </c>
      <c r="I174" s="100">
        <f>IF(I132=1,Calculations!I1141,0)</f>
        <v>56.275440500000002</v>
      </c>
      <c r="J174" s="100">
        <f>IF(J132=1,Calculations!J1141," ")</f>
        <v>57.963703715000001</v>
      </c>
      <c r="K174" s="100">
        <f>IF(K132=1,Calculations!K1141," ")</f>
        <v>59.702614826450002</v>
      </c>
      <c r="L174" s="100">
        <f>IF(L132=1,Calculations!L1141," ")</f>
        <v>61.493693271243501</v>
      </c>
      <c r="M174" s="100">
        <f>IF(M132=1,Calculations!M1141," ")</f>
        <v>63.338504069380811</v>
      </c>
      <c r="N174" s="100">
        <f>IF(N132=1,Calculations!N1141," ")</f>
        <v>65.238659191462233</v>
      </c>
      <c r="O174" s="100">
        <f>IF(O132=1,Calculations!O1141," ")</f>
        <v>67.195818967206108</v>
      </c>
      <c r="P174" s="100">
        <f>IF(P132=1,Calculations!P1141," ")</f>
        <v>69.211693536222299</v>
      </c>
      <c r="Q174" s="100">
        <f>IF(Q132=1,Calculations!Q1141," ")</f>
        <v>71.288044342308964</v>
      </c>
      <c r="R174" s="100">
        <f>IF(R132=1,Calculations!R1141," ")</f>
        <v>73.42668567257823</v>
      </c>
      <c r="S174" s="100">
        <f>IF(S132=1,Calculations!S1141," ")</f>
        <v>75.629486242755576</v>
      </c>
      <c r="T174" s="100">
        <f>IF(T132=1,Calculations!T1141," ")</f>
        <v>77.898370830038246</v>
      </c>
      <c r="U174" s="100">
        <f>IF(U132=1,Calculations!U1141," ")</f>
        <v>80.235321954939394</v>
      </c>
      <c r="V174" s="100">
        <f>IF(V132=1,Calculations!V1141," ")</f>
        <v>82.642381613587574</v>
      </c>
      <c r="W174" s="100">
        <f>IF(W132=1,Calculations!W1141," ")</f>
        <v>85.121653061995204</v>
      </c>
      <c r="X174" s="100">
        <f>IF(X132=1,Calculations!X1141," ")</f>
        <v>87.675302653855056</v>
      </c>
      <c r="Y174" s="100">
        <f>IF(Y132=1,Calculations!Y1141," ")</f>
        <v>90.305561733470711</v>
      </c>
      <c r="Z174" s="100">
        <f>IF(Z132=1,Calculations!Z1141," ")</f>
        <v>93.014728585474828</v>
      </c>
      <c r="AA174" s="100">
        <f>IF(AA132=1,Calculations!AA1141," ")</f>
        <v>95.805170443039074</v>
      </c>
      <c r="AB174" s="100">
        <f>IF(AB132=1,Calculations!AB1141," ")</f>
        <v>98.679325556330255</v>
      </c>
      <c r="AC174" s="100">
        <f>IF(AC132=1,Calculations!AC1141," ")</f>
        <v>101.63970532302017</v>
      </c>
      <c r="AD174" s="100">
        <f>IF(AD132=1,Calculations!AD1141," ")</f>
        <v>104.68889648271077</v>
      </c>
      <c r="AE174" s="100">
        <f>IF(AE132=1,Calculations!AE1141," ")</f>
        <v>107.8295633771921</v>
      </c>
      <c r="AF174" s="100">
        <f>IF(AF132=1,Calculations!AF1141," ")</f>
        <v>111.06445027850786</v>
      </c>
      <c r="AG174" s="100">
        <f>IF(AG132=1,Calculations!AG1141," ")</f>
        <v>114.3963837868631</v>
      </c>
      <c r="AH174" s="100">
        <f>IF(AH132=1,Calculations!AH1141," ")</f>
        <v>117.82827530046899</v>
      </c>
    </row>
    <row r="175" spans="1:34" s="412" customFormat="1" x14ac:dyDescent="0.2">
      <c r="A175" s="18"/>
      <c r="B175" s="80" t="s">
        <v>609</v>
      </c>
      <c r="C175" s="80"/>
      <c r="D175" s="80"/>
      <c r="E175" s="100">
        <f>IF(E132=1,Calculations!E1142,0)</f>
        <v>15</v>
      </c>
      <c r="F175" s="100">
        <f>IF(F132=1,Calculations!F1142,0)</f>
        <v>15.450000000000001</v>
      </c>
      <c r="G175" s="100">
        <f>IF(G132=1,Calculations!G1142,0)</f>
        <v>15.913500000000001</v>
      </c>
      <c r="H175" s="100">
        <f>IF(H132=1,Calculations!H1142,0)</f>
        <v>16.390905</v>
      </c>
      <c r="I175" s="100">
        <f>IF(I132=1,Calculations!I1142,0)</f>
        <v>16.882632149999999</v>
      </c>
      <c r="J175" s="100">
        <f>IF(J132=1,Calculations!J1142," ")</f>
        <v>17.3891111145</v>
      </c>
      <c r="K175" s="100">
        <f>IF(K132=1,Calculations!K1142," ")</f>
        <v>17.910784447935001</v>
      </c>
      <c r="L175" s="100">
        <f>IF(L132=1,Calculations!L1142," ")</f>
        <v>18.448107981373052</v>
      </c>
      <c r="M175" s="100">
        <f>IF(M132=1,Calculations!M1142," ")</f>
        <v>19.001551220814246</v>
      </c>
      <c r="N175" s="100">
        <f>IF(N132=1,Calculations!N1142," ")</f>
        <v>19.571597757438674</v>
      </c>
      <c r="O175" s="100">
        <f>IF(O132=1,Calculations!O1142," ")</f>
        <v>20.158745690161833</v>
      </c>
      <c r="P175" s="100">
        <f>IF(P132=1,Calculations!P1142," ")</f>
        <v>20.763508060866688</v>
      </c>
      <c r="Q175" s="100">
        <f>IF(Q132=1,Calculations!Q1142," ")</f>
        <v>21.386413302692688</v>
      </c>
      <c r="R175" s="100">
        <f>IF(R132=1,Calculations!R1142," ")</f>
        <v>22.02800570177347</v>
      </c>
      <c r="S175" s="100">
        <f>IF(S132=1,Calculations!S1142," ")</f>
        <v>22.688845872826676</v>
      </c>
      <c r="T175" s="100">
        <f>IF(T132=1,Calculations!T1142," ")</f>
        <v>23.369511249011477</v>
      </c>
      <c r="U175" s="100">
        <f>IF(U132=1,Calculations!U1142," ")</f>
        <v>24.070596586481823</v>
      </c>
      <c r="V175" s="100">
        <f>IF(V132=1,Calculations!V1142," ")</f>
        <v>24.792714484076278</v>
      </c>
      <c r="W175" s="100">
        <f>IF(W132=1,Calculations!W1142," ")</f>
        <v>25.536495918598568</v>
      </c>
      <c r="X175" s="100">
        <f>IF(X132=1,Calculations!X1142," ")</f>
        <v>26.302590796156526</v>
      </c>
      <c r="Y175" s="100">
        <f>IF(Y132=1,Calculations!Y1142," ")</f>
        <v>27.091668520041221</v>
      </c>
      <c r="Z175" s="100">
        <f>IF(Z132=1,Calculations!Z1142," ")</f>
        <v>27.90441857564246</v>
      </c>
      <c r="AA175" s="100">
        <f>IF(AA132=1,Calculations!AA1142," ")</f>
        <v>28.741551132911734</v>
      </c>
      <c r="AB175" s="100">
        <f>IF(AB132=1,Calculations!AB1142," ")</f>
        <v>29.603797666899087</v>
      </c>
      <c r="AC175" s="100">
        <f>IF(AC132=1,Calculations!AC1142," ")</f>
        <v>30.491911596906061</v>
      </c>
      <c r="AD175" s="100">
        <f>IF(AD132=1,Calculations!AD1142," ")</f>
        <v>31.406668944813244</v>
      </c>
      <c r="AE175" s="100">
        <f>IF(AE132=1,Calculations!AE1142," ")</f>
        <v>32.348869013157639</v>
      </c>
      <c r="AF175" s="100">
        <f>IF(AF132=1,Calculations!AF1142," ")</f>
        <v>33.319335083552367</v>
      </c>
      <c r="AG175" s="100">
        <f>IF(AG132=1,Calculations!AG1142," ")</f>
        <v>34.318915136058941</v>
      </c>
      <c r="AH175" s="100">
        <f>IF(AH132=1,Calculations!AH1142," ")</f>
        <v>35.348482590140712</v>
      </c>
    </row>
    <row r="176" spans="1:34" s="412" customFormat="1" x14ac:dyDescent="0.2">
      <c r="A176" s="18"/>
      <c r="B176" s="80" t="s">
        <v>297</v>
      </c>
      <c r="C176" s="80"/>
      <c r="D176" s="80"/>
      <c r="E176" s="128">
        <f>IF(AND(SUM($E$174:$AH$175)&gt;0,($E173+SUM($F$132:$AH$132))=E173),((E174+E175)/($E174+$E175))^(1/SUM($F$132:$AH$132))-1,0)</f>
        <v>0</v>
      </c>
      <c r="F176" s="128">
        <f t="shared" ref="F176:I176" si="16">IF(AND(SUM($E$174:$AH$175)&gt;0,($E173+SUM($F$132:$AH$132))=F173),((F174+F175)/($E174+$E175))^(1/SUM($F$132:$AH$132))-1,0)</f>
        <v>0</v>
      </c>
      <c r="G176" s="128">
        <f t="shared" si="16"/>
        <v>0</v>
      </c>
      <c r="H176" s="128">
        <f t="shared" si="16"/>
        <v>0</v>
      </c>
      <c r="I176" s="128">
        <f t="shared" si="16"/>
        <v>0</v>
      </c>
      <c r="J176" s="128" t="str">
        <f t="shared" ref="J176:AH176" si="17">IF(AND(SUM($E$174:$AH$175)&gt;0,($E173+SUM($F$132:$AH$132))=J173),((J174+J175)/($E174+$E175))^(1/SUM($F$132:$AH$132))-1," ")</f>
        <v xml:space="preserve"> </v>
      </c>
      <c r="K176" s="128" t="str">
        <f t="shared" si="17"/>
        <v xml:space="preserve"> </v>
      </c>
      <c r="L176" s="128" t="str">
        <f t="shared" si="17"/>
        <v xml:space="preserve"> </v>
      </c>
      <c r="M176" s="128" t="str">
        <f t="shared" si="17"/>
        <v xml:space="preserve"> </v>
      </c>
      <c r="N176" s="128" t="str">
        <f t="shared" si="17"/>
        <v xml:space="preserve"> </v>
      </c>
      <c r="O176" s="128" t="str">
        <f t="shared" si="17"/>
        <v xml:space="preserve"> </v>
      </c>
      <c r="P176" s="128" t="str">
        <f t="shared" si="17"/>
        <v xml:space="preserve"> </v>
      </c>
      <c r="Q176" s="128" t="str">
        <f t="shared" si="17"/>
        <v xml:space="preserve"> </v>
      </c>
      <c r="R176" s="128" t="str">
        <f t="shared" si="17"/>
        <v xml:space="preserve"> </v>
      </c>
      <c r="S176" s="128" t="str">
        <f t="shared" si="17"/>
        <v xml:space="preserve"> </v>
      </c>
      <c r="T176" s="128" t="str">
        <f t="shared" si="17"/>
        <v xml:space="preserve"> </v>
      </c>
      <c r="U176" s="128" t="str">
        <f t="shared" si="17"/>
        <v xml:space="preserve"> </v>
      </c>
      <c r="V176" s="128" t="str">
        <f t="shared" si="17"/>
        <v xml:space="preserve"> </v>
      </c>
      <c r="W176" s="128" t="str">
        <f t="shared" si="17"/>
        <v xml:space="preserve"> </v>
      </c>
      <c r="X176" s="128" t="str">
        <f t="shared" si="17"/>
        <v xml:space="preserve"> </v>
      </c>
      <c r="Y176" s="128" t="str">
        <f t="shared" si="17"/>
        <v xml:space="preserve"> </v>
      </c>
      <c r="Z176" s="128" t="str">
        <f t="shared" si="17"/>
        <v xml:space="preserve"> </v>
      </c>
      <c r="AA176" s="128" t="str">
        <f t="shared" si="17"/>
        <v xml:space="preserve"> </v>
      </c>
      <c r="AB176" s="128" t="str">
        <f t="shared" si="17"/>
        <v xml:space="preserve"> </v>
      </c>
      <c r="AC176" s="128" t="str">
        <f t="shared" si="17"/>
        <v xml:space="preserve"> </v>
      </c>
      <c r="AD176" s="128" t="str">
        <f t="shared" si="17"/>
        <v xml:space="preserve"> </v>
      </c>
      <c r="AE176" s="128" t="str">
        <f t="shared" si="17"/>
        <v xml:space="preserve"> </v>
      </c>
      <c r="AF176" s="128" t="str">
        <f t="shared" si="17"/>
        <v xml:space="preserve"> </v>
      </c>
      <c r="AG176" s="128" t="str">
        <f t="shared" si="17"/>
        <v xml:space="preserve"> </v>
      </c>
      <c r="AH176" s="128">
        <f t="shared" si="17"/>
        <v>3.0000000000000027E-2</v>
      </c>
    </row>
    <row r="177" spans="1:34" s="412" customFormat="1" x14ac:dyDescent="0.2">
      <c r="A177" s="18"/>
      <c r="B177" s="80"/>
      <c r="C177" s="80"/>
      <c r="D177" s="80"/>
      <c r="E177" s="80"/>
      <c r="F177" s="80"/>
      <c r="G177" s="80"/>
      <c r="H177" s="80"/>
      <c r="I177" s="80"/>
      <c r="J177" s="80"/>
      <c r="K177" s="80"/>
      <c r="L177" s="80"/>
      <c r="M177" s="80"/>
      <c r="N177" s="80"/>
      <c r="O177" s="80"/>
      <c r="P177" s="80"/>
      <c r="Q177" s="80"/>
      <c r="R177" s="80"/>
      <c r="S177" s="80"/>
      <c r="T177" s="80"/>
      <c r="U177" s="80"/>
      <c r="V177" s="80"/>
      <c r="W177" s="80"/>
      <c r="X177" s="80"/>
      <c r="Y177" s="80"/>
      <c r="Z177" s="80"/>
      <c r="AA177" s="80"/>
      <c r="AB177" s="80"/>
      <c r="AC177" s="80"/>
      <c r="AD177" s="80"/>
      <c r="AE177" s="80"/>
      <c r="AF177" s="80"/>
      <c r="AG177" s="80"/>
      <c r="AH177" s="80"/>
    </row>
    <row r="178" spans="1:34" s="412" customFormat="1" x14ac:dyDescent="0.2">
      <c r="A178" s="18"/>
      <c r="B178" s="90" t="s">
        <v>183</v>
      </c>
      <c r="C178" s="80"/>
      <c r="D178" s="80"/>
      <c r="E178" s="80"/>
      <c r="F178" s="80"/>
      <c r="G178" s="80"/>
      <c r="H178" s="80"/>
      <c r="I178" s="80"/>
      <c r="J178" s="80"/>
      <c r="K178" s="80"/>
      <c r="L178" s="80"/>
      <c r="M178" s="80"/>
      <c r="N178" s="80"/>
      <c r="O178" s="80"/>
      <c r="P178" s="80"/>
      <c r="Q178" s="80"/>
      <c r="R178" s="80"/>
      <c r="S178" s="80"/>
      <c r="T178" s="80"/>
      <c r="U178" s="80"/>
      <c r="V178" s="80"/>
      <c r="W178" s="80"/>
      <c r="X178" s="80"/>
      <c r="Y178" s="80"/>
      <c r="Z178" s="80"/>
      <c r="AA178" s="80"/>
      <c r="AB178" s="80"/>
      <c r="AC178" s="80"/>
      <c r="AD178" s="80"/>
      <c r="AE178" s="80"/>
      <c r="AF178" s="80"/>
      <c r="AG178" s="80"/>
      <c r="AH178" s="80"/>
    </row>
    <row r="179" spans="1:34" s="412" customFormat="1" x14ac:dyDescent="0.2">
      <c r="A179" s="18"/>
      <c r="B179" s="80"/>
      <c r="C179" s="80"/>
      <c r="D179" s="80"/>
      <c r="E179" s="93">
        <f>YEAR('Charts - Freight'!E$131)</f>
        <v>2010</v>
      </c>
      <c r="F179" s="93">
        <f>YEAR('Charts - Freight'!F$131)</f>
        <v>2011</v>
      </c>
      <c r="G179" s="93">
        <f>YEAR('Charts - Freight'!G$131)</f>
        <v>2012</v>
      </c>
      <c r="H179" s="93">
        <f>YEAR('Charts - Freight'!H$131)</f>
        <v>2013</v>
      </c>
      <c r="I179" s="93">
        <f>YEAR('Charts - Freight'!I$131)</f>
        <v>2014</v>
      </c>
      <c r="J179" s="93">
        <f>YEAR('Charts - Freight'!J$131)</f>
        <v>2015</v>
      </c>
      <c r="K179" s="93">
        <f>YEAR('Charts - Freight'!K$131)</f>
        <v>2016</v>
      </c>
      <c r="L179" s="93">
        <f>YEAR('Charts - Freight'!L$131)</f>
        <v>2017</v>
      </c>
      <c r="M179" s="93">
        <f>YEAR('Charts - Freight'!M$131)</f>
        <v>2018</v>
      </c>
      <c r="N179" s="93">
        <f>YEAR('Charts - Freight'!N$131)</f>
        <v>2019</v>
      </c>
      <c r="O179" s="93">
        <f>YEAR('Charts - Freight'!O$131)</f>
        <v>2020</v>
      </c>
      <c r="P179" s="93">
        <f>YEAR('Charts - Freight'!P$131)</f>
        <v>2021</v>
      </c>
      <c r="Q179" s="93">
        <f>YEAR('Charts - Freight'!Q$131)</f>
        <v>2022</v>
      </c>
      <c r="R179" s="93">
        <f>YEAR('Charts - Freight'!R$131)</f>
        <v>2023</v>
      </c>
      <c r="S179" s="93">
        <f>YEAR('Charts - Freight'!S$131)</f>
        <v>2024</v>
      </c>
      <c r="T179" s="93">
        <f>YEAR('Charts - Freight'!T$131)</f>
        <v>2025</v>
      </c>
      <c r="U179" s="93">
        <f>YEAR('Charts - Freight'!U$131)</f>
        <v>2026</v>
      </c>
      <c r="V179" s="93">
        <f>YEAR('Charts - Freight'!V$131)</f>
        <v>2027</v>
      </c>
      <c r="W179" s="93">
        <f>YEAR('Charts - Freight'!W$131)</f>
        <v>2028</v>
      </c>
      <c r="X179" s="93">
        <f>YEAR('Charts - Freight'!X$131)</f>
        <v>2029</v>
      </c>
      <c r="Y179" s="93">
        <f>YEAR('Charts - Freight'!Y$131)</f>
        <v>2030</v>
      </c>
      <c r="Z179" s="93">
        <f>YEAR('Charts - Freight'!Z$131)</f>
        <v>2031</v>
      </c>
      <c r="AA179" s="93">
        <f>YEAR('Charts - Freight'!AA$131)</f>
        <v>2032</v>
      </c>
      <c r="AB179" s="93">
        <f>YEAR('Charts - Freight'!AB$131)</f>
        <v>2033</v>
      </c>
      <c r="AC179" s="93">
        <f>YEAR('Charts - Freight'!AC$131)</f>
        <v>2034</v>
      </c>
      <c r="AD179" s="93">
        <f>YEAR('Charts - Freight'!AD$131)</f>
        <v>2035</v>
      </c>
      <c r="AE179" s="93">
        <f>YEAR('Charts - Freight'!AE$131)</f>
        <v>2036</v>
      </c>
      <c r="AF179" s="93">
        <f>YEAR('Charts - Freight'!AF$131)</f>
        <v>2037</v>
      </c>
      <c r="AG179" s="93">
        <f>YEAR('Charts - Freight'!AG$131)</f>
        <v>2038</v>
      </c>
      <c r="AH179" s="93">
        <f>YEAR('Charts - Freight'!AH$131)</f>
        <v>2039</v>
      </c>
    </row>
    <row r="180" spans="1:34" s="412" customFormat="1" x14ac:dyDescent="0.2">
      <c r="A180" s="18"/>
      <c r="B180" s="80" t="s">
        <v>151</v>
      </c>
      <c r="C180" s="80"/>
      <c r="D180" s="80"/>
      <c r="E180" s="94">
        <f>IF(E132=1,'Cash flow statement'!E160,0)</f>
        <v>0</v>
      </c>
      <c r="F180" s="94">
        <f>IF(F132=1,'Cash flow statement'!F160,0)</f>
        <v>27169.260795835875</v>
      </c>
      <c r="G180" s="94">
        <f>IF(G132=1,'Cash flow statement'!G160,0)</f>
        <v>28232.321656527576</v>
      </c>
      <c r="H180" s="94">
        <f>IF(H132=1,'Cash flow statement'!H160,0)</f>
        <v>29928.184922482185</v>
      </c>
      <c r="I180" s="94">
        <f>IF(I132=1,'Cash flow statement'!I160,0)</f>
        <v>32430.915734590944</v>
      </c>
      <c r="J180" s="94">
        <f>IF(J132=1,'Cash flow statement'!J160," ")</f>
        <v>34690.235042531553</v>
      </c>
      <c r="K180" s="94">
        <f>IF(K132=1,'Cash flow statement'!K160," ")</f>
        <v>39022.091203316661</v>
      </c>
      <c r="L180" s="94">
        <f>IF(L132=1,'Cash flow statement'!L160," ")</f>
        <v>41934.00561537101</v>
      </c>
      <c r="M180" s="94">
        <f>IF(M132=1,'Cash flow statement'!M160," ")</f>
        <v>44572.643583934892</v>
      </c>
      <c r="N180" s="94">
        <f>IF(N132=1,'Cash flow statement'!N160," ")</f>
        <v>47332.783680796812</v>
      </c>
      <c r="O180" s="94">
        <f>IF(O132=1,'Cash flow statement'!O160," ")</f>
        <v>49573.283496049335</v>
      </c>
      <c r="P180" s="94">
        <f>IF(P132=1,'Cash flow statement'!P160," ")</f>
        <v>52378.777002494629</v>
      </c>
      <c r="Q180" s="94">
        <f>IF(Q132=1,'Cash flow statement'!Q160," ")</f>
        <v>55351.923394553574</v>
      </c>
      <c r="R180" s="94">
        <f>IF(R132=1,'Cash flow statement'!R160," ")</f>
        <v>58457.176868947972</v>
      </c>
      <c r="S180" s="94">
        <f>IF(S132=1,'Cash flow statement'!S160," ")</f>
        <v>61704.155016376593</v>
      </c>
      <c r="T180" s="94">
        <f>IF(T132=1,'Cash flow statement'!T160," ")</f>
        <v>65092.077642276832</v>
      </c>
      <c r="U180" s="94">
        <f>IF(U132=1,'Cash flow statement'!U160," ")</f>
        <v>68632.830108557057</v>
      </c>
      <c r="V180" s="94">
        <f>IF(V132=1,'Cash flow statement'!V160," ")</f>
        <v>72327.671585913762</v>
      </c>
      <c r="W180" s="94">
        <f>IF(W132=1,'Cash flow statement'!W160," ")</f>
        <v>76189.648760261945</v>
      </c>
      <c r="X180" s="94">
        <f>IF(X132=1,'Cash flow statement'!X160," ")</f>
        <v>80220.892284133282</v>
      </c>
      <c r="Y180" s="94">
        <f>IF(Y132=1,'Cash flow statement'!Y160," ")</f>
        <v>84428.115907585394</v>
      </c>
      <c r="Z180" s="94">
        <f>IF(Z132=1,'Cash flow statement'!Z160," ")</f>
        <v>88818.284286625858</v>
      </c>
      <c r="AA180" s="94">
        <f>IF(AA132=1,'Cash flow statement'!AA160," ")</f>
        <v>93398.622000950287</v>
      </c>
      <c r="AB180" s="94">
        <f>IF(AB132=1,'Cash flow statement'!AB160," ")</f>
        <v>98176.622886883561</v>
      </c>
      <c r="AC180" s="94">
        <f>IF(AC132=1,'Cash flow statement'!AC160," ")</f>
        <v>103160.05969635457</v>
      </c>
      <c r="AD180" s="94">
        <f>IF(AD132=1,'Cash flow statement'!AD160," ")</f>
        <v>108356.99409309009</v>
      </c>
      <c r="AE180" s="94">
        <f>IF(AE132=1,'Cash flow statement'!AE160," ")</f>
        <v>113775.78699758439</v>
      </c>
      <c r="AF180" s="94">
        <f>IF(AF132=1,'Cash flow statement'!AF160," ")</f>
        <v>119425.10929278545</v>
      </c>
      <c r="AG180" s="94">
        <f>IF(AG132=1,'Cash flow statement'!AG160," ")</f>
        <v>125312.69944878791</v>
      </c>
      <c r="AH180" s="94">
        <f>IF(AH132=1,'Cash flow statement'!AH160," ")</f>
        <v>131434.27287413037</v>
      </c>
    </row>
    <row r="181" spans="1:34" s="412" customFormat="1" x14ac:dyDescent="0.2">
      <c r="A181" s="18"/>
      <c r="B181" s="80" t="s">
        <v>176</v>
      </c>
      <c r="C181" s="80"/>
      <c r="D181" s="80"/>
      <c r="E181" s="94">
        <f>IF(E132=1,'Cash flow statement'!E180,0)</f>
        <v>0</v>
      </c>
      <c r="F181" s="94">
        <f>IF(F132=1,'Cash flow statement'!F180,0)</f>
        <v>8117.9507387507656</v>
      </c>
      <c r="G181" s="94">
        <f>IF(G132=1,'Cash flow statement'!G180,0)</f>
        <v>8394.8964469582752</v>
      </c>
      <c r="H181" s="94">
        <f>IF(H132=1,'Cash flow statement'!H180,0)</f>
        <v>8907.4443982446574</v>
      </c>
      <c r="I181" s="94">
        <f>IF(I132=1,'Cash flow statement'!I180,0)</f>
        <v>9656.4887600222828</v>
      </c>
      <c r="J181" s="94">
        <f>IF(J132=1,'Cash flow statement'!J180," ")</f>
        <v>10333.981696093819</v>
      </c>
      <c r="K181" s="94">
        <f>IF(K132=1,'Cash flow statement'!K180," ")</f>
        <v>11633.226746329379</v>
      </c>
      <c r="L181" s="94">
        <f>IF(L132=1,'Cash flow statement'!L180," ")</f>
        <v>12494.871367005719</v>
      </c>
      <c r="M181" s="94">
        <f>IF(M132=1,'Cash flow statement'!M180," ")</f>
        <v>13286.906290546714</v>
      </c>
      <c r="N181" s="94">
        <f>IF(N132=1,'Cash flow statement'!N180," ")</f>
        <v>14115.414833566283</v>
      </c>
      <c r="O181" s="94">
        <f>IF(O132=1,'Cash flow statement'!O180," ")</f>
        <v>14794.914672521852</v>
      </c>
      <c r="P181" s="94">
        <f>IF(P132=1,'Cash flow statement'!P180," ")</f>
        <v>15635.262153166652</v>
      </c>
      <c r="Q181" s="94">
        <f>IF(Q132=1,'Cash flow statement'!Q180," ")</f>
        <v>16527.392942356884</v>
      </c>
      <c r="R181" s="94">
        <f>IF(R132=1,'Cash flow statement'!R180," ")</f>
        <v>17459.161462394928</v>
      </c>
      <c r="S181" s="94">
        <f>IF(S132=1,'Cash flow statement'!S180," ")</f>
        <v>18433.453158674827</v>
      </c>
      <c r="T181" s="94">
        <f>IF(T132=1,'Cash flow statement'!T180," ")</f>
        <v>19450.034146057755</v>
      </c>
      <c r="U181" s="94">
        <f>IF(U132=1,'Cash flow statement'!U180," ")</f>
        <v>20454.270211543073</v>
      </c>
      <c r="V181" s="94">
        <f>IF(V132=1,'Cash flow statement'!V180," ")</f>
        <v>21624.739290119353</v>
      </c>
      <c r="W181" s="94">
        <f>IF(W132=1,'Cash flow statement'!W180," ")</f>
        <v>22783.555576854167</v>
      </c>
      <c r="X181" s="94">
        <f>IF(X132=1,'Cash flow statement'!X180," ")</f>
        <v>23993.158462478837</v>
      </c>
      <c r="Y181" s="94">
        <f>IF(Y132=1,'Cash flow statement'!Y180," ")</f>
        <v>25255.562272831638</v>
      </c>
      <c r="Z181" s="94">
        <f>IF(Z132=1,'Cash flow statement'!Z180," ")</f>
        <v>26572.856611560463</v>
      </c>
      <c r="AA181" s="94">
        <f>IF(AA132=1,'Cash flow statement'!AA180," ")</f>
        <v>27947.209065624957</v>
      </c>
      <c r="AB181" s="94">
        <f>IF(AB132=1,'Cash flow statement'!AB180," ")</f>
        <v>29380.868005365148</v>
      </c>
      <c r="AC181" s="94">
        <f>IF(AC132=1,'Cash flow statement'!AC180," ")</f>
        <v>30876.165482385448</v>
      </c>
      <c r="AD181" s="94">
        <f>IF(AD132=1,'Cash flow statement'!AD180," ")</f>
        <v>32435.520228610476</v>
      </c>
      <c r="AE181" s="94">
        <f>IF(AE132=1,'Cash flow statement'!AE180," ")</f>
        <v>34061.440759979276</v>
      </c>
      <c r="AF181" s="94">
        <f>IF(AF132=1,'Cash flow statement'!AF180," ")</f>
        <v>35756.528588360699</v>
      </c>
      <c r="AG181" s="94">
        <f>IF(AG132=1,'Cash flow statement'!AG180," ")</f>
        <v>37523.1055091772</v>
      </c>
      <c r="AH181" s="94">
        <f>IF(AH132=1,'Cash flow statement'!AH180," ")</f>
        <v>39359.886407016165</v>
      </c>
    </row>
    <row r="182" spans="1:34" s="412" customFormat="1" x14ac:dyDescent="0.2">
      <c r="A182" s="18"/>
      <c r="B182" s="80"/>
      <c r="C182" s="80"/>
      <c r="D182" s="80"/>
      <c r="E182" s="80"/>
      <c r="F182" s="80"/>
      <c r="G182" s="80"/>
      <c r="H182" s="80"/>
      <c r="I182" s="80"/>
      <c r="J182" s="80"/>
      <c r="K182" s="80"/>
      <c r="L182" s="80"/>
      <c r="M182" s="80"/>
      <c r="N182" s="80"/>
      <c r="O182" s="80"/>
      <c r="P182" s="80"/>
      <c r="Q182" s="80"/>
      <c r="R182" s="80"/>
      <c r="S182" s="80"/>
      <c r="T182" s="80"/>
      <c r="U182" s="80"/>
      <c r="V182" s="80"/>
      <c r="W182" s="80"/>
      <c r="X182" s="80"/>
      <c r="Y182" s="80"/>
      <c r="Z182" s="80"/>
      <c r="AA182" s="80"/>
      <c r="AB182" s="80"/>
      <c r="AC182" s="80"/>
      <c r="AD182" s="80"/>
      <c r="AE182" s="80"/>
      <c r="AF182" s="80"/>
      <c r="AG182" s="80"/>
      <c r="AH182" s="80"/>
    </row>
    <row r="183" spans="1:34" s="412" customFormat="1" x14ac:dyDescent="0.2">
      <c r="A183" s="18"/>
      <c r="B183" s="80"/>
      <c r="C183" s="80"/>
      <c r="D183" s="80"/>
      <c r="E183" s="93">
        <f>YEAR('Charts - Freight'!E$131)</f>
        <v>2010</v>
      </c>
      <c r="F183" s="93">
        <f>YEAR('Charts - Freight'!F$131)</f>
        <v>2011</v>
      </c>
      <c r="G183" s="93">
        <f>YEAR('Charts - Freight'!G$131)</f>
        <v>2012</v>
      </c>
      <c r="H183" s="93">
        <f>YEAR('Charts - Freight'!H$131)</f>
        <v>2013</v>
      </c>
      <c r="I183" s="93">
        <f>YEAR('Charts - Freight'!I$131)</f>
        <v>2014</v>
      </c>
      <c r="J183" s="93">
        <f>YEAR('Charts - Freight'!J$131)</f>
        <v>2015</v>
      </c>
      <c r="K183" s="93">
        <f>YEAR('Charts - Freight'!K$131)</f>
        <v>2016</v>
      </c>
      <c r="L183" s="93">
        <f>YEAR('Charts - Freight'!L$131)</f>
        <v>2017</v>
      </c>
      <c r="M183" s="93">
        <f>YEAR('Charts - Freight'!M$131)</f>
        <v>2018</v>
      </c>
      <c r="N183" s="93">
        <f>YEAR('Charts - Freight'!N$131)</f>
        <v>2019</v>
      </c>
      <c r="O183" s="93">
        <f>YEAR('Charts - Freight'!O$131)</f>
        <v>2020</v>
      </c>
      <c r="P183" s="93">
        <f>YEAR('Charts - Freight'!P$131)</f>
        <v>2021</v>
      </c>
      <c r="Q183" s="93">
        <f>YEAR('Charts - Freight'!Q$131)</f>
        <v>2022</v>
      </c>
      <c r="R183" s="93">
        <f>YEAR('Charts - Freight'!R$131)</f>
        <v>2023</v>
      </c>
      <c r="S183" s="93">
        <f>YEAR('Charts - Freight'!S$131)</f>
        <v>2024</v>
      </c>
      <c r="T183" s="93">
        <f>YEAR('Charts - Freight'!T$131)</f>
        <v>2025</v>
      </c>
      <c r="U183" s="93">
        <f>YEAR('Charts - Freight'!U$131)</f>
        <v>2026</v>
      </c>
      <c r="V183" s="93">
        <f>YEAR('Charts - Freight'!V$131)</f>
        <v>2027</v>
      </c>
      <c r="W183" s="93">
        <f>YEAR('Charts - Freight'!W$131)</f>
        <v>2028</v>
      </c>
      <c r="X183" s="93">
        <f>YEAR('Charts - Freight'!X$131)</f>
        <v>2029</v>
      </c>
      <c r="Y183" s="93">
        <f>YEAR('Charts - Freight'!Y$131)</f>
        <v>2030</v>
      </c>
      <c r="Z183" s="93">
        <f>YEAR('Charts - Freight'!Z$131)</f>
        <v>2031</v>
      </c>
      <c r="AA183" s="93">
        <f>YEAR('Charts - Freight'!AA$131)</f>
        <v>2032</v>
      </c>
      <c r="AB183" s="93">
        <f>YEAR('Charts - Freight'!AB$131)</f>
        <v>2033</v>
      </c>
      <c r="AC183" s="93">
        <f>YEAR('Charts - Freight'!AC$131)</f>
        <v>2034</v>
      </c>
      <c r="AD183" s="93">
        <f>YEAR('Charts - Freight'!AD$131)</f>
        <v>2035</v>
      </c>
      <c r="AE183" s="93">
        <f>YEAR('Charts - Freight'!AE$131)</f>
        <v>2036</v>
      </c>
      <c r="AF183" s="93">
        <f>YEAR('Charts - Freight'!AF$131)</f>
        <v>2037</v>
      </c>
      <c r="AG183" s="93">
        <f>YEAR('Charts - Freight'!AG$131)</f>
        <v>2038</v>
      </c>
      <c r="AH183" s="93">
        <f>YEAR('Charts - Freight'!AH$131)</f>
        <v>2039</v>
      </c>
    </row>
    <row r="184" spans="1:34" s="412" customFormat="1" x14ac:dyDescent="0.2">
      <c r="A184" s="18"/>
      <c r="B184" s="80" t="str">
        <f>B180</f>
        <v>Operating cash flow</v>
      </c>
      <c r="C184" s="80"/>
      <c r="D184" s="80"/>
      <c r="E184" s="97">
        <f>E180</f>
        <v>0</v>
      </c>
      <c r="F184" s="97">
        <f t="shared" ref="F184:AH184" si="18">F180</f>
        <v>27169.260795835875</v>
      </c>
      <c r="G184" s="97">
        <f t="shared" si="18"/>
        <v>28232.321656527576</v>
      </c>
      <c r="H184" s="97">
        <f t="shared" si="18"/>
        <v>29928.184922482185</v>
      </c>
      <c r="I184" s="97">
        <f t="shared" si="18"/>
        <v>32430.915734590944</v>
      </c>
      <c r="J184" s="97">
        <f t="shared" si="18"/>
        <v>34690.235042531553</v>
      </c>
      <c r="K184" s="97">
        <f t="shared" si="18"/>
        <v>39022.091203316661</v>
      </c>
      <c r="L184" s="97">
        <f t="shared" si="18"/>
        <v>41934.00561537101</v>
      </c>
      <c r="M184" s="97">
        <f t="shared" si="18"/>
        <v>44572.643583934892</v>
      </c>
      <c r="N184" s="97">
        <f t="shared" si="18"/>
        <v>47332.783680796812</v>
      </c>
      <c r="O184" s="97">
        <f t="shared" si="18"/>
        <v>49573.283496049335</v>
      </c>
      <c r="P184" s="97">
        <f t="shared" si="18"/>
        <v>52378.777002494629</v>
      </c>
      <c r="Q184" s="97">
        <f t="shared" si="18"/>
        <v>55351.923394553574</v>
      </c>
      <c r="R184" s="97">
        <f t="shared" si="18"/>
        <v>58457.176868947972</v>
      </c>
      <c r="S184" s="97">
        <f t="shared" si="18"/>
        <v>61704.155016376593</v>
      </c>
      <c r="T184" s="97">
        <f t="shared" si="18"/>
        <v>65092.077642276832</v>
      </c>
      <c r="U184" s="97">
        <f t="shared" si="18"/>
        <v>68632.830108557057</v>
      </c>
      <c r="V184" s="97">
        <f t="shared" si="18"/>
        <v>72327.671585913762</v>
      </c>
      <c r="W184" s="97">
        <f t="shared" si="18"/>
        <v>76189.648760261945</v>
      </c>
      <c r="X184" s="97">
        <f t="shared" si="18"/>
        <v>80220.892284133282</v>
      </c>
      <c r="Y184" s="97">
        <f t="shared" si="18"/>
        <v>84428.115907585394</v>
      </c>
      <c r="Z184" s="97">
        <f t="shared" si="18"/>
        <v>88818.284286625858</v>
      </c>
      <c r="AA184" s="97">
        <f t="shared" si="18"/>
        <v>93398.622000950287</v>
      </c>
      <c r="AB184" s="97">
        <f t="shared" si="18"/>
        <v>98176.622886883561</v>
      </c>
      <c r="AC184" s="97">
        <f t="shared" si="18"/>
        <v>103160.05969635457</v>
      </c>
      <c r="AD184" s="97">
        <f t="shared" si="18"/>
        <v>108356.99409309009</v>
      </c>
      <c r="AE184" s="97">
        <f t="shared" si="18"/>
        <v>113775.78699758439</v>
      </c>
      <c r="AF184" s="97">
        <f t="shared" si="18"/>
        <v>119425.10929278545</v>
      </c>
      <c r="AG184" s="97">
        <f t="shared" si="18"/>
        <v>125312.69944878791</v>
      </c>
      <c r="AH184" s="97">
        <f t="shared" si="18"/>
        <v>131434.27287413037</v>
      </c>
    </row>
    <row r="185" spans="1:34" s="412" customFormat="1" x14ac:dyDescent="0.2">
      <c r="A185" s="18"/>
      <c r="B185" s="80" t="s">
        <v>155</v>
      </c>
      <c r="C185" s="80"/>
      <c r="D185" s="80"/>
      <c r="E185" s="94">
        <f>IF(E132=1,'Cash flow statement'!E167,0)</f>
        <v>0</v>
      </c>
      <c r="F185" s="94">
        <f>IF(F132=1,'Cash flow statement'!F167,0)</f>
        <v>-105</v>
      </c>
      <c r="G185" s="94">
        <f>IF(G132=1,'Cash flow statement'!G167,0)</f>
        <v>-260</v>
      </c>
      <c r="H185" s="94">
        <f>IF(H132=1,'Cash flow statement'!H167,0)</f>
        <v>-260</v>
      </c>
      <c r="I185" s="94">
        <f>IF(I132=1,'Cash flow statement'!I167,0)</f>
        <v>-265</v>
      </c>
      <c r="J185" s="94">
        <f>IF(J132=1,'Cash flow statement'!J167," ")</f>
        <v>-265</v>
      </c>
      <c r="K185" s="94">
        <f>IF(K132=1,'Cash flow statement'!K167," ")</f>
        <v>-265</v>
      </c>
      <c r="L185" s="94">
        <f>IF(L132=1,'Cash flow statement'!L167," ")</f>
        <v>-265</v>
      </c>
      <c r="M185" s="94">
        <f>IF(M132=1,'Cash flow statement'!M167," ")</f>
        <v>-265</v>
      </c>
      <c r="N185" s="94">
        <f>IF(N132=1,'Cash flow statement'!N167," ")</f>
        <v>-265</v>
      </c>
      <c r="O185" s="94">
        <f>IF(O132=1,'Cash flow statement'!O167," ")</f>
        <v>-265</v>
      </c>
      <c r="P185" s="94">
        <f>IF(P132=1,'Cash flow statement'!P167," ")</f>
        <v>-270</v>
      </c>
      <c r="Q185" s="94">
        <f>IF(Q132=1,'Cash flow statement'!Q167," ")</f>
        <v>-270</v>
      </c>
      <c r="R185" s="94">
        <f>IF(R132=1,'Cash flow statement'!R167," ")</f>
        <v>-270</v>
      </c>
      <c r="S185" s="94">
        <f>IF(S132=1,'Cash flow statement'!S167," ")</f>
        <v>-270</v>
      </c>
      <c r="T185" s="94">
        <f>IF(T132=1,'Cash flow statement'!T167," ")</f>
        <v>-270</v>
      </c>
      <c r="U185" s="94">
        <f>IF(U132=1,'Cash flow statement'!U167," ")</f>
        <v>-270</v>
      </c>
      <c r="V185" s="94">
        <f>IF(V132=1,'Cash flow statement'!V167," ")</f>
        <v>-270</v>
      </c>
      <c r="W185" s="94">
        <f>IF(W132=1,'Cash flow statement'!W167," ")</f>
        <v>-270</v>
      </c>
      <c r="X185" s="94">
        <f>IF(X132=1,'Cash flow statement'!X167," ")</f>
        <v>-270</v>
      </c>
      <c r="Y185" s="94">
        <f>IF(Y132=1,'Cash flow statement'!Y167," ")</f>
        <v>-270</v>
      </c>
      <c r="Z185" s="94">
        <f>IF(Z132=1,'Cash flow statement'!Z167," ")</f>
        <v>-270</v>
      </c>
      <c r="AA185" s="94">
        <f>IF(AA132=1,'Cash flow statement'!AA167," ")</f>
        <v>-270</v>
      </c>
      <c r="AB185" s="94">
        <f>IF(AB132=1,'Cash flow statement'!AB167," ")</f>
        <v>-270</v>
      </c>
      <c r="AC185" s="94">
        <f>IF(AC132=1,'Cash flow statement'!AC167," ")</f>
        <v>-270</v>
      </c>
      <c r="AD185" s="94">
        <f>IF(AD132=1,'Cash flow statement'!AD167," ")</f>
        <v>-270</v>
      </c>
      <c r="AE185" s="94">
        <f>IF(AE132=1,'Cash flow statement'!AE167," ")</f>
        <v>-270</v>
      </c>
      <c r="AF185" s="94">
        <f>IF(AF132=1,'Cash flow statement'!AF167," ")</f>
        <v>-270</v>
      </c>
      <c r="AG185" s="94">
        <f>IF(AG132=1,'Cash flow statement'!AG167," ")</f>
        <v>-270</v>
      </c>
      <c r="AH185" s="94">
        <f>IF(AH132=1,'Cash flow statement'!AH167," ")</f>
        <v>-270</v>
      </c>
    </row>
    <row r="186" spans="1:34" s="412" customFormat="1" x14ac:dyDescent="0.2">
      <c r="A186" s="18"/>
      <c r="B186" s="80" t="s">
        <v>621</v>
      </c>
      <c r="C186" s="80"/>
      <c r="D186" s="80"/>
      <c r="E186" s="94">
        <f>IF(E132=1,'Cash flow statement'!E173+'Cash flow statement'!E171-'Cash flow statement'!E170,0)</f>
        <v>0</v>
      </c>
      <c r="F186" s="94">
        <f>IF(F132=1,'Cash flow statement'!F173+'Cash flow statement'!F171-'Cash flow statement'!F170,0)</f>
        <v>-10</v>
      </c>
      <c r="G186" s="94">
        <f>IF(G132=1,'Cash flow statement'!G173+'Cash flow statement'!G171-'Cash flow statement'!G170,0)</f>
        <v>5</v>
      </c>
      <c r="H186" s="94">
        <f>IF(H132=1,'Cash flow statement'!H173+'Cash flow statement'!H171-'Cash flow statement'!H170,0)</f>
        <v>17.5</v>
      </c>
      <c r="I186" s="94">
        <f>IF(I132=1,'Cash flow statement'!I173+'Cash flow statement'!I171-'Cash flow statement'!I170,0)</f>
        <v>17.5</v>
      </c>
      <c r="J186" s="94">
        <f>IF(J132=1,'Cash flow statement'!J173+'Cash flow statement'!J171-'Cash flow statement'!J170," ")</f>
        <v>17.5</v>
      </c>
      <c r="K186" s="94">
        <f>IF(K132=1,'Cash flow statement'!K173+'Cash flow statement'!K171-'Cash flow statement'!K170," ")</f>
        <v>17.5</v>
      </c>
      <c r="L186" s="94">
        <f>IF(L132=1,'Cash flow statement'!L173+'Cash flow statement'!L171-'Cash flow statement'!L170," ")</f>
        <v>-22.5</v>
      </c>
      <c r="M186" s="94">
        <f>IF(M132=1,'Cash flow statement'!M173+'Cash flow statement'!M171-'Cash flow statement'!M170," ")</f>
        <v>-22.5</v>
      </c>
      <c r="N186" s="94">
        <f>IF(N132=1,'Cash flow statement'!N173+'Cash flow statement'!N171-'Cash flow statement'!N170," ")</f>
        <v>-22.5</v>
      </c>
      <c r="O186" s="94">
        <f>IF(O132=1,'Cash flow statement'!O173+'Cash flow statement'!O171-'Cash flow statement'!O170," ")</f>
        <v>0</v>
      </c>
      <c r="P186" s="94">
        <f>IF(P132=1,'Cash flow statement'!P173+'Cash flow statement'!P171-'Cash flow statement'!P170," ")</f>
        <v>0</v>
      </c>
      <c r="Q186" s="94">
        <f>IF(Q132=1,'Cash flow statement'!Q173+'Cash flow statement'!Q171-'Cash flow statement'!Q170," ")</f>
        <v>0</v>
      </c>
      <c r="R186" s="94">
        <f>IF(R132=1,'Cash flow statement'!R173+'Cash flow statement'!R171-'Cash flow statement'!R170," ")</f>
        <v>0</v>
      </c>
      <c r="S186" s="94">
        <f>IF(S132=1,'Cash flow statement'!S173+'Cash flow statement'!S171-'Cash flow statement'!S170," ")</f>
        <v>0</v>
      </c>
      <c r="T186" s="94">
        <f>IF(T132=1,'Cash flow statement'!T173+'Cash flow statement'!T171-'Cash flow statement'!T170," ")</f>
        <v>0</v>
      </c>
      <c r="U186" s="94">
        <f>IF(U132=1,'Cash flow statement'!U173+'Cash flow statement'!U171-'Cash flow statement'!U170," ")</f>
        <v>-200</v>
      </c>
      <c r="V186" s="94">
        <f>IF(V132=1,'Cash flow statement'!V173+'Cash flow statement'!V171-'Cash flow statement'!V170," ")</f>
        <v>0</v>
      </c>
      <c r="W186" s="94">
        <f>IF(W132=1,'Cash flow statement'!W173+'Cash flow statement'!W171-'Cash flow statement'!W170," ")</f>
        <v>0</v>
      </c>
      <c r="X186" s="94">
        <f>IF(X132=1,'Cash flow statement'!X173+'Cash flow statement'!X171-'Cash flow statement'!X170," ")</f>
        <v>0</v>
      </c>
      <c r="Y186" s="94">
        <f>IF(Y132=1,'Cash flow statement'!Y173+'Cash flow statement'!Y171-'Cash flow statement'!Y170," ")</f>
        <v>0</v>
      </c>
      <c r="Z186" s="94">
        <f>IF(Z132=1,'Cash flow statement'!Z173+'Cash flow statement'!Z171-'Cash flow statement'!Z170," ")</f>
        <v>0</v>
      </c>
      <c r="AA186" s="94">
        <f>IF(AA132=1,'Cash flow statement'!AA173+'Cash flow statement'!AA171-'Cash flow statement'!AA170," ")</f>
        <v>0</v>
      </c>
      <c r="AB186" s="94">
        <f>IF(AB132=1,'Cash flow statement'!AB173+'Cash flow statement'!AB171-'Cash flow statement'!AB170," ")</f>
        <v>0</v>
      </c>
      <c r="AC186" s="94">
        <f>IF(AC132=1,'Cash flow statement'!AC173+'Cash flow statement'!AC171-'Cash flow statement'!AC170," ")</f>
        <v>0</v>
      </c>
      <c r="AD186" s="94">
        <f>IF(AD132=1,'Cash flow statement'!AD173+'Cash flow statement'!AD171-'Cash flow statement'!AD170," ")</f>
        <v>0</v>
      </c>
      <c r="AE186" s="94">
        <f>IF(AE132=1,'Cash flow statement'!AE173+'Cash flow statement'!AE171-'Cash flow statement'!AE170," ")</f>
        <v>0</v>
      </c>
      <c r="AF186" s="94">
        <f>IF(AF132=1,'Cash flow statement'!AF173+'Cash flow statement'!AF171-'Cash flow statement'!AF170," ")</f>
        <v>0</v>
      </c>
      <c r="AG186" s="94">
        <f>IF(AG132=1,'Cash flow statement'!AG173+'Cash flow statement'!AG171-'Cash flow statement'!AG170," ")</f>
        <v>0</v>
      </c>
      <c r="AH186" s="94">
        <f>IF(AH132=1,'Cash flow statement'!AH173+'Cash flow statement'!AH171-'Cash flow statement'!AH170," ")</f>
        <v>0</v>
      </c>
    </row>
    <row r="187" spans="1:34" s="412" customFormat="1" x14ac:dyDescent="0.2">
      <c r="A187" s="18"/>
      <c r="B187" s="80" t="s">
        <v>81</v>
      </c>
      <c r="C187" s="80"/>
      <c r="D187" s="80"/>
      <c r="E187" s="94">
        <f>IF(E132=1,'Cash flow statement'!E174,0)</f>
        <v>0</v>
      </c>
      <c r="F187" s="94">
        <f>IF(F132=1,'Cash flow statement'!F174,0)</f>
        <v>0</v>
      </c>
      <c r="G187" s="94">
        <f>IF(G132=1,'Cash flow statement'!G174,0)</f>
        <v>0</v>
      </c>
      <c r="H187" s="94">
        <f>IF(H132=1,'Cash flow statement'!H174,0)</f>
        <v>0</v>
      </c>
      <c r="I187" s="94">
        <f>IF(I132=1,'Cash flow statement'!I174,0)</f>
        <v>0</v>
      </c>
      <c r="J187" s="94">
        <f>IF(J132=1,'Cash flow statement'!J174," ")</f>
        <v>0</v>
      </c>
      <c r="K187" s="94">
        <f>IF(K132=1,'Cash flow statement'!K174," ")</f>
        <v>0</v>
      </c>
      <c r="L187" s="94">
        <f>IF(L132=1,'Cash flow statement'!L174," ")</f>
        <v>0</v>
      </c>
      <c r="M187" s="94">
        <f>IF(M132=1,'Cash flow statement'!M174," ")</f>
        <v>0</v>
      </c>
      <c r="N187" s="94">
        <f>IF(N132=1,'Cash flow statement'!N174," ")</f>
        <v>0</v>
      </c>
      <c r="O187" s="94">
        <f>IF(O132=1,'Cash flow statement'!O174," ")</f>
        <v>0</v>
      </c>
      <c r="P187" s="94">
        <f>IF(P132=1,'Cash flow statement'!P174," ")</f>
        <v>0</v>
      </c>
      <c r="Q187" s="94">
        <f>IF(Q132=1,'Cash flow statement'!Q174," ")</f>
        <v>0</v>
      </c>
      <c r="R187" s="94">
        <f>IF(R132=1,'Cash flow statement'!R174," ")</f>
        <v>0</v>
      </c>
      <c r="S187" s="94">
        <f>IF(S132=1,'Cash flow statement'!S174," ")</f>
        <v>0</v>
      </c>
      <c r="T187" s="94">
        <f>IF(T132=1,'Cash flow statement'!T174," ")</f>
        <v>0</v>
      </c>
      <c r="U187" s="94">
        <f>IF(U132=1,'Cash flow statement'!U174," ")</f>
        <v>0</v>
      </c>
      <c r="V187" s="94">
        <f>IF(V132=1,'Cash flow statement'!V174," ")</f>
        <v>0</v>
      </c>
      <c r="W187" s="94">
        <f>IF(W132=1,'Cash flow statement'!W174," ")</f>
        <v>0</v>
      </c>
      <c r="X187" s="94">
        <f>IF(X132=1,'Cash flow statement'!X174," ")</f>
        <v>0</v>
      </c>
      <c r="Y187" s="94">
        <f>IF(Y132=1,'Cash flow statement'!Y174," ")</f>
        <v>0</v>
      </c>
      <c r="Z187" s="94">
        <f>IF(Z132=1,'Cash flow statement'!Z174," ")</f>
        <v>0</v>
      </c>
      <c r="AA187" s="94">
        <f>IF(AA132=1,'Cash flow statement'!AA174," ")</f>
        <v>0</v>
      </c>
      <c r="AB187" s="94">
        <f>IF(AB132=1,'Cash flow statement'!AB174," ")</f>
        <v>0</v>
      </c>
      <c r="AC187" s="94">
        <f>IF(AC132=1,'Cash flow statement'!AC174," ")</f>
        <v>0</v>
      </c>
      <c r="AD187" s="94">
        <f>IF(AD132=1,'Cash flow statement'!AD174," ")</f>
        <v>0</v>
      </c>
      <c r="AE187" s="94">
        <f>IF(AE132=1,'Cash flow statement'!AE174," ")</f>
        <v>0</v>
      </c>
      <c r="AF187" s="94">
        <f>IF(AF132=1,'Cash flow statement'!AF174," ")</f>
        <v>0</v>
      </c>
      <c r="AG187" s="94">
        <f>IF(AG132=1,'Cash flow statement'!AG174," ")</f>
        <v>0</v>
      </c>
      <c r="AH187" s="94">
        <f>IF(AH132=1,'Cash flow statement'!AH174," ")</f>
        <v>0</v>
      </c>
    </row>
    <row r="188" spans="1:34" s="412" customFormat="1" x14ac:dyDescent="0.2">
      <c r="A188" s="18"/>
      <c r="B188" s="80" t="s">
        <v>206</v>
      </c>
      <c r="C188" s="80"/>
      <c r="D188" s="80"/>
      <c r="E188" s="94">
        <f>IF(E132=1,'Cash flow statement'!E175*-1,0)</f>
        <v>0</v>
      </c>
      <c r="F188" s="94">
        <f>IF(F132=1,'Cash flow statement'!F175*-1,0)</f>
        <v>-9.875</v>
      </c>
      <c r="G188" s="94">
        <f>IF(G132=1,'Cash flow statement'!G175*-1,0)</f>
        <v>-10.247000000000014</v>
      </c>
      <c r="H188" s="94">
        <f>IF(H132=1,'Cash flow statement'!H175*-1,0)</f>
        <v>-10.594500000000039</v>
      </c>
      <c r="I188" s="94">
        <f>IF(I132=1,'Cash flow statement'!I175*-1,0)</f>
        <v>-12.002500000000055</v>
      </c>
      <c r="J188" s="94">
        <f>IF(J132=1,'Cash flow statement'!J175*-1," ")</f>
        <v>-13.518500000000131</v>
      </c>
      <c r="K188" s="94">
        <f>IF(K132=1,'Cash flow statement'!K175*-1," ")</f>
        <v>-15.079499999999825</v>
      </c>
      <c r="L188" s="94">
        <f>IF(L132=1,'Cash flow statement'!L175*-1," ")</f>
        <v>-15.382500000000164</v>
      </c>
      <c r="M188" s="94">
        <f>IF(M132=1,'Cash flow statement'!M175*-1," ")</f>
        <v>-14.457500000000437</v>
      </c>
      <c r="N188" s="94">
        <f>IF(N132=1,'Cash flow statement'!N175*-1," ")</f>
        <v>-13.472499999999854</v>
      </c>
      <c r="O188" s="94">
        <f>IF(O132=1,'Cash flow statement'!O175*-1," ")</f>
        <v>-12.0600000000004</v>
      </c>
      <c r="P188" s="94">
        <f>IF(P132=1,'Cash flow statement'!P175*-1," ")</f>
        <v>-12</v>
      </c>
      <c r="Q188" s="94">
        <f>IF(Q132=1,'Cash flow statement'!Q175*-1," ")</f>
        <v>-12</v>
      </c>
      <c r="R188" s="94">
        <f>IF(R132=1,'Cash flow statement'!R175*-1," ")</f>
        <v>-12</v>
      </c>
      <c r="S188" s="94">
        <f>IF(S132=1,'Cash flow statement'!S175*-1," ")</f>
        <v>-12</v>
      </c>
      <c r="T188" s="94">
        <f>IF(T132=1,'Cash flow statement'!T175*-1," ")</f>
        <v>-12</v>
      </c>
      <c r="U188" s="94">
        <f>IF(U132=1,'Cash flow statement'!U175*-1," ")</f>
        <v>-6</v>
      </c>
      <c r="V188" s="94">
        <f>IF(V132=1,'Cash flow statement'!V175*-1," ")</f>
        <v>0</v>
      </c>
      <c r="W188" s="94">
        <f>IF(W132=1,'Cash flow statement'!W175*-1," ")</f>
        <v>0</v>
      </c>
      <c r="X188" s="94">
        <f>IF(X132=1,'Cash flow statement'!X175*-1," ")</f>
        <v>0</v>
      </c>
      <c r="Y188" s="94">
        <f>IF(Y132=1,'Cash flow statement'!Y175*-1," ")</f>
        <v>0</v>
      </c>
      <c r="Z188" s="94">
        <f>IF(Z132=1,'Cash flow statement'!Z175*-1," ")</f>
        <v>0</v>
      </c>
      <c r="AA188" s="94">
        <f>IF(AA132=1,'Cash flow statement'!AA175*-1," ")</f>
        <v>0</v>
      </c>
      <c r="AB188" s="94">
        <f>IF(AB132=1,'Cash flow statement'!AB175*-1," ")</f>
        <v>0</v>
      </c>
      <c r="AC188" s="94">
        <f>IF(AC132=1,'Cash flow statement'!AC175*-1," ")</f>
        <v>0</v>
      </c>
      <c r="AD188" s="94">
        <f>IF(AD132=1,'Cash flow statement'!AD175*-1," ")</f>
        <v>0</v>
      </c>
      <c r="AE188" s="94">
        <f>IF(AE132=1,'Cash flow statement'!AE175*-1," ")</f>
        <v>0</v>
      </c>
      <c r="AF188" s="94">
        <f>IF(AF132=1,'Cash flow statement'!AF175*-1," ")</f>
        <v>0</v>
      </c>
      <c r="AG188" s="94">
        <f>IF(AG132=1,'Cash flow statement'!AG175*-1," ")</f>
        <v>0</v>
      </c>
      <c r="AH188" s="94">
        <f>IF(AH132=1,'Cash flow statement'!AH175*-1," ")</f>
        <v>0</v>
      </c>
    </row>
    <row r="189" spans="1:34" s="412" customFormat="1" x14ac:dyDescent="0.2">
      <c r="A189" s="18"/>
      <c r="B189" s="80" t="s">
        <v>111</v>
      </c>
      <c r="C189" s="80"/>
      <c r="D189" s="80"/>
      <c r="E189" s="94">
        <f>IF(E132=1,'Cash flow statement'!E176*-1,0)</f>
        <v>0</v>
      </c>
      <c r="F189" s="94">
        <f>IF(F132=1,'Cash flow statement'!F176*-1,0)</f>
        <v>-18941.88505708511</v>
      </c>
      <c r="G189" s="94">
        <f>IF(G132=1,'Cash flow statement'!G176*-1,0)</f>
        <v>-19588.0917095693</v>
      </c>
      <c r="H189" s="94">
        <f>IF(H132=1,'Cash flow statement'!H176*-1,0)</f>
        <v>-20784.036929237529</v>
      </c>
      <c r="I189" s="94">
        <f>IF(I132=1,'Cash flow statement'!I176*-1,0)</f>
        <v>-22531.807106718661</v>
      </c>
      <c r="J189" s="94">
        <f>IF(J132=1,'Cash flow statement'!J176*-1," ")</f>
        <v>-24112.623957552234</v>
      </c>
      <c r="K189" s="94">
        <f>IF(K132=1,'Cash flow statement'!K176*-1," ")</f>
        <v>-27144.195741435218</v>
      </c>
      <c r="L189" s="94">
        <f>IF(L132=1,'Cash flow statement'!L176*-1," ")</f>
        <v>-29154.699856346666</v>
      </c>
      <c r="M189" s="94">
        <f>IF(M132=1,'Cash flow statement'!M176*-1," ")</f>
        <v>-31002.781344608993</v>
      </c>
      <c r="N189" s="94">
        <f>IF(N132=1,'Cash flow statement'!N176*-1," ")</f>
        <v>-32935.96794498797</v>
      </c>
      <c r="O189" s="94">
        <f>IF(O132=1,'Cash flow statement'!O176*-1," ")</f>
        <v>-34521.467569217646</v>
      </c>
      <c r="P189" s="94">
        <f>IF(P132=1,'Cash flow statement'!P176*-1," ")</f>
        <v>-36482.278357388845</v>
      </c>
      <c r="Q189" s="94">
        <f>IF(Q132=1,'Cash flow statement'!Q176*-1," ")</f>
        <v>-38563.916865499385</v>
      </c>
      <c r="R189" s="94">
        <f>IF(R132=1,'Cash flow statement'!R176*-1," ")</f>
        <v>-40738.043412254818</v>
      </c>
      <c r="S189" s="94">
        <f>IF(S132=1,'Cash flow statement'!S176*-1," ")</f>
        <v>-43011.390703574594</v>
      </c>
      <c r="T189" s="94">
        <f>IF(T132=1,'Cash flow statement'!T176*-1," ")</f>
        <v>-45383.413007468087</v>
      </c>
      <c r="U189" s="94">
        <f>IF(U132=1,'Cash flow statement'!U176*-1," ")</f>
        <v>-47726.630493600467</v>
      </c>
      <c r="V189" s="94">
        <f>IF(V132=1,'Cash flow statement'!V176*-1," ")</f>
        <v>-50457.725010278489</v>
      </c>
      <c r="W189" s="94">
        <f>IF(W132=1,'Cash flow statement'!W176*-1," ")</f>
        <v>-53161.629679326375</v>
      </c>
      <c r="X189" s="94">
        <f>IF(X132=1,'Cash flow statement'!X176*-1," ")</f>
        <v>-55984.036412450601</v>
      </c>
      <c r="Y189" s="94">
        <f>IF(Y132=1,'Cash flow statement'!Y176*-1," ")</f>
        <v>-58929.645303273799</v>
      </c>
      <c r="Z189" s="94">
        <f>IF(Z132=1,'Cash flow statement'!Z176*-1," ")</f>
        <v>-62003.332093641038</v>
      </c>
      <c r="AA189" s="94">
        <f>IF(AA132=1,'Cash flow statement'!AA176*-1," ")</f>
        <v>-65210.154486458239</v>
      </c>
      <c r="AB189" s="94">
        <f>IF(AB132=1,'Cash flow statement'!AB176*-1," ")</f>
        <v>-68555.358679185316</v>
      </c>
      <c r="AC189" s="94">
        <f>IF(AC132=1,'Cash flow statement'!AC176*-1," ")</f>
        <v>-72044.38612556603</v>
      </c>
      <c r="AD189" s="94">
        <f>IF(AD132=1,'Cash flow statement'!AD176*-1," ")</f>
        <v>-75682.880533424424</v>
      </c>
      <c r="AE189" s="94">
        <f>IF(AE132=1,'Cash flow statement'!AE176*-1," ")</f>
        <v>-79476.695106618281</v>
      </c>
      <c r="AF189" s="94">
        <f>IF(AF132=1,'Cash flow statement'!AF176*-1," ")</f>
        <v>-83431.900039508299</v>
      </c>
      <c r="AG189" s="94">
        <f>IF(AG132=1,'Cash flow statement'!AG176*-1," ")</f>
        <v>-87553.91285474677</v>
      </c>
      <c r="AH189" s="94">
        <f>IF(AH132=1,'Cash flow statement'!AH176*-1," ")</f>
        <v>-91839.734949704347</v>
      </c>
    </row>
    <row r="190" spans="1:34" s="412" customFormat="1" x14ac:dyDescent="0.2">
      <c r="A190" s="18"/>
      <c r="B190" s="80"/>
      <c r="C190" s="80"/>
      <c r="D190" s="80"/>
      <c r="E190" s="80"/>
      <c r="F190" s="80"/>
      <c r="G190" s="80"/>
      <c r="H190" s="80"/>
      <c r="I190" s="80"/>
      <c r="J190" s="80"/>
      <c r="K190" s="80"/>
      <c r="L190" s="80"/>
      <c r="M190" s="80"/>
      <c r="N190" s="80"/>
      <c r="O190" s="80"/>
      <c r="P190" s="80"/>
      <c r="Q190" s="80"/>
      <c r="R190" s="80"/>
      <c r="S190" s="80"/>
      <c r="T190" s="80"/>
      <c r="U190" s="80"/>
      <c r="V190" s="80"/>
      <c r="W190" s="80"/>
      <c r="X190" s="80"/>
      <c r="Y190" s="80"/>
      <c r="Z190" s="80"/>
      <c r="AA190" s="80"/>
      <c r="AB190" s="80"/>
      <c r="AC190" s="80"/>
      <c r="AD190" s="80"/>
      <c r="AE190" s="80"/>
      <c r="AF190" s="80"/>
      <c r="AG190" s="80"/>
      <c r="AH190" s="80"/>
    </row>
    <row r="191" spans="1:34" s="412" customFormat="1" x14ac:dyDescent="0.2">
      <c r="A191" s="18"/>
      <c r="B191" s="90" t="s">
        <v>184</v>
      </c>
      <c r="C191" s="80"/>
      <c r="D191" s="80"/>
      <c r="E191" s="80"/>
      <c r="F191" s="80"/>
      <c r="G191" s="80"/>
      <c r="H191" s="80"/>
      <c r="I191" s="80"/>
      <c r="J191" s="80"/>
      <c r="K191" s="80"/>
      <c r="L191" s="80"/>
      <c r="M191" s="80"/>
      <c r="N191" s="80"/>
      <c r="O191" s="80"/>
      <c r="P191" s="80"/>
      <c r="Q191" s="80"/>
      <c r="R191" s="80"/>
      <c r="S191" s="80"/>
      <c r="T191" s="80"/>
      <c r="U191" s="80"/>
      <c r="V191" s="80"/>
      <c r="W191" s="80"/>
      <c r="X191" s="80"/>
      <c r="Y191" s="80"/>
      <c r="Z191" s="80"/>
      <c r="AA191" s="80"/>
      <c r="AB191" s="80"/>
      <c r="AC191" s="80"/>
      <c r="AD191" s="80"/>
      <c r="AE191" s="80"/>
      <c r="AF191" s="80"/>
      <c r="AG191" s="80"/>
      <c r="AH191" s="80"/>
    </row>
    <row r="192" spans="1:34" s="412" customFormat="1" x14ac:dyDescent="0.2">
      <c r="A192" s="18"/>
      <c r="B192" s="80"/>
      <c r="C192" s="80"/>
      <c r="D192" s="80"/>
      <c r="E192" s="93">
        <f>YEAR('Charts - Freight'!E$131)</f>
        <v>2010</v>
      </c>
      <c r="F192" s="93">
        <f>YEAR('Charts - Freight'!F$131)</f>
        <v>2011</v>
      </c>
      <c r="G192" s="93">
        <f>YEAR('Charts - Freight'!G$131)</f>
        <v>2012</v>
      </c>
      <c r="H192" s="93">
        <f>YEAR('Charts - Freight'!H$131)</f>
        <v>2013</v>
      </c>
      <c r="I192" s="93">
        <f>YEAR('Charts - Freight'!I$131)</f>
        <v>2014</v>
      </c>
      <c r="J192" s="93">
        <f>YEAR('Charts - Freight'!J$131)</f>
        <v>2015</v>
      </c>
      <c r="K192" s="93">
        <f>YEAR('Charts - Freight'!K$131)</f>
        <v>2016</v>
      </c>
      <c r="L192" s="93">
        <f>YEAR('Charts - Freight'!L$131)</f>
        <v>2017</v>
      </c>
      <c r="M192" s="93">
        <f>YEAR('Charts - Freight'!M$131)</f>
        <v>2018</v>
      </c>
      <c r="N192" s="93">
        <f>YEAR('Charts - Freight'!N$131)</f>
        <v>2019</v>
      </c>
      <c r="O192" s="93">
        <f>YEAR('Charts - Freight'!O$131)</f>
        <v>2020</v>
      </c>
      <c r="P192" s="93">
        <f>YEAR('Charts - Freight'!P$131)</f>
        <v>2021</v>
      </c>
      <c r="Q192" s="93">
        <f>YEAR('Charts - Freight'!Q$131)</f>
        <v>2022</v>
      </c>
      <c r="R192" s="93">
        <f>YEAR('Charts - Freight'!R$131)</f>
        <v>2023</v>
      </c>
      <c r="S192" s="93">
        <f>YEAR('Charts - Freight'!S$131)</f>
        <v>2024</v>
      </c>
      <c r="T192" s="93">
        <f>YEAR('Charts - Freight'!T$131)</f>
        <v>2025</v>
      </c>
      <c r="U192" s="93">
        <f>YEAR('Charts - Freight'!U$131)</f>
        <v>2026</v>
      </c>
      <c r="V192" s="93">
        <f>YEAR('Charts - Freight'!V$131)</f>
        <v>2027</v>
      </c>
      <c r="W192" s="93">
        <f>YEAR('Charts - Freight'!W$131)</f>
        <v>2028</v>
      </c>
      <c r="X192" s="93">
        <f>YEAR('Charts - Freight'!X$131)</f>
        <v>2029</v>
      </c>
      <c r="Y192" s="93">
        <f>YEAR('Charts - Freight'!Y$131)</f>
        <v>2030</v>
      </c>
      <c r="Z192" s="93">
        <f>YEAR('Charts - Freight'!Z$131)</f>
        <v>2031</v>
      </c>
      <c r="AA192" s="93">
        <f>YEAR('Charts - Freight'!AA$131)</f>
        <v>2032</v>
      </c>
      <c r="AB192" s="93">
        <f>YEAR('Charts - Freight'!AB$131)</f>
        <v>2033</v>
      </c>
      <c r="AC192" s="93">
        <f>YEAR('Charts - Freight'!AC$131)</f>
        <v>2034</v>
      </c>
      <c r="AD192" s="93">
        <f>YEAR('Charts - Freight'!AD$131)</f>
        <v>2035</v>
      </c>
      <c r="AE192" s="93">
        <f>YEAR('Charts - Freight'!AE$131)</f>
        <v>2036</v>
      </c>
      <c r="AF192" s="93">
        <f>YEAR('Charts - Freight'!AF$131)</f>
        <v>2037</v>
      </c>
      <c r="AG192" s="93">
        <f>YEAR('Charts - Freight'!AG$131)</f>
        <v>2038</v>
      </c>
      <c r="AH192" s="93">
        <f>YEAR('Charts - Freight'!AH$131)</f>
        <v>2039</v>
      </c>
    </row>
    <row r="193" spans="1:34" s="412" customFormat="1" x14ac:dyDescent="0.2">
      <c r="A193" s="18"/>
      <c r="B193" s="80" t="s">
        <v>184</v>
      </c>
      <c r="C193" s="80"/>
      <c r="D193" s="80"/>
      <c r="E193" s="80">
        <f>IF(E132=1,'Cash flow statement'!E163,0)</f>
        <v>0</v>
      </c>
      <c r="F193" s="80">
        <f>IF(F132=1,'Cash flow statement'!F163,0)</f>
        <v>135</v>
      </c>
      <c r="G193" s="80">
        <f>IF(G132=1,'Cash flow statement'!G163,0)</f>
        <v>290</v>
      </c>
      <c r="H193" s="80">
        <f>IF(H132=1,'Cash flow statement'!H163,0)</f>
        <v>290</v>
      </c>
      <c r="I193" s="80">
        <f>IF(I132=1,'Cash flow statement'!I163,0)</f>
        <v>290</v>
      </c>
      <c r="J193" s="80">
        <f>IF(J132=1,'Cash flow statement'!J163," ")</f>
        <v>290</v>
      </c>
      <c r="K193" s="80">
        <f>IF(K132=1,'Cash flow statement'!K163," ")</f>
        <v>290</v>
      </c>
      <c r="L193" s="80">
        <f>IF(L132=1,'Cash flow statement'!L163," ")</f>
        <v>290</v>
      </c>
      <c r="M193" s="80">
        <f>IF(M132=1,'Cash flow statement'!M163," ")</f>
        <v>290</v>
      </c>
      <c r="N193" s="80">
        <f>IF(N132=1,'Cash flow statement'!N163," ")</f>
        <v>290</v>
      </c>
      <c r="O193" s="80">
        <f>IF(O132=1,'Cash flow statement'!O163," ")</f>
        <v>290</v>
      </c>
      <c r="P193" s="80">
        <f>IF(P132=1,'Cash flow statement'!P163," ")</f>
        <v>290</v>
      </c>
      <c r="Q193" s="80">
        <f>IF(Q132=1,'Cash flow statement'!Q163," ")</f>
        <v>290</v>
      </c>
      <c r="R193" s="80">
        <f>IF(R132=1,'Cash flow statement'!R163," ")</f>
        <v>290</v>
      </c>
      <c r="S193" s="80">
        <f>IF(S132=1,'Cash flow statement'!S163," ")</f>
        <v>290</v>
      </c>
      <c r="T193" s="80">
        <f>IF(T132=1,'Cash flow statement'!T163," ")</f>
        <v>290</v>
      </c>
      <c r="U193" s="80">
        <f>IF(U132=1,'Cash flow statement'!U163," ")</f>
        <v>290</v>
      </c>
      <c r="V193" s="80">
        <f>IF(V132=1,'Cash flow statement'!V163," ")</f>
        <v>290</v>
      </c>
      <c r="W193" s="80">
        <f>IF(W132=1,'Cash flow statement'!W163," ")</f>
        <v>290</v>
      </c>
      <c r="X193" s="80">
        <f>IF(X132=1,'Cash flow statement'!X163," ")</f>
        <v>290</v>
      </c>
      <c r="Y193" s="80">
        <f>IF(Y132=1,'Cash flow statement'!Y163," ")</f>
        <v>290</v>
      </c>
      <c r="Z193" s="80">
        <f>IF(Z132=1,'Cash flow statement'!Z163," ")</f>
        <v>290</v>
      </c>
      <c r="AA193" s="80">
        <f>IF(AA132=1,'Cash flow statement'!AA163," ")</f>
        <v>290</v>
      </c>
      <c r="AB193" s="80">
        <f>IF(AB132=1,'Cash flow statement'!AB163," ")</f>
        <v>290</v>
      </c>
      <c r="AC193" s="80">
        <f>IF(AC132=1,'Cash flow statement'!AC163," ")</f>
        <v>290</v>
      </c>
      <c r="AD193" s="80">
        <f>IF(AD132=1,'Cash flow statement'!AD163," ")</f>
        <v>290</v>
      </c>
      <c r="AE193" s="80">
        <f>IF(AE132=1,'Cash flow statement'!AE163," ")</f>
        <v>290</v>
      </c>
      <c r="AF193" s="80">
        <f>IF(AF132=1,'Cash flow statement'!AF163," ")</f>
        <v>290</v>
      </c>
      <c r="AG193" s="80">
        <f>IF(AG132=1,'Cash flow statement'!AG163," ")</f>
        <v>290</v>
      </c>
      <c r="AH193" s="80">
        <f>IF(AH132=1,'Cash flow statement'!AH163," ")</f>
        <v>290</v>
      </c>
    </row>
    <row r="194" spans="1:34" s="412" customFormat="1" x14ac:dyDescent="0.2">
      <c r="A194" s="18"/>
      <c r="B194" s="80"/>
      <c r="C194" s="80"/>
      <c r="D194" s="80"/>
      <c r="E194" s="80"/>
      <c r="F194" s="80"/>
      <c r="G194" s="80"/>
      <c r="H194" s="80"/>
      <c r="I194" s="80"/>
      <c r="J194" s="80"/>
      <c r="K194" s="80"/>
      <c r="L194" s="80"/>
      <c r="M194" s="80"/>
      <c r="N194" s="80"/>
      <c r="O194" s="80"/>
      <c r="P194" s="80"/>
      <c r="Q194" s="80"/>
      <c r="R194" s="80"/>
      <c r="S194" s="80"/>
      <c r="T194" s="80"/>
      <c r="U194" s="80"/>
      <c r="V194" s="80"/>
      <c r="W194" s="80"/>
      <c r="X194" s="80"/>
      <c r="Y194" s="80"/>
      <c r="Z194" s="80"/>
      <c r="AA194" s="80"/>
      <c r="AB194" s="80"/>
      <c r="AC194" s="80"/>
      <c r="AD194" s="80"/>
      <c r="AE194" s="80"/>
      <c r="AF194" s="80"/>
      <c r="AG194" s="80"/>
      <c r="AH194" s="80"/>
    </row>
    <row r="195" spans="1:34" s="412" customFormat="1" x14ac:dyDescent="0.2">
      <c r="A195" s="18"/>
      <c r="B195" s="90" t="s">
        <v>185</v>
      </c>
      <c r="C195" s="80"/>
      <c r="D195" s="80"/>
      <c r="E195" s="80"/>
      <c r="F195" s="80"/>
      <c r="G195" s="80"/>
      <c r="H195" s="80"/>
      <c r="I195" s="80"/>
      <c r="J195" s="80"/>
      <c r="K195" s="80"/>
      <c r="L195" s="80"/>
      <c r="M195" s="80"/>
      <c r="N195" s="80"/>
      <c r="O195" s="80"/>
      <c r="P195" s="80"/>
      <c r="Q195" s="80"/>
      <c r="R195" s="80"/>
      <c r="S195" s="80"/>
      <c r="T195" s="80"/>
      <c r="U195" s="80"/>
      <c r="V195" s="80"/>
      <c r="W195" s="80"/>
      <c r="X195" s="80"/>
      <c r="Y195" s="80"/>
      <c r="Z195" s="80"/>
      <c r="AA195" s="80"/>
      <c r="AB195" s="80"/>
      <c r="AC195" s="80"/>
      <c r="AD195" s="80"/>
      <c r="AE195" s="80"/>
      <c r="AF195" s="80"/>
      <c r="AG195" s="80"/>
      <c r="AH195" s="80"/>
    </row>
    <row r="196" spans="1:34" s="412" customFormat="1" x14ac:dyDescent="0.2">
      <c r="A196" s="18"/>
      <c r="B196" s="80"/>
      <c r="C196" s="80"/>
      <c r="D196" s="80"/>
      <c r="E196" s="93">
        <f>YEAR('Charts - Freight'!E$131)</f>
        <v>2010</v>
      </c>
      <c r="F196" s="93">
        <f>YEAR('Charts - Freight'!F$131)</f>
        <v>2011</v>
      </c>
      <c r="G196" s="93">
        <f>YEAR('Charts - Freight'!G$131)</f>
        <v>2012</v>
      </c>
      <c r="H196" s="93">
        <f>YEAR('Charts - Freight'!H$131)</f>
        <v>2013</v>
      </c>
      <c r="I196" s="93">
        <f>YEAR('Charts - Freight'!I$131)</f>
        <v>2014</v>
      </c>
      <c r="J196" s="93">
        <f>YEAR('Charts - Freight'!J$131)</f>
        <v>2015</v>
      </c>
      <c r="K196" s="93">
        <f>YEAR('Charts - Freight'!K$131)</f>
        <v>2016</v>
      </c>
      <c r="L196" s="93">
        <f>YEAR('Charts - Freight'!L$131)</f>
        <v>2017</v>
      </c>
      <c r="M196" s="93">
        <f>YEAR('Charts - Freight'!M$131)</f>
        <v>2018</v>
      </c>
      <c r="N196" s="93">
        <f>YEAR('Charts - Freight'!N$131)</f>
        <v>2019</v>
      </c>
      <c r="O196" s="93">
        <f>YEAR('Charts - Freight'!O$131)</f>
        <v>2020</v>
      </c>
      <c r="P196" s="93">
        <f>YEAR('Charts - Freight'!P$131)</f>
        <v>2021</v>
      </c>
      <c r="Q196" s="93">
        <f>YEAR('Charts - Freight'!Q$131)</f>
        <v>2022</v>
      </c>
      <c r="R196" s="93">
        <f>YEAR('Charts - Freight'!R$131)</f>
        <v>2023</v>
      </c>
      <c r="S196" s="93">
        <f>YEAR('Charts - Freight'!S$131)</f>
        <v>2024</v>
      </c>
      <c r="T196" s="93">
        <f>YEAR('Charts - Freight'!T$131)</f>
        <v>2025</v>
      </c>
      <c r="U196" s="93">
        <f>YEAR('Charts - Freight'!U$131)</f>
        <v>2026</v>
      </c>
      <c r="V196" s="93">
        <f>YEAR('Charts - Freight'!V$131)</f>
        <v>2027</v>
      </c>
      <c r="W196" s="93">
        <f>YEAR('Charts - Freight'!W$131)</f>
        <v>2028</v>
      </c>
      <c r="X196" s="93">
        <f>YEAR('Charts - Freight'!X$131)</f>
        <v>2029</v>
      </c>
      <c r="Y196" s="93">
        <f>YEAR('Charts - Freight'!Y$131)</f>
        <v>2030</v>
      </c>
      <c r="Z196" s="93">
        <f>YEAR('Charts - Freight'!Z$131)</f>
        <v>2031</v>
      </c>
      <c r="AA196" s="93">
        <f>YEAR('Charts - Freight'!AA$131)</f>
        <v>2032</v>
      </c>
      <c r="AB196" s="93">
        <f>YEAR('Charts - Freight'!AB$131)</f>
        <v>2033</v>
      </c>
      <c r="AC196" s="93">
        <f>YEAR('Charts - Freight'!AC$131)</f>
        <v>2034</v>
      </c>
      <c r="AD196" s="93">
        <f>YEAR('Charts - Freight'!AD$131)</f>
        <v>2035</v>
      </c>
      <c r="AE196" s="93">
        <f>YEAR('Charts - Freight'!AE$131)</f>
        <v>2036</v>
      </c>
      <c r="AF196" s="93">
        <f>YEAR('Charts - Freight'!AF$131)</f>
        <v>2037</v>
      </c>
      <c r="AG196" s="93">
        <f>YEAR('Charts - Freight'!AG$131)</f>
        <v>2038</v>
      </c>
      <c r="AH196" s="93">
        <f>YEAR('Charts - Freight'!AH$131)</f>
        <v>2039</v>
      </c>
    </row>
    <row r="197" spans="1:34" s="412" customFormat="1" x14ac:dyDescent="0.2">
      <c r="A197" s="18"/>
      <c r="B197" s="80" t="s">
        <v>163</v>
      </c>
      <c r="C197" s="80"/>
      <c r="D197" s="80"/>
      <c r="E197" s="94" t="str">
        <f>IF(E132=1,Calculations!E1172,0)</f>
        <v>N/A</v>
      </c>
      <c r="F197" s="94">
        <f>IF(F132=1,Calculations!F1172,0)</f>
        <v>1367.0068324948868</v>
      </c>
      <c r="G197" s="94">
        <f>IF(G132=1,Calculations!G1172,0)</f>
        <v>623.96007816048746</v>
      </c>
      <c r="H197" s="94">
        <f>IF(H132=1,Calculations!H1172,0)</f>
        <v>904.32503656142831</v>
      </c>
      <c r="I197" s="94">
        <f>IF(I132=1,Calculations!I1172,0)</f>
        <v>939.95843010190413</v>
      </c>
      <c r="J197" s="94">
        <f>IF(J132=1,Calculations!J1172," ")</f>
        <v>963.12270201511865</v>
      </c>
      <c r="K197" s="94">
        <f>IF(K132=1,Calculations!K1172," ")</f>
        <v>1038.3877167955045</v>
      </c>
      <c r="L197" s="94">
        <f>IF(L132=1,Calculations!L1172," ")</f>
        <v>1106.9492672176073</v>
      </c>
      <c r="M197" s="94">
        <f>IF(M132=1,Calculations!M1172," ")</f>
        <v>1206.0513720878005</v>
      </c>
      <c r="N197" s="94">
        <f>IF(N132=1,Calculations!N1172," ")</f>
        <v>1315.8046752601797</v>
      </c>
      <c r="O197" s="94">
        <f>IF(O132=1,Calculations!O1172," ")</f>
        <v>4110.5541870687675</v>
      </c>
      <c r="P197" s="94">
        <f>IF(P132=1,Calculations!P1172," ")</f>
        <v>4364.8980835412194</v>
      </c>
      <c r="Q197" s="94">
        <f>IF(Q132=1,Calculations!Q1172," ")</f>
        <v>4612.6602828794648</v>
      </c>
      <c r="R197" s="94">
        <f>IF(R132=1,Calculations!R1172," ")</f>
        <v>4871.4314057456641</v>
      </c>
      <c r="S197" s="94">
        <f>IF(S132=1,Calculations!S1172," ")</f>
        <v>5142.0129180313825</v>
      </c>
      <c r="T197" s="94">
        <f>IF(T132=1,Calculations!T1172," ")</f>
        <v>5424.3398035230693</v>
      </c>
      <c r="U197" s="94">
        <f>IF(U132=1,Calculations!U1172," ")</f>
        <v>333.1690781968789</v>
      </c>
      <c r="V197" s="94" t="str">
        <f>IF(V132=1,Calculations!V1172," ")</f>
        <v>N/A</v>
      </c>
      <c r="W197" s="94" t="str">
        <f>IF(W132=1,Calculations!W1172," ")</f>
        <v>N/A</v>
      </c>
      <c r="X197" s="94" t="str">
        <f>IF(X132=1,Calculations!X1172," ")</f>
        <v>N/A</v>
      </c>
      <c r="Y197" s="94" t="str">
        <f>IF(Y132=1,Calculations!Y1172," ")</f>
        <v>N/A</v>
      </c>
      <c r="Z197" s="94" t="str">
        <f>IF(Z132=1,Calculations!Z1172," ")</f>
        <v>N/A</v>
      </c>
      <c r="AA197" s="94" t="str">
        <f>IF(AA132=1,Calculations!AA1172," ")</f>
        <v>N/A</v>
      </c>
      <c r="AB197" s="94" t="str">
        <f>IF(AB132=1,Calculations!AB1172," ")</f>
        <v>N/A</v>
      </c>
      <c r="AC197" s="94" t="str">
        <f>IF(AC132=1,Calculations!AC1172," ")</f>
        <v>N/A</v>
      </c>
      <c r="AD197" s="94" t="str">
        <f>IF(AD132=1,Calculations!AD1172," ")</f>
        <v>N/A</v>
      </c>
      <c r="AE197" s="94" t="str">
        <f>IF(AE132=1,Calculations!AE1172," ")</f>
        <v>N/A</v>
      </c>
      <c r="AF197" s="94" t="str">
        <f>IF(AF132=1,Calculations!AF1172," ")</f>
        <v>N/A</v>
      </c>
      <c r="AG197" s="94" t="str">
        <f>IF(AG132=1,Calculations!AG1172," ")</f>
        <v>N/A</v>
      </c>
      <c r="AH197" s="94" t="str">
        <f>IF(AH132=1,Calculations!AH1172," ")</f>
        <v>N/A</v>
      </c>
    </row>
    <row r="198" spans="1:34" s="412" customFormat="1" x14ac:dyDescent="0.2">
      <c r="A198" s="18"/>
      <c r="B198" s="80" t="s">
        <v>186</v>
      </c>
      <c r="C198" s="80"/>
      <c r="D198" s="80"/>
      <c r="E198" s="95">
        <f>IF(AND(E132=1,'Balance sheet'!E177&lt;&gt;0),('Balance sheet'!E164+'Balance sheet'!E167)/'Balance sheet'!E177,0)</f>
        <v>3.6241610738255034E-2</v>
      </c>
      <c r="F198" s="95">
        <f>IF(AND(F132=1,'Balance sheet'!F177&lt;&gt;0),('Balance sheet'!F164+'Balance sheet'!F167)/'Balance sheet'!F177,0)</f>
        <v>1.3776346669050577E-2</v>
      </c>
      <c r="G198" s="95">
        <f>IF(AND(G132=1,'Balance sheet'!G177&lt;&gt;0),('Balance sheet'!G164+'Balance sheet'!G167)/'Balance sheet'!G177,0)</f>
        <v>8.7049305105299738E-3</v>
      </c>
      <c r="H198" s="95">
        <f>IF(AND(H132=1,'Balance sheet'!H177&lt;&gt;0),('Balance sheet'!H164+'Balance sheet'!H167)/'Balance sheet'!H177,0)</f>
        <v>6.7150823458178733E-3</v>
      </c>
      <c r="I198" s="95">
        <f>IF(AND(I132=1,'Balance sheet'!I177&lt;&gt;0),('Balance sheet'!I164+'Balance sheet'!I167)/'Balance sheet'!I177,0)</f>
        <v>5.5075011463690017E-3</v>
      </c>
      <c r="J198" s="95">
        <f>IF(AND(J132=1,'Balance sheet'!J177&lt;&gt;0),('Balance sheet'!J164+'Balance sheet'!J167)/'Balance sheet'!J177," ")</f>
        <v>4.7179101872290314E-3</v>
      </c>
      <c r="K198" s="95">
        <f>IF(AND(K132=1,'Balance sheet'!K177&lt;&gt;0),('Balance sheet'!K164+'Balance sheet'!K167)/'Balance sheet'!K177," ")</f>
        <v>4.0835785846113689E-3</v>
      </c>
      <c r="L198" s="95">
        <f>IF(AND(L132=1,'Balance sheet'!L177&lt;&gt;0),('Balance sheet'!L164+'Balance sheet'!L167)/'Balance sheet'!L177," ")</f>
        <v>3.1211250272013078E-3</v>
      </c>
      <c r="M198" s="95">
        <f>IF(AND(M132=1,'Balance sheet'!M177&lt;&gt;0),('Balance sheet'!M164+'Balance sheet'!M167)/'Balance sheet'!M177," ")</f>
        <v>2.4110649471220137E-3</v>
      </c>
      <c r="N198" s="95">
        <f>IF(AND(N132=1,'Balance sheet'!N177&lt;&gt;0),('Balance sheet'!N164+'Balance sheet'!N167)/'Balance sheet'!N177," ")</f>
        <v>1.8709055090655956E-3</v>
      </c>
      <c r="O198" s="95">
        <f>IF(AND(O132=1,'Balance sheet'!O177&lt;&gt;0),('Balance sheet'!O164+'Balance sheet'!O167)/'Balance sheet'!O177," ")</f>
        <v>1.6369580805660579E-3</v>
      </c>
      <c r="P198" s="95">
        <f>IF(AND(P132=1,'Balance sheet'!P177&lt;&gt;0),('Balance sheet'!P164+'Balance sheet'!P167)/'Balance sheet'!P177," ")</f>
        <v>1.4460804410089069E-3</v>
      </c>
      <c r="Q198" s="95">
        <f>IF(AND(Q132=1,'Balance sheet'!Q177&lt;&gt;0),('Balance sheet'!Q164+'Balance sheet'!Q167)/'Balance sheet'!Q177," ")</f>
        <v>1.2875592117787547E-3</v>
      </c>
      <c r="R198" s="95">
        <f>IF(AND(R132=1,'Balance sheet'!R177&lt;&gt;0),('Balance sheet'!R164+'Balance sheet'!R167)/'Balance sheet'!R177," ")</f>
        <v>1.1540201988318995E-3</v>
      </c>
      <c r="S198" s="95">
        <f>IF(AND(S132=1,'Balance sheet'!S177&lt;&gt;0),('Balance sheet'!S164+'Balance sheet'!S167)/'Balance sheet'!S177," ")</f>
        <v>1.0402435941510159E-3</v>
      </c>
      <c r="T198" s="95">
        <f>IF(AND(T132=1,'Balance sheet'!T177&lt;&gt;0),('Balance sheet'!T164+'Balance sheet'!T167)/'Balance sheet'!T177," ")</f>
        <v>9.4226178926700929E-4</v>
      </c>
      <c r="U198" s="95">
        <f>IF(AND(U132=1,'Balance sheet'!U177&lt;&gt;0),('Balance sheet'!U164+'Balance sheet'!U167)/'Balance sheet'!U177," ")</f>
        <v>0</v>
      </c>
      <c r="V198" s="95">
        <f>IF(AND(V132=1,'Balance sheet'!V177&lt;&gt;0),('Balance sheet'!V164+'Balance sheet'!V167)/'Balance sheet'!V177," ")</f>
        <v>0</v>
      </c>
      <c r="W198" s="95">
        <f>IF(AND(W132=1,'Balance sheet'!W177&lt;&gt;0),('Balance sheet'!W164+'Balance sheet'!W167)/'Balance sheet'!W177," ")</f>
        <v>0</v>
      </c>
      <c r="X198" s="95">
        <f>IF(AND(X132=1,'Balance sheet'!X177&lt;&gt;0),('Balance sheet'!X164+'Balance sheet'!X167)/'Balance sheet'!X177," ")</f>
        <v>0</v>
      </c>
      <c r="Y198" s="95">
        <f>IF(AND(Y132=1,'Balance sheet'!Y177&lt;&gt;0),('Balance sheet'!Y164+'Balance sheet'!Y167)/'Balance sheet'!Y177," ")</f>
        <v>0</v>
      </c>
      <c r="Z198" s="95">
        <f>IF(AND(Z132=1,'Balance sheet'!Z177&lt;&gt;0),('Balance sheet'!Z164+'Balance sheet'!Z167)/'Balance sheet'!Z177," ")</f>
        <v>0</v>
      </c>
      <c r="AA198" s="95">
        <f>IF(AND(AA132=1,'Balance sheet'!AA177&lt;&gt;0),('Balance sheet'!AA164+'Balance sheet'!AA167)/'Balance sheet'!AA177," ")</f>
        <v>0</v>
      </c>
      <c r="AB198" s="95">
        <f>IF(AND(AB132=1,'Balance sheet'!AB177&lt;&gt;0),('Balance sheet'!AB164+'Balance sheet'!AB167)/'Balance sheet'!AB177," ")</f>
        <v>0</v>
      </c>
      <c r="AC198" s="95">
        <f>IF(AND(AC132=1,'Balance sheet'!AC177&lt;&gt;0),('Balance sheet'!AC164+'Balance sheet'!AC167)/'Balance sheet'!AC177," ")</f>
        <v>0</v>
      </c>
      <c r="AD198" s="95">
        <f>IF(AND(AD132=1,'Balance sheet'!AD177&lt;&gt;0),('Balance sheet'!AD164+'Balance sheet'!AD167)/'Balance sheet'!AD177," ")</f>
        <v>0</v>
      </c>
      <c r="AE198" s="95">
        <f>IF(AND(AE132=1,'Balance sheet'!AE177&lt;&gt;0),('Balance sheet'!AE164+'Balance sheet'!AE167)/'Balance sheet'!AE177," ")</f>
        <v>0</v>
      </c>
      <c r="AF198" s="95">
        <f>IF(AND(AF132=1,'Balance sheet'!AF177&lt;&gt;0),('Balance sheet'!AF164+'Balance sheet'!AF167)/'Balance sheet'!AF177," ")</f>
        <v>0</v>
      </c>
      <c r="AG198" s="95">
        <f>IF(AND(AG132=1,'Balance sheet'!AG177&lt;&gt;0),('Balance sheet'!AG164+'Balance sheet'!AG167)/'Balance sheet'!AG177," ")</f>
        <v>0</v>
      </c>
      <c r="AH198" s="95">
        <f>IF(AND(AH132=1,'Balance sheet'!AH177&lt;&gt;0),('Balance sheet'!AH164+'Balance sheet'!AH167)/'Balance sheet'!AH177," ")</f>
        <v>0</v>
      </c>
    </row>
    <row r="199" spans="1:34" s="412" customFormat="1" x14ac:dyDescent="0.2">
      <c r="A199" s="18"/>
      <c r="B199" s="80"/>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c r="AA199" s="80"/>
      <c r="AB199" s="80"/>
      <c r="AC199" s="80"/>
      <c r="AD199" s="80"/>
      <c r="AE199" s="80"/>
      <c r="AF199" s="80"/>
      <c r="AG199" s="80"/>
      <c r="AH199" s="80"/>
    </row>
    <row r="200" spans="1:34" s="412" customFormat="1" x14ac:dyDescent="0.2">
      <c r="A200" s="18"/>
      <c r="B200" s="90" t="s">
        <v>187</v>
      </c>
      <c r="C200" s="80"/>
      <c r="D200" s="80"/>
      <c r="E200" s="80"/>
      <c r="F200" s="80"/>
      <c r="G200" s="80"/>
      <c r="H200" s="80"/>
      <c r="I200" s="80"/>
      <c r="J200" s="80"/>
      <c r="K200" s="80"/>
      <c r="L200" s="80"/>
      <c r="M200" s="80"/>
      <c r="N200" s="80"/>
      <c r="O200" s="80"/>
      <c r="P200" s="80"/>
      <c r="Q200" s="80"/>
      <c r="R200" s="80"/>
      <c r="S200" s="80"/>
      <c r="T200" s="80"/>
      <c r="U200" s="80"/>
      <c r="V200" s="80"/>
      <c r="W200" s="80"/>
      <c r="X200" s="80"/>
      <c r="Y200" s="80"/>
      <c r="Z200" s="80"/>
      <c r="AA200" s="80"/>
      <c r="AB200" s="80"/>
      <c r="AC200" s="80"/>
      <c r="AD200" s="80"/>
      <c r="AE200" s="80"/>
      <c r="AF200" s="80"/>
      <c r="AG200" s="80"/>
      <c r="AH200" s="80"/>
    </row>
    <row r="201" spans="1:34" s="412" customFormat="1" x14ac:dyDescent="0.2">
      <c r="A201" s="18"/>
      <c r="B201" s="80"/>
      <c r="C201" s="80"/>
      <c r="D201" s="80"/>
      <c r="E201" s="93">
        <f>YEAR('Charts - Freight'!E$131)</f>
        <v>2010</v>
      </c>
      <c r="F201" s="93">
        <f>YEAR('Charts - Freight'!F$131)</f>
        <v>2011</v>
      </c>
      <c r="G201" s="93">
        <f>YEAR('Charts - Freight'!G$131)</f>
        <v>2012</v>
      </c>
      <c r="H201" s="93">
        <f>YEAR('Charts - Freight'!H$131)</f>
        <v>2013</v>
      </c>
      <c r="I201" s="93">
        <f>YEAR('Charts - Freight'!I$131)</f>
        <v>2014</v>
      </c>
      <c r="J201" s="93">
        <f>YEAR('Charts - Freight'!J$131)</f>
        <v>2015</v>
      </c>
      <c r="K201" s="93">
        <f>YEAR('Charts - Freight'!K$131)</f>
        <v>2016</v>
      </c>
      <c r="L201" s="93">
        <f>YEAR('Charts - Freight'!L$131)</f>
        <v>2017</v>
      </c>
      <c r="M201" s="93">
        <f>YEAR('Charts - Freight'!M$131)</f>
        <v>2018</v>
      </c>
      <c r="N201" s="93">
        <f>YEAR('Charts - Freight'!N$131)</f>
        <v>2019</v>
      </c>
      <c r="O201" s="93">
        <f>YEAR('Charts - Freight'!O$131)</f>
        <v>2020</v>
      </c>
      <c r="P201" s="93">
        <f>YEAR('Charts - Freight'!P$131)</f>
        <v>2021</v>
      </c>
      <c r="Q201" s="93">
        <f>YEAR('Charts - Freight'!Q$131)</f>
        <v>2022</v>
      </c>
      <c r="R201" s="93">
        <f>YEAR('Charts - Freight'!R$131)</f>
        <v>2023</v>
      </c>
      <c r="S201" s="93">
        <f>YEAR('Charts - Freight'!S$131)</f>
        <v>2024</v>
      </c>
      <c r="T201" s="93">
        <f>YEAR('Charts - Freight'!T$131)</f>
        <v>2025</v>
      </c>
      <c r="U201" s="93">
        <f>YEAR('Charts - Freight'!U$131)</f>
        <v>2026</v>
      </c>
      <c r="V201" s="93">
        <f>YEAR('Charts - Freight'!V$131)</f>
        <v>2027</v>
      </c>
      <c r="W201" s="93">
        <f>YEAR('Charts - Freight'!W$131)</f>
        <v>2028</v>
      </c>
      <c r="X201" s="93">
        <f>YEAR('Charts - Freight'!X$131)</f>
        <v>2029</v>
      </c>
      <c r="Y201" s="93">
        <f>YEAR('Charts - Freight'!Y$131)</f>
        <v>2030</v>
      </c>
      <c r="Z201" s="93">
        <f>YEAR('Charts - Freight'!Z$131)</f>
        <v>2031</v>
      </c>
      <c r="AA201" s="93">
        <f>YEAR('Charts - Freight'!AA$131)</f>
        <v>2032</v>
      </c>
      <c r="AB201" s="93">
        <f>YEAR('Charts - Freight'!AB$131)</f>
        <v>2033</v>
      </c>
      <c r="AC201" s="93">
        <f>YEAR('Charts - Freight'!AC$131)</f>
        <v>2034</v>
      </c>
      <c r="AD201" s="93">
        <f>YEAR('Charts - Freight'!AD$131)</f>
        <v>2035</v>
      </c>
      <c r="AE201" s="93">
        <f>YEAR('Charts - Freight'!AE$131)</f>
        <v>2036</v>
      </c>
      <c r="AF201" s="93">
        <f>YEAR('Charts - Freight'!AF$131)</f>
        <v>2037</v>
      </c>
      <c r="AG201" s="93">
        <f>YEAR('Charts - Freight'!AG$131)</f>
        <v>2038</v>
      </c>
      <c r="AH201" s="93">
        <f>YEAR('Charts - Freight'!AH$131)</f>
        <v>2039</v>
      </c>
    </row>
    <row r="202" spans="1:34" s="412" customFormat="1" x14ac:dyDescent="0.2">
      <c r="A202" s="18"/>
      <c r="B202" s="80" t="s">
        <v>69</v>
      </c>
      <c r="C202" s="80"/>
      <c r="D202" s="80"/>
      <c r="E202" s="94">
        <f>IF(E132=1,'Balance sheet'!E152,0)</f>
        <v>5300</v>
      </c>
      <c r="F202" s="94">
        <f>IF(F132=1,'Balance sheet'!F152,0)</f>
        <v>13652.344782422995</v>
      </c>
      <c r="G202" s="94">
        <f>IF(G132=1,'Balance sheet'!G152,0)</f>
        <v>22207.806748426632</v>
      </c>
      <c r="H202" s="94">
        <f>IF(H132=1,'Balance sheet'!H152,0)</f>
        <v>31408.230055665743</v>
      </c>
      <c r="I202" s="94">
        <f>IF(I132=1,'Balance sheet'!I152,0)</f>
        <v>41501.739592893326</v>
      </c>
      <c r="J202" s="94">
        <f>IF(J132=1,'Balance sheet'!J152," ")</f>
        <v>52158.351113004268</v>
      </c>
      <c r="K202" s="94">
        <f>IF(K132=1,'Balance sheet'!K152," ")</f>
        <v>64589.706552621625</v>
      </c>
      <c r="L202" s="94">
        <f>IF(L132=1,'Balance sheet'!L152," ")</f>
        <v>77449.006584705465</v>
      </c>
      <c r="M202" s="94">
        <f>IF(M132=1,'Balance sheet'!M152," ")</f>
        <v>91115.570399959644</v>
      </c>
      <c r="N202" s="94">
        <f>IF(N132=1,'Balance sheet'!N152," ")</f>
        <v>105626.45736364198</v>
      </c>
      <c r="O202" s="94">
        <f>IF(O132=1,'Balance sheet'!O152," ")</f>
        <v>120833.26595624071</v>
      </c>
      <c r="P202" s="94">
        <f>IF(P132=1,'Balance sheet'!P152," ")</f>
        <v>136897.47320192563</v>
      </c>
      <c r="Q202" s="94">
        <f>IF(Q132=1,'Balance sheet'!Q152," ")</f>
        <v>153871.51477506058</v>
      </c>
      <c r="R202" s="94">
        <f>IF(R132=1,'Balance sheet'!R152," ")</f>
        <v>171795.70456820572</v>
      </c>
      <c r="S202" s="94">
        <f>IF(S132=1,'Balance sheet'!S152," ")</f>
        <v>190713.26655583348</v>
      </c>
      <c r="T202" s="94">
        <f>IF(T132=1,'Balance sheet'!T152," ")</f>
        <v>210667.21633344144</v>
      </c>
      <c r="U202" s="94">
        <f>IF(U132=1,'Balance sheet'!U152," ")</f>
        <v>231645.9616893417</v>
      </c>
      <c r="V202" s="94">
        <f>IF(V132=1,'Balance sheet'!V152," ")</f>
        <v>253816.5156833253</v>
      </c>
      <c r="W202" s="94">
        <f>IF(W132=1,'Balance sheet'!W152," ")</f>
        <v>277168.03386949131</v>
      </c>
      <c r="X202" s="94">
        <f>IF(X132=1,'Balance sheet'!X152," ")</f>
        <v>301752.14048782282</v>
      </c>
      <c r="Y202" s="94">
        <f>IF(Y132=1,'Balance sheet'!Y152," ")</f>
        <v>327622.50442949217</v>
      </c>
      <c r="Z202" s="94">
        <f>IF(Z132=1,'Balance sheet'!Z152," ")</f>
        <v>354834.91558031418</v>
      </c>
      <c r="AA202" s="94">
        <f>IF(AA132=1,'Balance sheet'!AA152," ")</f>
        <v>383447.36390634795</v>
      </c>
      <c r="AB202" s="94">
        <f>IF(AB132=1,'Balance sheet'!AB152," ")</f>
        <v>413520.12137745268</v>
      </c>
      <c r="AC202" s="94">
        <f>IF(AC132=1,'Balance sheet'!AC152," ")</f>
        <v>445115.82682789408</v>
      </c>
      <c r="AD202" s="94">
        <f>IF(AD132=1,'Balance sheet'!AD152," ")</f>
        <v>478299.57385649654</v>
      </c>
      <c r="AE202" s="94">
        <f>IF(AE132=1,'Balance sheet'!AE152," ")</f>
        <v>513139.00187234883</v>
      </c>
      <c r="AF202" s="94">
        <f>IF(AF132=1,'Balance sheet'!AF152," ")</f>
        <v>549704.39039569651</v>
      </c>
      <c r="AG202" s="94">
        <f>IF(AG132=1,'Balance sheet'!AG152," ")</f>
        <v>588068.38069119107</v>
      </c>
      <c r="AH202" s="94">
        <f>IF(AH132=1,'Balance sheet'!AH152," ")</f>
        <v>628302.37025299342</v>
      </c>
    </row>
    <row r="203" spans="1:34" s="412" customFormat="1" x14ac:dyDescent="0.2">
      <c r="A203" s="18"/>
      <c r="B203" s="80" t="s">
        <v>77</v>
      </c>
      <c r="C203" s="80"/>
      <c r="D203" s="80"/>
      <c r="E203" s="94">
        <f>IF(E132=1,'Balance sheet'!E165,0)</f>
        <v>610</v>
      </c>
      <c r="F203" s="94">
        <f>IF(F132=1,'Balance sheet'!F165,0)</f>
        <v>666.30024136178872</v>
      </c>
      <c r="G203" s="94">
        <f>IF(G132=1,'Balance sheet'!G165,0)</f>
        <v>682.84305812645198</v>
      </c>
      <c r="H203" s="94">
        <f>IF(H132=1,'Balance sheet'!H165,0)</f>
        <v>718.54829990744793</v>
      </c>
      <c r="I203" s="94">
        <f>IF(I132=1,'Balance sheet'!I165,0)</f>
        <v>772.17334598130822</v>
      </c>
      <c r="J203" s="94">
        <f>IF(J132=1,'Balance sheet'!J165," ")</f>
        <v>800.48579338569186</v>
      </c>
      <c r="K203" s="94">
        <f>IF(K132=1,'Balance sheet'!K165," ")</f>
        <v>849.56821939901579</v>
      </c>
      <c r="L203" s="94">
        <f>IF(L132=1,'Balance sheet'!L165," ")</f>
        <v>880.55708784974956</v>
      </c>
      <c r="M203" s="94">
        <f>IF(M132=1,'Balance sheet'!M165," ")</f>
        <v>912.66092701006835</v>
      </c>
      <c r="N203" s="94">
        <f>IF(N132=1,'Balance sheet'!N165," ")</f>
        <v>923.41874514094138</v>
      </c>
      <c r="O203" s="94">
        <f>IF(O132=1,'Balance sheet'!O165," ")</f>
        <v>957.8708875253576</v>
      </c>
      <c r="P203" s="94">
        <f>IF(P132=1,'Balance sheet'!P165," ")</f>
        <v>993.55908158221223</v>
      </c>
      <c r="Q203" s="94">
        <f>IF(Q132=1,'Balance sheet'!Q165," ")</f>
        <v>1030.5264834837053</v>
      </c>
      <c r="R203" s="94">
        <f>IF(R132=1,'Balance sheet'!R165," ")</f>
        <v>1068.8177263258638</v>
      </c>
      <c r="S203" s="94">
        <f>IF(S132=1,'Balance sheet'!S165," ")</f>
        <v>1108.4789699034166</v>
      </c>
      <c r="T203" s="94">
        <f>IF(T132=1,'Balance sheet'!T165," ")</f>
        <v>1349.557952141929</v>
      </c>
      <c r="U203" s="94">
        <f>IF(U132=1,'Balance sheet'!U165," ")</f>
        <v>1192.1040422418394</v>
      </c>
      <c r="V203" s="94">
        <f>IF(V132=1,'Balance sheet'!V165," ")</f>
        <v>1236.1682955908166</v>
      </c>
      <c r="W203" s="94">
        <f>IF(W132=1,'Balance sheet'!W165," ")</f>
        <v>1281.8035105027147</v>
      </c>
      <c r="X203" s="94">
        <f>IF(X132=1,'Balance sheet'!X165," ")</f>
        <v>1329.0642868432949</v>
      </c>
      <c r="Y203" s="94">
        <f>IF(Y132=1,'Balance sheet'!Y165," ")</f>
        <v>1378.0070866048577</v>
      </c>
      <c r="Z203" s="94">
        <f>IF(Z132=1,'Balance sheet'!Z165," ")</f>
        <v>1428.6902964939552</v>
      </c>
      <c r="AA203" s="94">
        <f>IF(AA132=1,'Balance sheet'!AA165," ")</f>
        <v>1481.1742925984543</v>
      </c>
      <c r="AB203" s="94">
        <f>IF(AB132=1,'Balance sheet'!AB165," ")</f>
        <v>1535.5215072023791</v>
      </c>
      <c r="AC203" s="94">
        <f>IF(AC132=1,'Balance sheet'!AC165," ")</f>
        <v>1591.7964978191997</v>
      </c>
      <c r="AD203" s="94">
        <f>IF(AD132=1,'Balance sheet'!AD165," ")</f>
        <v>1650.0660185165482</v>
      </c>
      <c r="AE203" s="94">
        <f>IF(AE132=1,'Balance sheet'!AE165," ")</f>
        <v>1710.3990936076998</v>
      </c>
      <c r="AF203" s="94">
        <f>IF(AF132=1,'Balance sheet'!AF165," ")</f>
        <v>1772.8670937876561</v>
      </c>
      <c r="AG203" s="94">
        <f>IF(AG132=1,'Balance sheet'!AG165," ")</f>
        <v>1837.5438147941629</v>
      </c>
      <c r="AH203" s="94">
        <f>IF(AH132=1,'Balance sheet'!AH165," ")</f>
        <v>1904.5055586766512</v>
      </c>
    </row>
    <row r="204" spans="1:34" s="412" customFormat="1" x14ac:dyDescent="0.2">
      <c r="A204" s="18"/>
      <c r="B204" s="80" t="s">
        <v>178</v>
      </c>
      <c r="C204" s="80"/>
      <c r="D204" s="80"/>
      <c r="E204" s="98">
        <f>IF(AND(E132=1,E203&lt;&gt;0),E202/E203,0)</f>
        <v>8.6885245901639347</v>
      </c>
      <c r="F204" s="98">
        <f t="shared" ref="F204:I204" si="19">IF(AND(F132=1,F203&lt;&gt;0),F202/F203,0)</f>
        <v>20.489779133983571</v>
      </c>
      <c r="G204" s="98">
        <f t="shared" si="19"/>
        <v>32.522563543897213</v>
      </c>
      <c r="H204" s="98">
        <f t="shared" si="19"/>
        <v>43.710673394831296</v>
      </c>
      <c r="I204" s="98">
        <f t="shared" si="19"/>
        <v>53.746661690518835</v>
      </c>
      <c r="J204" s="98">
        <f>IF(AND(J132=1,J203&lt;&gt;0),J202/J203," ")</f>
        <v>65.158372008575071</v>
      </c>
      <c r="K204" s="98">
        <f t="shared" ref="K204:AH204" si="20">IF(AND(K132=1,K203&lt;&gt;0),K202/K203," ")</f>
        <v>76.026509793777777</v>
      </c>
      <c r="L204" s="98">
        <f t="shared" si="20"/>
        <v>87.954554739693009</v>
      </c>
      <c r="M204" s="98">
        <f t="shared" si="20"/>
        <v>99.835073139878673</v>
      </c>
      <c r="N204" s="98">
        <f t="shared" si="20"/>
        <v>114.38630406784759</v>
      </c>
      <c r="O204" s="98">
        <f t="shared" si="20"/>
        <v>126.14775908725163</v>
      </c>
      <c r="P204" s="98">
        <f t="shared" si="20"/>
        <v>137.78493472569403</v>
      </c>
      <c r="Q204" s="98">
        <f t="shared" si="20"/>
        <v>149.31349872241648</v>
      </c>
      <c r="R204" s="98">
        <f t="shared" si="20"/>
        <v>160.73433321392</v>
      </c>
      <c r="S204" s="98">
        <f t="shared" si="20"/>
        <v>172.04951265106149</v>
      </c>
      <c r="T204" s="98">
        <f t="shared" si="20"/>
        <v>156.10090400273984</v>
      </c>
      <c r="U204" s="98">
        <f t="shared" si="20"/>
        <v>194.3168997680055</v>
      </c>
      <c r="V204" s="98">
        <f t="shared" si="20"/>
        <v>205.32521064376252</v>
      </c>
      <c r="W204" s="98">
        <f t="shared" si="20"/>
        <v>216.23285597087175</v>
      </c>
      <c r="X204" s="98">
        <f t="shared" si="20"/>
        <v>227.04104193825299</v>
      </c>
      <c r="Y204" s="98">
        <f t="shared" si="20"/>
        <v>237.7509576069674</v>
      </c>
      <c r="Z204" s="98">
        <f t="shared" si="20"/>
        <v>248.36377516603054</v>
      </c>
      <c r="AA204" s="98">
        <f t="shared" si="20"/>
        <v>258.88065018577822</v>
      </c>
      <c r="AB204" s="98">
        <f t="shared" si="20"/>
        <v>269.30272186865011</v>
      </c>
      <c r="AC204" s="98">
        <f t="shared" si="20"/>
        <v>279.63111329727997</v>
      </c>
      <c r="AD204" s="98">
        <f t="shared" si="20"/>
        <v>289.86693167980042</v>
      </c>
      <c r="AE204" s="98">
        <f t="shared" si="20"/>
        <v>300.01126859228992</v>
      </c>
      <c r="AF204" s="98">
        <f t="shared" si="20"/>
        <v>310.06520021829505</v>
      </c>
      <c r="AG204" s="98">
        <f t="shared" si="20"/>
        <v>320.02958294470113</v>
      </c>
      <c r="AH204" s="98">
        <f t="shared" si="20"/>
        <v>329.90314330695384</v>
      </c>
    </row>
    <row r="205" spans="1:34" s="412" customFormat="1" x14ac:dyDescent="0.2">
      <c r="A205" s="18"/>
      <c r="B205" s="80"/>
      <c r="C205" s="80"/>
      <c r="D205" s="80"/>
      <c r="E205" s="80"/>
      <c r="F205" s="80"/>
      <c r="G205" s="80"/>
      <c r="H205" s="80"/>
      <c r="I205" s="80"/>
      <c r="J205" s="80"/>
      <c r="K205" s="80"/>
      <c r="L205" s="80"/>
      <c r="M205" s="80"/>
      <c r="N205" s="80"/>
      <c r="O205" s="80"/>
      <c r="P205" s="80"/>
      <c r="Q205" s="80"/>
      <c r="R205" s="80"/>
      <c r="S205" s="80"/>
      <c r="T205" s="80"/>
      <c r="U205" s="80"/>
      <c r="V205" s="80"/>
      <c r="W205" s="80"/>
      <c r="X205" s="80"/>
      <c r="Y205" s="80"/>
      <c r="Z205" s="80"/>
      <c r="AA205" s="80"/>
      <c r="AB205" s="80"/>
      <c r="AC205" s="80"/>
      <c r="AD205" s="80"/>
      <c r="AE205" s="80"/>
      <c r="AF205" s="80"/>
      <c r="AG205" s="80"/>
      <c r="AH205" s="80"/>
    </row>
    <row r="206" spans="1:34" s="412" customFormat="1" x14ac:dyDescent="0.2">
      <c r="A206" s="18"/>
      <c r="B206" s="90" t="s">
        <v>188</v>
      </c>
      <c r="C206" s="80"/>
      <c r="D206" s="80"/>
      <c r="E206" s="80"/>
      <c r="F206" s="80"/>
      <c r="G206" s="80"/>
      <c r="H206" s="80"/>
      <c r="I206" s="80"/>
      <c r="J206" s="80"/>
      <c r="K206" s="80"/>
      <c r="L206" s="80"/>
      <c r="M206" s="80"/>
      <c r="N206" s="80"/>
      <c r="O206" s="80"/>
      <c r="P206" s="80"/>
      <c r="Q206" s="80"/>
      <c r="R206" s="80"/>
      <c r="S206" s="80"/>
      <c r="T206" s="80"/>
      <c r="U206" s="80"/>
      <c r="V206" s="80"/>
      <c r="W206" s="80"/>
      <c r="X206" s="80"/>
      <c r="Y206" s="80"/>
      <c r="Z206" s="80"/>
      <c r="AA206" s="80"/>
      <c r="AB206" s="80"/>
      <c r="AC206" s="80"/>
      <c r="AD206" s="80"/>
      <c r="AE206" s="80"/>
      <c r="AF206" s="80"/>
      <c r="AG206" s="80"/>
      <c r="AH206" s="80"/>
    </row>
    <row r="207" spans="1:34" s="412" customFormat="1" x14ac:dyDescent="0.2">
      <c r="A207" s="18"/>
      <c r="B207" s="80"/>
      <c r="C207" s="80"/>
      <c r="D207" s="80"/>
      <c r="E207" s="93">
        <f>YEAR('Charts - Freight'!E$131)</f>
        <v>2010</v>
      </c>
      <c r="F207" s="93">
        <f>YEAR('Charts - Freight'!F$131)</f>
        <v>2011</v>
      </c>
      <c r="G207" s="93">
        <f>YEAR('Charts - Freight'!G$131)</f>
        <v>2012</v>
      </c>
      <c r="H207" s="93">
        <f>YEAR('Charts - Freight'!H$131)</f>
        <v>2013</v>
      </c>
      <c r="I207" s="93">
        <f>YEAR('Charts - Freight'!I$131)</f>
        <v>2014</v>
      </c>
      <c r="J207" s="93">
        <f>YEAR('Charts - Freight'!J$131)</f>
        <v>2015</v>
      </c>
      <c r="K207" s="93">
        <f>YEAR('Charts - Freight'!K$131)</f>
        <v>2016</v>
      </c>
      <c r="L207" s="93">
        <f>YEAR('Charts - Freight'!L$131)</f>
        <v>2017</v>
      </c>
      <c r="M207" s="93">
        <f>YEAR('Charts - Freight'!M$131)</f>
        <v>2018</v>
      </c>
      <c r="N207" s="93">
        <f>YEAR('Charts - Freight'!N$131)</f>
        <v>2019</v>
      </c>
      <c r="O207" s="93">
        <f>YEAR('Charts - Freight'!O$131)</f>
        <v>2020</v>
      </c>
      <c r="P207" s="93">
        <f>YEAR('Charts - Freight'!P$131)</f>
        <v>2021</v>
      </c>
      <c r="Q207" s="93">
        <f>YEAR('Charts - Freight'!Q$131)</f>
        <v>2022</v>
      </c>
      <c r="R207" s="93">
        <f>YEAR('Charts - Freight'!R$131)</f>
        <v>2023</v>
      </c>
      <c r="S207" s="93">
        <f>YEAR('Charts - Freight'!S$131)</f>
        <v>2024</v>
      </c>
      <c r="T207" s="93">
        <f>YEAR('Charts - Freight'!T$131)</f>
        <v>2025</v>
      </c>
      <c r="U207" s="93">
        <f>YEAR('Charts - Freight'!U$131)</f>
        <v>2026</v>
      </c>
      <c r="V207" s="93">
        <f>YEAR('Charts - Freight'!V$131)</f>
        <v>2027</v>
      </c>
      <c r="W207" s="93">
        <f>YEAR('Charts - Freight'!W$131)</f>
        <v>2028</v>
      </c>
      <c r="X207" s="93">
        <f>YEAR('Charts - Freight'!X$131)</f>
        <v>2029</v>
      </c>
      <c r="Y207" s="93">
        <f>YEAR('Charts - Freight'!Y$131)</f>
        <v>2030</v>
      </c>
      <c r="Z207" s="93">
        <f>YEAR('Charts - Freight'!Z$131)</f>
        <v>2031</v>
      </c>
      <c r="AA207" s="93">
        <f>YEAR('Charts - Freight'!AA$131)</f>
        <v>2032</v>
      </c>
      <c r="AB207" s="93">
        <f>YEAR('Charts - Freight'!AB$131)</f>
        <v>2033</v>
      </c>
      <c r="AC207" s="93">
        <f>YEAR('Charts - Freight'!AC$131)</f>
        <v>2034</v>
      </c>
      <c r="AD207" s="93">
        <f>YEAR('Charts - Freight'!AD$131)</f>
        <v>2035</v>
      </c>
      <c r="AE207" s="93">
        <f>YEAR('Charts - Freight'!AE$131)</f>
        <v>2036</v>
      </c>
      <c r="AF207" s="93">
        <f>YEAR('Charts - Freight'!AF$131)</f>
        <v>2037</v>
      </c>
      <c r="AG207" s="93">
        <f>YEAR('Charts - Freight'!AG$131)</f>
        <v>2038</v>
      </c>
      <c r="AH207" s="93">
        <f>YEAR('Charts - Freight'!AH$131)</f>
        <v>2039</v>
      </c>
    </row>
    <row r="208" spans="1:34" s="412" customFormat="1" x14ac:dyDescent="0.2">
      <c r="A208" s="18"/>
      <c r="B208" s="80" t="s">
        <v>167</v>
      </c>
      <c r="C208" s="80"/>
      <c r="D208" s="80"/>
      <c r="E208" s="99">
        <f>IF(E132=1,IF(Calculations!E1184="N/A",0,Calculations!E1184),0)</f>
        <v>4.678568232662192</v>
      </c>
      <c r="F208" s="99">
        <f>IF(F132=1,IF(Calculations!F1184="N/A",0,Calculations!F1184),0)</f>
        <v>2.7927566667729429</v>
      </c>
      <c r="G208" s="99">
        <f>IF(G132=1,IF(Calculations!G1184="N/A",0,Calculations!G1184),0)</f>
        <v>1.5433673325448425</v>
      </c>
      <c r="H208" s="99">
        <f>IF(H132=1,IF(Calculations!H1184="N/A",0,Calculations!H1184),0)</f>
        <v>1.1004835307219791</v>
      </c>
      <c r="I208" s="99">
        <f>IF(I132=1,IF(Calculations!I1184="N/A",0,Calculations!I1184),0)</f>
        <v>0.88149598980324184</v>
      </c>
      <c r="J208" s="99">
        <f>IF(J132=1,IF(Calculations!J1184="N/A",0,Calculations!J1184)," ")</f>
        <v>0.73264569372892008</v>
      </c>
      <c r="K208" s="99">
        <f>IF(K132=1,IF(Calculations!K1184="N/A",0,Calculations!K1184)," ")</f>
        <v>0.66921781482967013</v>
      </c>
      <c r="L208" s="99">
        <f>IF(L132=1,IF(Calculations!L1184="N/A",0,Calculations!L1184)," ")</f>
        <v>0.58519177850902004</v>
      </c>
      <c r="M208" s="99">
        <f>IF(M132=1,IF(Calculations!M1184="N/A",0,Calculations!M1184)," ")</f>
        <v>0.52438934036145723</v>
      </c>
      <c r="N208" s="99">
        <f>IF(N132=1,IF(Calculations!N1184="N/A",0,Calculations!N1184)," ")</f>
        <v>0.47737802499866749</v>
      </c>
      <c r="O208" s="99">
        <f>IF(O132=1,IF(Calculations!O1184="N/A",0,Calculations!O1184)," ")</f>
        <v>0.4346908720587363</v>
      </c>
      <c r="P208" s="99">
        <f>IF(P132=1,IF(Calculations!P1184="N/A",0,Calculations!P1184)," ")</f>
        <v>0.40386137996276888</v>
      </c>
      <c r="Q208" s="99">
        <f>IF(Q132=1,IF(Calculations!Q1184="N/A",0,Calculations!Q1184)," ")</f>
        <v>0.37857513726370201</v>
      </c>
      <c r="R208" s="99">
        <f>IF(R132=1,IF(Calculations!R1184="N/A",0,Calculations!R1184)," ")</f>
        <v>0.35724655584915005</v>
      </c>
      <c r="S208" s="99">
        <f>IF(S132=1,IF(Calculations!S1184="N/A",0,Calculations!S1184)," ")</f>
        <v>0.33896271784665644</v>
      </c>
      <c r="T208" s="99">
        <f>IF(T132=1,IF(Calculations!T1184="N/A",0,Calculations!T1184)," ")</f>
        <v>0.3231804941063931</v>
      </c>
      <c r="U208" s="99">
        <f>IF(U132=1,IF(Calculations!U1184="N/A",0,Calculations!U1184)," ")</f>
        <v>0.3092600490045479</v>
      </c>
      <c r="V208" s="99">
        <f>IF(V132=1,IF(Calculations!V1184="N/A",0,Calculations!V1184)," ")</f>
        <v>0.29699589369022139</v>
      </c>
      <c r="W208" s="99">
        <f>IF(W132=1,IF(Calculations!W1184="N/A",0,Calculations!W1184)," ")</f>
        <v>0.28618545669109052</v>
      </c>
      <c r="X208" s="99">
        <f>IF(X132=1,IF(Calculations!X1184="N/A",0,Calculations!X1184)," ")</f>
        <v>0.27652095082463507</v>
      </c>
      <c r="Y208" s="99">
        <f>IF(Y132=1,IF(Calculations!Y1184="N/A",0,Calculations!Y1184)," ")</f>
        <v>0.26782818636597361</v>
      </c>
      <c r="Z208" s="99">
        <f>IF(Z132=1,IF(Calculations!Z1184="N/A",0,Calculations!Z1184)," ")</f>
        <v>0.25996657661523792</v>
      </c>
      <c r="AA208" s="99">
        <f>IF(AA132=1,IF(Calculations!AA1184="N/A",0,Calculations!AA1184)," ")</f>
        <v>0.25282141002649999</v>
      </c>
      <c r="AB208" s="99">
        <f>IF(AB132=1,IF(Calculations!AB1184="N/A",0,Calculations!AB1184)," ")</f>
        <v>0.24629816103252758</v>
      </c>
      <c r="AC208" s="99">
        <f>IF(AC132=1,IF(Calculations!AC1184="N/A",0,Calculations!AC1184)," ")</f>
        <v>0.24031823853483519</v>
      </c>
      <c r="AD208" s="99">
        <f>IF(AD132=1,IF(Calculations!AD1184="N/A",0,Calculations!AD1184)," ")</f>
        <v>0.23481576534761842</v>
      </c>
      <c r="AE208" s="99">
        <f>IF(AE132=1,IF(Calculations!AE1184="N/A",0,Calculations!AE1184)," ")</f>
        <v>0.22973510827024932</v>
      </c>
      <c r="AF208" s="99">
        <f>IF(AF132=1,IF(Calculations!AF1184="N/A",0,Calculations!AF1184)," ")</f>
        <v>0.22502896231725189</v>
      </c>
      <c r="AG208" s="99">
        <f>IF(AG132=1,IF(Calculations!AG1184="N/A",0,Calculations!AG1184)," ")</f>
        <v>0.22066120951719329</v>
      </c>
      <c r="AH208" s="99">
        <f>IF(AH132=1,IF(Calculations!AH1184="N/A",0,Calculations!AH1184)," ")</f>
        <v>0.21663866528351428</v>
      </c>
    </row>
    <row r="209" spans="1:34" s="412" customFormat="1" x14ac:dyDescent="0.2">
      <c r="A209" s="18"/>
      <c r="B209" s="80" t="s">
        <v>170</v>
      </c>
      <c r="C209" s="80"/>
      <c r="D209" s="80"/>
      <c r="E209" s="99">
        <f>IF(E132=1,IF(Calculations!E1186="N/A",0,Calculations!E1186),0)</f>
        <v>4.0782371294851796</v>
      </c>
      <c r="F209" s="99">
        <f>IF(F132=1,IF(Calculations!F1186="N/A",0,Calculations!F1186),0)</f>
        <v>2.5735280691399987</v>
      </c>
      <c r="G209" s="99">
        <f>IF(G132=1,IF(Calculations!G1186="N/A",0,Calculations!G1186),0)</f>
        <v>1.4741409320593495</v>
      </c>
      <c r="H209" s="99">
        <f>IF(H132=1,IF(Calculations!H1186="N/A",0,Calculations!H1186),0)</f>
        <v>1.0652598360464478</v>
      </c>
      <c r="I209" s="99">
        <f>IF(I132=1,IF(Calculations!I1186="N/A",0,Calculations!I1186),0)</f>
        <v>0.85912209011341811</v>
      </c>
      <c r="J209" s="99">
        <f>IF(J132=1,IF(Calculations!J1186="N/A",0,Calculations!J1186)," ")</f>
        <v>0.71720132377079471</v>
      </c>
      <c r="K209" s="99">
        <f>IF(K132=1,IF(Calculations!K1186="N/A",0,Calculations!K1186)," ")</f>
        <v>0.65722345862849396</v>
      </c>
      <c r="L209" s="99">
        <f>IF(L132=1,IF(Calculations!L1186="N/A",0,Calculations!L1186)," ")</f>
        <v>0.57623780619713127</v>
      </c>
      <c r="M209" s="99">
        <f>IF(M132=1,IF(Calculations!M1186="N/A",0,Calculations!M1186)," ")</f>
        <v>0.51755333524363178</v>
      </c>
      <c r="N209" s="99">
        <f>IF(N132=1,IF(Calculations!N1186="N/A",0,Calculations!N1186)," ")</f>
        <v>0.47198461941782377</v>
      </c>
      <c r="O209" s="99">
        <f>IF(O132=1,IF(Calculations!O1186="N/A",0,Calculations!O1186)," ")</f>
        <v>0.4303302551705307</v>
      </c>
      <c r="P209" s="99">
        <f>IF(P132=1,IF(Calculations!P1186="N/A",0,Calculations!P1186)," ")</f>
        <v>0.40018735508450631</v>
      </c>
      <c r="Q209" s="99">
        <f>IF(Q132=1,IF(Calculations!Q1186="N/A",0,Calculations!Q1186)," ")</f>
        <v>0.37542472738985794</v>
      </c>
      <c r="R209" s="99">
        <f>IF(R132=1,IF(Calculations!R1186="N/A",0,Calculations!R1186)," ")</f>
        <v>0.35450733799351097</v>
      </c>
      <c r="S209" s="99">
        <f>IF(S132=1,IF(Calculations!S1186="N/A",0,Calculations!S1186)," ")</f>
        <v>0.33655316605722718</v>
      </c>
      <c r="T209" s="99">
        <f>IF(T132=1,IF(Calculations!T1186="N/A",0,Calculations!T1186)," ")</f>
        <v>0.32103923971892095</v>
      </c>
      <c r="U209" s="99">
        <f>IF(U132=1,IF(Calculations!U1186="N/A",0,Calculations!U1186)," ")</f>
        <v>0.30747907117309381</v>
      </c>
      <c r="V209" s="99">
        <f>IF(V132=1,IF(Calculations!V1186="N/A",0,Calculations!V1186)," ")</f>
        <v>0.29550461077064089</v>
      </c>
      <c r="W209" s="99">
        <f>IF(W132=1,IF(Calculations!W1186="N/A",0,Calculations!W1186)," ")</f>
        <v>0.2848227046695761</v>
      </c>
      <c r="X209" s="99">
        <f>IF(X132=1,IF(Calculations!X1186="N/A",0,Calculations!X1186)," ")</f>
        <v>0.27526834763060321</v>
      </c>
      <c r="Y209" s="99">
        <f>IF(Y132=1,IF(Calculations!Y1186="N/A",0,Calculations!Y1186)," ")</f>
        <v>0.26667081439375151</v>
      </c>
      <c r="Z209" s="99">
        <f>IF(Z132=1,IF(Calculations!Z1186="N/A",0,Calculations!Z1186)," ")</f>
        <v>0.25889219183890033</v>
      </c>
      <c r="AA209" s="99">
        <f>IF(AA132=1,IF(Calculations!AA1186="N/A",0,Calculations!AA1186)," ")</f>
        <v>0.25181985983371108</v>
      </c>
      <c r="AB209" s="99">
        <f>IF(AB132=1,IF(Calculations!AB1186="N/A",0,Calculations!AB1186)," ")</f>
        <v>0.24536094896576674</v>
      </c>
      <c r="AC209" s="99">
        <f>IF(AC132=1,IF(Calculations!AC1186="N/A",0,Calculations!AC1186)," ")</f>
        <v>0.23943819425118626</v>
      </c>
      <c r="AD209" s="99">
        <f>IF(AD132=1,IF(Calculations!AD1186="N/A",0,Calculations!AD1186)," ")</f>
        <v>0.23398679113755463</v>
      </c>
      <c r="AE209" s="99">
        <f>IF(AE132=1,IF(Calculations!AE1186="N/A",0,Calculations!AE1186)," ")</f>
        <v>0.22895198208829454</v>
      </c>
      <c r="AF209" s="99">
        <f>IF(AF132=1,IF(Calculations!AF1186="N/A",0,Calculations!AF1186)," ")</f>
        <v>0.22428718307823864</v>
      </c>
      <c r="AG209" s="99">
        <f>IF(AG132=1,IF(Calculations!AG1186="N/A",0,Calculations!AG1186)," ")</f>
        <v>0.21995686292196173</v>
      </c>
      <c r="AH209" s="99">
        <f>IF(AH132=1,IF(Calculations!AH1186="N/A",0,Calculations!AH1186)," ")</f>
        <v>0.21596823819398936</v>
      </c>
    </row>
    <row r="210" spans="1:34" s="412" customFormat="1" x14ac:dyDescent="0.2">
      <c r="A210" s="18"/>
      <c r="B210" s="80"/>
      <c r="C210" s="80"/>
      <c r="D210" s="80"/>
      <c r="E210" s="80"/>
      <c r="F210" s="80"/>
      <c r="G210" s="80"/>
      <c r="H210" s="80"/>
      <c r="I210" s="80"/>
      <c r="J210" s="80"/>
      <c r="K210" s="80"/>
      <c r="L210" s="80"/>
      <c r="M210" s="80"/>
      <c r="N210" s="80"/>
      <c r="O210" s="80"/>
      <c r="P210" s="80"/>
      <c r="Q210" s="80"/>
      <c r="R210" s="80"/>
      <c r="S210" s="80"/>
      <c r="T210" s="80"/>
      <c r="U210" s="80"/>
      <c r="V210" s="80"/>
      <c r="W210" s="80"/>
      <c r="X210" s="80"/>
      <c r="Y210" s="80"/>
      <c r="Z210" s="80"/>
      <c r="AA210" s="80"/>
      <c r="AB210" s="80"/>
      <c r="AC210" s="80"/>
      <c r="AD210" s="80"/>
      <c r="AE210" s="80"/>
      <c r="AF210" s="80"/>
      <c r="AG210" s="80"/>
      <c r="AH210" s="80"/>
    </row>
    <row r="211" spans="1:34" s="412" customFormat="1" x14ac:dyDescent="0.2">
      <c r="A211" s="18"/>
      <c r="B211" s="90" t="s">
        <v>189</v>
      </c>
      <c r="C211" s="80"/>
      <c r="D211" s="80"/>
      <c r="E211" s="80"/>
      <c r="F211" s="80"/>
      <c r="G211" s="80"/>
      <c r="H211" s="80"/>
      <c r="I211" s="80"/>
      <c r="J211" s="80"/>
      <c r="K211" s="80"/>
      <c r="L211" s="80"/>
      <c r="M211" s="80"/>
      <c r="N211" s="80"/>
      <c r="O211" s="80"/>
      <c r="P211" s="80"/>
      <c r="Q211" s="80"/>
      <c r="R211" s="80"/>
      <c r="S211" s="80"/>
      <c r="T211" s="80"/>
      <c r="U211" s="80"/>
      <c r="V211" s="80"/>
      <c r="W211" s="80"/>
      <c r="X211" s="80"/>
      <c r="Y211" s="80"/>
      <c r="Z211" s="80"/>
      <c r="AA211" s="80"/>
      <c r="AB211" s="80"/>
      <c r="AC211" s="80"/>
      <c r="AD211" s="80"/>
      <c r="AE211" s="80"/>
      <c r="AF211" s="80"/>
      <c r="AG211" s="80"/>
      <c r="AH211" s="80"/>
    </row>
    <row r="212" spans="1:34" s="412" customFormat="1" x14ac:dyDescent="0.2">
      <c r="A212" s="18"/>
      <c r="B212" s="80"/>
      <c r="C212" s="80"/>
      <c r="D212" s="80"/>
      <c r="E212" s="93">
        <f>YEAR('Charts - Freight'!E$131)</f>
        <v>2010</v>
      </c>
      <c r="F212" s="93">
        <f>YEAR('Charts - Freight'!F$131)</f>
        <v>2011</v>
      </c>
      <c r="G212" s="93">
        <f>YEAR('Charts - Freight'!G$131)</f>
        <v>2012</v>
      </c>
      <c r="H212" s="93">
        <f>YEAR('Charts - Freight'!H$131)</f>
        <v>2013</v>
      </c>
      <c r="I212" s="93">
        <f>YEAR('Charts - Freight'!I$131)</f>
        <v>2014</v>
      </c>
      <c r="J212" s="93">
        <f>YEAR('Charts - Freight'!J$131)</f>
        <v>2015</v>
      </c>
      <c r="K212" s="93">
        <f>YEAR('Charts - Freight'!K$131)</f>
        <v>2016</v>
      </c>
      <c r="L212" s="93">
        <f>YEAR('Charts - Freight'!L$131)</f>
        <v>2017</v>
      </c>
      <c r="M212" s="93">
        <f>YEAR('Charts - Freight'!M$131)</f>
        <v>2018</v>
      </c>
      <c r="N212" s="93">
        <f>YEAR('Charts - Freight'!N$131)</f>
        <v>2019</v>
      </c>
      <c r="O212" s="93">
        <f>YEAR('Charts - Freight'!O$131)</f>
        <v>2020</v>
      </c>
      <c r="P212" s="93">
        <f>YEAR('Charts - Freight'!P$131)</f>
        <v>2021</v>
      </c>
      <c r="Q212" s="93">
        <f>YEAR('Charts - Freight'!Q$131)</f>
        <v>2022</v>
      </c>
      <c r="R212" s="93">
        <f>YEAR('Charts - Freight'!R$131)</f>
        <v>2023</v>
      </c>
      <c r="S212" s="93">
        <f>YEAR('Charts - Freight'!S$131)</f>
        <v>2024</v>
      </c>
      <c r="T212" s="93">
        <f>YEAR('Charts - Freight'!T$131)</f>
        <v>2025</v>
      </c>
      <c r="U212" s="93">
        <f>YEAR('Charts - Freight'!U$131)</f>
        <v>2026</v>
      </c>
      <c r="V212" s="93">
        <f>YEAR('Charts - Freight'!V$131)</f>
        <v>2027</v>
      </c>
      <c r="W212" s="93">
        <f>YEAR('Charts - Freight'!W$131)</f>
        <v>2028</v>
      </c>
      <c r="X212" s="93">
        <f>YEAR('Charts - Freight'!X$131)</f>
        <v>2029</v>
      </c>
      <c r="Y212" s="93">
        <f>YEAR('Charts - Freight'!Y$131)</f>
        <v>2030</v>
      </c>
      <c r="Z212" s="93">
        <f>YEAR('Charts - Freight'!Z$131)</f>
        <v>2031</v>
      </c>
      <c r="AA212" s="93">
        <f>YEAR('Charts - Freight'!AA$131)</f>
        <v>2032</v>
      </c>
      <c r="AB212" s="93">
        <f>YEAR('Charts - Freight'!AB$131)</f>
        <v>2033</v>
      </c>
      <c r="AC212" s="93">
        <f>YEAR('Charts - Freight'!AC$131)</f>
        <v>2034</v>
      </c>
      <c r="AD212" s="93">
        <f>YEAR('Charts - Freight'!AD$131)</f>
        <v>2035</v>
      </c>
      <c r="AE212" s="93">
        <f>YEAR('Charts - Freight'!AE$131)</f>
        <v>2036</v>
      </c>
      <c r="AF212" s="93">
        <f>YEAR('Charts - Freight'!AF$131)</f>
        <v>2037</v>
      </c>
      <c r="AG212" s="93">
        <f>YEAR('Charts - Freight'!AG$131)</f>
        <v>2038</v>
      </c>
      <c r="AH212" s="93">
        <f>YEAR('Charts - Freight'!AH$131)</f>
        <v>2039</v>
      </c>
    </row>
    <row r="213" spans="1:34" s="412" customFormat="1" x14ac:dyDescent="0.2">
      <c r="A213" s="18"/>
      <c r="B213" s="80" t="s">
        <v>190</v>
      </c>
      <c r="C213" s="80"/>
      <c r="D213" s="80"/>
      <c r="E213" s="95">
        <f>IF(E132=1,('Income statement'!E156+'Income statement'!E163)/'Income statement'!E147,0)</f>
        <v>8.5615405949667794E-2</v>
      </c>
      <c r="F213" s="95">
        <f>IF(F132=1,('Income statement'!F156+'Income statement'!F163)/'Income statement'!F147,0)</f>
        <v>8.6483892699641227E-2</v>
      </c>
      <c r="G213" s="95">
        <f>IF(G132=1,('Income statement'!G156+'Income statement'!G163)/'Income statement'!G147,0)</f>
        <v>8.8419724222246879E-2</v>
      </c>
      <c r="H213" s="95">
        <f>IF(H132=1,('Income statement'!H156+'Income statement'!H163)/'Income statement'!H147,0)</f>
        <v>8.9093343056864449E-2</v>
      </c>
      <c r="I213" s="95">
        <f>IF(I132=1,('Income statement'!I156+'Income statement'!I163)/'Income statement'!I147,0)</f>
        <v>9.0119635054292449E-2</v>
      </c>
      <c r="J213" s="95">
        <f>IF(J132=1,('Income statement'!J156+'Income statement'!J163)/'Income statement'!J147," ")</f>
        <v>8.9235886534928574E-2</v>
      </c>
      <c r="K213" s="95">
        <f>IF(K132=1,('Income statement'!K156+'Income statement'!K163)/'Income statement'!K147," ")</f>
        <v>8.5187039462179717E-2</v>
      </c>
      <c r="L213" s="95">
        <f>IF(L132=1,('Income statement'!L156+'Income statement'!L163)/'Income statement'!L147," ")</f>
        <v>8.4458387823822437E-2</v>
      </c>
      <c r="M213" s="95">
        <f>IF(M132=1,('Income statement'!M156+'Income statement'!M163)/'Income statement'!M147," ")</f>
        <v>8.3746144012750573E-2</v>
      </c>
      <c r="N213" s="95">
        <f>IF(N132=1,('Income statement'!N156+'Income statement'!N163)/'Income statement'!N147," ")</f>
        <v>8.3046882218942117E-2</v>
      </c>
      <c r="O213" s="95">
        <f>IF(O132=1,('Income statement'!O156+'Income statement'!O163)/'Income statement'!O147," ")</f>
        <v>8.236706832013678E-2</v>
      </c>
      <c r="P213" s="95">
        <f>IF(P132=1,('Income statement'!P156+'Income statement'!P163)/'Income statement'!P147," ")</f>
        <v>8.1703788974888544E-2</v>
      </c>
      <c r="Q213" s="95">
        <f>IF(Q132=1,('Income statement'!Q156+'Income statement'!Q163)/'Income statement'!Q147," ")</f>
        <v>8.1004593296584326E-2</v>
      </c>
      <c r="R213" s="95">
        <f>IF(R132=1,('Income statement'!R156+'Income statement'!R163)/'Income statement'!R147," ")</f>
        <v>8.0254549084836979E-2</v>
      </c>
      <c r="S213" s="95">
        <f>IF(S132=1,('Income statement'!S156+'Income statement'!S163)/'Income statement'!S147," ")</f>
        <v>7.9632482569499508E-2</v>
      </c>
      <c r="T213" s="95">
        <f>IF(T132=1,('Income statement'!T156+'Income statement'!T163)/'Income statement'!T147," ")</f>
        <v>7.8879085962326137E-2</v>
      </c>
      <c r="U213" s="95">
        <f>IF(U132=1,('Income statement'!U156+'Income statement'!U163)/'Income statement'!U147," ")</f>
        <v>7.8303195251011176E-2</v>
      </c>
      <c r="V213" s="95">
        <f>IF(V132=1,('Income statement'!V156+'Income statement'!V163)/'Income statement'!V147," ")</f>
        <v>7.7739118860941689E-2</v>
      </c>
      <c r="W213" s="95">
        <f>IF(W132=1,('Income statement'!W156+'Income statement'!W163)/'Income statement'!W147," ")</f>
        <v>7.7186602178830929E-2</v>
      </c>
      <c r="X213" s="95">
        <f>IF(X132=1,('Income statement'!X156+'Income statement'!X163)/'Income statement'!X147," ")</f>
        <v>7.6645394287341476E-2</v>
      </c>
      <c r="Y213" s="95">
        <f>IF(Y132=1,('Income statement'!Y156+'Income statement'!Y163)/'Income statement'!Y147," ")</f>
        <v>7.6115248131702312E-2</v>
      </c>
      <c r="Z213" s="95">
        <f>IF(Z132=1,('Income statement'!Z156+'Income statement'!Z163)/'Income statement'!Z147," ")</f>
        <v>7.5595920655027168E-2</v>
      </c>
      <c r="AA213" s="95">
        <f>IF(AA132=1,('Income statement'!AA156+'Income statement'!AA163)/'Income statement'!AA147," ")</f>
        <v>7.5087172906326979E-2</v>
      </c>
      <c r="AB213" s="95">
        <f>IF(AB132=1,('Income statement'!AB156+'Income statement'!AB163)/'Income statement'!AB147," ")</f>
        <v>7.4588770124636564E-2</v>
      </c>
      <c r="AC213" s="95">
        <f>IF(AC132=1,('Income statement'!AC156+'Income statement'!AC163)/'Income statement'!AC147," ")</f>
        <v>7.4100481802211557E-2</v>
      </c>
      <c r="AD213" s="95">
        <f>IF(AD132=1,('Income statement'!AD156+'Income statement'!AD163)/'Income statement'!AD147," ")</f>
        <v>7.362208172937304E-2</v>
      </c>
      <c r="AE213" s="95">
        <f>IF(AE132=1,('Income statement'!AE156+'Income statement'!AE163)/'Income statement'!AE147," ")</f>
        <v>7.3153348023253392E-2</v>
      </c>
      <c r="AF213" s="95">
        <f>IF(AF132=1,('Income statement'!AF156+'Income statement'!AF163)/'Income statement'!AF147," ")</f>
        <v>7.2694063142427864E-2</v>
      </c>
      <c r="AG213" s="95">
        <f>IF(AG132=1,('Income statement'!AG156+'Income statement'!AG163)/'Income statement'!AG147," ")</f>
        <v>7.2216970538489633E-2</v>
      </c>
      <c r="AH213" s="95">
        <f>IF(AH132=1,('Income statement'!AH156+'Income statement'!AH163)/'Income statement'!AH147," ")</f>
        <v>7.1428960327381025E-2</v>
      </c>
    </row>
    <row r="214" spans="1:34" s="412" customFormat="1" x14ac:dyDescent="0.2">
      <c r="A214" s="18"/>
      <c r="B214" s="80" t="s">
        <v>191</v>
      </c>
      <c r="C214" s="80"/>
      <c r="D214" s="80"/>
      <c r="E214" s="95">
        <f>IF(E132=1,'Income statement'!E156/'Income statement'!E147,0)</f>
        <v>8.4409555161644292E-2</v>
      </c>
      <c r="F214" s="95">
        <f>IF(F132=1,'Income statement'!F156/'Income statement'!F147,0)</f>
        <v>8.5322929717763396E-2</v>
      </c>
      <c r="G214" s="95">
        <f>IF(G132=1,'Income statement'!G156/'Income statement'!G147,0)</f>
        <v>8.6932962928016028E-2</v>
      </c>
      <c r="H214" s="95">
        <f>IF(H132=1,'Income statement'!H156/'Income statement'!H147,0)</f>
        <v>8.7432331071329444E-2</v>
      </c>
      <c r="I214" s="95">
        <f>IF(I132=1,'Income statement'!I156/'Income statement'!I147,0)</f>
        <v>8.8342624827758467E-2</v>
      </c>
      <c r="J214" s="95">
        <f>IF(J132=1,'Income statement'!J156/'Income statement'!J147," ")</f>
        <v>8.7325443711215395E-2</v>
      </c>
      <c r="K214" s="95">
        <f>IF(K132=1,'Income statement'!K156/'Income statement'!K147," ")</f>
        <v>8.3286041007142875E-2</v>
      </c>
      <c r="L214" s="95">
        <f>IF(L132=1,'Income statement'!L156/'Income statement'!L147," ")</f>
        <v>8.2459283171654504E-2</v>
      </c>
      <c r="M214" s="95">
        <f>IF(M132=1,'Income statement'!M156/'Income statement'!M147," ")</f>
        <v>8.1661614728837775E-2</v>
      </c>
      <c r="N214" s="95">
        <f>IF(N132=1,'Income statement'!N156/'Income statement'!N147," ")</f>
        <v>8.0891540686477498E-2</v>
      </c>
      <c r="O214" s="95">
        <f>IF(O132=1,'Income statement'!O156/'Income statement'!O147," ")</f>
        <v>8.0147635087000096E-2</v>
      </c>
      <c r="P214" s="95">
        <f>IF(P132=1,'Income statement'!P156/'Income statement'!P147," ")</f>
        <v>7.9428590475821861E-2</v>
      </c>
      <c r="Q214" s="95">
        <f>IF(Q132=1,'Income statement'!Q156/'Income statement'!Q147," ")</f>
        <v>7.8733351291011097E-2</v>
      </c>
      <c r="R214" s="95">
        <f>IF(R132=1,'Income statement'!R156/'Income statement'!R147," ")</f>
        <v>7.8060817231085836E-2</v>
      </c>
      <c r="S214" s="95">
        <f>IF(S132=1,'Income statement'!S156/'Income statement'!S147," ")</f>
        <v>7.7409360489264403E-2</v>
      </c>
      <c r="T214" s="95">
        <f>IF(T132=1,'Income statement'!T156/'Income statement'!T147," ")</f>
        <v>7.6778776609627314E-2</v>
      </c>
      <c r="U214" s="95">
        <f>IF(U132=1,'Income statement'!U156/'Income statement'!U147," ")</f>
        <v>7.6167163006753524E-2</v>
      </c>
      <c r="V214" s="95">
        <f>IF(V132=1,'Income statement'!V156/'Income statement'!V147," ")</f>
        <v>7.5574147052679258E-2</v>
      </c>
      <c r="W214" s="95">
        <f>IF(W132=1,'Income statement'!W156/'Income statement'!W147," ")</f>
        <v>7.4998895440822874E-2</v>
      </c>
      <c r="X214" s="95">
        <f>IF(X132=1,'Income statement'!X156/'Income statement'!X147," ")</f>
        <v>7.444062390704996E-2</v>
      </c>
      <c r="Y214" s="95">
        <f>IF(Y132=1,'Income statement'!Y156/'Income statement'!Y147," ")</f>
        <v>7.3898593674636553E-2</v>
      </c>
      <c r="Z214" s="95">
        <f>IF(Z132=1,'Income statement'!Z156/'Income statement'!Z147," ")</f>
        <v>7.3372108203494532E-2</v>
      </c>
      <c r="AA214" s="95">
        <f>IF(AA132=1,'Income statement'!AA156/'Income statement'!AA147," ")</f>
        <v>7.2860510213911961E-2</v>
      </c>
      <c r="AB214" s="95">
        <f>IF(AB132=1,'Income statement'!AB156/'Income statement'!AB147," ")</f>
        <v>7.2363178958266841E-2</v>
      </c>
      <c r="AC214" s="95">
        <f>IF(AC132=1,'Income statement'!AC156/'Income statement'!AC147," ")</f>
        <v>7.1879527717020386E-2</v>
      </c>
      <c r="AD214" s="95">
        <f>IF(AD132=1,'Income statement'!AD156/'Income statement'!AD147," ")</f>
        <v>7.1409001497823504E-2</v>
      </c>
      <c r="AE214" s="95">
        <f>IF(AE132=1,'Income statement'!AE156/'Income statement'!AE147," ")</f>
        <v>7.0951074918803425E-2</v>
      </c>
      <c r="AF214" s="95">
        <f>IF(AF132=1,'Income statement'!AF156/'Income statement'!AF147," ")</f>
        <v>7.0505250259079957E-2</v>
      </c>
      <c r="AG214" s="95">
        <f>IF(AG132=1,'Income statement'!AG156/'Income statement'!AG147," ")</f>
        <v>7.0071134616294412E-2</v>
      </c>
      <c r="AH214" s="95">
        <f>IF(AH132=1,'Income statement'!AH156/'Income statement'!AH147," ")</f>
        <v>6.9650230398639948E-2</v>
      </c>
    </row>
    <row r="215" spans="1:34" s="412" customFormat="1" x14ac:dyDescent="0.2">
      <c r="A215" s="18"/>
      <c r="B215" s="80"/>
      <c r="C215" s="80"/>
      <c r="D215" s="80"/>
      <c r="E215" s="80"/>
      <c r="F215" s="80"/>
      <c r="G215" s="80"/>
      <c r="H215" s="80"/>
      <c r="I215" s="80"/>
      <c r="J215" s="80"/>
      <c r="K215" s="80"/>
      <c r="L215" s="80"/>
      <c r="M215" s="80"/>
      <c r="N215" s="80"/>
      <c r="O215" s="80"/>
      <c r="P215" s="80"/>
      <c r="Q215" s="80"/>
      <c r="R215" s="80"/>
      <c r="S215" s="80"/>
      <c r="T215" s="80"/>
      <c r="U215" s="80"/>
      <c r="V215" s="80"/>
      <c r="W215" s="80"/>
      <c r="X215" s="80"/>
      <c r="Y215" s="80"/>
      <c r="Z215" s="80"/>
      <c r="AA215" s="80"/>
      <c r="AB215" s="80"/>
      <c r="AC215" s="80"/>
      <c r="AD215" s="80"/>
      <c r="AE215" s="80"/>
      <c r="AF215" s="80"/>
      <c r="AG215" s="80"/>
      <c r="AH215" s="80"/>
    </row>
    <row r="216" spans="1:34" s="412" customFormat="1" x14ac:dyDescent="0.2">
      <c r="A216" s="18"/>
      <c r="B216" s="90" t="s">
        <v>192</v>
      </c>
      <c r="C216" s="80"/>
      <c r="D216" s="80"/>
      <c r="E216" s="80" t="s">
        <v>305</v>
      </c>
      <c r="F216" s="80" t="s">
        <v>325</v>
      </c>
      <c r="G216" s="80"/>
      <c r="H216" s="80"/>
      <c r="I216" s="80"/>
      <c r="J216" s="80"/>
      <c r="K216" s="80"/>
      <c r="L216" s="80"/>
      <c r="M216" s="80"/>
      <c r="N216" s="80"/>
      <c r="O216" s="80"/>
      <c r="P216" s="80"/>
      <c r="Q216" s="80"/>
      <c r="R216" s="80"/>
      <c r="S216" s="80"/>
      <c r="T216" s="80"/>
      <c r="U216" s="80"/>
      <c r="V216" s="80"/>
      <c r="W216" s="80"/>
      <c r="X216" s="80"/>
      <c r="Y216" s="80"/>
      <c r="Z216" s="80"/>
      <c r="AA216" s="80"/>
      <c r="AB216" s="80"/>
      <c r="AC216" s="80"/>
      <c r="AD216" s="80"/>
      <c r="AE216" s="80"/>
      <c r="AF216" s="80"/>
      <c r="AG216" s="80"/>
      <c r="AH216" s="80"/>
    </row>
    <row r="217" spans="1:34" s="412" customFormat="1" x14ac:dyDescent="0.2">
      <c r="A217" s="18"/>
      <c r="B217" s="80"/>
      <c r="C217" s="80"/>
      <c r="D217" s="80"/>
      <c r="E217" s="93">
        <f>YEAR('Charts - Freight'!E$131)</f>
        <v>2010</v>
      </c>
      <c r="F217" s="93">
        <f>YEAR('Charts - Freight'!F$131)</f>
        <v>2011</v>
      </c>
      <c r="G217" s="93">
        <f>YEAR('Charts - Freight'!G$131)</f>
        <v>2012</v>
      </c>
      <c r="H217" s="93">
        <f>YEAR('Charts - Freight'!H$131)</f>
        <v>2013</v>
      </c>
      <c r="I217" s="93">
        <f>YEAR('Charts - Freight'!I$131)</f>
        <v>2014</v>
      </c>
      <c r="J217" s="93">
        <f>YEAR('Charts - Freight'!J$131)</f>
        <v>2015</v>
      </c>
      <c r="K217" s="93">
        <f>YEAR('Charts - Freight'!K$131)</f>
        <v>2016</v>
      </c>
      <c r="L217" s="93">
        <f>YEAR('Charts - Freight'!L$131)</f>
        <v>2017</v>
      </c>
      <c r="M217" s="93">
        <f>YEAR('Charts - Freight'!M$131)</f>
        <v>2018</v>
      </c>
      <c r="N217" s="93">
        <f>YEAR('Charts - Freight'!N$131)</f>
        <v>2019</v>
      </c>
      <c r="O217" s="93">
        <f>YEAR('Charts - Freight'!O$131)</f>
        <v>2020</v>
      </c>
      <c r="P217" s="93">
        <f>YEAR('Charts - Freight'!P$131)</f>
        <v>2021</v>
      </c>
      <c r="Q217" s="93">
        <f>YEAR('Charts - Freight'!Q$131)</f>
        <v>2022</v>
      </c>
      <c r="R217" s="93">
        <f>YEAR('Charts - Freight'!R$131)</f>
        <v>2023</v>
      </c>
      <c r="S217" s="93">
        <f>YEAR('Charts - Freight'!S$131)</f>
        <v>2024</v>
      </c>
      <c r="T217" s="93">
        <f>YEAR('Charts - Freight'!T$131)</f>
        <v>2025</v>
      </c>
      <c r="U217" s="93">
        <f>YEAR('Charts - Freight'!U$131)</f>
        <v>2026</v>
      </c>
      <c r="V217" s="93">
        <f>YEAR('Charts - Freight'!V$131)</f>
        <v>2027</v>
      </c>
      <c r="W217" s="93">
        <f>YEAR('Charts - Freight'!W$131)</f>
        <v>2028</v>
      </c>
      <c r="X217" s="93">
        <f>YEAR('Charts - Freight'!X$131)</f>
        <v>2029</v>
      </c>
      <c r="Y217" s="93">
        <f>YEAR('Charts - Freight'!Y$131)</f>
        <v>2030</v>
      </c>
      <c r="Z217" s="93">
        <f>YEAR('Charts - Freight'!Z$131)</f>
        <v>2031</v>
      </c>
      <c r="AA217" s="93">
        <f>YEAR('Charts - Freight'!AA$131)</f>
        <v>2032</v>
      </c>
      <c r="AB217" s="93">
        <f>YEAR('Charts - Freight'!AB$131)</f>
        <v>2033</v>
      </c>
      <c r="AC217" s="93">
        <f>YEAR('Charts - Freight'!AC$131)</f>
        <v>2034</v>
      </c>
      <c r="AD217" s="93">
        <f>YEAR('Charts - Freight'!AD$131)</f>
        <v>2035</v>
      </c>
      <c r="AE217" s="93">
        <f>YEAR('Charts - Freight'!AE$131)</f>
        <v>2036</v>
      </c>
      <c r="AF217" s="93">
        <f>YEAR('Charts - Freight'!AF$131)</f>
        <v>2037</v>
      </c>
      <c r="AG217" s="93">
        <f>YEAR('Charts - Freight'!AG$131)</f>
        <v>2038</v>
      </c>
      <c r="AH217" s="93">
        <f>YEAR('Charts - Freight'!AH$131)</f>
        <v>2039</v>
      </c>
    </row>
    <row r="218" spans="1:34" s="412" customFormat="1" x14ac:dyDescent="0.2">
      <c r="A218" s="18"/>
      <c r="B218" s="80" t="s">
        <v>195</v>
      </c>
      <c r="C218" s="80"/>
      <c r="D218" s="80"/>
      <c r="E218" s="100">
        <f>IF(E132=1,E221/E220,0)</f>
        <v>7.5333333333333332</v>
      </c>
      <c r="F218" s="100">
        <f t="shared" ref="F218:I218" si="21">IF(F132=1,F221/F220,0)</f>
        <v>7.1875</v>
      </c>
      <c r="G218" s="100">
        <f t="shared" si="21"/>
        <v>6.7647058823529411</v>
      </c>
      <c r="H218" s="100">
        <f t="shared" si="21"/>
        <v>6.5555555555555554</v>
      </c>
      <c r="I218" s="100">
        <f t="shared" si="21"/>
        <v>6.2</v>
      </c>
      <c r="J218" s="100">
        <f t="shared" ref="J218:AH218" si="22">IF(J132=1,J221/J220," ")</f>
        <v>6.35</v>
      </c>
      <c r="K218" s="100">
        <f t="shared" si="22"/>
        <v>6.9</v>
      </c>
      <c r="L218" s="100">
        <f t="shared" si="22"/>
        <v>7.05</v>
      </c>
      <c r="M218" s="100">
        <f t="shared" si="22"/>
        <v>7.2</v>
      </c>
      <c r="N218" s="100">
        <f t="shared" si="22"/>
        <v>7.35</v>
      </c>
      <c r="O218" s="100">
        <f t="shared" si="22"/>
        <v>7.5</v>
      </c>
      <c r="P218" s="100">
        <f t="shared" si="22"/>
        <v>7.65</v>
      </c>
      <c r="Q218" s="100">
        <f t="shared" si="22"/>
        <v>7.8</v>
      </c>
      <c r="R218" s="100">
        <f t="shared" si="22"/>
        <v>7.95</v>
      </c>
      <c r="S218" s="100">
        <f t="shared" si="22"/>
        <v>8.1</v>
      </c>
      <c r="T218" s="100">
        <f t="shared" si="22"/>
        <v>8.25</v>
      </c>
      <c r="U218" s="100">
        <f t="shared" si="22"/>
        <v>8.4</v>
      </c>
      <c r="V218" s="100">
        <f t="shared" si="22"/>
        <v>8.5500000000000007</v>
      </c>
      <c r="W218" s="100">
        <f t="shared" si="22"/>
        <v>8.6999999999999993</v>
      </c>
      <c r="X218" s="100">
        <f t="shared" si="22"/>
        <v>8.85</v>
      </c>
      <c r="Y218" s="100">
        <f t="shared" si="22"/>
        <v>9</v>
      </c>
      <c r="Z218" s="100">
        <f t="shared" si="22"/>
        <v>9.15</v>
      </c>
      <c r="AA218" s="100">
        <f t="shared" si="22"/>
        <v>9.3000000000000007</v>
      </c>
      <c r="AB218" s="100">
        <f t="shared" si="22"/>
        <v>9.4499999999999993</v>
      </c>
      <c r="AC218" s="100">
        <f t="shared" si="22"/>
        <v>9.6</v>
      </c>
      <c r="AD218" s="100">
        <f t="shared" si="22"/>
        <v>9.75</v>
      </c>
      <c r="AE218" s="100">
        <f t="shared" si="22"/>
        <v>9.9</v>
      </c>
      <c r="AF218" s="100">
        <f t="shared" si="22"/>
        <v>10.050000000000001</v>
      </c>
      <c r="AG218" s="100">
        <f t="shared" si="22"/>
        <v>10.199999999999999</v>
      </c>
      <c r="AH218" s="100">
        <f t="shared" si="22"/>
        <v>10.35</v>
      </c>
    </row>
    <row r="219" spans="1:34" s="412" customFormat="1" x14ac:dyDescent="0.2">
      <c r="A219" s="18"/>
      <c r="B219" s="80" t="str">
        <f>'Assumptions - Infrastructure'!E23</f>
        <v>EU railways</v>
      </c>
      <c r="C219" s="80"/>
      <c r="D219" s="80"/>
      <c r="E219" s="96">
        <f>IF(E132=1,'Assumptions - Infrastructure'!$E$24,0)</f>
        <v>1</v>
      </c>
      <c r="F219" s="96">
        <f>IF(F132=1,'Assumptions - Infrastructure'!$E$24,0)</f>
        <v>1</v>
      </c>
      <c r="G219" s="96">
        <f>IF(G132=1,'Assumptions - Infrastructure'!$E$24,0)</f>
        <v>1</v>
      </c>
      <c r="H219" s="96">
        <f>IF(H132=1,'Assumptions - Infrastructure'!$E$24,0)</f>
        <v>1</v>
      </c>
      <c r="I219" s="96">
        <f>IF(I132=1,'Assumptions - Infrastructure'!$E$24,0)</f>
        <v>1</v>
      </c>
      <c r="J219" s="96">
        <f>IF(J132=1,'Assumptions - Infrastructure'!$E$24," ")</f>
        <v>1</v>
      </c>
      <c r="K219" s="96">
        <f>IF(K132=1,'Assumptions - Infrastructure'!$E$24," ")</f>
        <v>1</v>
      </c>
      <c r="L219" s="96">
        <f>IF(L132=1,'Assumptions - Infrastructure'!$E$24," ")</f>
        <v>1</v>
      </c>
      <c r="M219" s="96">
        <f>IF(M132=1,'Assumptions - Infrastructure'!$E$24," ")</f>
        <v>1</v>
      </c>
      <c r="N219" s="96">
        <f>IF(N132=1,'Assumptions - Infrastructure'!$E$24," ")</f>
        <v>1</v>
      </c>
      <c r="O219" s="96">
        <f>IF(O132=1,'Assumptions - Infrastructure'!$E$24," ")</f>
        <v>1</v>
      </c>
      <c r="P219" s="96">
        <f>IF(P132=1,'Assumptions - Infrastructure'!$E$24," ")</f>
        <v>1</v>
      </c>
      <c r="Q219" s="96">
        <f>IF(Q132=1,'Assumptions - Infrastructure'!$E$24," ")</f>
        <v>1</v>
      </c>
      <c r="R219" s="96">
        <f>IF(R132=1,'Assumptions - Infrastructure'!$E$24," ")</f>
        <v>1</v>
      </c>
      <c r="S219" s="96">
        <f>IF(S132=1,'Assumptions - Infrastructure'!$E$24," ")</f>
        <v>1</v>
      </c>
      <c r="T219" s="96">
        <f>IF(T132=1,'Assumptions - Infrastructure'!$E$24," ")</f>
        <v>1</v>
      </c>
      <c r="U219" s="96">
        <f>IF(U132=1,'Assumptions - Infrastructure'!$E$24," ")</f>
        <v>1</v>
      </c>
      <c r="V219" s="96">
        <f>IF(V132=1,'Assumptions - Infrastructure'!$E$24," ")</f>
        <v>1</v>
      </c>
      <c r="W219" s="96">
        <f>IF(W132=1,'Assumptions - Infrastructure'!$E$24," ")</f>
        <v>1</v>
      </c>
      <c r="X219" s="96">
        <f>IF(X132=1,'Assumptions - Infrastructure'!$E$24," ")</f>
        <v>1</v>
      </c>
      <c r="Y219" s="96">
        <f>IF(Y132=1,'Assumptions - Infrastructure'!$E$24," ")</f>
        <v>1</v>
      </c>
      <c r="Z219" s="96">
        <f>IF(Z132=1,'Assumptions - Infrastructure'!$E$24," ")</f>
        <v>1</v>
      </c>
      <c r="AA219" s="96">
        <f>IF(AA132=1,'Assumptions - Infrastructure'!$E$24," ")</f>
        <v>1</v>
      </c>
      <c r="AB219" s="96">
        <f>IF(AB132=1,'Assumptions - Infrastructure'!$E$24," ")</f>
        <v>1</v>
      </c>
      <c r="AC219" s="96">
        <f>IF(AC132=1,'Assumptions - Infrastructure'!$E$24," ")</f>
        <v>1</v>
      </c>
      <c r="AD219" s="96">
        <f>IF(AD132=1,'Assumptions - Infrastructure'!$E$24," ")</f>
        <v>1</v>
      </c>
      <c r="AE219" s="96">
        <f>IF(AE132=1,'Assumptions - Infrastructure'!$E$24," ")</f>
        <v>1</v>
      </c>
      <c r="AF219" s="96">
        <f>IF(AF132=1,'Assumptions - Infrastructure'!$E$24," ")</f>
        <v>1</v>
      </c>
      <c r="AG219" s="96">
        <f>IF(AG132=1,'Assumptions - Infrastructure'!$E$24," ")</f>
        <v>1</v>
      </c>
      <c r="AH219" s="96">
        <f>IF(AH132=1,'Assumptions - Infrastructure'!$E$24," ")</f>
        <v>1</v>
      </c>
    </row>
    <row r="220" spans="1:34" s="412" customFormat="1" x14ac:dyDescent="0.2">
      <c r="A220" s="18"/>
      <c r="B220" s="80" t="s">
        <v>193</v>
      </c>
      <c r="C220" s="80"/>
      <c r="D220" s="80"/>
      <c r="E220" s="94">
        <f>IF(E132=1,'Assumptions - Infrastructure'!E14,0)</f>
        <v>15000</v>
      </c>
      <c r="F220" s="94">
        <f>IF(F132=1,'Assumptions - Infrastructure'!F14,0)</f>
        <v>16000</v>
      </c>
      <c r="G220" s="94">
        <f>IF(G132=1,'Assumptions - Infrastructure'!G14,0)</f>
        <v>17000</v>
      </c>
      <c r="H220" s="94">
        <f>IF(H132=1,'Assumptions - Infrastructure'!H14,0)</f>
        <v>18000</v>
      </c>
      <c r="I220" s="94">
        <f>IF(I132=1,'Assumptions - Infrastructure'!I14,0)</f>
        <v>20000</v>
      </c>
      <c r="J220" s="94">
        <f>IF(J132=1,'Assumptions - Infrastructure'!J14," ")</f>
        <v>20000</v>
      </c>
      <c r="K220" s="94">
        <f>IF(K132=1,'Assumptions - Infrastructure'!K14," ")</f>
        <v>20000</v>
      </c>
      <c r="L220" s="94">
        <f>IF(L132=1,'Assumptions - Infrastructure'!L14," ")</f>
        <v>20000</v>
      </c>
      <c r="M220" s="94">
        <f>IF(M132=1,'Assumptions - Infrastructure'!M14," ")</f>
        <v>20000</v>
      </c>
      <c r="N220" s="94">
        <f>IF(N132=1,'Assumptions - Infrastructure'!N14," ")</f>
        <v>20000</v>
      </c>
      <c r="O220" s="94">
        <f>IF(O132=1,'Assumptions - Infrastructure'!O14," ")</f>
        <v>20000</v>
      </c>
      <c r="P220" s="94">
        <f>IF(P132=1,'Assumptions - Infrastructure'!P14," ")</f>
        <v>20000</v>
      </c>
      <c r="Q220" s="94">
        <f>IF(Q132=1,'Assumptions - Infrastructure'!Q14," ")</f>
        <v>20000</v>
      </c>
      <c r="R220" s="94">
        <f>IF(R132=1,'Assumptions - Infrastructure'!R14," ")</f>
        <v>20000</v>
      </c>
      <c r="S220" s="94">
        <f>IF(S132=1,'Assumptions - Infrastructure'!S14," ")</f>
        <v>20000</v>
      </c>
      <c r="T220" s="94">
        <f>IF(T132=1,'Assumptions - Infrastructure'!T14," ")</f>
        <v>20000</v>
      </c>
      <c r="U220" s="94">
        <f>IF(U132=1,'Assumptions - Infrastructure'!U14," ")</f>
        <v>20000</v>
      </c>
      <c r="V220" s="94">
        <f>IF(V132=1,'Assumptions - Infrastructure'!V14," ")</f>
        <v>20000</v>
      </c>
      <c r="W220" s="94">
        <f>IF(W132=1,'Assumptions - Infrastructure'!W14," ")</f>
        <v>20000</v>
      </c>
      <c r="X220" s="94">
        <f>IF(X132=1,'Assumptions - Infrastructure'!X14," ")</f>
        <v>20000</v>
      </c>
      <c r="Y220" s="94">
        <f>IF(Y132=1,'Assumptions - Infrastructure'!Y14," ")</f>
        <v>20000</v>
      </c>
      <c r="Z220" s="94">
        <f>IF(Z132=1,'Assumptions - Infrastructure'!Z14," ")</f>
        <v>20000</v>
      </c>
      <c r="AA220" s="94">
        <f>IF(AA132=1,'Assumptions - Infrastructure'!AA14," ")</f>
        <v>20000</v>
      </c>
      <c r="AB220" s="94">
        <f>IF(AB132=1,'Assumptions - Infrastructure'!AB14," ")</f>
        <v>20000</v>
      </c>
      <c r="AC220" s="94">
        <f>IF(AC132=1,'Assumptions - Infrastructure'!AC14," ")</f>
        <v>20000</v>
      </c>
      <c r="AD220" s="94">
        <f>IF(AD132=1,'Assumptions - Infrastructure'!AD14," ")</f>
        <v>20000</v>
      </c>
      <c r="AE220" s="94">
        <f>IF(AE132=1,'Assumptions - Infrastructure'!AE14," ")</f>
        <v>20000</v>
      </c>
      <c r="AF220" s="94">
        <f>IF(AF132=1,'Assumptions - Infrastructure'!AF14," ")</f>
        <v>20000</v>
      </c>
      <c r="AG220" s="94">
        <f>IF(AG132=1,'Assumptions - Infrastructure'!AG14," ")</f>
        <v>20000</v>
      </c>
      <c r="AH220" s="94">
        <f>IF(AH132=1,'Assumptions - Infrastructure'!AH14," ")</f>
        <v>20000</v>
      </c>
    </row>
    <row r="221" spans="1:34" s="412" customFormat="1" x14ac:dyDescent="0.2">
      <c r="A221" s="18"/>
      <c r="B221" s="80" t="s">
        <v>194</v>
      </c>
      <c r="C221" s="80"/>
      <c r="D221" s="80"/>
      <c r="E221" s="97">
        <f>IF(E132=1,E152+E153,0)</f>
        <v>113000</v>
      </c>
      <c r="F221" s="97">
        <f t="shared" ref="F221:I221" si="23">IF(F132=1,F152+F153,0)</f>
        <v>115000</v>
      </c>
      <c r="G221" s="97">
        <f t="shared" si="23"/>
        <v>115000</v>
      </c>
      <c r="H221" s="97">
        <f t="shared" si="23"/>
        <v>118000</v>
      </c>
      <c r="I221" s="97">
        <f t="shared" si="23"/>
        <v>124000</v>
      </c>
      <c r="J221" s="97">
        <f t="shared" ref="J221:AH221" si="24">IF(J132=1,J152+J153," ")</f>
        <v>127000</v>
      </c>
      <c r="K221" s="97">
        <f t="shared" si="24"/>
        <v>138000</v>
      </c>
      <c r="L221" s="97">
        <f t="shared" si="24"/>
        <v>141000</v>
      </c>
      <c r="M221" s="97">
        <f t="shared" si="24"/>
        <v>144000</v>
      </c>
      <c r="N221" s="97">
        <f t="shared" si="24"/>
        <v>147000</v>
      </c>
      <c r="O221" s="97">
        <f t="shared" si="24"/>
        <v>150000</v>
      </c>
      <c r="P221" s="97">
        <f t="shared" si="24"/>
        <v>153000</v>
      </c>
      <c r="Q221" s="97">
        <f t="shared" si="24"/>
        <v>156000</v>
      </c>
      <c r="R221" s="97">
        <f t="shared" si="24"/>
        <v>159000</v>
      </c>
      <c r="S221" s="97">
        <f t="shared" si="24"/>
        <v>162000</v>
      </c>
      <c r="T221" s="97">
        <f t="shared" si="24"/>
        <v>165000</v>
      </c>
      <c r="U221" s="97">
        <f t="shared" si="24"/>
        <v>168000</v>
      </c>
      <c r="V221" s="97">
        <f t="shared" si="24"/>
        <v>171000</v>
      </c>
      <c r="W221" s="97">
        <f t="shared" si="24"/>
        <v>174000</v>
      </c>
      <c r="X221" s="97">
        <f t="shared" si="24"/>
        <v>177000</v>
      </c>
      <c r="Y221" s="97">
        <f t="shared" si="24"/>
        <v>180000</v>
      </c>
      <c r="Z221" s="97">
        <f t="shared" si="24"/>
        <v>183000</v>
      </c>
      <c r="AA221" s="97">
        <f t="shared" si="24"/>
        <v>186000</v>
      </c>
      <c r="AB221" s="97">
        <f t="shared" si="24"/>
        <v>189000</v>
      </c>
      <c r="AC221" s="97">
        <f t="shared" si="24"/>
        <v>192000</v>
      </c>
      <c r="AD221" s="97">
        <f t="shared" si="24"/>
        <v>195000</v>
      </c>
      <c r="AE221" s="97">
        <f t="shared" si="24"/>
        <v>198000</v>
      </c>
      <c r="AF221" s="97">
        <f t="shared" si="24"/>
        <v>201000</v>
      </c>
      <c r="AG221" s="97">
        <f t="shared" si="24"/>
        <v>204000</v>
      </c>
      <c r="AH221" s="97">
        <f t="shared" si="24"/>
        <v>207000</v>
      </c>
    </row>
    <row r="222" spans="1:34" s="412" customFormat="1" x14ac:dyDescent="0.2">
      <c r="A222" s="18"/>
      <c r="B222" s="80"/>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c r="AA222" s="80"/>
      <c r="AB222" s="80"/>
      <c r="AC222" s="80"/>
      <c r="AD222" s="80"/>
      <c r="AE222" s="80"/>
      <c r="AF222" s="80"/>
      <c r="AG222" s="80"/>
      <c r="AH222" s="80"/>
    </row>
    <row r="223" spans="1:34" s="412" customFormat="1" x14ac:dyDescent="0.2">
      <c r="A223" s="18"/>
      <c r="B223" s="90" t="s">
        <v>192</v>
      </c>
      <c r="C223" s="80"/>
      <c r="D223" s="80"/>
      <c r="E223" s="80" t="s">
        <v>305</v>
      </c>
      <c r="F223" s="80" t="s">
        <v>302</v>
      </c>
      <c r="G223" s="80"/>
      <c r="H223" s="80"/>
      <c r="I223" s="80"/>
      <c r="J223" s="80"/>
      <c r="K223" s="80"/>
      <c r="L223" s="80"/>
      <c r="M223" s="80"/>
      <c r="N223" s="80"/>
      <c r="O223" s="80"/>
      <c r="P223" s="80"/>
      <c r="Q223" s="80"/>
      <c r="R223" s="80"/>
      <c r="S223" s="80"/>
      <c r="T223" s="80"/>
      <c r="U223" s="80"/>
      <c r="V223" s="80"/>
      <c r="W223" s="80"/>
      <c r="X223" s="80"/>
      <c r="Y223" s="80"/>
      <c r="Z223" s="80"/>
      <c r="AA223" s="80"/>
      <c r="AB223" s="80"/>
      <c r="AC223" s="80"/>
      <c r="AD223" s="80"/>
      <c r="AE223" s="80"/>
      <c r="AF223" s="80"/>
      <c r="AG223" s="80"/>
      <c r="AH223" s="80"/>
    </row>
    <row r="224" spans="1:34" s="412" customFormat="1" x14ac:dyDescent="0.2">
      <c r="A224" s="18"/>
      <c r="B224" s="80"/>
      <c r="C224" s="80"/>
      <c r="D224" s="80"/>
      <c r="E224" s="93">
        <f>YEAR('Charts - Freight'!E$131)</f>
        <v>2010</v>
      </c>
      <c r="F224" s="93">
        <f>YEAR('Charts - Freight'!F$131)</f>
        <v>2011</v>
      </c>
      <c r="G224" s="93">
        <f>YEAR('Charts - Freight'!G$131)</f>
        <v>2012</v>
      </c>
      <c r="H224" s="93">
        <f>YEAR('Charts - Freight'!H$131)</f>
        <v>2013</v>
      </c>
      <c r="I224" s="93">
        <f>YEAR('Charts - Freight'!I$131)</f>
        <v>2014</v>
      </c>
      <c r="J224" s="93">
        <f>YEAR('Charts - Freight'!J$131)</f>
        <v>2015</v>
      </c>
      <c r="K224" s="93">
        <f>YEAR('Charts - Freight'!K$131)</f>
        <v>2016</v>
      </c>
      <c r="L224" s="93">
        <f>YEAR('Charts - Freight'!L$131)</f>
        <v>2017</v>
      </c>
      <c r="M224" s="93">
        <f>YEAR('Charts - Freight'!M$131)</f>
        <v>2018</v>
      </c>
      <c r="N224" s="93">
        <f>YEAR('Charts - Freight'!N$131)</f>
        <v>2019</v>
      </c>
      <c r="O224" s="93">
        <f>YEAR('Charts - Freight'!O$131)</f>
        <v>2020</v>
      </c>
      <c r="P224" s="93">
        <f>YEAR('Charts - Freight'!P$131)</f>
        <v>2021</v>
      </c>
      <c r="Q224" s="93">
        <f>YEAR('Charts - Freight'!Q$131)</f>
        <v>2022</v>
      </c>
      <c r="R224" s="93">
        <f>YEAR('Charts - Freight'!R$131)</f>
        <v>2023</v>
      </c>
      <c r="S224" s="93">
        <f>YEAR('Charts - Freight'!S$131)</f>
        <v>2024</v>
      </c>
      <c r="T224" s="93">
        <f>YEAR('Charts - Freight'!T$131)</f>
        <v>2025</v>
      </c>
      <c r="U224" s="93">
        <f>YEAR('Charts - Freight'!U$131)</f>
        <v>2026</v>
      </c>
      <c r="V224" s="93">
        <f>YEAR('Charts - Freight'!V$131)</f>
        <v>2027</v>
      </c>
      <c r="W224" s="93">
        <f>YEAR('Charts - Freight'!W$131)</f>
        <v>2028</v>
      </c>
      <c r="X224" s="93">
        <f>YEAR('Charts - Freight'!X$131)</f>
        <v>2029</v>
      </c>
      <c r="Y224" s="93">
        <f>YEAR('Charts - Freight'!Y$131)</f>
        <v>2030</v>
      </c>
      <c r="Z224" s="93">
        <f>YEAR('Charts - Freight'!Z$131)</f>
        <v>2031</v>
      </c>
      <c r="AA224" s="93">
        <f>YEAR('Charts - Freight'!AA$131)</f>
        <v>2032</v>
      </c>
      <c r="AB224" s="93">
        <f>YEAR('Charts - Freight'!AB$131)</f>
        <v>2033</v>
      </c>
      <c r="AC224" s="93">
        <f>YEAR('Charts - Freight'!AC$131)</f>
        <v>2034</v>
      </c>
      <c r="AD224" s="93">
        <f>YEAR('Charts - Freight'!AD$131)</f>
        <v>2035</v>
      </c>
      <c r="AE224" s="93">
        <f>YEAR('Charts - Freight'!AE$131)</f>
        <v>2036</v>
      </c>
      <c r="AF224" s="93">
        <f>YEAR('Charts - Freight'!AF$131)</f>
        <v>2037</v>
      </c>
      <c r="AG224" s="93">
        <f>YEAR('Charts - Freight'!AG$131)</f>
        <v>2038</v>
      </c>
      <c r="AH224" s="93">
        <f>YEAR('Charts - Freight'!AH$131)</f>
        <v>2039</v>
      </c>
    </row>
    <row r="225" spans="1:34" s="412" customFormat="1" x14ac:dyDescent="0.2">
      <c r="A225" s="18"/>
      <c r="B225" s="80" t="s">
        <v>196</v>
      </c>
      <c r="C225" s="80"/>
      <c r="D225" s="80"/>
      <c r="E225" s="96">
        <f>IF(E132=1,E227/E228,0)</f>
        <v>1</v>
      </c>
      <c r="F225" s="96">
        <f t="shared" ref="F225:I225" si="25">IF(F132=1,F227/F228,0)</f>
        <v>1.0666666666666667</v>
      </c>
      <c r="G225" s="96">
        <f t="shared" si="25"/>
        <v>1.1333333333333333</v>
      </c>
      <c r="H225" s="96">
        <f t="shared" si="25"/>
        <v>1.2</v>
      </c>
      <c r="I225" s="96">
        <f t="shared" si="25"/>
        <v>1.3333333333333333</v>
      </c>
      <c r="J225" s="96">
        <f t="shared" ref="J225:AH225" si="26">IF(J132=1,J227/J228," ")</f>
        <v>1.3333333333333333</v>
      </c>
      <c r="K225" s="96">
        <f t="shared" si="26"/>
        <v>1.3333333333333333</v>
      </c>
      <c r="L225" s="96">
        <f t="shared" si="26"/>
        <v>1.3333333333333333</v>
      </c>
      <c r="M225" s="96">
        <f t="shared" si="26"/>
        <v>1.3333333333333333</v>
      </c>
      <c r="N225" s="96">
        <f t="shared" si="26"/>
        <v>1.3333333333333333</v>
      </c>
      <c r="O225" s="96">
        <f t="shared" si="26"/>
        <v>1.3333333333333333</v>
      </c>
      <c r="P225" s="96">
        <f t="shared" si="26"/>
        <v>1.3333333333333333</v>
      </c>
      <c r="Q225" s="96">
        <f t="shared" si="26"/>
        <v>1.3333333333333333</v>
      </c>
      <c r="R225" s="96">
        <f t="shared" si="26"/>
        <v>1.3333333333333333</v>
      </c>
      <c r="S225" s="96">
        <f t="shared" si="26"/>
        <v>1.3333333333333333</v>
      </c>
      <c r="T225" s="96">
        <f t="shared" si="26"/>
        <v>1.3333333333333333</v>
      </c>
      <c r="U225" s="96">
        <f t="shared" si="26"/>
        <v>1.3333333333333333</v>
      </c>
      <c r="V225" s="96">
        <f t="shared" si="26"/>
        <v>1.3333333333333333</v>
      </c>
      <c r="W225" s="96">
        <f t="shared" si="26"/>
        <v>1.3333333333333333</v>
      </c>
      <c r="X225" s="96">
        <f t="shared" si="26"/>
        <v>1.3333333333333333</v>
      </c>
      <c r="Y225" s="96">
        <f t="shared" si="26"/>
        <v>1.3333333333333333</v>
      </c>
      <c r="Z225" s="96">
        <f t="shared" si="26"/>
        <v>1.3333333333333333</v>
      </c>
      <c r="AA225" s="96">
        <f t="shared" si="26"/>
        <v>1.3333333333333333</v>
      </c>
      <c r="AB225" s="96">
        <f t="shared" si="26"/>
        <v>1.3333333333333333</v>
      </c>
      <c r="AC225" s="96">
        <f t="shared" si="26"/>
        <v>1.3333333333333333</v>
      </c>
      <c r="AD225" s="96">
        <f t="shared" si="26"/>
        <v>1.3333333333333333</v>
      </c>
      <c r="AE225" s="96">
        <f t="shared" si="26"/>
        <v>1.3333333333333333</v>
      </c>
      <c r="AF225" s="96">
        <f t="shared" si="26"/>
        <v>1.3333333333333333</v>
      </c>
      <c r="AG225" s="96">
        <f t="shared" si="26"/>
        <v>1.3333333333333333</v>
      </c>
      <c r="AH225" s="96">
        <f t="shared" si="26"/>
        <v>1.3333333333333333</v>
      </c>
    </row>
    <row r="226" spans="1:34" s="412" customFormat="1" x14ac:dyDescent="0.2">
      <c r="A226" s="18"/>
      <c r="B226" s="80" t="str">
        <f>B219</f>
        <v>EU railways</v>
      </c>
      <c r="C226" s="80"/>
      <c r="D226" s="80"/>
      <c r="E226" s="96">
        <f>IF(E132=1,'Assumptions - Infrastructure'!$E$26,0)</f>
        <v>1</v>
      </c>
      <c r="F226" s="96">
        <f>IF(F132=1,'Assumptions - Infrastructure'!$E$26,0)</f>
        <v>1</v>
      </c>
      <c r="G226" s="96">
        <f>IF(G132=1,'Assumptions - Infrastructure'!$E$26,0)</f>
        <v>1</v>
      </c>
      <c r="H226" s="96">
        <f>IF(H132=1,'Assumptions - Infrastructure'!$E$26,0)</f>
        <v>1</v>
      </c>
      <c r="I226" s="96">
        <f>IF(I132=1,'Assumptions - Infrastructure'!$E$26,0)</f>
        <v>1</v>
      </c>
      <c r="J226" s="96">
        <f>IF(J132=1,'Assumptions - Infrastructure'!$E$26," ")</f>
        <v>1</v>
      </c>
      <c r="K226" s="96">
        <f>IF(K132=1,'Assumptions - Infrastructure'!$E$26," ")</f>
        <v>1</v>
      </c>
      <c r="L226" s="96">
        <f>IF(L132=1,'Assumptions - Infrastructure'!$E$26," ")</f>
        <v>1</v>
      </c>
      <c r="M226" s="96">
        <f>IF(M132=1,'Assumptions - Infrastructure'!$E$26," ")</f>
        <v>1</v>
      </c>
      <c r="N226" s="96">
        <f>IF(N132=1,'Assumptions - Infrastructure'!$E$26," ")</f>
        <v>1</v>
      </c>
      <c r="O226" s="96">
        <f>IF(O132=1,'Assumptions - Infrastructure'!$E$26," ")</f>
        <v>1</v>
      </c>
      <c r="P226" s="96">
        <f>IF(P132=1,'Assumptions - Infrastructure'!$E$26," ")</f>
        <v>1</v>
      </c>
      <c r="Q226" s="96">
        <f>IF(Q132=1,'Assumptions - Infrastructure'!$E$26," ")</f>
        <v>1</v>
      </c>
      <c r="R226" s="96">
        <f>IF(R132=1,'Assumptions - Infrastructure'!$E$26," ")</f>
        <v>1</v>
      </c>
      <c r="S226" s="96">
        <f>IF(S132=1,'Assumptions - Infrastructure'!$E$26," ")</f>
        <v>1</v>
      </c>
      <c r="T226" s="96">
        <f>IF(T132=1,'Assumptions - Infrastructure'!$E$26," ")</f>
        <v>1</v>
      </c>
      <c r="U226" s="96">
        <f>IF(U132=1,'Assumptions - Infrastructure'!$E$26," ")</f>
        <v>1</v>
      </c>
      <c r="V226" s="96">
        <f>IF(V132=1,'Assumptions - Infrastructure'!$E$26," ")</f>
        <v>1</v>
      </c>
      <c r="W226" s="96">
        <f>IF(W132=1,'Assumptions - Infrastructure'!$E$26," ")</f>
        <v>1</v>
      </c>
      <c r="X226" s="96">
        <f>IF(X132=1,'Assumptions - Infrastructure'!$E$26," ")</f>
        <v>1</v>
      </c>
      <c r="Y226" s="96">
        <f>IF(Y132=1,'Assumptions - Infrastructure'!$E$26," ")</f>
        <v>1</v>
      </c>
      <c r="Z226" s="96">
        <f>IF(Z132=1,'Assumptions - Infrastructure'!$E$26," ")</f>
        <v>1</v>
      </c>
      <c r="AA226" s="96">
        <f>IF(AA132=1,'Assumptions - Infrastructure'!$E$26," ")</f>
        <v>1</v>
      </c>
      <c r="AB226" s="96">
        <f>IF(AB132=1,'Assumptions - Infrastructure'!$E$26," ")</f>
        <v>1</v>
      </c>
      <c r="AC226" s="96">
        <f>IF(AC132=1,'Assumptions - Infrastructure'!$E$26," ")</f>
        <v>1</v>
      </c>
      <c r="AD226" s="96">
        <f>IF(AD132=1,'Assumptions - Infrastructure'!$E$26," ")</f>
        <v>1</v>
      </c>
      <c r="AE226" s="96">
        <f>IF(AE132=1,'Assumptions - Infrastructure'!$E$26," ")</f>
        <v>1</v>
      </c>
      <c r="AF226" s="96">
        <f>IF(AF132=1,'Assumptions - Infrastructure'!$E$26," ")</f>
        <v>1</v>
      </c>
      <c r="AG226" s="96">
        <f>IF(AG132=1,'Assumptions - Infrastructure'!$E$26," ")</f>
        <v>1</v>
      </c>
      <c r="AH226" s="96">
        <f>IF(AH132=1,'Assumptions - Infrastructure'!$E$26," ")</f>
        <v>1</v>
      </c>
    </row>
    <row r="227" spans="1:34" s="412" customFormat="1" x14ac:dyDescent="0.2">
      <c r="A227" s="18"/>
      <c r="B227" s="80" t="s">
        <v>37</v>
      </c>
      <c r="C227" s="80"/>
      <c r="D227" s="80"/>
      <c r="E227" s="94">
        <f>IF(E132=1,'Assumptions - Infrastructure'!E240,0)</f>
        <v>15000</v>
      </c>
      <c r="F227" s="94">
        <f>IF(F132=1,'Assumptions - Infrastructure'!F240,0)</f>
        <v>16000</v>
      </c>
      <c r="G227" s="94">
        <f>IF(G132=1,'Assumptions - Infrastructure'!G240,0)</f>
        <v>17000</v>
      </c>
      <c r="H227" s="94">
        <f>IF(H132=1,'Assumptions - Infrastructure'!H240,0)</f>
        <v>18000</v>
      </c>
      <c r="I227" s="94">
        <f>IF(I132=1,'Assumptions - Infrastructure'!I240,0)</f>
        <v>20000</v>
      </c>
      <c r="J227" s="94">
        <f>IF(J132=1,'Assumptions - Infrastructure'!J240," ")</f>
        <v>20000</v>
      </c>
      <c r="K227" s="94">
        <f>IF(K132=1,'Assumptions - Infrastructure'!K240," ")</f>
        <v>20000</v>
      </c>
      <c r="L227" s="94">
        <f>IF(L132=1,'Assumptions - Infrastructure'!L240," ")</f>
        <v>20000</v>
      </c>
      <c r="M227" s="94">
        <f>IF(M132=1,'Assumptions - Infrastructure'!M240," ")</f>
        <v>20000</v>
      </c>
      <c r="N227" s="94">
        <f>IF(N132=1,'Assumptions - Infrastructure'!N240," ")</f>
        <v>20000</v>
      </c>
      <c r="O227" s="94">
        <f>IF(O132=1,'Assumptions - Infrastructure'!O240," ")</f>
        <v>20000</v>
      </c>
      <c r="P227" s="94">
        <f>IF(P132=1,'Assumptions - Infrastructure'!P240," ")</f>
        <v>20000</v>
      </c>
      <c r="Q227" s="94">
        <f>IF(Q132=1,'Assumptions - Infrastructure'!Q240," ")</f>
        <v>20000</v>
      </c>
      <c r="R227" s="94">
        <f>IF(R132=1,'Assumptions - Infrastructure'!R240," ")</f>
        <v>20000</v>
      </c>
      <c r="S227" s="94">
        <f>IF(S132=1,'Assumptions - Infrastructure'!S240," ")</f>
        <v>20000</v>
      </c>
      <c r="T227" s="94">
        <f>IF(T132=1,'Assumptions - Infrastructure'!T240," ")</f>
        <v>20000</v>
      </c>
      <c r="U227" s="94">
        <f>IF(U132=1,'Assumptions - Infrastructure'!U240," ")</f>
        <v>20000</v>
      </c>
      <c r="V227" s="94">
        <f>IF(V132=1,'Assumptions - Infrastructure'!V240," ")</f>
        <v>20000</v>
      </c>
      <c r="W227" s="94">
        <f>IF(W132=1,'Assumptions - Infrastructure'!W240," ")</f>
        <v>20000</v>
      </c>
      <c r="X227" s="94">
        <f>IF(X132=1,'Assumptions - Infrastructure'!X240," ")</f>
        <v>20000</v>
      </c>
      <c r="Y227" s="94">
        <f>IF(Y132=1,'Assumptions - Infrastructure'!Y240," ")</f>
        <v>20000</v>
      </c>
      <c r="Z227" s="94">
        <f>IF(Z132=1,'Assumptions - Infrastructure'!Z240," ")</f>
        <v>20000</v>
      </c>
      <c r="AA227" s="94">
        <f>IF(AA132=1,'Assumptions - Infrastructure'!AA240," ")</f>
        <v>20000</v>
      </c>
      <c r="AB227" s="94">
        <f>IF(AB132=1,'Assumptions - Infrastructure'!AB240," ")</f>
        <v>20000</v>
      </c>
      <c r="AC227" s="94">
        <f>IF(AC132=1,'Assumptions - Infrastructure'!AC240," ")</f>
        <v>20000</v>
      </c>
      <c r="AD227" s="94">
        <f>IF(AD132=1,'Assumptions - Infrastructure'!AD240," ")</f>
        <v>20000</v>
      </c>
      <c r="AE227" s="94">
        <f>IF(AE132=1,'Assumptions - Infrastructure'!AE240," ")</f>
        <v>20000</v>
      </c>
      <c r="AF227" s="94">
        <f>IF(AF132=1,'Assumptions - Infrastructure'!AF240," ")</f>
        <v>20000</v>
      </c>
      <c r="AG227" s="94">
        <f>IF(AG132=1,'Assumptions - Infrastructure'!AG240," ")</f>
        <v>20000</v>
      </c>
      <c r="AH227" s="94">
        <f>IF(AH132=1,'Assumptions - Infrastructure'!AH240," ")</f>
        <v>20000</v>
      </c>
    </row>
    <row r="228" spans="1:34" s="412" customFormat="1" x14ac:dyDescent="0.2">
      <c r="A228" s="18"/>
      <c r="B228" s="80" t="s">
        <v>179</v>
      </c>
      <c r="C228" s="80"/>
      <c r="D228" s="80"/>
      <c r="E228" s="94">
        <f>IF(E132=1,'Assumptions - Infrastructure'!E13,0)</f>
        <v>15000</v>
      </c>
      <c r="F228" s="94">
        <f>IF(F132=1,'Assumptions - Infrastructure'!F13,0)</f>
        <v>15000</v>
      </c>
      <c r="G228" s="94">
        <f>IF(G132=1,'Assumptions - Infrastructure'!G13,0)</f>
        <v>15000</v>
      </c>
      <c r="H228" s="94">
        <f>IF(H132=1,'Assumptions - Infrastructure'!H13,0)</f>
        <v>15000</v>
      </c>
      <c r="I228" s="94">
        <f>IF(I132=1,'Assumptions - Infrastructure'!I13,0)</f>
        <v>15000</v>
      </c>
      <c r="J228" s="94">
        <f>IF(J132=1,'Assumptions - Infrastructure'!J13," ")</f>
        <v>15000</v>
      </c>
      <c r="K228" s="94">
        <f>IF(K132=1,'Assumptions - Infrastructure'!K13," ")</f>
        <v>15000</v>
      </c>
      <c r="L228" s="94">
        <f>IF(L132=1,'Assumptions - Infrastructure'!L13," ")</f>
        <v>15000</v>
      </c>
      <c r="M228" s="94">
        <f>IF(M132=1,'Assumptions - Infrastructure'!M13," ")</f>
        <v>15000</v>
      </c>
      <c r="N228" s="94">
        <f>IF(N132=1,'Assumptions - Infrastructure'!N13," ")</f>
        <v>15000</v>
      </c>
      <c r="O228" s="94">
        <f>IF(O132=1,'Assumptions - Infrastructure'!O13," ")</f>
        <v>15000</v>
      </c>
      <c r="P228" s="94">
        <f>IF(P132=1,'Assumptions - Infrastructure'!P13," ")</f>
        <v>15000</v>
      </c>
      <c r="Q228" s="94">
        <f>IF(Q132=1,'Assumptions - Infrastructure'!Q13," ")</f>
        <v>15000</v>
      </c>
      <c r="R228" s="94">
        <f>IF(R132=1,'Assumptions - Infrastructure'!R13," ")</f>
        <v>15000</v>
      </c>
      <c r="S228" s="94">
        <f>IF(S132=1,'Assumptions - Infrastructure'!S13," ")</f>
        <v>15000</v>
      </c>
      <c r="T228" s="94">
        <f>IF(T132=1,'Assumptions - Infrastructure'!T13," ")</f>
        <v>15000</v>
      </c>
      <c r="U228" s="94">
        <f>IF(U132=1,'Assumptions - Infrastructure'!U13," ")</f>
        <v>15000</v>
      </c>
      <c r="V228" s="94">
        <f>IF(V132=1,'Assumptions - Infrastructure'!V13," ")</f>
        <v>15000</v>
      </c>
      <c r="W228" s="94">
        <f>IF(W132=1,'Assumptions - Infrastructure'!W13," ")</f>
        <v>15000</v>
      </c>
      <c r="X228" s="94">
        <f>IF(X132=1,'Assumptions - Infrastructure'!X13," ")</f>
        <v>15000</v>
      </c>
      <c r="Y228" s="94">
        <f>IF(Y132=1,'Assumptions - Infrastructure'!Y13," ")</f>
        <v>15000</v>
      </c>
      <c r="Z228" s="94">
        <f>IF(Z132=1,'Assumptions - Infrastructure'!Z13," ")</f>
        <v>15000</v>
      </c>
      <c r="AA228" s="94">
        <f>IF(AA132=1,'Assumptions - Infrastructure'!AA13," ")</f>
        <v>15000</v>
      </c>
      <c r="AB228" s="94">
        <f>IF(AB132=1,'Assumptions - Infrastructure'!AB13," ")</f>
        <v>15000</v>
      </c>
      <c r="AC228" s="94">
        <f>IF(AC132=1,'Assumptions - Infrastructure'!AC13," ")</f>
        <v>15000</v>
      </c>
      <c r="AD228" s="94">
        <f>IF(AD132=1,'Assumptions - Infrastructure'!AD13," ")</f>
        <v>15000</v>
      </c>
      <c r="AE228" s="94">
        <f>IF(AE132=1,'Assumptions - Infrastructure'!AE13," ")</f>
        <v>15000</v>
      </c>
      <c r="AF228" s="94">
        <f>IF(AF132=1,'Assumptions - Infrastructure'!AF13," ")</f>
        <v>15000</v>
      </c>
      <c r="AG228" s="94">
        <f>IF(AG132=1,'Assumptions - Infrastructure'!AG13," ")</f>
        <v>15000</v>
      </c>
      <c r="AH228" s="94">
        <f>IF(AH132=1,'Assumptions - Infrastructure'!AH13," ")</f>
        <v>15000</v>
      </c>
    </row>
    <row r="229" spans="1:34" s="412" customFormat="1" x14ac:dyDescent="0.2">
      <c r="A229" s="18"/>
      <c r="B229" s="80"/>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c r="AA229" s="80"/>
      <c r="AB229" s="80"/>
      <c r="AC229" s="80"/>
      <c r="AD229" s="80"/>
      <c r="AE229" s="80"/>
      <c r="AF229" s="80"/>
      <c r="AG229" s="80"/>
      <c r="AH229" s="80"/>
    </row>
    <row r="230" spans="1:34" s="412" customFormat="1" x14ac:dyDescent="0.2">
      <c r="A230" s="18"/>
      <c r="B230" s="90" t="s">
        <v>197</v>
      </c>
      <c r="C230" s="80"/>
      <c r="D230" s="80"/>
      <c r="E230" s="80" t="s">
        <v>305</v>
      </c>
      <c r="F230" s="80" t="s">
        <v>326</v>
      </c>
      <c r="G230" s="80"/>
      <c r="H230" s="80"/>
      <c r="I230" s="80"/>
      <c r="J230" s="80"/>
      <c r="K230" s="80"/>
      <c r="L230" s="80"/>
      <c r="M230" s="80"/>
      <c r="N230" s="80"/>
      <c r="O230" s="80"/>
      <c r="P230" s="80"/>
      <c r="Q230" s="80"/>
      <c r="R230" s="80"/>
      <c r="S230" s="80"/>
      <c r="T230" s="80"/>
      <c r="U230" s="80"/>
      <c r="V230" s="80"/>
      <c r="W230" s="80"/>
      <c r="X230" s="80"/>
      <c r="Y230" s="80"/>
      <c r="Z230" s="80"/>
      <c r="AA230" s="80"/>
      <c r="AB230" s="80"/>
      <c r="AC230" s="80"/>
      <c r="AD230" s="80"/>
      <c r="AE230" s="80"/>
      <c r="AF230" s="80"/>
      <c r="AG230" s="80"/>
      <c r="AH230" s="80"/>
    </row>
    <row r="231" spans="1:34" s="412" customFormat="1" x14ac:dyDescent="0.2">
      <c r="A231" s="18"/>
      <c r="B231" s="80"/>
      <c r="C231" s="80"/>
      <c r="D231" s="80"/>
      <c r="E231" s="93">
        <f>YEAR('Charts - Freight'!E$131)</f>
        <v>2010</v>
      </c>
      <c r="F231" s="93">
        <f>YEAR('Charts - Freight'!F$131)</f>
        <v>2011</v>
      </c>
      <c r="G231" s="93">
        <f>YEAR('Charts - Freight'!G$131)</f>
        <v>2012</v>
      </c>
      <c r="H231" s="93">
        <f>YEAR('Charts - Freight'!H$131)</f>
        <v>2013</v>
      </c>
      <c r="I231" s="93">
        <f>YEAR('Charts - Freight'!I$131)</f>
        <v>2014</v>
      </c>
      <c r="J231" s="93">
        <f>YEAR('Charts - Freight'!J$131)</f>
        <v>2015</v>
      </c>
      <c r="K231" s="93">
        <f>YEAR('Charts - Freight'!K$131)</f>
        <v>2016</v>
      </c>
      <c r="L231" s="93">
        <f>YEAR('Charts - Freight'!L$131)</f>
        <v>2017</v>
      </c>
      <c r="M231" s="93">
        <f>YEAR('Charts - Freight'!M$131)</f>
        <v>2018</v>
      </c>
      <c r="N231" s="93">
        <f>YEAR('Charts - Freight'!N$131)</f>
        <v>2019</v>
      </c>
      <c r="O231" s="93">
        <f>YEAR('Charts - Freight'!O$131)</f>
        <v>2020</v>
      </c>
      <c r="P231" s="93">
        <f>YEAR('Charts - Freight'!P$131)</f>
        <v>2021</v>
      </c>
      <c r="Q231" s="93">
        <f>YEAR('Charts - Freight'!Q$131)</f>
        <v>2022</v>
      </c>
      <c r="R231" s="93">
        <f>YEAR('Charts - Freight'!R$131)</f>
        <v>2023</v>
      </c>
      <c r="S231" s="93">
        <f>YEAR('Charts - Freight'!S$131)</f>
        <v>2024</v>
      </c>
      <c r="T231" s="93">
        <f>YEAR('Charts - Freight'!T$131)</f>
        <v>2025</v>
      </c>
      <c r="U231" s="93">
        <f>YEAR('Charts - Freight'!U$131)</f>
        <v>2026</v>
      </c>
      <c r="V231" s="93">
        <f>YEAR('Charts - Freight'!V$131)</f>
        <v>2027</v>
      </c>
      <c r="W231" s="93">
        <f>YEAR('Charts - Freight'!W$131)</f>
        <v>2028</v>
      </c>
      <c r="X231" s="93">
        <f>YEAR('Charts - Freight'!X$131)</f>
        <v>2029</v>
      </c>
      <c r="Y231" s="93">
        <f>YEAR('Charts - Freight'!Y$131)</f>
        <v>2030</v>
      </c>
      <c r="Z231" s="93">
        <f>YEAR('Charts - Freight'!Z$131)</f>
        <v>2031</v>
      </c>
      <c r="AA231" s="93">
        <f>YEAR('Charts - Freight'!AA$131)</f>
        <v>2032</v>
      </c>
      <c r="AB231" s="93">
        <f>YEAR('Charts - Freight'!AB$131)</f>
        <v>2033</v>
      </c>
      <c r="AC231" s="93">
        <f>YEAR('Charts - Freight'!AC$131)</f>
        <v>2034</v>
      </c>
      <c r="AD231" s="93">
        <f>YEAR('Charts - Freight'!AD$131)</f>
        <v>2035</v>
      </c>
      <c r="AE231" s="93">
        <f>YEAR('Charts - Freight'!AE$131)</f>
        <v>2036</v>
      </c>
      <c r="AF231" s="93">
        <f>YEAR('Charts - Freight'!AF$131)</f>
        <v>2037</v>
      </c>
      <c r="AG231" s="93">
        <f>YEAR('Charts - Freight'!AG$131)</f>
        <v>2038</v>
      </c>
      <c r="AH231" s="93">
        <f>YEAR('Charts - Freight'!AH$131)</f>
        <v>2039</v>
      </c>
    </row>
    <row r="232" spans="1:34" s="412" customFormat="1" x14ac:dyDescent="0.2">
      <c r="A232" s="18"/>
      <c r="B232" s="80" t="s">
        <v>198</v>
      </c>
      <c r="C232" s="80"/>
      <c r="D232" s="80"/>
      <c r="E232" s="100">
        <f>IF(E132=1,E221/E228,0)</f>
        <v>7.5333333333333332</v>
      </c>
      <c r="F232" s="100">
        <f t="shared" ref="F232:I232" si="27">IF(F132=1,F221/F228,0)</f>
        <v>7.666666666666667</v>
      </c>
      <c r="G232" s="100">
        <f t="shared" si="27"/>
        <v>7.666666666666667</v>
      </c>
      <c r="H232" s="100">
        <f t="shared" si="27"/>
        <v>7.8666666666666663</v>
      </c>
      <c r="I232" s="100">
        <f t="shared" si="27"/>
        <v>8.2666666666666675</v>
      </c>
      <c r="J232" s="100">
        <f t="shared" ref="J232:AH232" si="28">IF(J132=1,J221/J228," ")</f>
        <v>8.4666666666666668</v>
      </c>
      <c r="K232" s="100">
        <f t="shared" si="28"/>
        <v>9.1999999999999993</v>
      </c>
      <c r="L232" s="100">
        <f t="shared" si="28"/>
        <v>9.4</v>
      </c>
      <c r="M232" s="100">
        <f t="shared" si="28"/>
        <v>9.6</v>
      </c>
      <c r="N232" s="100">
        <f t="shared" si="28"/>
        <v>9.8000000000000007</v>
      </c>
      <c r="O232" s="100">
        <f t="shared" si="28"/>
        <v>10</v>
      </c>
      <c r="P232" s="100">
        <f t="shared" si="28"/>
        <v>10.199999999999999</v>
      </c>
      <c r="Q232" s="100">
        <f t="shared" si="28"/>
        <v>10.4</v>
      </c>
      <c r="R232" s="100">
        <f t="shared" si="28"/>
        <v>10.6</v>
      </c>
      <c r="S232" s="100">
        <f t="shared" si="28"/>
        <v>10.8</v>
      </c>
      <c r="T232" s="100">
        <f t="shared" si="28"/>
        <v>11</v>
      </c>
      <c r="U232" s="100">
        <f t="shared" si="28"/>
        <v>11.2</v>
      </c>
      <c r="V232" s="100">
        <f t="shared" si="28"/>
        <v>11.4</v>
      </c>
      <c r="W232" s="100">
        <f t="shared" si="28"/>
        <v>11.6</v>
      </c>
      <c r="X232" s="100">
        <f t="shared" si="28"/>
        <v>11.8</v>
      </c>
      <c r="Y232" s="100">
        <f t="shared" si="28"/>
        <v>12</v>
      </c>
      <c r="Z232" s="100">
        <f t="shared" si="28"/>
        <v>12.2</v>
      </c>
      <c r="AA232" s="100">
        <f t="shared" si="28"/>
        <v>12.4</v>
      </c>
      <c r="AB232" s="100">
        <f t="shared" si="28"/>
        <v>12.6</v>
      </c>
      <c r="AC232" s="100">
        <f t="shared" si="28"/>
        <v>12.8</v>
      </c>
      <c r="AD232" s="100">
        <f t="shared" si="28"/>
        <v>13</v>
      </c>
      <c r="AE232" s="100">
        <f t="shared" si="28"/>
        <v>13.2</v>
      </c>
      <c r="AF232" s="100">
        <f t="shared" si="28"/>
        <v>13.4</v>
      </c>
      <c r="AG232" s="100">
        <f t="shared" si="28"/>
        <v>13.6</v>
      </c>
      <c r="AH232" s="100">
        <f t="shared" si="28"/>
        <v>13.8</v>
      </c>
    </row>
    <row r="233" spans="1:34" s="412" customFormat="1" x14ac:dyDescent="0.2">
      <c r="A233" s="18"/>
      <c r="B233" s="80" t="str">
        <f>B226</f>
        <v>EU railways</v>
      </c>
      <c r="C233" s="80"/>
      <c r="D233" s="80"/>
      <c r="E233" s="96">
        <f>IF(E132=1,'Assumptions - Infrastructure'!$E$25,0)</f>
        <v>1</v>
      </c>
      <c r="F233" s="96">
        <f>IF(F132=1,'Assumptions - Infrastructure'!$E$25,0)</f>
        <v>1</v>
      </c>
      <c r="G233" s="96">
        <f>IF(G132=1,'Assumptions - Infrastructure'!$E$25,0)</f>
        <v>1</v>
      </c>
      <c r="H233" s="96">
        <f>IF(H132=1,'Assumptions - Infrastructure'!$E$25,0)</f>
        <v>1</v>
      </c>
      <c r="I233" s="96">
        <f>IF(I132=1,'Assumptions - Infrastructure'!$E$25,0)</f>
        <v>1</v>
      </c>
      <c r="J233" s="96">
        <f>IF(J132=1,'Assumptions - Infrastructure'!$E$25," ")</f>
        <v>1</v>
      </c>
      <c r="K233" s="96">
        <f>IF(K132=1,'Assumptions - Infrastructure'!$E$25," ")</f>
        <v>1</v>
      </c>
      <c r="L233" s="96">
        <f>IF(L132=1,'Assumptions - Infrastructure'!$E$25," ")</f>
        <v>1</v>
      </c>
      <c r="M233" s="96">
        <f>IF(M132=1,'Assumptions - Infrastructure'!$E$25," ")</f>
        <v>1</v>
      </c>
      <c r="N233" s="96">
        <f>IF(N132=1,'Assumptions - Infrastructure'!$E$25," ")</f>
        <v>1</v>
      </c>
      <c r="O233" s="96">
        <f>IF(O132=1,'Assumptions - Infrastructure'!$E$25," ")</f>
        <v>1</v>
      </c>
      <c r="P233" s="96">
        <f>IF(P132=1,'Assumptions - Infrastructure'!$E$25," ")</f>
        <v>1</v>
      </c>
      <c r="Q233" s="96">
        <f>IF(Q132=1,'Assumptions - Infrastructure'!$E$25," ")</f>
        <v>1</v>
      </c>
      <c r="R233" s="96">
        <f>IF(R132=1,'Assumptions - Infrastructure'!$E$25," ")</f>
        <v>1</v>
      </c>
      <c r="S233" s="96">
        <f>IF(S132=1,'Assumptions - Infrastructure'!$E$25," ")</f>
        <v>1</v>
      </c>
      <c r="T233" s="96">
        <f>IF(T132=1,'Assumptions - Infrastructure'!$E$25," ")</f>
        <v>1</v>
      </c>
      <c r="U233" s="96">
        <f>IF(U132=1,'Assumptions - Infrastructure'!$E$25," ")</f>
        <v>1</v>
      </c>
      <c r="V233" s="96">
        <f>IF(V132=1,'Assumptions - Infrastructure'!$E$25," ")</f>
        <v>1</v>
      </c>
      <c r="W233" s="96">
        <f>IF(W132=1,'Assumptions - Infrastructure'!$E$25," ")</f>
        <v>1</v>
      </c>
      <c r="X233" s="96">
        <f>IF(X132=1,'Assumptions - Infrastructure'!$E$25," ")</f>
        <v>1</v>
      </c>
      <c r="Y233" s="96">
        <f>IF(Y132=1,'Assumptions - Infrastructure'!$E$25," ")</f>
        <v>1</v>
      </c>
      <c r="Z233" s="96">
        <f>IF(Z132=1,'Assumptions - Infrastructure'!$E$25," ")</f>
        <v>1</v>
      </c>
      <c r="AA233" s="96">
        <f>IF(AA132=1,'Assumptions - Infrastructure'!$E$25," ")</f>
        <v>1</v>
      </c>
      <c r="AB233" s="96">
        <f>IF(AB132=1,'Assumptions - Infrastructure'!$E$25," ")</f>
        <v>1</v>
      </c>
      <c r="AC233" s="96">
        <f>IF(AC132=1,'Assumptions - Infrastructure'!$E$25," ")</f>
        <v>1</v>
      </c>
      <c r="AD233" s="96">
        <f>IF(AD132=1,'Assumptions - Infrastructure'!$E$25," ")</f>
        <v>1</v>
      </c>
      <c r="AE233" s="96">
        <f>IF(AE132=1,'Assumptions - Infrastructure'!$E$25," ")</f>
        <v>1</v>
      </c>
      <c r="AF233" s="96">
        <f>IF(AF132=1,'Assumptions - Infrastructure'!$E$25," ")</f>
        <v>1</v>
      </c>
      <c r="AG233" s="96">
        <f>IF(AG132=1,'Assumptions - Infrastructure'!$E$25," ")</f>
        <v>1</v>
      </c>
      <c r="AH233" s="96">
        <f>IF(AH132=1,'Assumptions - Infrastructure'!$E$25," ")</f>
        <v>1</v>
      </c>
    </row>
    <row r="234" spans="1:34" s="18" customFormat="1" x14ac:dyDescent="0.2">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row>
    <row r="351" spans="1:34" s="24" customFormat="1" x14ac:dyDescent="0.2">
      <c r="A351" s="277"/>
      <c r="B351" s="22"/>
      <c r="C351" s="22"/>
      <c r="D351" s="22"/>
      <c r="E351" s="22"/>
      <c r="F351" s="22"/>
      <c r="G351" s="22"/>
      <c r="P351" s="277"/>
      <c r="Q351" s="277"/>
    </row>
    <row r="352" spans="1:34" s="18" customFormat="1" x14ac:dyDescent="0.2">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XEU109"/>
  <sheetViews>
    <sheetView zoomScale="75" zoomScaleNormal="75" workbookViewId="0">
      <selection activeCell="T1" sqref="T1:XFD1048576"/>
    </sheetView>
  </sheetViews>
  <sheetFormatPr baseColWidth="10" defaultColWidth="0" defaultRowHeight="15" x14ac:dyDescent="0.2"/>
  <cols>
    <col min="1" max="4" width="9.1640625" style="22" customWidth="1"/>
    <col min="5" max="5" width="17.33203125" style="22" customWidth="1"/>
    <col min="6" max="6" width="11.6640625" style="22" bestFit="1" customWidth="1"/>
    <col min="7" max="7" width="10.83203125" style="22" bestFit="1" customWidth="1"/>
    <col min="8" max="8" width="5.5" style="22" customWidth="1"/>
    <col min="9" max="9" width="12" style="22" bestFit="1" customWidth="1"/>
    <col min="10" max="12" width="9.1640625" style="22" customWidth="1"/>
    <col min="13" max="13" width="11.33203125" style="22" bestFit="1" customWidth="1"/>
    <col min="14" max="14" width="11.1640625" style="22" bestFit="1" customWidth="1"/>
    <col min="15" max="15" width="10.5" style="22" bestFit="1" customWidth="1"/>
    <col min="16" max="16" width="9.1640625" style="22" customWidth="1"/>
    <col min="17" max="17" width="5.5" style="22" customWidth="1"/>
    <col min="18" max="18" width="3.83203125" style="22" customWidth="1"/>
    <col min="19" max="19" width="9.1640625" style="22" customWidth="1"/>
    <col min="20" max="16375" width="0" style="22" hidden="1"/>
    <col min="16376" max="16384" width="9.1640625" style="22" hidden="1"/>
  </cols>
  <sheetData>
    <row r="1" spans="2:16375" s="2" customFormat="1" x14ac:dyDescent="0.2">
      <c r="B1" s="4" t="str">
        <f>IF('Assumptions - General'!$E$10=1,"SUMMARY OF ASSUMPTIONS", "CONSOLIDATED SUMMARY OF ASSUMPTIONS")</f>
        <v>CONSOLIDATED SUMMARY OF ASSUMPTIONS</v>
      </c>
      <c r="F1" s="254" t="s">
        <v>12</v>
      </c>
      <c r="G1" s="252">
        <f>'Assumptions - General'!$E$28</f>
        <v>40179</v>
      </c>
      <c r="H1" s="253" t="s">
        <v>432</v>
      </c>
      <c r="I1" s="252">
        <f>'Assumptions - General'!$E$29</f>
        <v>51135</v>
      </c>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c r="QQ1" s="18"/>
      <c r="QR1" s="18"/>
      <c r="QS1" s="18"/>
      <c r="QT1" s="18"/>
      <c r="QU1" s="18"/>
      <c r="QV1" s="18"/>
      <c r="QW1" s="18"/>
      <c r="QX1" s="18"/>
      <c r="QY1" s="18"/>
      <c r="QZ1" s="18"/>
      <c r="RA1" s="18"/>
      <c r="RB1" s="18"/>
      <c r="RC1" s="18"/>
      <c r="RD1" s="18"/>
      <c r="RE1" s="18"/>
      <c r="RF1" s="18"/>
      <c r="RG1" s="18"/>
      <c r="RH1" s="18"/>
      <c r="RI1" s="18"/>
      <c r="RJ1" s="18"/>
      <c r="RK1" s="18"/>
      <c r="RL1" s="18"/>
      <c r="RM1" s="18"/>
      <c r="RN1" s="18"/>
      <c r="RO1" s="18"/>
      <c r="RP1" s="18"/>
      <c r="RQ1" s="18"/>
      <c r="RR1" s="18"/>
      <c r="RS1" s="18"/>
      <c r="RT1" s="18"/>
      <c r="RU1" s="18"/>
      <c r="RV1" s="18"/>
      <c r="RW1" s="18"/>
      <c r="RX1" s="18"/>
      <c r="RY1" s="18"/>
      <c r="RZ1" s="18"/>
      <c r="SA1" s="18"/>
      <c r="SB1" s="18"/>
      <c r="SC1" s="18"/>
      <c r="SD1" s="18"/>
      <c r="SE1" s="18"/>
      <c r="SF1" s="18"/>
      <c r="SG1" s="18"/>
      <c r="SH1" s="18"/>
      <c r="SI1" s="18"/>
      <c r="SJ1" s="18"/>
      <c r="SK1" s="18"/>
      <c r="SL1" s="18"/>
      <c r="SM1" s="18"/>
      <c r="SN1" s="18"/>
      <c r="SO1" s="18"/>
      <c r="SP1" s="18"/>
      <c r="SQ1" s="18"/>
      <c r="SR1" s="18"/>
      <c r="SS1" s="18"/>
      <c r="ST1" s="18"/>
      <c r="SU1" s="18"/>
      <c r="SV1" s="18"/>
      <c r="SW1" s="18"/>
      <c r="SX1" s="18"/>
      <c r="SY1" s="18"/>
      <c r="SZ1" s="18"/>
      <c r="TA1" s="18"/>
      <c r="TB1" s="18"/>
      <c r="TC1" s="18"/>
      <c r="TD1" s="18"/>
      <c r="TE1" s="18"/>
      <c r="TF1" s="18"/>
      <c r="TG1" s="18"/>
      <c r="TH1" s="18"/>
      <c r="TI1" s="18"/>
      <c r="TJ1" s="18"/>
      <c r="TK1" s="18"/>
      <c r="TL1" s="18"/>
      <c r="TM1" s="18"/>
      <c r="TN1" s="18"/>
      <c r="TO1" s="18"/>
      <c r="TP1" s="18"/>
      <c r="TQ1" s="18"/>
      <c r="TR1" s="18"/>
      <c r="TS1" s="18"/>
      <c r="TT1" s="18"/>
      <c r="TU1" s="18"/>
      <c r="TV1" s="18"/>
      <c r="TW1" s="18"/>
      <c r="TX1" s="18"/>
      <c r="TY1" s="18"/>
      <c r="TZ1" s="18"/>
      <c r="UA1" s="18"/>
      <c r="UB1" s="18"/>
      <c r="UC1" s="18"/>
      <c r="UD1" s="18"/>
      <c r="UE1" s="18"/>
      <c r="UF1" s="18"/>
      <c r="UG1" s="18"/>
      <c r="UH1" s="18"/>
      <c r="UI1" s="18"/>
      <c r="UJ1" s="18"/>
      <c r="UK1" s="18"/>
      <c r="UL1" s="18"/>
      <c r="UM1" s="18"/>
      <c r="UN1" s="18"/>
      <c r="UO1" s="18"/>
      <c r="UP1" s="18"/>
      <c r="UQ1" s="18"/>
      <c r="UR1" s="18"/>
      <c r="US1" s="18"/>
      <c r="UT1" s="18"/>
      <c r="UU1" s="18"/>
      <c r="UV1" s="18"/>
      <c r="UW1" s="18"/>
      <c r="UX1" s="18"/>
      <c r="UY1" s="18"/>
      <c r="UZ1" s="18"/>
      <c r="VA1" s="18"/>
      <c r="VB1" s="18"/>
      <c r="VC1" s="18"/>
      <c r="VD1" s="18"/>
      <c r="VE1" s="18"/>
      <c r="VF1" s="18"/>
      <c r="VG1" s="18"/>
      <c r="VH1" s="18"/>
      <c r="VI1" s="18"/>
      <c r="VJ1" s="18"/>
      <c r="VK1" s="18"/>
      <c r="VL1" s="18"/>
      <c r="VM1" s="18"/>
      <c r="VN1" s="18"/>
      <c r="VO1" s="18"/>
      <c r="VP1" s="18"/>
      <c r="VQ1" s="18"/>
      <c r="VR1" s="18"/>
      <c r="VS1" s="18"/>
      <c r="VT1" s="18"/>
      <c r="VU1" s="18"/>
      <c r="VV1" s="18"/>
      <c r="VW1" s="18"/>
      <c r="VX1" s="18"/>
      <c r="VY1" s="18"/>
      <c r="VZ1" s="18"/>
      <c r="WA1" s="18"/>
      <c r="WB1" s="18"/>
      <c r="WC1" s="18"/>
      <c r="WD1" s="18"/>
      <c r="WE1" s="18"/>
      <c r="WF1" s="18"/>
      <c r="WG1" s="18"/>
      <c r="WH1" s="18"/>
      <c r="WI1" s="18"/>
      <c r="WJ1" s="18"/>
      <c r="WK1" s="18"/>
      <c r="WL1" s="18"/>
      <c r="WM1" s="18"/>
      <c r="WN1" s="18"/>
      <c r="WO1" s="18"/>
      <c r="WP1" s="18"/>
      <c r="WQ1" s="18"/>
      <c r="WR1" s="18"/>
      <c r="WS1" s="18"/>
      <c r="WT1" s="18"/>
      <c r="WU1" s="18"/>
      <c r="WV1" s="18"/>
      <c r="WW1" s="18"/>
      <c r="WX1" s="18"/>
      <c r="WY1" s="18"/>
      <c r="WZ1" s="18"/>
      <c r="XA1" s="18"/>
      <c r="XB1" s="18"/>
      <c r="XC1" s="18"/>
      <c r="XD1" s="18"/>
      <c r="XE1" s="18"/>
      <c r="XF1" s="18"/>
      <c r="XG1" s="18"/>
      <c r="XH1" s="18"/>
      <c r="XI1" s="18"/>
      <c r="XJ1" s="18"/>
      <c r="XK1" s="18"/>
      <c r="XL1" s="18"/>
      <c r="XM1" s="18"/>
      <c r="XN1" s="18"/>
      <c r="XO1" s="18"/>
      <c r="XP1" s="18"/>
      <c r="XQ1" s="18"/>
      <c r="XR1" s="18"/>
      <c r="XS1" s="18"/>
      <c r="XT1" s="18"/>
      <c r="XU1" s="18"/>
      <c r="XV1" s="18"/>
      <c r="XW1" s="18"/>
      <c r="XX1" s="18"/>
      <c r="XY1" s="18"/>
      <c r="XZ1" s="18"/>
      <c r="YA1" s="18"/>
      <c r="YB1" s="18"/>
      <c r="YC1" s="18"/>
      <c r="YD1" s="18"/>
      <c r="YE1" s="18"/>
      <c r="YF1" s="18"/>
      <c r="YG1" s="18"/>
      <c r="YH1" s="18"/>
      <c r="YI1" s="18"/>
      <c r="YJ1" s="18"/>
      <c r="YK1" s="18"/>
      <c r="YL1" s="18"/>
      <c r="YM1" s="18"/>
      <c r="YN1" s="18"/>
      <c r="YO1" s="18"/>
      <c r="YP1" s="18"/>
      <c r="YQ1" s="18"/>
      <c r="YR1" s="18"/>
      <c r="YS1" s="18"/>
      <c r="YT1" s="18"/>
      <c r="YU1" s="18"/>
      <c r="YV1" s="18"/>
      <c r="YW1" s="18"/>
      <c r="YX1" s="18"/>
      <c r="YY1" s="18"/>
      <c r="YZ1" s="18"/>
      <c r="ZA1" s="18"/>
      <c r="ZB1" s="18"/>
      <c r="ZC1" s="18"/>
      <c r="ZD1" s="18"/>
      <c r="ZE1" s="18"/>
      <c r="ZF1" s="18"/>
      <c r="ZG1" s="18"/>
      <c r="ZH1" s="18"/>
      <c r="ZI1" s="18"/>
      <c r="ZJ1" s="18"/>
      <c r="ZK1" s="18"/>
      <c r="ZL1" s="18"/>
      <c r="ZM1" s="18"/>
      <c r="ZN1" s="18"/>
      <c r="ZO1" s="18"/>
      <c r="ZP1" s="18"/>
      <c r="ZQ1" s="18"/>
      <c r="ZR1" s="18"/>
      <c r="ZS1" s="18"/>
      <c r="ZT1" s="18"/>
      <c r="ZU1" s="18"/>
      <c r="ZV1" s="18"/>
      <c r="ZW1" s="18"/>
      <c r="ZX1" s="18"/>
      <c r="ZY1" s="18"/>
      <c r="ZZ1" s="18"/>
      <c r="AAA1" s="18"/>
      <c r="AAB1" s="18"/>
      <c r="AAC1" s="18"/>
      <c r="AAD1" s="18"/>
      <c r="AAE1" s="18"/>
      <c r="AAF1" s="18"/>
      <c r="AAG1" s="18"/>
      <c r="AAH1" s="18"/>
      <c r="AAI1" s="18"/>
      <c r="AAJ1" s="18"/>
      <c r="AAK1" s="18"/>
      <c r="AAL1" s="18"/>
      <c r="AAM1" s="18"/>
      <c r="AAN1" s="18"/>
      <c r="AAO1" s="18"/>
      <c r="AAP1" s="18"/>
      <c r="AAQ1" s="18"/>
      <c r="AAR1" s="18"/>
      <c r="AAS1" s="18"/>
      <c r="AAT1" s="18"/>
      <c r="AAU1" s="18"/>
      <c r="AAV1" s="18"/>
      <c r="AAW1" s="18"/>
      <c r="AAX1" s="18"/>
      <c r="AAY1" s="18"/>
      <c r="AAZ1" s="18"/>
      <c r="ABA1" s="18"/>
      <c r="ABB1" s="18"/>
      <c r="ABC1" s="18"/>
      <c r="ABD1" s="18"/>
      <c r="ABE1" s="18"/>
      <c r="ABF1" s="18"/>
      <c r="ABG1" s="18"/>
      <c r="ABH1" s="18"/>
      <c r="ABI1" s="18"/>
      <c r="ABJ1" s="18"/>
      <c r="ABK1" s="18"/>
      <c r="ABL1" s="18"/>
      <c r="ABM1" s="18"/>
      <c r="ABN1" s="18"/>
      <c r="ABO1" s="18"/>
      <c r="ABP1" s="18"/>
      <c r="ABQ1" s="18"/>
      <c r="ABR1" s="18"/>
      <c r="ABS1" s="18"/>
      <c r="ABT1" s="18"/>
      <c r="ABU1" s="18"/>
      <c r="ABV1" s="18"/>
      <c r="ABW1" s="18"/>
      <c r="ABX1" s="18"/>
      <c r="ABY1" s="18"/>
      <c r="ABZ1" s="18"/>
      <c r="ACA1" s="18"/>
      <c r="ACB1" s="18"/>
      <c r="ACC1" s="18"/>
      <c r="ACD1" s="18"/>
      <c r="ACE1" s="18"/>
      <c r="ACF1" s="18"/>
      <c r="ACG1" s="18"/>
      <c r="ACH1" s="18"/>
      <c r="ACI1" s="18"/>
      <c r="ACJ1" s="18"/>
      <c r="ACK1" s="18"/>
      <c r="ACL1" s="18"/>
      <c r="ACM1" s="18"/>
      <c r="ACN1" s="18"/>
      <c r="ACO1" s="18"/>
      <c r="ACP1" s="18"/>
      <c r="ACQ1" s="18"/>
      <c r="ACR1" s="18"/>
      <c r="ACS1" s="18"/>
      <c r="ACT1" s="18"/>
      <c r="ACU1" s="18"/>
      <c r="ACV1" s="18"/>
      <c r="ACW1" s="18"/>
      <c r="ACX1" s="18"/>
      <c r="ACY1" s="18"/>
      <c r="ACZ1" s="18"/>
      <c r="ADA1" s="18"/>
      <c r="ADB1" s="18"/>
      <c r="ADC1" s="18"/>
      <c r="ADD1" s="18"/>
      <c r="ADE1" s="18"/>
      <c r="ADF1" s="18"/>
      <c r="ADG1" s="18"/>
      <c r="ADH1" s="18"/>
      <c r="ADI1" s="18"/>
      <c r="ADJ1" s="18"/>
      <c r="ADK1" s="18"/>
      <c r="ADL1" s="18"/>
      <c r="ADM1" s="18"/>
      <c r="ADN1" s="18"/>
      <c r="ADO1" s="18"/>
      <c r="ADP1" s="18"/>
      <c r="ADQ1" s="18"/>
      <c r="ADR1" s="18"/>
      <c r="ADS1" s="18"/>
      <c r="ADT1" s="18"/>
      <c r="ADU1" s="18"/>
      <c r="ADV1" s="18"/>
      <c r="ADW1" s="18"/>
      <c r="ADX1" s="18"/>
      <c r="ADY1" s="18"/>
      <c r="ADZ1" s="18"/>
      <c r="AEA1" s="18"/>
      <c r="AEB1" s="18"/>
      <c r="AEC1" s="18"/>
      <c r="AED1" s="18"/>
      <c r="AEE1" s="18"/>
      <c r="AEF1" s="18"/>
      <c r="AEG1" s="18"/>
      <c r="AEH1" s="18"/>
      <c r="AEI1" s="18"/>
      <c r="AEJ1" s="18"/>
      <c r="AEK1" s="18"/>
      <c r="AEL1" s="18"/>
      <c r="AEM1" s="18"/>
      <c r="AEN1" s="18"/>
      <c r="AEO1" s="18"/>
      <c r="AEP1" s="18"/>
      <c r="AEQ1" s="18"/>
      <c r="AER1" s="18"/>
      <c r="AES1" s="18"/>
      <c r="AET1" s="18"/>
      <c r="AEU1" s="18"/>
      <c r="AEV1" s="18"/>
      <c r="AEW1" s="18"/>
      <c r="AEX1" s="18"/>
      <c r="AEY1" s="18"/>
      <c r="AEZ1" s="18"/>
      <c r="AFA1" s="18"/>
      <c r="AFB1" s="18"/>
      <c r="AFC1" s="18"/>
      <c r="AFD1" s="18"/>
      <c r="AFE1" s="18"/>
      <c r="AFF1" s="18"/>
      <c r="AFG1" s="18"/>
      <c r="AFH1" s="18"/>
      <c r="AFI1" s="18"/>
      <c r="AFJ1" s="18"/>
      <c r="AFK1" s="18"/>
      <c r="AFL1" s="18"/>
      <c r="AFM1" s="18"/>
      <c r="AFN1" s="18"/>
      <c r="AFO1" s="18"/>
      <c r="AFP1" s="18"/>
      <c r="AFQ1" s="18"/>
      <c r="AFR1" s="18"/>
      <c r="AFS1" s="18"/>
      <c r="AFT1" s="18"/>
      <c r="AFU1" s="18"/>
      <c r="AFV1" s="18"/>
      <c r="AFW1" s="18"/>
      <c r="AFX1" s="18"/>
      <c r="AFY1" s="18"/>
      <c r="AFZ1" s="18"/>
      <c r="AGA1" s="18"/>
      <c r="AGB1" s="18"/>
      <c r="AGC1" s="18"/>
      <c r="AGD1" s="18"/>
      <c r="AGE1" s="18"/>
      <c r="AGF1" s="18"/>
      <c r="AGG1" s="18"/>
      <c r="AGH1" s="18"/>
      <c r="AGI1" s="18"/>
      <c r="AGJ1" s="18"/>
      <c r="AGK1" s="18"/>
      <c r="AGL1" s="18"/>
      <c r="AGM1" s="18"/>
      <c r="AGN1" s="18"/>
      <c r="AGO1" s="18"/>
      <c r="AGP1" s="18"/>
      <c r="AGQ1" s="18"/>
      <c r="AGR1" s="18"/>
      <c r="AGS1" s="18"/>
      <c r="AGT1" s="18"/>
      <c r="AGU1" s="18"/>
      <c r="AGV1" s="18"/>
      <c r="AGW1" s="18"/>
      <c r="AGX1" s="18"/>
      <c r="AGY1" s="18"/>
      <c r="AGZ1" s="18"/>
      <c r="AHA1" s="18"/>
      <c r="AHB1" s="18"/>
      <c r="AHC1" s="18"/>
      <c r="AHD1" s="18"/>
      <c r="AHE1" s="18"/>
      <c r="AHF1" s="18"/>
      <c r="AHG1" s="18"/>
      <c r="AHH1" s="18"/>
      <c r="AHI1" s="18"/>
      <c r="AHJ1" s="18"/>
      <c r="AHK1" s="18"/>
      <c r="AHL1" s="18"/>
      <c r="AHM1" s="18"/>
      <c r="AHN1" s="18"/>
      <c r="AHO1" s="18"/>
      <c r="AHP1" s="18"/>
      <c r="AHQ1" s="18"/>
      <c r="AHR1" s="18"/>
      <c r="AHS1" s="18"/>
      <c r="AHT1" s="18"/>
      <c r="AHU1" s="18"/>
      <c r="AHV1" s="18"/>
      <c r="AHW1" s="18"/>
      <c r="AHX1" s="18"/>
      <c r="AHY1" s="18"/>
      <c r="AHZ1" s="18"/>
      <c r="AIA1" s="18"/>
      <c r="AIB1" s="18"/>
      <c r="AIC1" s="18"/>
      <c r="AID1" s="18"/>
      <c r="AIE1" s="18"/>
      <c r="AIF1" s="18"/>
      <c r="AIG1" s="18"/>
      <c r="AIH1" s="18"/>
      <c r="AII1" s="18"/>
      <c r="AIJ1" s="18"/>
      <c r="AIK1" s="18"/>
      <c r="AIL1" s="18"/>
      <c r="AIM1" s="18"/>
      <c r="AIN1" s="18"/>
      <c r="AIO1" s="18"/>
      <c r="AIP1" s="18"/>
      <c r="AIQ1" s="18"/>
      <c r="AIR1" s="18"/>
      <c r="AIS1" s="18"/>
      <c r="AIT1" s="18"/>
      <c r="AIU1" s="18"/>
      <c r="AIV1" s="18"/>
      <c r="AIW1" s="18"/>
      <c r="AIX1" s="18"/>
      <c r="AIY1" s="18"/>
      <c r="AIZ1" s="18"/>
      <c r="AJA1" s="18"/>
      <c r="AJB1" s="18"/>
      <c r="AJC1" s="18"/>
      <c r="AJD1" s="18"/>
      <c r="AJE1" s="18"/>
      <c r="AJF1" s="18"/>
      <c r="AJG1" s="18"/>
      <c r="AJH1" s="18"/>
      <c r="AJI1" s="18"/>
      <c r="AJJ1" s="18"/>
      <c r="AJK1" s="18"/>
      <c r="AJL1" s="18"/>
      <c r="AJM1" s="18"/>
      <c r="AJN1" s="18"/>
      <c r="AJO1" s="18"/>
      <c r="AJP1" s="18"/>
      <c r="AJQ1" s="18"/>
      <c r="AJR1" s="18"/>
      <c r="AJS1" s="18"/>
      <c r="AJT1" s="18"/>
      <c r="AJU1" s="18"/>
      <c r="AJV1" s="18"/>
      <c r="AJW1" s="18"/>
      <c r="AJX1" s="18"/>
      <c r="AJY1" s="18"/>
      <c r="AJZ1" s="18"/>
      <c r="AKA1" s="18"/>
      <c r="AKB1" s="18"/>
      <c r="AKC1" s="18"/>
      <c r="AKD1" s="18"/>
      <c r="AKE1" s="18"/>
      <c r="AKF1" s="18"/>
      <c r="AKG1" s="18"/>
      <c r="AKH1" s="18"/>
      <c r="AKI1" s="18"/>
      <c r="AKJ1" s="18"/>
      <c r="AKK1" s="18"/>
      <c r="AKL1" s="18"/>
      <c r="AKM1" s="18"/>
      <c r="AKN1" s="18"/>
      <c r="AKO1" s="18"/>
      <c r="AKP1" s="18"/>
      <c r="AKQ1" s="18"/>
      <c r="AKR1" s="18"/>
      <c r="AKS1" s="18"/>
      <c r="AKT1" s="18"/>
      <c r="AKU1" s="18"/>
      <c r="AKV1" s="18"/>
      <c r="AKW1" s="18"/>
      <c r="AKX1" s="18"/>
      <c r="AKY1" s="18"/>
      <c r="AKZ1" s="18"/>
      <c r="ALA1" s="18"/>
      <c r="ALB1" s="18"/>
      <c r="ALC1" s="18"/>
      <c r="ALD1" s="18"/>
      <c r="ALE1" s="18"/>
      <c r="ALF1" s="18"/>
      <c r="ALG1" s="18"/>
      <c r="ALH1" s="18"/>
      <c r="ALI1" s="18"/>
      <c r="ALJ1" s="18"/>
      <c r="ALK1" s="18"/>
      <c r="ALL1" s="18"/>
      <c r="ALM1" s="18"/>
      <c r="ALN1" s="18"/>
      <c r="ALO1" s="18"/>
      <c r="ALP1" s="18"/>
      <c r="ALQ1" s="18"/>
      <c r="ALR1" s="18"/>
      <c r="ALS1" s="18"/>
      <c r="ALT1" s="18"/>
      <c r="ALU1" s="18"/>
      <c r="ALV1" s="18"/>
      <c r="ALW1" s="18"/>
      <c r="ALX1" s="18"/>
      <c r="ALY1" s="18"/>
      <c r="ALZ1" s="18"/>
      <c r="AMA1" s="18"/>
      <c r="AMB1" s="18"/>
      <c r="AMC1" s="18"/>
      <c r="AMD1" s="18"/>
      <c r="AME1" s="18"/>
      <c r="AMF1" s="18"/>
      <c r="AMG1" s="18"/>
      <c r="AMH1" s="18"/>
      <c r="AMI1" s="18"/>
      <c r="AMJ1" s="18"/>
      <c r="AMK1" s="18"/>
      <c r="AML1" s="18"/>
      <c r="AMM1" s="18"/>
      <c r="AMN1" s="18"/>
      <c r="AMO1" s="18"/>
      <c r="AMP1" s="18"/>
      <c r="AMQ1" s="18"/>
      <c r="AMR1" s="18"/>
      <c r="AMS1" s="18"/>
      <c r="AMT1" s="18"/>
      <c r="AMU1" s="18"/>
      <c r="AMV1" s="18"/>
      <c r="AMW1" s="18"/>
      <c r="AMX1" s="18"/>
      <c r="AMY1" s="18"/>
      <c r="AMZ1" s="18"/>
      <c r="ANA1" s="18"/>
      <c r="ANB1" s="18"/>
      <c r="ANC1" s="18"/>
      <c r="AND1" s="18"/>
      <c r="ANE1" s="18"/>
      <c r="ANF1" s="18"/>
      <c r="ANG1" s="18"/>
      <c r="ANH1" s="18"/>
      <c r="ANI1" s="18"/>
      <c r="ANJ1" s="18"/>
      <c r="ANK1" s="18"/>
      <c r="ANL1" s="18"/>
      <c r="ANM1" s="18"/>
      <c r="ANN1" s="18"/>
      <c r="ANO1" s="18"/>
      <c r="ANP1" s="18"/>
      <c r="ANQ1" s="18"/>
      <c r="ANR1" s="18"/>
      <c r="ANS1" s="18"/>
      <c r="ANT1" s="18"/>
      <c r="ANU1" s="18"/>
      <c r="ANV1" s="18"/>
      <c r="ANW1" s="18"/>
      <c r="ANX1" s="18"/>
      <c r="ANY1" s="18"/>
      <c r="ANZ1" s="18"/>
      <c r="AOA1" s="18"/>
      <c r="AOB1" s="18"/>
      <c r="AOC1" s="18"/>
      <c r="AOD1" s="18"/>
      <c r="AOE1" s="18"/>
      <c r="AOF1" s="18"/>
      <c r="AOG1" s="18"/>
      <c r="AOH1" s="18"/>
      <c r="AOI1" s="18"/>
      <c r="AOJ1" s="18"/>
      <c r="AOK1" s="18"/>
      <c r="AOL1" s="18"/>
      <c r="AOM1" s="18"/>
      <c r="AON1" s="18"/>
      <c r="AOO1" s="18"/>
      <c r="AOP1" s="18"/>
      <c r="AOQ1" s="18"/>
      <c r="AOR1" s="18"/>
      <c r="AOS1" s="18"/>
      <c r="AOT1" s="18"/>
      <c r="AOU1" s="18"/>
      <c r="AOV1" s="18"/>
      <c r="AOW1" s="18"/>
      <c r="AOX1" s="18"/>
      <c r="AOY1" s="18"/>
      <c r="AOZ1" s="18"/>
      <c r="APA1" s="18"/>
      <c r="APB1" s="18"/>
      <c r="APC1" s="18"/>
      <c r="APD1" s="18"/>
      <c r="APE1" s="18"/>
      <c r="APF1" s="18"/>
      <c r="APG1" s="18"/>
      <c r="APH1" s="18"/>
      <c r="API1" s="18"/>
      <c r="APJ1" s="18"/>
      <c r="APK1" s="18"/>
      <c r="APL1" s="18"/>
      <c r="APM1" s="18"/>
      <c r="APN1" s="18"/>
      <c r="APO1" s="18"/>
      <c r="APP1" s="18"/>
      <c r="APQ1" s="18"/>
      <c r="APR1" s="18"/>
      <c r="APS1" s="18"/>
      <c r="APT1" s="18"/>
      <c r="APU1" s="18"/>
      <c r="APV1" s="18"/>
      <c r="APW1" s="18"/>
      <c r="APX1" s="18"/>
      <c r="APY1" s="18"/>
      <c r="APZ1" s="18"/>
      <c r="AQA1" s="18"/>
      <c r="AQB1" s="18"/>
      <c r="AQC1" s="18"/>
      <c r="AQD1" s="18"/>
      <c r="AQE1" s="18"/>
      <c r="AQF1" s="18"/>
      <c r="AQG1" s="18"/>
      <c r="AQH1" s="18"/>
      <c r="AQI1" s="18"/>
      <c r="AQJ1" s="18"/>
      <c r="AQK1" s="18"/>
      <c r="AQL1" s="18"/>
      <c r="AQM1" s="18"/>
      <c r="AQN1" s="18"/>
      <c r="AQO1" s="18"/>
      <c r="AQP1" s="18"/>
      <c r="AQQ1" s="18"/>
      <c r="AQR1" s="18"/>
      <c r="AQS1" s="18"/>
      <c r="AQT1" s="18"/>
      <c r="AQU1" s="18"/>
      <c r="AQV1" s="18"/>
      <c r="AQW1" s="18"/>
      <c r="AQX1" s="18"/>
      <c r="AQY1" s="18"/>
      <c r="AQZ1" s="18"/>
      <c r="ARA1" s="18"/>
      <c r="ARB1" s="18"/>
      <c r="ARC1" s="18"/>
      <c r="ARD1" s="18"/>
      <c r="ARE1" s="18"/>
      <c r="ARF1" s="18"/>
      <c r="ARG1" s="18"/>
      <c r="ARH1" s="18"/>
      <c r="ARI1" s="18"/>
      <c r="ARJ1" s="18"/>
      <c r="ARK1" s="18"/>
      <c r="ARL1" s="18"/>
      <c r="ARM1" s="18"/>
      <c r="ARN1" s="18"/>
      <c r="ARO1" s="18"/>
      <c r="ARP1" s="18"/>
      <c r="ARQ1" s="18"/>
      <c r="ARR1" s="18"/>
      <c r="ARS1" s="18"/>
      <c r="ART1" s="18"/>
      <c r="ARU1" s="18"/>
      <c r="ARV1" s="18"/>
      <c r="ARW1" s="18"/>
      <c r="ARX1" s="18"/>
      <c r="ARY1" s="18"/>
      <c r="ARZ1" s="18"/>
      <c r="ASA1" s="18"/>
      <c r="ASB1" s="18"/>
      <c r="ASC1" s="18"/>
      <c r="ASD1" s="18"/>
      <c r="ASE1" s="18"/>
      <c r="ASF1" s="18"/>
      <c r="ASG1" s="18"/>
      <c r="ASH1" s="18"/>
      <c r="ASI1" s="18"/>
      <c r="ASJ1" s="18"/>
      <c r="ASK1" s="18"/>
      <c r="ASL1" s="18"/>
      <c r="ASM1" s="18"/>
      <c r="ASN1" s="18"/>
      <c r="ASO1" s="18"/>
      <c r="ASP1" s="18"/>
      <c r="ASQ1" s="18"/>
      <c r="ASR1" s="18"/>
      <c r="ASS1" s="18"/>
      <c r="AST1" s="18"/>
      <c r="ASU1" s="18"/>
      <c r="ASV1" s="18"/>
      <c r="ASW1" s="18"/>
      <c r="ASX1" s="18"/>
      <c r="ASY1" s="18"/>
      <c r="ASZ1" s="18"/>
      <c r="ATA1" s="18"/>
      <c r="ATB1" s="18"/>
      <c r="ATC1" s="18"/>
      <c r="ATD1" s="18"/>
      <c r="ATE1" s="18"/>
      <c r="ATF1" s="18"/>
      <c r="ATG1" s="18"/>
      <c r="ATH1" s="18"/>
      <c r="ATI1" s="18"/>
      <c r="ATJ1" s="18"/>
      <c r="ATK1" s="18"/>
      <c r="ATL1" s="18"/>
      <c r="ATM1" s="18"/>
      <c r="ATN1" s="18"/>
      <c r="ATO1" s="18"/>
      <c r="ATP1" s="18"/>
      <c r="ATQ1" s="18"/>
      <c r="ATR1" s="18"/>
      <c r="ATS1" s="18"/>
      <c r="ATT1" s="18"/>
      <c r="ATU1" s="18"/>
      <c r="ATV1" s="18"/>
      <c r="ATW1" s="18"/>
      <c r="ATX1" s="18"/>
      <c r="ATY1" s="18"/>
      <c r="ATZ1" s="18"/>
      <c r="AUA1" s="18"/>
      <c r="AUB1" s="18"/>
      <c r="AUC1" s="18"/>
      <c r="AUD1" s="18"/>
      <c r="AUE1" s="18"/>
      <c r="AUF1" s="18"/>
      <c r="AUG1" s="18"/>
      <c r="AUH1" s="18"/>
      <c r="AUI1" s="18"/>
      <c r="AUJ1" s="18"/>
      <c r="AUK1" s="18"/>
      <c r="AUL1" s="18"/>
      <c r="AUM1" s="18"/>
      <c r="AUN1" s="18"/>
      <c r="AUO1" s="18"/>
      <c r="AUP1" s="18"/>
      <c r="AUQ1" s="18"/>
      <c r="AUR1" s="18"/>
      <c r="AUS1" s="18"/>
      <c r="AUT1" s="18"/>
      <c r="AUU1" s="18"/>
      <c r="AUV1" s="18"/>
      <c r="AUW1" s="18"/>
      <c r="AUX1" s="18"/>
      <c r="AUY1" s="18"/>
      <c r="AUZ1" s="18"/>
      <c r="AVA1" s="18"/>
      <c r="AVB1" s="18"/>
      <c r="AVC1" s="18"/>
      <c r="AVD1" s="18"/>
      <c r="AVE1" s="18"/>
      <c r="AVF1" s="18"/>
      <c r="AVG1" s="18"/>
      <c r="AVH1" s="18"/>
      <c r="AVI1" s="18"/>
      <c r="AVJ1" s="18"/>
      <c r="AVK1" s="18"/>
      <c r="AVL1" s="18"/>
      <c r="AVM1" s="18"/>
      <c r="AVN1" s="18"/>
      <c r="AVO1" s="18"/>
      <c r="AVP1" s="18"/>
      <c r="AVQ1" s="18"/>
      <c r="AVR1" s="18"/>
      <c r="AVS1" s="18"/>
      <c r="AVT1" s="18"/>
      <c r="AVU1" s="18"/>
      <c r="AVV1" s="18"/>
      <c r="AVW1" s="18"/>
      <c r="AVX1" s="18"/>
      <c r="AVY1" s="18"/>
      <c r="AVZ1" s="18"/>
      <c r="AWA1" s="18"/>
      <c r="AWB1" s="18"/>
      <c r="AWC1" s="18"/>
      <c r="AWD1" s="18"/>
      <c r="AWE1" s="18"/>
      <c r="AWF1" s="18"/>
      <c r="AWG1" s="18"/>
      <c r="AWH1" s="18"/>
      <c r="AWI1" s="18"/>
      <c r="AWJ1" s="18"/>
      <c r="AWK1" s="18"/>
      <c r="AWL1" s="18"/>
      <c r="AWM1" s="18"/>
      <c r="AWN1" s="18"/>
      <c r="AWO1" s="18"/>
      <c r="AWP1" s="18"/>
      <c r="AWQ1" s="18"/>
      <c r="AWR1" s="18"/>
      <c r="AWS1" s="18"/>
      <c r="AWT1" s="18"/>
      <c r="AWU1" s="18"/>
      <c r="AWV1" s="18"/>
      <c r="AWW1" s="18"/>
      <c r="AWX1" s="18"/>
      <c r="AWY1" s="18"/>
      <c r="AWZ1" s="18"/>
      <c r="AXA1" s="18"/>
      <c r="AXB1" s="18"/>
      <c r="AXC1" s="18"/>
      <c r="AXD1" s="18"/>
      <c r="AXE1" s="18"/>
      <c r="AXF1" s="18"/>
      <c r="AXG1" s="18"/>
      <c r="AXH1" s="18"/>
      <c r="AXI1" s="18"/>
      <c r="AXJ1" s="18"/>
      <c r="AXK1" s="18"/>
      <c r="AXL1" s="18"/>
      <c r="AXM1" s="18"/>
      <c r="AXN1" s="18"/>
      <c r="AXO1" s="18"/>
      <c r="AXP1" s="18"/>
      <c r="AXQ1" s="18"/>
      <c r="AXR1" s="18"/>
      <c r="AXS1" s="18"/>
      <c r="AXT1" s="18"/>
      <c r="AXU1" s="18"/>
      <c r="AXV1" s="18"/>
      <c r="AXW1" s="18"/>
      <c r="AXX1" s="18"/>
      <c r="AXY1" s="18"/>
      <c r="AXZ1" s="18"/>
      <c r="AYA1" s="18"/>
      <c r="AYB1" s="18"/>
      <c r="AYC1" s="18"/>
      <c r="AYD1" s="18"/>
      <c r="AYE1" s="18"/>
      <c r="AYF1" s="18"/>
      <c r="AYG1" s="18"/>
      <c r="AYH1" s="18"/>
      <c r="AYI1" s="18"/>
      <c r="AYJ1" s="18"/>
      <c r="AYK1" s="18"/>
      <c r="AYL1" s="18"/>
      <c r="AYM1" s="18"/>
      <c r="AYN1" s="18"/>
      <c r="AYO1" s="18"/>
      <c r="AYP1" s="18"/>
      <c r="AYQ1" s="18"/>
      <c r="AYR1" s="18"/>
      <c r="AYS1" s="18"/>
      <c r="AYT1" s="18"/>
      <c r="AYU1" s="18"/>
      <c r="AYV1" s="18"/>
      <c r="AYW1" s="18"/>
      <c r="AYX1" s="18"/>
      <c r="AYY1" s="18"/>
      <c r="AYZ1" s="18"/>
      <c r="AZA1" s="18"/>
      <c r="AZB1" s="18"/>
      <c r="AZC1" s="18"/>
      <c r="AZD1" s="18"/>
      <c r="AZE1" s="18"/>
      <c r="AZF1" s="18"/>
      <c r="AZG1" s="18"/>
      <c r="AZH1" s="18"/>
      <c r="AZI1" s="18"/>
      <c r="AZJ1" s="18"/>
      <c r="AZK1" s="18"/>
      <c r="AZL1" s="18"/>
      <c r="AZM1" s="18"/>
      <c r="AZN1" s="18"/>
      <c r="AZO1" s="18"/>
      <c r="AZP1" s="18"/>
      <c r="AZQ1" s="18"/>
      <c r="AZR1" s="18"/>
      <c r="AZS1" s="18"/>
      <c r="AZT1" s="18"/>
      <c r="AZU1" s="18"/>
      <c r="AZV1" s="18"/>
      <c r="AZW1" s="18"/>
      <c r="AZX1" s="18"/>
      <c r="AZY1" s="18"/>
      <c r="AZZ1" s="18"/>
      <c r="BAA1" s="18"/>
      <c r="BAB1" s="18"/>
      <c r="BAC1" s="18"/>
      <c r="BAD1" s="18"/>
      <c r="BAE1" s="18"/>
      <c r="BAF1" s="18"/>
      <c r="BAG1" s="18"/>
      <c r="BAH1" s="18"/>
      <c r="BAI1" s="18"/>
      <c r="BAJ1" s="18"/>
      <c r="BAK1" s="18"/>
      <c r="BAL1" s="18"/>
      <c r="BAM1" s="18"/>
      <c r="BAN1" s="18"/>
      <c r="BAO1" s="18"/>
      <c r="BAP1" s="18"/>
      <c r="BAQ1" s="18"/>
      <c r="BAR1" s="18"/>
      <c r="BAS1" s="18"/>
      <c r="BAT1" s="18"/>
      <c r="BAU1" s="18"/>
      <c r="BAV1" s="18"/>
      <c r="BAW1" s="18"/>
      <c r="BAX1" s="18"/>
      <c r="BAY1" s="18"/>
      <c r="BAZ1" s="18"/>
      <c r="BBA1" s="18"/>
      <c r="BBB1" s="18"/>
      <c r="BBC1" s="18"/>
      <c r="BBD1" s="18"/>
      <c r="BBE1" s="18"/>
      <c r="BBF1" s="18"/>
      <c r="BBG1" s="18"/>
      <c r="BBH1" s="18"/>
      <c r="BBI1" s="18"/>
      <c r="BBJ1" s="18"/>
      <c r="BBK1" s="18"/>
      <c r="BBL1" s="18"/>
      <c r="BBM1" s="18"/>
      <c r="BBN1" s="18"/>
      <c r="BBO1" s="18"/>
      <c r="BBP1" s="18"/>
      <c r="BBQ1" s="18"/>
      <c r="BBR1" s="18"/>
      <c r="BBS1" s="18"/>
      <c r="BBT1" s="18"/>
      <c r="BBU1" s="18"/>
      <c r="BBV1" s="18"/>
      <c r="BBW1" s="18"/>
      <c r="BBX1" s="18"/>
      <c r="BBY1" s="18"/>
      <c r="BBZ1" s="18"/>
      <c r="BCA1" s="18"/>
      <c r="BCB1" s="18"/>
      <c r="BCC1" s="18"/>
      <c r="BCD1" s="18"/>
      <c r="BCE1" s="18"/>
      <c r="BCF1" s="18"/>
      <c r="BCG1" s="18"/>
      <c r="BCH1" s="18"/>
      <c r="BCI1" s="18"/>
      <c r="BCJ1" s="18"/>
      <c r="BCK1" s="18"/>
      <c r="BCL1" s="18"/>
      <c r="BCM1" s="18"/>
      <c r="BCN1" s="18"/>
      <c r="BCO1" s="18"/>
      <c r="BCP1" s="18"/>
      <c r="BCQ1" s="18"/>
      <c r="BCR1" s="18"/>
      <c r="BCS1" s="18"/>
      <c r="BCT1" s="18"/>
      <c r="BCU1" s="18"/>
      <c r="BCV1" s="18"/>
      <c r="BCW1" s="18"/>
      <c r="BCX1" s="18"/>
      <c r="BCY1" s="18"/>
      <c r="BCZ1" s="18"/>
      <c r="BDA1" s="18"/>
      <c r="BDB1" s="18"/>
      <c r="BDC1" s="18"/>
      <c r="BDD1" s="18"/>
      <c r="BDE1" s="18"/>
      <c r="BDF1" s="18"/>
      <c r="BDG1" s="18"/>
      <c r="BDH1" s="18"/>
      <c r="BDI1" s="18"/>
      <c r="BDJ1" s="18"/>
      <c r="BDK1" s="18"/>
      <c r="BDL1" s="18"/>
      <c r="BDM1" s="18"/>
      <c r="BDN1" s="18"/>
      <c r="BDO1" s="18"/>
      <c r="BDP1" s="18"/>
      <c r="BDQ1" s="18"/>
      <c r="BDR1" s="18"/>
      <c r="BDS1" s="18"/>
      <c r="BDT1" s="18"/>
      <c r="BDU1" s="18"/>
      <c r="BDV1" s="18"/>
      <c r="BDW1" s="18"/>
      <c r="BDX1" s="18"/>
      <c r="BDY1" s="18"/>
      <c r="BDZ1" s="18"/>
      <c r="BEA1" s="18"/>
      <c r="BEB1" s="18"/>
      <c r="BEC1" s="18"/>
      <c r="BED1" s="18"/>
      <c r="BEE1" s="18"/>
      <c r="BEF1" s="18"/>
      <c r="BEG1" s="18"/>
      <c r="BEH1" s="18"/>
      <c r="BEI1" s="18"/>
      <c r="BEJ1" s="18"/>
      <c r="BEK1" s="18"/>
      <c r="BEL1" s="18"/>
      <c r="BEM1" s="18"/>
      <c r="BEN1" s="18"/>
      <c r="BEO1" s="18"/>
      <c r="BEP1" s="18"/>
      <c r="BEQ1" s="18"/>
      <c r="BER1" s="18"/>
      <c r="BES1" s="18"/>
      <c r="BET1" s="18"/>
      <c r="BEU1" s="18"/>
      <c r="BEV1" s="18"/>
      <c r="BEW1" s="18"/>
      <c r="BEX1" s="18"/>
      <c r="BEY1" s="18"/>
      <c r="BEZ1" s="18"/>
      <c r="BFA1" s="18"/>
      <c r="BFB1" s="18"/>
      <c r="BFC1" s="18"/>
      <c r="BFD1" s="18"/>
      <c r="BFE1" s="18"/>
      <c r="BFF1" s="18"/>
      <c r="BFG1" s="18"/>
      <c r="BFH1" s="18"/>
      <c r="BFI1" s="18"/>
      <c r="BFJ1" s="18"/>
      <c r="BFK1" s="18"/>
      <c r="BFL1" s="18"/>
      <c r="BFM1" s="18"/>
      <c r="BFN1" s="18"/>
      <c r="BFO1" s="18"/>
      <c r="BFP1" s="18"/>
      <c r="BFQ1" s="18"/>
      <c r="BFR1" s="18"/>
      <c r="BFS1" s="18"/>
      <c r="BFT1" s="18"/>
      <c r="BFU1" s="18"/>
      <c r="BFV1" s="18"/>
      <c r="BFW1" s="18"/>
      <c r="BFX1" s="18"/>
      <c r="BFY1" s="18"/>
      <c r="BFZ1" s="18"/>
      <c r="BGA1" s="18"/>
      <c r="BGB1" s="18"/>
      <c r="BGC1" s="18"/>
      <c r="BGD1" s="18"/>
      <c r="BGE1" s="18"/>
      <c r="BGF1" s="18"/>
      <c r="BGG1" s="18"/>
      <c r="BGH1" s="18"/>
      <c r="BGI1" s="18"/>
      <c r="BGJ1" s="18"/>
      <c r="BGK1" s="18"/>
      <c r="BGL1" s="18"/>
      <c r="BGM1" s="18"/>
      <c r="BGN1" s="18"/>
      <c r="BGO1" s="18"/>
      <c r="BGP1" s="18"/>
      <c r="BGQ1" s="18"/>
      <c r="BGR1" s="18"/>
      <c r="BGS1" s="18"/>
      <c r="BGT1" s="18"/>
      <c r="BGU1" s="18"/>
      <c r="BGV1" s="18"/>
      <c r="BGW1" s="18"/>
      <c r="BGX1" s="18"/>
      <c r="BGY1" s="18"/>
      <c r="BGZ1" s="18"/>
      <c r="BHA1" s="18"/>
      <c r="BHB1" s="18"/>
      <c r="BHC1" s="18"/>
      <c r="BHD1" s="18"/>
      <c r="BHE1" s="18"/>
      <c r="BHF1" s="18"/>
      <c r="BHG1" s="18"/>
      <c r="BHH1" s="18"/>
      <c r="BHI1" s="18"/>
      <c r="BHJ1" s="18"/>
      <c r="BHK1" s="18"/>
      <c r="BHL1" s="18"/>
      <c r="BHM1" s="18"/>
      <c r="BHN1" s="18"/>
      <c r="BHO1" s="18"/>
      <c r="BHP1" s="18"/>
      <c r="BHQ1" s="18"/>
      <c r="BHR1" s="18"/>
      <c r="BHS1" s="18"/>
      <c r="BHT1" s="18"/>
      <c r="BHU1" s="18"/>
      <c r="BHV1" s="18"/>
      <c r="BHW1" s="18"/>
      <c r="BHX1" s="18"/>
      <c r="BHY1" s="18"/>
      <c r="BHZ1" s="18"/>
      <c r="BIA1" s="18"/>
      <c r="BIB1" s="18"/>
      <c r="BIC1" s="18"/>
      <c r="BID1" s="18"/>
      <c r="BIE1" s="18"/>
      <c r="BIF1" s="18"/>
      <c r="BIG1" s="18"/>
      <c r="BIH1" s="18"/>
      <c r="BII1" s="18"/>
      <c r="BIJ1" s="18"/>
      <c r="BIK1" s="18"/>
      <c r="BIL1" s="18"/>
      <c r="BIM1" s="18"/>
      <c r="BIN1" s="18"/>
      <c r="BIO1" s="18"/>
      <c r="BIP1" s="18"/>
      <c r="BIQ1" s="18"/>
      <c r="BIR1" s="18"/>
      <c r="BIS1" s="18"/>
      <c r="BIT1" s="18"/>
      <c r="BIU1" s="18"/>
      <c r="BIV1" s="18"/>
      <c r="BIW1" s="18"/>
      <c r="BIX1" s="18"/>
      <c r="BIY1" s="18"/>
      <c r="BIZ1" s="18"/>
      <c r="BJA1" s="18"/>
      <c r="BJB1" s="18"/>
      <c r="BJC1" s="18"/>
      <c r="BJD1" s="18"/>
      <c r="BJE1" s="18"/>
      <c r="BJF1" s="18"/>
      <c r="BJG1" s="18"/>
      <c r="BJH1" s="18"/>
      <c r="BJI1" s="18"/>
      <c r="BJJ1" s="18"/>
      <c r="BJK1" s="18"/>
      <c r="BJL1" s="18"/>
      <c r="BJM1" s="18"/>
      <c r="BJN1" s="18"/>
      <c r="BJO1" s="18"/>
      <c r="BJP1" s="18"/>
      <c r="BJQ1" s="18"/>
      <c r="BJR1" s="18"/>
      <c r="BJS1" s="18"/>
      <c r="BJT1" s="18"/>
      <c r="BJU1" s="18"/>
      <c r="BJV1" s="18"/>
      <c r="BJW1" s="18"/>
      <c r="BJX1" s="18"/>
      <c r="BJY1" s="18"/>
      <c r="BJZ1" s="18"/>
      <c r="BKA1" s="18"/>
      <c r="BKB1" s="18"/>
      <c r="BKC1" s="18"/>
      <c r="BKD1" s="18"/>
      <c r="BKE1" s="18"/>
      <c r="BKF1" s="18"/>
      <c r="BKG1" s="18"/>
      <c r="BKH1" s="18"/>
      <c r="BKI1" s="18"/>
      <c r="BKJ1" s="18"/>
      <c r="BKK1" s="18"/>
      <c r="BKL1" s="18"/>
      <c r="BKM1" s="18"/>
      <c r="BKN1" s="18"/>
      <c r="BKO1" s="18"/>
      <c r="BKP1" s="18"/>
      <c r="BKQ1" s="18"/>
      <c r="BKR1" s="18"/>
      <c r="BKS1" s="18"/>
      <c r="BKT1" s="18"/>
      <c r="BKU1" s="18"/>
      <c r="BKV1" s="18"/>
      <c r="BKW1" s="18"/>
      <c r="BKX1" s="18"/>
      <c r="BKY1" s="18"/>
      <c r="BKZ1" s="18"/>
      <c r="BLA1" s="18"/>
      <c r="BLB1" s="18"/>
      <c r="BLC1" s="18"/>
      <c r="BLD1" s="18"/>
      <c r="BLE1" s="18"/>
      <c r="BLF1" s="18"/>
      <c r="BLG1" s="18"/>
      <c r="BLH1" s="18"/>
      <c r="BLI1" s="18"/>
      <c r="BLJ1" s="18"/>
      <c r="BLK1" s="18"/>
      <c r="BLL1" s="18"/>
      <c r="BLM1" s="18"/>
      <c r="BLN1" s="18"/>
      <c r="BLO1" s="18"/>
      <c r="BLP1" s="18"/>
      <c r="BLQ1" s="18"/>
      <c r="BLR1" s="18"/>
      <c r="BLS1" s="18"/>
      <c r="BLT1" s="18"/>
      <c r="BLU1" s="18"/>
      <c r="BLV1" s="18"/>
      <c r="BLW1" s="18"/>
      <c r="BLX1" s="18"/>
      <c r="BLY1" s="18"/>
      <c r="BLZ1" s="18"/>
      <c r="BMA1" s="18"/>
      <c r="BMB1" s="18"/>
      <c r="BMC1" s="18"/>
      <c r="BMD1" s="18"/>
      <c r="BME1" s="18"/>
      <c r="BMF1" s="18"/>
      <c r="BMG1" s="18"/>
      <c r="BMH1" s="18"/>
      <c r="BMI1" s="18"/>
      <c r="BMJ1" s="18"/>
      <c r="BMK1" s="18"/>
      <c r="BML1" s="18"/>
      <c r="BMM1" s="18"/>
      <c r="BMN1" s="18"/>
      <c r="BMO1" s="18"/>
      <c r="BMP1" s="18"/>
      <c r="BMQ1" s="18"/>
      <c r="BMR1" s="18"/>
      <c r="BMS1" s="18"/>
      <c r="BMT1" s="18"/>
      <c r="BMU1" s="18"/>
      <c r="BMV1" s="18"/>
      <c r="BMW1" s="18"/>
      <c r="BMX1" s="18"/>
      <c r="BMY1" s="18"/>
      <c r="BMZ1" s="18"/>
      <c r="BNA1" s="18"/>
      <c r="BNB1" s="18"/>
      <c r="BNC1" s="18"/>
      <c r="BND1" s="18"/>
      <c r="BNE1" s="18"/>
      <c r="BNF1" s="18"/>
      <c r="BNG1" s="18"/>
      <c r="BNH1" s="18"/>
      <c r="BNI1" s="18"/>
      <c r="BNJ1" s="18"/>
      <c r="BNK1" s="18"/>
      <c r="BNL1" s="18"/>
      <c r="BNM1" s="18"/>
      <c r="BNN1" s="18"/>
      <c r="BNO1" s="18"/>
      <c r="BNP1" s="18"/>
      <c r="BNQ1" s="18"/>
      <c r="BNR1" s="18"/>
      <c r="BNS1" s="18"/>
      <c r="BNT1" s="18"/>
      <c r="BNU1" s="18"/>
      <c r="BNV1" s="18"/>
      <c r="BNW1" s="18"/>
      <c r="BNX1" s="18"/>
      <c r="BNY1" s="18"/>
      <c r="BNZ1" s="18"/>
      <c r="BOA1" s="18"/>
      <c r="BOB1" s="18"/>
      <c r="BOC1" s="18"/>
      <c r="BOD1" s="18"/>
      <c r="BOE1" s="18"/>
      <c r="BOF1" s="18"/>
      <c r="BOG1" s="18"/>
      <c r="BOH1" s="18"/>
      <c r="BOI1" s="18"/>
      <c r="BOJ1" s="18"/>
      <c r="BOK1" s="18"/>
      <c r="BOL1" s="18"/>
      <c r="BOM1" s="18"/>
      <c r="BON1" s="18"/>
      <c r="BOO1" s="18"/>
      <c r="BOP1" s="18"/>
      <c r="BOQ1" s="18"/>
      <c r="BOR1" s="18"/>
      <c r="BOS1" s="18"/>
      <c r="BOT1" s="18"/>
      <c r="BOU1" s="18"/>
      <c r="BOV1" s="18"/>
      <c r="BOW1" s="18"/>
      <c r="BOX1" s="18"/>
      <c r="BOY1" s="18"/>
      <c r="BOZ1" s="18"/>
      <c r="BPA1" s="18"/>
      <c r="BPB1" s="18"/>
      <c r="BPC1" s="18"/>
      <c r="BPD1" s="18"/>
      <c r="BPE1" s="18"/>
      <c r="BPF1" s="18"/>
      <c r="BPG1" s="18"/>
      <c r="BPH1" s="18"/>
      <c r="BPI1" s="18"/>
      <c r="BPJ1" s="18"/>
      <c r="BPK1" s="18"/>
      <c r="BPL1" s="18"/>
      <c r="BPM1" s="18"/>
      <c r="BPN1" s="18"/>
      <c r="BPO1" s="18"/>
      <c r="BPP1" s="18"/>
      <c r="BPQ1" s="18"/>
      <c r="BPR1" s="18"/>
      <c r="BPS1" s="18"/>
      <c r="BPT1" s="18"/>
      <c r="BPU1" s="18"/>
      <c r="BPV1" s="18"/>
      <c r="BPW1" s="18"/>
      <c r="BPX1" s="18"/>
      <c r="BPY1" s="18"/>
      <c r="BPZ1" s="18"/>
      <c r="BQA1" s="18"/>
      <c r="BQB1" s="18"/>
      <c r="BQC1" s="18"/>
      <c r="BQD1" s="18"/>
      <c r="BQE1" s="18"/>
      <c r="BQF1" s="18"/>
      <c r="BQG1" s="18"/>
      <c r="BQH1" s="18"/>
      <c r="BQI1" s="18"/>
      <c r="BQJ1" s="18"/>
      <c r="BQK1" s="18"/>
      <c r="BQL1" s="18"/>
      <c r="BQM1" s="18"/>
      <c r="BQN1" s="18"/>
      <c r="BQO1" s="18"/>
      <c r="BQP1" s="18"/>
      <c r="BQQ1" s="18"/>
      <c r="BQR1" s="18"/>
      <c r="BQS1" s="18"/>
      <c r="BQT1" s="18"/>
      <c r="BQU1" s="18"/>
      <c r="BQV1" s="18"/>
      <c r="BQW1" s="18"/>
      <c r="BQX1" s="18"/>
      <c r="BQY1" s="18"/>
      <c r="BQZ1" s="18"/>
      <c r="BRA1" s="18"/>
      <c r="BRB1" s="18"/>
      <c r="BRC1" s="18"/>
      <c r="BRD1" s="18"/>
      <c r="BRE1" s="18"/>
      <c r="BRF1" s="18"/>
      <c r="BRG1" s="18"/>
      <c r="BRH1" s="18"/>
      <c r="BRI1" s="18"/>
      <c r="BRJ1" s="18"/>
      <c r="BRK1" s="18"/>
      <c r="BRL1" s="18"/>
      <c r="BRM1" s="18"/>
      <c r="BRN1" s="18"/>
      <c r="BRO1" s="18"/>
      <c r="BRP1" s="18"/>
      <c r="BRQ1" s="18"/>
      <c r="BRR1" s="18"/>
      <c r="BRS1" s="18"/>
      <c r="BRT1" s="18"/>
      <c r="BRU1" s="18"/>
      <c r="BRV1" s="18"/>
      <c r="BRW1" s="18"/>
      <c r="BRX1" s="18"/>
      <c r="BRY1" s="18"/>
      <c r="BRZ1" s="18"/>
      <c r="BSA1" s="18"/>
      <c r="BSB1" s="18"/>
      <c r="BSC1" s="18"/>
      <c r="BSD1" s="18"/>
      <c r="BSE1" s="18"/>
      <c r="BSF1" s="18"/>
      <c r="BSG1" s="18"/>
      <c r="BSH1" s="18"/>
      <c r="BSI1" s="18"/>
      <c r="BSJ1" s="18"/>
      <c r="BSK1" s="18"/>
      <c r="BSL1" s="18"/>
      <c r="BSM1" s="18"/>
      <c r="BSN1" s="18"/>
      <c r="BSO1" s="18"/>
      <c r="BSP1" s="18"/>
      <c r="BSQ1" s="18"/>
      <c r="BSR1" s="18"/>
      <c r="BSS1" s="18"/>
      <c r="BST1" s="18"/>
      <c r="BSU1" s="18"/>
      <c r="BSV1" s="18"/>
      <c r="BSW1" s="18"/>
      <c r="BSX1" s="18"/>
      <c r="BSY1" s="18"/>
      <c r="BSZ1" s="18"/>
      <c r="BTA1" s="18"/>
      <c r="BTB1" s="18"/>
      <c r="BTC1" s="18"/>
      <c r="BTD1" s="18"/>
      <c r="BTE1" s="18"/>
      <c r="BTF1" s="18"/>
      <c r="BTG1" s="18"/>
      <c r="BTH1" s="18"/>
      <c r="BTI1" s="18"/>
      <c r="BTJ1" s="18"/>
      <c r="BTK1" s="18"/>
      <c r="BTL1" s="18"/>
      <c r="BTM1" s="18"/>
      <c r="BTN1" s="18"/>
      <c r="BTO1" s="18"/>
      <c r="BTP1" s="18"/>
      <c r="BTQ1" s="18"/>
      <c r="BTR1" s="18"/>
      <c r="BTS1" s="18"/>
      <c r="BTT1" s="18"/>
      <c r="BTU1" s="18"/>
      <c r="BTV1" s="18"/>
      <c r="BTW1" s="18"/>
      <c r="BTX1" s="18"/>
      <c r="BTY1" s="18"/>
      <c r="BTZ1" s="18"/>
      <c r="BUA1" s="18"/>
      <c r="BUB1" s="18"/>
      <c r="BUC1" s="18"/>
      <c r="BUD1" s="18"/>
      <c r="BUE1" s="18"/>
      <c r="BUF1" s="18"/>
      <c r="BUG1" s="18"/>
      <c r="BUH1" s="18"/>
      <c r="BUI1" s="18"/>
      <c r="BUJ1" s="18"/>
      <c r="BUK1" s="18"/>
      <c r="BUL1" s="18"/>
      <c r="BUM1" s="18"/>
      <c r="BUN1" s="18"/>
      <c r="BUO1" s="18"/>
      <c r="BUP1" s="18"/>
      <c r="BUQ1" s="18"/>
      <c r="BUR1" s="18"/>
      <c r="BUS1" s="18"/>
      <c r="BUT1" s="18"/>
      <c r="BUU1" s="18"/>
      <c r="BUV1" s="18"/>
      <c r="BUW1" s="18"/>
      <c r="BUX1" s="18"/>
      <c r="BUY1" s="18"/>
      <c r="BUZ1" s="18"/>
      <c r="BVA1" s="18"/>
      <c r="BVB1" s="18"/>
      <c r="BVC1" s="18"/>
      <c r="BVD1" s="18"/>
      <c r="BVE1" s="18"/>
      <c r="BVF1" s="18"/>
      <c r="BVG1" s="18"/>
      <c r="BVH1" s="18"/>
      <c r="BVI1" s="18"/>
      <c r="BVJ1" s="18"/>
      <c r="BVK1" s="18"/>
      <c r="BVL1" s="18"/>
      <c r="BVM1" s="18"/>
      <c r="BVN1" s="18"/>
      <c r="BVO1" s="18"/>
      <c r="BVP1" s="18"/>
      <c r="BVQ1" s="18"/>
      <c r="BVR1" s="18"/>
      <c r="BVS1" s="18"/>
      <c r="BVT1" s="18"/>
      <c r="BVU1" s="18"/>
      <c r="BVV1" s="18"/>
      <c r="BVW1" s="18"/>
      <c r="BVX1" s="18"/>
      <c r="BVY1" s="18"/>
      <c r="BVZ1" s="18"/>
      <c r="BWA1" s="18"/>
      <c r="BWB1" s="18"/>
      <c r="BWC1" s="18"/>
      <c r="BWD1" s="18"/>
      <c r="BWE1" s="18"/>
      <c r="BWF1" s="18"/>
      <c r="BWG1" s="18"/>
      <c r="BWH1" s="18"/>
      <c r="BWI1" s="18"/>
      <c r="BWJ1" s="18"/>
      <c r="BWK1" s="18"/>
      <c r="BWL1" s="18"/>
      <c r="BWM1" s="18"/>
      <c r="BWN1" s="18"/>
      <c r="BWO1" s="18"/>
      <c r="BWP1" s="18"/>
      <c r="BWQ1" s="18"/>
      <c r="BWR1" s="18"/>
      <c r="BWS1" s="18"/>
      <c r="BWT1" s="18"/>
      <c r="BWU1" s="18"/>
      <c r="BWV1" s="18"/>
      <c r="BWW1" s="18"/>
      <c r="BWX1" s="18"/>
      <c r="BWY1" s="18"/>
      <c r="BWZ1" s="18"/>
      <c r="BXA1" s="18"/>
      <c r="BXB1" s="18"/>
      <c r="BXC1" s="18"/>
      <c r="BXD1" s="18"/>
      <c r="BXE1" s="18"/>
      <c r="BXF1" s="18"/>
      <c r="BXG1" s="18"/>
      <c r="BXH1" s="18"/>
      <c r="BXI1" s="18"/>
      <c r="BXJ1" s="18"/>
      <c r="BXK1" s="18"/>
      <c r="BXL1" s="18"/>
      <c r="BXM1" s="18"/>
      <c r="BXN1" s="18"/>
      <c r="BXO1" s="18"/>
      <c r="BXP1" s="18"/>
      <c r="BXQ1" s="18"/>
      <c r="BXR1" s="18"/>
      <c r="BXS1" s="18"/>
      <c r="BXT1" s="18"/>
      <c r="BXU1" s="18"/>
      <c r="BXV1" s="18"/>
      <c r="BXW1" s="18"/>
      <c r="BXX1" s="18"/>
      <c r="BXY1" s="18"/>
      <c r="BXZ1" s="18"/>
      <c r="BYA1" s="18"/>
      <c r="BYB1" s="18"/>
      <c r="BYC1" s="18"/>
      <c r="BYD1" s="18"/>
      <c r="BYE1" s="18"/>
      <c r="BYF1" s="18"/>
      <c r="BYG1" s="18"/>
      <c r="BYH1" s="18"/>
      <c r="BYI1" s="18"/>
      <c r="BYJ1" s="18"/>
      <c r="BYK1" s="18"/>
      <c r="BYL1" s="18"/>
      <c r="BYM1" s="18"/>
      <c r="BYN1" s="18"/>
      <c r="BYO1" s="18"/>
      <c r="BYP1" s="18"/>
      <c r="BYQ1" s="18"/>
      <c r="BYR1" s="18"/>
      <c r="BYS1" s="18"/>
      <c r="BYT1" s="18"/>
      <c r="BYU1" s="18"/>
      <c r="BYV1" s="18"/>
      <c r="BYW1" s="18"/>
      <c r="BYX1" s="18"/>
      <c r="BYY1" s="18"/>
      <c r="BYZ1" s="18"/>
      <c r="BZA1" s="18"/>
      <c r="BZB1" s="18"/>
      <c r="BZC1" s="18"/>
      <c r="BZD1" s="18"/>
      <c r="BZE1" s="18"/>
      <c r="BZF1" s="18"/>
      <c r="BZG1" s="18"/>
      <c r="BZH1" s="18"/>
      <c r="BZI1" s="18"/>
      <c r="BZJ1" s="18"/>
      <c r="BZK1" s="18"/>
      <c r="BZL1" s="18"/>
      <c r="BZM1" s="18"/>
      <c r="BZN1" s="18"/>
      <c r="BZO1" s="18"/>
      <c r="BZP1" s="18"/>
      <c r="BZQ1" s="18"/>
      <c r="BZR1" s="18"/>
      <c r="BZS1" s="18"/>
      <c r="BZT1" s="18"/>
      <c r="BZU1" s="18"/>
      <c r="BZV1" s="18"/>
      <c r="BZW1" s="18"/>
      <c r="BZX1" s="18"/>
      <c r="BZY1" s="18"/>
      <c r="BZZ1" s="18"/>
      <c r="CAA1" s="18"/>
      <c r="CAB1" s="18"/>
      <c r="CAC1" s="18"/>
      <c r="CAD1" s="18"/>
      <c r="CAE1" s="18"/>
      <c r="CAF1" s="18"/>
      <c r="CAG1" s="18"/>
      <c r="CAH1" s="18"/>
      <c r="CAI1" s="18"/>
      <c r="CAJ1" s="18"/>
      <c r="CAK1" s="18"/>
      <c r="CAL1" s="18"/>
      <c r="CAM1" s="18"/>
      <c r="CAN1" s="18"/>
      <c r="CAO1" s="18"/>
      <c r="CAP1" s="18"/>
      <c r="CAQ1" s="18"/>
      <c r="CAR1" s="18"/>
      <c r="CAS1" s="18"/>
      <c r="CAT1" s="18"/>
      <c r="CAU1" s="18"/>
      <c r="CAV1" s="18"/>
      <c r="CAW1" s="18"/>
      <c r="CAX1" s="18"/>
      <c r="CAY1" s="18"/>
      <c r="CAZ1" s="18"/>
      <c r="CBA1" s="18"/>
      <c r="CBB1" s="18"/>
      <c r="CBC1" s="18"/>
      <c r="CBD1" s="18"/>
      <c r="CBE1" s="18"/>
      <c r="CBF1" s="18"/>
      <c r="CBG1" s="18"/>
      <c r="CBH1" s="18"/>
      <c r="CBI1" s="18"/>
      <c r="CBJ1" s="18"/>
      <c r="CBK1" s="18"/>
      <c r="CBL1" s="18"/>
      <c r="CBM1" s="18"/>
      <c r="CBN1" s="18"/>
      <c r="CBO1" s="18"/>
      <c r="CBP1" s="18"/>
      <c r="CBQ1" s="18"/>
      <c r="CBR1" s="18"/>
      <c r="CBS1" s="18"/>
      <c r="CBT1" s="18"/>
      <c r="CBU1" s="18"/>
      <c r="CBV1" s="18"/>
      <c r="CBW1" s="18"/>
      <c r="CBX1" s="18"/>
      <c r="CBY1" s="18"/>
      <c r="CBZ1" s="18"/>
      <c r="CCA1" s="18"/>
      <c r="CCB1" s="18"/>
      <c r="CCC1" s="18"/>
      <c r="CCD1" s="18"/>
      <c r="CCE1" s="18"/>
      <c r="CCF1" s="18"/>
      <c r="CCG1" s="18"/>
      <c r="CCH1" s="18"/>
      <c r="CCI1" s="18"/>
      <c r="CCJ1" s="18"/>
      <c r="CCK1" s="18"/>
      <c r="CCL1" s="18"/>
      <c r="CCM1" s="18"/>
      <c r="CCN1" s="18"/>
      <c r="CCO1" s="18"/>
      <c r="CCP1" s="18"/>
      <c r="CCQ1" s="18"/>
      <c r="CCR1" s="18"/>
      <c r="CCS1" s="18"/>
      <c r="CCT1" s="18"/>
      <c r="CCU1" s="18"/>
      <c r="CCV1" s="18"/>
      <c r="CCW1" s="18"/>
      <c r="CCX1" s="18"/>
      <c r="CCY1" s="18"/>
      <c r="CCZ1" s="18"/>
      <c r="CDA1" s="18"/>
      <c r="CDB1" s="18"/>
      <c r="CDC1" s="18"/>
      <c r="CDD1" s="18"/>
      <c r="CDE1" s="18"/>
      <c r="CDF1" s="18"/>
      <c r="CDG1" s="18"/>
      <c r="CDH1" s="18"/>
      <c r="CDI1" s="18"/>
      <c r="CDJ1" s="18"/>
      <c r="CDK1" s="18"/>
      <c r="CDL1" s="18"/>
      <c r="CDM1" s="18"/>
      <c r="CDN1" s="18"/>
      <c r="CDO1" s="18"/>
      <c r="CDP1" s="18"/>
      <c r="CDQ1" s="18"/>
      <c r="CDR1" s="18"/>
      <c r="CDS1" s="18"/>
      <c r="CDT1" s="18"/>
      <c r="CDU1" s="18"/>
      <c r="CDV1" s="18"/>
      <c r="CDW1" s="18"/>
      <c r="CDX1" s="18"/>
      <c r="CDY1" s="18"/>
      <c r="CDZ1" s="18"/>
      <c r="CEA1" s="18"/>
      <c r="CEB1" s="18"/>
      <c r="CEC1" s="18"/>
      <c r="CED1" s="18"/>
      <c r="CEE1" s="18"/>
      <c r="CEF1" s="18"/>
      <c r="CEG1" s="18"/>
      <c r="CEH1" s="18"/>
      <c r="CEI1" s="18"/>
      <c r="CEJ1" s="18"/>
      <c r="CEK1" s="18"/>
      <c r="CEL1" s="18"/>
      <c r="CEM1" s="18"/>
      <c r="CEN1" s="18"/>
      <c r="CEO1" s="18"/>
      <c r="CEP1" s="18"/>
      <c r="CEQ1" s="18"/>
      <c r="CER1" s="18"/>
      <c r="CES1" s="18"/>
      <c r="CET1" s="18"/>
      <c r="CEU1" s="18"/>
      <c r="CEV1" s="18"/>
      <c r="CEW1" s="18"/>
      <c r="CEX1" s="18"/>
      <c r="CEY1" s="18"/>
      <c r="CEZ1" s="18"/>
      <c r="CFA1" s="18"/>
      <c r="CFB1" s="18"/>
      <c r="CFC1" s="18"/>
      <c r="CFD1" s="18"/>
      <c r="CFE1" s="18"/>
      <c r="CFF1" s="18"/>
      <c r="CFG1" s="18"/>
      <c r="CFH1" s="18"/>
      <c r="CFI1" s="18"/>
      <c r="CFJ1" s="18"/>
      <c r="CFK1" s="18"/>
      <c r="CFL1" s="18"/>
      <c r="CFM1" s="18"/>
      <c r="CFN1" s="18"/>
      <c r="CFO1" s="18"/>
      <c r="CFP1" s="18"/>
      <c r="CFQ1" s="18"/>
      <c r="CFR1" s="18"/>
      <c r="CFS1" s="18"/>
      <c r="CFT1" s="18"/>
      <c r="CFU1" s="18"/>
      <c r="CFV1" s="18"/>
      <c r="CFW1" s="18"/>
      <c r="CFX1" s="18"/>
      <c r="CFY1" s="18"/>
      <c r="CFZ1" s="18"/>
      <c r="CGA1" s="18"/>
      <c r="CGB1" s="18"/>
      <c r="CGC1" s="18"/>
      <c r="CGD1" s="18"/>
      <c r="CGE1" s="18"/>
      <c r="CGF1" s="18"/>
      <c r="CGG1" s="18"/>
      <c r="CGH1" s="18"/>
      <c r="CGI1" s="18"/>
      <c r="CGJ1" s="18"/>
      <c r="CGK1" s="18"/>
      <c r="CGL1" s="18"/>
      <c r="CGM1" s="18"/>
      <c r="CGN1" s="18"/>
      <c r="CGO1" s="18"/>
      <c r="CGP1" s="18"/>
      <c r="CGQ1" s="18"/>
      <c r="CGR1" s="18"/>
      <c r="CGS1" s="18"/>
      <c r="CGT1" s="18"/>
      <c r="CGU1" s="18"/>
      <c r="CGV1" s="18"/>
      <c r="CGW1" s="18"/>
      <c r="CGX1" s="18"/>
      <c r="CGY1" s="18"/>
      <c r="CGZ1" s="18"/>
      <c r="CHA1" s="18"/>
      <c r="CHB1" s="18"/>
      <c r="CHC1" s="18"/>
      <c r="CHD1" s="18"/>
      <c r="CHE1" s="18"/>
      <c r="CHF1" s="18"/>
      <c r="CHG1" s="18"/>
      <c r="CHH1" s="18"/>
      <c r="CHI1" s="18"/>
      <c r="CHJ1" s="18"/>
      <c r="CHK1" s="18"/>
      <c r="CHL1" s="18"/>
      <c r="CHM1" s="18"/>
      <c r="CHN1" s="18"/>
      <c r="CHO1" s="18"/>
      <c r="CHP1" s="18"/>
      <c r="CHQ1" s="18"/>
      <c r="CHR1" s="18"/>
      <c r="CHS1" s="18"/>
      <c r="CHT1" s="18"/>
      <c r="CHU1" s="18"/>
      <c r="CHV1" s="18"/>
      <c r="CHW1" s="18"/>
      <c r="CHX1" s="18"/>
      <c r="CHY1" s="18"/>
      <c r="CHZ1" s="18"/>
      <c r="CIA1" s="18"/>
      <c r="CIB1" s="18"/>
      <c r="CIC1" s="18"/>
      <c r="CID1" s="18"/>
      <c r="CIE1" s="18"/>
      <c r="CIF1" s="18"/>
      <c r="CIG1" s="18"/>
      <c r="CIH1" s="18"/>
      <c r="CII1" s="18"/>
      <c r="CIJ1" s="18"/>
      <c r="CIK1" s="18"/>
      <c r="CIL1" s="18"/>
      <c r="CIM1" s="18"/>
      <c r="CIN1" s="18"/>
      <c r="CIO1" s="18"/>
      <c r="CIP1" s="18"/>
      <c r="CIQ1" s="18"/>
      <c r="CIR1" s="18"/>
      <c r="CIS1" s="18"/>
      <c r="CIT1" s="18"/>
      <c r="CIU1" s="18"/>
      <c r="CIV1" s="18"/>
      <c r="CIW1" s="18"/>
      <c r="CIX1" s="18"/>
      <c r="CIY1" s="18"/>
      <c r="CIZ1" s="18"/>
      <c r="CJA1" s="18"/>
      <c r="CJB1" s="18"/>
      <c r="CJC1" s="18"/>
      <c r="CJD1" s="18"/>
      <c r="CJE1" s="18"/>
      <c r="CJF1" s="18"/>
      <c r="CJG1" s="18"/>
      <c r="CJH1" s="18"/>
      <c r="CJI1" s="18"/>
      <c r="CJJ1" s="18"/>
      <c r="CJK1" s="18"/>
      <c r="CJL1" s="18"/>
      <c r="CJM1" s="18"/>
      <c r="CJN1" s="18"/>
      <c r="CJO1" s="18"/>
      <c r="CJP1" s="18"/>
      <c r="CJQ1" s="18"/>
      <c r="CJR1" s="18"/>
      <c r="CJS1" s="18"/>
      <c r="CJT1" s="18"/>
      <c r="CJU1" s="18"/>
      <c r="CJV1" s="18"/>
      <c r="CJW1" s="18"/>
      <c r="CJX1" s="18"/>
      <c r="CJY1" s="18"/>
      <c r="CJZ1" s="18"/>
      <c r="CKA1" s="18"/>
      <c r="CKB1" s="18"/>
      <c r="CKC1" s="18"/>
      <c r="CKD1" s="18"/>
      <c r="CKE1" s="18"/>
      <c r="CKF1" s="18"/>
      <c r="CKG1" s="18"/>
      <c r="CKH1" s="18"/>
      <c r="CKI1" s="18"/>
      <c r="CKJ1" s="18"/>
      <c r="CKK1" s="18"/>
      <c r="CKL1" s="18"/>
      <c r="CKM1" s="18"/>
      <c r="CKN1" s="18"/>
      <c r="CKO1" s="18"/>
      <c r="CKP1" s="18"/>
      <c r="CKQ1" s="18"/>
      <c r="CKR1" s="18"/>
      <c r="CKS1" s="18"/>
      <c r="CKT1" s="18"/>
      <c r="CKU1" s="18"/>
      <c r="CKV1" s="18"/>
      <c r="CKW1" s="18"/>
      <c r="CKX1" s="18"/>
      <c r="CKY1" s="18"/>
      <c r="CKZ1" s="18"/>
      <c r="CLA1" s="18"/>
      <c r="CLB1" s="18"/>
      <c r="CLC1" s="18"/>
      <c r="CLD1" s="18"/>
      <c r="CLE1" s="18"/>
      <c r="CLF1" s="18"/>
      <c r="CLG1" s="18"/>
      <c r="CLH1" s="18"/>
      <c r="CLI1" s="18"/>
      <c r="CLJ1" s="18"/>
      <c r="CLK1" s="18"/>
      <c r="CLL1" s="18"/>
      <c r="CLM1" s="18"/>
      <c r="CLN1" s="18"/>
      <c r="CLO1" s="18"/>
      <c r="CLP1" s="18"/>
      <c r="CLQ1" s="18"/>
      <c r="CLR1" s="18"/>
      <c r="CLS1" s="18"/>
      <c r="CLT1" s="18"/>
      <c r="CLU1" s="18"/>
      <c r="CLV1" s="18"/>
      <c r="CLW1" s="18"/>
      <c r="CLX1" s="18"/>
      <c r="CLY1" s="18"/>
      <c r="CLZ1" s="18"/>
      <c r="CMA1" s="18"/>
      <c r="CMB1" s="18"/>
      <c r="CMC1" s="18"/>
      <c r="CMD1" s="18"/>
      <c r="CME1" s="18"/>
      <c r="CMF1" s="18"/>
      <c r="CMG1" s="18"/>
      <c r="CMH1" s="18"/>
      <c r="CMI1" s="18"/>
      <c r="CMJ1" s="18"/>
      <c r="CMK1" s="18"/>
      <c r="CML1" s="18"/>
      <c r="CMM1" s="18"/>
      <c r="CMN1" s="18"/>
      <c r="CMO1" s="18"/>
      <c r="CMP1" s="18"/>
      <c r="CMQ1" s="18"/>
      <c r="CMR1" s="18"/>
      <c r="CMS1" s="18"/>
      <c r="CMT1" s="18"/>
      <c r="CMU1" s="18"/>
      <c r="CMV1" s="18"/>
      <c r="CMW1" s="18"/>
      <c r="CMX1" s="18"/>
      <c r="CMY1" s="18"/>
      <c r="CMZ1" s="18"/>
      <c r="CNA1" s="18"/>
      <c r="CNB1" s="18"/>
      <c r="CNC1" s="18"/>
      <c r="CND1" s="18"/>
      <c r="CNE1" s="18"/>
      <c r="CNF1" s="18"/>
      <c r="CNG1" s="18"/>
      <c r="CNH1" s="18"/>
      <c r="CNI1" s="18"/>
      <c r="CNJ1" s="18"/>
      <c r="CNK1" s="18"/>
      <c r="CNL1" s="18"/>
      <c r="CNM1" s="18"/>
      <c r="CNN1" s="18"/>
      <c r="CNO1" s="18"/>
      <c r="CNP1" s="18"/>
      <c r="CNQ1" s="18"/>
      <c r="CNR1" s="18"/>
      <c r="CNS1" s="18"/>
      <c r="CNT1" s="18"/>
      <c r="CNU1" s="18"/>
      <c r="CNV1" s="18"/>
      <c r="CNW1" s="18"/>
      <c r="CNX1" s="18"/>
      <c r="CNY1" s="18"/>
      <c r="CNZ1" s="18"/>
      <c r="COA1" s="18"/>
      <c r="COB1" s="18"/>
      <c r="COC1" s="18"/>
      <c r="COD1" s="18"/>
      <c r="COE1" s="18"/>
      <c r="COF1" s="18"/>
      <c r="COG1" s="18"/>
      <c r="COH1" s="18"/>
      <c r="COI1" s="18"/>
      <c r="COJ1" s="18"/>
      <c r="COK1" s="18"/>
      <c r="COL1" s="18"/>
      <c r="COM1" s="18"/>
      <c r="CON1" s="18"/>
      <c r="COO1" s="18"/>
      <c r="COP1" s="18"/>
      <c r="COQ1" s="18"/>
      <c r="COR1" s="18"/>
      <c r="COS1" s="18"/>
      <c r="COT1" s="18"/>
      <c r="COU1" s="18"/>
      <c r="COV1" s="18"/>
      <c r="COW1" s="18"/>
      <c r="COX1" s="18"/>
      <c r="COY1" s="18"/>
      <c r="COZ1" s="18"/>
      <c r="CPA1" s="18"/>
      <c r="CPB1" s="18"/>
      <c r="CPC1" s="18"/>
      <c r="CPD1" s="18"/>
      <c r="CPE1" s="18"/>
      <c r="CPF1" s="18"/>
      <c r="CPG1" s="18"/>
      <c r="CPH1" s="18"/>
      <c r="CPI1" s="18"/>
      <c r="CPJ1" s="18"/>
      <c r="CPK1" s="18"/>
      <c r="CPL1" s="18"/>
      <c r="CPM1" s="18"/>
      <c r="CPN1" s="18"/>
      <c r="CPO1" s="18"/>
      <c r="CPP1" s="18"/>
      <c r="CPQ1" s="18"/>
      <c r="CPR1" s="18"/>
      <c r="CPS1" s="18"/>
      <c r="CPT1" s="18"/>
      <c r="CPU1" s="18"/>
      <c r="CPV1" s="18"/>
      <c r="CPW1" s="18"/>
      <c r="CPX1" s="18"/>
      <c r="CPY1" s="18"/>
      <c r="CPZ1" s="18"/>
      <c r="CQA1" s="18"/>
      <c r="CQB1" s="18"/>
      <c r="CQC1" s="18"/>
      <c r="CQD1" s="18"/>
      <c r="CQE1" s="18"/>
      <c r="CQF1" s="18"/>
      <c r="CQG1" s="18"/>
      <c r="CQH1" s="18"/>
      <c r="CQI1" s="18"/>
      <c r="CQJ1" s="18"/>
      <c r="CQK1" s="18"/>
      <c r="CQL1" s="18"/>
      <c r="CQM1" s="18"/>
      <c r="CQN1" s="18"/>
      <c r="CQO1" s="18"/>
      <c r="CQP1" s="18"/>
      <c r="CQQ1" s="18"/>
      <c r="CQR1" s="18"/>
      <c r="CQS1" s="18"/>
      <c r="CQT1" s="18"/>
      <c r="CQU1" s="18"/>
      <c r="CQV1" s="18"/>
      <c r="CQW1" s="18"/>
      <c r="CQX1" s="18"/>
      <c r="CQY1" s="18"/>
      <c r="CQZ1" s="18"/>
      <c r="CRA1" s="18"/>
      <c r="CRB1" s="18"/>
      <c r="CRC1" s="18"/>
      <c r="CRD1" s="18"/>
      <c r="CRE1" s="18"/>
      <c r="CRF1" s="18"/>
      <c r="CRG1" s="18"/>
      <c r="CRH1" s="18"/>
      <c r="CRI1" s="18"/>
      <c r="CRJ1" s="18"/>
      <c r="CRK1" s="18"/>
      <c r="CRL1" s="18"/>
      <c r="CRM1" s="18"/>
      <c r="CRN1" s="18"/>
      <c r="CRO1" s="18"/>
      <c r="CRP1" s="18"/>
      <c r="CRQ1" s="18"/>
      <c r="CRR1" s="18"/>
      <c r="CRS1" s="18"/>
      <c r="CRT1" s="18"/>
      <c r="CRU1" s="18"/>
      <c r="CRV1" s="18"/>
      <c r="CRW1" s="18"/>
      <c r="CRX1" s="18"/>
      <c r="CRY1" s="18"/>
      <c r="CRZ1" s="18"/>
      <c r="CSA1" s="18"/>
      <c r="CSB1" s="18"/>
      <c r="CSC1" s="18"/>
      <c r="CSD1" s="18"/>
      <c r="CSE1" s="18"/>
      <c r="CSF1" s="18"/>
      <c r="CSG1" s="18"/>
      <c r="CSH1" s="18"/>
      <c r="CSI1" s="18"/>
      <c r="CSJ1" s="18"/>
      <c r="CSK1" s="18"/>
      <c r="CSL1" s="18"/>
      <c r="CSM1" s="18"/>
      <c r="CSN1" s="18"/>
      <c r="CSO1" s="18"/>
      <c r="CSP1" s="18"/>
      <c r="CSQ1" s="18"/>
      <c r="CSR1" s="18"/>
      <c r="CSS1" s="18"/>
      <c r="CST1" s="18"/>
      <c r="CSU1" s="18"/>
      <c r="CSV1" s="18"/>
      <c r="CSW1" s="18"/>
      <c r="CSX1" s="18"/>
      <c r="CSY1" s="18"/>
      <c r="CSZ1" s="18"/>
      <c r="CTA1" s="18"/>
      <c r="CTB1" s="18"/>
      <c r="CTC1" s="18"/>
      <c r="CTD1" s="18"/>
      <c r="CTE1" s="18"/>
      <c r="CTF1" s="18"/>
      <c r="CTG1" s="18"/>
      <c r="CTH1" s="18"/>
      <c r="CTI1" s="18"/>
      <c r="CTJ1" s="18"/>
      <c r="CTK1" s="18"/>
      <c r="CTL1" s="18"/>
      <c r="CTM1" s="18"/>
      <c r="CTN1" s="18"/>
      <c r="CTO1" s="18"/>
      <c r="CTP1" s="18"/>
      <c r="CTQ1" s="18"/>
      <c r="CTR1" s="18"/>
      <c r="CTS1" s="18"/>
      <c r="CTT1" s="18"/>
      <c r="CTU1" s="18"/>
      <c r="CTV1" s="18"/>
      <c r="CTW1" s="18"/>
      <c r="CTX1" s="18"/>
      <c r="CTY1" s="18"/>
      <c r="CTZ1" s="18"/>
      <c r="CUA1" s="18"/>
      <c r="CUB1" s="18"/>
      <c r="CUC1" s="18"/>
      <c r="CUD1" s="18"/>
      <c r="CUE1" s="18"/>
      <c r="CUF1" s="18"/>
      <c r="CUG1" s="18"/>
      <c r="CUH1" s="18"/>
      <c r="CUI1" s="18"/>
      <c r="CUJ1" s="18"/>
      <c r="CUK1" s="18"/>
      <c r="CUL1" s="18"/>
      <c r="CUM1" s="18"/>
      <c r="CUN1" s="18"/>
      <c r="CUO1" s="18"/>
      <c r="CUP1" s="18"/>
      <c r="CUQ1" s="18"/>
      <c r="CUR1" s="18"/>
      <c r="CUS1" s="18"/>
      <c r="CUT1" s="18"/>
      <c r="CUU1" s="18"/>
      <c r="CUV1" s="18"/>
      <c r="CUW1" s="18"/>
      <c r="CUX1" s="18"/>
      <c r="CUY1" s="18"/>
      <c r="CUZ1" s="18"/>
      <c r="CVA1" s="18"/>
      <c r="CVB1" s="18"/>
      <c r="CVC1" s="18"/>
      <c r="CVD1" s="18"/>
      <c r="CVE1" s="18"/>
      <c r="CVF1" s="18"/>
      <c r="CVG1" s="18"/>
      <c r="CVH1" s="18"/>
      <c r="CVI1" s="18"/>
      <c r="CVJ1" s="18"/>
      <c r="CVK1" s="18"/>
      <c r="CVL1" s="18"/>
      <c r="CVM1" s="18"/>
      <c r="CVN1" s="18"/>
      <c r="CVO1" s="18"/>
      <c r="CVP1" s="18"/>
      <c r="CVQ1" s="18"/>
      <c r="CVR1" s="18"/>
      <c r="CVS1" s="18"/>
      <c r="CVT1" s="18"/>
      <c r="CVU1" s="18"/>
      <c r="CVV1" s="18"/>
      <c r="CVW1" s="18"/>
      <c r="CVX1" s="18"/>
      <c r="CVY1" s="18"/>
      <c r="CVZ1" s="18"/>
      <c r="CWA1" s="18"/>
      <c r="CWB1" s="18"/>
      <c r="CWC1" s="18"/>
      <c r="CWD1" s="18"/>
      <c r="CWE1" s="18"/>
      <c r="CWF1" s="18"/>
      <c r="CWG1" s="18"/>
      <c r="CWH1" s="18"/>
      <c r="CWI1" s="18"/>
      <c r="CWJ1" s="18"/>
      <c r="CWK1" s="18"/>
      <c r="CWL1" s="18"/>
      <c r="CWM1" s="18"/>
      <c r="CWN1" s="18"/>
      <c r="CWO1" s="18"/>
      <c r="CWP1" s="18"/>
      <c r="CWQ1" s="18"/>
      <c r="CWR1" s="18"/>
      <c r="CWS1" s="18"/>
      <c r="CWT1" s="18"/>
      <c r="CWU1" s="18"/>
      <c r="CWV1" s="18"/>
      <c r="CWW1" s="18"/>
      <c r="CWX1" s="18"/>
      <c r="CWY1" s="18"/>
      <c r="CWZ1" s="18"/>
      <c r="CXA1" s="18"/>
      <c r="CXB1" s="18"/>
      <c r="CXC1" s="18"/>
      <c r="CXD1" s="18"/>
      <c r="CXE1" s="18"/>
      <c r="CXF1" s="18"/>
      <c r="CXG1" s="18"/>
      <c r="CXH1" s="18"/>
      <c r="CXI1" s="18"/>
      <c r="CXJ1" s="18"/>
      <c r="CXK1" s="18"/>
      <c r="CXL1" s="18"/>
      <c r="CXM1" s="18"/>
      <c r="CXN1" s="18"/>
      <c r="CXO1" s="18"/>
      <c r="CXP1" s="18"/>
      <c r="CXQ1" s="18"/>
      <c r="CXR1" s="18"/>
      <c r="CXS1" s="18"/>
      <c r="CXT1" s="18"/>
      <c r="CXU1" s="18"/>
      <c r="CXV1" s="18"/>
      <c r="CXW1" s="18"/>
      <c r="CXX1" s="18"/>
      <c r="CXY1" s="18"/>
      <c r="CXZ1" s="18"/>
      <c r="CYA1" s="18"/>
      <c r="CYB1" s="18"/>
      <c r="CYC1" s="18"/>
      <c r="CYD1" s="18"/>
      <c r="CYE1" s="18"/>
      <c r="CYF1" s="18"/>
      <c r="CYG1" s="18"/>
      <c r="CYH1" s="18"/>
      <c r="CYI1" s="18"/>
      <c r="CYJ1" s="18"/>
      <c r="CYK1" s="18"/>
      <c r="CYL1" s="18"/>
      <c r="CYM1" s="18"/>
      <c r="CYN1" s="18"/>
      <c r="CYO1" s="18"/>
      <c r="CYP1" s="18"/>
      <c r="CYQ1" s="18"/>
      <c r="CYR1" s="18"/>
      <c r="CYS1" s="18"/>
      <c r="CYT1" s="18"/>
      <c r="CYU1" s="18"/>
      <c r="CYV1" s="18"/>
      <c r="CYW1" s="18"/>
      <c r="CYX1" s="18"/>
      <c r="CYY1" s="18"/>
      <c r="CYZ1" s="18"/>
      <c r="CZA1" s="18"/>
      <c r="CZB1" s="18"/>
      <c r="CZC1" s="18"/>
      <c r="CZD1" s="18"/>
      <c r="CZE1" s="18"/>
      <c r="CZF1" s="18"/>
      <c r="CZG1" s="18"/>
      <c r="CZH1" s="18"/>
      <c r="CZI1" s="18"/>
      <c r="CZJ1" s="18"/>
      <c r="CZK1" s="18"/>
      <c r="CZL1" s="18"/>
      <c r="CZM1" s="18"/>
      <c r="CZN1" s="18"/>
      <c r="CZO1" s="18"/>
      <c r="CZP1" s="18"/>
      <c r="CZQ1" s="18"/>
      <c r="CZR1" s="18"/>
      <c r="CZS1" s="18"/>
      <c r="CZT1" s="18"/>
      <c r="CZU1" s="18"/>
      <c r="CZV1" s="18"/>
      <c r="CZW1" s="18"/>
      <c r="CZX1" s="18"/>
      <c r="CZY1" s="18"/>
      <c r="CZZ1" s="18"/>
      <c r="DAA1" s="18"/>
      <c r="DAB1" s="18"/>
      <c r="DAC1" s="18"/>
      <c r="DAD1" s="18"/>
      <c r="DAE1" s="18"/>
      <c r="DAF1" s="18"/>
      <c r="DAG1" s="18"/>
      <c r="DAH1" s="18"/>
      <c r="DAI1" s="18"/>
      <c r="DAJ1" s="18"/>
      <c r="DAK1" s="18"/>
      <c r="DAL1" s="18"/>
      <c r="DAM1" s="18"/>
      <c r="DAN1" s="18"/>
      <c r="DAO1" s="18"/>
      <c r="DAP1" s="18"/>
      <c r="DAQ1" s="18"/>
      <c r="DAR1" s="18"/>
      <c r="DAS1" s="18"/>
      <c r="DAT1" s="18"/>
      <c r="DAU1" s="18"/>
      <c r="DAV1" s="18"/>
      <c r="DAW1" s="18"/>
      <c r="DAX1" s="18"/>
      <c r="DAY1" s="18"/>
      <c r="DAZ1" s="18"/>
      <c r="DBA1" s="18"/>
      <c r="DBB1" s="18"/>
      <c r="DBC1" s="18"/>
      <c r="DBD1" s="18"/>
      <c r="DBE1" s="18"/>
      <c r="DBF1" s="18"/>
      <c r="DBG1" s="18"/>
      <c r="DBH1" s="18"/>
      <c r="DBI1" s="18"/>
      <c r="DBJ1" s="18"/>
      <c r="DBK1" s="18"/>
      <c r="DBL1" s="18"/>
      <c r="DBM1" s="18"/>
      <c r="DBN1" s="18"/>
      <c r="DBO1" s="18"/>
      <c r="DBP1" s="18"/>
      <c r="DBQ1" s="18"/>
      <c r="DBR1" s="18"/>
      <c r="DBS1" s="18"/>
      <c r="DBT1" s="18"/>
      <c r="DBU1" s="18"/>
      <c r="DBV1" s="18"/>
      <c r="DBW1" s="18"/>
      <c r="DBX1" s="18"/>
      <c r="DBY1" s="18"/>
      <c r="DBZ1" s="18"/>
      <c r="DCA1" s="18"/>
      <c r="DCB1" s="18"/>
      <c r="DCC1" s="18"/>
      <c r="DCD1" s="18"/>
      <c r="DCE1" s="18"/>
      <c r="DCF1" s="18"/>
      <c r="DCG1" s="18"/>
      <c r="DCH1" s="18"/>
      <c r="DCI1" s="18"/>
      <c r="DCJ1" s="18"/>
      <c r="DCK1" s="18"/>
      <c r="DCL1" s="18"/>
      <c r="DCM1" s="18"/>
      <c r="DCN1" s="18"/>
      <c r="DCO1" s="18"/>
      <c r="DCP1" s="18"/>
      <c r="DCQ1" s="18"/>
      <c r="DCR1" s="18"/>
      <c r="DCS1" s="18"/>
      <c r="DCT1" s="18"/>
      <c r="DCU1" s="18"/>
      <c r="DCV1" s="18"/>
      <c r="DCW1" s="18"/>
      <c r="DCX1" s="18"/>
      <c r="DCY1" s="18"/>
      <c r="DCZ1" s="18"/>
      <c r="DDA1" s="18"/>
      <c r="DDB1" s="18"/>
      <c r="DDC1" s="18"/>
      <c r="DDD1" s="18"/>
      <c r="DDE1" s="18"/>
      <c r="DDF1" s="18"/>
      <c r="DDG1" s="18"/>
      <c r="DDH1" s="18"/>
      <c r="DDI1" s="18"/>
      <c r="DDJ1" s="18"/>
      <c r="DDK1" s="18"/>
      <c r="DDL1" s="18"/>
      <c r="DDM1" s="18"/>
      <c r="DDN1" s="18"/>
      <c r="DDO1" s="18"/>
      <c r="DDP1" s="18"/>
      <c r="DDQ1" s="18"/>
      <c r="DDR1" s="18"/>
      <c r="DDS1" s="18"/>
      <c r="DDT1" s="18"/>
      <c r="DDU1" s="18"/>
      <c r="DDV1" s="18"/>
      <c r="DDW1" s="18"/>
      <c r="DDX1" s="18"/>
      <c r="DDY1" s="18"/>
      <c r="DDZ1" s="18"/>
      <c r="DEA1" s="18"/>
      <c r="DEB1" s="18"/>
      <c r="DEC1" s="18"/>
      <c r="DED1" s="18"/>
      <c r="DEE1" s="18"/>
      <c r="DEF1" s="18"/>
      <c r="DEG1" s="18"/>
      <c r="DEH1" s="18"/>
      <c r="DEI1" s="18"/>
      <c r="DEJ1" s="18"/>
      <c r="DEK1" s="18"/>
      <c r="DEL1" s="18"/>
      <c r="DEM1" s="18"/>
      <c r="DEN1" s="18"/>
      <c r="DEO1" s="18"/>
      <c r="DEP1" s="18"/>
      <c r="DEQ1" s="18"/>
      <c r="DER1" s="18"/>
      <c r="DES1" s="18"/>
      <c r="DET1" s="18"/>
      <c r="DEU1" s="18"/>
      <c r="DEV1" s="18"/>
      <c r="DEW1" s="18"/>
      <c r="DEX1" s="18"/>
      <c r="DEY1" s="18"/>
      <c r="DEZ1" s="18"/>
      <c r="DFA1" s="18"/>
      <c r="DFB1" s="18"/>
      <c r="DFC1" s="18"/>
      <c r="DFD1" s="18"/>
      <c r="DFE1" s="18"/>
      <c r="DFF1" s="18"/>
      <c r="DFG1" s="18"/>
      <c r="DFH1" s="18"/>
      <c r="DFI1" s="18"/>
      <c r="DFJ1" s="18"/>
      <c r="DFK1" s="18"/>
      <c r="DFL1" s="18"/>
      <c r="DFM1" s="18"/>
      <c r="DFN1" s="18"/>
      <c r="DFO1" s="18"/>
      <c r="DFP1" s="18"/>
      <c r="DFQ1" s="18"/>
      <c r="DFR1" s="18"/>
      <c r="DFS1" s="18"/>
      <c r="DFT1" s="18"/>
      <c r="DFU1" s="18"/>
      <c r="DFV1" s="18"/>
      <c r="DFW1" s="18"/>
      <c r="DFX1" s="18"/>
      <c r="DFY1" s="18"/>
      <c r="DFZ1" s="18"/>
      <c r="DGA1" s="18"/>
      <c r="DGB1" s="18"/>
      <c r="DGC1" s="18"/>
      <c r="DGD1" s="18"/>
      <c r="DGE1" s="18"/>
      <c r="DGF1" s="18"/>
      <c r="DGG1" s="18"/>
      <c r="DGH1" s="18"/>
      <c r="DGI1" s="18"/>
      <c r="DGJ1" s="18"/>
      <c r="DGK1" s="18"/>
      <c r="DGL1" s="18"/>
      <c r="DGM1" s="18"/>
      <c r="DGN1" s="18"/>
      <c r="DGO1" s="18"/>
      <c r="DGP1" s="18"/>
      <c r="DGQ1" s="18"/>
      <c r="DGR1" s="18"/>
      <c r="DGS1" s="18"/>
      <c r="DGT1" s="18"/>
      <c r="DGU1" s="18"/>
      <c r="DGV1" s="18"/>
      <c r="DGW1" s="18"/>
      <c r="DGX1" s="18"/>
      <c r="DGY1" s="18"/>
      <c r="DGZ1" s="18"/>
      <c r="DHA1" s="18"/>
      <c r="DHB1" s="18"/>
      <c r="DHC1" s="18"/>
      <c r="DHD1" s="18"/>
      <c r="DHE1" s="18"/>
      <c r="DHF1" s="18"/>
      <c r="DHG1" s="18"/>
      <c r="DHH1" s="18"/>
      <c r="DHI1" s="18"/>
      <c r="DHJ1" s="18"/>
      <c r="DHK1" s="18"/>
      <c r="DHL1" s="18"/>
      <c r="DHM1" s="18"/>
      <c r="DHN1" s="18"/>
      <c r="DHO1" s="18"/>
      <c r="DHP1" s="18"/>
      <c r="DHQ1" s="18"/>
      <c r="DHR1" s="18"/>
      <c r="DHS1" s="18"/>
      <c r="DHT1" s="18"/>
      <c r="DHU1" s="18"/>
      <c r="DHV1" s="18"/>
      <c r="DHW1" s="18"/>
      <c r="DHX1" s="18"/>
      <c r="DHY1" s="18"/>
      <c r="DHZ1" s="18"/>
      <c r="DIA1" s="18"/>
      <c r="DIB1" s="18"/>
      <c r="DIC1" s="18"/>
      <c r="DID1" s="18"/>
      <c r="DIE1" s="18"/>
      <c r="DIF1" s="18"/>
      <c r="DIG1" s="18"/>
      <c r="DIH1" s="18"/>
      <c r="DII1" s="18"/>
      <c r="DIJ1" s="18"/>
      <c r="DIK1" s="18"/>
      <c r="DIL1" s="18"/>
      <c r="DIM1" s="18"/>
      <c r="DIN1" s="18"/>
      <c r="DIO1" s="18"/>
      <c r="DIP1" s="18"/>
      <c r="DIQ1" s="18"/>
      <c r="DIR1" s="18"/>
      <c r="DIS1" s="18"/>
      <c r="DIT1" s="18"/>
      <c r="DIU1" s="18"/>
      <c r="DIV1" s="18"/>
      <c r="DIW1" s="18"/>
      <c r="DIX1" s="18"/>
      <c r="DIY1" s="18"/>
      <c r="DIZ1" s="18"/>
      <c r="DJA1" s="18"/>
      <c r="DJB1" s="18"/>
      <c r="DJC1" s="18"/>
      <c r="DJD1" s="18"/>
      <c r="DJE1" s="18"/>
      <c r="DJF1" s="18"/>
      <c r="DJG1" s="18"/>
      <c r="DJH1" s="18"/>
      <c r="DJI1" s="18"/>
      <c r="DJJ1" s="18"/>
      <c r="DJK1" s="18"/>
      <c r="DJL1" s="18"/>
      <c r="DJM1" s="18"/>
      <c r="DJN1" s="18"/>
      <c r="DJO1" s="18"/>
      <c r="DJP1" s="18"/>
      <c r="DJQ1" s="18"/>
      <c r="DJR1" s="18"/>
      <c r="DJS1" s="18"/>
      <c r="DJT1" s="18"/>
      <c r="DJU1" s="18"/>
      <c r="DJV1" s="18"/>
      <c r="DJW1" s="18"/>
      <c r="DJX1" s="18"/>
      <c r="DJY1" s="18"/>
      <c r="DJZ1" s="18"/>
      <c r="DKA1" s="18"/>
      <c r="DKB1" s="18"/>
      <c r="DKC1" s="18"/>
      <c r="DKD1" s="18"/>
      <c r="DKE1" s="18"/>
      <c r="DKF1" s="18"/>
      <c r="DKG1" s="18"/>
      <c r="DKH1" s="18"/>
      <c r="DKI1" s="18"/>
      <c r="DKJ1" s="18"/>
      <c r="DKK1" s="18"/>
      <c r="DKL1" s="18"/>
      <c r="DKM1" s="18"/>
      <c r="DKN1" s="18"/>
      <c r="DKO1" s="18"/>
      <c r="DKP1" s="18"/>
      <c r="DKQ1" s="18"/>
      <c r="DKR1" s="18"/>
      <c r="DKS1" s="18"/>
      <c r="DKT1" s="18"/>
      <c r="DKU1" s="18"/>
      <c r="DKV1" s="18"/>
      <c r="DKW1" s="18"/>
      <c r="DKX1" s="18"/>
      <c r="DKY1" s="18"/>
      <c r="DKZ1" s="18"/>
      <c r="DLA1" s="18"/>
      <c r="DLB1" s="18"/>
      <c r="DLC1" s="18"/>
      <c r="DLD1" s="18"/>
      <c r="DLE1" s="18"/>
      <c r="DLF1" s="18"/>
      <c r="DLG1" s="18"/>
      <c r="DLH1" s="18"/>
      <c r="DLI1" s="18"/>
      <c r="DLJ1" s="18"/>
      <c r="DLK1" s="18"/>
      <c r="DLL1" s="18"/>
      <c r="DLM1" s="18"/>
      <c r="DLN1" s="18"/>
      <c r="DLO1" s="18"/>
      <c r="DLP1" s="18"/>
      <c r="DLQ1" s="18"/>
      <c r="DLR1" s="18"/>
      <c r="DLS1" s="18"/>
      <c r="DLT1" s="18"/>
      <c r="DLU1" s="18"/>
      <c r="DLV1" s="18"/>
      <c r="DLW1" s="18"/>
      <c r="DLX1" s="18"/>
      <c r="DLY1" s="18"/>
      <c r="DLZ1" s="18"/>
      <c r="DMA1" s="18"/>
      <c r="DMB1" s="18"/>
      <c r="DMC1" s="18"/>
      <c r="DMD1" s="18"/>
      <c r="DME1" s="18"/>
      <c r="DMF1" s="18"/>
      <c r="DMG1" s="18"/>
      <c r="DMH1" s="18"/>
      <c r="DMI1" s="18"/>
      <c r="DMJ1" s="18"/>
      <c r="DMK1" s="18"/>
      <c r="DML1" s="18"/>
      <c r="DMM1" s="18"/>
      <c r="DMN1" s="18"/>
      <c r="DMO1" s="18"/>
      <c r="DMP1" s="18"/>
      <c r="DMQ1" s="18"/>
      <c r="DMR1" s="18"/>
      <c r="DMS1" s="18"/>
      <c r="DMT1" s="18"/>
      <c r="DMU1" s="18"/>
      <c r="DMV1" s="18"/>
      <c r="DMW1" s="18"/>
      <c r="DMX1" s="18"/>
      <c r="DMY1" s="18"/>
      <c r="DMZ1" s="18"/>
      <c r="DNA1" s="18"/>
      <c r="DNB1" s="18"/>
      <c r="DNC1" s="18"/>
      <c r="DND1" s="18"/>
      <c r="DNE1" s="18"/>
      <c r="DNF1" s="18"/>
      <c r="DNG1" s="18"/>
      <c r="DNH1" s="18"/>
      <c r="DNI1" s="18"/>
      <c r="DNJ1" s="18"/>
      <c r="DNK1" s="18"/>
      <c r="DNL1" s="18"/>
      <c r="DNM1" s="18"/>
      <c r="DNN1" s="18"/>
      <c r="DNO1" s="18"/>
      <c r="DNP1" s="18"/>
      <c r="DNQ1" s="18"/>
      <c r="DNR1" s="18"/>
      <c r="DNS1" s="18"/>
      <c r="DNT1" s="18"/>
      <c r="DNU1" s="18"/>
      <c r="DNV1" s="18"/>
      <c r="DNW1" s="18"/>
      <c r="DNX1" s="18"/>
      <c r="DNY1" s="18"/>
      <c r="DNZ1" s="18"/>
      <c r="DOA1" s="18"/>
      <c r="DOB1" s="18"/>
      <c r="DOC1" s="18"/>
      <c r="DOD1" s="18"/>
      <c r="DOE1" s="18"/>
      <c r="DOF1" s="18"/>
      <c r="DOG1" s="18"/>
      <c r="DOH1" s="18"/>
      <c r="DOI1" s="18"/>
      <c r="DOJ1" s="18"/>
      <c r="DOK1" s="18"/>
      <c r="DOL1" s="18"/>
      <c r="DOM1" s="18"/>
      <c r="DON1" s="18"/>
      <c r="DOO1" s="18"/>
      <c r="DOP1" s="18"/>
      <c r="DOQ1" s="18"/>
      <c r="DOR1" s="18"/>
      <c r="DOS1" s="18"/>
      <c r="DOT1" s="18"/>
      <c r="DOU1" s="18"/>
      <c r="DOV1" s="18"/>
      <c r="DOW1" s="18"/>
      <c r="DOX1" s="18"/>
      <c r="DOY1" s="18"/>
      <c r="DOZ1" s="18"/>
      <c r="DPA1" s="18"/>
      <c r="DPB1" s="18"/>
      <c r="DPC1" s="18"/>
      <c r="DPD1" s="18"/>
      <c r="DPE1" s="18"/>
      <c r="DPF1" s="18"/>
      <c r="DPG1" s="18"/>
      <c r="DPH1" s="18"/>
      <c r="DPI1" s="18"/>
      <c r="DPJ1" s="18"/>
      <c r="DPK1" s="18"/>
      <c r="DPL1" s="18"/>
      <c r="DPM1" s="18"/>
      <c r="DPN1" s="18"/>
      <c r="DPO1" s="18"/>
      <c r="DPP1" s="18"/>
      <c r="DPQ1" s="18"/>
      <c r="DPR1" s="18"/>
      <c r="DPS1" s="18"/>
      <c r="DPT1" s="18"/>
      <c r="DPU1" s="18"/>
      <c r="DPV1" s="18"/>
      <c r="DPW1" s="18"/>
      <c r="DPX1" s="18"/>
      <c r="DPY1" s="18"/>
      <c r="DPZ1" s="18"/>
      <c r="DQA1" s="18"/>
      <c r="DQB1" s="18"/>
      <c r="DQC1" s="18"/>
      <c r="DQD1" s="18"/>
      <c r="DQE1" s="18"/>
      <c r="DQF1" s="18"/>
      <c r="DQG1" s="18"/>
      <c r="DQH1" s="18"/>
      <c r="DQI1" s="18"/>
      <c r="DQJ1" s="18"/>
      <c r="DQK1" s="18"/>
      <c r="DQL1" s="18"/>
      <c r="DQM1" s="18"/>
      <c r="DQN1" s="18"/>
      <c r="DQO1" s="18"/>
      <c r="DQP1" s="18"/>
      <c r="DQQ1" s="18"/>
      <c r="DQR1" s="18"/>
      <c r="DQS1" s="18"/>
      <c r="DQT1" s="18"/>
      <c r="DQU1" s="18"/>
      <c r="DQV1" s="18"/>
      <c r="DQW1" s="18"/>
      <c r="DQX1" s="18"/>
      <c r="DQY1" s="18"/>
      <c r="DQZ1" s="18"/>
      <c r="DRA1" s="18"/>
      <c r="DRB1" s="18"/>
      <c r="DRC1" s="18"/>
      <c r="DRD1" s="18"/>
      <c r="DRE1" s="18"/>
      <c r="DRF1" s="18"/>
      <c r="DRG1" s="18"/>
      <c r="DRH1" s="18"/>
      <c r="DRI1" s="18"/>
      <c r="DRJ1" s="18"/>
      <c r="DRK1" s="18"/>
      <c r="DRL1" s="18"/>
      <c r="DRM1" s="18"/>
      <c r="DRN1" s="18"/>
      <c r="DRO1" s="18"/>
      <c r="DRP1" s="18"/>
      <c r="DRQ1" s="18"/>
      <c r="DRR1" s="18"/>
      <c r="DRS1" s="18"/>
      <c r="DRT1" s="18"/>
      <c r="DRU1" s="18"/>
      <c r="DRV1" s="18"/>
      <c r="DRW1" s="18"/>
      <c r="DRX1" s="18"/>
      <c r="DRY1" s="18"/>
      <c r="DRZ1" s="18"/>
      <c r="DSA1" s="18"/>
      <c r="DSB1" s="18"/>
      <c r="DSC1" s="18"/>
      <c r="DSD1" s="18"/>
      <c r="DSE1" s="18"/>
      <c r="DSF1" s="18"/>
      <c r="DSG1" s="18"/>
      <c r="DSH1" s="18"/>
      <c r="DSI1" s="18"/>
      <c r="DSJ1" s="18"/>
      <c r="DSK1" s="18"/>
      <c r="DSL1" s="18"/>
      <c r="DSM1" s="18"/>
      <c r="DSN1" s="18"/>
      <c r="DSO1" s="18"/>
      <c r="DSP1" s="18"/>
      <c r="DSQ1" s="18"/>
      <c r="DSR1" s="18"/>
      <c r="DSS1" s="18"/>
      <c r="DST1" s="18"/>
      <c r="DSU1" s="18"/>
      <c r="DSV1" s="18"/>
      <c r="DSW1" s="18"/>
      <c r="DSX1" s="18"/>
      <c r="DSY1" s="18"/>
      <c r="DSZ1" s="18"/>
      <c r="DTA1" s="18"/>
      <c r="DTB1" s="18"/>
      <c r="DTC1" s="18"/>
      <c r="DTD1" s="18"/>
      <c r="DTE1" s="18"/>
      <c r="DTF1" s="18"/>
      <c r="DTG1" s="18"/>
      <c r="DTH1" s="18"/>
      <c r="DTI1" s="18"/>
      <c r="DTJ1" s="18"/>
      <c r="DTK1" s="18"/>
      <c r="DTL1" s="18"/>
      <c r="DTM1" s="18"/>
      <c r="DTN1" s="18"/>
      <c r="DTO1" s="18"/>
      <c r="DTP1" s="18"/>
      <c r="DTQ1" s="18"/>
      <c r="DTR1" s="18"/>
      <c r="DTS1" s="18"/>
      <c r="DTT1" s="18"/>
      <c r="DTU1" s="18"/>
      <c r="DTV1" s="18"/>
      <c r="DTW1" s="18"/>
      <c r="DTX1" s="18"/>
      <c r="DTY1" s="18"/>
      <c r="DTZ1" s="18"/>
      <c r="DUA1" s="18"/>
      <c r="DUB1" s="18"/>
      <c r="DUC1" s="18"/>
      <c r="DUD1" s="18"/>
      <c r="DUE1" s="18"/>
      <c r="DUF1" s="18"/>
      <c r="DUG1" s="18"/>
      <c r="DUH1" s="18"/>
      <c r="DUI1" s="18"/>
      <c r="DUJ1" s="18"/>
      <c r="DUK1" s="18"/>
      <c r="DUL1" s="18"/>
      <c r="DUM1" s="18"/>
      <c r="DUN1" s="18"/>
      <c r="DUO1" s="18"/>
      <c r="DUP1" s="18"/>
      <c r="DUQ1" s="18"/>
      <c r="DUR1" s="18"/>
      <c r="DUS1" s="18"/>
      <c r="DUT1" s="18"/>
      <c r="DUU1" s="18"/>
      <c r="DUV1" s="18"/>
      <c r="DUW1" s="18"/>
      <c r="DUX1" s="18"/>
      <c r="DUY1" s="18"/>
      <c r="DUZ1" s="18"/>
      <c r="DVA1" s="18"/>
      <c r="DVB1" s="18"/>
      <c r="DVC1" s="18"/>
      <c r="DVD1" s="18"/>
      <c r="DVE1" s="18"/>
      <c r="DVF1" s="18"/>
      <c r="DVG1" s="18"/>
      <c r="DVH1" s="18"/>
      <c r="DVI1" s="18"/>
      <c r="DVJ1" s="18"/>
      <c r="DVK1" s="18"/>
      <c r="DVL1" s="18"/>
      <c r="DVM1" s="18"/>
      <c r="DVN1" s="18"/>
      <c r="DVO1" s="18"/>
      <c r="DVP1" s="18"/>
      <c r="DVQ1" s="18"/>
      <c r="DVR1" s="18"/>
      <c r="DVS1" s="18"/>
      <c r="DVT1" s="18"/>
      <c r="DVU1" s="18"/>
      <c r="DVV1" s="18"/>
      <c r="DVW1" s="18"/>
      <c r="DVX1" s="18"/>
      <c r="DVY1" s="18"/>
      <c r="DVZ1" s="18"/>
      <c r="DWA1" s="18"/>
      <c r="DWB1" s="18"/>
      <c r="DWC1" s="18"/>
      <c r="DWD1" s="18"/>
      <c r="DWE1" s="18"/>
      <c r="DWF1" s="18"/>
      <c r="DWG1" s="18"/>
      <c r="DWH1" s="18"/>
      <c r="DWI1" s="18"/>
      <c r="DWJ1" s="18"/>
      <c r="DWK1" s="18"/>
      <c r="DWL1" s="18"/>
      <c r="DWM1" s="18"/>
      <c r="DWN1" s="18"/>
      <c r="DWO1" s="18"/>
      <c r="DWP1" s="18"/>
      <c r="DWQ1" s="18"/>
      <c r="DWR1" s="18"/>
      <c r="DWS1" s="18"/>
      <c r="DWT1" s="18"/>
      <c r="DWU1" s="18"/>
      <c r="DWV1" s="18"/>
      <c r="DWW1" s="18"/>
      <c r="DWX1" s="18"/>
      <c r="DWY1" s="18"/>
      <c r="DWZ1" s="18"/>
      <c r="DXA1" s="18"/>
      <c r="DXB1" s="18"/>
      <c r="DXC1" s="18"/>
      <c r="DXD1" s="18"/>
      <c r="DXE1" s="18"/>
      <c r="DXF1" s="18"/>
      <c r="DXG1" s="18"/>
      <c r="DXH1" s="18"/>
      <c r="DXI1" s="18"/>
      <c r="DXJ1" s="18"/>
      <c r="DXK1" s="18"/>
      <c r="DXL1" s="18"/>
      <c r="DXM1" s="18"/>
      <c r="DXN1" s="18"/>
      <c r="DXO1" s="18"/>
      <c r="DXP1" s="18"/>
      <c r="DXQ1" s="18"/>
      <c r="DXR1" s="18"/>
      <c r="DXS1" s="18"/>
      <c r="DXT1" s="18"/>
      <c r="DXU1" s="18"/>
      <c r="DXV1" s="18"/>
      <c r="DXW1" s="18"/>
      <c r="DXX1" s="18"/>
      <c r="DXY1" s="18"/>
      <c r="DXZ1" s="18"/>
      <c r="DYA1" s="18"/>
      <c r="DYB1" s="18"/>
      <c r="DYC1" s="18"/>
      <c r="DYD1" s="18"/>
      <c r="DYE1" s="18"/>
      <c r="DYF1" s="18"/>
      <c r="DYG1" s="18"/>
      <c r="DYH1" s="18"/>
      <c r="DYI1" s="18"/>
      <c r="DYJ1" s="18"/>
      <c r="DYK1" s="18"/>
      <c r="DYL1" s="18"/>
      <c r="DYM1" s="18"/>
      <c r="DYN1" s="18"/>
      <c r="DYO1" s="18"/>
      <c r="DYP1" s="18"/>
      <c r="DYQ1" s="18"/>
      <c r="DYR1" s="18"/>
      <c r="DYS1" s="18"/>
      <c r="DYT1" s="18"/>
      <c r="DYU1" s="18"/>
      <c r="DYV1" s="18"/>
      <c r="DYW1" s="18"/>
      <c r="DYX1" s="18"/>
      <c r="DYY1" s="18"/>
      <c r="DYZ1" s="18"/>
      <c r="DZA1" s="18"/>
      <c r="DZB1" s="18"/>
      <c r="DZC1" s="18"/>
      <c r="DZD1" s="18"/>
      <c r="DZE1" s="18"/>
      <c r="DZF1" s="18"/>
      <c r="DZG1" s="18"/>
      <c r="DZH1" s="18"/>
      <c r="DZI1" s="18"/>
      <c r="DZJ1" s="18"/>
      <c r="DZK1" s="18"/>
      <c r="DZL1" s="18"/>
      <c r="DZM1" s="18"/>
      <c r="DZN1" s="18"/>
      <c r="DZO1" s="18"/>
      <c r="DZP1" s="18"/>
      <c r="DZQ1" s="18"/>
      <c r="DZR1" s="18"/>
      <c r="DZS1" s="18"/>
      <c r="DZT1" s="18"/>
      <c r="DZU1" s="18"/>
      <c r="DZV1" s="18"/>
      <c r="DZW1" s="18"/>
      <c r="DZX1" s="18"/>
      <c r="DZY1" s="18"/>
      <c r="DZZ1" s="18"/>
      <c r="EAA1" s="18"/>
      <c r="EAB1" s="18"/>
      <c r="EAC1" s="18"/>
      <c r="EAD1" s="18"/>
      <c r="EAE1" s="18"/>
      <c r="EAF1" s="18"/>
      <c r="EAG1" s="18"/>
      <c r="EAH1" s="18"/>
      <c r="EAI1" s="18"/>
      <c r="EAJ1" s="18"/>
      <c r="EAK1" s="18"/>
      <c r="EAL1" s="18"/>
      <c r="EAM1" s="18"/>
      <c r="EAN1" s="18"/>
      <c r="EAO1" s="18"/>
      <c r="EAP1" s="18"/>
      <c r="EAQ1" s="18"/>
      <c r="EAR1" s="18"/>
      <c r="EAS1" s="18"/>
      <c r="EAT1" s="18"/>
      <c r="EAU1" s="18"/>
      <c r="EAV1" s="18"/>
      <c r="EAW1" s="18"/>
      <c r="EAX1" s="18"/>
      <c r="EAY1" s="18"/>
      <c r="EAZ1" s="18"/>
      <c r="EBA1" s="18"/>
      <c r="EBB1" s="18"/>
      <c r="EBC1" s="18"/>
      <c r="EBD1" s="18"/>
      <c r="EBE1" s="18"/>
      <c r="EBF1" s="18"/>
      <c r="EBG1" s="18"/>
      <c r="EBH1" s="18"/>
      <c r="EBI1" s="18"/>
      <c r="EBJ1" s="18"/>
      <c r="EBK1" s="18"/>
      <c r="EBL1" s="18"/>
      <c r="EBM1" s="18"/>
      <c r="EBN1" s="18"/>
      <c r="EBO1" s="18"/>
      <c r="EBP1" s="18"/>
      <c r="EBQ1" s="18"/>
      <c r="EBR1" s="18"/>
      <c r="EBS1" s="18"/>
      <c r="EBT1" s="18"/>
      <c r="EBU1" s="18"/>
      <c r="EBV1" s="18"/>
      <c r="EBW1" s="18"/>
      <c r="EBX1" s="18"/>
      <c r="EBY1" s="18"/>
      <c r="EBZ1" s="18"/>
      <c r="ECA1" s="18"/>
      <c r="ECB1" s="18"/>
      <c r="ECC1" s="18"/>
      <c r="ECD1" s="18"/>
      <c r="ECE1" s="18"/>
      <c r="ECF1" s="18"/>
      <c r="ECG1" s="18"/>
      <c r="ECH1" s="18"/>
      <c r="ECI1" s="18"/>
      <c r="ECJ1" s="18"/>
      <c r="ECK1" s="18"/>
      <c r="ECL1" s="18"/>
      <c r="ECM1" s="18"/>
      <c r="ECN1" s="18"/>
      <c r="ECO1" s="18"/>
      <c r="ECP1" s="18"/>
      <c r="ECQ1" s="18"/>
      <c r="ECR1" s="18"/>
      <c r="ECS1" s="18"/>
      <c r="ECT1" s="18"/>
      <c r="ECU1" s="18"/>
      <c r="ECV1" s="18"/>
      <c r="ECW1" s="18"/>
      <c r="ECX1" s="18"/>
      <c r="ECY1" s="18"/>
      <c r="ECZ1" s="18"/>
      <c r="EDA1" s="18"/>
      <c r="EDB1" s="18"/>
      <c r="EDC1" s="18"/>
      <c r="EDD1" s="18"/>
      <c r="EDE1" s="18"/>
      <c r="EDF1" s="18"/>
      <c r="EDG1" s="18"/>
      <c r="EDH1" s="18"/>
      <c r="EDI1" s="18"/>
      <c r="EDJ1" s="18"/>
      <c r="EDK1" s="18"/>
      <c r="EDL1" s="18"/>
      <c r="EDM1" s="18"/>
      <c r="EDN1" s="18"/>
      <c r="EDO1" s="18"/>
      <c r="EDP1" s="18"/>
      <c r="EDQ1" s="18"/>
      <c r="EDR1" s="18"/>
      <c r="EDS1" s="18"/>
      <c r="EDT1" s="18"/>
      <c r="EDU1" s="18"/>
      <c r="EDV1" s="18"/>
      <c r="EDW1" s="18"/>
      <c r="EDX1" s="18"/>
      <c r="EDY1" s="18"/>
      <c r="EDZ1" s="18"/>
      <c r="EEA1" s="18"/>
      <c r="EEB1" s="18"/>
      <c r="EEC1" s="18"/>
      <c r="EED1" s="18"/>
      <c r="EEE1" s="18"/>
      <c r="EEF1" s="18"/>
      <c r="EEG1" s="18"/>
      <c r="EEH1" s="18"/>
      <c r="EEI1" s="18"/>
      <c r="EEJ1" s="18"/>
      <c r="EEK1" s="18"/>
      <c r="EEL1" s="18"/>
      <c r="EEM1" s="18"/>
      <c r="EEN1" s="18"/>
      <c r="EEO1" s="18"/>
      <c r="EEP1" s="18"/>
      <c r="EEQ1" s="18"/>
      <c r="EER1" s="18"/>
      <c r="EES1" s="18"/>
      <c r="EET1" s="18"/>
      <c r="EEU1" s="18"/>
      <c r="EEV1" s="18"/>
      <c r="EEW1" s="18"/>
      <c r="EEX1" s="18"/>
      <c r="EEY1" s="18"/>
      <c r="EEZ1" s="18"/>
      <c r="EFA1" s="18"/>
      <c r="EFB1" s="18"/>
      <c r="EFC1" s="18"/>
      <c r="EFD1" s="18"/>
      <c r="EFE1" s="18"/>
      <c r="EFF1" s="18"/>
      <c r="EFG1" s="18"/>
      <c r="EFH1" s="18"/>
      <c r="EFI1" s="18"/>
      <c r="EFJ1" s="18"/>
      <c r="EFK1" s="18"/>
      <c r="EFL1" s="18"/>
      <c r="EFM1" s="18"/>
      <c r="EFN1" s="18"/>
      <c r="EFO1" s="18"/>
      <c r="EFP1" s="18"/>
      <c r="EFQ1" s="18"/>
      <c r="EFR1" s="18"/>
      <c r="EFS1" s="18"/>
      <c r="EFT1" s="18"/>
      <c r="EFU1" s="18"/>
      <c r="EFV1" s="18"/>
      <c r="EFW1" s="18"/>
      <c r="EFX1" s="18"/>
      <c r="EFY1" s="18"/>
      <c r="EFZ1" s="18"/>
      <c r="EGA1" s="18"/>
      <c r="EGB1" s="18"/>
      <c r="EGC1" s="18"/>
      <c r="EGD1" s="18"/>
      <c r="EGE1" s="18"/>
      <c r="EGF1" s="18"/>
      <c r="EGG1" s="18"/>
      <c r="EGH1" s="18"/>
      <c r="EGI1" s="18"/>
      <c r="EGJ1" s="18"/>
      <c r="EGK1" s="18"/>
      <c r="EGL1" s="18"/>
      <c r="EGM1" s="18"/>
      <c r="EGN1" s="18"/>
      <c r="EGO1" s="18"/>
      <c r="EGP1" s="18"/>
      <c r="EGQ1" s="18"/>
      <c r="EGR1" s="18"/>
      <c r="EGS1" s="18"/>
      <c r="EGT1" s="18"/>
      <c r="EGU1" s="18"/>
      <c r="EGV1" s="18"/>
      <c r="EGW1" s="18"/>
      <c r="EGX1" s="18"/>
      <c r="EGY1" s="18"/>
      <c r="EGZ1" s="18"/>
      <c r="EHA1" s="18"/>
      <c r="EHB1" s="18"/>
      <c r="EHC1" s="18"/>
      <c r="EHD1" s="18"/>
      <c r="EHE1" s="18"/>
      <c r="EHF1" s="18"/>
      <c r="EHG1" s="18"/>
      <c r="EHH1" s="18"/>
      <c r="EHI1" s="18"/>
      <c r="EHJ1" s="18"/>
      <c r="EHK1" s="18"/>
      <c r="EHL1" s="18"/>
      <c r="EHM1" s="18"/>
      <c r="EHN1" s="18"/>
      <c r="EHO1" s="18"/>
      <c r="EHP1" s="18"/>
      <c r="EHQ1" s="18"/>
      <c r="EHR1" s="18"/>
      <c r="EHS1" s="18"/>
      <c r="EHT1" s="18"/>
      <c r="EHU1" s="18"/>
      <c r="EHV1" s="18"/>
      <c r="EHW1" s="18"/>
      <c r="EHX1" s="18"/>
      <c r="EHY1" s="18"/>
      <c r="EHZ1" s="18"/>
      <c r="EIA1" s="18"/>
      <c r="EIB1" s="18"/>
      <c r="EIC1" s="18"/>
      <c r="EID1" s="18"/>
      <c r="EIE1" s="18"/>
      <c r="EIF1" s="18"/>
      <c r="EIG1" s="18"/>
      <c r="EIH1" s="18"/>
      <c r="EII1" s="18"/>
      <c r="EIJ1" s="18"/>
      <c r="EIK1" s="18"/>
      <c r="EIL1" s="18"/>
      <c r="EIM1" s="18"/>
      <c r="EIN1" s="18"/>
      <c r="EIO1" s="18"/>
      <c r="EIP1" s="18"/>
      <c r="EIQ1" s="18"/>
      <c r="EIR1" s="18"/>
      <c r="EIS1" s="18"/>
      <c r="EIT1" s="18"/>
      <c r="EIU1" s="18"/>
      <c r="EIV1" s="18"/>
      <c r="EIW1" s="18"/>
      <c r="EIX1" s="18"/>
      <c r="EIY1" s="18"/>
      <c r="EIZ1" s="18"/>
      <c r="EJA1" s="18"/>
      <c r="EJB1" s="18"/>
      <c r="EJC1" s="18"/>
      <c r="EJD1" s="18"/>
      <c r="EJE1" s="18"/>
      <c r="EJF1" s="18"/>
      <c r="EJG1" s="18"/>
      <c r="EJH1" s="18"/>
      <c r="EJI1" s="18"/>
      <c r="EJJ1" s="18"/>
      <c r="EJK1" s="18"/>
      <c r="EJL1" s="18"/>
      <c r="EJM1" s="18"/>
      <c r="EJN1" s="18"/>
      <c r="EJO1" s="18"/>
      <c r="EJP1" s="18"/>
      <c r="EJQ1" s="18"/>
      <c r="EJR1" s="18"/>
      <c r="EJS1" s="18"/>
      <c r="EJT1" s="18"/>
      <c r="EJU1" s="18"/>
      <c r="EJV1" s="18"/>
      <c r="EJW1" s="18"/>
      <c r="EJX1" s="18"/>
      <c r="EJY1" s="18"/>
      <c r="EJZ1" s="18"/>
      <c r="EKA1" s="18"/>
      <c r="EKB1" s="18"/>
      <c r="EKC1" s="18"/>
      <c r="EKD1" s="18"/>
      <c r="EKE1" s="18"/>
      <c r="EKF1" s="18"/>
      <c r="EKG1" s="18"/>
      <c r="EKH1" s="18"/>
      <c r="EKI1" s="18"/>
      <c r="EKJ1" s="18"/>
      <c r="EKK1" s="18"/>
      <c r="EKL1" s="18"/>
      <c r="EKM1" s="18"/>
      <c r="EKN1" s="18"/>
      <c r="EKO1" s="18"/>
      <c r="EKP1" s="18"/>
      <c r="EKQ1" s="18"/>
      <c r="EKR1" s="18"/>
      <c r="EKS1" s="18"/>
      <c r="EKT1" s="18"/>
      <c r="EKU1" s="18"/>
      <c r="EKV1" s="18"/>
      <c r="EKW1" s="18"/>
      <c r="EKX1" s="18"/>
      <c r="EKY1" s="18"/>
      <c r="EKZ1" s="18"/>
      <c r="ELA1" s="18"/>
      <c r="ELB1" s="18"/>
      <c r="ELC1" s="18"/>
      <c r="ELD1" s="18"/>
      <c r="ELE1" s="18"/>
      <c r="ELF1" s="18"/>
      <c r="ELG1" s="18"/>
      <c r="ELH1" s="18"/>
      <c r="ELI1" s="18"/>
      <c r="ELJ1" s="18"/>
      <c r="ELK1" s="18"/>
      <c r="ELL1" s="18"/>
      <c r="ELM1" s="18"/>
      <c r="ELN1" s="18"/>
      <c r="ELO1" s="18"/>
      <c r="ELP1" s="18"/>
      <c r="ELQ1" s="18"/>
      <c r="ELR1" s="18"/>
      <c r="ELS1" s="18"/>
      <c r="ELT1" s="18"/>
      <c r="ELU1" s="18"/>
      <c r="ELV1" s="18"/>
      <c r="ELW1" s="18"/>
      <c r="ELX1" s="18"/>
      <c r="ELY1" s="18"/>
      <c r="ELZ1" s="18"/>
      <c r="EMA1" s="18"/>
      <c r="EMB1" s="18"/>
      <c r="EMC1" s="18"/>
      <c r="EMD1" s="18"/>
      <c r="EME1" s="18"/>
      <c r="EMF1" s="18"/>
      <c r="EMG1" s="18"/>
      <c r="EMH1" s="18"/>
      <c r="EMI1" s="18"/>
      <c r="EMJ1" s="18"/>
      <c r="EMK1" s="18"/>
      <c r="EML1" s="18"/>
      <c r="EMM1" s="18"/>
      <c r="EMN1" s="18"/>
      <c r="EMO1" s="18"/>
      <c r="EMP1" s="18"/>
      <c r="EMQ1" s="18"/>
      <c r="EMR1" s="18"/>
      <c r="EMS1" s="18"/>
      <c r="EMT1" s="18"/>
      <c r="EMU1" s="18"/>
      <c r="EMV1" s="18"/>
      <c r="EMW1" s="18"/>
      <c r="EMX1" s="18"/>
      <c r="EMY1" s="18"/>
      <c r="EMZ1" s="18"/>
      <c r="ENA1" s="18"/>
      <c r="ENB1" s="18"/>
      <c r="ENC1" s="18"/>
      <c r="END1" s="18"/>
      <c r="ENE1" s="18"/>
      <c r="ENF1" s="18"/>
      <c r="ENG1" s="18"/>
      <c r="ENH1" s="18"/>
      <c r="ENI1" s="18"/>
      <c r="ENJ1" s="18"/>
      <c r="ENK1" s="18"/>
      <c r="ENL1" s="18"/>
      <c r="ENM1" s="18"/>
      <c r="ENN1" s="18"/>
      <c r="ENO1" s="18"/>
      <c r="ENP1" s="18"/>
      <c r="ENQ1" s="18"/>
      <c r="ENR1" s="18"/>
      <c r="ENS1" s="18"/>
      <c r="ENT1" s="18"/>
      <c r="ENU1" s="18"/>
      <c r="ENV1" s="18"/>
      <c r="ENW1" s="18"/>
      <c r="ENX1" s="18"/>
      <c r="ENY1" s="18"/>
      <c r="ENZ1" s="18"/>
      <c r="EOA1" s="18"/>
      <c r="EOB1" s="18"/>
      <c r="EOC1" s="18"/>
      <c r="EOD1" s="18"/>
      <c r="EOE1" s="18"/>
      <c r="EOF1" s="18"/>
      <c r="EOG1" s="18"/>
      <c r="EOH1" s="18"/>
      <c r="EOI1" s="18"/>
      <c r="EOJ1" s="18"/>
      <c r="EOK1" s="18"/>
      <c r="EOL1" s="18"/>
      <c r="EOM1" s="18"/>
      <c r="EON1" s="18"/>
      <c r="EOO1" s="18"/>
      <c r="EOP1" s="18"/>
      <c r="EOQ1" s="18"/>
      <c r="EOR1" s="18"/>
      <c r="EOS1" s="18"/>
      <c r="EOT1" s="18"/>
      <c r="EOU1" s="18"/>
      <c r="EOV1" s="18"/>
      <c r="EOW1" s="18"/>
      <c r="EOX1" s="18"/>
      <c r="EOY1" s="18"/>
      <c r="EOZ1" s="18"/>
      <c r="EPA1" s="18"/>
      <c r="EPB1" s="18"/>
      <c r="EPC1" s="18"/>
      <c r="EPD1" s="18"/>
      <c r="EPE1" s="18"/>
      <c r="EPF1" s="18"/>
      <c r="EPG1" s="18"/>
      <c r="EPH1" s="18"/>
      <c r="EPI1" s="18"/>
      <c r="EPJ1" s="18"/>
      <c r="EPK1" s="18"/>
      <c r="EPL1" s="18"/>
      <c r="EPM1" s="18"/>
      <c r="EPN1" s="18"/>
      <c r="EPO1" s="18"/>
      <c r="EPP1" s="18"/>
      <c r="EPQ1" s="18"/>
      <c r="EPR1" s="18"/>
      <c r="EPS1" s="18"/>
      <c r="EPT1" s="18"/>
      <c r="EPU1" s="18"/>
      <c r="EPV1" s="18"/>
      <c r="EPW1" s="18"/>
      <c r="EPX1" s="18"/>
      <c r="EPY1" s="18"/>
      <c r="EPZ1" s="18"/>
      <c r="EQA1" s="18"/>
      <c r="EQB1" s="18"/>
      <c r="EQC1" s="18"/>
      <c r="EQD1" s="18"/>
      <c r="EQE1" s="18"/>
      <c r="EQF1" s="18"/>
      <c r="EQG1" s="18"/>
      <c r="EQH1" s="18"/>
      <c r="EQI1" s="18"/>
      <c r="EQJ1" s="18"/>
      <c r="EQK1" s="18"/>
      <c r="EQL1" s="18"/>
      <c r="EQM1" s="18"/>
      <c r="EQN1" s="18"/>
      <c r="EQO1" s="18"/>
      <c r="EQP1" s="18"/>
      <c r="EQQ1" s="18"/>
      <c r="EQR1" s="18"/>
      <c r="EQS1" s="18"/>
      <c r="EQT1" s="18"/>
      <c r="EQU1" s="18"/>
      <c r="EQV1" s="18"/>
      <c r="EQW1" s="18"/>
      <c r="EQX1" s="18"/>
      <c r="EQY1" s="18"/>
      <c r="EQZ1" s="18"/>
      <c r="ERA1" s="18"/>
      <c r="ERB1" s="18"/>
      <c r="ERC1" s="18"/>
      <c r="ERD1" s="18"/>
      <c r="ERE1" s="18"/>
      <c r="ERF1" s="18"/>
      <c r="ERG1" s="18"/>
      <c r="ERH1" s="18"/>
      <c r="ERI1" s="18"/>
      <c r="ERJ1" s="18"/>
      <c r="ERK1" s="18"/>
      <c r="ERL1" s="18"/>
      <c r="ERM1" s="18"/>
      <c r="ERN1" s="18"/>
      <c r="ERO1" s="18"/>
      <c r="ERP1" s="18"/>
      <c r="ERQ1" s="18"/>
      <c r="ERR1" s="18"/>
      <c r="ERS1" s="18"/>
      <c r="ERT1" s="18"/>
      <c r="ERU1" s="18"/>
      <c r="ERV1" s="18"/>
      <c r="ERW1" s="18"/>
      <c r="ERX1" s="18"/>
      <c r="ERY1" s="18"/>
      <c r="ERZ1" s="18"/>
      <c r="ESA1" s="18"/>
      <c r="ESB1" s="18"/>
      <c r="ESC1" s="18"/>
      <c r="ESD1" s="18"/>
      <c r="ESE1" s="18"/>
      <c r="ESF1" s="18"/>
      <c r="ESG1" s="18"/>
      <c r="ESH1" s="18"/>
      <c r="ESI1" s="18"/>
      <c r="ESJ1" s="18"/>
      <c r="ESK1" s="18"/>
      <c r="ESL1" s="18"/>
      <c r="ESM1" s="18"/>
      <c r="ESN1" s="18"/>
      <c r="ESO1" s="18"/>
      <c r="ESP1" s="18"/>
      <c r="ESQ1" s="18"/>
      <c r="ESR1" s="18"/>
      <c r="ESS1" s="18"/>
      <c r="EST1" s="18"/>
      <c r="ESU1" s="18"/>
      <c r="ESV1" s="18"/>
      <c r="ESW1" s="18"/>
      <c r="ESX1" s="18"/>
      <c r="ESY1" s="18"/>
      <c r="ESZ1" s="18"/>
      <c r="ETA1" s="18"/>
      <c r="ETB1" s="18"/>
      <c r="ETC1" s="18"/>
      <c r="ETD1" s="18"/>
      <c r="ETE1" s="18"/>
      <c r="ETF1" s="18"/>
      <c r="ETG1" s="18"/>
      <c r="ETH1" s="18"/>
      <c r="ETI1" s="18"/>
      <c r="ETJ1" s="18"/>
      <c r="ETK1" s="18"/>
      <c r="ETL1" s="18"/>
      <c r="ETM1" s="18"/>
      <c r="ETN1" s="18"/>
      <c r="ETO1" s="18"/>
      <c r="ETP1" s="18"/>
      <c r="ETQ1" s="18"/>
      <c r="ETR1" s="18"/>
      <c r="ETS1" s="18"/>
      <c r="ETT1" s="18"/>
      <c r="ETU1" s="18"/>
      <c r="ETV1" s="18"/>
      <c r="ETW1" s="18"/>
      <c r="ETX1" s="18"/>
      <c r="ETY1" s="18"/>
      <c r="ETZ1" s="18"/>
      <c r="EUA1" s="18"/>
      <c r="EUB1" s="18"/>
      <c r="EUC1" s="18"/>
      <c r="EUD1" s="18"/>
      <c r="EUE1" s="18"/>
      <c r="EUF1" s="18"/>
      <c r="EUG1" s="18"/>
      <c r="EUH1" s="18"/>
      <c r="EUI1" s="18"/>
      <c r="EUJ1" s="18"/>
      <c r="EUK1" s="18"/>
      <c r="EUL1" s="18"/>
      <c r="EUM1" s="18"/>
      <c r="EUN1" s="18"/>
      <c r="EUO1" s="18"/>
      <c r="EUP1" s="18"/>
      <c r="EUQ1" s="18"/>
      <c r="EUR1" s="18"/>
      <c r="EUS1" s="18"/>
      <c r="EUT1" s="18"/>
      <c r="EUU1" s="18"/>
      <c r="EUV1" s="18"/>
      <c r="EUW1" s="18"/>
      <c r="EUX1" s="18"/>
      <c r="EUY1" s="18"/>
      <c r="EUZ1" s="18"/>
      <c r="EVA1" s="18"/>
      <c r="EVB1" s="18"/>
      <c r="EVC1" s="18"/>
      <c r="EVD1" s="18"/>
      <c r="EVE1" s="18"/>
      <c r="EVF1" s="18"/>
      <c r="EVG1" s="18"/>
      <c r="EVH1" s="18"/>
      <c r="EVI1" s="18"/>
      <c r="EVJ1" s="18"/>
      <c r="EVK1" s="18"/>
      <c r="EVL1" s="18"/>
      <c r="EVM1" s="18"/>
      <c r="EVN1" s="18"/>
      <c r="EVO1" s="18"/>
      <c r="EVP1" s="18"/>
      <c r="EVQ1" s="18"/>
      <c r="EVR1" s="18"/>
      <c r="EVS1" s="18"/>
      <c r="EVT1" s="18"/>
      <c r="EVU1" s="18"/>
      <c r="EVV1" s="18"/>
      <c r="EVW1" s="18"/>
      <c r="EVX1" s="18"/>
      <c r="EVY1" s="18"/>
      <c r="EVZ1" s="18"/>
      <c r="EWA1" s="18"/>
      <c r="EWB1" s="18"/>
      <c r="EWC1" s="18"/>
      <c r="EWD1" s="18"/>
      <c r="EWE1" s="18"/>
      <c r="EWF1" s="18"/>
      <c r="EWG1" s="18"/>
      <c r="EWH1" s="18"/>
      <c r="EWI1" s="18"/>
      <c r="EWJ1" s="18"/>
      <c r="EWK1" s="18"/>
      <c r="EWL1" s="18"/>
      <c r="EWM1" s="18"/>
      <c r="EWN1" s="18"/>
      <c r="EWO1" s="18"/>
      <c r="EWP1" s="18"/>
      <c r="EWQ1" s="18"/>
      <c r="EWR1" s="18"/>
      <c r="EWS1" s="18"/>
      <c r="EWT1" s="18"/>
      <c r="EWU1" s="18"/>
      <c r="EWV1" s="18"/>
      <c r="EWW1" s="18"/>
      <c r="EWX1" s="18"/>
      <c r="EWY1" s="18"/>
      <c r="EWZ1" s="18"/>
      <c r="EXA1" s="18"/>
      <c r="EXB1" s="18"/>
      <c r="EXC1" s="18"/>
      <c r="EXD1" s="18"/>
      <c r="EXE1" s="18"/>
      <c r="EXF1" s="18"/>
      <c r="EXG1" s="18"/>
      <c r="EXH1" s="18"/>
      <c r="EXI1" s="18"/>
      <c r="EXJ1" s="18"/>
      <c r="EXK1" s="18"/>
      <c r="EXL1" s="18"/>
      <c r="EXM1" s="18"/>
      <c r="EXN1" s="18"/>
      <c r="EXO1" s="18"/>
      <c r="EXP1" s="18"/>
      <c r="EXQ1" s="18"/>
      <c r="EXR1" s="18"/>
      <c r="EXS1" s="18"/>
      <c r="EXT1" s="18"/>
      <c r="EXU1" s="18"/>
      <c r="EXV1" s="18"/>
      <c r="EXW1" s="18"/>
      <c r="EXX1" s="18"/>
      <c r="EXY1" s="18"/>
      <c r="EXZ1" s="18"/>
      <c r="EYA1" s="18"/>
      <c r="EYB1" s="18"/>
      <c r="EYC1" s="18"/>
      <c r="EYD1" s="18"/>
      <c r="EYE1" s="18"/>
      <c r="EYF1" s="18"/>
      <c r="EYG1" s="18"/>
      <c r="EYH1" s="18"/>
      <c r="EYI1" s="18"/>
      <c r="EYJ1" s="18"/>
      <c r="EYK1" s="18"/>
      <c r="EYL1" s="18"/>
      <c r="EYM1" s="18"/>
      <c r="EYN1" s="18"/>
      <c r="EYO1" s="18"/>
      <c r="EYP1" s="18"/>
      <c r="EYQ1" s="18"/>
      <c r="EYR1" s="18"/>
      <c r="EYS1" s="18"/>
      <c r="EYT1" s="18"/>
      <c r="EYU1" s="18"/>
      <c r="EYV1" s="18"/>
      <c r="EYW1" s="18"/>
      <c r="EYX1" s="18"/>
      <c r="EYY1" s="18"/>
      <c r="EYZ1" s="18"/>
      <c r="EZA1" s="18"/>
      <c r="EZB1" s="18"/>
      <c r="EZC1" s="18"/>
      <c r="EZD1" s="18"/>
      <c r="EZE1" s="18"/>
      <c r="EZF1" s="18"/>
      <c r="EZG1" s="18"/>
      <c r="EZH1" s="18"/>
      <c r="EZI1" s="18"/>
      <c r="EZJ1" s="18"/>
      <c r="EZK1" s="18"/>
      <c r="EZL1" s="18"/>
      <c r="EZM1" s="18"/>
      <c r="EZN1" s="18"/>
      <c r="EZO1" s="18"/>
      <c r="EZP1" s="18"/>
      <c r="EZQ1" s="18"/>
      <c r="EZR1" s="18"/>
      <c r="EZS1" s="18"/>
      <c r="EZT1" s="18"/>
      <c r="EZU1" s="18"/>
      <c r="EZV1" s="18"/>
      <c r="EZW1" s="18"/>
      <c r="EZX1" s="18"/>
      <c r="EZY1" s="18"/>
      <c r="EZZ1" s="18"/>
      <c r="FAA1" s="18"/>
      <c r="FAB1" s="18"/>
      <c r="FAC1" s="18"/>
      <c r="FAD1" s="18"/>
      <c r="FAE1" s="18"/>
      <c r="FAF1" s="18"/>
      <c r="FAG1" s="18"/>
      <c r="FAH1" s="18"/>
      <c r="FAI1" s="18"/>
      <c r="FAJ1" s="18"/>
      <c r="FAK1" s="18"/>
      <c r="FAL1" s="18"/>
      <c r="FAM1" s="18"/>
      <c r="FAN1" s="18"/>
      <c r="FAO1" s="18"/>
      <c r="FAP1" s="18"/>
      <c r="FAQ1" s="18"/>
      <c r="FAR1" s="18"/>
      <c r="FAS1" s="18"/>
      <c r="FAT1" s="18"/>
      <c r="FAU1" s="18"/>
      <c r="FAV1" s="18"/>
      <c r="FAW1" s="18"/>
      <c r="FAX1" s="18"/>
      <c r="FAY1" s="18"/>
      <c r="FAZ1" s="18"/>
      <c r="FBA1" s="18"/>
      <c r="FBB1" s="18"/>
      <c r="FBC1" s="18"/>
      <c r="FBD1" s="18"/>
      <c r="FBE1" s="18"/>
      <c r="FBF1" s="18"/>
      <c r="FBG1" s="18"/>
      <c r="FBH1" s="18"/>
      <c r="FBI1" s="18"/>
      <c r="FBJ1" s="18"/>
      <c r="FBK1" s="18"/>
      <c r="FBL1" s="18"/>
      <c r="FBM1" s="18"/>
      <c r="FBN1" s="18"/>
      <c r="FBO1" s="18"/>
      <c r="FBP1" s="18"/>
      <c r="FBQ1" s="18"/>
      <c r="FBR1" s="18"/>
      <c r="FBS1" s="18"/>
      <c r="FBT1" s="18"/>
      <c r="FBU1" s="18"/>
      <c r="FBV1" s="18"/>
      <c r="FBW1" s="18"/>
      <c r="FBX1" s="18"/>
      <c r="FBY1" s="18"/>
      <c r="FBZ1" s="18"/>
      <c r="FCA1" s="18"/>
      <c r="FCB1" s="18"/>
      <c r="FCC1" s="18"/>
      <c r="FCD1" s="18"/>
      <c r="FCE1" s="18"/>
      <c r="FCF1" s="18"/>
      <c r="FCG1" s="18"/>
      <c r="FCH1" s="18"/>
      <c r="FCI1" s="18"/>
      <c r="FCJ1" s="18"/>
      <c r="FCK1" s="18"/>
      <c r="FCL1" s="18"/>
      <c r="FCM1" s="18"/>
      <c r="FCN1" s="18"/>
      <c r="FCO1" s="18"/>
      <c r="FCP1" s="18"/>
      <c r="FCQ1" s="18"/>
      <c r="FCR1" s="18"/>
      <c r="FCS1" s="18"/>
      <c r="FCT1" s="18"/>
      <c r="FCU1" s="18"/>
      <c r="FCV1" s="18"/>
      <c r="FCW1" s="18"/>
      <c r="FCX1" s="18"/>
      <c r="FCY1" s="18"/>
      <c r="FCZ1" s="18"/>
      <c r="FDA1" s="18"/>
      <c r="FDB1" s="18"/>
      <c r="FDC1" s="18"/>
      <c r="FDD1" s="18"/>
      <c r="FDE1" s="18"/>
      <c r="FDF1" s="18"/>
      <c r="FDG1" s="18"/>
      <c r="FDH1" s="18"/>
      <c r="FDI1" s="18"/>
      <c r="FDJ1" s="18"/>
      <c r="FDK1" s="18"/>
      <c r="FDL1" s="18"/>
      <c r="FDM1" s="18"/>
      <c r="FDN1" s="18"/>
      <c r="FDO1" s="18"/>
      <c r="FDP1" s="18"/>
      <c r="FDQ1" s="18"/>
      <c r="FDR1" s="18"/>
      <c r="FDS1" s="18"/>
      <c r="FDT1" s="18"/>
      <c r="FDU1" s="18"/>
      <c r="FDV1" s="18"/>
      <c r="FDW1" s="18"/>
      <c r="FDX1" s="18"/>
      <c r="FDY1" s="18"/>
      <c r="FDZ1" s="18"/>
      <c r="FEA1" s="18"/>
      <c r="FEB1" s="18"/>
      <c r="FEC1" s="18"/>
      <c r="FED1" s="18"/>
      <c r="FEE1" s="18"/>
      <c r="FEF1" s="18"/>
      <c r="FEG1" s="18"/>
      <c r="FEH1" s="18"/>
      <c r="FEI1" s="18"/>
      <c r="FEJ1" s="18"/>
      <c r="FEK1" s="18"/>
      <c r="FEL1" s="18"/>
      <c r="FEM1" s="18"/>
      <c r="FEN1" s="18"/>
      <c r="FEO1" s="18"/>
      <c r="FEP1" s="18"/>
      <c r="FEQ1" s="18"/>
      <c r="FER1" s="18"/>
      <c r="FES1" s="18"/>
      <c r="FET1" s="18"/>
      <c r="FEU1" s="18"/>
      <c r="FEV1" s="18"/>
      <c r="FEW1" s="18"/>
      <c r="FEX1" s="18"/>
      <c r="FEY1" s="18"/>
      <c r="FEZ1" s="18"/>
      <c r="FFA1" s="18"/>
      <c r="FFB1" s="18"/>
      <c r="FFC1" s="18"/>
      <c r="FFD1" s="18"/>
      <c r="FFE1" s="18"/>
      <c r="FFF1" s="18"/>
      <c r="FFG1" s="18"/>
      <c r="FFH1" s="18"/>
      <c r="FFI1" s="18"/>
      <c r="FFJ1" s="18"/>
      <c r="FFK1" s="18"/>
      <c r="FFL1" s="18"/>
      <c r="FFM1" s="18"/>
      <c r="FFN1" s="18"/>
      <c r="FFO1" s="18"/>
      <c r="FFP1" s="18"/>
      <c r="FFQ1" s="18"/>
      <c r="FFR1" s="18"/>
      <c r="FFS1" s="18"/>
      <c r="FFT1" s="18"/>
      <c r="FFU1" s="18"/>
      <c r="FFV1" s="18"/>
      <c r="FFW1" s="18"/>
      <c r="FFX1" s="18"/>
      <c r="FFY1" s="18"/>
      <c r="FFZ1" s="18"/>
      <c r="FGA1" s="18"/>
      <c r="FGB1" s="18"/>
      <c r="FGC1" s="18"/>
      <c r="FGD1" s="18"/>
      <c r="FGE1" s="18"/>
      <c r="FGF1" s="18"/>
      <c r="FGG1" s="18"/>
      <c r="FGH1" s="18"/>
      <c r="FGI1" s="18"/>
      <c r="FGJ1" s="18"/>
      <c r="FGK1" s="18"/>
      <c r="FGL1" s="18"/>
      <c r="FGM1" s="18"/>
      <c r="FGN1" s="18"/>
      <c r="FGO1" s="18"/>
      <c r="FGP1" s="18"/>
      <c r="FGQ1" s="18"/>
      <c r="FGR1" s="18"/>
      <c r="FGS1" s="18"/>
      <c r="FGT1" s="18"/>
      <c r="FGU1" s="18"/>
      <c r="FGV1" s="18"/>
      <c r="FGW1" s="18"/>
      <c r="FGX1" s="18"/>
      <c r="FGY1" s="18"/>
      <c r="FGZ1" s="18"/>
      <c r="FHA1" s="18"/>
      <c r="FHB1" s="18"/>
      <c r="FHC1" s="18"/>
      <c r="FHD1" s="18"/>
      <c r="FHE1" s="18"/>
      <c r="FHF1" s="18"/>
      <c r="FHG1" s="18"/>
      <c r="FHH1" s="18"/>
      <c r="FHI1" s="18"/>
      <c r="FHJ1" s="18"/>
      <c r="FHK1" s="18"/>
      <c r="FHL1" s="18"/>
      <c r="FHM1" s="18"/>
      <c r="FHN1" s="18"/>
      <c r="FHO1" s="18"/>
      <c r="FHP1" s="18"/>
      <c r="FHQ1" s="18"/>
      <c r="FHR1" s="18"/>
      <c r="FHS1" s="18"/>
      <c r="FHT1" s="18"/>
      <c r="FHU1" s="18"/>
      <c r="FHV1" s="18"/>
      <c r="FHW1" s="18"/>
      <c r="FHX1" s="18"/>
      <c r="FHY1" s="18"/>
      <c r="FHZ1" s="18"/>
      <c r="FIA1" s="18"/>
      <c r="FIB1" s="18"/>
      <c r="FIC1" s="18"/>
      <c r="FID1" s="18"/>
      <c r="FIE1" s="18"/>
      <c r="FIF1" s="18"/>
      <c r="FIG1" s="18"/>
      <c r="FIH1" s="18"/>
      <c r="FII1" s="18"/>
      <c r="FIJ1" s="18"/>
      <c r="FIK1" s="18"/>
      <c r="FIL1" s="18"/>
      <c r="FIM1" s="18"/>
      <c r="FIN1" s="18"/>
      <c r="FIO1" s="18"/>
      <c r="FIP1" s="18"/>
      <c r="FIQ1" s="18"/>
      <c r="FIR1" s="18"/>
      <c r="FIS1" s="18"/>
      <c r="FIT1" s="18"/>
      <c r="FIU1" s="18"/>
      <c r="FIV1" s="18"/>
      <c r="FIW1" s="18"/>
      <c r="FIX1" s="18"/>
      <c r="FIY1" s="18"/>
      <c r="FIZ1" s="18"/>
      <c r="FJA1" s="18"/>
      <c r="FJB1" s="18"/>
      <c r="FJC1" s="18"/>
      <c r="FJD1" s="18"/>
      <c r="FJE1" s="18"/>
      <c r="FJF1" s="18"/>
      <c r="FJG1" s="18"/>
      <c r="FJH1" s="18"/>
      <c r="FJI1" s="18"/>
      <c r="FJJ1" s="18"/>
      <c r="FJK1" s="18"/>
      <c r="FJL1" s="18"/>
      <c r="FJM1" s="18"/>
      <c r="FJN1" s="18"/>
      <c r="FJO1" s="18"/>
      <c r="FJP1" s="18"/>
      <c r="FJQ1" s="18"/>
      <c r="FJR1" s="18"/>
      <c r="FJS1" s="18"/>
      <c r="FJT1" s="18"/>
      <c r="FJU1" s="18"/>
      <c r="FJV1" s="18"/>
      <c r="FJW1" s="18"/>
      <c r="FJX1" s="18"/>
      <c r="FJY1" s="18"/>
      <c r="FJZ1" s="18"/>
      <c r="FKA1" s="18"/>
      <c r="FKB1" s="18"/>
      <c r="FKC1" s="18"/>
      <c r="FKD1" s="18"/>
      <c r="FKE1" s="18"/>
      <c r="FKF1" s="18"/>
      <c r="FKG1" s="18"/>
      <c r="FKH1" s="18"/>
      <c r="FKI1" s="18"/>
      <c r="FKJ1" s="18"/>
      <c r="FKK1" s="18"/>
      <c r="FKL1" s="18"/>
      <c r="FKM1" s="18"/>
      <c r="FKN1" s="18"/>
      <c r="FKO1" s="18"/>
      <c r="FKP1" s="18"/>
      <c r="FKQ1" s="18"/>
      <c r="FKR1" s="18"/>
      <c r="FKS1" s="18"/>
      <c r="FKT1" s="18"/>
      <c r="FKU1" s="18"/>
      <c r="FKV1" s="18"/>
      <c r="FKW1" s="18"/>
      <c r="FKX1" s="18"/>
      <c r="FKY1" s="18"/>
      <c r="FKZ1" s="18"/>
      <c r="FLA1" s="18"/>
      <c r="FLB1" s="18"/>
      <c r="FLC1" s="18"/>
      <c r="FLD1" s="18"/>
      <c r="FLE1" s="18"/>
      <c r="FLF1" s="18"/>
      <c r="FLG1" s="18"/>
      <c r="FLH1" s="18"/>
      <c r="FLI1" s="18"/>
      <c r="FLJ1" s="18"/>
      <c r="FLK1" s="18"/>
      <c r="FLL1" s="18"/>
      <c r="FLM1" s="18"/>
      <c r="FLN1" s="18"/>
      <c r="FLO1" s="18"/>
      <c r="FLP1" s="18"/>
      <c r="FLQ1" s="18"/>
      <c r="FLR1" s="18"/>
      <c r="FLS1" s="18"/>
      <c r="FLT1" s="18"/>
      <c r="FLU1" s="18"/>
      <c r="FLV1" s="18"/>
      <c r="FLW1" s="18"/>
      <c r="FLX1" s="18"/>
      <c r="FLY1" s="18"/>
      <c r="FLZ1" s="18"/>
      <c r="FMA1" s="18"/>
      <c r="FMB1" s="18"/>
      <c r="FMC1" s="18"/>
      <c r="FMD1" s="18"/>
      <c r="FME1" s="18"/>
      <c r="FMF1" s="18"/>
      <c r="FMG1" s="18"/>
      <c r="FMH1" s="18"/>
      <c r="FMI1" s="18"/>
      <c r="FMJ1" s="18"/>
      <c r="FMK1" s="18"/>
      <c r="FML1" s="18"/>
      <c r="FMM1" s="18"/>
      <c r="FMN1" s="18"/>
      <c r="FMO1" s="18"/>
      <c r="FMP1" s="18"/>
      <c r="FMQ1" s="18"/>
      <c r="FMR1" s="18"/>
      <c r="FMS1" s="18"/>
      <c r="FMT1" s="18"/>
      <c r="FMU1" s="18"/>
      <c r="FMV1" s="18"/>
      <c r="FMW1" s="18"/>
      <c r="FMX1" s="18"/>
      <c r="FMY1" s="18"/>
      <c r="FMZ1" s="18"/>
      <c r="FNA1" s="18"/>
      <c r="FNB1" s="18"/>
      <c r="FNC1" s="18"/>
      <c r="FND1" s="18"/>
      <c r="FNE1" s="18"/>
      <c r="FNF1" s="18"/>
      <c r="FNG1" s="18"/>
      <c r="FNH1" s="18"/>
      <c r="FNI1" s="18"/>
      <c r="FNJ1" s="18"/>
      <c r="FNK1" s="18"/>
      <c r="FNL1" s="18"/>
      <c r="FNM1" s="18"/>
      <c r="FNN1" s="18"/>
      <c r="FNO1" s="18"/>
      <c r="FNP1" s="18"/>
      <c r="FNQ1" s="18"/>
      <c r="FNR1" s="18"/>
      <c r="FNS1" s="18"/>
      <c r="FNT1" s="18"/>
      <c r="FNU1" s="18"/>
      <c r="FNV1" s="18"/>
      <c r="FNW1" s="18"/>
      <c r="FNX1" s="18"/>
      <c r="FNY1" s="18"/>
      <c r="FNZ1" s="18"/>
      <c r="FOA1" s="18"/>
      <c r="FOB1" s="18"/>
      <c r="FOC1" s="18"/>
      <c r="FOD1" s="18"/>
      <c r="FOE1" s="18"/>
      <c r="FOF1" s="18"/>
      <c r="FOG1" s="18"/>
      <c r="FOH1" s="18"/>
      <c r="FOI1" s="18"/>
      <c r="FOJ1" s="18"/>
      <c r="FOK1" s="18"/>
      <c r="FOL1" s="18"/>
      <c r="FOM1" s="18"/>
      <c r="FON1" s="18"/>
      <c r="FOO1" s="18"/>
      <c r="FOP1" s="18"/>
      <c r="FOQ1" s="18"/>
      <c r="FOR1" s="18"/>
      <c r="FOS1" s="18"/>
      <c r="FOT1" s="18"/>
      <c r="FOU1" s="18"/>
      <c r="FOV1" s="18"/>
      <c r="FOW1" s="18"/>
      <c r="FOX1" s="18"/>
      <c r="FOY1" s="18"/>
      <c r="FOZ1" s="18"/>
      <c r="FPA1" s="18"/>
      <c r="FPB1" s="18"/>
      <c r="FPC1" s="18"/>
      <c r="FPD1" s="18"/>
      <c r="FPE1" s="18"/>
      <c r="FPF1" s="18"/>
      <c r="FPG1" s="18"/>
      <c r="FPH1" s="18"/>
      <c r="FPI1" s="18"/>
      <c r="FPJ1" s="18"/>
      <c r="FPK1" s="18"/>
      <c r="FPL1" s="18"/>
      <c r="FPM1" s="18"/>
      <c r="FPN1" s="18"/>
      <c r="FPO1" s="18"/>
      <c r="FPP1" s="18"/>
      <c r="FPQ1" s="18"/>
      <c r="FPR1" s="18"/>
      <c r="FPS1" s="18"/>
      <c r="FPT1" s="18"/>
      <c r="FPU1" s="18"/>
      <c r="FPV1" s="18"/>
      <c r="FPW1" s="18"/>
      <c r="FPX1" s="18"/>
      <c r="FPY1" s="18"/>
      <c r="FPZ1" s="18"/>
      <c r="FQA1" s="18"/>
      <c r="FQB1" s="18"/>
      <c r="FQC1" s="18"/>
      <c r="FQD1" s="18"/>
      <c r="FQE1" s="18"/>
      <c r="FQF1" s="18"/>
      <c r="FQG1" s="18"/>
      <c r="FQH1" s="18"/>
      <c r="FQI1" s="18"/>
      <c r="FQJ1" s="18"/>
      <c r="FQK1" s="18"/>
      <c r="FQL1" s="18"/>
      <c r="FQM1" s="18"/>
      <c r="FQN1" s="18"/>
      <c r="FQO1" s="18"/>
      <c r="FQP1" s="18"/>
      <c r="FQQ1" s="18"/>
      <c r="FQR1" s="18"/>
      <c r="FQS1" s="18"/>
      <c r="FQT1" s="18"/>
      <c r="FQU1" s="18"/>
      <c r="FQV1" s="18"/>
      <c r="FQW1" s="18"/>
      <c r="FQX1" s="18"/>
      <c r="FQY1" s="18"/>
      <c r="FQZ1" s="18"/>
      <c r="FRA1" s="18"/>
      <c r="FRB1" s="18"/>
      <c r="FRC1" s="18"/>
      <c r="FRD1" s="18"/>
      <c r="FRE1" s="18"/>
      <c r="FRF1" s="18"/>
      <c r="FRG1" s="18"/>
      <c r="FRH1" s="18"/>
      <c r="FRI1" s="18"/>
      <c r="FRJ1" s="18"/>
      <c r="FRK1" s="18"/>
      <c r="FRL1" s="18"/>
      <c r="FRM1" s="18"/>
      <c r="FRN1" s="18"/>
      <c r="FRO1" s="18"/>
      <c r="FRP1" s="18"/>
      <c r="FRQ1" s="18"/>
      <c r="FRR1" s="18"/>
      <c r="FRS1" s="18"/>
      <c r="FRT1" s="18"/>
      <c r="FRU1" s="18"/>
      <c r="FRV1" s="18"/>
      <c r="FRW1" s="18"/>
      <c r="FRX1" s="18"/>
      <c r="FRY1" s="18"/>
      <c r="FRZ1" s="18"/>
      <c r="FSA1" s="18"/>
      <c r="FSB1" s="18"/>
      <c r="FSC1" s="18"/>
      <c r="FSD1" s="18"/>
      <c r="FSE1" s="18"/>
      <c r="FSF1" s="18"/>
      <c r="FSG1" s="18"/>
      <c r="FSH1" s="18"/>
      <c r="FSI1" s="18"/>
      <c r="FSJ1" s="18"/>
      <c r="FSK1" s="18"/>
      <c r="FSL1" s="18"/>
      <c r="FSM1" s="18"/>
      <c r="FSN1" s="18"/>
      <c r="FSO1" s="18"/>
      <c r="FSP1" s="18"/>
      <c r="FSQ1" s="18"/>
      <c r="FSR1" s="18"/>
      <c r="FSS1" s="18"/>
      <c r="FST1" s="18"/>
      <c r="FSU1" s="18"/>
      <c r="FSV1" s="18"/>
      <c r="FSW1" s="18"/>
      <c r="FSX1" s="18"/>
      <c r="FSY1" s="18"/>
      <c r="FSZ1" s="18"/>
      <c r="FTA1" s="18"/>
      <c r="FTB1" s="18"/>
      <c r="FTC1" s="18"/>
      <c r="FTD1" s="18"/>
      <c r="FTE1" s="18"/>
      <c r="FTF1" s="18"/>
      <c r="FTG1" s="18"/>
      <c r="FTH1" s="18"/>
      <c r="FTI1" s="18"/>
      <c r="FTJ1" s="18"/>
      <c r="FTK1" s="18"/>
      <c r="FTL1" s="18"/>
      <c r="FTM1" s="18"/>
      <c r="FTN1" s="18"/>
      <c r="FTO1" s="18"/>
      <c r="FTP1" s="18"/>
      <c r="FTQ1" s="18"/>
      <c r="FTR1" s="18"/>
      <c r="FTS1" s="18"/>
      <c r="FTT1" s="18"/>
      <c r="FTU1" s="18"/>
      <c r="FTV1" s="18"/>
      <c r="FTW1" s="18"/>
      <c r="FTX1" s="18"/>
      <c r="FTY1" s="18"/>
      <c r="FTZ1" s="18"/>
      <c r="FUA1" s="18"/>
      <c r="FUB1" s="18"/>
      <c r="FUC1" s="18"/>
      <c r="FUD1" s="18"/>
      <c r="FUE1" s="18"/>
      <c r="FUF1" s="18"/>
      <c r="FUG1" s="18"/>
      <c r="FUH1" s="18"/>
      <c r="FUI1" s="18"/>
      <c r="FUJ1" s="18"/>
      <c r="FUK1" s="18"/>
      <c r="FUL1" s="18"/>
      <c r="FUM1" s="18"/>
      <c r="FUN1" s="18"/>
      <c r="FUO1" s="18"/>
      <c r="FUP1" s="18"/>
      <c r="FUQ1" s="18"/>
      <c r="FUR1" s="18"/>
      <c r="FUS1" s="18"/>
      <c r="FUT1" s="18"/>
      <c r="FUU1" s="18"/>
      <c r="FUV1" s="18"/>
      <c r="FUW1" s="18"/>
      <c r="FUX1" s="18"/>
      <c r="FUY1" s="18"/>
      <c r="FUZ1" s="18"/>
      <c r="FVA1" s="18"/>
      <c r="FVB1" s="18"/>
      <c r="FVC1" s="18"/>
      <c r="FVD1" s="18"/>
      <c r="FVE1" s="18"/>
      <c r="FVF1" s="18"/>
      <c r="FVG1" s="18"/>
      <c r="FVH1" s="18"/>
      <c r="FVI1" s="18"/>
      <c r="FVJ1" s="18"/>
      <c r="FVK1" s="18"/>
      <c r="FVL1" s="18"/>
      <c r="FVM1" s="18"/>
      <c r="FVN1" s="18"/>
      <c r="FVO1" s="18"/>
      <c r="FVP1" s="18"/>
      <c r="FVQ1" s="18"/>
      <c r="FVR1" s="18"/>
      <c r="FVS1" s="18"/>
      <c r="FVT1" s="18"/>
      <c r="FVU1" s="18"/>
      <c r="FVV1" s="18"/>
      <c r="FVW1" s="18"/>
      <c r="FVX1" s="18"/>
      <c r="FVY1" s="18"/>
      <c r="FVZ1" s="18"/>
      <c r="FWA1" s="18"/>
      <c r="FWB1" s="18"/>
      <c r="FWC1" s="18"/>
      <c r="FWD1" s="18"/>
      <c r="FWE1" s="18"/>
      <c r="FWF1" s="18"/>
      <c r="FWG1" s="18"/>
      <c r="FWH1" s="18"/>
      <c r="FWI1" s="18"/>
      <c r="FWJ1" s="18"/>
      <c r="FWK1" s="18"/>
      <c r="FWL1" s="18"/>
      <c r="FWM1" s="18"/>
      <c r="FWN1" s="18"/>
      <c r="FWO1" s="18"/>
      <c r="FWP1" s="18"/>
      <c r="FWQ1" s="18"/>
      <c r="FWR1" s="18"/>
      <c r="FWS1" s="18"/>
      <c r="FWT1" s="18"/>
      <c r="FWU1" s="18"/>
      <c r="FWV1" s="18"/>
      <c r="FWW1" s="18"/>
      <c r="FWX1" s="18"/>
      <c r="FWY1" s="18"/>
      <c r="FWZ1" s="18"/>
      <c r="FXA1" s="18"/>
      <c r="FXB1" s="18"/>
      <c r="FXC1" s="18"/>
      <c r="FXD1" s="18"/>
      <c r="FXE1" s="18"/>
      <c r="FXF1" s="18"/>
      <c r="FXG1" s="18"/>
      <c r="FXH1" s="18"/>
      <c r="FXI1" s="18"/>
      <c r="FXJ1" s="18"/>
      <c r="FXK1" s="18"/>
      <c r="FXL1" s="18"/>
      <c r="FXM1" s="18"/>
      <c r="FXN1" s="18"/>
      <c r="FXO1" s="18"/>
      <c r="FXP1" s="18"/>
      <c r="FXQ1" s="18"/>
      <c r="FXR1" s="18"/>
      <c r="FXS1" s="18"/>
      <c r="FXT1" s="18"/>
      <c r="FXU1" s="18"/>
      <c r="FXV1" s="18"/>
      <c r="FXW1" s="18"/>
      <c r="FXX1" s="18"/>
      <c r="FXY1" s="18"/>
      <c r="FXZ1" s="18"/>
      <c r="FYA1" s="18"/>
      <c r="FYB1" s="18"/>
      <c r="FYC1" s="18"/>
      <c r="FYD1" s="18"/>
      <c r="FYE1" s="18"/>
      <c r="FYF1" s="18"/>
      <c r="FYG1" s="18"/>
      <c r="FYH1" s="18"/>
      <c r="FYI1" s="18"/>
      <c r="FYJ1" s="18"/>
      <c r="FYK1" s="18"/>
      <c r="FYL1" s="18"/>
      <c r="FYM1" s="18"/>
      <c r="FYN1" s="18"/>
      <c r="FYO1" s="18"/>
      <c r="FYP1" s="18"/>
      <c r="FYQ1" s="18"/>
      <c r="FYR1" s="18"/>
      <c r="FYS1" s="18"/>
      <c r="FYT1" s="18"/>
      <c r="FYU1" s="18"/>
      <c r="FYV1" s="18"/>
      <c r="FYW1" s="18"/>
      <c r="FYX1" s="18"/>
      <c r="FYY1" s="18"/>
      <c r="FYZ1" s="18"/>
      <c r="FZA1" s="18"/>
      <c r="FZB1" s="18"/>
      <c r="FZC1" s="18"/>
      <c r="FZD1" s="18"/>
      <c r="FZE1" s="18"/>
      <c r="FZF1" s="18"/>
      <c r="FZG1" s="18"/>
      <c r="FZH1" s="18"/>
      <c r="FZI1" s="18"/>
      <c r="FZJ1" s="18"/>
      <c r="FZK1" s="18"/>
      <c r="FZL1" s="18"/>
      <c r="FZM1" s="18"/>
      <c r="FZN1" s="18"/>
      <c r="FZO1" s="18"/>
      <c r="FZP1" s="18"/>
      <c r="FZQ1" s="18"/>
      <c r="FZR1" s="18"/>
      <c r="FZS1" s="18"/>
      <c r="FZT1" s="18"/>
      <c r="FZU1" s="18"/>
      <c r="FZV1" s="18"/>
      <c r="FZW1" s="18"/>
      <c r="FZX1" s="18"/>
      <c r="FZY1" s="18"/>
      <c r="FZZ1" s="18"/>
      <c r="GAA1" s="18"/>
      <c r="GAB1" s="18"/>
      <c r="GAC1" s="18"/>
      <c r="GAD1" s="18"/>
      <c r="GAE1" s="18"/>
      <c r="GAF1" s="18"/>
      <c r="GAG1" s="18"/>
      <c r="GAH1" s="18"/>
      <c r="GAI1" s="18"/>
      <c r="GAJ1" s="18"/>
      <c r="GAK1" s="18"/>
      <c r="GAL1" s="18"/>
      <c r="GAM1" s="18"/>
      <c r="GAN1" s="18"/>
      <c r="GAO1" s="18"/>
      <c r="GAP1" s="18"/>
      <c r="GAQ1" s="18"/>
      <c r="GAR1" s="18"/>
      <c r="GAS1" s="18"/>
      <c r="GAT1" s="18"/>
      <c r="GAU1" s="18"/>
      <c r="GAV1" s="18"/>
      <c r="GAW1" s="18"/>
      <c r="GAX1" s="18"/>
      <c r="GAY1" s="18"/>
      <c r="GAZ1" s="18"/>
      <c r="GBA1" s="18"/>
      <c r="GBB1" s="18"/>
      <c r="GBC1" s="18"/>
      <c r="GBD1" s="18"/>
      <c r="GBE1" s="18"/>
      <c r="GBF1" s="18"/>
      <c r="GBG1" s="18"/>
      <c r="GBH1" s="18"/>
      <c r="GBI1" s="18"/>
      <c r="GBJ1" s="18"/>
      <c r="GBK1" s="18"/>
      <c r="GBL1" s="18"/>
      <c r="GBM1" s="18"/>
      <c r="GBN1" s="18"/>
      <c r="GBO1" s="18"/>
      <c r="GBP1" s="18"/>
      <c r="GBQ1" s="18"/>
      <c r="GBR1" s="18"/>
      <c r="GBS1" s="18"/>
      <c r="GBT1" s="18"/>
      <c r="GBU1" s="18"/>
      <c r="GBV1" s="18"/>
      <c r="GBW1" s="18"/>
      <c r="GBX1" s="18"/>
      <c r="GBY1" s="18"/>
      <c r="GBZ1" s="18"/>
      <c r="GCA1" s="18"/>
      <c r="GCB1" s="18"/>
      <c r="GCC1" s="18"/>
      <c r="GCD1" s="18"/>
      <c r="GCE1" s="18"/>
      <c r="GCF1" s="18"/>
      <c r="GCG1" s="18"/>
      <c r="GCH1" s="18"/>
      <c r="GCI1" s="18"/>
      <c r="GCJ1" s="18"/>
      <c r="GCK1" s="18"/>
      <c r="GCL1" s="18"/>
      <c r="GCM1" s="18"/>
      <c r="GCN1" s="18"/>
      <c r="GCO1" s="18"/>
      <c r="GCP1" s="18"/>
      <c r="GCQ1" s="18"/>
      <c r="GCR1" s="18"/>
      <c r="GCS1" s="18"/>
      <c r="GCT1" s="18"/>
      <c r="GCU1" s="18"/>
      <c r="GCV1" s="18"/>
      <c r="GCW1" s="18"/>
      <c r="GCX1" s="18"/>
      <c r="GCY1" s="18"/>
      <c r="GCZ1" s="18"/>
      <c r="GDA1" s="18"/>
      <c r="GDB1" s="18"/>
      <c r="GDC1" s="18"/>
      <c r="GDD1" s="18"/>
      <c r="GDE1" s="18"/>
      <c r="GDF1" s="18"/>
      <c r="GDG1" s="18"/>
      <c r="GDH1" s="18"/>
      <c r="GDI1" s="18"/>
      <c r="GDJ1" s="18"/>
      <c r="GDK1" s="18"/>
      <c r="GDL1" s="18"/>
      <c r="GDM1" s="18"/>
      <c r="GDN1" s="18"/>
      <c r="GDO1" s="18"/>
      <c r="GDP1" s="18"/>
      <c r="GDQ1" s="18"/>
      <c r="GDR1" s="18"/>
      <c r="GDS1" s="18"/>
      <c r="GDT1" s="18"/>
      <c r="GDU1" s="18"/>
      <c r="GDV1" s="18"/>
      <c r="GDW1" s="18"/>
      <c r="GDX1" s="18"/>
      <c r="GDY1" s="18"/>
      <c r="GDZ1" s="18"/>
      <c r="GEA1" s="18"/>
      <c r="GEB1" s="18"/>
      <c r="GEC1" s="18"/>
      <c r="GED1" s="18"/>
      <c r="GEE1" s="18"/>
      <c r="GEF1" s="18"/>
      <c r="GEG1" s="18"/>
      <c r="GEH1" s="18"/>
      <c r="GEI1" s="18"/>
      <c r="GEJ1" s="18"/>
      <c r="GEK1" s="18"/>
      <c r="GEL1" s="18"/>
      <c r="GEM1" s="18"/>
      <c r="GEN1" s="18"/>
      <c r="GEO1" s="18"/>
      <c r="GEP1" s="18"/>
      <c r="GEQ1" s="18"/>
      <c r="GER1" s="18"/>
      <c r="GES1" s="18"/>
      <c r="GET1" s="18"/>
      <c r="GEU1" s="18"/>
      <c r="GEV1" s="18"/>
      <c r="GEW1" s="18"/>
      <c r="GEX1" s="18"/>
      <c r="GEY1" s="18"/>
      <c r="GEZ1" s="18"/>
      <c r="GFA1" s="18"/>
      <c r="GFB1" s="18"/>
      <c r="GFC1" s="18"/>
      <c r="GFD1" s="18"/>
      <c r="GFE1" s="18"/>
      <c r="GFF1" s="18"/>
      <c r="GFG1" s="18"/>
      <c r="GFH1" s="18"/>
      <c r="GFI1" s="18"/>
      <c r="GFJ1" s="18"/>
      <c r="GFK1" s="18"/>
      <c r="GFL1" s="18"/>
      <c r="GFM1" s="18"/>
      <c r="GFN1" s="18"/>
      <c r="GFO1" s="18"/>
      <c r="GFP1" s="18"/>
      <c r="GFQ1" s="18"/>
      <c r="GFR1" s="18"/>
      <c r="GFS1" s="18"/>
      <c r="GFT1" s="18"/>
      <c r="GFU1" s="18"/>
      <c r="GFV1" s="18"/>
      <c r="GFW1" s="18"/>
      <c r="GFX1" s="18"/>
      <c r="GFY1" s="18"/>
      <c r="GFZ1" s="18"/>
      <c r="GGA1" s="18"/>
      <c r="GGB1" s="18"/>
      <c r="GGC1" s="18"/>
      <c r="GGD1" s="18"/>
      <c r="GGE1" s="18"/>
      <c r="GGF1" s="18"/>
      <c r="GGG1" s="18"/>
      <c r="GGH1" s="18"/>
      <c r="GGI1" s="18"/>
      <c r="GGJ1" s="18"/>
      <c r="GGK1" s="18"/>
      <c r="GGL1" s="18"/>
      <c r="GGM1" s="18"/>
      <c r="GGN1" s="18"/>
      <c r="GGO1" s="18"/>
      <c r="GGP1" s="18"/>
      <c r="GGQ1" s="18"/>
      <c r="GGR1" s="18"/>
      <c r="GGS1" s="18"/>
      <c r="GGT1" s="18"/>
      <c r="GGU1" s="18"/>
      <c r="GGV1" s="18"/>
      <c r="GGW1" s="18"/>
      <c r="GGX1" s="18"/>
      <c r="GGY1" s="18"/>
      <c r="GGZ1" s="18"/>
      <c r="GHA1" s="18"/>
      <c r="GHB1" s="18"/>
      <c r="GHC1" s="18"/>
      <c r="GHD1" s="18"/>
      <c r="GHE1" s="18"/>
      <c r="GHF1" s="18"/>
      <c r="GHG1" s="18"/>
      <c r="GHH1" s="18"/>
      <c r="GHI1" s="18"/>
      <c r="GHJ1" s="18"/>
      <c r="GHK1" s="18"/>
      <c r="GHL1" s="18"/>
      <c r="GHM1" s="18"/>
      <c r="GHN1" s="18"/>
      <c r="GHO1" s="18"/>
      <c r="GHP1" s="18"/>
      <c r="GHQ1" s="18"/>
      <c r="GHR1" s="18"/>
      <c r="GHS1" s="18"/>
      <c r="GHT1" s="18"/>
      <c r="GHU1" s="18"/>
      <c r="GHV1" s="18"/>
      <c r="GHW1" s="18"/>
      <c r="GHX1" s="18"/>
      <c r="GHY1" s="18"/>
      <c r="GHZ1" s="18"/>
      <c r="GIA1" s="18"/>
      <c r="GIB1" s="18"/>
      <c r="GIC1" s="18"/>
      <c r="GID1" s="18"/>
      <c r="GIE1" s="18"/>
      <c r="GIF1" s="18"/>
      <c r="GIG1" s="18"/>
      <c r="GIH1" s="18"/>
      <c r="GII1" s="18"/>
      <c r="GIJ1" s="18"/>
      <c r="GIK1" s="18"/>
      <c r="GIL1" s="18"/>
      <c r="GIM1" s="18"/>
      <c r="GIN1" s="18"/>
      <c r="GIO1" s="18"/>
      <c r="GIP1" s="18"/>
      <c r="GIQ1" s="18"/>
      <c r="GIR1" s="18"/>
      <c r="GIS1" s="18"/>
      <c r="GIT1" s="18"/>
      <c r="GIU1" s="18"/>
      <c r="GIV1" s="18"/>
      <c r="GIW1" s="18"/>
      <c r="GIX1" s="18"/>
      <c r="GIY1" s="18"/>
      <c r="GIZ1" s="18"/>
      <c r="GJA1" s="18"/>
      <c r="GJB1" s="18"/>
      <c r="GJC1" s="18"/>
      <c r="GJD1" s="18"/>
      <c r="GJE1" s="18"/>
      <c r="GJF1" s="18"/>
      <c r="GJG1" s="18"/>
      <c r="GJH1" s="18"/>
      <c r="GJI1" s="18"/>
      <c r="GJJ1" s="18"/>
      <c r="GJK1" s="18"/>
      <c r="GJL1" s="18"/>
      <c r="GJM1" s="18"/>
      <c r="GJN1" s="18"/>
      <c r="GJO1" s="18"/>
      <c r="GJP1" s="18"/>
      <c r="GJQ1" s="18"/>
      <c r="GJR1" s="18"/>
      <c r="GJS1" s="18"/>
      <c r="GJT1" s="18"/>
      <c r="GJU1" s="18"/>
      <c r="GJV1" s="18"/>
      <c r="GJW1" s="18"/>
      <c r="GJX1" s="18"/>
      <c r="GJY1" s="18"/>
      <c r="GJZ1" s="18"/>
      <c r="GKA1" s="18"/>
      <c r="GKB1" s="18"/>
      <c r="GKC1" s="18"/>
      <c r="GKD1" s="18"/>
      <c r="GKE1" s="18"/>
      <c r="GKF1" s="18"/>
      <c r="GKG1" s="18"/>
      <c r="GKH1" s="18"/>
      <c r="GKI1" s="18"/>
      <c r="GKJ1" s="18"/>
      <c r="GKK1" s="18"/>
      <c r="GKL1" s="18"/>
      <c r="GKM1" s="18"/>
      <c r="GKN1" s="18"/>
      <c r="GKO1" s="18"/>
      <c r="GKP1" s="18"/>
      <c r="GKQ1" s="18"/>
      <c r="GKR1" s="18"/>
      <c r="GKS1" s="18"/>
      <c r="GKT1" s="18"/>
      <c r="GKU1" s="18"/>
      <c r="GKV1" s="18"/>
      <c r="GKW1" s="18"/>
      <c r="GKX1" s="18"/>
      <c r="GKY1" s="18"/>
      <c r="GKZ1" s="18"/>
      <c r="GLA1" s="18"/>
      <c r="GLB1" s="18"/>
      <c r="GLC1" s="18"/>
      <c r="GLD1" s="18"/>
      <c r="GLE1" s="18"/>
      <c r="GLF1" s="18"/>
      <c r="GLG1" s="18"/>
      <c r="GLH1" s="18"/>
      <c r="GLI1" s="18"/>
      <c r="GLJ1" s="18"/>
      <c r="GLK1" s="18"/>
      <c r="GLL1" s="18"/>
      <c r="GLM1" s="18"/>
      <c r="GLN1" s="18"/>
      <c r="GLO1" s="18"/>
      <c r="GLP1" s="18"/>
      <c r="GLQ1" s="18"/>
      <c r="GLR1" s="18"/>
      <c r="GLS1" s="18"/>
      <c r="GLT1" s="18"/>
      <c r="GLU1" s="18"/>
      <c r="GLV1" s="18"/>
      <c r="GLW1" s="18"/>
      <c r="GLX1" s="18"/>
      <c r="GLY1" s="18"/>
      <c r="GLZ1" s="18"/>
      <c r="GMA1" s="18"/>
      <c r="GMB1" s="18"/>
      <c r="GMC1" s="18"/>
      <c r="GMD1" s="18"/>
      <c r="GME1" s="18"/>
      <c r="GMF1" s="18"/>
      <c r="GMG1" s="18"/>
      <c r="GMH1" s="18"/>
      <c r="GMI1" s="18"/>
      <c r="GMJ1" s="18"/>
      <c r="GMK1" s="18"/>
      <c r="GML1" s="18"/>
      <c r="GMM1" s="18"/>
      <c r="GMN1" s="18"/>
      <c r="GMO1" s="18"/>
      <c r="GMP1" s="18"/>
      <c r="GMQ1" s="18"/>
      <c r="GMR1" s="18"/>
      <c r="GMS1" s="18"/>
      <c r="GMT1" s="18"/>
      <c r="GMU1" s="18"/>
      <c r="GMV1" s="18"/>
      <c r="GMW1" s="18"/>
      <c r="GMX1" s="18"/>
      <c r="GMY1" s="18"/>
      <c r="GMZ1" s="18"/>
      <c r="GNA1" s="18"/>
      <c r="GNB1" s="18"/>
      <c r="GNC1" s="18"/>
      <c r="GND1" s="18"/>
      <c r="GNE1" s="18"/>
      <c r="GNF1" s="18"/>
      <c r="GNG1" s="18"/>
      <c r="GNH1" s="18"/>
      <c r="GNI1" s="18"/>
      <c r="GNJ1" s="18"/>
      <c r="GNK1" s="18"/>
      <c r="GNL1" s="18"/>
      <c r="GNM1" s="18"/>
      <c r="GNN1" s="18"/>
      <c r="GNO1" s="18"/>
      <c r="GNP1" s="18"/>
      <c r="GNQ1" s="18"/>
      <c r="GNR1" s="18"/>
      <c r="GNS1" s="18"/>
      <c r="GNT1" s="18"/>
      <c r="GNU1" s="18"/>
      <c r="GNV1" s="18"/>
      <c r="GNW1" s="18"/>
      <c r="GNX1" s="18"/>
      <c r="GNY1" s="18"/>
      <c r="GNZ1" s="18"/>
      <c r="GOA1" s="18"/>
      <c r="GOB1" s="18"/>
      <c r="GOC1" s="18"/>
      <c r="GOD1" s="18"/>
      <c r="GOE1" s="18"/>
      <c r="GOF1" s="18"/>
      <c r="GOG1" s="18"/>
      <c r="GOH1" s="18"/>
      <c r="GOI1" s="18"/>
      <c r="GOJ1" s="18"/>
      <c r="GOK1" s="18"/>
      <c r="GOL1" s="18"/>
      <c r="GOM1" s="18"/>
      <c r="GON1" s="18"/>
      <c r="GOO1" s="18"/>
      <c r="GOP1" s="18"/>
      <c r="GOQ1" s="18"/>
      <c r="GOR1" s="18"/>
      <c r="GOS1" s="18"/>
      <c r="GOT1" s="18"/>
      <c r="GOU1" s="18"/>
      <c r="GOV1" s="18"/>
      <c r="GOW1" s="18"/>
      <c r="GOX1" s="18"/>
      <c r="GOY1" s="18"/>
      <c r="GOZ1" s="18"/>
      <c r="GPA1" s="18"/>
      <c r="GPB1" s="18"/>
      <c r="GPC1" s="18"/>
      <c r="GPD1" s="18"/>
      <c r="GPE1" s="18"/>
      <c r="GPF1" s="18"/>
      <c r="GPG1" s="18"/>
      <c r="GPH1" s="18"/>
      <c r="GPI1" s="18"/>
      <c r="GPJ1" s="18"/>
      <c r="GPK1" s="18"/>
      <c r="GPL1" s="18"/>
      <c r="GPM1" s="18"/>
      <c r="GPN1" s="18"/>
      <c r="GPO1" s="18"/>
      <c r="GPP1" s="18"/>
      <c r="GPQ1" s="18"/>
      <c r="GPR1" s="18"/>
      <c r="GPS1" s="18"/>
      <c r="GPT1" s="18"/>
      <c r="GPU1" s="18"/>
      <c r="GPV1" s="18"/>
      <c r="GPW1" s="18"/>
      <c r="GPX1" s="18"/>
      <c r="GPY1" s="18"/>
      <c r="GPZ1" s="18"/>
      <c r="GQA1" s="18"/>
      <c r="GQB1" s="18"/>
      <c r="GQC1" s="18"/>
      <c r="GQD1" s="18"/>
      <c r="GQE1" s="18"/>
      <c r="GQF1" s="18"/>
      <c r="GQG1" s="18"/>
      <c r="GQH1" s="18"/>
      <c r="GQI1" s="18"/>
      <c r="GQJ1" s="18"/>
      <c r="GQK1" s="18"/>
      <c r="GQL1" s="18"/>
      <c r="GQM1" s="18"/>
      <c r="GQN1" s="18"/>
      <c r="GQO1" s="18"/>
      <c r="GQP1" s="18"/>
      <c r="GQQ1" s="18"/>
      <c r="GQR1" s="18"/>
      <c r="GQS1" s="18"/>
      <c r="GQT1" s="18"/>
      <c r="GQU1" s="18"/>
      <c r="GQV1" s="18"/>
      <c r="GQW1" s="18"/>
      <c r="GQX1" s="18"/>
      <c r="GQY1" s="18"/>
      <c r="GQZ1" s="18"/>
      <c r="GRA1" s="18"/>
      <c r="GRB1" s="18"/>
      <c r="GRC1" s="18"/>
      <c r="GRD1" s="18"/>
      <c r="GRE1" s="18"/>
      <c r="GRF1" s="18"/>
      <c r="GRG1" s="18"/>
      <c r="GRH1" s="18"/>
      <c r="GRI1" s="18"/>
      <c r="GRJ1" s="18"/>
      <c r="GRK1" s="18"/>
      <c r="GRL1" s="18"/>
      <c r="GRM1" s="18"/>
      <c r="GRN1" s="18"/>
      <c r="GRO1" s="18"/>
      <c r="GRP1" s="18"/>
      <c r="GRQ1" s="18"/>
      <c r="GRR1" s="18"/>
      <c r="GRS1" s="18"/>
      <c r="GRT1" s="18"/>
      <c r="GRU1" s="18"/>
      <c r="GRV1" s="18"/>
      <c r="GRW1" s="18"/>
      <c r="GRX1" s="18"/>
      <c r="GRY1" s="18"/>
      <c r="GRZ1" s="18"/>
      <c r="GSA1" s="18"/>
      <c r="GSB1" s="18"/>
      <c r="GSC1" s="18"/>
      <c r="GSD1" s="18"/>
      <c r="GSE1" s="18"/>
      <c r="GSF1" s="18"/>
      <c r="GSG1" s="18"/>
      <c r="GSH1" s="18"/>
      <c r="GSI1" s="18"/>
      <c r="GSJ1" s="18"/>
      <c r="GSK1" s="18"/>
      <c r="GSL1" s="18"/>
      <c r="GSM1" s="18"/>
      <c r="GSN1" s="18"/>
      <c r="GSO1" s="18"/>
      <c r="GSP1" s="18"/>
      <c r="GSQ1" s="18"/>
      <c r="GSR1" s="18"/>
      <c r="GSS1" s="18"/>
      <c r="GST1" s="18"/>
      <c r="GSU1" s="18"/>
      <c r="GSV1" s="18"/>
      <c r="GSW1" s="18"/>
      <c r="GSX1" s="18"/>
      <c r="GSY1" s="18"/>
      <c r="GSZ1" s="18"/>
      <c r="GTA1" s="18"/>
      <c r="GTB1" s="18"/>
      <c r="GTC1" s="18"/>
      <c r="GTD1" s="18"/>
      <c r="GTE1" s="18"/>
      <c r="GTF1" s="18"/>
      <c r="GTG1" s="18"/>
      <c r="GTH1" s="18"/>
      <c r="GTI1" s="18"/>
      <c r="GTJ1" s="18"/>
      <c r="GTK1" s="18"/>
      <c r="GTL1" s="18"/>
      <c r="GTM1" s="18"/>
      <c r="GTN1" s="18"/>
      <c r="GTO1" s="18"/>
      <c r="GTP1" s="18"/>
      <c r="GTQ1" s="18"/>
      <c r="GTR1" s="18"/>
      <c r="GTS1" s="18"/>
      <c r="GTT1" s="18"/>
      <c r="GTU1" s="18"/>
      <c r="GTV1" s="18"/>
      <c r="GTW1" s="18"/>
      <c r="GTX1" s="18"/>
      <c r="GTY1" s="18"/>
      <c r="GTZ1" s="18"/>
      <c r="GUA1" s="18"/>
      <c r="GUB1" s="18"/>
      <c r="GUC1" s="18"/>
      <c r="GUD1" s="18"/>
      <c r="GUE1" s="18"/>
      <c r="GUF1" s="18"/>
      <c r="GUG1" s="18"/>
      <c r="GUH1" s="18"/>
      <c r="GUI1" s="18"/>
      <c r="GUJ1" s="18"/>
      <c r="GUK1" s="18"/>
      <c r="GUL1" s="18"/>
      <c r="GUM1" s="18"/>
      <c r="GUN1" s="18"/>
      <c r="GUO1" s="18"/>
      <c r="GUP1" s="18"/>
      <c r="GUQ1" s="18"/>
      <c r="GUR1" s="18"/>
      <c r="GUS1" s="18"/>
      <c r="GUT1" s="18"/>
      <c r="GUU1" s="18"/>
      <c r="GUV1" s="18"/>
      <c r="GUW1" s="18"/>
      <c r="GUX1" s="18"/>
      <c r="GUY1" s="18"/>
      <c r="GUZ1" s="18"/>
      <c r="GVA1" s="18"/>
      <c r="GVB1" s="18"/>
      <c r="GVC1" s="18"/>
      <c r="GVD1" s="18"/>
      <c r="GVE1" s="18"/>
      <c r="GVF1" s="18"/>
      <c r="GVG1" s="18"/>
      <c r="GVH1" s="18"/>
      <c r="GVI1" s="18"/>
      <c r="GVJ1" s="18"/>
      <c r="GVK1" s="18"/>
      <c r="GVL1" s="18"/>
      <c r="GVM1" s="18"/>
      <c r="GVN1" s="18"/>
      <c r="GVO1" s="18"/>
      <c r="GVP1" s="18"/>
      <c r="GVQ1" s="18"/>
      <c r="GVR1" s="18"/>
      <c r="GVS1" s="18"/>
      <c r="GVT1" s="18"/>
      <c r="GVU1" s="18"/>
      <c r="GVV1" s="18"/>
      <c r="GVW1" s="18"/>
      <c r="GVX1" s="18"/>
      <c r="GVY1" s="18"/>
      <c r="GVZ1" s="18"/>
      <c r="GWA1" s="18"/>
      <c r="GWB1" s="18"/>
      <c r="GWC1" s="18"/>
      <c r="GWD1" s="18"/>
      <c r="GWE1" s="18"/>
      <c r="GWF1" s="18"/>
      <c r="GWG1" s="18"/>
      <c r="GWH1" s="18"/>
      <c r="GWI1" s="18"/>
      <c r="GWJ1" s="18"/>
      <c r="GWK1" s="18"/>
      <c r="GWL1" s="18"/>
      <c r="GWM1" s="18"/>
      <c r="GWN1" s="18"/>
      <c r="GWO1" s="18"/>
      <c r="GWP1" s="18"/>
      <c r="GWQ1" s="18"/>
      <c r="GWR1" s="18"/>
      <c r="GWS1" s="18"/>
      <c r="GWT1" s="18"/>
      <c r="GWU1" s="18"/>
      <c r="GWV1" s="18"/>
      <c r="GWW1" s="18"/>
      <c r="GWX1" s="18"/>
      <c r="GWY1" s="18"/>
      <c r="GWZ1" s="18"/>
      <c r="GXA1" s="18"/>
      <c r="GXB1" s="18"/>
      <c r="GXC1" s="18"/>
      <c r="GXD1" s="18"/>
      <c r="GXE1" s="18"/>
      <c r="GXF1" s="18"/>
      <c r="GXG1" s="18"/>
      <c r="GXH1" s="18"/>
      <c r="GXI1" s="18"/>
      <c r="GXJ1" s="18"/>
      <c r="GXK1" s="18"/>
      <c r="GXL1" s="18"/>
      <c r="GXM1" s="18"/>
      <c r="GXN1" s="18"/>
      <c r="GXO1" s="18"/>
      <c r="GXP1" s="18"/>
      <c r="GXQ1" s="18"/>
      <c r="GXR1" s="18"/>
      <c r="GXS1" s="18"/>
      <c r="GXT1" s="18"/>
      <c r="GXU1" s="18"/>
      <c r="GXV1" s="18"/>
      <c r="GXW1" s="18"/>
      <c r="GXX1" s="18"/>
      <c r="GXY1" s="18"/>
      <c r="GXZ1" s="18"/>
      <c r="GYA1" s="18"/>
      <c r="GYB1" s="18"/>
      <c r="GYC1" s="18"/>
      <c r="GYD1" s="18"/>
      <c r="GYE1" s="18"/>
      <c r="GYF1" s="18"/>
      <c r="GYG1" s="18"/>
      <c r="GYH1" s="18"/>
      <c r="GYI1" s="18"/>
      <c r="GYJ1" s="18"/>
      <c r="GYK1" s="18"/>
      <c r="GYL1" s="18"/>
      <c r="GYM1" s="18"/>
      <c r="GYN1" s="18"/>
      <c r="GYO1" s="18"/>
      <c r="GYP1" s="18"/>
      <c r="GYQ1" s="18"/>
      <c r="GYR1" s="18"/>
      <c r="GYS1" s="18"/>
      <c r="GYT1" s="18"/>
      <c r="GYU1" s="18"/>
      <c r="GYV1" s="18"/>
      <c r="GYW1" s="18"/>
      <c r="GYX1" s="18"/>
      <c r="GYY1" s="18"/>
      <c r="GYZ1" s="18"/>
      <c r="GZA1" s="18"/>
      <c r="GZB1" s="18"/>
      <c r="GZC1" s="18"/>
      <c r="GZD1" s="18"/>
      <c r="GZE1" s="18"/>
      <c r="GZF1" s="18"/>
      <c r="GZG1" s="18"/>
      <c r="GZH1" s="18"/>
      <c r="GZI1" s="18"/>
      <c r="GZJ1" s="18"/>
      <c r="GZK1" s="18"/>
      <c r="GZL1" s="18"/>
      <c r="GZM1" s="18"/>
      <c r="GZN1" s="18"/>
      <c r="GZO1" s="18"/>
      <c r="GZP1" s="18"/>
      <c r="GZQ1" s="18"/>
      <c r="GZR1" s="18"/>
      <c r="GZS1" s="18"/>
      <c r="GZT1" s="18"/>
      <c r="GZU1" s="18"/>
      <c r="GZV1" s="18"/>
      <c r="GZW1" s="18"/>
      <c r="GZX1" s="18"/>
      <c r="GZY1" s="18"/>
      <c r="GZZ1" s="18"/>
      <c r="HAA1" s="18"/>
      <c r="HAB1" s="18"/>
      <c r="HAC1" s="18"/>
      <c r="HAD1" s="18"/>
      <c r="HAE1" s="18"/>
      <c r="HAF1" s="18"/>
      <c r="HAG1" s="18"/>
      <c r="HAH1" s="18"/>
      <c r="HAI1" s="18"/>
      <c r="HAJ1" s="18"/>
      <c r="HAK1" s="18"/>
      <c r="HAL1" s="18"/>
      <c r="HAM1" s="18"/>
      <c r="HAN1" s="18"/>
      <c r="HAO1" s="18"/>
      <c r="HAP1" s="18"/>
      <c r="HAQ1" s="18"/>
      <c r="HAR1" s="18"/>
      <c r="HAS1" s="18"/>
      <c r="HAT1" s="18"/>
      <c r="HAU1" s="18"/>
      <c r="HAV1" s="18"/>
      <c r="HAW1" s="18"/>
      <c r="HAX1" s="18"/>
      <c r="HAY1" s="18"/>
      <c r="HAZ1" s="18"/>
      <c r="HBA1" s="18"/>
      <c r="HBB1" s="18"/>
      <c r="HBC1" s="18"/>
      <c r="HBD1" s="18"/>
      <c r="HBE1" s="18"/>
      <c r="HBF1" s="18"/>
      <c r="HBG1" s="18"/>
      <c r="HBH1" s="18"/>
      <c r="HBI1" s="18"/>
      <c r="HBJ1" s="18"/>
      <c r="HBK1" s="18"/>
      <c r="HBL1" s="18"/>
      <c r="HBM1" s="18"/>
      <c r="HBN1" s="18"/>
      <c r="HBO1" s="18"/>
      <c r="HBP1" s="18"/>
      <c r="HBQ1" s="18"/>
      <c r="HBR1" s="18"/>
      <c r="HBS1" s="18"/>
      <c r="HBT1" s="18"/>
      <c r="HBU1" s="18"/>
      <c r="HBV1" s="18"/>
      <c r="HBW1" s="18"/>
      <c r="HBX1" s="18"/>
      <c r="HBY1" s="18"/>
      <c r="HBZ1" s="18"/>
      <c r="HCA1" s="18"/>
      <c r="HCB1" s="18"/>
      <c r="HCC1" s="18"/>
      <c r="HCD1" s="18"/>
      <c r="HCE1" s="18"/>
      <c r="HCF1" s="18"/>
      <c r="HCG1" s="18"/>
      <c r="HCH1" s="18"/>
      <c r="HCI1" s="18"/>
      <c r="HCJ1" s="18"/>
      <c r="HCK1" s="18"/>
      <c r="HCL1" s="18"/>
      <c r="HCM1" s="18"/>
      <c r="HCN1" s="18"/>
      <c r="HCO1" s="18"/>
      <c r="HCP1" s="18"/>
      <c r="HCQ1" s="18"/>
      <c r="HCR1" s="18"/>
      <c r="HCS1" s="18"/>
      <c r="HCT1" s="18"/>
      <c r="HCU1" s="18"/>
      <c r="HCV1" s="18"/>
      <c r="HCW1" s="18"/>
      <c r="HCX1" s="18"/>
      <c r="HCY1" s="18"/>
      <c r="HCZ1" s="18"/>
      <c r="HDA1" s="18"/>
      <c r="HDB1" s="18"/>
      <c r="HDC1" s="18"/>
      <c r="HDD1" s="18"/>
      <c r="HDE1" s="18"/>
      <c r="HDF1" s="18"/>
      <c r="HDG1" s="18"/>
      <c r="HDH1" s="18"/>
      <c r="HDI1" s="18"/>
      <c r="HDJ1" s="18"/>
      <c r="HDK1" s="18"/>
      <c r="HDL1" s="18"/>
      <c r="HDM1" s="18"/>
      <c r="HDN1" s="18"/>
      <c r="HDO1" s="18"/>
      <c r="HDP1" s="18"/>
      <c r="HDQ1" s="18"/>
      <c r="HDR1" s="18"/>
      <c r="HDS1" s="18"/>
      <c r="HDT1" s="18"/>
      <c r="HDU1" s="18"/>
      <c r="HDV1" s="18"/>
      <c r="HDW1" s="18"/>
      <c r="HDX1" s="18"/>
      <c r="HDY1" s="18"/>
      <c r="HDZ1" s="18"/>
      <c r="HEA1" s="18"/>
      <c r="HEB1" s="18"/>
      <c r="HEC1" s="18"/>
      <c r="HED1" s="18"/>
      <c r="HEE1" s="18"/>
      <c r="HEF1" s="18"/>
      <c r="HEG1" s="18"/>
      <c r="HEH1" s="18"/>
      <c r="HEI1" s="18"/>
      <c r="HEJ1" s="18"/>
      <c r="HEK1" s="18"/>
      <c r="HEL1" s="18"/>
      <c r="HEM1" s="18"/>
      <c r="HEN1" s="18"/>
      <c r="HEO1" s="18"/>
      <c r="HEP1" s="18"/>
      <c r="HEQ1" s="18"/>
      <c r="HER1" s="18"/>
      <c r="HES1" s="18"/>
      <c r="HET1" s="18"/>
      <c r="HEU1" s="18"/>
      <c r="HEV1" s="18"/>
      <c r="HEW1" s="18"/>
      <c r="HEX1" s="18"/>
      <c r="HEY1" s="18"/>
      <c r="HEZ1" s="18"/>
      <c r="HFA1" s="18"/>
      <c r="HFB1" s="18"/>
      <c r="HFC1" s="18"/>
      <c r="HFD1" s="18"/>
      <c r="HFE1" s="18"/>
      <c r="HFF1" s="18"/>
      <c r="HFG1" s="18"/>
      <c r="HFH1" s="18"/>
      <c r="HFI1" s="18"/>
      <c r="HFJ1" s="18"/>
      <c r="HFK1" s="18"/>
      <c r="HFL1" s="18"/>
      <c r="HFM1" s="18"/>
      <c r="HFN1" s="18"/>
      <c r="HFO1" s="18"/>
      <c r="HFP1" s="18"/>
      <c r="HFQ1" s="18"/>
      <c r="HFR1" s="18"/>
      <c r="HFS1" s="18"/>
      <c r="HFT1" s="18"/>
      <c r="HFU1" s="18"/>
      <c r="HFV1" s="18"/>
      <c r="HFW1" s="18"/>
      <c r="HFX1" s="18"/>
      <c r="HFY1" s="18"/>
      <c r="HFZ1" s="18"/>
      <c r="HGA1" s="18"/>
      <c r="HGB1" s="18"/>
      <c r="HGC1" s="18"/>
      <c r="HGD1" s="18"/>
      <c r="HGE1" s="18"/>
      <c r="HGF1" s="18"/>
      <c r="HGG1" s="18"/>
      <c r="HGH1" s="18"/>
      <c r="HGI1" s="18"/>
      <c r="HGJ1" s="18"/>
      <c r="HGK1" s="18"/>
      <c r="HGL1" s="18"/>
      <c r="HGM1" s="18"/>
      <c r="HGN1" s="18"/>
      <c r="HGO1" s="18"/>
      <c r="HGP1" s="18"/>
      <c r="HGQ1" s="18"/>
      <c r="HGR1" s="18"/>
      <c r="HGS1" s="18"/>
      <c r="HGT1" s="18"/>
      <c r="HGU1" s="18"/>
      <c r="HGV1" s="18"/>
      <c r="HGW1" s="18"/>
      <c r="HGX1" s="18"/>
      <c r="HGY1" s="18"/>
      <c r="HGZ1" s="18"/>
      <c r="HHA1" s="18"/>
      <c r="HHB1" s="18"/>
      <c r="HHC1" s="18"/>
      <c r="HHD1" s="18"/>
      <c r="HHE1" s="18"/>
      <c r="HHF1" s="18"/>
      <c r="HHG1" s="18"/>
      <c r="HHH1" s="18"/>
      <c r="HHI1" s="18"/>
      <c r="HHJ1" s="18"/>
      <c r="HHK1" s="18"/>
      <c r="HHL1" s="18"/>
      <c r="HHM1" s="18"/>
      <c r="HHN1" s="18"/>
      <c r="HHO1" s="18"/>
      <c r="HHP1" s="18"/>
      <c r="HHQ1" s="18"/>
      <c r="HHR1" s="18"/>
      <c r="HHS1" s="18"/>
      <c r="HHT1" s="18"/>
      <c r="HHU1" s="18"/>
      <c r="HHV1" s="18"/>
      <c r="HHW1" s="18"/>
      <c r="HHX1" s="18"/>
      <c r="HHY1" s="18"/>
      <c r="HHZ1" s="18"/>
      <c r="HIA1" s="18"/>
      <c r="HIB1" s="18"/>
      <c r="HIC1" s="18"/>
      <c r="HID1" s="18"/>
      <c r="HIE1" s="18"/>
      <c r="HIF1" s="18"/>
      <c r="HIG1" s="18"/>
      <c r="HIH1" s="18"/>
      <c r="HII1" s="18"/>
      <c r="HIJ1" s="18"/>
      <c r="HIK1" s="18"/>
      <c r="HIL1" s="18"/>
      <c r="HIM1" s="18"/>
      <c r="HIN1" s="18"/>
      <c r="HIO1" s="18"/>
      <c r="HIP1" s="18"/>
      <c r="HIQ1" s="18"/>
      <c r="HIR1" s="18"/>
      <c r="HIS1" s="18"/>
      <c r="HIT1" s="18"/>
      <c r="HIU1" s="18"/>
      <c r="HIV1" s="18"/>
      <c r="HIW1" s="18"/>
      <c r="HIX1" s="18"/>
      <c r="HIY1" s="18"/>
      <c r="HIZ1" s="18"/>
      <c r="HJA1" s="18"/>
      <c r="HJB1" s="18"/>
      <c r="HJC1" s="18"/>
      <c r="HJD1" s="18"/>
      <c r="HJE1" s="18"/>
      <c r="HJF1" s="18"/>
      <c r="HJG1" s="18"/>
      <c r="HJH1" s="18"/>
      <c r="HJI1" s="18"/>
      <c r="HJJ1" s="18"/>
      <c r="HJK1" s="18"/>
      <c r="HJL1" s="18"/>
      <c r="HJM1" s="18"/>
      <c r="HJN1" s="18"/>
      <c r="HJO1" s="18"/>
      <c r="HJP1" s="18"/>
      <c r="HJQ1" s="18"/>
      <c r="HJR1" s="18"/>
      <c r="HJS1" s="18"/>
      <c r="HJT1" s="18"/>
      <c r="HJU1" s="18"/>
      <c r="HJV1" s="18"/>
      <c r="HJW1" s="18"/>
      <c r="HJX1" s="18"/>
      <c r="HJY1" s="18"/>
      <c r="HJZ1" s="18"/>
      <c r="HKA1" s="18"/>
      <c r="HKB1" s="18"/>
      <c r="HKC1" s="18"/>
      <c r="HKD1" s="18"/>
      <c r="HKE1" s="18"/>
      <c r="HKF1" s="18"/>
      <c r="HKG1" s="18"/>
      <c r="HKH1" s="18"/>
      <c r="HKI1" s="18"/>
      <c r="HKJ1" s="18"/>
      <c r="HKK1" s="18"/>
      <c r="HKL1" s="18"/>
      <c r="HKM1" s="18"/>
      <c r="HKN1" s="18"/>
      <c r="HKO1" s="18"/>
      <c r="HKP1" s="18"/>
      <c r="HKQ1" s="18"/>
      <c r="HKR1" s="18"/>
      <c r="HKS1" s="18"/>
      <c r="HKT1" s="18"/>
      <c r="HKU1" s="18"/>
      <c r="HKV1" s="18"/>
      <c r="HKW1" s="18"/>
      <c r="HKX1" s="18"/>
      <c r="HKY1" s="18"/>
      <c r="HKZ1" s="18"/>
      <c r="HLA1" s="18"/>
      <c r="HLB1" s="18"/>
      <c r="HLC1" s="18"/>
      <c r="HLD1" s="18"/>
      <c r="HLE1" s="18"/>
      <c r="HLF1" s="18"/>
      <c r="HLG1" s="18"/>
      <c r="HLH1" s="18"/>
      <c r="HLI1" s="18"/>
      <c r="HLJ1" s="18"/>
      <c r="HLK1" s="18"/>
      <c r="HLL1" s="18"/>
      <c r="HLM1" s="18"/>
      <c r="HLN1" s="18"/>
      <c r="HLO1" s="18"/>
      <c r="HLP1" s="18"/>
      <c r="HLQ1" s="18"/>
      <c r="HLR1" s="18"/>
      <c r="HLS1" s="18"/>
      <c r="HLT1" s="18"/>
      <c r="HLU1" s="18"/>
      <c r="HLV1" s="18"/>
      <c r="HLW1" s="18"/>
      <c r="HLX1" s="18"/>
      <c r="HLY1" s="18"/>
      <c r="HLZ1" s="18"/>
      <c r="HMA1" s="18"/>
      <c r="HMB1" s="18"/>
      <c r="HMC1" s="18"/>
      <c r="HMD1" s="18"/>
      <c r="HME1" s="18"/>
      <c r="HMF1" s="18"/>
      <c r="HMG1" s="18"/>
      <c r="HMH1" s="18"/>
      <c r="HMI1" s="18"/>
      <c r="HMJ1" s="18"/>
      <c r="HMK1" s="18"/>
      <c r="HML1" s="18"/>
      <c r="HMM1" s="18"/>
      <c r="HMN1" s="18"/>
      <c r="HMO1" s="18"/>
      <c r="HMP1" s="18"/>
      <c r="HMQ1" s="18"/>
      <c r="HMR1" s="18"/>
      <c r="HMS1" s="18"/>
      <c r="HMT1" s="18"/>
      <c r="HMU1" s="18"/>
      <c r="HMV1" s="18"/>
      <c r="HMW1" s="18"/>
      <c r="HMX1" s="18"/>
      <c r="HMY1" s="18"/>
      <c r="HMZ1" s="18"/>
      <c r="HNA1" s="18"/>
      <c r="HNB1" s="18"/>
      <c r="HNC1" s="18"/>
      <c r="HND1" s="18"/>
      <c r="HNE1" s="18"/>
      <c r="HNF1" s="18"/>
      <c r="HNG1" s="18"/>
      <c r="HNH1" s="18"/>
      <c r="HNI1" s="18"/>
      <c r="HNJ1" s="18"/>
      <c r="HNK1" s="18"/>
      <c r="HNL1" s="18"/>
      <c r="HNM1" s="18"/>
      <c r="HNN1" s="18"/>
      <c r="HNO1" s="18"/>
      <c r="HNP1" s="18"/>
      <c r="HNQ1" s="18"/>
      <c r="HNR1" s="18"/>
      <c r="HNS1" s="18"/>
      <c r="HNT1" s="18"/>
      <c r="HNU1" s="18"/>
      <c r="HNV1" s="18"/>
      <c r="HNW1" s="18"/>
      <c r="HNX1" s="18"/>
      <c r="HNY1" s="18"/>
      <c r="HNZ1" s="18"/>
      <c r="HOA1" s="18"/>
      <c r="HOB1" s="18"/>
      <c r="HOC1" s="18"/>
      <c r="HOD1" s="18"/>
      <c r="HOE1" s="18"/>
      <c r="HOF1" s="18"/>
      <c r="HOG1" s="18"/>
      <c r="HOH1" s="18"/>
      <c r="HOI1" s="18"/>
      <c r="HOJ1" s="18"/>
      <c r="HOK1" s="18"/>
      <c r="HOL1" s="18"/>
      <c r="HOM1" s="18"/>
      <c r="HON1" s="18"/>
      <c r="HOO1" s="18"/>
      <c r="HOP1" s="18"/>
      <c r="HOQ1" s="18"/>
      <c r="HOR1" s="18"/>
      <c r="HOS1" s="18"/>
      <c r="HOT1" s="18"/>
      <c r="HOU1" s="18"/>
      <c r="HOV1" s="18"/>
      <c r="HOW1" s="18"/>
      <c r="HOX1" s="18"/>
      <c r="HOY1" s="18"/>
      <c r="HOZ1" s="18"/>
      <c r="HPA1" s="18"/>
      <c r="HPB1" s="18"/>
      <c r="HPC1" s="18"/>
      <c r="HPD1" s="18"/>
      <c r="HPE1" s="18"/>
      <c r="HPF1" s="18"/>
      <c r="HPG1" s="18"/>
      <c r="HPH1" s="18"/>
      <c r="HPI1" s="18"/>
      <c r="HPJ1" s="18"/>
      <c r="HPK1" s="18"/>
      <c r="HPL1" s="18"/>
      <c r="HPM1" s="18"/>
      <c r="HPN1" s="18"/>
      <c r="HPO1" s="18"/>
      <c r="HPP1" s="18"/>
      <c r="HPQ1" s="18"/>
      <c r="HPR1" s="18"/>
      <c r="HPS1" s="18"/>
      <c r="HPT1" s="18"/>
      <c r="HPU1" s="18"/>
      <c r="HPV1" s="18"/>
      <c r="HPW1" s="18"/>
      <c r="HPX1" s="18"/>
      <c r="HPY1" s="18"/>
      <c r="HPZ1" s="18"/>
      <c r="HQA1" s="18"/>
      <c r="HQB1" s="18"/>
      <c r="HQC1" s="18"/>
      <c r="HQD1" s="18"/>
      <c r="HQE1" s="18"/>
      <c r="HQF1" s="18"/>
      <c r="HQG1" s="18"/>
      <c r="HQH1" s="18"/>
      <c r="HQI1" s="18"/>
      <c r="HQJ1" s="18"/>
      <c r="HQK1" s="18"/>
      <c r="HQL1" s="18"/>
      <c r="HQM1" s="18"/>
      <c r="HQN1" s="18"/>
      <c r="HQO1" s="18"/>
      <c r="HQP1" s="18"/>
      <c r="HQQ1" s="18"/>
      <c r="HQR1" s="18"/>
      <c r="HQS1" s="18"/>
      <c r="HQT1" s="18"/>
      <c r="HQU1" s="18"/>
      <c r="HQV1" s="18"/>
      <c r="HQW1" s="18"/>
      <c r="HQX1" s="18"/>
      <c r="HQY1" s="18"/>
      <c r="HQZ1" s="18"/>
      <c r="HRA1" s="18"/>
      <c r="HRB1" s="18"/>
      <c r="HRC1" s="18"/>
      <c r="HRD1" s="18"/>
      <c r="HRE1" s="18"/>
      <c r="HRF1" s="18"/>
      <c r="HRG1" s="18"/>
      <c r="HRH1" s="18"/>
      <c r="HRI1" s="18"/>
      <c r="HRJ1" s="18"/>
      <c r="HRK1" s="18"/>
      <c r="HRL1" s="18"/>
      <c r="HRM1" s="18"/>
      <c r="HRN1" s="18"/>
      <c r="HRO1" s="18"/>
      <c r="HRP1" s="18"/>
      <c r="HRQ1" s="18"/>
      <c r="HRR1" s="18"/>
      <c r="HRS1" s="18"/>
      <c r="HRT1" s="18"/>
      <c r="HRU1" s="18"/>
      <c r="HRV1" s="18"/>
      <c r="HRW1" s="18"/>
      <c r="HRX1" s="18"/>
      <c r="HRY1" s="18"/>
      <c r="HRZ1" s="18"/>
      <c r="HSA1" s="18"/>
      <c r="HSB1" s="18"/>
      <c r="HSC1" s="18"/>
      <c r="HSD1" s="18"/>
      <c r="HSE1" s="18"/>
      <c r="HSF1" s="18"/>
      <c r="HSG1" s="18"/>
      <c r="HSH1" s="18"/>
      <c r="HSI1" s="18"/>
      <c r="HSJ1" s="18"/>
      <c r="HSK1" s="18"/>
      <c r="HSL1" s="18"/>
      <c r="HSM1" s="18"/>
      <c r="HSN1" s="18"/>
      <c r="HSO1" s="18"/>
      <c r="HSP1" s="18"/>
      <c r="HSQ1" s="18"/>
      <c r="HSR1" s="18"/>
      <c r="HSS1" s="18"/>
      <c r="HST1" s="18"/>
      <c r="HSU1" s="18"/>
      <c r="HSV1" s="18"/>
      <c r="HSW1" s="18"/>
      <c r="HSX1" s="18"/>
      <c r="HSY1" s="18"/>
      <c r="HSZ1" s="18"/>
      <c r="HTA1" s="18"/>
      <c r="HTB1" s="18"/>
      <c r="HTC1" s="18"/>
      <c r="HTD1" s="18"/>
      <c r="HTE1" s="18"/>
      <c r="HTF1" s="18"/>
      <c r="HTG1" s="18"/>
      <c r="HTH1" s="18"/>
      <c r="HTI1" s="18"/>
      <c r="HTJ1" s="18"/>
      <c r="HTK1" s="18"/>
      <c r="HTL1" s="18"/>
      <c r="HTM1" s="18"/>
      <c r="HTN1" s="18"/>
      <c r="HTO1" s="18"/>
      <c r="HTP1" s="18"/>
      <c r="HTQ1" s="18"/>
      <c r="HTR1" s="18"/>
      <c r="HTS1" s="18"/>
      <c r="HTT1" s="18"/>
      <c r="HTU1" s="18"/>
      <c r="HTV1" s="18"/>
      <c r="HTW1" s="18"/>
      <c r="HTX1" s="18"/>
      <c r="HTY1" s="18"/>
      <c r="HTZ1" s="18"/>
      <c r="HUA1" s="18"/>
      <c r="HUB1" s="18"/>
      <c r="HUC1" s="18"/>
      <c r="HUD1" s="18"/>
      <c r="HUE1" s="18"/>
      <c r="HUF1" s="18"/>
      <c r="HUG1" s="18"/>
      <c r="HUH1" s="18"/>
      <c r="HUI1" s="18"/>
      <c r="HUJ1" s="18"/>
      <c r="HUK1" s="18"/>
      <c r="HUL1" s="18"/>
      <c r="HUM1" s="18"/>
      <c r="HUN1" s="18"/>
      <c r="HUO1" s="18"/>
      <c r="HUP1" s="18"/>
      <c r="HUQ1" s="18"/>
      <c r="HUR1" s="18"/>
      <c r="HUS1" s="18"/>
      <c r="HUT1" s="18"/>
      <c r="HUU1" s="18"/>
      <c r="HUV1" s="18"/>
      <c r="HUW1" s="18"/>
      <c r="HUX1" s="18"/>
      <c r="HUY1" s="18"/>
      <c r="HUZ1" s="18"/>
      <c r="HVA1" s="18"/>
      <c r="HVB1" s="18"/>
      <c r="HVC1" s="18"/>
      <c r="HVD1" s="18"/>
      <c r="HVE1" s="18"/>
      <c r="HVF1" s="18"/>
      <c r="HVG1" s="18"/>
      <c r="HVH1" s="18"/>
      <c r="HVI1" s="18"/>
      <c r="HVJ1" s="18"/>
      <c r="HVK1" s="18"/>
      <c r="HVL1" s="18"/>
      <c r="HVM1" s="18"/>
      <c r="HVN1" s="18"/>
      <c r="HVO1" s="18"/>
      <c r="HVP1" s="18"/>
      <c r="HVQ1" s="18"/>
      <c r="HVR1" s="18"/>
      <c r="HVS1" s="18"/>
      <c r="HVT1" s="18"/>
      <c r="HVU1" s="18"/>
      <c r="HVV1" s="18"/>
      <c r="HVW1" s="18"/>
      <c r="HVX1" s="18"/>
      <c r="HVY1" s="18"/>
      <c r="HVZ1" s="18"/>
      <c r="HWA1" s="18"/>
      <c r="HWB1" s="18"/>
      <c r="HWC1" s="18"/>
      <c r="HWD1" s="18"/>
      <c r="HWE1" s="18"/>
      <c r="HWF1" s="18"/>
      <c r="HWG1" s="18"/>
      <c r="HWH1" s="18"/>
      <c r="HWI1" s="18"/>
      <c r="HWJ1" s="18"/>
      <c r="HWK1" s="18"/>
      <c r="HWL1" s="18"/>
      <c r="HWM1" s="18"/>
      <c r="HWN1" s="18"/>
      <c r="HWO1" s="18"/>
      <c r="HWP1" s="18"/>
      <c r="HWQ1" s="18"/>
      <c r="HWR1" s="18"/>
      <c r="HWS1" s="18"/>
      <c r="HWT1" s="18"/>
      <c r="HWU1" s="18"/>
      <c r="HWV1" s="18"/>
      <c r="HWW1" s="18"/>
      <c r="HWX1" s="18"/>
      <c r="HWY1" s="18"/>
      <c r="HWZ1" s="18"/>
      <c r="HXA1" s="18"/>
      <c r="HXB1" s="18"/>
      <c r="HXC1" s="18"/>
      <c r="HXD1" s="18"/>
      <c r="HXE1" s="18"/>
      <c r="HXF1" s="18"/>
      <c r="HXG1" s="18"/>
      <c r="HXH1" s="18"/>
      <c r="HXI1" s="18"/>
      <c r="HXJ1" s="18"/>
      <c r="HXK1" s="18"/>
      <c r="HXL1" s="18"/>
      <c r="HXM1" s="18"/>
      <c r="HXN1" s="18"/>
      <c r="HXO1" s="18"/>
      <c r="HXP1" s="18"/>
      <c r="HXQ1" s="18"/>
      <c r="HXR1" s="18"/>
      <c r="HXS1" s="18"/>
      <c r="HXT1" s="18"/>
      <c r="HXU1" s="18"/>
      <c r="HXV1" s="18"/>
      <c r="HXW1" s="18"/>
      <c r="HXX1" s="18"/>
      <c r="HXY1" s="18"/>
      <c r="HXZ1" s="18"/>
      <c r="HYA1" s="18"/>
      <c r="HYB1" s="18"/>
      <c r="HYC1" s="18"/>
      <c r="HYD1" s="18"/>
      <c r="HYE1" s="18"/>
      <c r="HYF1" s="18"/>
      <c r="HYG1" s="18"/>
      <c r="HYH1" s="18"/>
      <c r="HYI1" s="18"/>
      <c r="HYJ1" s="18"/>
      <c r="HYK1" s="18"/>
      <c r="HYL1" s="18"/>
      <c r="HYM1" s="18"/>
      <c r="HYN1" s="18"/>
      <c r="HYO1" s="18"/>
      <c r="HYP1" s="18"/>
      <c r="HYQ1" s="18"/>
      <c r="HYR1" s="18"/>
      <c r="HYS1" s="18"/>
      <c r="HYT1" s="18"/>
      <c r="HYU1" s="18"/>
      <c r="HYV1" s="18"/>
      <c r="HYW1" s="18"/>
      <c r="HYX1" s="18"/>
      <c r="HYY1" s="18"/>
      <c r="HYZ1" s="18"/>
      <c r="HZA1" s="18"/>
      <c r="HZB1" s="18"/>
      <c r="HZC1" s="18"/>
      <c r="HZD1" s="18"/>
      <c r="HZE1" s="18"/>
      <c r="HZF1" s="18"/>
      <c r="HZG1" s="18"/>
      <c r="HZH1" s="18"/>
      <c r="HZI1" s="18"/>
      <c r="HZJ1" s="18"/>
      <c r="HZK1" s="18"/>
      <c r="HZL1" s="18"/>
      <c r="HZM1" s="18"/>
      <c r="HZN1" s="18"/>
      <c r="HZO1" s="18"/>
      <c r="HZP1" s="18"/>
      <c r="HZQ1" s="18"/>
      <c r="HZR1" s="18"/>
      <c r="HZS1" s="18"/>
      <c r="HZT1" s="18"/>
      <c r="HZU1" s="18"/>
      <c r="HZV1" s="18"/>
      <c r="HZW1" s="18"/>
      <c r="HZX1" s="18"/>
      <c r="HZY1" s="18"/>
      <c r="HZZ1" s="18"/>
      <c r="IAA1" s="18"/>
      <c r="IAB1" s="18"/>
      <c r="IAC1" s="18"/>
      <c r="IAD1" s="18"/>
      <c r="IAE1" s="18"/>
      <c r="IAF1" s="18"/>
      <c r="IAG1" s="18"/>
      <c r="IAH1" s="18"/>
      <c r="IAI1" s="18"/>
      <c r="IAJ1" s="18"/>
      <c r="IAK1" s="18"/>
      <c r="IAL1" s="18"/>
      <c r="IAM1" s="18"/>
      <c r="IAN1" s="18"/>
      <c r="IAO1" s="18"/>
      <c r="IAP1" s="18"/>
      <c r="IAQ1" s="18"/>
      <c r="IAR1" s="18"/>
      <c r="IAS1" s="18"/>
      <c r="IAT1" s="18"/>
      <c r="IAU1" s="18"/>
      <c r="IAV1" s="18"/>
      <c r="IAW1" s="18"/>
      <c r="IAX1" s="18"/>
      <c r="IAY1" s="18"/>
      <c r="IAZ1" s="18"/>
      <c r="IBA1" s="18"/>
      <c r="IBB1" s="18"/>
      <c r="IBC1" s="18"/>
      <c r="IBD1" s="18"/>
      <c r="IBE1" s="18"/>
      <c r="IBF1" s="18"/>
      <c r="IBG1" s="18"/>
      <c r="IBH1" s="18"/>
      <c r="IBI1" s="18"/>
      <c r="IBJ1" s="18"/>
      <c r="IBK1" s="18"/>
      <c r="IBL1" s="18"/>
      <c r="IBM1" s="18"/>
      <c r="IBN1" s="18"/>
      <c r="IBO1" s="18"/>
      <c r="IBP1" s="18"/>
      <c r="IBQ1" s="18"/>
      <c r="IBR1" s="18"/>
      <c r="IBS1" s="18"/>
      <c r="IBT1" s="18"/>
      <c r="IBU1" s="18"/>
      <c r="IBV1" s="18"/>
      <c r="IBW1" s="18"/>
      <c r="IBX1" s="18"/>
      <c r="IBY1" s="18"/>
      <c r="IBZ1" s="18"/>
      <c r="ICA1" s="18"/>
      <c r="ICB1" s="18"/>
      <c r="ICC1" s="18"/>
      <c r="ICD1" s="18"/>
      <c r="ICE1" s="18"/>
      <c r="ICF1" s="18"/>
      <c r="ICG1" s="18"/>
      <c r="ICH1" s="18"/>
      <c r="ICI1" s="18"/>
      <c r="ICJ1" s="18"/>
      <c r="ICK1" s="18"/>
      <c r="ICL1" s="18"/>
      <c r="ICM1" s="18"/>
      <c r="ICN1" s="18"/>
      <c r="ICO1" s="18"/>
      <c r="ICP1" s="18"/>
      <c r="ICQ1" s="18"/>
      <c r="ICR1" s="18"/>
      <c r="ICS1" s="18"/>
      <c r="ICT1" s="18"/>
      <c r="ICU1" s="18"/>
      <c r="ICV1" s="18"/>
      <c r="ICW1" s="18"/>
      <c r="ICX1" s="18"/>
      <c r="ICY1" s="18"/>
      <c r="ICZ1" s="18"/>
      <c r="IDA1" s="18"/>
      <c r="IDB1" s="18"/>
      <c r="IDC1" s="18"/>
      <c r="IDD1" s="18"/>
      <c r="IDE1" s="18"/>
      <c r="IDF1" s="18"/>
      <c r="IDG1" s="18"/>
      <c r="IDH1" s="18"/>
      <c r="IDI1" s="18"/>
      <c r="IDJ1" s="18"/>
      <c r="IDK1" s="18"/>
      <c r="IDL1" s="18"/>
      <c r="IDM1" s="18"/>
      <c r="IDN1" s="18"/>
      <c r="IDO1" s="18"/>
      <c r="IDP1" s="18"/>
      <c r="IDQ1" s="18"/>
      <c r="IDR1" s="18"/>
      <c r="IDS1" s="18"/>
      <c r="IDT1" s="18"/>
      <c r="IDU1" s="18"/>
      <c r="IDV1" s="18"/>
      <c r="IDW1" s="18"/>
      <c r="IDX1" s="18"/>
      <c r="IDY1" s="18"/>
      <c r="IDZ1" s="18"/>
      <c r="IEA1" s="18"/>
      <c r="IEB1" s="18"/>
      <c r="IEC1" s="18"/>
      <c r="IED1" s="18"/>
      <c r="IEE1" s="18"/>
      <c r="IEF1" s="18"/>
      <c r="IEG1" s="18"/>
      <c r="IEH1" s="18"/>
      <c r="IEI1" s="18"/>
      <c r="IEJ1" s="18"/>
      <c r="IEK1" s="18"/>
      <c r="IEL1" s="18"/>
      <c r="IEM1" s="18"/>
      <c r="IEN1" s="18"/>
      <c r="IEO1" s="18"/>
      <c r="IEP1" s="18"/>
      <c r="IEQ1" s="18"/>
      <c r="IER1" s="18"/>
      <c r="IES1" s="18"/>
      <c r="IET1" s="18"/>
      <c r="IEU1" s="18"/>
      <c r="IEV1" s="18"/>
      <c r="IEW1" s="18"/>
      <c r="IEX1" s="18"/>
      <c r="IEY1" s="18"/>
      <c r="IEZ1" s="18"/>
      <c r="IFA1" s="18"/>
      <c r="IFB1" s="18"/>
      <c r="IFC1" s="18"/>
      <c r="IFD1" s="18"/>
      <c r="IFE1" s="18"/>
      <c r="IFF1" s="18"/>
      <c r="IFG1" s="18"/>
      <c r="IFH1" s="18"/>
      <c r="IFI1" s="18"/>
      <c r="IFJ1" s="18"/>
      <c r="IFK1" s="18"/>
      <c r="IFL1" s="18"/>
      <c r="IFM1" s="18"/>
      <c r="IFN1" s="18"/>
      <c r="IFO1" s="18"/>
      <c r="IFP1" s="18"/>
      <c r="IFQ1" s="18"/>
      <c r="IFR1" s="18"/>
      <c r="IFS1" s="18"/>
      <c r="IFT1" s="18"/>
      <c r="IFU1" s="18"/>
      <c r="IFV1" s="18"/>
      <c r="IFW1" s="18"/>
      <c r="IFX1" s="18"/>
      <c r="IFY1" s="18"/>
      <c r="IFZ1" s="18"/>
      <c r="IGA1" s="18"/>
      <c r="IGB1" s="18"/>
      <c r="IGC1" s="18"/>
      <c r="IGD1" s="18"/>
      <c r="IGE1" s="18"/>
      <c r="IGF1" s="18"/>
      <c r="IGG1" s="18"/>
      <c r="IGH1" s="18"/>
      <c r="IGI1" s="18"/>
      <c r="IGJ1" s="18"/>
      <c r="IGK1" s="18"/>
      <c r="IGL1" s="18"/>
      <c r="IGM1" s="18"/>
      <c r="IGN1" s="18"/>
      <c r="IGO1" s="18"/>
      <c r="IGP1" s="18"/>
      <c r="IGQ1" s="18"/>
      <c r="IGR1" s="18"/>
      <c r="IGS1" s="18"/>
      <c r="IGT1" s="18"/>
      <c r="IGU1" s="18"/>
      <c r="IGV1" s="18"/>
      <c r="IGW1" s="18"/>
      <c r="IGX1" s="18"/>
      <c r="IGY1" s="18"/>
      <c r="IGZ1" s="18"/>
      <c r="IHA1" s="18"/>
      <c r="IHB1" s="18"/>
      <c r="IHC1" s="18"/>
      <c r="IHD1" s="18"/>
      <c r="IHE1" s="18"/>
      <c r="IHF1" s="18"/>
      <c r="IHG1" s="18"/>
      <c r="IHH1" s="18"/>
      <c r="IHI1" s="18"/>
      <c r="IHJ1" s="18"/>
      <c r="IHK1" s="18"/>
      <c r="IHL1" s="18"/>
      <c r="IHM1" s="18"/>
      <c r="IHN1" s="18"/>
      <c r="IHO1" s="18"/>
      <c r="IHP1" s="18"/>
      <c r="IHQ1" s="18"/>
      <c r="IHR1" s="18"/>
      <c r="IHS1" s="18"/>
      <c r="IHT1" s="18"/>
      <c r="IHU1" s="18"/>
      <c r="IHV1" s="18"/>
      <c r="IHW1" s="18"/>
      <c r="IHX1" s="18"/>
      <c r="IHY1" s="18"/>
      <c r="IHZ1" s="18"/>
      <c r="IIA1" s="18"/>
      <c r="IIB1" s="18"/>
      <c r="IIC1" s="18"/>
      <c r="IID1" s="18"/>
      <c r="IIE1" s="18"/>
      <c r="IIF1" s="18"/>
      <c r="IIG1" s="18"/>
      <c r="IIH1" s="18"/>
      <c r="III1" s="18"/>
      <c r="IIJ1" s="18"/>
      <c r="IIK1" s="18"/>
      <c r="IIL1" s="18"/>
      <c r="IIM1" s="18"/>
      <c r="IIN1" s="18"/>
      <c r="IIO1" s="18"/>
      <c r="IIP1" s="18"/>
      <c r="IIQ1" s="18"/>
      <c r="IIR1" s="18"/>
      <c r="IIS1" s="18"/>
      <c r="IIT1" s="18"/>
      <c r="IIU1" s="18"/>
      <c r="IIV1" s="18"/>
      <c r="IIW1" s="18"/>
      <c r="IIX1" s="18"/>
      <c r="IIY1" s="18"/>
      <c r="IIZ1" s="18"/>
      <c r="IJA1" s="18"/>
      <c r="IJB1" s="18"/>
      <c r="IJC1" s="18"/>
      <c r="IJD1" s="18"/>
      <c r="IJE1" s="18"/>
      <c r="IJF1" s="18"/>
      <c r="IJG1" s="18"/>
      <c r="IJH1" s="18"/>
      <c r="IJI1" s="18"/>
      <c r="IJJ1" s="18"/>
      <c r="IJK1" s="18"/>
      <c r="IJL1" s="18"/>
      <c r="IJM1" s="18"/>
      <c r="IJN1" s="18"/>
      <c r="IJO1" s="18"/>
      <c r="IJP1" s="18"/>
      <c r="IJQ1" s="18"/>
      <c r="IJR1" s="18"/>
      <c r="IJS1" s="18"/>
      <c r="IJT1" s="18"/>
      <c r="IJU1" s="18"/>
      <c r="IJV1" s="18"/>
      <c r="IJW1" s="18"/>
      <c r="IJX1" s="18"/>
      <c r="IJY1" s="18"/>
      <c r="IJZ1" s="18"/>
      <c r="IKA1" s="18"/>
      <c r="IKB1" s="18"/>
      <c r="IKC1" s="18"/>
      <c r="IKD1" s="18"/>
      <c r="IKE1" s="18"/>
      <c r="IKF1" s="18"/>
      <c r="IKG1" s="18"/>
      <c r="IKH1" s="18"/>
      <c r="IKI1" s="18"/>
      <c r="IKJ1" s="18"/>
      <c r="IKK1" s="18"/>
      <c r="IKL1" s="18"/>
      <c r="IKM1" s="18"/>
      <c r="IKN1" s="18"/>
      <c r="IKO1" s="18"/>
      <c r="IKP1" s="18"/>
      <c r="IKQ1" s="18"/>
      <c r="IKR1" s="18"/>
      <c r="IKS1" s="18"/>
      <c r="IKT1" s="18"/>
      <c r="IKU1" s="18"/>
      <c r="IKV1" s="18"/>
      <c r="IKW1" s="18"/>
      <c r="IKX1" s="18"/>
      <c r="IKY1" s="18"/>
      <c r="IKZ1" s="18"/>
      <c r="ILA1" s="18"/>
      <c r="ILB1" s="18"/>
      <c r="ILC1" s="18"/>
      <c r="ILD1" s="18"/>
      <c r="ILE1" s="18"/>
      <c r="ILF1" s="18"/>
      <c r="ILG1" s="18"/>
      <c r="ILH1" s="18"/>
      <c r="ILI1" s="18"/>
      <c r="ILJ1" s="18"/>
      <c r="ILK1" s="18"/>
      <c r="ILL1" s="18"/>
      <c r="ILM1" s="18"/>
      <c r="ILN1" s="18"/>
      <c r="ILO1" s="18"/>
      <c r="ILP1" s="18"/>
      <c r="ILQ1" s="18"/>
      <c r="ILR1" s="18"/>
      <c r="ILS1" s="18"/>
      <c r="ILT1" s="18"/>
      <c r="ILU1" s="18"/>
      <c r="ILV1" s="18"/>
      <c r="ILW1" s="18"/>
      <c r="ILX1" s="18"/>
      <c r="ILY1" s="18"/>
      <c r="ILZ1" s="18"/>
      <c r="IMA1" s="18"/>
      <c r="IMB1" s="18"/>
      <c r="IMC1" s="18"/>
      <c r="IMD1" s="18"/>
      <c r="IME1" s="18"/>
      <c r="IMF1" s="18"/>
      <c r="IMG1" s="18"/>
      <c r="IMH1" s="18"/>
      <c r="IMI1" s="18"/>
      <c r="IMJ1" s="18"/>
      <c r="IMK1" s="18"/>
      <c r="IML1" s="18"/>
      <c r="IMM1" s="18"/>
      <c r="IMN1" s="18"/>
      <c r="IMO1" s="18"/>
      <c r="IMP1" s="18"/>
      <c r="IMQ1" s="18"/>
      <c r="IMR1" s="18"/>
      <c r="IMS1" s="18"/>
      <c r="IMT1" s="18"/>
      <c r="IMU1" s="18"/>
      <c r="IMV1" s="18"/>
      <c r="IMW1" s="18"/>
      <c r="IMX1" s="18"/>
      <c r="IMY1" s="18"/>
      <c r="IMZ1" s="18"/>
      <c r="INA1" s="18"/>
      <c r="INB1" s="18"/>
      <c r="INC1" s="18"/>
      <c r="IND1" s="18"/>
      <c r="INE1" s="18"/>
      <c r="INF1" s="18"/>
      <c r="ING1" s="18"/>
      <c r="INH1" s="18"/>
      <c r="INI1" s="18"/>
      <c r="INJ1" s="18"/>
      <c r="INK1" s="18"/>
      <c r="INL1" s="18"/>
      <c r="INM1" s="18"/>
      <c r="INN1" s="18"/>
      <c r="INO1" s="18"/>
      <c r="INP1" s="18"/>
      <c r="INQ1" s="18"/>
      <c r="INR1" s="18"/>
      <c r="INS1" s="18"/>
      <c r="INT1" s="18"/>
      <c r="INU1" s="18"/>
      <c r="INV1" s="18"/>
      <c r="INW1" s="18"/>
      <c r="INX1" s="18"/>
      <c r="INY1" s="18"/>
      <c r="INZ1" s="18"/>
      <c r="IOA1" s="18"/>
      <c r="IOB1" s="18"/>
      <c r="IOC1" s="18"/>
      <c r="IOD1" s="18"/>
      <c r="IOE1" s="18"/>
      <c r="IOF1" s="18"/>
      <c r="IOG1" s="18"/>
      <c r="IOH1" s="18"/>
      <c r="IOI1" s="18"/>
      <c r="IOJ1" s="18"/>
      <c r="IOK1" s="18"/>
      <c r="IOL1" s="18"/>
      <c r="IOM1" s="18"/>
      <c r="ION1" s="18"/>
      <c r="IOO1" s="18"/>
      <c r="IOP1" s="18"/>
      <c r="IOQ1" s="18"/>
      <c r="IOR1" s="18"/>
      <c r="IOS1" s="18"/>
      <c r="IOT1" s="18"/>
      <c r="IOU1" s="18"/>
      <c r="IOV1" s="18"/>
      <c r="IOW1" s="18"/>
      <c r="IOX1" s="18"/>
      <c r="IOY1" s="18"/>
      <c r="IOZ1" s="18"/>
      <c r="IPA1" s="18"/>
      <c r="IPB1" s="18"/>
      <c r="IPC1" s="18"/>
      <c r="IPD1" s="18"/>
      <c r="IPE1" s="18"/>
      <c r="IPF1" s="18"/>
      <c r="IPG1" s="18"/>
      <c r="IPH1" s="18"/>
      <c r="IPI1" s="18"/>
      <c r="IPJ1" s="18"/>
      <c r="IPK1" s="18"/>
      <c r="IPL1" s="18"/>
      <c r="IPM1" s="18"/>
      <c r="IPN1" s="18"/>
      <c r="IPO1" s="18"/>
      <c r="IPP1" s="18"/>
      <c r="IPQ1" s="18"/>
      <c r="IPR1" s="18"/>
      <c r="IPS1" s="18"/>
      <c r="IPT1" s="18"/>
      <c r="IPU1" s="18"/>
      <c r="IPV1" s="18"/>
      <c r="IPW1" s="18"/>
      <c r="IPX1" s="18"/>
      <c r="IPY1" s="18"/>
      <c r="IPZ1" s="18"/>
      <c r="IQA1" s="18"/>
      <c r="IQB1" s="18"/>
      <c r="IQC1" s="18"/>
      <c r="IQD1" s="18"/>
      <c r="IQE1" s="18"/>
      <c r="IQF1" s="18"/>
      <c r="IQG1" s="18"/>
      <c r="IQH1" s="18"/>
      <c r="IQI1" s="18"/>
      <c r="IQJ1" s="18"/>
      <c r="IQK1" s="18"/>
      <c r="IQL1" s="18"/>
      <c r="IQM1" s="18"/>
      <c r="IQN1" s="18"/>
      <c r="IQO1" s="18"/>
      <c r="IQP1" s="18"/>
      <c r="IQQ1" s="18"/>
      <c r="IQR1" s="18"/>
      <c r="IQS1" s="18"/>
      <c r="IQT1" s="18"/>
      <c r="IQU1" s="18"/>
      <c r="IQV1" s="18"/>
      <c r="IQW1" s="18"/>
      <c r="IQX1" s="18"/>
      <c r="IQY1" s="18"/>
      <c r="IQZ1" s="18"/>
      <c r="IRA1" s="18"/>
      <c r="IRB1" s="18"/>
      <c r="IRC1" s="18"/>
      <c r="IRD1" s="18"/>
      <c r="IRE1" s="18"/>
      <c r="IRF1" s="18"/>
      <c r="IRG1" s="18"/>
      <c r="IRH1" s="18"/>
      <c r="IRI1" s="18"/>
      <c r="IRJ1" s="18"/>
      <c r="IRK1" s="18"/>
      <c r="IRL1" s="18"/>
      <c r="IRM1" s="18"/>
      <c r="IRN1" s="18"/>
      <c r="IRO1" s="18"/>
      <c r="IRP1" s="18"/>
      <c r="IRQ1" s="18"/>
      <c r="IRR1" s="18"/>
      <c r="IRS1" s="18"/>
      <c r="IRT1" s="18"/>
      <c r="IRU1" s="18"/>
      <c r="IRV1" s="18"/>
      <c r="IRW1" s="18"/>
      <c r="IRX1" s="18"/>
      <c r="IRY1" s="18"/>
      <c r="IRZ1" s="18"/>
      <c r="ISA1" s="18"/>
      <c r="ISB1" s="18"/>
      <c r="ISC1" s="18"/>
      <c r="ISD1" s="18"/>
      <c r="ISE1" s="18"/>
      <c r="ISF1" s="18"/>
      <c r="ISG1" s="18"/>
      <c r="ISH1" s="18"/>
      <c r="ISI1" s="18"/>
      <c r="ISJ1" s="18"/>
      <c r="ISK1" s="18"/>
      <c r="ISL1" s="18"/>
      <c r="ISM1" s="18"/>
      <c r="ISN1" s="18"/>
      <c r="ISO1" s="18"/>
      <c r="ISP1" s="18"/>
      <c r="ISQ1" s="18"/>
      <c r="ISR1" s="18"/>
      <c r="ISS1" s="18"/>
      <c r="IST1" s="18"/>
      <c r="ISU1" s="18"/>
      <c r="ISV1" s="18"/>
      <c r="ISW1" s="18"/>
      <c r="ISX1" s="18"/>
      <c r="ISY1" s="18"/>
      <c r="ISZ1" s="18"/>
      <c r="ITA1" s="18"/>
      <c r="ITB1" s="18"/>
      <c r="ITC1" s="18"/>
      <c r="ITD1" s="18"/>
      <c r="ITE1" s="18"/>
      <c r="ITF1" s="18"/>
      <c r="ITG1" s="18"/>
      <c r="ITH1" s="18"/>
      <c r="ITI1" s="18"/>
      <c r="ITJ1" s="18"/>
      <c r="ITK1" s="18"/>
      <c r="ITL1" s="18"/>
      <c r="ITM1" s="18"/>
      <c r="ITN1" s="18"/>
      <c r="ITO1" s="18"/>
      <c r="ITP1" s="18"/>
      <c r="ITQ1" s="18"/>
      <c r="ITR1" s="18"/>
      <c r="ITS1" s="18"/>
      <c r="ITT1" s="18"/>
      <c r="ITU1" s="18"/>
      <c r="ITV1" s="18"/>
      <c r="ITW1" s="18"/>
      <c r="ITX1" s="18"/>
      <c r="ITY1" s="18"/>
      <c r="ITZ1" s="18"/>
      <c r="IUA1" s="18"/>
      <c r="IUB1" s="18"/>
      <c r="IUC1" s="18"/>
      <c r="IUD1" s="18"/>
      <c r="IUE1" s="18"/>
      <c r="IUF1" s="18"/>
      <c r="IUG1" s="18"/>
      <c r="IUH1" s="18"/>
      <c r="IUI1" s="18"/>
      <c r="IUJ1" s="18"/>
      <c r="IUK1" s="18"/>
      <c r="IUL1" s="18"/>
      <c r="IUM1" s="18"/>
      <c r="IUN1" s="18"/>
      <c r="IUO1" s="18"/>
      <c r="IUP1" s="18"/>
      <c r="IUQ1" s="18"/>
      <c r="IUR1" s="18"/>
      <c r="IUS1" s="18"/>
      <c r="IUT1" s="18"/>
      <c r="IUU1" s="18"/>
      <c r="IUV1" s="18"/>
      <c r="IUW1" s="18"/>
      <c r="IUX1" s="18"/>
      <c r="IUY1" s="18"/>
      <c r="IUZ1" s="18"/>
      <c r="IVA1" s="18"/>
      <c r="IVB1" s="18"/>
      <c r="IVC1" s="18"/>
      <c r="IVD1" s="18"/>
      <c r="IVE1" s="18"/>
      <c r="IVF1" s="18"/>
      <c r="IVG1" s="18"/>
      <c r="IVH1" s="18"/>
      <c r="IVI1" s="18"/>
      <c r="IVJ1" s="18"/>
      <c r="IVK1" s="18"/>
      <c r="IVL1" s="18"/>
      <c r="IVM1" s="18"/>
      <c r="IVN1" s="18"/>
      <c r="IVO1" s="18"/>
      <c r="IVP1" s="18"/>
      <c r="IVQ1" s="18"/>
      <c r="IVR1" s="18"/>
      <c r="IVS1" s="18"/>
      <c r="IVT1" s="18"/>
      <c r="IVU1" s="18"/>
      <c r="IVV1" s="18"/>
      <c r="IVW1" s="18"/>
      <c r="IVX1" s="18"/>
      <c r="IVY1" s="18"/>
      <c r="IVZ1" s="18"/>
      <c r="IWA1" s="18"/>
      <c r="IWB1" s="18"/>
      <c r="IWC1" s="18"/>
      <c r="IWD1" s="18"/>
      <c r="IWE1" s="18"/>
      <c r="IWF1" s="18"/>
      <c r="IWG1" s="18"/>
      <c r="IWH1" s="18"/>
      <c r="IWI1" s="18"/>
      <c r="IWJ1" s="18"/>
      <c r="IWK1" s="18"/>
      <c r="IWL1" s="18"/>
      <c r="IWM1" s="18"/>
      <c r="IWN1" s="18"/>
      <c r="IWO1" s="18"/>
      <c r="IWP1" s="18"/>
      <c r="IWQ1" s="18"/>
      <c r="IWR1" s="18"/>
      <c r="IWS1" s="18"/>
      <c r="IWT1" s="18"/>
      <c r="IWU1" s="18"/>
      <c r="IWV1" s="18"/>
      <c r="IWW1" s="18"/>
      <c r="IWX1" s="18"/>
      <c r="IWY1" s="18"/>
      <c r="IWZ1" s="18"/>
      <c r="IXA1" s="18"/>
      <c r="IXB1" s="18"/>
      <c r="IXC1" s="18"/>
      <c r="IXD1" s="18"/>
      <c r="IXE1" s="18"/>
      <c r="IXF1" s="18"/>
      <c r="IXG1" s="18"/>
      <c r="IXH1" s="18"/>
      <c r="IXI1" s="18"/>
      <c r="IXJ1" s="18"/>
      <c r="IXK1" s="18"/>
      <c r="IXL1" s="18"/>
      <c r="IXM1" s="18"/>
      <c r="IXN1" s="18"/>
      <c r="IXO1" s="18"/>
      <c r="IXP1" s="18"/>
      <c r="IXQ1" s="18"/>
      <c r="IXR1" s="18"/>
      <c r="IXS1" s="18"/>
      <c r="IXT1" s="18"/>
      <c r="IXU1" s="18"/>
      <c r="IXV1" s="18"/>
      <c r="IXW1" s="18"/>
      <c r="IXX1" s="18"/>
      <c r="IXY1" s="18"/>
      <c r="IXZ1" s="18"/>
      <c r="IYA1" s="18"/>
      <c r="IYB1" s="18"/>
      <c r="IYC1" s="18"/>
      <c r="IYD1" s="18"/>
      <c r="IYE1" s="18"/>
      <c r="IYF1" s="18"/>
      <c r="IYG1" s="18"/>
      <c r="IYH1" s="18"/>
      <c r="IYI1" s="18"/>
      <c r="IYJ1" s="18"/>
      <c r="IYK1" s="18"/>
      <c r="IYL1" s="18"/>
      <c r="IYM1" s="18"/>
      <c r="IYN1" s="18"/>
      <c r="IYO1" s="18"/>
      <c r="IYP1" s="18"/>
      <c r="IYQ1" s="18"/>
      <c r="IYR1" s="18"/>
      <c r="IYS1" s="18"/>
      <c r="IYT1" s="18"/>
      <c r="IYU1" s="18"/>
      <c r="IYV1" s="18"/>
      <c r="IYW1" s="18"/>
      <c r="IYX1" s="18"/>
      <c r="IYY1" s="18"/>
      <c r="IYZ1" s="18"/>
      <c r="IZA1" s="18"/>
      <c r="IZB1" s="18"/>
      <c r="IZC1" s="18"/>
      <c r="IZD1" s="18"/>
      <c r="IZE1" s="18"/>
      <c r="IZF1" s="18"/>
      <c r="IZG1" s="18"/>
      <c r="IZH1" s="18"/>
      <c r="IZI1" s="18"/>
      <c r="IZJ1" s="18"/>
      <c r="IZK1" s="18"/>
      <c r="IZL1" s="18"/>
      <c r="IZM1" s="18"/>
      <c r="IZN1" s="18"/>
      <c r="IZO1" s="18"/>
      <c r="IZP1" s="18"/>
      <c r="IZQ1" s="18"/>
      <c r="IZR1" s="18"/>
      <c r="IZS1" s="18"/>
      <c r="IZT1" s="18"/>
      <c r="IZU1" s="18"/>
      <c r="IZV1" s="18"/>
      <c r="IZW1" s="18"/>
      <c r="IZX1" s="18"/>
      <c r="IZY1" s="18"/>
      <c r="IZZ1" s="18"/>
      <c r="JAA1" s="18"/>
      <c r="JAB1" s="18"/>
      <c r="JAC1" s="18"/>
      <c r="JAD1" s="18"/>
      <c r="JAE1" s="18"/>
      <c r="JAF1" s="18"/>
      <c r="JAG1" s="18"/>
      <c r="JAH1" s="18"/>
      <c r="JAI1" s="18"/>
      <c r="JAJ1" s="18"/>
      <c r="JAK1" s="18"/>
      <c r="JAL1" s="18"/>
      <c r="JAM1" s="18"/>
      <c r="JAN1" s="18"/>
      <c r="JAO1" s="18"/>
      <c r="JAP1" s="18"/>
      <c r="JAQ1" s="18"/>
      <c r="JAR1" s="18"/>
      <c r="JAS1" s="18"/>
      <c r="JAT1" s="18"/>
      <c r="JAU1" s="18"/>
      <c r="JAV1" s="18"/>
      <c r="JAW1" s="18"/>
      <c r="JAX1" s="18"/>
      <c r="JAY1" s="18"/>
      <c r="JAZ1" s="18"/>
      <c r="JBA1" s="18"/>
      <c r="JBB1" s="18"/>
      <c r="JBC1" s="18"/>
      <c r="JBD1" s="18"/>
      <c r="JBE1" s="18"/>
      <c r="JBF1" s="18"/>
      <c r="JBG1" s="18"/>
      <c r="JBH1" s="18"/>
      <c r="JBI1" s="18"/>
      <c r="JBJ1" s="18"/>
      <c r="JBK1" s="18"/>
      <c r="JBL1" s="18"/>
      <c r="JBM1" s="18"/>
      <c r="JBN1" s="18"/>
      <c r="JBO1" s="18"/>
      <c r="JBP1" s="18"/>
      <c r="JBQ1" s="18"/>
      <c r="JBR1" s="18"/>
      <c r="JBS1" s="18"/>
      <c r="JBT1" s="18"/>
      <c r="JBU1" s="18"/>
      <c r="JBV1" s="18"/>
      <c r="JBW1" s="18"/>
      <c r="JBX1" s="18"/>
      <c r="JBY1" s="18"/>
      <c r="JBZ1" s="18"/>
      <c r="JCA1" s="18"/>
      <c r="JCB1" s="18"/>
      <c r="JCC1" s="18"/>
      <c r="JCD1" s="18"/>
      <c r="JCE1" s="18"/>
      <c r="JCF1" s="18"/>
      <c r="JCG1" s="18"/>
      <c r="JCH1" s="18"/>
      <c r="JCI1" s="18"/>
      <c r="JCJ1" s="18"/>
      <c r="JCK1" s="18"/>
      <c r="JCL1" s="18"/>
      <c r="JCM1" s="18"/>
      <c r="JCN1" s="18"/>
      <c r="JCO1" s="18"/>
      <c r="JCP1" s="18"/>
      <c r="JCQ1" s="18"/>
      <c r="JCR1" s="18"/>
      <c r="JCS1" s="18"/>
      <c r="JCT1" s="18"/>
      <c r="JCU1" s="18"/>
      <c r="JCV1" s="18"/>
      <c r="JCW1" s="18"/>
      <c r="JCX1" s="18"/>
      <c r="JCY1" s="18"/>
      <c r="JCZ1" s="18"/>
      <c r="JDA1" s="18"/>
      <c r="JDB1" s="18"/>
      <c r="JDC1" s="18"/>
      <c r="JDD1" s="18"/>
      <c r="JDE1" s="18"/>
      <c r="JDF1" s="18"/>
      <c r="JDG1" s="18"/>
      <c r="JDH1" s="18"/>
      <c r="JDI1" s="18"/>
      <c r="JDJ1" s="18"/>
      <c r="JDK1" s="18"/>
      <c r="JDL1" s="18"/>
      <c r="JDM1" s="18"/>
      <c r="JDN1" s="18"/>
      <c r="JDO1" s="18"/>
      <c r="JDP1" s="18"/>
      <c r="JDQ1" s="18"/>
      <c r="JDR1" s="18"/>
      <c r="JDS1" s="18"/>
      <c r="JDT1" s="18"/>
      <c r="JDU1" s="18"/>
      <c r="JDV1" s="18"/>
      <c r="JDW1" s="18"/>
      <c r="JDX1" s="18"/>
      <c r="JDY1" s="18"/>
      <c r="JDZ1" s="18"/>
      <c r="JEA1" s="18"/>
      <c r="JEB1" s="18"/>
      <c r="JEC1" s="18"/>
      <c r="JED1" s="18"/>
      <c r="JEE1" s="18"/>
      <c r="JEF1" s="18"/>
      <c r="JEG1" s="18"/>
      <c r="JEH1" s="18"/>
      <c r="JEI1" s="18"/>
      <c r="JEJ1" s="18"/>
      <c r="JEK1" s="18"/>
      <c r="JEL1" s="18"/>
      <c r="JEM1" s="18"/>
      <c r="JEN1" s="18"/>
      <c r="JEO1" s="18"/>
      <c r="JEP1" s="18"/>
      <c r="JEQ1" s="18"/>
      <c r="JER1" s="18"/>
      <c r="JES1" s="18"/>
      <c r="JET1" s="18"/>
      <c r="JEU1" s="18"/>
      <c r="JEV1" s="18"/>
      <c r="JEW1" s="18"/>
      <c r="JEX1" s="18"/>
      <c r="JEY1" s="18"/>
      <c r="JEZ1" s="18"/>
      <c r="JFA1" s="18"/>
      <c r="JFB1" s="18"/>
      <c r="JFC1" s="18"/>
      <c r="JFD1" s="18"/>
      <c r="JFE1" s="18"/>
      <c r="JFF1" s="18"/>
      <c r="JFG1" s="18"/>
      <c r="JFH1" s="18"/>
      <c r="JFI1" s="18"/>
      <c r="JFJ1" s="18"/>
      <c r="JFK1" s="18"/>
      <c r="JFL1" s="18"/>
      <c r="JFM1" s="18"/>
      <c r="JFN1" s="18"/>
      <c r="JFO1" s="18"/>
      <c r="JFP1" s="18"/>
      <c r="JFQ1" s="18"/>
      <c r="JFR1" s="18"/>
      <c r="JFS1" s="18"/>
      <c r="JFT1" s="18"/>
      <c r="JFU1" s="18"/>
      <c r="JFV1" s="18"/>
      <c r="JFW1" s="18"/>
      <c r="JFX1" s="18"/>
      <c r="JFY1" s="18"/>
      <c r="JFZ1" s="18"/>
      <c r="JGA1" s="18"/>
      <c r="JGB1" s="18"/>
      <c r="JGC1" s="18"/>
      <c r="JGD1" s="18"/>
      <c r="JGE1" s="18"/>
      <c r="JGF1" s="18"/>
      <c r="JGG1" s="18"/>
      <c r="JGH1" s="18"/>
      <c r="JGI1" s="18"/>
      <c r="JGJ1" s="18"/>
      <c r="JGK1" s="18"/>
      <c r="JGL1" s="18"/>
      <c r="JGM1" s="18"/>
      <c r="JGN1" s="18"/>
      <c r="JGO1" s="18"/>
      <c r="JGP1" s="18"/>
      <c r="JGQ1" s="18"/>
      <c r="JGR1" s="18"/>
      <c r="JGS1" s="18"/>
      <c r="JGT1" s="18"/>
      <c r="JGU1" s="18"/>
      <c r="JGV1" s="18"/>
      <c r="JGW1" s="18"/>
      <c r="JGX1" s="18"/>
      <c r="JGY1" s="18"/>
      <c r="JGZ1" s="18"/>
      <c r="JHA1" s="18"/>
      <c r="JHB1" s="18"/>
      <c r="JHC1" s="18"/>
      <c r="JHD1" s="18"/>
      <c r="JHE1" s="18"/>
      <c r="JHF1" s="18"/>
      <c r="JHG1" s="18"/>
      <c r="JHH1" s="18"/>
      <c r="JHI1" s="18"/>
      <c r="JHJ1" s="18"/>
      <c r="JHK1" s="18"/>
      <c r="JHL1" s="18"/>
      <c r="JHM1" s="18"/>
      <c r="JHN1" s="18"/>
      <c r="JHO1" s="18"/>
      <c r="JHP1" s="18"/>
      <c r="JHQ1" s="18"/>
      <c r="JHR1" s="18"/>
      <c r="JHS1" s="18"/>
      <c r="JHT1" s="18"/>
      <c r="JHU1" s="18"/>
      <c r="JHV1" s="18"/>
      <c r="JHW1" s="18"/>
      <c r="JHX1" s="18"/>
      <c r="JHY1" s="18"/>
      <c r="JHZ1" s="18"/>
      <c r="JIA1" s="18"/>
      <c r="JIB1" s="18"/>
      <c r="JIC1" s="18"/>
      <c r="JID1" s="18"/>
      <c r="JIE1" s="18"/>
      <c r="JIF1" s="18"/>
      <c r="JIG1" s="18"/>
      <c r="JIH1" s="18"/>
      <c r="JII1" s="18"/>
      <c r="JIJ1" s="18"/>
      <c r="JIK1" s="18"/>
      <c r="JIL1" s="18"/>
      <c r="JIM1" s="18"/>
      <c r="JIN1" s="18"/>
      <c r="JIO1" s="18"/>
      <c r="JIP1" s="18"/>
      <c r="JIQ1" s="18"/>
      <c r="JIR1" s="18"/>
      <c r="JIS1" s="18"/>
      <c r="JIT1" s="18"/>
      <c r="JIU1" s="18"/>
      <c r="JIV1" s="18"/>
      <c r="JIW1" s="18"/>
      <c r="JIX1" s="18"/>
      <c r="JIY1" s="18"/>
      <c r="JIZ1" s="18"/>
      <c r="JJA1" s="18"/>
      <c r="JJB1" s="18"/>
      <c r="JJC1" s="18"/>
      <c r="JJD1" s="18"/>
      <c r="JJE1" s="18"/>
      <c r="JJF1" s="18"/>
      <c r="JJG1" s="18"/>
      <c r="JJH1" s="18"/>
      <c r="JJI1" s="18"/>
      <c r="JJJ1" s="18"/>
      <c r="JJK1" s="18"/>
      <c r="JJL1" s="18"/>
      <c r="JJM1" s="18"/>
      <c r="JJN1" s="18"/>
      <c r="JJO1" s="18"/>
      <c r="JJP1" s="18"/>
      <c r="JJQ1" s="18"/>
      <c r="JJR1" s="18"/>
      <c r="JJS1" s="18"/>
      <c r="JJT1" s="18"/>
      <c r="JJU1" s="18"/>
      <c r="JJV1" s="18"/>
      <c r="JJW1" s="18"/>
      <c r="JJX1" s="18"/>
      <c r="JJY1" s="18"/>
      <c r="JJZ1" s="18"/>
      <c r="JKA1" s="18"/>
      <c r="JKB1" s="18"/>
      <c r="JKC1" s="18"/>
      <c r="JKD1" s="18"/>
      <c r="JKE1" s="18"/>
      <c r="JKF1" s="18"/>
      <c r="JKG1" s="18"/>
      <c r="JKH1" s="18"/>
      <c r="JKI1" s="18"/>
      <c r="JKJ1" s="18"/>
      <c r="JKK1" s="18"/>
      <c r="JKL1" s="18"/>
      <c r="JKM1" s="18"/>
      <c r="JKN1" s="18"/>
      <c r="JKO1" s="18"/>
      <c r="JKP1" s="18"/>
      <c r="JKQ1" s="18"/>
      <c r="JKR1" s="18"/>
      <c r="JKS1" s="18"/>
      <c r="JKT1" s="18"/>
      <c r="JKU1" s="18"/>
      <c r="JKV1" s="18"/>
      <c r="JKW1" s="18"/>
      <c r="JKX1" s="18"/>
      <c r="JKY1" s="18"/>
      <c r="JKZ1" s="18"/>
      <c r="JLA1" s="18"/>
      <c r="JLB1" s="18"/>
      <c r="JLC1" s="18"/>
      <c r="JLD1" s="18"/>
      <c r="JLE1" s="18"/>
      <c r="JLF1" s="18"/>
      <c r="JLG1" s="18"/>
      <c r="JLH1" s="18"/>
      <c r="JLI1" s="18"/>
      <c r="JLJ1" s="18"/>
      <c r="JLK1" s="18"/>
      <c r="JLL1" s="18"/>
      <c r="JLM1" s="18"/>
      <c r="JLN1" s="18"/>
      <c r="JLO1" s="18"/>
      <c r="JLP1" s="18"/>
      <c r="JLQ1" s="18"/>
      <c r="JLR1" s="18"/>
      <c r="JLS1" s="18"/>
      <c r="JLT1" s="18"/>
      <c r="JLU1" s="18"/>
      <c r="JLV1" s="18"/>
      <c r="JLW1" s="18"/>
      <c r="JLX1" s="18"/>
      <c r="JLY1" s="18"/>
      <c r="JLZ1" s="18"/>
      <c r="JMA1" s="18"/>
      <c r="JMB1" s="18"/>
      <c r="JMC1" s="18"/>
      <c r="JMD1" s="18"/>
      <c r="JME1" s="18"/>
      <c r="JMF1" s="18"/>
      <c r="JMG1" s="18"/>
      <c r="JMH1" s="18"/>
      <c r="JMI1" s="18"/>
      <c r="JMJ1" s="18"/>
      <c r="JMK1" s="18"/>
      <c r="JML1" s="18"/>
      <c r="JMM1" s="18"/>
      <c r="JMN1" s="18"/>
      <c r="JMO1" s="18"/>
      <c r="JMP1" s="18"/>
      <c r="JMQ1" s="18"/>
      <c r="JMR1" s="18"/>
      <c r="JMS1" s="18"/>
      <c r="JMT1" s="18"/>
      <c r="JMU1" s="18"/>
      <c r="JMV1" s="18"/>
      <c r="JMW1" s="18"/>
      <c r="JMX1" s="18"/>
      <c r="JMY1" s="18"/>
      <c r="JMZ1" s="18"/>
      <c r="JNA1" s="18"/>
      <c r="JNB1" s="18"/>
      <c r="JNC1" s="18"/>
      <c r="JND1" s="18"/>
      <c r="JNE1" s="18"/>
      <c r="JNF1" s="18"/>
      <c r="JNG1" s="18"/>
      <c r="JNH1" s="18"/>
      <c r="JNI1" s="18"/>
      <c r="JNJ1" s="18"/>
      <c r="JNK1" s="18"/>
      <c r="JNL1" s="18"/>
      <c r="JNM1" s="18"/>
      <c r="JNN1" s="18"/>
      <c r="JNO1" s="18"/>
      <c r="JNP1" s="18"/>
      <c r="JNQ1" s="18"/>
      <c r="JNR1" s="18"/>
      <c r="JNS1" s="18"/>
      <c r="JNT1" s="18"/>
      <c r="JNU1" s="18"/>
      <c r="JNV1" s="18"/>
      <c r="JNW1" s="18"/>
      <c r="JNX1" s="18"/>
      <c r="JNY1" s="18"/>
      <c r="JNZ1" s="18"/>
      <c r="JOA1" s="18"/>
      <c r="JOB1" s="18"/>
      <c r="JOC1" s="18"/>
      <c r="JOD1" s="18"/>
      <c r="JOE1" s="18"/>
      <c r="JOF1" s="18"/>
      <c r="JOG1" s="18"/>
      <c r="JOH1" s="18"/>
      <c r="JOI1" s="18"/>
      <c r="JOJ1" s="18"/>
      <c r="JOK1" s="18"/>
      <c r="JOL1" s="18"/>
      <c r="JOM1" s="18"/>
      <c r="JON1" s="18"/>
      <c r="JOO1" s="18"/>
      <c r="JOP1" s="18"/>
      <c r="JOQ1" s="18"/>
      <c r="JOR1" s="18"/>
      <c r="JOS1" s="18"/>
      <c r="JOT1" s="18"/>
      <c r="JOU1" s="18"/>
      <c r="JOV1" s="18"/>
      <c r="JOW1" s="18"/>
      <c r="JOX1" s="18"/>
      <c r="JOY1" s="18"/>
      <c r="JOZ1" s="18"/>
      <c r="JPA1" s="18"/>
      <c r="JPB1" s="18"/>
      <c r="JPC1" s="18"/>
      <c r="JPD1" s="18"/>
      <c r="JPE1" s="18"/>
      <c r="JPF1" s="18"/>
      <c r="JPG1" s="18"/>
      <c r="JPH1" s="18"/>
      <c r="JPI1" s="18"/>
      <c r="JPJ1" s="18"/>
      <c r="JPK1" s="18"/>
      <c r="JPL1" s="18"/>
      <c r="JPM1" s="18"/>
      <c r="JPN1" s="18"/>
      <c r="JPO1" s="18"/>
      <c r="JPP1" s="18"/>
      <c r="JPQ1" s="18"/>
      <c r="JPR1" s="18"/>
      <c r="JPS1" s="18"/>
      <c r="JPT1" s="18"/>
      <c r="JPU1" s="18"/>
      <c r="JPV1" s="18"/>
      <c r="JPW1" s="18"/>
      <c r="JPX1" s="18"/>
      <c r="JPY1" s="18"/>
      <c r="JPZ1" s="18"/>
      <c r="JQA1" s="18"/>
      <c r="JQB1" s="18"/>
      <c r="JQC1" s="18"/>
      <c r="JQD1" s="18"/>
      <c r="JQE1" s="18"/>
      <c r="JQF1" s="18"/>
      <c r="JQG1" s="18"/>
      <c r="JQH1" s="18"/>
      <c r="JQI1" s="18"/>
      <c r="JQJ1" s="18"/>
      <c r="JQK1" s="18"/>
      <c r="JQL1" s="18"/>
      <c r="JQM1" s="18"/>
      <c r="JQN1" s="18"/>
      <c r="JQO1" s="18"/>
      <c r="JQP1" s="18"/>
      <c r="JQQ1" s="18"/>
      <c r="JQR1" s="18"/>
      <c r="JQS1" s="18"/>
      <c r="JQT1" s="18"/>
      <c r="JQU1" s="18"/>
      <c r="JQV1" s="18"/>
      <c r="JQW1" s="18"/>
      <c r="JQX1" s="18"/>
      <c r="JQY1" s="18"/>
      <c r="JQZ1" s="18"/>
      <c r="JRA1" s="18"/>
      <c r="JRB1" s="18"/>
      <c r="JRC1" s="18"/>
      <c r="JRD1" s="18"/>
      <c r="JRE1" s="18"/>
      <c r="JRF1" s="18"/>
      <c r="JRG1" s="18"/>
      <c r="JRH1" s="18"/>
      <c r="JRI1" s="18"/>
      <c r="JRJ1" s="18"/>
      <c r="JRK1" s="18"/>
      <c r="JRL1" s="18"/>
      <c r="JRM1" s="18"/>
      <c r="JRN1" s="18"/>
      <c r="JRO1" s="18"/>
      <c r="JRP1" s="18"/>
      <c r="JRQ1" s="18"/>
      <c r="JRR1" s="18"/>
      <c r="JRS1" s="18"/>
      <c r="JRT1" s="18"/>
      <c r="JRU1" s="18"/>
      <c r="JRV1" s="18"/>
      <c r="JRW1" s="18"/>
      <c r="JRX1" s="18"/>
      <c r="JRY1" s="18"/>
      <c r="JRZ1" s="18"/>
      <c r="JSA1" s="18"/>
      <c r="JSB1" s="18"/>
      <c r="JSC1" s="18"/>
      <c r="JSD1" s="18"/>
      <c r="JSE1" s="18"/>
      <c r="JSF1" s="18"/>
      <c r="JSG1" s="18"/>
      <c r="JSH1" s="18"/>
      <c r="JSI1" s="18"/>
      <c r="JSJ1" s="18"/>
      <c r="JSK1" s="18"/>
      <c r="JSL1" s="18"/>
      <c r="JSM1" s="18"/>
      <c r="JSN1" s="18"/>
      <c r="JSO1" s="18"/>
      <c r="JSP1" s="18"/>
      <c r="JSQ1" s="18"/>
      <c r="JSR1" s="18"/>
      <c r="JSS1" s="18"/>
      <c r="JST1" s="18"/>
      <c r="JSU1" s="18"/>
      <c r="JSV1" s="18"/>
      <c r="JSW1" s="18"/>
      <c r="JSX1" s="18"/>
      <c r="JSY1" s="18"/>
      <c r="JSZ1" s="18"/>
      <c r="JTA1" s="18"/>
      <c r="JTB1" s="18"/>
      <c r="JTC1" s="18"/>
      <c r="JTD1" s="18"/>
      <c r="JTE1" s="18"/>
      <c r="JTF1" s="18"/>
      <c r="JTG1" s="18"/>
      <c r="JTH1" s="18"/>
      <c r="JTI1" s="18"/>
      <c r="JTJ1" s="18"/>
      <c r="JTK1" s="18"/>
      <c r="JTL1" s="18"/>
      <c r="JTM1" s="18"/>
      <c r="JTN1" s="18"/>
      <c r="JTO1" s="18"/>
      <c r="JTP1" s="18"/>
      <c r="JTQ1" s="18"/>
      <c r="JTR1" s="18"/>
      <c r="JTS1" s="18"/>
      <c r="JTT1" s="18"/>
      <c r="JTU1" s="18"/>
      <c r="JTV1" s="18"/>
      <c r="JTW1" s="18"/>
      <c r="JTX1" s="18"/>
      <c r="JTY1" s="18"/>
      <c r="JTZ1" s="18"/>
      <c r="JUA1" s="18"/>
      <c r="JUB1" s="18"/>
      <c r="JUC1" s="18"/>
      <c r="JUD1" s="18"/>
      <c r="JUE1" s="18"/>
      <c r="JUF1" s="18"/>
      <c r="JUG1" s="18"/>
      <c r="JUH1" s="18"/>
      <c r="JUI1" s="18"/>
      <c r="JUJ1" s="18"/>
      <c r="JUK1" s="18"/>
      <c r="JUL1" s="18"/>
      <c r="JUM1" s="18"/>
      <c r="JUN1" s="18"/>
      <c r="JUO1" s="18"/>
      <c r="JUP1" s="18"/>
      <c r="JUQ1" s="18"/>
      <c r="JUR1" s="18"/>
      <c r="JUS1" s="18"/>
      <c r="JUT1" s="18"/>
      <c r="JUU1" s="18"/>
      <c r="JUV1" s="18"/>
      <c r="JUW1" s="18"/>
      <c r="JUX1" s="18"/>
      <c r="JUY1" s="18"/>
      <c r="JUZ1" s="18"/>
      <c r="JVA1" s="18"/>
      <c r="JVB1" s="18"/>
      <c r="JVC1" s="18"/>
      <c r="JVD1" s="18"/>
      <c r="JVE1" s="18"/>
      <c r="JVF1" s="18"/>
      <c r="JVG1" s="18"/>
      <c r="JVH1" s="18"/>
      <c r="JVI1" s="18"/>
      <c r="JVJ1" s="18"/>
      <c r="JVK1" s="18"/>
      <c r="JVL1" s="18"/>
      <c r="JVM1" s="18"/>
      <c r="JVN1" s="18"/>
      <c r="JVO1" s="18"/>
      <c r="JVP1" s="18"/>
      <c r="JVQ1" s="18"/>
      <c r="JVR1" s="18"/>
      <c r="JVS1" s="18"/>
      <c r="JVT1" s="18"/>
      <c r="JVU1" s="18"/>
      <c r="JVV1" s="18"/>
      <c r="JVW1" s="18"/>
      <c r="JVX1" s="18"/>
      <c r="JVY1" s="18"/>
      <c r="JVZ1" s="18"/>
      <c r="JWA1" s="18"/>
      <c r="JWB1" s="18"/>
      <c r="JWC1" s="18"/>
      <c r="JWD1" s="18"/>
      <c r="JWE1" s="18"/>
      <c r="JWF1" s="18"/>
      <c r="JWG1" s="18"/>
      <c r="JWH1" s="18"/>
      <c r="JWI1" s="18"/>
      <c r="JWJ1" s="18"/>
      <c r="JWK1" s="18"/>
      <c r="JWL1" s="18"/>
      <c r="JWM1" s="18"/>
      <c r="JWN1" s="18"/>
      <c r="JWO1" s="18"/>
      <c r="JWP1" s="18"/>
      <c r="JWQ1" s="18"/>
      <c r="JWR1" s="18"/>
      <c r="JWS1" s="18"/>
      <c r="JWT1" s="18"/>
      <c r="JWU1" s="18"/>
      <c r="JWV1" s="18"/>
      <c r="JWW1" s="18"/>
      <c r="JWX1" s="18"/>
      <c r="JWY1" s="18"/>
      <c r="JWZ1" s="18"/>
      <c r="JXA1" s="18"/>
      <c r="JXB1" s="18"/>
      <c r="JXC1" s="18"/>
      <c r="JXD1" s="18"/>
      <c r="JXE1" s="18"/>
      <c r="JXF1" s="18"/>
      <c r="JXG1" s="18"/>
      <c r="JXH1" s="18"/>
      <c r="JXI1" s="18"/>
      <c r="JXJ1" s="18"/>
      <c r="JXK1" s="18"/>
      <c r="JXL1" s="18"/>
      <c r="JXM1" s="18"/>
      <c r="JXN1" s="18"/>
      <c r="JXO1" s="18"/>
      <c r="JXP1" s="18"/>
      <c r="JXQ1" s="18"/>
      <c r="JXR1" s="18"/>
      <c r="JXS1" s="18"/>
      <c r="JXT1" s="18"/>
      <c r="JXU1" s="18"/>
      <c r="JXV1" s="18"/>
      <c r="JXW1" s="18"/>
      <c r="JXX1" s="18"/>
      <c r="JXY1" s="18"/>
      <c r="JXZ1" s="18"/>
      <c r="JYA1" s="18"/>
      <c r="JYB1" s="18"/>
      <c r="JYC1" s="18"/>
      <c r="JYD1" s="18"/>
      <c r="JYE1" s="18"/>
      <c r="JYF1" s="18"/>
      <c r="JYG1" s="18"/>
      <c r="JYH1" s="18"/>
      <c r="JYI1" s="18"/>
      <c r="JYJ1" s="18"/>
      <c r="JYK1" s="18"/>
      <c r="JYL1" s="18"/>
      <c r="JYM1" s="18"/>
      <c r="JYN1" s="18"/>
      <c r="JYO1" s="18"/>
      <c r="JYP1" s="18"/>
      <c r="JYQ1" s="18"/>
      <c r="JYR1" s="18"/>
      <c r="JYS1" s="18"/>
      <c r="JYT1" s="18"/>
      <c r="JYU1" s="18"/>
      <c r="JYV1" s="18"/>
      <c r="JYW1" s="18"/>
      <c r="JYX1" s="18"/>
      <c r="JYY1" s="18"/>
      <c r="JYZ1" s="18"/>
      <c r="JZA1" s="18"/>
      <c r="JZB1" s="18"/>
      <c r="JZC1" s="18"/>
      <c r="JZD1" s="18"/>
      <c r="JZE1" s="18"/>
      <c r="JZF1" s="18"/>
      <c r="JZG1" s="18"/>
      <c r="JZH1" s="18"/>
      <c r="JZI1" s="18"/>
      <c r="JZJ1" s="18"/>
      <c r="JZK1" s="18"/>
      <c r="JZL1" s="18"/>
      <c r="JZM1" s="18"/>
      <c r="JZN1" s="18"/>
      <c r="JZO1" s="18"/>
      <c r="JZP1" s="18"/>
      <c r="JZQ1" s="18"/>
      <c r="JZR1" s="18"/>
      <c r="JZS1" s="18"/>
      <c r="JZT1" s="18"/>
      <c r="JZU1" s="18"/>
      <c r="JZV1" s="18"/>
      <c r="JZW1" s="18"/>
      <c r="JZX1" s="18"/>
      <c r="JZY1" s="18"/>
      <c r="JZZ1" s="18"/>
      <c r="KAA1" s="18"/>
      <c r="KAB1" s="18"/>
      <c r="KAC1" s="18"/>
      <c r="KAD1" s="18"/>
      <c r="KAE1" s="18"/>
      <c r="KAF1" s="18"/>
      <c r="KAG1" s="18"/>
      <c r="KAH1" s="18"/>
      <c r="KAI1" s="18"/>
      <c r="KAJ1" s="18"/>
      <c r="KAK1" s="18"/>
      <c r="KAL1" s="18"/>
      <c r="KAM1" s="18"/>
      <c r="KAN1" s="18"/>
      <c r="KAO1" s="18"/>
      <c r="KAP1" s="18"/>
      <c r="KAQ1" s="18"/>
      <c r="KAR1" s="18"/>
      <c r="KAS1" s="18"/>
      <c r="KAT1" s="18"/>
      <c r="KAU1" s="18"/>
      <c r="KAV1" s="18"/>
      <c r="KAW1" s="18"/>
      <c r="KAX1" s="18"/>
      <c r="KAY1" s="18"/>
      <c r="KAZ1" s="18"/>
      <c r="KBA1" s="18"/>
      <c r="KBB1" s="18"/>
      <c r="KBC1" s="18"/>
      <c r="KBD1" s="18"/>
      <c r="KBE1" s="18"/>
      <c r="KBF1" s="18"/>
      <c r="KBG1" s="18"/>
      <c r="KBH1" s="18"/>
      <c r="KBI1" s="18"/>
      <c r="KBJ1" s="18"/>
      <c r="KBK1" s="18"/>
      <c r="KBL1" s="18"/>
      <c r="KBM1" s="18"/>
      <c r="KBN1" s="18"/>
      <c r="KBO1" s="18"/>
      <c r="KBP1" s="18"/>
      <c r="KBQ1" s="18"/>
      <c r="KBR1" s="18"/>
      <c r="KBS1" s="18"/>
      <c r="KBT1" s="18"/>
      <c r="KBU1" s="18"/>
      <c r="KBV1" s="18"/>
      <c r="KBW1" s="18"/>
      <c r="KBX1" s="18"/>
      <c r="KBY1" s="18"/>
      <c r="KBZ1" s="18"/>
      <c r="KCA1" s="18"/>
      <c r="KCB1" s="18"/>
      <c r="KCC1" s="18"/>
      <c r="KCD1" s="18"/>
      <c r="KCE1" s="18"/>
      <c r="KCF1" s="18"/>
      <c r="KCG1" s="18"/>
      <c r="KCH1" s="18"/>
      <c r="KCI1" s="18"/>
      <c r="KCJ1" s="18"/>
      <c r="KCK1" s="18"/>
      <c r="KCL1" s="18"/>
      <c r="KCM1" s="18"/>
      <c r="KCN1" s="18"/>
      <c r="KCO1" s="18"/>
      <c r="KCP1" s="18"/>
      <c r="KCQ1" s="18"/>
      <c r="KCR1" s="18"/>
      <c r="KCS1" s="18"/>
      <c r="KCT1" s="18"/>
      <c r="KCU1" s="18"/>
      <c r="KCV1" s="18"/>
      <c r="KCW1" s="18"/>
      <c r="KCX1" s="18"/>
      <c r="KCY1" s="18"/>
      <c r="KCZ1" s="18"/>
      <c r="KDA1" s="18"/>
      <c r="KDB1" s="18"/>
      <c r="KDC1" s="18"/>
      <c r="KDD1" s="18"/>
      <c r="KDE1" s="18"/>
      <c r="KDF1" s="18"/>
      <c r="KDG1" s="18"/>
      <c r="KDH1" s="18"/>
      <c r="KDI1" s="18"/>
      <c r="KDJ1" s="18"/>
      <c r="KDK1" s="18"/>
      <c r="KDL1" s="18"/>
      <c r="KDM1" s="18"/>
      <c r="KDN1" s="18"/>
      <c r="KDO1" s="18"/>
      <c r="KDP1" s="18"/>
      <c r="KDQ1" s="18"/>
      <c r="KDR1" s="18"/>
      <c r="KDS1" s="18"/>
      <c r="KDT1" s="18"/>
      <c r="KDU1" s="18"/>
      <c r="KDV1" s="18"/>
      <c r="KDW1" s="18"/>
      <c r="KDX1" s="18"/>
      <c r="KDY1" s="18"/>
      <c r="KDZ1" s="18"/>
      <c r="KEA1" s="18"/>
      <c r="KEB1" s="18"/>
      <c r="KEC1" s="18"/>
      <c r="KED1" s="18"/>
      <c r="KEE1" s="18"/>
      <c r="KEF1" s="18"/>
      <c r="KEG1" s="18"/>
      <c r="KEH1" s="18"/>
      <c r="KEI1" s="18"/>
      <c r="KEJ1" s="18"/>
      <c r="KEK1" s="18"/>
      <c r="KEL1" s="18"/>
      <c r="KEM1" s="18"/>
      <c r="KEN1" s="18"/>
      <c r="KEO1" s="18"/>
      <c r="KEP1" s="18"/>
      <c r="KEQ1" s="18"/>
      <c r="KER1" s="18"/>
      <c r="KES1" s="18"/>
      <c r="KET1" s="18"/>
      <c r="KEU1" s="18"/>
      <c r="KEV1" s="18"/>
      <c r="KEW1" s="18"/>
      <c r="KEX1" s="18"/>
      <c r="KEY1" s="18"/>
      <c r="KEZ1" s="18"/>
      <c r="KFA1" s="18"/>
      <c r="KFB1" s="18"/>
      <c r="KFC1" s="18"/>
      <c r="KFD1" s="18"/>
      <c r="KFE1" s="18"/>
      <c r="KFF1" s="18"/>
      <c r="KFG1" s="18"/>
      <c r="KFH1" s="18"/>
      <c r="KFI1" s="18"/>
      <c r="KFJ1" s="18"/>
      <c r="KFK1" s="18"/>
      <c r="KFL1" s="18"/>
      <c r="KFM1" s="18"/>
      <c r="KFN1" s="18"/>
      <c r="KFO1" s="18"/>
      <c r="KFP1" s="18"/>
      <c r="KFQ1" s="18"/>
      <c r="KFR1" s="18"/>
      <c r="KFS1" s="18"/>
      <c r="KFT1" s="18"/>
      <c r="KFU1" s="18"/>
      <c r="KFV1" s="18"/>
      <c r="KFW1" s="18"/>
      <c r="KFX1" s="18"/>
      <c r="KFY1" s="18"/>
      <c r="KFZ1" s="18"/>
      <c r="KGA1" s="18"/>
      <c r="KGB1" s="18"/>
      <c r="KGC1" s="18"/>
      <c r="KGD1" s="18"/>
      <c r="KGE1" s="18"/>
      <c r="KGF1" s="18"/>
      <c r="KGG1" s="18"/>
      <c r="KGH1" s="18"/>
      <c r="KGI1" s="18"/>
      <c r="KGJ1" s="18"/>
      <c r="KGK1" s="18"/>
      <c r="KGL1" s="18"/>
      <c r="KGM1" s="18"/>
      <c r="KGN1" s="18"/>
      <c r="KGO1" s="18"/>
      <c r="KGP1" s="18"/>
      <c r="KGQ1" s="18"/>
      <c r="KGR1" s="18"/>
      <c r="KGS1" s="18"/>
      <c r="KGT1" s="18"/>
      <c r="KGU1" s="18"/>
      <c r="KGV1" s="18"/>
      <c r="KGW1" s="18"/>
      <c r="KGX1" s="18"/>
      <c r="KGY1" s="18"/>
      <c r="KGZ1" s="18"/>
      <c r="KHA1" s="18"/>
      <c r="KHB1" s="18"/>
      <c r="KHC1" s="18"/>
      <c r="KHD1" s="18"/>
      <c r="KHE1" s="18"/>
      <c r="KHF1" s="18"/>
      <c r="KHG1" s="18"/>
      <c r="KHH1" s="18"/>
      <c r="KHI1" s="18"/>
      <c r="KHJ1" s="18"/>
      <c r="KHK1" s="18"/>
      <c r="KHL1" s="18"/>
      <c r="KHM1" s="18"/>
      <c r="KHN1" s="18"/>
      <c r="KHO1" s="18"/>
      <c r="KHP1" s="18"/>
      <c r="KHQ1" s="18"/>
      <c r="KHR1" s="18"/>
      <c r="KHS1" s="18"/>
      <c r="KHT1" s="18"/>
      <c r="KHU1" s="18"/>
      <c r="KHV1" s="18"/>
      <c r="KHW1" s="18"/>
      <c r="KHX1" s="18"/>
      <c r="KHY1" s="18"/>
      <c r="KHZ1" s="18"/>
      <c r="KIA1" s="18"/>
      <c r="KIB1" s="18"/>
      <c r="KIC1" s="18"/>
      <c r="KID1" s="18"/>
      <c r="KIE1" s="18"/>
      <c r="KIF1" s="18"/>
      <c r="KIG1" s="18"/>
      <c r="KIH1" s="18"/>
      <c r="KII1" s="18"/>
      <c r="KIJ1" s="18"/>
      <c r="KIK1" s="18"/>
      <c r="KIL1" s="18"/>
      <c r="KIM1" s="18"/>
      <c r="KIN1" s="18"/>
      <c r="KIO1" s="18"/>
      <c r="KIP1" s="18"/>
      <c r="KIQ1" s="18"/>
      <c r="KIR1" s="18"/>
      <c r="KIS1" s="18"/>
      <c r="KIT1" s="18"/>
      <c r="KIU1" s="18"/>
      <c r="KIV1" s="18"/>
      <c r="KIW1" s="18"/>
      <c r="KIX1" s="18"/>
      <c r="KIY1" s="18"/>
      <c r="KIZ1" s="18"/>
      <c r="KJA1" s="18"/>
      <c r="KJB1" s="18"/>
      <c r="KJC1" s="18"/>
      <c r="KJD1" s="18"/>
      <c r="KJE1" s="18"/>
      <c r="KJF1" s="18"/>
      <c r="KJG1" s="18"/>
      <c r="KJH1" s="18"/>
      <c r="KJI1" s="18"/>
      <c r="KJJ1" s="18"/>
      <c r="KJK1" s="18"/>
      <c r="KJL1" s="18"/>
      <c r="KJM1" s="18"/>
      <c r="KJN1" s="18"/>
      <c r="KJO1" s="18"/>
      <c r="KJP1" s="18"/>
      <c r="KJQ1" s="18"/>
      <c r="KJR1" s="18"/>
      <c r="KJS1" s="18"/>
      <c r="KJT1" s="18"/>
      <c r="KJU1" s="18"/>
      <c r="KJV1" s="18"/>
      <c r="KJW1" s="18"/>
      <c r="KJX1" s="18"/>
      <c r="KJY1" s="18"/>
      <c r="KJZ1" s="18"/>
      <c r="KKA1" s="18"/>
      <c r="KKB1" s="18"/>
      <c r="KKC1" s="18"/>
      <c r="KKD1" s="18"/>
      <c r="KKE1" s="18"/>
      <c r="KKF1" s="18"/>
      <c r="KKG1" s="18"/>
      <c r="KKH1" s="18"/>
      <c r="KKI1" s="18"/>
      <c r="KKJ1" s="18"/>
      <c r="KKK1" s="18"/>
      <c r="KKL1" s="18"/>
      <c r="KKM1" s="18"/>
      <c r="KKN1" s="18"/>
      <c r="KKO1" s="18"/>
      <c r="KKP1" s="18"/>
      <c r="KKQ1" s="18"/>
      <c r="KKR1" s="18"/>
      <c r="KKS1" s="18"/>
      <c r="KKT1" s="18"/>
      <c r="KKU1" s="18"/>
      <c r="KKV1" s="18"/>
      <c r="KKW1" s="18"/>
      <c r="KKX1" s="18"/>
      <c r="KKY1" s="18"/>
      <c r="KKZ1" s="18"/>
      <c r="KLA1" s="18"/>
      <c r="KLB1" s="18"/>
      <c r="KLC1" s="18"/>
      <c r="KLD1" s="18"/>
      <c r="KLE1" s="18"/>
      <c r="KLF1" s="18"/>
      <c r="KLG1" s="18"/>
      <c r="KLH1" s="18"/>
      <c r="KLI1" s="18"/>
      <c r="KLJ1" s="18"/>
      <c r="KLK1" s="18"/>
      <c r="KLL1" s="18"/>
      <c r="KLM1" s="18"/>
      <c r="KLN1" s="18"/>
      <c r="KLO1" s="18"/>
      <c r="KLP1" s="18"/>
      <c r="KLQ1" s="18"/>
      <c r="KLR1" s="18"/>
      <c r="KLS1" s="18"/>
      <c r="KLT1" s="18"/>
      <c r="KLU1" s="18"/>
      <c r="KLV1" s="18"/>
      <c r="KLW1" s="18"/>
      <c r="KLX1" s="18"/>
      <c r="KLY1" s="18"/>
      <c r="KLZ1" s="18"/>
      <c r="KMA1" s="18"/>
      <c r="KMB1" s="18"/>
      <c r="KMC1" s="18"/>
      <c r="KMD1" s="18"/>
      <c r="KME1" s="18"/>
      <c r="KMF1" s="18"/>
      <c r="KMG1" s="18"/>
      <c r="KMH1" s="18"/>
      <c r="KMI1" s="18"/>
      <c r="KMJ1" s="18"/>
      <c r="KMK1" s="18"/>
      <c r="KML1" s="18"/>
      <c r="KMM1" s="18"/>
      <c r="KMN1" s="18"/>
      <c r="KMO1" s="18"/>
      <c r="KMP1" s="18"/>
      <c r="KMQ1" s="18"/>
      <c r="KMR1" s="18"/>
      <c r="KMS1" s="18"/>
      <c r="KMT1" s="18"/>
      <c r="KMU1" s="18"/>
      <c r="KMV1" s="18"/>
      <c r="KMW1" s="18"/>
      <c r="KMX1" s="18"/>
      <c r="KMY1" s="18"/>
      <c r="KMZ1" s="18"/>
      <c r="KNA1" s="18"/>
      <c r="KNB1" s="18"/>
      <c r="KNC1" s="18"/>
      <c r="KND1" s="18"/>
      <c r="KNE1" s="18"/>
      <c r="KNF1" s="18"/>
      <c r="KNG1" s="18"/>
      <c r="KNH1" s="18"/>
      <c r="KNI1" s="18"/>
      <c r="KNJ1" s="18"/>
      <c r="KNK1" s="18"/>
      <c r="KNL1" s="18"/>
      <c r="KNM1" s="18"/>
      <c r="KNN1" s="18"/>
      <c r="KNO1" s="18"/>
      <c r="KNP1" s="18"/>
      <c r="KNQ1" s="18"/>
      <c r="KNR1" s="18"/>
      <c r="KNS1" s="18"/>
      <c r="KNT1" s="18"/>
      <c r="KNU1" s="18"/>
      <c r="KNV1" s="18"/>
      <c r="KNW1" s="18"/>
      <c r="KNX1" s="18"/>
      <c r="KNY1" s="18"/>
      <c r="KNZ1" s="18"/>
      <c r="KOA1" s="18"/>
      <c r="KOB1" s="18"/>
      <c r="KOC1" s="18"/>
      <c r="KOD1" s="18"/>
      <c r="KOE1" s="18"/>
      <c r="KOF1" s="18"/>
      <c r="KOG1" s="18"/>
      <c r="KOH1" s="18"/>
      <c r="KOI1" s="18"/>
      <c r="KOJ1" s="18"/>
      <c r="KOK1" s="18"/>
      <c r="KOL1" s="18"/>
      <c r="KOM1" s="18"/>
      <c r="KON1" s="18"/>
      <c r="KOO1" s="18"/>
      <c r="KOP1" s="18"/>
      <c r="KOQ1" s="18"/>
      <c r="KOR1" s="18"/>
      <c r="KOS1" s="18"/>
      <c r="KOT1" s="18"/>
      <c r="KOU1" s="18"/>
      <c r="KOV1" s="18"/>
      <c r="KOW1" s="18"/>
      <c r="KOX1" s="18"/>
      <c r="KOY1" s="18"/>
      <c r="KOZ1" s="18"/>
      <c r="KPA1" s="18"/>
      <c r="KPB1" s="18"/>
      <c r="KPC1" s="18"/>
      <c r="KPD1" s="18"/>
      <c r="KPE1" s="18"/>
      <c r="KPF1" s="18"/>
      <c r="KPG1" s="18"/>
      <c r="KPH1" s="18"/>
      <c r="KPI1" s="18"/>
      <c r="KPJ1" s="18"/>
      <c r="KPK1" s="18"/>
      <c r="KPL1" s="18"/>
      <c r="KPM1" s="18"/>
      <c r="KPN1" s="18"/>
      <c r="KPO1" s="18"/>
      <c r="KPP1" s="18"/>
      <c r="KPQ1" s="18"/>
      <c r="KPR1" s="18"/>
      <c r="KPS1" s="18"/>
      <c r="KPT1" s="18"/>
      <c r="KPU1" s="18"/>
      <c r="KPV1" s="18"/>
      <c r="KPW1" s="18"/>
      <c r="KPX1" s="18"/>
      <c r="KPY1" s="18"/>
      <c r="KPZ1" s="18"/>
      <c r="KQA1" s="18"/>
      <c r="KQB1" s="18"/>
      <c r="KQC1" s="18"/>
      <c r="KQD1" s="18"/>
      <c r="KQE1" s="18"/>
      <c r="KQF1" s="18"/>
      <c r="KQG1" s="18"/>
      <c r="KQH1" s="18"/>
      <c r="KQI1" s="18"/>
      <c r="KQJ1" s="18"/>
      <c r="KQK1" s="18"/>
      <c r="KQL1" s="18"/>
      <c r="KQM1" s="18"/>
      <c r="KQN1" s="18"/>
      <c r="KQO1" s="18"/>
      <c r="KQP1" s="18"/>
      <c r="KQQ1" s="18"/>
      <c r="KQR1" s="18"/>
      <c r="KQS1" s="18"/>
      <c r="KQT1" s="18"/>
      <c r="KQU1" s="18"/>
      <c r="KQV1" s="18"/>
      <c r="KQW1" s="18"/>
      <c r="KQX1" s="18"/>
      <c r="KQY1" s="18"/>
      <c r="KQZ1" s="18"/>
      <c r="KRA1" s="18"/>
      <c r="KRB1" s="18"/>
      <c r="KRC1" s="18"/>
      <c r="KRD1" s="18"/>
      <c r="KRE1" s="18"/>
      <c r="KRF1" s="18"/>
      <c r="KRG1" s="18"/>
      <c r="KRH1" s="18"/>
      <c r="KRI1" s="18"/>
      <c r="KRJ1" s="18"/>
      <c r="KRK1" s="18"/>
      <c r="KRL1" s="18"/>
      <c r="KRM1" s="18"/>
      <c r="KRN1" s="18"/>
      <c r="KRO1" s="18"/>
      <c r="KRP1" s="18"/>
      <c r="KRQ1" s="18"/>
      <c r="KRR1" s="18"/>
      <c r="KRS1" s="18"/>
      <c r="KRT1" s="18"/>
      <c r="KRU1" s="18"/>
      <c r="KRV1" s="18"/>
      <c r="KRW1" s="18"/>
      <c r="KRX1" s="18"/>
      <c r="KRY1" s="18"/>
      <c r="KRZ1" s="18"/>
      <c r="KSA1" s="18"/>
      <c r="KSB1" s="18"/>
      <c r="KSC1" s="18"/>
      <c r="KSD1" s="18"/>
      <c r="KSE1" s="18"/>
      <c r="KSF1" s="18"/>
      <c r="KSG1" s="18"/>
      <c r="KSH1" s="18"/>
      <c r="KSI1" s="18"/>
      <c r="KSJ1" s="18"/>
      <c r="KSK1" s="18"/>
      <c r="KSL1" s="18"/>
      <c r="KSM1" s="18"/>
      <c r="KSN1" s="18"/>
      <c r="KSO1" s="18"/>
      <c r="KSP1" s="18"/>
      <c r="KSQ1" s="18"/>
      <c r="KSR1" s="18"/>
      <c r="KSS1" s="18"/>
      <c r="KST1" s="18"/>
      <c r="KSU1" s="18"/>
      <c r="KSV1" s="18"/>
      <c r="KSW1" s="18"/>
      <c r="KSX1" s="18"/>
      <c r="KSY1" s="18"/>
      <c r="KSZ1" s="18"/>
      <c r="KTA1" s="18"/>
      <c r="KTB1" s="18"/>
      <c r="KTC1" s="18"/>
      <c r="KTD1" s="18"/>
      <c r="KTE1" s="18"/>
      <c r="KTF1" s="18"/>
      <c r="KTG1" s="18"/>
      <c r="KTH1" s="18"/>
      <c r="KTI1" s="18"/>
      <c r="KTJ1" s="18"/>
      <c r="KTK1" s="18"/>
      <c r="KTL1" s="18"/>
      <c r="KTM1" s="18"/>
      <c r="KTN1" s="18"/>
      <c r="KTO1" s="18"/>
      <c r="KTP1" s="18"/>
      <c r="KTQ1" s="18"/>
      <c r="KTR1" s="18"/>
      <c r="KTS1" s="18"/>
      <c r="KTT1" s="18"/>
      <c r="KTU1" s="18"/>
      <c r="KTV1" s="18"/>
      <c r="KTW1" s="18"/>
      <c r="KTX1" s="18"/>
      <c r="KTY1" s="18"/>
      <c r="KTZ1" s="18"/>
      <c r="KUA1" s="18"/>
      <c r="KUB1" s="18"/>
      <c r="KUC1" s="18"/>
      <c r="KUD1" s="18"/>
      <c r="KUE1" s="18"/>
      <c r="KUF1" s="18"/>
      <c r="KUG1" s="18"/>
      <c r="KUH1" s="18"/>
      <c r="KUI1" s="18"/>
      <c r="KUJ1" s="18"/>
      <c r="KUK1" s="18"/>
      <c r="KUL1" s="18"/>
      <c r="KUM1" s="18"/>
      <c r="KUN1" s="18"/>
      <c r="KUO1" s="18"/>
      <c r="KUP1" s="18"/>
      <c r="KUQ1" s="18"/>
      <c r="KUR1" s="18"/>
      <c r="KUS1" s="18"/>
      <c r="KUT1" s="18"/>
      <c r="KUU1" s="18"/>
      <c r="KUV1" s="18"/>
      <c r="KUW1" s="18"/>
      <c r="KUX1" s="18"/>
      <c r="KUY1" s="18"/>
      <c r="KUZ1" s="18"/>
      <c r="KVA1" s="18"/>
      <c r="KVB1" s="18"/>
      <c r="KVC1" s="18"/>
      <c r="KVD1" s="18"/>
      <c r="KVE1" s="18"/>
      <c r="KVF1" s="18"/>
      <c r="KVG1" s="18"/>
      <c r="KVH1" s="18"/>
      <c r="KVI1" s="18"/>
      <c r="KVJ1" s="18"/>
      <c r="KVK1" s="18"/>
      <c r="KVL1" s="18"/>
      <c r="KVM1" s="18"/>
      <c r="KVN1" s="18"/>
      <c r="KVO1" s="18"/>
      <c r="KVP1" s="18"/>
      <c r="KVQ1" s="18"/>
      <c r="KVR1" s="18"/>
      <c r="KVS1" s="18"/>
      <c r="KVT1" s="18"/>
      <c r="KVU1" s="18"/>
      <c r="KVV1" s="18"/>
      <c r="KVW1" s="18"/>
      <c r="KVX1" s="18"/>
      <c r="KVY1" s="18"/>
      <c r="KVZ1" s="18"/>
      <c r="KWA1" s="18"/>
      <c r="KWB1" s="18"/>
      <c r="KWC1" s="18"/>
      <c r="KWD1" s="18"/>
      <c r="KWE1" s="18"/>
      <c r="KWF1" s="18"/>
      <c r="KWG1" s="18"/>
      <c r="KWH1" s="18"/>
      <c r="KWI1" s="18"/>
      <c r="KWJ1" s="18"/>
      <c r="KWK1" s="18"/>
      <c r="KWL1" s="18"/>
      <c r="KWM1" s="18"/>
      <c r="KWN1" s="18"/>
      <c r="KWO1" s="18"/>
      <c r="KWP1" s="18"/>
      <c r="KWQ1" s="18"/>
      <c r="KWR1" s="18"/>
      <c r="KWS1" s="18"/>
      <c r="KWT1" s="18"/>
      <c r="KWU1" s="18"/>
      <c r="KWV1" s="18"/>
      <c r="KWW1" s="18"/>
      <c r="KWX1" s="18"/>
      <c r="KWY1" s="18"/>
      <c r="KWZ1" s="18"/>
      <c r="KXA1" s="18"/>
      <c r="KXB1" s="18"/>
      <c r="KXC1" s="18"/>
      <c r="KXD1" s="18"/>
      <c r="KXE1" s="18"/>
      <c r="KXF1" s="18"/>
      <c r="KXG1" s="18"/>
      <c r="KXH1" s="18"/>
      <c r="KXI1" s="18"/>
      <c r="KXJ1" s="18"/>
      <c r="KXK1" s="18"/>
      <c r="KXL1" s="18"/>
      <c r="KXM1" s="18"/>
      <c r="KXN1" s="18"/>
      <c r="KXO1" s="18"/>
      <c r="KXP1" s="18"/>
      <c r="KXQ1" s="18"/>
      <c r="KXR1" s="18"/>
      <c r="KXS1" s="18"/>
      <c r="KXT1" s="18"/>
      <c r="KXU1" s="18"/>
      <c r="KXV1" s="18"/>
      <c r="KXW1" s="18"/>
      <c r="KXX1" s="18"/>
      <c r="KXY1" s="18"/>
      <c r="KXZ1" s="18"/>
      <c r="KYA1" s="18"/>
      <c r="KYB1" s="18"/>
      <c r="KYC1" s="18"/>
      <c r="KYD1" s="18"/>
      <c r="KYE1" s="18"/>
      <c r="KYF1" s="18"/>
      <c r="KYG1" s="18"/>
      <c r="KYH1" s="18"/>
      <c r="KYI1" s="18"/>
      <c r="KYJ1" s="18"/>
      <c r="KYK1" s="18"/>
      <c r="KYL1" s="18"/>
      <c r="KYM1" s="18"/>
      <c r="KYN1" s="18"/>
      <c r="KYO1" s="18"/>
      <c r="KYP1" s="18"/>
      <c r="KYQ1" s="18"/>
      <c r="KYR1" s="18"/>
      <c r="KYS1" s="18"/>
      <c r="KYT1" s="18"/>
      <c r="KYU1" s="18"/>
      <c r="KYV1" s="18"/>
      <c r="KYW1" s="18"/>
      <c r="KYX1" s="18"/>
      <c r="KYY1" s="18"/>
      <c r="KYZ1" s="18"/>
      <c r="KZA1" s="18"/>
      <c r="KZB1" s="18"/>
      <c r="KZC1" s="18"/>
      <c r="KZD1" s="18"/>
      <c r="KZE1" s="18"/>
      <c r="KZF1" s="18"/>
      <c r="KZG1" s="18"/>
      <c r="KZH1" s="18"/>
      <c r="KZI1" s="18"/>
      <c r="KZJ1" s="18"/>
      <c r="KZK1" s="18"/>
      <c r="KZL1" s="18"/>
      <c r="KZM1" s="18"/>
      <c r="KZN1" s="18"/>
      <c r="KZO1" s="18"/>
      <c r="KZP1" s="18"/>
      <c r="KZQ1" s="18"/>
      <c r="KZR1" s="18"/>
      <c r="KZS1" s="18"/>
      <c r="KZT1" s="18"/>
      <c r="KZU1" s="18"/>
      <c r="KZV1" s="18"/>
      <c r="KZW1" s="18"/>
      <c r="KZX1" s="18"/>
      <c r="KZY1" s="18"/>
      <c r="KZZ1" s="18"/>
      <c r="LAA1" s="18"/>
      <c r="LAB1" s="18"/>
      <c r="LAC1" s="18"/>
      <c r="LAD1" s="18"/>
      <c r="LAE1" s="18"/>
      <c r="LAF1" s="18"/>
      <c r="LAG1" s="18"/>
      <c r="LAH1" s="18"/>
      <c r="LAI1" s="18"/>
      <c r="LAJ1" s="18"/>
      <c r="LAK1" s="18"/>
      <c r="LAL1" s="18"/>
      <c r="LAM1" s="18"/>
      <c r="LAN1" s="18"/>
      <c r="LAO1" s="18"/>
      <c r="LAP1" s="18"/>
      <c r="LAQ1" s="18"/>
      <c r="LAR1" s="18"/>
      <c r="LAS1" s="18"/>
      <c r="LAT1" s="18"/>
      <c r="LAU1" s="18"/>
      <c r="LAV1" s="18"/>
      <c r="LAW1" s="18"/>
      <c r="LAX1" s="18"/>
      <c r="LAY1" s="18"/>
      <c r="LAZ1" s="18"/>
      <c r="LBA1" s="18"/>
      <c r="LBB1" s="18"/>
      <c r="LBC1" s="18"/>
      <c r="LBD1" s="18"/>
      <c r="LBE1" s="18"/>
      <c r="LBF1" s="18"/>
      <c r="LBG1" s="18"/>
      <c r="LBH1" s="18"/>
      <c r="LBI1" s="18"/>
      <c r="LBJ1" s="18"/>
      <c r="LBK1" s="18"/>
      <c r="LBL1" s="18"/>
      <c r="LBM1" s="18"/>
      <c r="LBN1" s="18"/>
      <c r="LBO1" s="18"/>
      <c r="LBP1" s="18"/>
      <c r="LBQ1" s="18"/>
      <c r="LBR1" s="18"/>
      <c r="LBS1" s="18"/>
      <c r="LBT1" s="18"/>
      <c r="LBU1" s="18"/>
      <c r="LBV1" s="18"/>
      <c r="LBW1" s="18"/>
      <c r="LBX1" s="18"/>
      <c r="LBY1" s="18"/>
      <c r="LBZ1" s="18"/>
      <c r="LCA1" s="18"/>
      <c r="LCB1" s="18"/>
      <c r="LCC1" s="18"/>
      <c r="LCD1" s="18"/>
      <c r="LCE1" s="18"/>
      <c r="LCF1" s="18"/>
      <c r="LCG1" s="18"/>
      <c r="LCH1" s="18"/>
      <c r="LCI1" s="18"/>
      <c r="LCJ1" s="18"/>
      <c r="LCK1" s="18"/>
      <c r="LCL1" s="18"/>
      <c r="LCM1" s="18"/>
      <c r="LCN1" s="18"/>
      <c r="LCO1" s="18"/>
      <c r="LCP1" s="18"/>
      <c r="LCQ1" s="18"/>
      <c r="LCR1" s="18"/>
      <c r="LCS1" s="18"/>
      <c r="LCT1" s="18"/>
      <c r="LCU1" s="18"/>
      <c r="LCV1" s="18"/>
      <c r="LCW1" s="18"/>
      <c r="LCX1" s="18"/>
      <c r="LCY1" s="18"/>
      <c r="LCZ1" s="18"/>
      <c r="LDA1" s="18"/>
      <c r="LDB1" s="18"/>
      <c r="LDC1" s="18"/>
      <c r="LDD1" s="18"/>
      <c r="LDE1" s="18"/>
      <c r="LDF1" s="18"/>
      <c r="LDG1" s="18"/>
      <c r="LDH1" s="18"/>
      <c r="LDI1" s="18"/>
      <c r="LDJ1" s="18"/>
      <c r="LDK1" s="18"/>
      <c r="LDL1" s="18"/>
      <c r="LDM1" s="18"/>
      <c r="LDN1" s="18"/>
      <c r="LDO1" s="18"/>
      <c r="LDP1" s="18"/>
      <c r="LDQ1" s="18"/>
      <c r="LDR1" s="18"/>
      <c r="LDS1" s="18"/>
      <c r="LDT1" s="18"/>
      <c r="LDU1" s="18"/>
      <c r="LDV1" s="18"/>
      <c r="LDW1" s="18"/>
      <c r="LDX1" s="18"/>
      <c r="LDY1" s="18"/>
      <c r="LDZ1" s="18"/>
      <c r="LEA1" s="18"/>
      <c r="LEB1" s="18"/>
      <c r="LEC1" s="18"/>
      <c r="LED1" s="18"/>
      <c r="LEE1" s="18"/>
      <c r="LEF1" s="18"/>
      <c r="LEG1" s="18"/>
      <c r="LEH1" s="18"/>
      <c r="LEI1" s="18"/>
      <c r="LEJ1" s="18"/>
      <c r="LEK1" s="18"/>
      <c r="LEL1" s="18"/>
      <c r="LEM1" s="18"/>
      <c r="LEN1" s="18"/>
      <c r="LEO1" s="18"/>
      <c r="LEP1" s="18"/>
      <c r="LEQ1" s="18"/>
      <c r="LER1" s="18"/>
      <c r="LES1" s="18"/>
      <c r="LET1" s="18"/>
      <c r="LEU1" s="18"/>
      <c r="LEV1" s="18"/>
      <c r="LEW1" s="18"/>
      <c r="LEX1" s="18"/>
      <c r="LEY1" s="18"/>
      <c r="LEZ1" s="18"/>
      <c r="LFA1" s="18"/>
      <c r="LFB1" s="18"/>
      <c r="LFC1" s="18"/>
      <c r="LFD1" s="18"/>
      <c r="LFE1" s="18"/>
      <c r="LFF1" s="18"/>
      <c r="LFG1" s="18"/>
      <c r="LFH1" s="18"/>
      <c r="LFI1" s="18"/>
      <c r="LFJ1" s="18"/>
      <c r="LFK1" s="18"/>
      <c r="LFL1" s="18"/>
      <c r="LFM1" s="18"/>
      <c r="LFN1" s="18"/>
      <c r="LFO1" s="18"/>
      <c r="LFP1" s="18"/>
      <c r="LFQ1" s="18"/>
      <c r="LFR1" s="18"/>
      <c r="LFS1" s="18"/>
      <c r="LFT1" s="18"/>
      <c r="LFU1" s="18"/>
      <c r="LFV1" s="18"/>
      <c r="LFW1" s="18"/>
      <c r="LFX1" s="18"/>
      <c r="LFY1" s="18"/>
      <c r="LFZ1" s="18"/>
      <c r="LGA1" s="18"/>
      <c r="LGB1" s="18"/>
      <c r="LGC1" s="18"/>
      <c r="LGD1" s="18"/>
      <c r="LGE1" s="18"/>
      <c r="LGF1" s="18"/>
      <c r="LGG1" s="18"/>
      <c r="LGH1" s="18"/>
      <c r="LGI1" s="18"/>
      <c r="LGJ1" s="18"/>
      <c r="LGK1" s="18"/>
      <c r="LGL1" s="18"/>
      <c r="LGM1" s="18"/>
      <c r="LGN1" s="18"/>
      <c r="LGO1" s="18"/>
      <c r="LGP1" s="18"/>
      <c r="LGQ1" s="18"/>
      <c r="LGR1" s="18"/>
      <c r="LGS1" s="18"/>
      <c r="LGT1" s="18"/>
      <c r="LGU1" s="18"/>
      <c r="LGV1" s="18"/>
      <c r="LGW1" s="18"/>
      <c r="LGX1" s="18"/>
      <c r="LGY1" s="18"/>
      <c r="LGZ1" s="18"/>
      <c r="LHA1" s="18"/>
      <c r="LHB1" s="18"/>
      <c r="LHC1" s="18"/>
      <c r="LHD1" s="18"/>
      <c r="LHE1" s="18"/>
      <c r="LHF1" s="18"/>
      <c r="LHG1" s="18"/>
      <c r="LHH1" s="18"/>
      <c r="LHI1" s="18"/>
      <c r="LHJ1" s="18"/>
      <c r="LHK1" s="18"/>
      <c r="LHL1" s="18"/>
      <c r="LHM1" s="18"/>
      <c r="LHN1" s="18"/>
      <c r="LHO1" s="18"/>
      <c r="LHP1" s="18"/>
      <c r="LHQ1" s="18"/>
      <c r="LHR1" s="18"/>
      <c r="LHS1" s="18"/>
      <c r="LHT1" s="18"/>
      <c r="LHU1" s="18"/>
      <c r="LHV1" s="18"/>
      <c r="LHW1" s="18"/>
      <c r="LHX1" s="18"/>
      <c r="LHY1" s="18"/>
      <c r="LHZ1" s="18"/>
      <c r="LIA1" s="18"/>
      <c r="LIB1" s="18"/>
      <c r="LIC1" s="18"/>
      <c r="LID1" s="18"/>
      <c r="LIE1" s="18"/>
      <c r="LIF1" s="18"/>
      <c r="LIG1" s="18"/>
      <c r="LIH1" s="18"/>
      <c r="LII1" s="18"/>
      <c r="LIJ1" s="18"/>
      <c r="LIK1" s="18"/>
      <c r="LIL1" s="18"/>
      <c r="LIM1" s="18"/>
      <c r="LIN1" s="18"/>
      <c r="LIO1" s="18"/>
      <c r="LIP1" s="18"/>
      <c r="LIQ1" s="18"/>
      <c r="LIR1" s="18"/>
      <c r="LIS1" s="18"/>
      <c r="LIT1" s="18"/>
      <c r="LIU1" s="18"/>
      <c r="LIV1" s="18"/>
      <c r="LIW1" s="18"/>
      <c r="LIX1" s="18"/>
      <c r="LIY1" s="18"/>
      <c r="LIZ1" s="18"/>
      <c r="LJA1" s="18"/>
      <c r="LJB1" s="18"/>
      <c r="LJC1" s="18"/>
      <c r="LJD1" s="18"/>
      <c r="LJE1" s="18"/>
      <c r="LJF1" s="18"/>
      <c r="LJG1" s="18"/>
      <c r="LJH1" s="18"/>
      <c r="LJI1" s="18"/>
      <c r="LJJ1" s="18"/>
      <c r="LJK1" s="18"/>
      <c r="LJL1" s="18"/>
      <c r="LJM1" s="18"/>
      <c r="LJN1" s="18"/>
      <c r="LJO1" s="18"/>
      <c r="LJP1" s="18"/>
      <c r="LJQ1" s="18"/>
      <c r="LJR1" s="18"/>
      <c r="LJS1" s="18"/>
      <c r="LJT1" s="18"/>
      <c r="LJU1" s="18"/>
      <c r="LJV1" s="18"/>
      <c r="LJW1" s="18"/>
      <c r="LJX1" s="18"/>
      <c r="LJY1" s="18"/>
      <c r="LJZ1" s="18"/>
      <c r="LKA1" s="18"/>
      <c r="LKB1" s="18"/>
      <c r="LKC1" s="18"/>
      <c r="LKD1" s="18"/>
      <c r="LKE1" s="18"/>
      <c r="LKF1" s="18"/>
      <c r="LKG1" s="18"/>
      <c r="LKH1" s="18"/>
      <c r="LKI1" s="18"/>
      <c r="LKJ1" s="18"/>
      <c r="LKK1" s="18"/>
      <c r="LKL1" s="18"/>
      <c r="LKM1" s="18"/>
      <c r="LKN1" s="18"/>
      <c r="LKO1" s="18"/>
      <c r="LKP1" s="18"/>
      <c r="LKQ1" s="18"/>
      <c r="LKR1" s="18"/>
      <c r="LKS1" s="18"/>
      <c r="LKT1" s="18"/>
      <c r="LKU1" s="18"/>
      <c r="LKV1" s="18"/>
      <c r="LKW1" s="18"/>
      <c r="LKX1" s="18"/>
      <c r="LKY1" s="18"/>
      <c r="LKZ1" s="18"/>
      <c r="LLA1" s="18"/>
      <c r="LLB1" s="18"/>
      <c r="LLC1" s="18"/>
      <c r="LLD1" s="18"/>
      <c r="LLE1" s="18"/>
      <c r="LLF1" s="18"/>
      <c r="LLG1" s="18"/>
      <c r="LLH1" s="18"/>
      <c r="LLI1" s="18"/>
      <c r="LLJ1" s="18"/>
      <c r="LLK1" s="18"/>
      <c r="LLL1" s="18"/>
      <c r="LLM1" s="18"/>
      <c r="LLN1" s="18"/>
      <c r="LLO1" s="18"/>
      <c r="LLP1" s="18"/>
      <c r="LLQ1" s="18"/>
      <c r="LLR1" s="18"/>
      <c r="LLS1" s="18"/>
      <c r="LLT1" s="18"/>
      <c r="LLU1" s="18"/>
      <c r="LLV1" s="18"/>
      <c r="LLW1" s="18"/>
      <c r="LLX1" s="18"/>
      <c r="LLY1" s="18"/>
      <c r="LLZ1" s="18"/>
      <c r="LMA1" s="18"/>
      <c r="LMB1" s="18"/>
      <c r="LMC1" s="18"/>
      <c r="LMD1" s="18"/>
      <c r="LME1" s="18"/>
      <c r="LMF1" s="18"/>
      <c r="LMG1" s="18"/>
      <c r="LMH1" s="18"/>
      <c r="LMI1" s="18"/>
      <c r="LMJ1" s="18"/>
      <c r="LMK1" s="18"/>
      <c r="LML1" s="18"/>
      <c r="LMM1" s="18"/>
      <c r="LMN1" s="18"/>
      <c r="LMO1" s="18"/>
      <c r="LMP1" s="18"/>
      <c r="LMQ1" s="18"/>
      <c r="LMR1" s="18"/>
      <c r="LMS1" s="18"/>
      <c r="LMT1" s="18"/>
      <c r="LMU1" s="18"/>
      <c r="LMV1" s="18"/>
      <c r="LMW1" s="18"/>
      <c r="LMX1" s="18"/>
      <c r="LMY1" s="18"/>
      <c r="LMZ1" s="18"/>
      <c r="LNA1" s="18"/>
      <c r="LNB1" s="18"/>
      <c r="LNC1" s="18"/>
      <c r="LND1" s="18"/>
      <c r="LNE1" s="18"/>
      <c r="LNF1" s="18"/>
      <c r="LNG1" s="18"/>
      <c r="LNH1" s="18"/>
      <c r="LNI1" s="18"/>
      <c r="LNJ1" s="18"/>
      <c r="LNK1" s="18"/>
      <c r="LNL1" s="18"/>
      <c r="LNM1" s="18"/>
      <c r="LNN1" s="18"/>
      <c r="LNO1" s="18"/>
      <c r="LNP1" s="18"/>
      <c r="LNQ1" s="18"/>
      <c r="LNR1" s="18"/>
      <c r="LNS1" s="18"/>
      <c r="LNT1" s="18"/>
      <c r="LNU1" s="18"/>
      <c r="LNV1" s="18"/>
      <c r="LNW1" s="18"/>
      <c r="LNX1" s="18"/>
      <c r="LNY1" s="18"/>
      <c r="LNZ1" s="18"/>
      <c r="LOA1" s="18"/>
      <c r="LOB1" s="18"/>
      <c r="LOC1" s="18"/>
      <c r="LOD1" s="18"/>
      <c r="LOE1" s="18"/>
      <c r="LOF1" s="18"/>
      <c r="LOG1" s="18"/>
      <c r="LOH1" s="18"/>
      <c r="LOI1" s="18"/>
      <c r="LOJ1" s="18"/>
      <c r="LOK1" s="18"/>
      <c r="LOL1" s="18"/>
      <c r="LOM1" s="18"/>
      <c r="LON1" s="18"/>
      <c r="LOO1" s="18"/>
      <c r="LOP1" s="18"/>
      <c r="LOQ1" s="18"/>
      <c r="LOR1" s="18"/>
      <c r="LOS1" s="18"/>
      <c r="LOT1" s="18"/>
      <c r="LOU1" s="18"/>
      <c r="LOV1" s="18"/>
      <c r="LOW1" s="18"/>
      <c r="LOX1" s="18"/>
      <c r="LOY1" s="18"/>
      <c r="LOZ1" s="18"/>
      <c r="LPA1" s="18"/>
      <c r="LPB1" s="18"/>
      <c r="LPC1" s="18"/>
      <c r="LPD1" s="18"/>
      <c r="LPE1" s="18"/>
      <c r="LPF1" s="18"/>
      <c r="LPG1" s="18"/>
      <c r="LPH1" s="18"/>
      <c r="LPI1" s="18"/>
      <c r="LPJ1" s="18"/>
      <c r="LPK1" s="18"/>
      <c r="LPL1" s="18"/>
      <c r="LPM1" s="18"/>
      <c r="LPN1" s="18"/>
      <c r="LPO1" s="18"/>
      <c r="LPP1" s="18"/>
      <c r="LPQ1" s="18"/>
      <c r="LPR1" s="18"/>
      <c r="LPS1" s="18"/>
      <c r="LPT1" s="18"/>
      <c r="LPU1" s="18"/>
      <c r="LPV1" s="18"/>
      <c r="LPW1" s="18"/>
      <c r="LPX1" s="18"/>
      <c r="LPY1" s="18"/>
      <c r="LPZ1" s="18"/>
      <c r="LQA1" s="18"/>
      <c r="LQB1" s="18"/>
      <c r="LQC1" s="18"/>
      <c r="LQD1" s="18"/>
      <c r="LQE1" s="18"/>
      <c r="LQF1" s="18"/>
      <c r="LQG1" s="18"/>
      <c r="LQH1" s="18"/>
      <c r="LQI1" s="18"/>
      <c r="LQJ1" s="18"/>
      <c r="LQK1" s="18"/>
      <c r="LQL1" s="18"/>
      <c r="LQM1" s="18"/>
      <c r="LQN1" s="18"/>
      <c r="LQO1" s="18"/>
      <c r="LQP1" s="18"/>
      <c r="LQQ1" s="18"/>
      <c r="LQR1" s="18"/>
      <c r="LQS1" s="18"/>
      <c r="LQT1" s="18"/>
      <c r="LQU1" s="18"/>
      <c r="LQV1" s="18"/>
      <c r="LQW1" s="18"/>
      <c r="LQX1" s="18"/>
      <c r="LQY1" s="18"/>
      <c r="LQZ1" s="18"/>
      <c r="LRA1" s="18"/>
      <c r="LRB1" s="18"/>
      <c r="LRC1" s="18"/>
      <c r="LRD1" s="18"/>
      <c r="LRE1" s="18"/>
      <c r="LRF1" s="18"/>
      <c r="LRG1" s="18"/>
      <c r="LRH1" s="18"/>
      <c r="LRI1" s="18"/>
      <c r="LRJ1" s="18"/>
      <c r="LRK1" s="18"/>
      <c r="LRL1" s="18"/>
      <c r="LRM1" s="18"/>
      <c r="LRN1" s="18"/>
      <c r="LRO1" s="18"/>
      <c r="LRP1" s="18"/>
      <c r="LRQ1" s="18"/>
      <c r="LRR1" s="18"/>
      <c r="LRS1" s="18"/>
      <c r="LRT1" s="18"/>
      <c r="LRU1" s="18"/>
      <c r="LRV1" s="18"/>
      <c r="LRW1" s="18"/>
      <c r="LRX1" s="18"/>
      <c r="LRY1" s="18"/>
      <c r="LRZ1" s="18"/>
      <c r="LSA1" s="18"/>
      <c r="LSB1" s="18"/>
      <c r="LSC1" s="18"/>
      <c r="LSD1" s="18"/>
      <c r="LSE1" s="18"/>
      <c r="LSF1" s="18"/>
      <c r="LSG1" s="18"/>
      <c r="LSH1" s="18"/>
      <c r="LSI1" s="18"/>
      <c r="LSJ1" s="18"/>
      <c r="LSK1" s="18"/>
      <c r="LSL1" s="18"/>
      <c r="LSM1" s="18"/>
      <c r="LSN1" s="18"/>
      <c r="LSO1" s="18"/>
      <c r="LSP1" s="18"/>
      <c r="LSQ1" s="18"/>
      <c r="LSR1" s="18"/>
      <c r="LSS1" s="18"/>
      <c r="LST1" s="18"/>
      <c r="LSU1" s="18"/>
      <c r="LSV1" s="18"/>
      <c r="LSW1" s="18"/>
      <c r="LSX1" s="18"/>
      <c r="LSY1" s="18"/>
      <c r="LSZ1" s="18"/>
      <c r="LTA1" s="18"/>
      <c r="LTB1" s="18"/>
      <c r="LTC1" s="18"/>
      <c r="LTD1" s="18"/>
      <c r="LTE1" s="18"/>
      <c r="LTF1" s="18"/>
      <c r="LTG1" s="18"/>
      <c r="LTH1" s="18"/>
      <c r="LTI1" s="18"/>
      <c r="LTJ1" s="18"/>
      <c r="LTK1" s="18"/>
      <c r="LTL1" s="18"/>
      <c r="LTM1" s="18"/>
      <c r="LTN1" s="18"/>
      <c r="LTO1" s="18"/>
      <c r="LTP1" s="18"/>
      <c r="LTQ1" s="18"/>
      <c r="LTR1" s="18"/>
      <c r="LTS1" s="18"/>
      <c r="LTT1" s="18"/>
      <c r="LTU1" s="18"/>
      <c r="LTV1" s="18"/>
      <c r="LTW1" s="18"/>
      <c r="LTX1" s="18"/>
      <c r="LTY1" s="18"/>
      <c r="LTZ1" s="18"/>
      <c r="LUA1" s="18"/>
      <c r="LUB1" s="18"/>
      <c r="LUC1" s="18"/>
      <c r="LUD1" s="18"/>
      <c r="LUE1" s="18"/>
      <c r="LUF1" s="18"/>
      <c r="LUG1" s="18"/>
      <c r="LUH1" s="18"/>
      <c r="LUI1" s="18"/>
      <c r="LUJ1" s="18"/>
      <c r="LUK1" s="18"/>
      <c r="LUL1" s="18"/>
      <c r="LUM1" s="18"/>
      <c r="LUN1" s="18"/>
      <c r="LUO1" s="18"/>
      <c r="LUP1" s="18"/>
      <c r="LUQ1" s="18"/>
      <c r="LUR1" s="18"/>
      <c r="LUS1" s="18"/>
      <c r="LUT1" s="18"/>
      <c r="LUU1" s="18"/>
      <c r="LUV1" s="18"/>
      <c r="LUW1" s="18"/>
      <c r="LUX1" s="18"/>
      <c r="LUY1" s="18"/>
      <c r="LUZ1" s="18"/>
      <c r="LVA1" s="18"/>
      <c r="LVB1" s="18"/>
      <c r="LVC1" s="18"/>
      <c r="LVD1" s="18"/>
      <c r="LVE1" s="18"/>
      <c r="LVF1" s="18"/>
      <c r="LVG1" s="18"/>
      <c r="LVH1" s="18"/>
      <c r="LVI1" s="18"/>
      <c r="LVJ1" s="18"/>
      <c r="LVK1" s="18"/>
      <c r="LVL1" s="18"/>
      <c r="LVM1" s="18"/>
      <c r="LVN1" s="18"/>
      <c r="LVO1" s="18"/>
      <c r="LVP1" s="18"/>
      <c r="LVQ1" s="18"/>
      <c r="LVR1" s="18"/>
      <c r="LVS1" s="18"/>
      <c r="LVT1" s="18"/>
      <c r="LVU1" s="18"/>
      <c r="LVV1" s="18"/>
      <c r="LVW1" s="18"/>
      <c r="LVX1" s="18"/>
      <c r="LVY1" s="18"/>
      <c r="LVZ1" s="18"/>
      <c r="LWA1" s="18"/>
      <c r="LWB1" s="18"/>
      <c r="LWC1" s="18"/>
      <c r="LWD1" s="18"/>
      <c r="LWE1" s="18"/>
      <c r="LWF1" s="18"/>
      <c r="LWG1" s="18"/>
      <c r="LWH1" s="18"/>
      <c r="LWI1" s="18"/>
      <c r="LWJ1" s="18"/>
      <c r="LWK1" s="18"/>
      <c r="LWL1" s="18"/>
      <c r="LWM1" s="18"/>
      <c r="LWN1" s="18"/>
      <c r="LWO1" s="18"/>
      <c r="LWP1" s="18"/>
      <c r="LWQ1" s="18"/>
      <c r="LWR1" s="18"/>
      <c r="LWS1" s="18"/>
      <c r="LWT1" s="18"/>
      <c r="LWU1" s="18"/>
      <c r="LWV1" s="18"/>
      <c r="LWW1" s="18"/>
      <c r="LWX1" s="18"/>
      <c r="LWY1" s="18"/>
      <c r="LWZ1" s="18"/>
      <c r="LXA1" s="18"/>
      <c r="LXB1" s="18"/>
      <c r="LXC1" s="18"/>
      <c r="LXD1" s="18"/>
      <c r="LXE1" s="18"/>
      <c r="LXF1" s="18"/>
      <c r="LXG1" s="18"/>
      <c r="LXH1" s="18"/>
      <c r="LXI1" s="18"/>
      <c r="LXJ1" s="18"/>
      <c r="LXK1" s="18"/>
      <c r="LXL1" s="18"/>
      <c r="LXM1" s="18"/>
      <c r="LXN1" s="18"/>
      <c r="LXO1" s="18"/>
      <c r="LXP1" s="18"/>
      <c r="LXQ1" s="18"/>
      <c r="LXR1" s="18"/>
      <c r="LXS1" s="18"/>
      <c r="LXT1" s="18"/>
      <c r="LXU1" s="18"/>
      <c r="LXV1" s="18"/>
      <c r="LXW1" s="18"/>
      <c r="LXX1" s="18"/>
      <c r="LXY1" s="18"/>
      <c r="LXZ1" s="18"/>
      <c r="LYA1" s="18"/>
      <c r="LYB1" s="18"/>
      <c r="LYC1" s="18"/>
      <c r="LYD1" s="18"/>
      <c r="LYE1" s="18"/>
      <c r="LYF1" s="18"/>
      <c r="LYG1" s="18"/>
      <c r="LYH1" s="18"/>
      <c r="LYI1" s="18"/>
      <c r="LYJ1" s="18"/>
      <c r="LYK1" s="18"/>
      <c r="LYL1" s="18"/>
      <c r="LYM1" s="18"/>
      <c r="LYN1" s="18"/>
      <c r="LYO1" s="18"/>
      <c r="LYP1" s="18"/>
      <c r="LYQ1" s="18"/>
      <c r="LYR1" s="18"/>
      <c r="LYS1" s="18"/>
      <c r="LYT1" s="18"/>
      <c r="LYU1" s="18"/>
      <c r="LYV1" s="18"/>
      <c r="LYW1" s="18"/>
      <c r="LYX1" s="18"/>
      <c r="LYY1" s="18"/>
      <c r="LYZ1" s="18"/>
      <c r="LZA1" s="18"/>
      <c r="LZB1" s="18"/>
      <c r="LZC1" s="18"/>
      <c r="LZD1" s="18"/>
      <c r="LZE1" s="18"/>
      <c r="LZF1" s="18"/>
      <c r="LZG1" s="18"/>
      <c r="LZH1" s="18"/>
      <c r="LZI1" s="18"/>
      <c r="LZJ1" s="18"/>
      <c r="LZK1" s="18"/>
      <c r="LZL1" s="18"/>
      <c r="LZM1" s="18"/>
      <c r="LZN1" s="18"/>
      <c r="LZO1" s="18"/>
      <c r="LZP1" s="18"/>
      <c r="LZQ1" s="18"/>
      <c r="LZR1" s="18"/>
      <c r="LZS1" s="18"/>
      <c r="LZT1" s="18"/>
      <c r="LZU1" s="18"/>
      <c r="LZV1" s="18"/>
      <c r="LZW1" s="18"/>
      <c r="LZX1" s="18"/>
      <c r="LZY1" s="18"/>
      <c r="LZZ1" s="18"/>
      <c r="MAA1" s="18"/>
      <c r="MAB1" s="18"/>
      <c r="MAC1" s="18"/>
      <c r="MAD1" s="18"/>
      <c r="MAE1" s="18"/>
      <c r="MAF1" s="18"/>
      <c r="MAG1" s="18"/>
      <c r="MAH1" s="18"/>
      <c r="MAI1" s="18"/>
      <c r="MAJ1" s="18"/>
      <c r="MAK1" s="18"/>
      <c r="MAL1" s="18"/>
      <c r="MAM1" s="18"/>
      <c r="MAN1" s="18"/>
      <c r="MAO1" s="18"/>
      <c r="MAP1" s="18"/>
      <c r="MAQ1" s="18"/>
      <c r="MAR1" s="18"/>
      <c r="MAS1" s="18"/>
      <c r="MAT1" s="18"/>
      <c r="MAU1" s="18"/>
      <c r="MAV1" s="18"/>
      <c r="MAW1" s="18"/>
      <c r="MAX1" s="18"/>
      <c r="MAY1" s="18"/>
      <c r="MAZ1" s="18"/>
      <c r="MBA1" s="18"/>
      <c r="MBB1" s="18"/>
      <c r="MBC1" s="18"/>
      <c r="MBD1" s="18"/>
      <c r="MBE1" s="18"/>
      <c r="MBF1" s="18"/>
      <c r="MBG1" s="18"/>
      <c r="MBH1" s="18"/>
      <c r="MBI1" s="18"/>
      <c r="MBJ1" s="18"/>
      <c r="MBK1" s="18"/>
      <c r="MBL1" s="18"/>
      <c r="MBM1" s="18"/>
      <c r="MBN1" s="18"/>
      <c r="MBO1" s="18"/>
      <c r="MBP1" s="18"/>
      <c r="MBQ1" s="18"/>
      <c r="MBR1" s="18"/>
      <c r="MBS1" s="18"/>
      <c r="MBT1" s="18"/>
      <c r="MBU1" s="18"/>
      <c r="MBV1" s="18"/>
      <c r="MBW1" s="18"/>
      <c r="MBX1" s="18"/>
      <c r="MBY1" s="18"/>
      <c r="MBZ1" s="18"/>
      <c r="MCA1" s="18"/>
      <c r="MCB1" s="18"/>
      <c r="MCC1" s="18"/>
      <c r="MCD1" s="18"/>
      <c r="MCE1" s="18"/>
      <c r="MCF1" s="18"/>
      <c r="MCG1" s="18"/>
      <c r="MCH1" s="18"/>
      <c r="MCI1" s="18"/>
      <c r="MCJ1" s="18"/>
      <c r="MCK1" s="18"/>
      <c r="MCL1" s="18"/>
      <c r="MCM1" s="18"/>
      <c r="MCN1" s="18"/>
      <c r="MCO1" s="18"/>
      <c r="MCP1" s="18"/>
      <c r="MCQ1" s="18"/>
      <c r="MCR1" s="18"/>
      <c r="MCS1" s="18"/>
      <c r="MCT1" s="18"/>
      <c r="MCU1" s="18"/>
      <c r="MCV1" s="18"/>
      <c r="MCW1" s="18"/>
      <c r="MCX1" s="18"/>
      <c r="MCY1" s="18"/>
      <c r="MCZ1" s="18"/>
      <c r="MDA1" s="18"/>
      <c r="MDB1" s="18"/>
      <c r="MDC1" s="18"/>
      <c r="MDD1" s="18"/>
      <c r="MDE1" s="18"/>
      <c r="MDF1" s="18"/>
      <c r="MDG1" s="18"/>
      <c r="MDH1" s="18"/>
      <c r="MDI1" s="18"/>
      <c r="MDJ1" s="18"/>
      <c r="MDK1" s="18"/>
      <c r="MDL1" s="18"/>
      <c r="MDM1" s="18"/>
      <c r="MDN1" s="18"/>
      <c r="MDO1" s="18"/>
      <c r="MDP1" s="18"/>
      <c r="MDQ1" s="18"/>
      <c r="MDR1" s="18"/>
      <c r="MDS1" s="18"/>
      <c r="MDT1" s="18"/>
      <c r="MDU1" s="18"/>
      <c r="MDV1" s="18"/>
      <c r="MDW1" s="18"/>
      <c r="MDX1" s="18"/>
      <c r="MDY1" s="18"/>
      <c r="MDZ1" s="18"/>
      <c r="MEA1" s="18"/>
      <c r="MEB1" s="18"/>
      <c r="MEC1" s="18"/>
      <c r="MED1" s="18"/>
      <c r="MEE1" s="18"/>
      <c r="MEF1" s="18"/>
      <c r="MEG1" s="18"/>
      <c r="MEH1" s="18"/>
      <c r="MEI1" s="18"/>
      <c r="MEJ1" s="18"/>
      <c r="MEK1" s="18"/>
      <c r="MEL1" s="18"/>
      <c r="MEM1" s="18"/>
      <c r="MEN1" s="18"/>
      <c r="MEO1" s="18"/>
      <c r="MEP1" s="18"/>
      <c r="MEQ1" s="18"/>
      <c r="MER1" s="18"/>
      <c r="MES1" s="18"/>
      <c r="MET1" s="18"/>
      <c r="MEU1" s="18"/>
      <c r="MEV1" s="18"/>
      <c r="MEW1" s="18"/>
      <c r="MEX1" s="18"/>
      <c r="MEY1" s="18"/>
      <c r="MEZ1" s="18"/>
      <c r="MFA1" s="18"/>
      <c r="MFB1" s="18"/>
      <c r="MFC1" s="18"/>
      <c r="MFD1" s="18"/>
      <c r="MFE1" s="18"/>
      <c r="MFF1" s="18"/>
      <c r="MFG1" s="18"/>
      <c r="MFH1" s="18"/>
      <c r="MFI1" s="18"/>
      <c r="MFJ1" s="18"/>
      <c r="MFK1" s="18"/>
      <c r="MFL1" s="18"/>
      <c r="MFM1" s="18"/>
      <c r="MFN1" s="18"/>
      <c r="MFO1" s="18"/>
      <c r="MFP1" s="18"/>
      <c r="MFQ1" s="18"/>
      <c r="MFR1" s="18"/>
      <c r="MFS1" s="18"/>
      <c r="MFT1" s="18"/>
      <c r="MFU1" s="18"/>
      <c r="MFV1" s="18"/>
      <c r="MFW1" s="18"/>
      <c r="MFX1" s="18"/>
      <c r="MFY1" s="18"/>
      <c r="MFZ1" s="18"/>
      <c r="MGA1" s="18"/>
      <c r="MGB1" s="18"/>
      <c r="MGC1" s="18"/>
      <c r="MGD1" s="18"/>
      <c r="MGE1" s="18"/>
      <c r="MGF1" s="18"/>
      <c r="MGG1" s="18"/>
      <c r="MGH1" s="18"/>
      <c r="MGI1" s="18"/>
      <c r="MGJ1" s="18"/>
      <c r="MGK1" s="18"/>
      <c r="MGL1" s="18"/>
      <c r="MGM1" s="18"/>
      <c r="MGN1" s="18"/>
      <c r="MGO1" s="18"/>
      <c r="MGP1" s="18"/>
      <c r="MGQ1" s="18"/>
      <c r="MGR1" s="18"/>
      <c r="MGS1" s="18"/>
      <c r="MGT1" s="18"/>
      <c r="MGU1" s="18"/>
      <c r="MGV1" s="18"/>
      <c r="MGW1" s="18"/>
      <c r="MGX1" s="18"/>
      <c r="MGY1" s="18"/>
      <c r="MGZ1" s="18"/>
      <c r="MHA1" s="18"/>
      <c r="MHB1" s="18"/>
      <c r="MHC1" s="18"/>
      <c r="MHD1" s="18"/>
      <c r="MHE1" s="18"/>
      <c r="MHF1" s="18"/>
      <c r="MHG1" s="18"/>
      <c r="MHH1" s="18"/>
      <c r="MHI1" s="18"/>
      <c r="MHJ1" s="18"/>
      <c r="MHK1" s="18"/>
      <c r="MHL1" s="18"/>
      <c r="MHM1" s="18"/>
      <c r="MHN1" s="18"/>
      <c r="MHO1" s="18"/>
      <c r="MHP1" s="18"/>
      <c r="MHQ1" s="18"/>
      <c r="MHR1" s="18"/>
      <c r="MHS1" s="18"/>
      <c r="MHT1" s="18"/>
      <c r="MHU1" s="18"/>
      <c r="MHV1" s="18"/>
      <c r="MHW1" s="18"/>
      <c r="MHX1" s="18"/>
      <c r="MHY1" s="18"/>
      <c r="MHZ1" s="18"/>
      <c r="MIA1" s="18"/>
      <c r="MIB1" s="18"/>
      <c r="MIC1" s="18"/>
      <c r="MID1" s="18"/>
      <c r="MIE1" s="18"/>
      <c r="MIF1" s="18"/>
      <c r="MIG1" s="18"/>
      <c r="MIH1" s="18"/>
      <c r="MII1" s="18"/>
      <c r="MIJ1" s="18"/>
      <c r="MIK1" s="18"/>
      <c r="MIL1" s="18"/>
      <c r="MIM1" s="18"/>
      <c r="MIN1" s="18"/>
      <c r="MIO1" s="18"/>
      <c r="MIP1" s="18"/>
      <c r="MIQ1" s="18"/>
      <c r="MIR1" s="18"/>
      <c r="MIS1" s="18"/>
      <c r="MIT1" s="18"/>
      <c r="MIU1" s="18"/>
      <c r="MIV1" s="18"/>
      <c r="MIW1" s="18"/>
      <c r="MIX1" s="18"/>
      <c r="MIY1" s="18"/>
      <c r="MIZ1" s="18"/>
      <c r="MJA1" s="18"/>
      <c r="MJB1" s="18"/>
      <c r="MJC1" s="18"/>
      <c r="MJD1" s="18"/>
      <c r="MJE1" s="18"/>
      <c r="MJF1" s="18"/>
      <c r="MJG1" s="18"/>
      <c r="MJH1" s="18"/>
      <c r="MJI1" s="18"/>
      <c r="MJJ1" s="18"/>
      <c r="MJK1" s="18"/>
      <c r="MJL1" s="18"/>
      <c r="MJM1" s="18"/>
      <c r="MJN1" s="18"/>
      <c r="MJO1" s="18"/>
      <c r="MJP1" s="18"/>
      <c r="MJQ1" s="18"/>
      <c r="MJR1" s="18"/>
      <c r="MJS1" s="18"/>
      <c r="MJT1" s="18"/>
      <c r="MJU1" s="18"/>
      <c r="MJV1" s="18"/>
      <c r="MJW1" s="18"/>
      <c r="MJX1" s="18"/>
      <c r="MJY1" s="18"/>
      <c r="MJZ1" s="18"/>
      <c r="MKA1" s="18"/>
      <c r="MKB1" s="18"/>
      <c r="MKC1" s="18"/>
      <c r="MKD1" s="18"/>
      <c r="MKE1" s="18"/>
      <c r="MKF1" s="18"/>
      <c r="MKG1" s="18"/>
      <c r="MKH1" s="18"/>
      <c r="MKI1" s="18"/>
      <c r="MKJ1" s="18"/>
      <c r="MKK1" s="18"/>
      <c r="MKL1" s="18"/>
      <c r="MKM1" s="18"/>
      <c r="MKN1" s="18"/>
      <c r="MKO1" s="18"/>
      <c r="MKP1" s="18"/>
      <c r="MKQ1" s="18"/>
      <c r="MKR1" s="18"/>
      <c r="MKS1" s="18"/>
      <c r="MKT1" s="18"/>
      <c r="MKU1" s="18"/>
      <c r="MKV1" s="18"/>
      <c r="MKW1" s="18"/>
      <c r="MKX1" s="18"/>
      <c r="MKY1" s="18"/>
      <c r="MKZ1" s="18"/>
      <c r="MLA1" s="18"/>
      <c r="MLB1" s="18"/>
      <c r="MLC1" s="18"/>
      <c r="MLD1" s="18"/>
      <c r="MLE1" s="18"/>
      <c r="MLF1" s="18"/>
      <c r="MLG1" s="18"/>
      <c r="MLH1" s="18"/>
      <c r="MLI1" s="18"/>
      <c r="MLJ1" s="18"/>
      <c r="MLK1" s="18"/>
      <c r="MLL1" s="18"/>
      <c r="MLM1" s="18"/>
      <c r="MLN1" s="18"/>
      <c r="MLO1" s="18"/>
      <c r="MLP1" s="18"/>
      <c r="MLQ1" s="18"/>
      <c r="MLR1" s="18"/>
      <c r="MLS1" s="18"/>
      <c r="MLT1" s="18"/>
      <c r="MLU1" s="18"/>
      <c r="MLV1" s="18"/>
      <c r="MLW1" s="18"/>
      <c r="MLX1" s="18"/>
      <c r="MLY1" s="18"/>
      <c r="MLZ1" s="18"/>
      <c r="MMA1" s="18"/>
      <c r="MMB1" s="18"/>
      <c r="MMC1" s="18"/>
      <c r="MMD1" s="18"/>
      <c r="MME1" s="18"/>
      <c r="MMF1" s="18"/>
      <c r="MMG1" s="18"/>
      <c r="MMH1" s="18"/>
      <c r="MMI1" s="18"/>
      <c r="MMJ1" s="18"/>
      <c r="MMK1" s="18"/>
      <c r="MML1" s="18"/>
      <c r="MMM1" s="18"/>
      <c r="MMN1" s="18"/>
      <c r="MMO1" s="18"/>
      <c r="MMP1" s="18"/>
      <c r="MMQ1" s="18"/>
      <c r="MMR1" s="18"/>
      <c r="MMS1" s="18"/>
      <c r="MMT1" s="18"/>
      <c r="MMU1" s="18"/>
      <c r="MMV1" s="18"/>
      <c r="MMW1" s="18"/>
      <c r="MMX1" s="18"/>
      <c r="MMY1" s="18"/>
      <c r="MMZ1" s="18"/>
      <c r="MNA1" s="18"/>
      <c r="MNB1" s="18"/>
      <c r="MNC1" s="18"/>
      <c r="MND1" s="18"/>
      <c r="MNE1" s="18"/>
      <c r="MNF1" s="18"/>
      <c r="MNG1" s="18"/>
      <c r="MNH1" s="18"/>
      <c r="MNI1" s="18"/>
      <c r="MNJ1" s="18"/>
      <c r="MNK1" s="18"/>
      <c r="MNL1" s="18"/>
      <c r="MNM1" s="18"/>
      <c r="MNN1" s="18"/>
      <c r="MNO1" s="18"/>
      <c r="MNP1" s="18"/>
      <c r="MNQ1" s="18"/>
      <c r="MNR1" s="18"/>
      <c r="MNS1" s="18"/>
      <c r="MNT1" s="18"/>
      <c r="MNU1" s="18"/>
      <c r="MNV1" s="18"/>
      <c r="MNW1" s="18"/>
      <c r="MNX1" s="18"/>
      <c r="MNY1" s="18"/>
      <c r="MNZ1" s="18"/>
      <c r="MOA1" s="18"/>
      <c r="MOB1" s="18"/>
      <c r="MOC1" s="18"/>
      <c r="MOD1" s="18"/>
      <c r="MOE1" s="18"/>
      <c r="MOF1" s="18"/>
      <c r="MOG1" s="18"/>
      <c r="MOH1" s="18"/>
      <c r="MOI1" s="18"/>
      <c r="MOJ1" s="18"/>
      <c r="MOK1" s="18"/>
      <c r="MOL1" s="18"/>
      <c r="MOM1" s="18"/>
      <c r="MON1" s="18"/>
      <c r="MOO1" s="18"/>
      <c r="MOP1" s="18"/>
      <c r="MOQ1" s="18"/>
      <c r="MOR1" s="18"/>
      <c r="MOS1" s="18"/>
      <c r="MOT1" s="18"/>
      <c r="MOU1" s="18"/>
      <c r="MOV1" s="18"/>
      <c r="MOW1" s="18"/>
      <c r="MOX1" s="18"/>
      <c r="MOY1" s="18"/>
      <c r="MOZ1" s="18"/>
      <c r="MPA1" s="18"/>
      <c r="MPB1" s="18"/>
      <c r="MPC1" s="18"/>
      <c r="MPD1" s="18"/>
      <c r="MPE1" s="18"/>
      <c r="MPF1" s="18"/>
      <c r="MPG1" s="18"/>
      <c r="MPH1" s="18"/>
      <c r="MPI1" s="18"/>
      <c r="MPJ1" s="18"/>
      <c r="MPK1" s="18"/>
      <c r="MPL1" s="18"/>
      <c r="MPM1" s="18"/>
      <c r="MPN1" s="18"/>
      <c r="MPO1" s="18"/>
      <c r="MPP1" s="18"/>
      <c r="MPQ1" s="18"/>
      <c r="MPR1" s="18"/>
      <c r="MPS1" s="18"/>
      <c r="MPT1" s="18"/>
      <c r="MPU1" s="18"/>
      <c r="MPV1" s="18"/>
      <c r="MPW1" s="18"/>
      <c r="MPX1" s="18"/>
      <c r="MPY1" s="18"/>
      <c r="MPZ1" s="18"/>
      <c r="MQA1" s="18"/>
      <c r="MQB1" s="18"/>
      <c r="MQC1" s="18"/>
      <c r="MQD1" s="18"/>
      <c r="MQE1" s="18"/>
      <c r="MQF1" s="18"/>
      <c r="MQG1" s="18"/>
      <c r="MQH1" s="18"/>
      <c r="MQI1" s="18"/>
      <c r="MQJ1" s="18"/>
      <c r="MQK1" s="18"/>
      <c r="MQL1" s="18"/>
      <c r="MQM1" s="18"/>
      <c r="MQN1" s="18"/>
      <c r="MQO1" s="18"/>
      <c r="MQP1" s="18"/>
      <c r="MQQ1" s="18"/>
      <c r="MQR1" s="18"/>
      <c r="MQS1" s="18"/>
      <c r="MQT1" s="18"/>
      <c r="MQU1" s="18"/>
      <c r="MQV1" s="18"/>
      <c r="MQW1" s="18"/>
      <c r="MQX1" s="18"/>
      <c r="MQY1" s="18"/>
      <c r="MQZ1" s="18"/>
      <c r="MRA1" s="18"/>
      <c r="MRB1" s="18"/>
      <c r="MRC1" s="18"/>
      <c r="MRD1" s="18"/>
      <c r="MRE1" s="18"/>
      <c r="MRF1" s="18"/>
      <c r="MRG1" s="18"/>
      <c r="MRH1" s="18"/>
      <c r="MRI1" s="18"/>
      <c r="MRJ1" s="18"/>
      <c r="MRK1" s="18"/>
      <c r="MRL1" s="18"/>
      <c r="MRM1" s="18"/>
      <c r="MRN1" s="18"/>
      <c r="MRO1" s="18"/>
      <c r="MRP1" s="18"/>
      <c r="MRQ1" s="18"/>
      <c r="MRR1" s="18"/>
      <c r="MRS1" s="18"/>
      <c r="MRT1" s="18"/>
      <c r="MRU1" s="18"/>
      <c r="MRV1" s="18"/>
      <c r="MRW1" s="18"/>
      <c r="MRX1" s="18"/>
      <c r="MRY1" s="18"/>
      <c r="MRZ1" s="18"/>
      <c r="MSA1" s="18"/>
      <c r="MSB1" s="18"/>
      <c r="MSC1" s="18"/>
      <c r="MSD1" s="18"/>
      <c r="MSE1" s="18"/>
      <c r="MSF1" s="18"/>
      <c r="MSG1" s="18"/>
      <c r="MSH1" s="18"/>
      <c r="MSI1" s="18"/>
      <c r="MSJ1" s="18"/>
      <c r="MSK1" s="18"/>
      <c r="MSL1" s="18"/>
      <c r="MSM1" s="18"/>
      <c r="MSN1" s="18"/>
      <c r="MSO1" s="18"/>
      <c r="MSP1" s="18"/>
      <c r="MSQ1" s="18"/>
      <c r="MSR1" s="18"/>
      <c r="MSS1" s="18"/>
      <c r="MST1" s="18"/>
      <c r="MSU1" s="18"/>
      <c r="MSV1" s="18"/>
      <c r="MSW1" s="18"/>
      <c r="MSX1" s="18"/>
      <c r="MSY1" s="18"/>
      <c r="MSZ1" s="18"/>
      <c r="MTA1" s="18"/>
      <c r="MTB1" s="18"/>
      <c r="MTC1" s="18"/>
      <c r="MTD1" s="18"/>
      <c r="MTE1" s="18"/>
      <c r="MTF1" s="18"/>
      <c r="MTG1" s="18"/>
      <c r="MTH1" s="18"/>
      <c r="MTI1" s="18"/>
      <c r="MTJ1" s="18"/>
      <c r="MTK1" s="18"/>
      <c r="MTL1" s="18"/>
      <c r="MTM1" s="18"/>
      <c r="MTN1" s="18"/>
      <c r="MTO1" s="18"/>
      <c r="MTP1" s="18"/>
      <c r="MTQ1" s="18"/>
      <c r="MTR1" s="18"/>
      <c r="MTS1" s="18"/>
      <c r="MTT1" s="18"/>
      <c r="MTU1" s="18"/>
      <c r="MTV1" s="18"/>
      <c r="MTW1" s="18"/>
      <c r="MTX1" s="18"/>
      <c r="MTY1" s="18"/>
      <c r="MTZ1" s="18"/>
      <c r="MUA1" s="18"/>
      <c r="MUB1" s="18"/>
      <c r="MUC1" s="18"/>
      <c r="MUD1" s="18"/>
      <c r="MUE1" s="18"/>
      <c r="MUF1" s="18"/>
      <c r="MUG1" s="18"/>
      <c r="MUH1" s="18"/>
      <c r="MUI1" s="18"/>
      <c r="MUJ1" s="18"/>
      <c r="MUK1" s="18"/>
      <c r="MUL1" s="18"/>
      <c r="MUM1" s="18"/>
      <c r="MUN1" s="18"/>
      <c r="MUO1" s="18"/>
      <c r="MUP1" s="18"/>
      <c r="MUQ1" s="18"/>
      <c r="MUR1" s="18"/>
      <c r="MUS1" s="18"/>
      <c r="MUT1" s="18"/>
      <c r="MUU1" s="18"/>
      <c r="MUV1" s="18"/>
      <c r="MUW1" s="18"/>
      <c r="MUX1" s="18"/>
      <c r="MUY1" s="18"/>
      <c r="MUZ1" s="18"/>
      <c r="MVA1" s="18"/>
      <c r="MVB1" s="18"/>
      <c r="MVC1" s="18"/>
      <c r="MVD1" s="18"/>
      <c r="MVE1" s="18"/>
      <c r="MVF1" s="18"/>
      <c r="MVG1" s="18"/>
      <c r="MVH1" s="18"/>
      <c r="MVI1" s="18"/>
      <c r="MVJ1" s="18"/>
      <c r="MVK1" s="18"/>
      <c r="MVL1" s="18"/>
      <c r="MVM1" s="18"/>
      <c r="MVN1" s="18"/>
      <c r="MVO1" s="18"/>
      <c r="MVP1" s="18"/>
      <c r="MVQ1" s="18"/>
      <c r="MVR1" s="18"/>
      <c r="MVS1" s="18"/>
      <c r="MVT1" s="18"/>
      <c r="MVU1" s="18"/>
      <c r="MVV1" s="18"/>
      <c r="MVW1" s="18"/>
      <c r="MVX1" s="18"/>
      <c r="MVY1" s="18"/>
      <c r="MVZ1" s="18"/>
      <c r="MWA1" s="18"/>
      <c r="MWB1" s="18"/>
      <c r="MWC1" s="18"/>
      <c r="MWD1" s="18"/>
      <c r="MWE1" s="18"/>
      <c r="MWF1" s="18"/>
      <c r="MWG1" s="18"/>
      <c r="MWH1" s="18"/>
      <c r="MWI1" s="18"/>
      <c r="MWJ1" s="18"/>
      <c r="MWK1" s="18"/>
      <c r="MWL1" s="18"/>
      <c r="MWM1" s="18"/>
      <c r="MWN1" s="18"/>
      <c r="MWO1" s="18"/>
      <c r="MWP1" s="18"/>
      <c r="MWQ1" s="18"/>
      <c r="MWR1" s="18"/>
      <c r="MWS1" s="18"/>
      <c r="MWT1" s="18"/>
      <c r="MWU1" s="18"/>
      <c r="MWV1" s="18"/>
      <c r="MWW1" s="18"/>
      <c r="MWX1" s="18"/>
      <c r="MWY1" s="18"/>
      <c r="MWZ1" s="18"/>
      <c r="MXA1" s="18"/>
      <c r="MXB1" s="18"/>
      <c r="MXC1" s="18"/>
      <c r="MXD1" s="18"/>
      <c r="MXE1" s="18"/>
      <c r="MXF1" s="18"/>
      <c r="MXG1" s="18"/>
      <c r="MXH1" s="18"/>
      <c r="MXI1" s="18"/>
      <c r="MXJ1" s="18"/>
      <c r="MXK1" s="18"/>
      <c r="MXL1" s="18"/>
      <c r="MXM1" s="18"/>
      <c r="MXN1" s="18"/>
      <c r="MXO1" s="18"/>
      <c r="MXP1" s="18"/>
      <c r="MXQ1" s="18"/>
      <c r="MXR1" s="18"/>
      <c r="MXS1" s="18"/>
      <c r="MXT1" s="18"/>
      <c r="MXU1" s="18"/>
      <c r="MXV1" s="18"/>
      <c r="MXW1" s="18"/>
      <c r="MXX1" s="18"/>
      <c r="MXY1" s="18"/>
      <c r="MXZ1" s="18"/>
      <c r="MYA1" s="18"/>
      <c r="MYB1" s="18"/>
      <c r="MYC1" s="18"/>
      <c r="MYD1" s="18"/>
      <c r="MYE1" s="18"/>
      <c r="MYF1" s="18"/>
      <c r="MYG1" s="18"/>
      <c r="MYH1" s="18"/>
      <c r="MYI1" s="18"/>
      <c r="MYJ1" s="18"/>
      <c r="MYK1" s="18"/>
      <c r="MYL1" s="18"/>
      <c r="MYM1" s="18"/>
      <c r="MYN1" s="18"/>
      <c r="MYO1" s="18"/>
      <c r="MYP1" s="18"/>
      <c r="MYQ1" s="18"/>
      <c r="MYR1" s="18"/>
      <c r="MYS1" s="18"/>
      <c r="MYT1" s="18"/>
      <c r="MYU1" s="18"/>
      <c r="MYV1" s="18"/>
      <c r="MYW1" s="18"/>
      <c r="MYX1" s="18"/>
      <c r="MYY1" s="18"/>
      <c r="MYZ1" s="18"/>
      <c r="MZA1" s="18"/>
      <c r="MZB1" s="18"/>
      <c r="MZC1" s="18"/>
      <c r="MZD1" s="18"/>
      <c r="MZE1" s="18"/>
      <c r="MZF1" s="18"/>
      <c r="MZG1" s="18"/>
      <c r="MZH1" s="18"/>
      <c r="MZI1" s="18"/>
      <c r="MZJ1" s="18"/>
      <c r="MZK1" s="18"/>
      <c r="MZL1" s="18"/>
      <c r="MZM1" s="18"/>
      <c r="MZN1" s="18"/>
      <c r="MZO1" s="18"/>
      <c r="MZP1" s="18"/>
      <c r="MZQ1" s="18"/>
      <c r="MZR1" s="18"/>
      <c r="MZS1" s="18"/>
      <c r="MZT1" s="18"/>
      <c r="MZU1" s="18"/>
      <c r="MZV1" s="18"/>
      <c r="MZW1" s="18"/>
      <c r="MZX1" s="18"/>
      <c r="MZY1" s="18"/>
      <c r="MZZ1" s="18"/>
      <c r="NAA1" s="18"/>
      <c r="NAB1" s="18"/>
      <c r="NAC1" s="18"/>
      <c r="NAD1" s="18"/>
      <c r="NAE1" s="18"/>
      <c r="NAF1" s="18"/>
      <c r="NAG1" s="18"/>
      <c r="NAH1" s="18"/>
      <c r="NAI1" s="18"/>
      <c r="NAJ1" s="18"/>
      <c r="NAK1" s="18"/>
      <c r="NAL1" s="18"/>
      <c r="NAM1" s="18"/>
      <c r="NAN1" s="18"/>
      <c r="NAO1" s="18"/>
      <c r="NAP1" s="18"/>
      <c r="NAQ1" s="18"/>
      <c r="NAR1" s="18"/>
      <c r="NAS1" s="18"/>
      <c r="NAT1" s="18"/>
      <c r="NAU1" s="18"/>
      <c r="NAV1" s="18"/>
      <c r="NAW1" s="18"/>
      <c r="NAX1" s="18"/>
      <c r="NAY1" s="18"/>
      <c r="NAZ1" s="18"/>
      <c r="NBA1" s="18"/>
      <c r="NBB1" s="18"/>
      <c r="NBC1" s="18"/>
      <c r="NBD1" s="18"/>
      <c r="NBE1" s="18"/>
      <c r="NBF1" s="18"/>
      <c r="NBG1" s="18"/>
      <c r="NBH1" s="18"/>
      <c r="NBI1" s="18"/>
      <c r="NBJ1" s="18"/>
      <c r="NBK1" s="18"/>
      <c r="NBL1" s="18"/>
      <c r="NBM1" s="18"/>
      <c r="NBN1" s="18"/>
      <c r="NBO1" s="18"/>
      <c r="NBP1" s="18"/>
      <c r="NBQ1" s="18"/>
      <c r="NBR1" s="18"/>
      <c r="NBS1" s="18"/>
      <c r="NBT1" s="18"/>
      <c r="NBU1" s="18"/>
      <c r="NBV1" s="18"/>
      <c r="NBW1" s="18"/>
      <c r="NBX1" s="18"/>
      <c r="NBY1" s="18"/>
      <c r="NBZ1" s="18"/>
      <c r="NCA1" s="18"/>
      <c r="NCB1" s="18"/>
      <c r="NCC1" s="18"/>
      <c r="NCD1" s="18"/>
      <c r="NCE1" s="18"/>
      <c r="NCF1" s="18"/>
      <c r="NCG1" s="18"/>
      <c r="NCH1" s="18"/>
      <c r="NCI1" s="18"/>
      <c r="NCJ1" s="18"/>
      <c r="NCK1" s="18"/>
      <c r="NCL1" s="18"/>
      <c r="NCM1" s="18"/>
      <c r="NCN1" s="18"/>
      <c r="NCO1" s="18"/>
      <c r="NCP1" s="18"/>
      <c r="NCQ1" s="18"/>
      <c r="NCR1" s="18"/>
      <c r="NCS1" s="18"/>
      <c r="NCT1" s="18"/>
      <c r="NCU1" s="18"/>
      <c r="NCV1" s="18"/>
      <c r="NCW1" s="18"/>
      <c r="NCX1" s="18"/>
      <c r="NCY1" s="18"/>
      <c r="NCZ1" s="18"/>
      <c r="NDA1" s="18"/>
      <c r="NDB1" s="18"/>
      <c r="NDC1" s="18"/>
      <c r="NDD1" s="18"/>
      <c r="NDE1" s="18"/>
      <c r="NDF1" s="18"/>
      <c r="NDG1" s="18"/>
      <c r="NDH1" s="18"/>
      <c r="NDI1" s="18"/>
      <c r="NDJ1" s="18"/>
      <c r="NDK1" s="18"/>
      <c r="NDL1" s="18"/>
      <c r="NDM1" s="18"/>
      <c r="NDN1" s="18"/>
      <c r="NDO1" s="18"/>
      <c r="NDP1" s="18"/>
      <c r="NDQ1" s="18"/>
      <c r="NDR1" s="18"/>
      <c r="NDS1" s="18"/>
      <c r="NDT1" s="18"/>
      <c r="NDU1" s="18"/>
      <c r="NDV1" s="18"/>
      <c r="NDW1" s="18"/>
      <c r="NDX1" s="18"/>
      <c r="NDY1" s="18"/>
      <c r="NDZ1" s="18"/>
      <c r="NEA1" s="18"/>
      <c r="NEB1" s="18"/>
      <c r="NEC1" s="18"/>
      <c r="NED1" s="18"/>
      <c r="NEE1" s="18"/>
      <c r="NEF1" s="18"/>
      <c r="NEG1" s="18"/>
      <c r="NEH1" s="18"/>
      <c r="NEI1" s="18"/>
      <c r="NEJ1" s="18"/>
      <c r="NEK1" s="18"/>
      <c r="NEL1" s="18"/>
      <c r="NEM1" s="18"/>
      <c r="NEN1" s="18"/>
      <c r="NEO1" s="18"/>
      <c r="NEP1" s="18"/>
      <c r="NEQ1" s="18"/>
      <c r="NER1" s="18"/>
      <c r="NES1" s="18"/>
      <c r="NET1" s="18"/>
      <c r="NEU1" s="18"/>
      <c r="NEV1" s="18"/>
      <c r="NEW1" s="18"/>
      <c r="NEX1" s="18"/>
      <c r="NEY1" s="18"/>
      <c r="NEZ1" s="18"/>
      <c r="NFA1" s="18"/>
      <c r="NFB1" s="18"/>
      <c r="NFC1" s="18"/>
      <c r="NFD1" s="18"/>
      <c r="NFE1" s="18"/>
      <c r="NFF1" s="18"/>
      <c r="NFG1" s="18"/>
      <c r="NFH1" s="18"/>
      <c r="NFI1" s="18"/>
      <c r="NFJ1" s="18"/>
      <c r="NFK1" s="18"/>
      <c r="NFL1" s="18"/>
      <c r="NFM1" s="18"/>
      <c r="NFN1" s="18"/>
      <c r="NFO1" s="18"/>
      <c r="NFP1" s="18"/>
      <c r="NFQ1" s="18"/>
      <c r="NFR1" s="18"/>
      <c r="NFS1" s="18"/>
      <c r="NFT1" s="18"/>
      <c r="NFU1" s="18"/>
      <c r="NFV1" s="18"/>
      <c r="NFW1" s="18"/>
      <c r="NFX1" s="18"/>
      <c r="NFY1" s="18"/>
      <c r="NFZ1" s="18"/>
      <c r="NGA1" s="18"/>
      <c r="NGB1" s="18"/>
      <c r="NGC1" s="18"/>
      <c r="NGD1" s="18"/>
      <c r="NGE1" s="18"/>
      <c r="NGF1" s="18"/>
      <c r="NGG1" s="18"/>
      <c r="NGH1" s="18"/>
      <c r="NGI1" s="18"/>
      <c r="NGJ1" s="18"/>
      <c r="NGK1" s="18"/>
      <c r="NGL1" s="18"/>
      <c r="NGM1" s="18"/>
      <c r="NGN1" s="18"/>
      <c r="NGO1" s="18"/>
      <c r="NGP1" s="18"/>
      <c r="NGQ1" s="18"/>
      <c r="NGR1" s="18"/>
      <c r="NGS1" s="18"/>
      <c r="NGT1" s="18"/>
      <c r="NGU1" s="18"/>
      <c r="NGV1" s="18"/>
      <c r="NGW1" s="18"/>
      <c r="NGX1" s="18"/>
      <c r="NGY1" s="18"/>
      <c r="NGZ1" s="18"/>
      <c r="NHA1" s="18"/>
      <c r="NHB1" s="18"/>
      <c r="NHC1" s="18"/>
      <c r="NHD1" s="18"/>
      <c r="NHE1" s="18"/>
      <c r="NHF1" s="18"/>
      <c r="NHG1" s="18"/>
      <c r="NHH1" s="18"/>
      <c r="NHI1" s="18"/>
      <c r="NHJ1" s="18"/>
      <c r="NHK1" s="18"/>
      <c r="NHL1" s="18"/>
      <c r="NHM1" s="18"/>
      <c r="NHN1" s="18"/>
      <c r="NHO1" s="18"/>
      <c r="NHP1" s="18"/>
      <c r="NHQ1" s="18"/>
      <c r="NHR1" s="18"/>
      <c r="NHS1" s="18"/>
      <c r="NHT1" s="18"/>
      <c r="NHU1" s="18"/>
      <c r="NHV1" s="18"/>
      <c r="NHW1" s="18"/>
      <c r="NHX1" s="18"/>
      <c r="NHY1" s="18"/>
      <c r="NHZ1" s="18"/>
      <c r="NIA1" s="18"/>
      <c r="NIB1" s="18"/>
      <c r="NIC1" s="18"/>
      <c r="NID1" s="18"/>
      <c r="NIE1" s="18"/>
      <c r="NIF1" s="18"/>
      <c r="NIG1" s="18"/>
      <c r="NIH1" s="18"/>
      <c r="NII1" s="18"/>
      <c r="NIJ1" s="18"/>
      <c r="NIK1" s="18"/>
      <c r="NIL1" s="18"/>
      <c r="NIM1" s="18"/>
      <c r="NIN1" s="18"/>
      <c r="NIO1" s="18"/>
      <c r="NIP1" s="18"/>
      <c r="NIQ1" s="18"/>
      <c r="NIR1" s="18"/>
      <c r="NIS1" s="18"/>
      <c r="NIT1" s="18"/>
      <c r="NIU1" s="18"/>
      <c r="NIV1" s="18"/>
      <c r="NIW1" s="18"/>
      <c r="NIX1" s="18"/>
      <c r="NIY1" s="18"/>
      <c r="NIZ1" s="18"/>
      <c r="NJA1" s="18"/>
      <c r="NJB1" s="18"/>
      <c r="NJC1" s="18"/>
      <c r="NJD1" s="18"/>
      <c r="NJE1" s="18"/>
      <c r="NJF1" s="18"/>
      <c r="NJG1" s="18"/>
      <c r="NJH1" s="18"/>
      <c r="NJI1" s="18"/>
      <c r="NJJ1" s="18"/>
      <c r="NJK1" s="18"/>
      <c r="NJL1" s="18"/>
      <c r="NJM1" s="18"/>
      <c r="NJN1" s="18"/>
      <c r="NJO1" s="18"/>
      <c r="NJP1" s="18"/>
      <c r="NJQ1" s="18"/>
      <c r="NJR1" s="18"/>
      <c r="NJS1" s="18"/>
      <c r="NJT1" s="18"/>
      <c r="NJU1" s="18"/>
      <c r="NJV1" s="18"/>
      <c r="NJW1" s="18"/>
      <c r="NJX1" s="18"/>
      <c r="NJY1" s="18"/>
      <c r="NJZ1" s="18"/>
      <c r="NKA1" s="18"/>
      <c r="NKB1" s="18"/>
      <c r="NKC1" s="18"/>
      <c r="NKD1" s="18"/>
      <c r="NKE1" s="18"/>
      <c r="NKF1" s="18"/>
      <c r="NKG1" s="18"/>
      <c r="NKH1" s="18"/>
      <c r="NKI1" s="18"/>
      <c r="NKJ1" s="18"/>
      <c r="NKK1" s="18"/>
      <c r="NKL1" s="18"/>
      <c r="NKM1" s="18"/>
      <c r="NKN1" s="18"/>
      <c r="NKO1" s="18"/>
      <c r="NKP1" s="18"/>
      <c r="NKQ1" s="18"/>
      <c r="NKR1" s="18"/>
      <c r="NKS1" s="18"/>
      <c r="NKT1" s="18"/>
      <c r="NKU1" s="18"/>
      <c r="NKV1" s="18"/>
      <c r="NKW1" s="18"/>
      <c r="NKX1" s="18"/>
      <c r="NKY1" s="18"/>
      <c r="NKZ1" s="18"/>
      <c r="NLA1" s="18"/>
      <c r="NLB1" s="18"/>
      <c r="NLC1" s="18"/>
      <c r="NLD1" s="18"/>
      <c r="NLE1" s="18"/>
      <c r="NLF1" s="18"/>
      <c r="NLG1" s="18"/>
      <c r="NLH1" s="18"/>
      <c r="NLI1" s="18"/>
      <c r="NLJ1" s="18"/>
      <c r="NLK1" s="18"/>
      <c r="NLL1" s="18"/>
      <c r="NLM1" s="18"/>
      <c r="NLN1" s="18"/>
      <c r="NLO1" s="18"/>
      <c r="NLP1" s="18"/>
      <c r="NLQ1" s="18"/>
      <c r="NLR1" s="18"/>
      <c r="NLS1" s="18"/>
      <c r="NLT1" s="18"/>
      <c r="NLU1" s="18"/>
      <c r="NLV1" s="18"/>
      <c r="NLW1" s="18"/>
      <c r="NLX1" s="18"/>
      <c r="NLY1" s="18"/>
      <c r="NLZ1" s="18"/>
      <c r="NMA1" s="18"/>
      <c r="NMB1" s="18"/>
      <c r="NMC1" s="18"/>
      <c r="NMD1" s="18"/>
      <c r="NME1" s="18"/>
      <c r="NMF1" s="18"/>
      <c r="NMG1" s="18"/>
      <c r="NMH1" s="18"/>
      <c r="NMI1" s="18"/>
      <c r="NMJ1" s="18"/>
      <c r="NMK1" s="18"/>
      <c r="NML1" s="18"/>
      <c r="NMM1" s="18"/>
      <c r="NMN1" s="18"/>
      <c r="NMO1" s="18"/>
      <c r="NMP1" s="18"/>
      <c r="NMQ1" s="18"/>
      <c r="NMR1" s="18"/>
      <c r="NMS1" s="18"/>
      <c r="NMT1" s="18"/>
      <c r="NMU1" s="18"/>
      <c r="NMV1" s="18"/>
      <c r="NMW1" s="18"/>
      <c r="NMX1" s="18"/>
      <c r="NMY1" s="18"/>
      <c r="NMZ1" s="18"/>
      <c r="NNA1" s="18"/>
      <c r="NNB1" s="18"/>
      <c r="NNC1" s="18"/>
      <c r="NND1" s="18"/>
      <c r="NNE1" s="18"/>
      <c r="NNF1" s="18"/>
      <c r="NNG1" s="18"/>
      <c r="NNH1" s="18"/>
      <c r="NNI1" s="18"/>
      <c r="NNJ1" s="18"/>
      <c r="NNK1" s="18"/>
      <c r="NNL1" s="18"/>
      <c r="NNM1" s="18"/>
      <c r="NNN1" s="18"/>
      <c r="NNO1" s="18"/>
      <c r="NNP1" s="18"/>
      <c r="NNQ1" s="18"/>
      <c r="NNR1" s="18"/>
      <c r="NNS1" s="18"/>
      <c r="NNT1" s="18"/>
      <c r="NNU1" s="18"/>
      <c r="NNV1" s="18"/>
      <c r="NNW1" s="18"/>
      <c r="NNX1" s="18"/>
      <c r="NNY1" s="18"/>
      <c r="NNZ1" s="18"/>
      <c r="NOA1" s="18"/>
      <c r="NOB1" s="18"/>
      <c r="NOC1" s="18"/>
      <c r="NOD1" s="18"/>
      <c r="NOE1" s="18"/>
      <c r="NOF1" s="18"/>
      <c r="NOG1" s="18"/>
      <c r="NOH1" s="18"/>
      <c r="NOI1" s="18"/>
      <c r="NOJ1" s="18"/>
      <c r="NOK1" s="18"/>
      <c r="NOL1" s="18"/>
      <c r="NOM1" s="18"/>
      <c r="NON1" s="18"/>
      <c r="NOO1" s="18"/>
      <c r="NOP1" s="18"/>
      <c r="NOQ1" s="18"/>
      <c r="NOR1" s="18"/>
      <c r="NOS1" s="18"/>
      <c r="NOT1" s="18"/>
      <c r="NOU1" s="18"/>
      <c r="NOV1" s="18"/>
      <c r="NOW1" s="18"/>
      <c r="NOX1" s="18"/>
      <c r="NOY1" s="18"/>
      <c r="NOZ1" s="18"/>
      <c r="NPA1" s="18"/>
      <c r="NPB1" s="18"/>
      <c r="NPC1" s="18"/>
      <c r="NPD1" s="18"/>
      <c r="NPE1" s="18"/>
      <c r="NPF1" s="18"/>
      <c r="NPG1" s="18"/>
      <c r="NPH1" s="18"/>
      <c r="NPI1" s="18"/>
      <c r="NPJ1" s="18"/>
      <c r="NPK1" s="18"/>
      <c r="NPL1" s="18"/>
      <c r="NPM1" s="18"/>
      <c r="NPN1" s="18"/>
      <c r="NPO1" s="18"/>
      <c r="NPP1" s="18"/>
      <c r="NPQ1" s="18"/>
      <c r="NPR1" s="18"/>
      <c r="NPS1" s="18"/>
      <c r="NPT1" s="18"/>
      <c r="NPU1" s="18"/>
      <c r="NPV1" s="18"/>
      <c r="NPW1" s="18"/>
      <c r="NPX1" s="18"/>
      <c r="NPY1" s="18"/>
      <c r="NPZ1" s="18"/>
      <c r="NQA1" s="18"/>
      <c r="NQB1" s="18"/>
      <c r="NQC1" s="18"/>
      <c r="NQD1" s="18"/>
      <c r="NQE1" s="18"/>
      <c r="NQF1" s="18"/>
      <c r="NQG1" s="18"/>
      <c r="NQH1" s="18"/>
      <c r="NQI1" s="18"/>
      <c r="NQJ1" s="18"/>
      <c r="NQK1" s="18"/>
      <c r="NQL1" s="18"/>
      <c r="NQM1" s="18"/>
      <c r="NQN1" s="18"/>
      <c r="NQO1" s="18"/>
      <c r="NQP1" s="18"/>
      <c r="NQQ1" s="18"/>
      <c r="NQR1" s="18"/>
      <c r="NQS1" s="18"/>
      <c r="NQT1" s="18"/>
      <c r="NQU1" s="18"/>
      <c r="NQV1" s="18"/>
      <c r="NQW1" s="18"/>
      <c r="NQX1" s="18"/>
      <c r="NQY1" s="18"/>
      <c r="NQZ1" s="18"/>
      <c r="NRA1" s="18"/>
      <c r="NRB1" s="18"/>
      <c r="NRC1" s="18"/>
      <c r="NRD1" s="18"/>
      <c r="NRE1" s="18"/>
      <c r="NRF1" s="18"/>
      <c r="NRG1" s="18"/>
      <c r="NRH1" s="18"/>
      <c r="NRI1" s="18"/>
      <c r="NRJ1" s="18"/>
      <c r="NRK1" s="18"/>
      <c r="NRL1" s="18"/>
      <c r="NRM1" s="18"/>
      <c r="NRN1" s="18"/>
      <c r="NRO1" s="18"/>
      <c r="NRP1" s="18"/>
      <c r="NRQ1" s="18"/>
      <c r="NRR1" s="18"/>
      <c r="NRS1" s="18"/>
      <c r="NRT1" s="18"/>
      <c r="NRU1" s="18"/>
      <c r="NRV1" s="18"/>
      <c r="NRW1" s="18"/>
      <c r="NRX1" s="18"/>
      <c r="NRY1" s="18"/>
      <c r="NRZ1" s="18"/>
      <c r="NSA1" s="18"/>
      <c r="NSB1" s="18"/>
      <c r="NSC1" s="18"/>
      <c r="NSD1" s="18"/>
      <c r="NSE1" s="18"/>
      <c r="NSF1" s="18"/>
      <c r="NSG1" s="18"/>
      <c r="NSH1" s="18"/>
      <c r="NSI1" s="18"/>
      <c r="NSJ1" s="18"/>
      <c r="NSK1" s="18"/>
      <c r="NSL1" s="18"/>
      <c r="NSM1" s="18"/>
      <c r="NSN1" s="18"/>
      <c r="NSO1" s="18"/>
      <c r="NSP1" s="18"/>
      <c r="NSQ1" s="18"/>
      <c r="NSR1" s="18"/>
      <c r="NSS1" s="18"/>
      <c r="NST1" s="18"/>
      <c r="NSU1" s="18"/>
      <c r="NSV1" s="18"/>
      <c r="NSW1" s="18"/>
      <c r="NSX1" s="18"/>
      <c r="NSY1" s="18"/>
      <c r="NSZ1" s="18"/>
      <c r="NTA1" s="18"/>
      <c r="NTB1" s="18"/>
      <c r="NTC1" s="18"/>
      <c r="NTD1" s="18"/>
      <c r="NTE1" s="18"/>
      <c r="NTF1" s="18"/>
      <c r="NTG1" s="18"/>
      <c r="NTH1" s="18"/>
      <c r="NTI1" s="18"/>
      <c r="NTJ1" s="18"/>
      <c r="NTK1" s="18"/>
      <c r="NTL1" s="18"/>
      <c r="NTM1" s="18"/>
      <c r="NTN1" s="18"/>
      <c r="NTO1" s="18"/>
      <c r="NTP1" s="18"/>
      <c r="NTQ1" s="18"/>
      <c r="NTR1" s="18"/>
      <c r="NTS1" s="18"/>
      <c r="NTT1" s="18"/>
      <c r="NTU1" s="18"/>
      <c r="NTV1" s="18"/>
      <c r="NTW1" s="18"/>
      <c r="NTX1" s="18"/>
      <c r="NTY1" s="18"/>
      <c r="NTZ1" s="18"/>
      <c r="NUA1" s="18"/>
      <c r="NUB1" s="18"/>
      <c r="NUC1" s="18"/>
      <c r="NUD1" s="18"/>
      <c r="NUE1" s="18"/>
      <c r="NUF1" s="18"/>
      <c r="NUG1" s="18"/>
      <c r="NUH1" s="18"/>
      <c r="NUI1" s="18"/>
      <c r="NUJ1" s="18"/>
      <c r="NUK1" s="18"/>
      <c r="NUL1" s="18"/>
      <c r="NUM1" s="18"/>
      <c r="NUN1" s="18"/>
      <c r="NUO1" s="18"/>
      <c r="NUP1" s="18"/>
      <c r="NUQ1" s="18"/>
      <c r="NUR1" s="18"/>
      <c r="NUS1" s="18"/>
      <c r="NUT1" s="18"/>
      <c r="NUU1" s="18"/>
      <c r="NUV1" s="18"/>
      <c r="NUW1" s="18"/>
      <c r="NUX1" s="18"/>
      <c r="NUY1" s="18"/>
      <c r="NUZ1" s="18"/>
      <c r="NVA1" s="18"/>
      <c r="NVB1" s="18"/>
      <c r="NVC1" s="18"/>
      <c r="NVD1" s="18"/>
      <c r="NVE1" s="18"/>
      <c r="NVF1" s="18"/>
      <c r="NVG1" s="18"/>
      <c r="NVH1" s="18"/>
      <c r="NVI1" s="18"/>
      <c r="NVJ1" s="18"/>
      <c r="NVK1" s="18"/>
      <c r="NVL1" s="18"/>
      <c r="NVM1" s="18"/>
      <c r="NVN1" s="18"/>
      <c r="NVO1" s="18"/>
      <c r="NVP1" s="18"/>
      <c r="NVQ1" s="18"/>
      <c r="NVR1" s="18"/>
      <c r="NVS1" s="18"/>
      <c r="NVT1" s="18"/>
      <c r="NVU1" s="18"/>
      <c r="NVV1" s="18"/>
      <c r="NVW1" s="18"/>
      <c r="NVX1" s="18"/>
      <c r="NVY1" s="18"/>
      <c r="NVZ1" s="18"/>
      <c r="NWA1" s="18"/>
      <c r="NWB1" s="18"/>
      <c r="NWC1" s="18"/>
      <c r="NWD1" s="18"/>
      <c r="NWE1" s="18"/>
      <c r="NWF1" s="18"/>
      <c r="NWG1" s="18"/>
      <c r="NWH1" s="18"/>
      <c r="NWI1" s="18"/>
      <c r="NWJ1" s="18"/>
      <c r="NWK1" s="18"/>
      <c r="NWL1" s="18"/>
      <c r="NWM1" s="18"/>
      <c r="NWN1" s="18"/>
      <c r="NWO1" s="18"/>
      <c r="NWP1" s="18"/>
      <c r="NWQ1" s="18"/>
      <c r="NWR1" s="18"/>
      <c r="NWS1" s="18"/>
      <c r="NWT1" s="18"/>
      <c r="NWU1" s="18"/>
      <c r="NWV1" s="18"/>
      <c r="NWW1" s="18"/>
      <c r="NWX1" s="18"/>
      <c r="NWY1" s="18"/>
      <c r="NWZ1" s="18"/>
      <c r="NXA1" s="18"/>
      <c r="NXB1" s="18"/>
      <c r="NXC1" s="18"/>
      <c r="NXD1" s="18"/>
      <c r="NXE1" s="18"/>
      <c r="NXF1" s="18"/>
      <c r="NXG1" s="18"/>
      <c r="NXH1" s="18"/>
      <c r="NXI1" s="18"/>
      <c r="NXJ1" s="18"/>
      <c r="NXK1" s="18"/>
      <c r="NXL1" s="18"/>
      <c r="NXM1" s="18"/>
      <c r="NXN1" s="18"/>
      <c r="NXO1" s="18"/>
      <c r="NXP1" s="18"/>
      <c r="NXQ1" s="18"/>
      <c r="NXR1" s="18"/>
      <c r="NXS1" s="18"/>
      <c r="NXT1" s="18"/>
      <c r="NXU1" s="18"/>
      <c r="NXV1" s="18"/>
      <c r="NXW1" s="18"/>
      <c r="NXX1" s="18"/>
      <c r="NXY1" s="18"/>
      <c r="NXZ1" s="18"/>
      <c r="NYA1" s="18"/>
      <c r="NYB1" s="18"/>
      <c r="NYC1" s="18"/>
      <c r="NYD1" s="18"/>
      <c r="NYE1" s="18"/>
      <c r="NYF1" s="18"/>
      <c r="NYG1" s="18"/>
      <c r="NYH1" s="18"/>
      <c r="NYI1" s="18"/>
      <c r="NYJ1" s="18"/>
      <c r="NYK1" s="18"/>
      <c r="NYL1" s="18"/>
      <c r="NYM1" s="18"/>
      <c r="NYN1" s="18"/>
      <c r="NYO1" s="18"/>
      <c r="NYP1" s="18"/>
      <c r="NYQ1" s="18"/>
      <c r="NYR1" s="18"/>
      <c r="NYS1" s="18"/>
      <c r="NYT1" s="18"/>
      <c r="NYU1" s="18"/>
      <c r="NYV1" s="18"/>
      <c r="NYW1" s="18"/>
      <c r="NYX1" s="18"/>
      <c r="NYY1" s="18"/>
      <c r="NYZ1" s="18"/>
      <c r="NZA1" s="18"/>
      <c r="NZB1" s="18"/>
      <c r="NZC1" s="18"/>
      <c r="NZD1" s="18"/>
      <c r="NZE1" s="18"/>
      <c r="NZF1" s="18"/>
      <c r="NZG1" s="18"/>
      <c r="NZH1" s="18"/>
      <c r="NZI1" s="18"/>
      <c r="NZJ1" s="18"/>
      <c r="NZK1" s="18"/>
      <c r="NZL1" s="18"/>
      <c r="NZM1" s="18"/>
      <c r="NZN1" s="18"/>
      <c r="NZO1" s="18"/>
      <c r="NZP1" s="18"/>
      <c r="NZQ1" s="18"/>
      <c r="NZR1" s="18"/>
      <c r="NZS1" s="18"/>
      <c r="NZT1" s="18"/>
      <c r="NZU1" s="18"/>
      <c r="NZV1" s="18"/>
      <c r="NZW1" s="18"/>
      <c r="NZX1" s="18"/>
      <c r="NZY1" s="18"/>
      <c r="NZZ1" s="18"/>
      <c r="OAA1" s="18"/>
      <c r="OAB1" s="18"/>
      <c r="OAC1" s="18"/>
      <c r="OAD1" s="18"/>
      <c r="OAE1" s="18"/>
      <c r="OAF1" s="18"/>
      <c r="OAG1" s="18"/>
      <c r="OAH1" s="18"/>
      <c r="OAI1" s="18"/>
      <c r="OAJ1" s="18"/>
      <c r="OAK1" s="18"/>
      <c r="OAL1" s="18"/>
      <c r="OAM1" s="18"/>
      <c r="OAN1" s="18"/>
      <c r="OAO1" s="18"/>
      <c r="OAP1" s="18"/>
      <c r="OAQ1" s="18"/>
      <c r="OAR1" s="18"/>
      <c r="OAS1" s="18"/>
      <c r="OAT1" s="18"/>
      <c r="OAU1" s="18"/>
      <c r="OAV1" s="18"/>
      <c r="OAW1" s="18"/>
      <c r="OAX1" s="18"/>
      <c r="OAY1" s="18"/>
      <c r="OAZ1" s="18"/>
      <c r="OBA1" s="18"/>
      <c r="OBB1" s="18"/>
      <c r="OBC1" s="18"/>
      <c r="OBD1" s="18"/>
      <c r="OBE1" s="18"/>
      <c r="OBF1" s="18"/>
      <c r="OBG1" s="18"/>
      <c r="OBH1" s="18"/>
      <c r="OBI1" s="18"/>
      <c r="OBJ1" s="18"/>
      <c r="OBK1" s="18"/>
      <c r="OBL1" s="18"/>
      <c r="OBM1" s="18"/>
      <c r="OBN1" s="18"/>
      <c r="OBO1" s="18"/>
      <c r="OBP1" s="18"/>
      <c r="OBQ1" s="18"/>
      <c r="OBR1" s="18"/>
      <c r="OBS1" s="18"/>
      <c r="OBT1" s="18"/>
      <c r="OBU1" s="18"/>
      <c r="OBV1" s="18"/>
      <c r="OBW1" s="18"/>
      <c r="OBX1" s="18"/>
      <c r="OBY1" s="18"/>
      <c r="OBZ1" s="18"/>
      <c r="OCA1" s="18"/>
      <c r="OCB1" s="18"/>
      <c r="OCC1" s="18"/>
      <c r="OCD1" s="18"/>
      <c r="OCE1" s="18"/>
      <c r="OCF1" s="18"/>
      <c r="OCG1" s="18"/>
      <c r="OCH1" s="18"/>
      <c r="OCI1" s="18"/>
      <c r="OCJ1" s="18"/>
      <c r="OCK1" s="18"/>
      <c r="OCL1" s="18"/>
      <c r="OCM1" s="18"/>
      <c r="OCN1" s="18"/>
      <c r="OCO1" s="18"/>
      <c r="OCP1" s="18"/>
      <c r="OCQ1" s="18"/>
      <c r="OCR1" s="18"/>
      <c r="OCS1" s="18"/>
      <c r="OCT1" s="18"/>
      <c r="OCU1" s="18"/>
      <c r="OCV1" s="18"/>
      <c r="OCW1" s="18"/>
      <c r="OCX1" s="18"/>
      <c r="OCY1" s="18"/>
      <c r="OCZ1" s="18"/>
      <c r="ODA1" s="18"/>
      <c r="ODB1" s="18"/>
      <c r="ODC1" s="18"/>
      <c r="ODD1" s="18"/>
      <c r="ODE1" s="18"/>
      <c r="ODF1" s="18"/>
      <c r="ODG1" s="18"/>
      <c r="ODH1" s="18"/>
      <c r="ODI1" s="18"/>
      <c r="ODJ1" s="18"/>
      <c r="ODK1" s="18"/>
      <c r="ODL1" s="18"/>
      <c r="ODM1" s="18"/>
      <c r="ODN1" s="18"/>
      <c r="ODO1" s="18"/>
      <c r="ODP1" s="18"/>
      <c r="ODQ1" s="18"/>
      <c r="ODR1" s="18"/>
      <c r="ODS1" s="18"/>
      <c r="ODT1" s="18"/>
      <c r="ODU1" s="18"/>
      <c r="ODV1" s="18"/>
      <c r="ODW1" s="18"/>
      <c r="ODX1" s="18"/>
      <c r="ODY1" s="18"/>
      <c r="ODZ1" s="18"/>
      <c r="OEA1" s="18"/>
      <c r="OEB1" s="18"/>
      <c r="OEC1" s="18"/>
      <c r="OED1" s="18"/>
      <c r="OEE1" s="18"/>
      <c r="OEF1" s="18"/>
      <c r="OEG1" s="18"/>
      <c r="OEH1" s="18"/>
      <c r="OEI1" s="18"/>
      <c r="OEJ1" s="18"/>
      <c r="OEK1" s="18"/>
      <c r="OEL1" s="18"/>
      <c r="OEM1" s="18"/>
      <c r="OEN1" s="18"/>
      <c r="OEO1" s="18"/>
      <c r="OEP1" s="18"/>
      <c r="OEQ1" s="18"/>
      <c r="OER1" s="18"/>
      <c r="OES1" s="18"/>
      <c r="OET1" s="18"/>
      <c r="OEU1" s="18"/>
      <c r="OEV1" s="18"/>
      <c r="OEW1" s="18"/>
      <c r="OEX1" s="18"/>
      <c r="OEY1" s="18"/>
      <c r="OEZ1" s="18"/>
      <c r="OFA1" s="18"/>
      <c r="OFB1" s="18"/>
      <c r="OFC1" s="18"/>
      <c r="OFD1" s="18"/>
      <c r="OFE1" s="18"/>
      <c r="OFF1" s="18"/>
      <c r="OFG1" s="18"/>
      <c r="OFH1" s="18"/>
      <c r="OFI1" s="18"/>
      <c r="OFJ1" s="18"/>
      <c r="OFK1" s="18"/>
      <c r="OFL1" s="18"/>
      <c r="OFM1" s="18"/>
      <c r="OFN1" s="18"/>
      <c r="OFO1" s="18"/>
      <c r="OFP1" s="18"/>
      <c r="OFQ1" s="18"/>
      <c r="OFR1" s="18"/>
      <c r="OFS1" s="18"/>
      <c r="OFT1" s="18"/>
      <c r="OFU1" s="18"/>
      <c r="OFV1" s="18"/>
      <c r="OFW1" s="18"/>
      <c r="OFX1" s="18"/>
      <c r="OFY1" s="18"/>
      <c r="OFZ1" s="18"/>
      <c r="OGA1" s="18"/>
      <c r="OGB1" s="18"/>
      <c r="OGC1" s="18"/>
      <c r="OGD1" s="18"/>
      <c r="OGE1" s="18"/>
      <c r="OGF1" s="18"/>
      <c r="OGG1" s="18"/>
      <c r="OGH1" s="18"/>
      <c r="OGI1" s="18"/>
      <c r="OGJ1" s="18"/>
      <c r="OGK1" s="18"/>
      <c r="OGL1" s="18"/>
      <c r="OGM1" s="18"/>
      <c r="OGN1" s="18"/>
      <c r="OGO1" s="18"/>
      <c r="OGP1" s="18"/>
      <c r="OGQ1" s="18"/>
      <c r="OGR1" s="18"/>
      <c r="OGS1" s="18"/>
      <c r="OGT1" s="18"/>
      <c r="OGU1" s="18"/>
      <c r="OGV1" s="18"/>
      <c r="OGW1" s="18"/>
      <c r="OGX1" s="18"/>
      <c r="OGY1" s="18"/>
      <c r="OGZ1" s="18"/>
      <c r="OHA1" s="18"/>
      <c r="OHB1" s="18"/>
      <c r="OHC1" s="18"/>
      <c r="OHD1" s="18"/>
      <c r="OHE1" s="18"/>
      <c r="OHF1" s="18"/>
      <c r="OHG1" s="18"/>
      <c r="OHH1" s="18"/>
      <c r="OHI1" s="18"/>
      <c r="OHJ1" s="18"/>
      <c r="OHK1" s="18"/>
      <c r="OHL1" s="18"/>
      <c r="OHM1" s="18"/>
      <c r="OHN1" s="18"/>
      <c r="OHO1" s="18"/>
      <c r="OHP1" s="18"/>
      <c r="OHQ1" s="18"/>
      <c r="OHR1" s="18"/>
      <c r="OHS1" s="18"/>
      <c r="OHT1" s="18"/>
      <c r="OHU1" s="18"/>
      <c r="OHV1" s="18"/>
      <c r="OHW1" s="18"/>
      <c r="OHX1" s="18"/>
      <c r="OHY1" s="18"/>
      <c r="OHZ1" s="18"/>
      <c r="OIA1" s="18"/>
      <c r="OIB1" s="18"/>
      <c r="OIC1" s="18"/>
      <c r="OID1" s="18"/>
      <c r="OIE1" s="18"/>
      <c r="OIF1" s="18"/>
      <c r="OIG1" s="18"/>
      <c r="OIH1" s="18"/>
      <c r="OII1" s="18"/>
      <c r="OIJ1" s="18"/>
      <c r="OIK1" s="18"/>
      <c r="OIL1" s="18"/>
      <c r="OIM1" s="18"/>
      <c r="OIN1" s="18"/>
      <c r="OIO1" s="18"/>
      <c r="OIP1" s="18"/>
      <c r="OIQ1" s="18"/>
      <c r="OIR1" s="18"/>
      <c r="OIS1" s="18"/>
      <c r="OIT1" s="18"/>
      <c r="OIU1" s="18"/>
      <c r="OIV1" s="18"/>
      <c r="OIW1" s="18"/>
      <c r="OIX1" s="18"/>
      <c r="OIY1" s="18"/>
      <c r="OIZ1" s="18"/>
      <c r="OJA1" s="18"/>
      <c r="OJB1" s="18"/>
      <c r="OJC1" s="18"/>
      <c r="OJD1" s="18"/>
      <c r="OJE1" s="18"/>
      <c r="OJF1" s="18"/>
      <c r="OJG1" s="18"/>
      <c r="OJH1" s="18"/>
      <c r="OJI1" s="18"/>
      <c r="OJJ1" s="18"/>
      <c r="OJK1" s="18"/>
      <c r="OJL1" s="18"/>
      <c r="OJM1" s="18"/>
      <c r="OJN1" s="18"/>
      <c r="OJO1" s="18"/>
      <c r="OJP1" s="18"/>
      <c r="OJQ1" s="18"/>
      <c r="OJR1" s="18"/>
      <c r="OJS1" s="18"/>
      <c r="OJT1" s="18"/>
      <c r="OJU1" s="18"/>
      <c r="OJV1" s="18"/>
      <c r="OJW1" s="18"/>
      <c r="OJX1" s="18"/>
      <c r="OJY1" s="18"/>
      <c r="OJZ1" s="18"/>
      <c r="OKA1" s="18"/>
      <c r="OKB1" s="18"/>
      <c r="OKC1" s="18"/>
      <c r="OKD1" s="18"/>
      <c r="OKE1" s="18"/>
      <c r="OKF1" s="18"/>
      <c r="OKG1" s="18"/>
      <c r="OKH1" s="18"/>
      <c r="OKI1" s="18"/>
      <c r="OKJ1" s="18"/>
      <c r="OKK1" s="18"/>
      <c r="OKL1" s="18"/>
      <c r="OKM1" s="18"/>
      <c r="OKN1" s="18"/>
      <c r="OKO1" s="18"/>
      <c r="OKP1" s="18"/>
      <c r="OKQ1" s="18"/>
      <c r="OKR1" s="18"/>
      <c r="OKS1" s="18"/>
      <c r="OKT1" s="18"/>
      <c r="OKU1" s="18"/>
      <c r="OKV1" s="18"/>
      <c r="OKW1" s="18"/>
      <c r="OKX1" s="18"/>
      <c r="OKY1" s="18"/>
      <c r="OKZ1" s="18"/>
      <c r="OLA1" s="18"/>
      <c r="OLB1" s="18"/>
      <c r="OLC1" s="18"/>
      <c r="OLD1" s="18"/>
      <c r="OLE1" s="18"/>
      <c r="OLF1" s="18"/>
      <c r="OLG1" s="18"/>
      <c r="OLH1" s="18"/>
      <c r="OLI1" s="18"/>
      <c r="OLJ1" s="18"/>
      <c r="OLK1" s="18"/>
      <c r="OLL1" s="18"/>
      <c r="OLM1" s="18"/>
      <c r="OLN1" s="18"/>
      <c r="OLO1" s="18"/>
      <c r="OLP1" s="18"/>
      <c r="OLQ1" s="18"/>
      <c r="OLR1" s="18"/>
      <c r="OLS1" s="18"/>
      <c r="OLT1" s="18"/>
      <c r="OLU1" s="18"/>
      <c r="OLV1" s="18"/>
      <c r="OLW1" s="18"/>
      <c r="OLX1" s="18"/>
      <c r="OLY1" s="18"/>
      <c r="OLZ1" s="18"/>
      <c r="OMA1" s="18"/>
      <c r="OMB1" s="18"/>
      <c r="OMC1" s="18"/>
      <c r="OMD1" s="18"/>
      <c r="OME1" s="18"/>
      <c r="OMF1" s="18"/>
      <c r="OMG1" s="18"/>
      <c r="OMH1" s="18"/>
      <c r="OMI1" s="18"/>
      <c r="OMJ1" s="18"/>
      <c r="OMK1" s="18"/>
      <c r="OML1" s="18"/>
      <c r="OMM1" s="18"/>
      <c r="OMN1" s="18"/>
      <c r="OMO1" s="18"/>
      <c r="OMP1" s="18"/>
      <c r="OMQ1" s="18"/>
      <c r="OMR1" s="18"/>
      <c r="OMS1" s="18"/>
      <c r="OMT1" s="18"/>
      <c r="OMU1" s="18"/>
      <c r="OMV1" s="18"/>
      <c r="OMW1" s="18"/>
      <c r="OMX1" s="18"/>
      <c r="OMY1" s="18"/>
      <c r="OMZ1" s="18"/>
      <c r="ONA1" s="18"/>
      <c r="ONB1" s="18"/>
      <c r="ONC1" s="18"/>
      <c r="OND1" s="18"/>
      <c r="ONE1" s="18"/>
      <c r="ONF1" s="18"/>
      <c r="ONG1" s="18"/>
      <c r="ONH1" s="18"/>
      <c r="ONI1" s="18"/>
      <c r="ONJ1" s="18"/>
      <c r="ONK1" s="18"/>
      <c r="ONL1" s="18"/>
      <c r="ONM1" s="18"/>
      <c r="ONN1" s="18"/>
      <c r="ONO1" s="18"/>
      <c r="ONP1" s="18"/>
      <c r="ONQ1" s="18"/>
      <c r="ONR1" s="18"/>
      <c r="ONS1" s="18"/>
      <c r="ONT1" s="18"/>
      <c r="ONU1" s="18"/>
      <c r="ONV1" s="18"/>
      <c r="ONW1" s="18"/>
      <c r="ONX1" s="18"/>
      <c r="ONY1" s="18"/>
      <c r="ONZ1" s="18"/>
      <c r="OOA1" s="18"/>
      <c r="OOB1" s="18"/>
      <c r="OOC1" s="18"/>
      <c r="OOD1" s="18"/>
      <c r="OOE1" s="18"/>
      <c r="OOF1" s="18"/>
      <c r="OOG1" s="18"/>
      <c r="OOH1" s="18"/>
      <c r="OOI1" s="18"/>
      <c r="OOJ1" s="18"/>
      <c r="OOK1" s="18"/>
      <c r="OOL1" s="18"/>
      <c r="OOM1" s="18"/>
      <c r="OON1" s="18"/>
      <c r="OOO1" s="18"/>
      <c r="OOP1" s="18"/>
      <c r="OOQ1" s="18"/>
      <c r="OOR1" s="18"/>
      <c r="OOS1" s="18"/>
      <c r="OOT1" s="18"/>
      <c r="OOU1" s="18"/>
      <c r="OOV1" s="18"/>
      <c r="OOW1" s="18"/>
      <c r="OOX1" s="18"/>
      <c r="OOY1" s="18"/>
      <c r="OOZ1" s="18"/>
      <c r="OPA1" s="18"/>
      <c r="OPB1" s="18"/>
      <c r="OPC1" s="18"/>
      <c r="OPD1" s="18"/>
      <c r="OPE1" s="18"/>
      <c r="OPF1" s="18"/>
      <c r="OPG1" s="18"/>
      <c r="OPH1" s="18"/>
      <c r="OPI1" s="18"/>
      <c r="OPJ1" s="18"/>
      <c r="OPK1" s="18"/>
      <c r="OPL1" s="18"/>
      <c r="OPM1" s="18"/>
      <c r="OPN1" s="18"/>
      <c r="OPO1" s="18"/>
      <c r="OPP1" s="18"/>
      <c r="OPQ1" s="18"/>
      <c r="OPR1" s="18"/>
      <c r="OPS1" s="18"/>
      <c r="OPT1" s="18"/>
      <c r="OPU1" s="18"/>
      <c r="OPV1" s="18"/>
      <c r="OPW1" s="18"/>
      <c r="OPX1" s="18"/>
      <c r="OPY1" s="18"/>
      <c r="OPZ1" s="18"/>
      <c r="OQA1" s="18"/>
      <c r="OQB1" s="18"/>
      <c r="OQC1" s="18"/>
      <c r="OQD1" s="18"/>
      <c r="OQE1" s="18"/>
      <c r="OQF1" s="18"/>
      <c r="OQG1" s="18"/>
      <c r="OQH1" s="18"/>
      <c r="OQI1" s="18"/>
      <c r="OQJ1" s="18"/>
      <c r="OQK1" s="18"/>
      <c r="OQL1" s="18"/>
      <c r="OQM1" s="18"/>
      <c r="OQN1" s="18"/>
      <c r="OQO1" s="18"/>
      <c r="OQP1" s="18"/>
      <c r="OQQ1" s="18"/>
      <c r="OQR1" s="18"/>
      <c r="OQS1" s="18"/>
      <c r="OQT1" s="18"/>
      <c r="OQU1" s="18"/>
      <c r="OQV1" s="18"/>
      <c r="OQW1" s="18"/>
      <c r="OQX1" s="18"/>
      <c r="OQY1" s="18"/>
      <c r="OQZ1" s="18"/>
      <c r="ORA1" s="18"/>
      <c r="ORB1" s="18"/>
      <c r="ORC1" s="18"/>
      <c r="ORD1" s="18"/>
      <c r="ORE1" s="18"/>
      <c r="ORF1" s="18"/>
      <c r="ORG1" s="18"/>
      <c r="ORH1" s="18"/>
      <c r="ORI1" s="18"/>
      <c r="ORJ1" s="18"/>
      <c r="ORK1" s="18"/>
      <c r="ORL1" s="18"/>
      <c r="ORM1" s="18"/>
      <c r="ORN1" s="18"/>
      <c r="ORO1" s="18"/>
      <c r="ORP1" s="18"/>
      <c r="ORQ1" s="18"/>
      <c r="ORR1" s="18"/>
      <c r="ORS1" s="18"/>
      <c r="ORT1" s="18"/>
      <c r="ORU1" s="18"/>
      <c r="ORV1" s="18"/>
      <c r="ORW1" s="18"/>
      <c r="ORX1" s="18"/>
      <c r="ORY1" s="18"/>
      <c r="ORZ1" s="18"/>
      <c r="OSA1" s="18"/>
      <c r="OSB1" s="18"/>
      <c r="OSC1" s="18"/>
      <c r="OSD1" s="18"/>
      <c r="OSE1" s="18"/>
      <c r="OSF1" s="18"/>
      <c r="OSG1" s="18"/>
      <c r="OSH1" s="18"/>
      <c r="OSI1" s="18"/>
      <c r="OSJ1" s="18"/>
      <c r="OSK1" s="18"/>
      <c r="OSL1" s="18"/>
      <c r="OSM1" s="18"/>
      <c r="OSN1" s="18"/>
      <c r="OSO1" s="18"/>
      <c r="OSP1" s="18"/>
      <c r="OSQ1" s="18"/>
      <c r="OSR1" s="18"/>
      <c r="OSS1" s="18"/>
      <c r="OST1" s="18"/>
      <c r="OSU1" s="18"/>
      <c r="OSV1" s="18"/>
      <c r="OSW1" s="18"/>
      <c r="OSX1" s="18"/>
      <c r="OSY1" s="18"/>
      <c r="OSZ1" s="18"/>
      <c r="OTA1" s="18"/>
      <c r="OTB1" s="18"/>
      <c r="OTC1" s="18"/>
      <c r="OTD1" s="18"/>
      <c r="OTE1" s="18"/>
      <c r="OTF1" s="18"/>
      <c r="OTG1" s="18"/>
      <c r="OTH1" s="18"/>
      <c r="OTI1" s="18"/>
      <c r="OTJ1" s="18"/>
      <c r="OTK1" s="18"/>
      <c r="OTL1" s="18"/>
      <c r="OTM1" s="18"/>
      <c r="OTN1" s="18"/>
      <c r="OTO1" s="18"/>
      <c r="OTP1" s="18"/>
      <c r="OTQ1" s="18"/>
      <c r="OTR1" s="18"/>
      <c r="OTS1" s="18"/>
      <c r="OTT1" s="18"/>
      <c r="OTU1" s="18"/>
      <c r="OTV1" s="18"/>
      <c r="OTW1" s="18"/>
      <c r="OTX1" s="18"/>
      <c r="OTY1" s="18"/>
      <c r="OTZ1" s="18"/>
      <c r="OUA1" s="18"/>
      <c r="OUB1" s="18"/>
      <c r="OUC1" s="18"/>
      <c r="OUD1" s="18"/>
      <c r="OUE1" s="18"/>
      <c r="OUF1" s="18"/>
      <c r="OUG1" s="18"/>
      <c r="OUH1" s="18"/>
      <c r="OUI1" s="18"/>
      <c r="OUJ1" s="18"/>
      <c r="OUK1" s="18"/>
      <c r="OUL1" s="18"/>
      <c r="OUM1" s="18"/>
      <c r="OUN1" s="18"/>
      <c r="OUO1" s="18"/>
      <c r="OUP1" s="18"/>
      <c r="OUQ1" s="18"/>
      <c r="OUR1" s="18"/>
      <c r="OUS1" s="18"/>
      <c r="OUT1" s="18"/>
      <c r="OUU1" s="18"/>
      <c r="OUV1" s="18"/>
      <c r="OUW1" s="18"/>
      <c r="OUX1" s="18"/>
      <c r="OUY1" s="18"/>
      <c r="OUZ1" s="18"/>
      <c r="OVA1" s="18"/>
      <c r="OVB1" s="18"/>
      <c r="OVC1" s="18"/>
      <c r="OVD1" s="18"/>
      <c r="OVE1" s="18"/>
      <c r="OVF1" s="18"/>
      <c r="OVG1" s="18"/>
      <c r="OVH1" s="18"/>
      <c r="OVI1" s="18"/>
      <c r="OVJ1" s="18"/>
      <c r="OVK1" s="18"/>
      <c r="OVL1" s="18"/>
      <c r="OVM1" s="18"/>
      <c r="OVN1" s="18"/>
      <c r="OVO1" s="18"/>
      <c r="OVP1" s="18"/>
      <c r="OVQ1" s="18"/>
      <c r="OVR1" s="18"/>
      <c r="OVS1" s="18"/>
      <c r="OVT1" s="18"/>
      <c r="OVU1" s="18"/>
      <c r="OVV1" s="18"/>
      <c r="OVW1" s="18"/>
      <c r="OVX1" s="18"/>
      <c r="OVY1" s="18"/>
      <c r="OVZ1" s="18"/>
      <c r="OWA1" s="18"/>
      <c r="OWB1" s="18"/>
      <c r="OWC1" s="18"/>
      <c r="OWD1" s="18"/>
      <c r="OWE1" s="18"/>
      <c r="OWF1" s="18"/>
      <c r="OWG1" s="18"/>
      <c r="OWH1" s="18"/>
      <c r="OWI1" s="18"/>
      <c r="OWJ1" s="18"/>
      <c r="OWK1" s="18"/>
      <c r="OWL1" s="18"/>
      <c r="OWM1" s="18"/>
      <c r="OWN1" s="18"/>
      <c r="OWO1" s="18"/>
      <c r="OWP1" s="18"/>
      <c r="OWQ1" s="18"/>
      <c r="OWR1" s="18"/>
      <c r="OWS1" s="18"/>
      <c r="OWT1" s="18"/>
      <c r="OWU1" s="18"/>
      <c r="OWV1" s="18"/>
      <c r="OWW1" s="18"/>
      <c r="OWX1" s="18"/>
      <c r="OWY1" s="18"/>
      <c r="OWZ1" s="18"/>
      <c r="OXA1" s="18"/>
      <c r="OXB1" s="18"/>
      <c r="OXC1" s="18"/>
      <c r="OXD1" s="18"/>
      <c r="OXE1" s="18"/>
      <c r="OXF1" s="18"/>
      <c r="OXG1" s="18"/>
      <c r="OXH1" s="18"/>
      <c r="OXI1" s="18"/>
      <c r="OXJ1" s="18"/>
      <c r="OXK1" s="18"/>
      <c r="OXL1" s="18"/>
      <c r="OXM1" s="18"/>
      <c r="OXN1" s="18"/>
      <c r="OXO1" s="18"/>
      <c r="OXP1" s="18"/>
      <c r="OXQ1" s="18"/>
      <c r="OXR1" s="18"/>
      <c r="OXS1" s="18"/>
      <c r="OXT1" s="18"/>
      <c r="OXU1" s="18"/>
      <c r="OXV1" s="18"/>
      <c r="OXW1" s="18"/>
      <c r="OXX1" s="18"/>
      <c r="OXY1" s="18"/>
      <c r="OXZ1" s="18"/>
      <c r="OYA1" s="18"/>
      <c r="OYB1" s="18"/>
      <c r="OYC1" s="18"/>
      <c r="OYD1" s="18"/>
      <c r="OYE1" s="18"/>
      <c r="OYF1" s="18"/>
      <c r="OYG1" s="18"/>
      <c r="OYH1" s="18"/>
      <c r="OYI1" s="18"/>
      <c r="OYJ1" s="18"/>
      <c r="OYK1" s="18"/>
      <c r="OYL1" s="18"/>
      <c r="OYM1" s="18"/>
      <c r="OYN1" s="18"/>
      <c r="OYO1" s="18"/>
      <c r="OYP1" s="18"/>
      <c r="OYQ1" s="18"/>
      <c r="OYR1" s="18"/>
      <c r="OYS1" s="18"/>
      <c r="OYT1" s="18"/>
      <c r="OYU1" s="18"/>
      <c r="OYV1" s="18"/>
      <c r="OYW1" s="18"/>
      <c r="OYX1" s="18"/>
      <c r="OYY1" s="18"/>
      <c r="OYZ1" s="18"/>
      <c r="OZA1" s="18"/>
      <c r="OZB1" s="18"/>
      <c r="OZC1" s="18"/>
      <c r="OZD1" s="18"/>
      <c r="OZE1" s="18"/>
      <c r="OZF1" s="18"/>
      <c r="OZG1" s="18"/>
      <c r="OZH1" s="18"/>
      <c r="OZI1" s="18"/>
      <c r="OZJ1" s="18"/>
      <c r="OZK1" s="18"/>
      <c r="OZL1" s="18"/>
      <c r="OZM1" s="18"/>
      <c r="OZN1" s="18"/>
      <c r="OZO1" s="18"/>
      <c r="OZP1" s="18"/>
      <c r="OZQ1" s="18"/>
      <c r="OZR1" s="18"/>
      <c r="OZS1" s="18"/>
      <c r="OZT1" s="18"/>
      <c r="OZU1" s="18"/>
      <c r="OZV1" s="18"/>
      <c r="OZW1" s="18"/>
      <c r="OZX1" s="18"/>
      <c r="OZY1" s="18"/>
      <c r="OZZ1" s="18"/>
      <c r="PAA1" s="18"/>
      <c r="PAB1" s="18"/>
      <c r="PAC1" s="18"/>
      <c r="PAD1" s="18"/>
      <c r="PAE1" s="18"/>
      <c r="PAF1" s="18"/>
      <c r="PAG1" s="18"/>
      <c r="PAH1" s="18"/>
      <c r="PAI1" s="18"/>
      <c r="PAJ1" s="18"/>
      <c r="PAK1" s="18"/>
      <c r="PAL1" s="18"/>
      <c r="PAM1" s="18"/>
      <c r="PAN1" s="18"/>
      <c r="PAO1" s="18"/>
      <c r="PAP1" s="18"/>
      <c r="PAQ1" s="18"/>
      <c r="PAR1" s="18"/>
      <c r="PAS1" s="18"/>
      <c r="PAT1" s="18"/>
      <c r="PAU1" s="18"/>
      <c r="PAV1" s="18"/>
      <c r="PAW1" s="18"/>
      <c r="PAX1" s="18"/>
      <c r="PAY1" s="18"/>
      <c r="PAZ1" s="18"/>
      <c r="PBA1" s="18"/>
      <c r="PBB1" s="18"/>
      <c r="PBC1" s="18"/>
      <c r="PBD1" s="18"/>
      <c r="PBE1" s="18"/>
      <c r="PBF1" s="18"/>
      <c r="PBG1" s="18"/>
      <c r="PBH1" s="18"/>
      <c r="PBI1" s="18"/>
      <c r="PBJ1" s="18"/>
      <c r="PBK1" s="18"/>
      <c r="PBL1" s="18"/>
      <c r="PBM1" s="18"/>
      <c r="PBN1" s="18"/>
      <c r="PBO1" s="18"/>
      <c r="PBP1" s="18"/>
      <c r="PBQ1" s="18"/>
      <c r="PBR1" s="18"/>
      <c r="PBS1" s="18"/>
      <c r="PBT1" s="18"/>
      <c r="PBU1" s="18"/>
      <c r="PBV1" s="18"/>
      <c r="PBW1" s="18"/>
      <c r="PBX1" s="18"/>
      <c r="PBY1" s="18"/>
      <c r="PBZ1" s="18"/>
      <c r="PCA1" s="18"/>
      <c r="PCB1" s="18"/>
      <c r="PCC1" s="18"/>
      <c r="PCD1" s="18"/>
      <c r="PCE1" s="18"/>
      <c r="PCF1" s="18"/>
      <c r="PCG1" s="18"/>
      <c r="PCH1" s="18"/>
      <c r="PCI1" s="18"/>
      <c r="PCJ1" s="18"/>
      <c r="PCK1" s="18"/>
      <c r="PCL1" s="18"/>
      <c r="PCM1" s="18"/>
      <c r="PCN1" s="18"/>
      <c r="PCO1" s="18"/>
      <c r="PCP1" s="18"/>
      <c r="PCQ1" s="18"/>
      <c r="PCR1" s="18"/>
      <c r="PCS1" s="18"/>
      <c r="PCT1" s="18"/>
      <c r="PCU1" s="18"/>
      <c r="PCV1" s="18"/>
      <c r="PCW1" s="18"/>
      <c r="PCX1" s="18"/>
      <c r="PCY1" s="18"/>
      <c r="PCZ1" s="18"/>
      <c r="PDA1" s="18"/>
      <c r="PDB1" s="18"/>
      <c r="PDC1" s="18"/>
      <c r="PDD1" s="18"/>
      <c r="PDE1" s="18"/>
      <c r="PDF1" s="18"/>
      <c r="PDG1" s="18"/>
      <c r="PDH1" s="18"/>
      <c r="PDI1" s="18"/>
      <c r="PDJ1" s="18"/>
      <c r="PDK1" s="18"/>
      <c r="PDL1" s="18"/>
      <c r="PDM1" s="18"/>
      <c r="PDN1" s="18"/>
      <c r="PDO1" s="18"/>
      <c r="PDP1" s="18"/>
      <c r="PDQ1" s="18"/>
      <c r="PDR1" s="18"/>
      <c r="PDS1" s="18"/>
      <c r="PDT1" s="18"/>
      <c r="PDU1" s="18"/>
      <c r="PDV1" s="18"/>
      <c r="PDW1" s="18"/>
      <c r="PDX1" s="18"/>
      <c r="PDY1" s="18"/>
      <c r="PDZ1" s="18"/>
      <c r="PEA1" s="18"/>
      <c r="PEB1" s="18"/>
      <c r="PEC1" s="18"/>
      <c r="PED1" s="18"/>
      <c r="PEE1" s="18"/>
      <c r="PEF1" s="18"/>
      <c r="PEG1" s="18"/>
      <c r="PEH1" s="18"/>
      <c r="PEI1" s="18"/>
      <c r="PEJ1" s="18"/>
      <c r="PEK1" s="18"/>
      <c r="PEL1" s="18"/>
      <c r="PEM1" s="18"/>
      <c r="PEN1" s="18"/>
      <c r="PEO1" s="18"/>
      <c r="PEP1" s="18"/>
      <c r="PEQ1" s="18"/>
      <c r="PER1" s="18"/>
      <c r="PES1" s="18"/>
      <c r="PET1" s="18"/>
      <c r="PEU1" s="18"/>
      <c r="PEV1" s="18"/>
      <c r="PEW1" s="18"/>
      <c r="PEX1" s="18"/>
      <c r="PEY1" s="18"/>
      <c r="PEZ1" s="18"/>
      <c r="PFA1" s="18"/>
      <c r="PFB1" s="18"/>
      <c r="PFC1" s="18"/>
      <c r="PFD1" s="18"/>
      <c r="PFE1" s="18"/>
      <c r="PFF1" s="18"/>
      <c r="PFG1" s="18"/>
      <c r="PFH1" s="18"/>
      <c r="PFI1" s="18"/>
      <c r="PFJ1" s="18"/>
      <c r="PFK1" s="18"/>
      <c r="PFL1" s="18"/>
      <c r="PFM1" s="18"/>
      <c r="PFN1" s="18"/>
      <c r="PFO1" s="18"/>
      <c r="PFP1" s="18"/>
      <c r="PFQ1" s="18"/>
      <c r="PFR1" s="18"/>
      <c r="PFS1" s="18"/>
      <c r="PFT1" s="18"/>
      <c r="PFU1" s="18"/>
      <c r="PFV1" s="18"/>
      <c r="PFW1" s="18"/>
      <c r="PFX1" s="18"/>
      <c r="PFY1" s="18"/>
      <c r="PFZ1" s="18"/>
      <c r="PGA1" s="18"/>
      <c r="PGB1" s="18"/>
      <c r="PGC1" s="18"/>
      <c r="PGD1" s="18"/>
      <c r="PGE1" s="18"/>
      <c r="PGF1" s="18"/>
      <c r="PGG1" s="18"/>
      <c r="PGH1" s="18"/>
      <c r="PGI1" s="18"/>
      <c r="PGJ1" s="18"/>
      <c r="PGK1" s="18"/>
      <c r="PGL1" s="18"/>
      <c r="PGM1" s="18"/>
      <c r="PGN1" s="18"/>
      <c r="PGO1" s="18"/>
      <c r="PGP1" s="18"/>
      <c r="PGQ1" s="18"/>
      <c r="PGR1" s="18"/>
      <c r="PGS1" s="18"/>
      <c r="PGT1" s="18"/>
      <c r="PGU1" s="18"/>
      <c r="PGV1" s="18"/>
      <c r="PGW1" s="18"/>
      <c r="PGX1" s="18"/>
      <c r="PGY1" s="18"/>
      <c r="PGZ1" s="18"/>
      <c r="PHA1" s="18"/>
      <c r="PHB1" s="18"/>
      <c r="PHC1" s="18"/>
      <c r="PHD1" s="18"/>
      <c r="PHE1" s="18"/>
      <c r="PHF1" s="18"/>
      <c r="PHG1" s="18"/>
      <c r="PHH1" s="18"/>
      <c r="PHI1" s="18"/>
      <c r="PHJ1" s="18"/>
      <c r="PHK1" s="18"/>
      <c r="PHL1" s="18"/>
      <c r="PHM1" s="18"/>
      <c r="PHN1" s="18"/>
      <c r="PHO1" s="18"/>
      <c r="PHP1" s="18"/>
      <c r="PHQ1" s="18"/>
      <c r="PHR1" s="18"/>
      <c r="PHS1" s="18"/>
      <c r="PHT1" s="18"/>
      <c r="PHU1" s="18"/>
      <c r="PHV1" s="18"/>
      <c r="PHW1" s="18"/>
      <c r="PHX1" s="18"/>
      <c r="PHY1" s="18"/>
      <c r="PHZ1" s="18"/>
      <c r="PIA1" s="18"/>
      <c r="PIB1" s="18"/>
      <c r="PIC1" s="18"/>
      <c r="PID1" s="18"/>
      <c r="PIE1" s="18"/>
      <c r="PIF1" s="18"/>
      <c r="PIG1" s="18"/>
      <c r="PIH1" s="18"/>
      <c r="PII1" s="18"/>
      <c r="PIJ1" s="18"/>
      <c r="PIK1" s="18"/>
      <c r="PIL1" s="18"/>
      <c r="PIM1" s="18"/>
      <c r="PIN1" s="18"/>
      <c r="PIO1" s="18"/>
      <c r="PIP1" s="18"/>
      <c r="PIQ1" s="18"/>
      <c r="PIR1" s="18"/>
      <c r="PIS1" s="18"/>
      <c r="PIT1" s="18"/>
      <c r="PIU1" s="18"/>
      <c r="PIV1" s="18"/>
      <c r="PIW1" s="18"/>
      <c r="PIX1" s="18"/>
      <c r="PIY1" s="18"/>
      <c r="PIZ1" s="18"/>
      <c r="PJA1" s="18"/>
      <c r="PJB1" s="18"/>
      <c r="PJC1" s="18"/>
      <c r="PJD1" s="18"/>
      <c r="PJE1" s="18"/>
      <c r="PJF1" s="18"/>
      <c r="PJG1" s="18"/>
      <c r="PJH1" s="18"/>
      <c r="PJI1" s="18"/>
      <c r="PJJ1" s="18"/>
      <c r="PJK1" s="18"/>
      <c r="PJL1" s="18"/>
      <c r="PJM1" s="18"/>
      <c r="PJN1" s="18"/>
      <c r="PJO1" s="18"/>
      <c r="PJP1" s="18"/>
      <c r="PJQ1" s="18"/>
      <c r="PJR1" s="18"/>
      <c r="PJS1" s="18"/>
      <c r="PJT1" s="18"/>
      <c r="PJU1" s="18"/>
      <c r="PJV1" s="18"/>
      <c r="PJW1" s="18"/>
      <c r="PJX1" s="18"/>
      <c r="PJY1" s="18"/>
      <c r="PJZ1" s="18"/>
      <c r="PKA1" s="18"/>
      <c r="PKB1" s="18"/>
      <c r="PKC1" s="18"/>
      <c r="PKD1" s="18"/>
      <c r="PKE1" s="18"/>
      <c r="PKF1" s="18"/>
      <c r="PKG1" s="18"/>
      <c r="PKH1" s="18"/>
      <c r="PKI1" s="18"/>
      <c r="PKJ1" s="18"/>
      <c r="PKK1" s="18"/>
      <c r="PKL1" s="18"/>
      <c r="PKM1" s="18"/>
      <c r="PKN1" s="18"/>
      <c r="PKO1" s="18"/>
      <c r="PKP1" s="18"/>
      <c r="PKQ1" s="18"/>
      <c r="PKR1" s="18"/>
      <c r="PKS1" s="18"/>
      <c r="PKT1" s="18"/>
      <c r="PKU1" s="18"/>
      <c r="PKV1" s="18"/>
      <c r="PKW1" s="18"/>
      <c r="PKX1" s="18"/>
      <c r="PKY1" s="18"/>
      <c r="PKZ1" s="18"/>
      <c r="PLA1" s="18"/>
      <c r="PLB1" s="18"/>
      <c r="PLC1" s="18"/>
      <c r="PLD1" s="18"/>
      <c r="PLE1" s="18"/>
      <c r="PLF1" s="18"/>
      <c r="PLG1" s="18"/>
      <c r="PLH1" s="18"/>
      <c r="PLI1" s="18"/>
      <c r="PLJ1" s="18"/>
      <c r="PLK1" s="18"/>
      <c r="PLL1" s="18"/>
      <c r="PLM1" s="18"/>
      <c r="PLN1" s="18"/>
      <c r="PLO1" s="18"/>
      <c r="PLP1" s="18"/>
      <c r="PLQ1" s="18"/>
      <c r="PLR1" s="18"/>
      <c r="PLS1" s="18"/>
      <c r="PLT1" s="18"/>
      <c r="PLU1" s="18"/>
      <c r="PLV1" s="18"/>
      <c r="PLW1" s="18"/>
      <c r="PLX1" s="18"/>
      <c r="PLY1" s="18"/>
      <c r="PLZ1" s="18"/>
      <c r="PMA1" s="18"/>
      <c r="PMB1" s="18"/>
      <c r="PMC1" s="18"/>
      <c r="PMD1" s="18"/>
      <c r="PME1" s="18"/>
      <c r="PMF1" s="18"/>
      <c r="PMG1" s="18"/>
      <c r="PMH1" s="18"/>
      <c r="PMI1" s="18"/>
      <c r="PMJ1" s="18"/>
      <c r="PMK1" s="18"/>
      <c r="PML1" s="18"/>
      <c r="PMM1" s="18"/>
      <c r="PMN1" s="18"/>
      <c r="PMO1" s="18"/>
      <c r="PMP1" s="18"/>
      <c r="PMQ1" s="18"/>
      <c r="PMR1" s="18"/>
      <c r="PMS1" s="18"/>
      <c r="PMT1" s="18"/>
      <c r="PMU1" s="18"/>
      <c r="PMV1" s="18"/>
      <c r="PMW1" s="18"/>
      <c r="PMX1" s="18"/>
      <c r="PMY1" s="18"/>
      <c r="PMZ1" s="18"/>
      <c r="PNA1" s="18"/>
      <c r="PNB1" s="18"/>
      <c r="PNC1" s="18"/>
      <c r="PND1" s="18"/>
      <c r="PNE1" s="18"/>
      <c r="PNF1" s="18"/>
      <c r="PNG1" s="18"/>
      <c r="PNH1" s="18"/>
      <c r="PNI1" s="18"/>
      <c r="PNJ1" s="18"/>
      <c r="PNK1" s="18"/>
      <c r="PNL1" s="18"/>
      <c r="PNM1" s="18"/>
      <c r="PNN1" s="18"/>
      <c r="PNO1" s="18"/>
      <c r="PNP1" s="18"/>
      <c r="PNQ1" s="18"/>
      <c r="PNR1" s="18"/>
      <c r="PNS1" s="18"/>
      <c r="PNT1" s="18"/>
      <c r="PNU1" s="18"/>
      <c r="PNV1" s="18"/>
      <c r="PNW1" s="18"/>
      <c r="PNX1" s="18"/>
      <c r="PNY1" s="18"/>
      <c r="PNZ1" s="18"/>
      <c r="POA1" s="18"/>
      <c r="POB1" s="18"/>
      <c r="POC1" s="18"/>
      <c r="POD1" s="18"/>
      <c r="POE1" s="18"/>
      <c r="POF1" s="18"/>
      <c r="POG1" s="18"/>
      <c r="POH1" s="18"/>
      <c r="POI1" s="18"/>
      <c r="POJ1" s="18"/>
      <c r="POK1" s="18"/>
      <c r="POL1" s="18"/>
      <c r="POM1" s="18"/>
      <c r="PON1" s="18"/>
      <c r="POO1" s="18"/>
      <c r="POP1" s="18"/>
      <c r="POQ1" s="18"/>
      <c r="POR1" s="18"/>
      <c r="POS1" s="18"/>
      <c r="POT1" s="18"/>
      <c r="POU1" s="18"/>
      <c r="POV1" s="18"/>
      <c r="POW1" s="18"/>
      <c r="POX1" s="18"/>
      <c r="POY1" s="18"/>
      <c r="POZ1" s="18"/>
      <c r="PPA1" s="18"/>
      <c r="PPB1" s="18"/>
      <c r="PPC1" s="18"/>
      <c r="PPD1" s="18"/>
      <c r="PPE1" s="18"/>
      <c r="PPF1" s="18"/>
      <c r="PPG1" s="18"/>
      <c r="PPH1" s="18"/>
      <c r="PPI1" s="18"/>
      <c r="PPJ1" s="18"/>
      <c r="PPK1" s="18"/>
      <c r="PPL1" s="18"/>
      <c r="PPM1" s="18"/>
      <c r="PPN1" s="18"/>
      <c r="PPO1" s="18"/>
      <c r="PPP1" s="18"/>
      <c r="PPQ1" s="18"/>
      <c r="PPR1" s="18"/>
      <c r="PPS1" s="18"/>
      <c r="PPT1" s="18"/>
      <c r="PPU1" s="18"/>
      <c r="PPV1" s="18"/>
      <c r="PPW1" s="18"/>
      <c r="PPX1" s="18"/>
      <c r="PPY1" s="18"/>
      <c r="PPZ1" s="18"/>
      <c r="PQA1" s="18"/>
      <c r="PQB1" s="18"/>
      <c r="PQC1" s="18"/>
      <c r="PQD1" s="18"/>
      <c r="PQE1" s="18"/>
      <c r="PQF1" s="18"/>
      <c r="PQG1" s="18"/>
      <c r="PQH1" s="18"/>
      <c r="PQI1" s="18"/>
      <c r="PQJ1" s="18"/>
      <c r="PQK1" s="18"/>
      <c r="PQL1" s="18"/>
      <c r="PQM1" s="18"/>
      <c r="PQN1" s="18"/>
      <c r="PQO1" s="18"/>
      <c r="PQP1" s="18"/>
      <c r="PQQ1" s="18"/>
      <c r="PQR1" s="18"/>
      <c r="PQS1" s="18"/>
      <c r="PQT1" s="18"/>
      <c r="PQU1" s="18"/>
      <c r="PQV1" s="18"/>
      <c r="PQW1" s="18"/>
      <c r="PQX1" s="18"/>
      <c r="PQY1" s="18"/>
      <c r="PQZ1" s="18"/>
      <c r="PRA1" s="18"/>
      <c r="PRB1" s="18"/>
      <c r="PRC1" s="18"/>
      <c r="PRD1" s="18"/>
      <c r="PRE1" s="18"/>
      <c r="PRF1" s="18"/>
      <c r="PRG1" s="18"/>
      <c r="PRH1" s="18"/>
      <c r="PRI1" s="18"/>
      <c r="PRJ1" s="18"/>
      <c r="PRK1" s="18"/>
      <c r="PRL1" s="18"/>
      <c r="PRM1" s="18"/>
      <c r="PRN1" s="18"/>
      <c r="PRO1" s="18"/>
      <c r="PRP1" s="18"/>
      <c r="PRQ1" s="18"/>
      <c r="PRR1" s="18"/>
      <c r="PRS1" s="18"/>
      <c r="PRT1" s="18"/>
      <c r="PRU1" s="18"/>
      <c r="PRV1" s="18"/>
      <c r="PRW1" s="18"/>
      <c r="PRX1" s="18"/>
      <c r="PRY1" s="18"/>
      <c r="PRZ1" s="18"/>
      <c r="PSA1" s="18"/>
      <c r="PSB1" s="18"/>
      <c r="PSC1" s="18"/>
      <c r="PSD1" s="18"/>
      <c r="PSE1" s="18"/>
      <c r="PSF1" s="18"/>
      <c r="PSG1" s="18"/>
      <c r="PSH1" s="18"/>
      <c r="PSI1" s="18"/>
      <c r="PSJ1" s="18"/>
      <c r="PSK1" s="18"/>
      <c r="PSL1" s="18"/>
      <c r="PSM1" s="18"/>
      <c r="PSN1" s="18"/>
      <c r="PSO1" s="18"/>
      <c r="PSP1" s="18"/>
      <c r="PSQ1" s="18"/>
      <c r="PSR1" s="18"/>
      <c r="PSS1" s="18"/>
      <c r="PST1" s="18"/>
      <c r="PSU1" s="18"/>
      <c r="PSV1" s="18"/>
      <c r="PSW1" s="18"/>
      <c r="PSX1" s="18"/>
      <c r="PSY1" s="18"/>
      <c r="PSZ1" s="18"/>
      <c r="PTA1" s="18"/>
      <c r="PTB1" s="18"/>
      <c r="PTC1" s="18"/>
      <c r="PTD1" s="18"/>
      <c r="PTE1" s="18"/>
      <c r="PTF1" s="18"/>
      <c r="PTG1" s="18"/>
      <c r="PTH1" s="18"/>
      <c r="PTI1" s="18"/>
      <c r="PTJ1" s="18"/>
      <c r="PTK1" s="18"/>
      <c r="PTL1" s="18"/>
      <c r="PTM1" s="18"/>
      <c r="PTN1" s="18"/>
      <c r="PTO1" s="18"/>
      <c r="PTP1" s="18"/>
      <c r="PTQ1" s="18"/>
      <c r="PTR1" s="18"/>
      <c r="PTS1" s="18"/>
      <c r="PTT1" s="18"/>
      <c r="PTU1" s="18"/>
      <c r="PTV1" s="18"/>
      <c r="PTW1" s="18"/>
      <c r="PTX1" s="18"/>
      <c r="PTY1" s="18"/>
      <c r="PTZ1" s="18"/>
      <c r="PUA1" s="18"/>
      <c r="PUB1" s="18"/>
      <c r="PUC1" s="18"/>
      <c r="PUD1" s="18"/>
      <c r="PUE1" s="18"/>
      <c r="PUF1" s="18"/>
      <c r="PUG1" s="18"/>
      <c r="PUH1" s="18"/>
      <c r="PUI1" s="18"/>
      <c r="PUJ1" s="18"/>
      <c r="PUK1" s="18"/>
      <c r="PUL1" s="18"/>
      <c r="PUM1" s="18"/>
      <c r="PUN1" s="18"/>
      <c r="PUO1" s="18"/>
      <c r="PUP1" s="18"/>
      <c r="PUQ1" s="18"/>
      <c r="PUR1" s="18"/>
      <c r="PUS1" s="18"/>
      <c r="PUT1" s="18"/>
      <c r="PUU1" s="18"/>
      <c r="PUV1" s="18"/>
      <c r="PUW1" s="18"/>
      <c r="PUX1" s="18"/>
      <c r="PUY1" s="18"/>
      <c r="PUZ1" s="18"/>
      <c r="PVA1" s="18"/>
      <c r="PVB1" s="18"/>
      <c r="PVC1" s="18"/>
      <c r="PVD1" s="18"/>
      <c r="PVE1" s="18"/>
      <c r="PVF1" s="18"/>
      <c r="PVG1" s="18"/>
      <c r="PVH1" s="18"/>
      <c r="PVI1" s="18"/>
      <c r="PVJ1" s="18"/>
      <c r="PVK1" s="18"/>
      <c r="PVL1" s="18"/>
      <c r="PVM1" s="18"/>
      <c r="PVN1" s="18"/>
      <c r="PVO1" s="18"/>
      <c r="PVP1" s="18"/>
      <c r="PVQ1" s="18"/>
      <c r="PVR1" s="18"/>
      <c r="PVS1" s="18"/>
      <c r="PVT1" s="18"/>
      <c r="PVU1" s="18"/>
      <c r="PVV1" s="18"/>
      <c r="PVW1" s="18"/>
      <c r="PVX1" s="18"/>
      <c r="PVY1" s="18"/>
      <c r="PVZ1" s="18"/>
      <c r="PWA1" s="18"/>
      <c r="PWB1" s="18"/>
      <c r="PWC1" s="18"/>
      <c r="PWD1" s="18"/>
      <c r="PWE1" s="18"/>
      <c r="PWF1" s="18"/>
      <c r="PWG1" s="18"/>
      <c r="PWH1" s="18"/>
      <c r="PWI1" s="18"/>
      <c r="PWJ1" s="18"/>
      <c r="PWK1" s="18"/>
      <c r="PWL1" s="18"/>
      <c r="PWM1" s="18"/>
      <c r="PWN1" s="18"/>
      <c r="PWO1" s="18"/>
      <c r="PWP1" s="18"/>
      <c r="PWQ1" s="18"/>
      <c r="PWR1" s="18"/>
      <c r="PWS1" s="18"/>
      <c r="PWT1" s="18"/>
      <c r="PWU1" s="18"/>
      <c r="PWV1" s="18"/>
      <c r="PWW1" s="18"/>
      <c r="PWX1" s="18"/>
      <c r="PWY1" s="18"/>
      <c r="PWZ1" s="18"/>
      <c r="PXA1" s="18"/>
      <c r="PXB1" s="18"/>
      <c r="PXC1" s="18"/>
      <c r="PXD1" s="18"/>
      <c r="PXE1" s="18"/>
      <c r="PXF1" s="18"/>
      <c r="PXG1" s="18"/>
      <c r="PXH1" s="18"/>
      <c r="PXI1" s="18"/>
      <c r="PXJ1" s="18"/>
      <c r="PXK1" s="18"/>
      <c r="PXL1" s="18"/>
      <c r="PXM1" s="18"/>
      <c r="PXN1" s="18"/>
      <c r="PXO1" s="18"/>
      <c r="PXP1" s="18"/>
      <c r="PXQ1" s="18"/>
      <c r="PXR1" s="18"/>
      <c r="PXS1" s="18"/>
      <c r="PXT1" s="18"/>
      <c r="PXU1" s="18"/>
      <c r="PXV1" s="18"/>
      <c r="PXW1" s="18"/>
      <c r="PXX1" s="18"/>
      <c r="PXY1" s="18"/>
      <c r="PXZ1" s="18"/>
      <c r="PYA1" s="18"/>
      <c r="PYB1" s="18"/>
      <c r="PYC1" s="18"/>
      <c r="PYD1" s="18"/>
      <c r="PYE1" s="18"/>
      <c r="PYF1" s="18"/>
      <c r="PYG1" s="18"/>
      <c r="PYH1" s="18"/>
      <c r="PYI1" s="18"/>
      <c r="PYJ1" s="18"/>
      <c r="PYK1" s="18"/>
      <c r="PYL1" s="18"/>
      <c r="PYM1" s="18"/>
      <c r="PYN1" s="18"/>
      <c r="PYO1" s="18"/>
      <c r="PYP1" s="18"/>
      <c r="PYQ1" s="18"/>
      <c r="PYR1" s="18"/>
      <c r="PYS1" s="18"/>
      <c r="PYT1" s="18"/>
      <c r="PYU1" s="18"/>
      <c r="PYV1" s="18"/>
      <c r="PYW1" s="18"/>
      <c r="PYX1" s="18"/>
      <c r="PYY1" s="18"/>
      <c r="PYZ1" s="18"/>
      <c r="PZA1" s="18"/>
      <c r="PZB1" s="18"/>
      <c r="PZC1" s="18"/>
      <c r="PZD1" s="18"/>
      <c r="PZE1" s="18"/>
      <c r="PZF1" s="18"/>
      <c r="PZG1" s="18"/>
      <c r="PZH1" s="18"/>
      <c r="PZI1" s="18"/>
      <c r="PZJ1" s="18"/>
      <c r="PZK1" s="18"/>
      <c r="PZL1" s="18"/>
      <c r="PZM1" s="18"/>
      <c r="PZN1" s="18"/>
      <c r="PZO1" s="18"/>
      <c r="PZP1" s="18"/>
      <c r="PZQ1" s="18"/>
      <c r="PZR1" s="18"/>
      <c r="PZS1" s="18"/>
      <c r="PZT1" s="18"/>
      <c r="PZU1" s="18"/>
      <c r="PZV1" s="18"/>
      <c r="PZW1" s="18"/>
      <c r="PZX1" s="18"/>
      <c r="PZY1" s="18"/>
      <c r="PZZ1" s="18"/>
      <c r="QAA1" s="18"/>
      <c r="QAB1" s="18"/>
      <c r="QAC1" s="18"/>
      <c r="QAD1" s="18"/>
      <c r="QAE1" s="18"/>
      <c r="QAF1" s="18"/>
      <c r="QAG1" s="18"/>
      <c r="QAH1" s="18"/>
      <c r="QAI1" s="18"/>
      <c r="QAJ1" s="18"/>
      <c r="QAK1" s="18"/>
      <c r="QAL1" s="18"/>
      <c r="QAM1" s="18"/>
      <c r="QAN1" s="18"/>
      <c r="QAO1" s="18"/>
      <c r="QAP1" s="18"/>
      <c r="QAQ1" s="18"/>
      <c r="QAR1" s="18"/>
      <c r="QAS1" s="18"/>
      <c r="QAT1" s="18"/>
      <c r="QAU1" s="18"/>
      <c r="QAV1" s="18"/>
      <c r="QAW1" s="18"/>
      <c r="QAX1" s="18"/>
      <c r="QAY1" s="18"/>
      <c r="QAZ1" s="18"/>
      <c r="QBA1" s="18"/>
      <c r="QBB1" s="18"/>
      <c r="QBC1" s="18"/>
      <c r="QBD1" s="18"/>
      <c r="QBE1" s="18"/>
      <c r="QBF1" s="18"/>
      <c r="QBG1" s="18"/>
      <c r="QBH1" s="18"/>
      <c r="QBI1" s="18"/>
      <c r="QBJ1" s="18"/>
      <c r="QBK1" s="18"/>
      <c r="QBL1" s="18"/>
      <c r="QBM1" s="18"/>
      <c r="QBN1" s="18"/>
      <c r="QBO1" s="18"/>
      <c r="QBP1" s="18"/>
      <c r="QBQ1" s="18"/>
      <c r="QBR1" s="18"/>
      <c r="QBS1" s="18"/>
      <c r="QBT1" s="18"/>
      <c r="QBU1" s="18"/>
      <c r="QBV1" s="18"/>
      <c r="QBW1" s="18"/>
      <c r="QBX1" s="18"/>
      <c r="QBY1" s="18"/>
      <c r="QBZ1" s="18"/>
      <c r="QCA1" s="18"/>
      <c r="QCB1" s="18"/>
      <c r="QCC1" s="18"/>
      <c r="QCD1" s="18"/>
      <c r="QCE1" s="18"/>
      <c r="QCF1" s="18"/>
      <c r="QCG1" s="18"/>
      <c r="QCH1" s="18"/>
      <c r="QCI1" s="18"/>
      <c r="QCJ1" s="18"/>
      <c r="QCK1" s="18"/>
      <c r="QCL1" s="18"/>
      <c r="QCM1" s="18"/>
      <c r="QCN1" s="18"/>
      <c r="QCO1" s="18"/>
      <c r="QCP1" s="18"/>
      <c r="QCQ1" s="18"/>
      <c r="QCR1" s="18"/>
      <c r="QCS1" s="18"/>
      <c r="QCT1" s="18"/>
      <c r="QCU1" s="18"/>
      <c r="QCV1" s="18"/>
      <c r="QCW1" s="18"/>
      <c r="QCX1" s="18"/>
      <c r="QCY1" s="18"/>
      <c r="QCZ1" s="18"/>
      <c r="QDA1" s="18"/>
      <c r="QDB1" s="18"/>
      <c r="QDC1" s="18"/>
      <c r="QDD1" s="18"/>
      <c r="QDE1" s="18"/>
      <c r="QDF1" s="18"/>
      <c r="QDG1" s="18"/>
      <c r="QDH1" s="18"/>
      <c r="QDI1" s="18"/>
      <c r="QDJ1" s="18"/>
      <c r="QDK1" s="18"/>
      <c r="QDL1" s="18"/>
      <c r="QDM1" s="18"/>
      <c r="QDN1" s="18"/>
      <c r="QDO1" s="18"/>
      <c r="QDP1" s="18"/>
      <c r="QDQ1" s="18"/>
      <c r="QDR1" s="18"/>
      <c r="QDS1" s="18"/>
      <c r="QDT1" s="18"/>
      <c r="QDU1" s="18"/>
      <c r="QDV1" s="18"/>
      <c r="QDW1" s="18"/>
      <c r="QDX1" s="18"/>
      <c r="QDY1" s="18"/>
      <c r="QDZ1" s="18"/>
      <c r="QEA1" s="18"/>
      <c r="QEB1" s="18"/>
      <c r="QEC1" s="18"/>
      <c r="QED1" s="18"/>
      <c r="QEE1" s="18"/>
      <c r="QEF1" s="18"/>
      <c r="QEG1" s="18"/>
      <c r="QEH1" s="18"/>
      <c r="QEI1" s="18"/>
      <c r="QEJ1" s="18"/>
      <c r="QEK1" s="18"/>
      <c r="QEL1" s="18"/>
      <c r="QEM1" s="18"/>
      <c r="QEN1" s="18"/>
      <c r="QEO1" s="18"/>
      <c r="QEP1" s="18"/>
      <c r="QEQ1" s="18"/>
      <c r="QER1" s="18"/>
      <c r="QES1" s="18"/>
      <c r="QET1" s="18"/>
      <c r="QEU1" s="18"/>
      <c r="QEV1" s="18"/>
      <c r="QEW1" s="18"/>
      <c r="QEX1" s="18"/>
      <c r="QEY1" s="18"/>
      <c r="QEZ1" s="18"/>
      <c r="QFA1" s="18"/>
      <c r="QFB1" s="18"/>
      <c r="QFC1" s="18"/>
      <c r="QFD1" s="18"/>
      <c r="QFE1" s="18"/>
      <c r="QFF1" s="18"/>
      <c r="QFG1" s="18"/>
      <c r="QFH1" s="18"/>
      <c r="QFI1" s="18"/>
      <c r="QFJ1" s="18"/>
      <c r="QFK1" s="18"/>
      <c r="QFL1" s="18"/>
      <c r="QFM1" s="18"/>
      <c r="QFN1" s="18"/>
      <c r="QFO1" s="18"/>
      <c r="QFP1" s="18"/>
      <c r="QFQ1" s="18"/>
      <c r="QFR1" s="18"/>
      <c r="QFS1" s="18"/>
      <c r="QFT1" s="18"/>
      <c r="QFU1" s="18"/>
      <c r="QFV1" s="18"/>
      <c r="QFW1" s="18"/>
      <c r="QFX1" s="18"/>
      <c r="QFY1" s="18"/>
      <c r="QFZ1" s="18"/>
      <c r="QGA1" s="18"/>
      <c r="QGB1" s="18"/>
      <c r="QGC1" s="18"/>
      <c r="QGD1" s="18"/>
      <c r="QGE1" s="18"/>
      <c r="QGF1" s="18"/>
      <c r="QGG1" s="18"/>
      <c r="QGH1" s="18"/>
      <c r="QGI1" s="18"/>
      <c r="QGJ1" s="18"/>
      <c r="QGK1" s="18"/>
      <c r="QGL1" s="18"/>
      <c r="QGM1" s="18"/>
      <c r="QGN1" s="18"/>
      <c r="QGO1" s="18"/>
      <c r="QGP1" s="18"/>
      <c r="QGQ1" s="18"/>
      <c r="QGR1" s="18"/>
      <c r="QGS1" s="18"/>
      <c r="QGT1" s="18"/>
      <c r="QGU1" s="18"/>
      <c r="QGV1" s="18"/>
      <c r="QGW1" s="18"/>
      <c r="QGX1" s="18"/>
      <c r="QGY1" s="18"/>
      <c r="QGZ1" s="18"/>
      <c r="QHA1" s="18"/>
      <c r="QHB1" s="18"/>
      <c r="QHC1" s="18"/>
      <c r="QHD1" s="18"/>
      <c r="QHE1" s="18"/>
      <c r="QHF1" s="18"/>
      <c r="QHG1" s="18"/>
      <c r="QHH1" s="18"/>
      <c r="QHI1" s="18"/>
      <c r="QHJ1" s="18"/>
      <c r="QHK1" s="18"/>
      <c r="QHL1" s="18"/>
      <c r="QHM1" s="18"/>
      <c r="QHN1" s="18"/>
      <c r="QHO1" s="18"/>
      <c r="QHP1" s="18"/>
      <c r="QHQ1" s="18"/>
      <c r="QHR1" s="18"/>
      <c r="QHS1" s="18"/>
      <c r="QHT1" s="18"/>
      <c r="QHU1" s="18"/>
      <c r="QHV1" s="18"/>
      <c r="QHW1" s="18"/>
      <c r="QHX1" s="18"/>
      <c r="QHY1" s="18"/>
      <c r="QHZ1" s="18"/>
      <c r="QIA1" s="18"/>
      <c r="QIB1" s="18"/>
      <c r="QIC1" s="18"/>
      <c r="QID1" s="18"/>
      <c r="QIE1" s="18"/>
      <c r="QIF1" s="18"/>
      <c r="QIG1" s="18"/>
      <c r="QIH1" s="18"/>
      <c r="QII1" s="18"/>
      <c r="QIJ1" s="18"/>
      <c r="QIK1" s="18"/>
      <c r="QIL1" s="18"/>
      <c r="QIM1" s="18"/>
      <c r="QIN1" s="18"/>
      <c r="QIO1" s="18"/>
      <c r="QIP1" s="18"/>
      <c r="QIQ1" s="18"/>
      <c r="QIR1" s="18"/>
      <c r="QIS1" s="18"/>
      <c r="QIT1" s="18"/>
      <c r="QIU1" s="18"/>
      <c r="QIV1" s="18"/>
      <c r="QIW1" s="18"/>
      <c r="QIX1" s="18"/>
      <c r="QIY1" s="18"/>
      <c r="QIZ1" s="18"/>
      <c r="QJA1" s="18"/>
      <c r="QJB1" s="18"/>
      <c r="QJC1" s="18"/>
      <c r="QJD1" s="18"/>
      <c r="QJE1" s="18"/>
      <c r="QJF1" s="18"/>
      <c r="QJG1" s="18"/>
      <c r="QJH1" s="18"/>
      <c r="QJI1" s="18"/>
      <c r="QJJ1" s="18"/>
      <c r="QJK1" s="18"/>
      <c r="QJL1" s="18"/>
      <c r="QJM1" s="18"/>
      <c r="QJN1" s="18"/>
      <c r="QJO1" s="18"/>
      <c r="QJP1" s="18"/>
      <c r="QJQ1" s="18"/>
      <c r="QJR1" s="18"/>
      <c r="QJS1" s="18"/>
      <c r="QJT1" s="18"/>
      <c r="QJU1" s="18"/>
      <c r="QJV1" s="18"/>
      <c r="QJW1" s="18"/>
      <c r="QJX1" s="18"/>
      <c r="QJY1" s="18"/>
      <c r="QJZ1" s="18"/>
      <c r="QKA1" s="18"/>
      <c r="QKB1" s="18"/>
      <c r="QKC1" s="18"/>
      <c r="QKD1" s="18"/>
      <c r="QKE1" s="18"/>
      <c r="QKF1" s="18"/>
      <c r="QKG1" s="18"/>
      <c r="QKH1" s="18"/>
      <c r="QKI1" s="18"/>
      <c r="QKJ1" s="18"/>
      <c r="QKK1" s="18"/>
      <c r="QKL1" s="18"/>
      <c r="QKM1" s="18"/>
      <c r="QKN1" s="18"/>
      <c r="QKO1" s="18"/>
      <c r="QKP1" s="18"/>
      <c r="QKQ1" s="18"/>
      <c r="QKR1" s="18"/>
      <c r="QKS1" s="18"/>
      <c r="QKT1" s="18"/>
      <c r="QKU1" s="18"/>
      <c r="QKV1" s="18"/>
      <c r="QKW1" s="18"/>
      <c r="QKX1" s="18"/>
      <c r="QKY1" s="18"/>
      <c r="QKZ1" s="18"/>
      <c r="QLA1" s="18"/>
      <c r="QLB1" s="18"/>
      <c r="QLC1" s="18"/>
      <c r="QLD1" s="18"/>
      <c r="QLE1" s="18"/>
      <c r="QLF1" s="18"/>
      <c r="QLG1" s="18"/>
      <c r="QLH1" s="18"/>
      <c r="QLI1" s="18"/>
      <c r="QLJ1" s="18"/>
      <c r="QLK1" s="18"/>
      <c r="QLL1" s="18"/>
      <c r="QLM1" s="18"/>
      <c r="QLN1" s="18"/>
      <c r="QLO1" s="18"/>
      <c r="QLP1" s="18"/>
      <c r="QLQ1" s="18"/>
      <c r="QLR1" s="18"/>
      <c r="QLS1" s="18"/>
      <c r="QLT1" s="18"/>
      <c r="QLU1" s="18"/>
      <c r="QLV1" s="18"/>
      <c r="QLW1" s="18"/>
      <c r="QLX1" s="18"/>
      <c r="QLY1" s="18"/>
      <c r="QLZ1" s="18"/>
      <c r="QMA1" s="18"/>
      <c r="QMB1" s="18"/>
      <c r="QMC1" s="18"/>
      <c r="QMD1" s="18"/>
      <c r="QME1" s="18"/>
      <c r="QMF1" s="18"/>
      <c r="QMG1" s="18"/>
      <c r="QMH1" s="18"/>
      <c r="QMI1" s="18"/>
      <c r="QMJ1" s="18"/>
      <c r="QMK1" s="18"/>
      <c r="QML1" s="18"/>
      <c r="QMM1" s="18"/>
      <c r="QMN1" s="18"/>
      <c r="QMO1" s="18"/>
      <c r="QMP1" s="18"/>
      <c r="QMQ1" s="18"/>
      <c r="QMR1" s="18"/>
      <c r="QMS1" s="18"/>
      <c r="QMT1" s="18"/>
      <c r="QMU1" s="18"/>
      <c r="QMV1" s="18"/>
      <c r="QMW1" s="18"/>
      <c r="QMX1" s="18"/>
      <c r="QMY1" s="18"/>
      <c r="QMZ1" s="18"/>
      <c r="QNA1" s="18"/>
      <c r="QNB1" s="18"/>
      <c r="QNC1" s="18"/>
      <c r="QND1" s="18"/>
      <c r="QNE1" s="18"/>
      <c r="QNF1" s="18"/>
      <c r="QNG1" s="18"/>
      <c r="QNH1" s="18"/>
      <c r="QNI1" s="18"/>
      <c r="QNJ1" s="18"/>
      <c r="QNK1" s="18"/>
      <c r="QNL1" s="18"/>
      <c r="QNM1" s="18"/>
      <c r="QNN1" s="18"/>
      <c r="QNO1" s="18"/>
      <c r="QNP1" s="18"/>
      <c r="QNQ1" s="18"/>
      <c r="QNR1" s="18"/>
      <c r="QNS1" s="18"/>
      <c r="QNT1" s="18"/>
      <c r="QNU1" s="18"/>
      <c r="QNV1" s="18"/>
      <c r="QNW1" s="18"/>
      <c r="QNX1" s="18"/>
      <c r="QNY1" s="18"/>
      <c r="QNZ1" s="18"/>
      <c r="QOA1" s="18"/>
      <c r="QOB1" s="18"/>
      <c r="QOC1" s="18"/>
      <c r="QOD1" s="18"/>
      <c r="QOE1" s="18"/>
      <c r="QOF1" s="18"/>
      <c r="QOG1" s="18"/>
      <c r="QOH1" s="18"/>
      <c r="QOI1" s="18"/>
      <c r="QOJ1" s="18"/>
      <c r="QOK1" s="18"/>
      <c r="QOL1" s="18"/>
      <c r="QOM1" s="18"/>
      <c r="QON1" s="18"/>
      <c r="QOO1" s="18"/>
      <c r="QOP1" s="18"/>
      <c r="QOQ1" s="18"/>
      <c r="QOR1" s="18"/>
      <c r="QOS1" s="18"/>
      <c r="QOT1" s="18"/>
      <c r="QOU1" s="18"/>
      <c r="QOV1" s="18"/>
      <c r="QOW1" s="18"/>
      <c r="QOX1" s="18"/>
      <c r="QOY1" s="18"/>
      <c r="QOZ1" s="18"/>
      <c r="QPA1" s="18"/>
      <c r="QPB1" s="18"/>
      <c r="QPC1" s="18"/>
      <c r="QPD1" s="18"/>
      <c r="QPE1" s="18"/>
      <c r="QPF1" s="18"/>
      <c r="QPG1" s="18"/>
      <c r="QPH1" s="18"/>
      <c r="QPI1" s="18"/>
      <c r="QPJ1" s="18"/>
      <c r="QPK1" s="18"/>
      <c r="QPL1" s="18"/>
      <c r="QPM1" s="18"/>
      <c r="QPN1" s="18"/>
      <c r="QPO1" s="18"/>
      <c r="QPP1" s="18"/>
      <c r="QPQ1" s="18"/>
      <c r="QPR1" s="18"/>
      <c r="QPS1" s="18"/>
      <c r="QPT1" s="18"/>
      <c r="QPU1" s="18"/>
      <c r="QPV1" s="18"/>
      <c r="QPW1" s="18"/>
      <c r="QPX1" s="18"/>
      <c r="QPY1" s="18"/>
      <c r="QPZ1" s="18"/>
      <c r="QQA1" s="18"/>
      <c r="QQB1" s="18"/>
      <c r="QQC1" s="18"/>
      <c r="QQD1" s="18"/>
      <c r="QQE1" s="18"/>
      <c r="QQF1" s="18"/>
      <c r="QQG1" s="18"/>
      <c r="QQH1" s="18"/>
      <c r="QQI1" s="18"/>
      <c r="QQJ1" s="18"/>
      <c r="QQK1" s="18"/>
      <c r="QQL1" s="18"/>
      <c r="QQM1" s="18"/>
      <c r="QQN1" s="18"/>
      <c r="QQO1" s="18"/>
      <c r="QQP1" s="18"/>
      <c r="QQQ1" s="18"/>
      <c r="QQR1" s="18"/>
      <c r="QQS1" s="18"/>
      <c r="QQT1" s="18"/>
      <c r="QQU1" s="18"/>
      <c r="QQV1" s="18"/>
      <c r="QQW1" s="18"/>
      <c r="QQX1" s="18"/>
      <c r="QQY1" s="18"/>
      <c r="QQZ1" s="18"/>
      <c r="QRA1" s="18"/>
      <c r="QRB1" s="18"/>
      <c r="QRC1" s="18"/>
      <c r="QRD1" s="18"/>
      <c r="QRE1" s="18"/>
      <c r="QRF1" s="18"/>
      <c r="QRG1" s="18"/>
      <c r="QRH1" s="18"/>
      <c r="QRI1" s="18"/>
      <c r="QRJ1" s="18"/>
      <c r="QRK1" s="18"/>
      <c r="QRL1" s="18"/>
      <c r="QRM1" s="18"/>
      <c r="QRN1" s="18"/>
      <c r="QRO1" s="18"/>
      <c r="QRP1" s="18"/>
      <c r="QRQ1" s="18"/>
      <c r="QRR1" s="18"/>
      <c r="QRS1" s="18"/>
      <c r="QRT1" s="18"/>
      <c r="QRU1" s="18"/>
      <c r="QRV1" s="18"/>
      <c r="QRW1" s="18"/>
      <c r="QRX1" s="18"/>
      <c r="QRY1" s="18"/>
      <c r="QRZ1" s="18"/>
      <c r="QSA1" s="18"/>
      <c r="QSB1" s="18"/>
      <c r="QSC1" s="18"/>
      <c r="QSD1" s="18"/>
      <c r="QSE1" s="18"/>
      <c r="QSF1" s="18"/>
      <c r="QSG1" s="18"/>
      <c r="QSH1" s="18"/>
      <c r="QSI1" s="18"/>
      <c r="QSJ1" s="18"/>
      <c r="QSK1" s="18"/>
      <c r="QSL1" s="18"/>
      <c r="QSM1" s="18"/>
      <c r="QSN1" s="18"/>
      <c r="QSO1" s="18"/>
      <c r="QSP1" s="18"/>
      <c r="QSQ1" s="18"/>
      <c r="QSR1" s="18"/>
      <c r="QSS1" s="18"/>
      <c r="QST1" s="18"/>
      <c r="QSU1" s="18"/>
      <c r="QSV1" s="18"/>
      <c r="QSW1" s="18"/>
      <c r="QSX1" s="18"/>
      <c r="QSY1" s="18"/>
      <c r="QSZ1" s="18"/>
      <c r="QTA1" s="18"/>
      <c r="QTB1" s="18"/>
      <c r="QTC1" s="18"/>
      <c r="QTD1" s="18"/>
      <c r="QTE1" s="18"/>
      <c r="QTF1" s="18"/>
      <c r="QTG1" s="18"/>
      <c r="QTH1" s="18"/>
      <c r="QTI1" s="18"/>
      <c r="QTJ1" s="18"/>
      <c r="QTK1" s="18"/>
      <c r="QTL1" s="18"/>
      <c r="QTM1" s="18"/>
      <c r="QTN1" s="18"/>
      <c r="QTO1" s="18"/>
      <c r="QTP1" s="18"/>
      <c r="QTQ1" s="18"/>
      <c r="QTR1" s="18"/>
      <c r="QTS1" s="18"/>
      <c r="QTT1" s="18"/>
      <c r="QTU1" s="18"/>
      <c r="QTV1" s="18"/>
      <c r="QTW1" s="18"/>
      <c r="QTX1" s="18"/>
      <c r="QTY1" s="18"/>
      <c r="QTZ1" s="18"/>
      <c r="QUA1" s="18"/>
      <c r="QUB1" s="18"/>
      <c r="QUC1" s="18"/>
      <c r="QUD1" s="18"/>
      <c r="QUE1" s="18"/>
      <c r="QUF1" s="18"/>
      <c r="QUG1" s="18"/>
      <c r="QUH1" s="18"/>
      <c r="QUI1" s="18"/>
      <c r="QUJ1" s="18"/>
      <c r="QUK1" s="18"/>
      <c r="QUL1" s="18"/>
      <c r="QUM1" s="18"/>
      <c r="QUN1" s="18"/>
      <c r="QUO1" s="18"/>
      <c r="QUP1" s="18"/>
      <c r="QUQ1" s="18"/>
      <c r="QUR1" s="18"/>
      <c r="QUS1" s="18"/>
      <c r="QUT1" s="18"/>
      <c r="QUU1" s="18"/>
      <c r="QUV1" s="18"/>
      <c r="QUW1" s="18"/>
      <c r="QUX1" s="18"/>
      <c r="QUY1" s="18"/>
      <c r="QUZ1" s="18"/>
      <c r="QVA1" s="18"/>
      <c r="QVB1" s="18"/>
      <c r="QVC1" s="18"/>
      <c r="QVD1" s="18"/>
      <c r="QVE1" s="18"/>
      <c r="QVF1" s="18"/>
      <c r="QVG1" s="18"/>
      <c r="QVH1" s="18"/>
      <c r="QVI1" s="18"/>
      <c r="QVJ1" s="18"/>
      <c r="QVK1" s="18"/>
      <c r="QVL1" s="18"/>
      <c r="QVM1" s="18"/>
      <c r="QVN1" s="18"/>
      <c r="QVO1" s="18"/>
      <c r="QVP1" s="18"/>
      <c r="QVQ1" s="18"/>
      <c r="QVR1" s="18"/>
      <c r="QVS1" s="18"/>
      <c r="QVT1" s="18"/>
      <c r="QVU1" s="18"/>
      <c r="QVV1" s="18"/>
      <c r="QVW1" s="18"/>
      <c r="QVX1" s="18"/>
      <c r="QVY1" s="18"/>
      <c r="QVZ1" s="18"/>
      <c r="QWA1" s="18"/>
      <c r="QWB1" s="18"/>
      <c r="QWC1" s="18"/>
      <c r="QWD1" s="18"/>
      <c r="QWE1" s="18"/>
      <c r="QWF1" s="18"/>
      <c r="QWG1" s="18"/>
      <c r="QWH1" s="18"/>
      <c r="QWI1" s="18"/>
      <c r="QWJ1" s="18"/>
      <c r="QWK1" s="18"/>
      <c r="QWL1" s="18"/>
      <c r="QWM1" s="18"/>
      <c r="QWN1" s="18"/>
      <c r="QWO1" s="18"/>
      <c r="QWP1" s="18"/>
      <c r="QWQ1" s="18"/>
      <c r="QWR1" s="18"/>
      <c r="QWS1" s="18"/>
      <c r="QWT1" s="18"/>
      <c r="QWU1" s="18"/>
      <c r="QWV1" s="18"/>
      <c r="QWW1" s="18"/>
      <c r="QWX1" s="18"/>
      <c r="QWY1" s="18"/>
      <c r="QWZ1" s="18"/>
      <c r="QXA1" s="18"/>
      <c r="QXB1" s="18"/>
      <c r="QXC1" s="18"/>
      <c r="QXD1" s="18"/>
      <c r="QXE1" s="18"/>
      <c r="QXF1" s="18"/>
      <c r="QXG1" s="18"/>
      <c r="QXH1" s="18"/>
      <c r="QXI1" s="18"/>
      <c r="QXJ1" s="18"/>
      <c r="QXK1" s="18"/>
      <c r="QXL1" s="18"/>
      <c r="QXM1" s="18"/>
      <c r="QXN1" s="18"/>
      <c r="QXO1" s="18"/>
      <c r="QXP1" s="18"/>
      <c r="QXQ1" s="18"/>
      <c r="QXR1" s="18"/>
      <c r="QXS1" s="18"/>
      <c r="QXT1" s="18"/>
      <c r="QXU1" s="18"/>
      <c r="QXV1" s="18"/>
      <c r="QXW1" s="18"/>
      <c r="QXX1" s="18"/>
      <c r="QXY1" s="18"/>
      <c r="QXZ1" s="18"/>
      <c r="QYA1" s="18"/>
      <c r="QYB1" s="18"/>
      <c r="QYC1" s="18"/>
      <c r="QYD1" s="18"/>
      <c r="QYE1" s="18"/>
      <c r="QYF1" s="18"/>
      <c r="QYG1" s="18"/>
      <c r="QYH1" s="18"/>
      <c r="QYI1" s="18"/>
      <c r="QYJ1" s="18"/>
      <c r="QYK1" s="18"/>
      <c r="QYL1" s="18"/>
      <c r="QYM1" s="18"/>
      <c r="QYN1" s="18"/>
      <c r="QYO1" s="18"/>
      <c r="QYP1" s="18"/>
      <c r="QYQ1" s="18"/>
      <c r="QYR1" s="18"/>
      <c r="QYS1" s="18"/>
      <c r="QYT1" s="18"/>
      <c r="QYU1" s="18"/>
      <c r="QYV1" s="18"/>
      <c r="QYW1" s="18"/>
      <c r="QYX1" s="18"/>
      <c r="QYY1" s="18"/>
      <c r="QYZ1" s="18"/>
      <c r="QZA1" s="18"/>
      <c r="QZB1" s="18"/>
      <c r="QZC1" s="18"/>
      <c r="QZD1" s="18"/>
      <c r="QZE1" s="18"/>
      <c r="QZF1" s="18"/>
      <c r="QZG1" s="18"/>
      <c r="QZH1" s="18"/>
      <c r="QZI1" s="18"/>
      <c r="QZJ1" s="18"/>
      <c r="QZK1" s="18"/>
      <c r="QZL1" s="18"/>
      <c r="QZM1" s="18"/>
      <c r="QZN1" s="18"/>
      <c r="QZO1" s="18"/>
      <c r="QZP1" s="18"/>
      <c r="QZQ1" s="18"/>
      <c r="QZR1" s="18"/>
      <c r="QZS1" s="18"/>
      <c r="QZT1" s="18"/>
      <c r="QZU1" s="18"/>
      <c r="QZV1" s="18"/>
      <c r="QZW1" s="18"/>
      <c r="QZX1" s="18"/>
      <c r="QZY1" s="18"/>
      <c r="QZZ1" s="18"/>
      <c r="RAA1" s="18"/>
      <c r="RAB1" s="18"/>
      <c r="RAC1" s="18"/>
      <c r="RAD1" s="18"/>
      <c r="RAE1" s="18"/>
      <c r="RAF1" s="18"/>
      <c r="RAG1" s="18"/>
      <c r="RAH1" s="18"/>
      <c r="RAI1" s="18"/>
      <c r="RAJ1" s="18"/>
      <c r="RAK1" s="18"/>
      <c r="RAL1" s="18"/>
      <c r="RAM1" s="18"/>
      <c r="RAN1" s="18"/>
      <c r="RAO1" s="18"/>
      <c r="RAP1" s="18"/>
      <c r="RAQ1" s="18"/>
      <c r="RAR1" s="18"/>
      <c r="RAS1" s="18"/>
      <c r="RAT1" s="18"/>
      <c r="RAU1" s="18"/>
      <c r="RAV1" s="18"/>
      <c r="RAW1" s="18"/>
      <c r="RAX1" s="18"/>
      <c r="RAY1" s="18"/>
      <c r="RAZ1" s="18"/>
      <c r="RBA1" s="18"/>
      <c r="RBB1" s="18"/>
      <c r="RBC1" s="18"/>
      <c r="RBD1" s="18"/>
      <c r="RBE1" s="18"/>
      <c r="RBF1" s="18"/>
      <c r="RBG1" s="18"/>
      <c r="RBH1" s="18"/>
      <c r="RBI1" s="18"/>
      <c r="RBJ1" s="18"/>
      <c r="RBK1" s="18"/>
      <c r="RBL1" s="18"/>
      <c r="RBM1" s="18"/>
      <c r="RBN1" s="18"/>
      <c r="RBO1" s="18"/>
      <c r="RBP1" s="18"/>
      <c r="RBQ1" s="18"/>
      <c r="RBR1" s="18"/>
      <c r="RBS1" s="18"/>
      <c r="RBT1" s="18"/>
      <c r="RBU1" s="18"/>
      <c r="RBV1" s="18"/>
      <c r="RBW1" s="18"/>
      <c r="RBX1" s="18"/>
      <c r="RBY1" s="18"/>
      <c r="RBZ1" s="18"/>
      <c r="RCA1" s="18"/>
      <c r="RCB1" s="18"/>
      <c r="RCC1" s="18"/>
      <c r="RCD1" s="18"/>
      <c r="RCE1" s="18"/>
      <c r="RCF1" s="18"/>
      <c r="RCG1" s="18"/>
      <c r="RCH1" s="18"/>
      <c r="RCI1" s="18"/>
      <c r="RCJ1" s="18"/>
      <c r="RCK1" s="18"/>
      <c r="RCL1" s="18"/>
      <c r="RCM1" s="18"/>
      <c r="RCN1" s="18"/>
      <c r="RCO1" s="18"/>
      <c r="RCP1" s="18"/>
      <c r="RCQ1" s="18"/>
      <c r="RCR1" s="18"/>
      <c r="RCS1" s="18"/>
      <c r="RCT1" s="18"/>
      <c r="RCU1" s="18"/>
      <c r="RCV1" s="18"/>
      <c r="RCW1" s="18"/>
      <c r="RCX1" s="18"/>
      <c r="RCY1" s="18"/>
      <c r="RCZ1" s="18"/>
      <c r="RDA1" s="18"/>
      <c r="RDB1" s="18"/>
      <c r="RDC1" s="18"/>
      <c r="RDD1" s="18"/>
      <c r="RDE1" s="18"/>
      <c r="RDF1" s="18"/>
      <c r="RDG1" s="18"/>
      <c r="RDH1" s="18"/>
      <c r="RDI1" s="18"/>
      <c r="RDJ1" s="18"/>
      <c r="RDK1" s="18"/>
      <c r="RDL1" s="18"/>
      <c r="RDM1" s="18"/>
      <c r="RDN1" s="18"/>
      <c r="RDO1" s="18"/>
      <c r="RDP1" s="18"/>
      <c r="RDQ1" s="18"/>
      <c r="RDR1" s="18"/>
      <c r="RDS1" s="18"/>
      <c r="RDT1" s="18"/>
      <c r="RDU1" s="18"/>
      <c r="RDV1" s="18"/>
      <c r="RDW1" s="18"/>
      <c r="RDX1" s="18"/>
      <c r="RDY1" s="18"/>
      <c r="RDZ1" s="18"/>
      <c r="REA1" s="18"/>
      <c r="REB1" s="18"/>
      <c r="REC1" s="18"/>
      <c r="RED1" s="18"/>
      <c r="REE1" s="18"/>
      <c r="REF1" s="18"/>
      <c r="REG1" s="18"/>
      <c r="REH1" s="18"/>
      <c r="REI1" s="18"/>
      <c r="REJ1" s="18"/>
      <c r="REK1" s="18"/>
      <c r="REL1" s="18"/>
      <c r="REM1" s="18"/>
      <c r="REN1" s="18"/>
      <c r="REO1" s="18"/>
      <c r="REP1" s="18"/>
      <c r="REQ1" s="18"/>
      <c r="RER1" s="18"/>
      <c r="RES1" s="18"/>
      <c r="RET1" s="18"/>
      <c r="REU1" s="18"/>
      <c r="REV1" s="18"/>
      <c r="REW1" s="18"/>
      <c r="REX1" s="18"/>
      <c r="REY1" s="18"/>
      <c r="REZ1" s="18"/>
      <c r="RFA1" s="18"/>
      <c r="RFB1" s="18"/>
      <c r="RFC1" s="18"/>
      <c r="RFD1" s="18"/>
      <c r="RFE1" s="18"/>
      <c r="RFF1" s="18"/>
      <c r="RFG1" s="18"/>
      <c r="RFH1" s="18"/>
      <c r="RFI1" s="18"/>
      <c r="RFJ1" s="18"/>
      <c r="RFK1" s="18"/>
      <c r="RFL1" s="18"/>
      <c r="RFM1" s="18"/>
      <c r="RFN1" s="18"/>
      <c r="RFO1" s="18"/>
      <c r="RFP1" s="18"/>
      <c r="RFQ1" s="18"/>
      <c r="RFR1" s="18"/>
      <c r="RFS1" s="18"/>
      <c r="RFT1" s="18"/>
      <c r="RFU1" s="18"/>
      <c r="RFV1" s="18"/>
      <c r="RFW1" s="18"/>
      <c r="RFX1" s="18"/>
      <c r="RFY1" s="18"/>
      <c r="RFZ1" s="18"/>
      <c r="RGA1" s="18"/>
      <c r="RGB1" s="18"/>
      <c r="RGC1" s="18"/>
      <c r="RGD1" s="18"/>
      <c r="RGE1" s="18"/>
      <c r="RGF1" s="18"/>
      <c r="RGG1" s="18"/>
      <c r="RGH1" s="18"/>
      <c r="RGI1" s="18"/>
      <c r="RGJ1" s="18"/>
      <c r="RGK1" s="18"/>
      <c r="RGL1" s="18"/>
      <c r="RGM1" s="18"/>
      <c r="RGN1" s="18"/>
      <c r="RGO1" s="18"/>
      <c r="RGP1" s="18"/>
      <c r="RGQ1" s="18"/>
      <c r="RGR1" s="18"/>
      <c r="RGS1" s="18"/>
      <c r="RGT1" s="18"/>
      <c r="RGU1" s="18"/>
      <c r="RGV1" s="18"/>
      <c r="RGW1" s="18"/>
      <c r="RGX1" s="18"/>
      <c r="RGY1" s="18"/>
      <c r="RGZ1" s="18"/>
      <c r="RHA1" s="18"/>
      <c r="RHB1" s="18"/>
      <c r="RHC1" s="18"/>
      <c r="RHD1" s="18"/>
      <c r="RHE1" s="18"/>
      <c r="RHF1" s="18"/>
      <c r="RHG1" s="18"/>
      <c r="RHH1" s="18"/>
      <c r="RHI1" s="18"/>
      <c r="RHJ1" s="18"/>
      <c r="RHK1" s="18"/>
      <c r="RHL1" s="18"/>
      <c r="RHM1" s="18"/>
      <c r="RHN1" s="18"/>
      <c r="RHO1" s="18"/>
      <c r="RHP1" s="18"/>
      <c r="RHQ1" s="18"/>
      <c r="RHR1" s="18"/>
      <c r="RHS1" s="18"/>
      <c r="RHT1" s="18"/>
      <c r="RHU1" s="18"/>
      <c r="RHV1" s="18"/>
      <c r="RHW1" s="18"/>
      <c r="RHX1" s="18"/>
      <c r="RHY1" s="18"/>
      <c r="RHZ1" s="18"/>
      <c r="RIA1" s="18"/>
      <c r="RIB1" s="18"/>
      <c r="RIC1" s="18"/>
      <c r="RID1" s="18"/>
      <c r="RIE1" s="18"/>
      <c r="RIF1" s="18"/>
      <c r="RIG1" s="18"/>
      <c r="RIH1" s="18"/>
      <c r="RII1" s="18"/>
      <c r="RIJ1" s="18"/>
      <c r="RIK1" s="18"/>
      <c r="RIL1" s="18"/>
      <c r="RIM1" s="18"/>
      <c r="RIN1" s="18"/>
      <c r="RIO1" s="18"/>
      <c r="RIP1" s="18"/>
      <c r="RIQ1" s="18"/>
      <c r="RIR1" s="18"/>
      <c r="RIS1" s="18"/>
      <c r="RIT1" s="18"/>
      <c r="RIU1" s="18"/>
      <c r="RIV1" s="18"/>
      <c r="RIW1" s="18"/>
      <c r="RIX1" s="18"/>
      <c r="RIY1" s="18"/>
      <c r="RIZ1" s="18"/>
      <c r="RJA1" s="18"/>
      <c r="RJB1" s="18"/>
      <c r="RJC1" s="18"/>
      <c r="RJD1" s="18"/>
      <c r="RJE1" s="18"/>
      <c r="RJF1" s="18"/>
      <c r="RJG1" s="18"/>
      <c r="RJH1" s="18"/>
      <c r="RJI1" s="18"/>
      <c r="RJJ1" s="18"/>
      <c r="RJK1" s="18"/>
      <c r="RJL1" s="18"/>
      <c r="RJM1" s="18"/>
      <c r="RJN1" s="18"/>
      <c r="RJO1" s="18"/>
      <c r="RJP1" s="18"/>
      <c r="RJQ1" s="18"/>
      <c r="RJR1" s="18"/>
      <c r="RJS1" s="18"/>
      <c r="RJT1" s="18"/>
      <c r="RJU1" s="18"/>
      <c r="RJV1" s="18"/>
      <c r="RJW1" s="18"/>
      <c r="RJX1" s="18"/>
      <c r="RJY1" s="18"/>
      <c r="RJZ1" s="18"/>
      <c r="RKA1" s="18"/>
      <c r="RKB1" s="18"/>
      <c r="RKC1" s="18"/>
      <c r="RKD1" s="18"/>
      <c r="RKE1" s="18"/>
      <c r="RKF1" s="18"/>
      <c r="RKG1" s="18"/>
      <c r="RKH1" s="18"/>
      <c r="RKI1" s="18"/>
      <c r="RKJ1" s="18"/>
      <c r="RKK1" s="18"/>
      <c r="RKL1" s="18"/>
      <c r="RKM1" s="18"/>
      <c r="RKN1" s="18"/>
      <c r="RKO1" s="18"/>
      <c r="RKP1" s="18"/>
      <c r="RKQ1" s="18"/>
      <c r="RKR1" s="18"/>
      <c r="RKS1" s="18"/>
      <c r="RKT1" s="18"/>
      <c r="RKU1" s="18"/>
      <c r="RKV1" s="18"/>
      <c r="RKW1" s="18"/>
      <c r="RKX1" s="18"/>
      <c r="RKY1" s="18"/>
      <c r="RKZ1" s="18"/>
      <c r="RLA1" s="18"/>
      <c r="RLB1" s="18"/>
      <c r="RLC1" s="18"/>
      <c r="RLD1" s="18"/>
      <c r="RLE1" s="18"/>
      <c r="RLF1" s="18"/>
      <c r="RLG1" s="18"/>
      <c r="RLH1" s="18"/>
      <c r="RLI1" s="18"/>
      <c r="RLJ1" s="18"/>
      <c r="RLK1" s="18"/>
      <c r="RLL1" s="18"/>
      <c r="RLM1" s="18"/>
      <c r="RLN1" s="18"/>
      <c r="RLO1" s="18"/>
      <c r="RLP1" s="18"/>
      <c r="RLQ1" s="18"/>
      <c r="RLR1" s="18"/>
      <c r="RLS1" s="18"/>
      <c r="RLT1" s="18"/>
      <c r="RLU1" s="18"/>
      <c r="RLV1" s="18"/>
      <c r="RLW1" s="18"/>
      <c r="RLX1" s="18"/>
      <c r="RLY1" s="18"/>
      <c r="RLZ1" s="18"/>
      <c r="RMA1" s="18"/>
      <c r="RMB1" s="18"/>
      <c r="RMC1" s="18"/>
      <c r="RMD1" s="18"/>
      <c r="RME1" s="18"/>
      <c r="RMF1" s="18"/>
      <c r="RMG1" s="18"/>
      <c r="RMH1" s="18"/>
      <c r="RMI1" s="18"/>
      <c r="RMJ1" s="18"/>
      <c r="RMK1" s="18"/>
      <c r="RML1" s="18"/>
      <c r="RMM1" s="18"/>
      <c r="RMN1" s="18"/>
      <c r="RMO1" s="18"/>
      <c r="RMP1" s="18"/>
      <c r="RMQ1" s="18"/>
      <c r="RMR1" s="18"/>
      <c r="RMS1" s="18"/>
      <c r="RMT1" s="18"/>
      <c r="RMU1" s="18"/>
      <c r="RMV1" s="18"/>
      <c r="RMW1" s="18"/>
      <c r="RMX1" s="18"/>
      <c r="RMY1" s="18"/>
      <c r="RMZ1" s="18"/>
      <c r="RNA1" s="18"/>
      <c r="RNB1" s="18"/>
      <c r="RNC1" s="18"/>
      <c r="RND1" s="18"/>
      <c r="RNE1" s="18"/>
      <c r="RNF1" s="18"/>
      <c r="RNG1" s="18"/>
      <c r="RNH1" s="18"/>
      <c r="RNI1" s="18"/>
      <c r="RNJ1" s="18"/>
      <c r="RNK1" s="18"/>
      <c r="RNL1" s="18"/>
      <c r="RNM1" s="18"/>
      <c r="RNN1" s="18"/>
      <c r="RNO1" s="18"/>
      <c r="RNP1" s="18"/>
      <c r="RNQ1" s="18"/>
      <c r="RNR1" s="18"/>
      <c r="RNS1" s="18"/>
      <c r="RNT1" s="18"/>
      <c r="RNU1" s="18"/>
      <c r="RNV1" s="18"/>
      <c r="RNW1" s="18"/>
      <c r="RNX1" s="18"/>
      <c r="RNY1" s="18"/>
      <c r="RNZ1" s="18"/>
      <c r="ROA1" s="18"/>
      <c r="ROB1" s="18"/>
      <c r="ROC1" s="18"/>
      <c r="ROD1" s="18"/>
      <c r="ROE1" s="18"/>
      <c r="ROF1" s="18"/>
      <c r="ROG1" s="18"/>
      <c r="ROH1" s="18"/>
      <c r="ROI1" s="18"/>
      <c r="ROJ1" s="18"/>
      <c r="ROK1" s="18"/>
      <c r="ROL1" s="18"/>
      <c r="ROM1" s="18"/>
      <c r="RON1" s="18"/>
      <c r="ROO1" s="18"/>
      <c r="ROP1" s="18"/>
      <c r="ROQ1" s="18"/>
      <c r="ROR1" s="18"/>
      <c r="ROS1" s="18"/>
      <c r="ROT1" s="18"/>
      <c r="ROU1" s="18"/>
      <c r="ROV1" s="18"/>
      <c r="ROW1" s="18"/>
      <c r="ROX1" s="18"/>
      <c r="ROY1" s="18"/>
      <c r="ROZ1" s="18"/>
      <c r="RPA1" s="18"/>
      <c r="RPB1" s="18"/>
      <c r="RPC1" s="18"/>
      <c r="RPD1" s="18"/>
      <c r="RPE1" s="18"/>
      <c r="RPF1" s="18"/>
      <c r="RPG1" s="18"/>
      <c r="RPH1" s="18"/>
      <c r="RPI1" s="18"/>
      <c r="RPJ1" s="18"/>
      <c r="RPK1" s="18"/>
      <c r="RPL1" s="18"/>
      <c r="RPM1" s="18"/>
      <c r="RPN1" s="18"/>
      <c r="RPO1" s="18"/>
      <c r="RPP1" s="18"/>
      <c r="RPQ1" s="18"/>
      <c r="RPR1" s="18"/>
      <c r="RPS1" s="18"/>
      <c r="RPT1" s="18"/>
      <c r="RPU1" s="18"/>
      <c r="RPV1" s="18"/>
      <c r="RPW1" s="18"/>
      <c r="RPX1" s="18"/>
      <c r="RPY1" s="18"/>
      <c r="RPZ1" s="18"/>
      <c r="RQA1" s="18"/>
      <c r="RQB1" s="18"/>
      <c r="RQC1" s="18"/>
      <c r="RQD1" s="18"/>
      <c r="RQE1" s="18"/>
      <c r="RQF1" s="18"/>
      <c r="RQG1" s="18"/>
      <c r="RQH1" s="18"/>
      <c r="RQI1" s="18"/>
      <c r="RQJ1" s="18"/>
      <c r="RQK1" s="18"/>
      <c r="RQL1" s="18"/>
      <c r="RQM1" s="18"/>
      <c r="RQN1" s="18"/>
      <c r="RQO1" s="18"/>
      <c r="RQP1" s="18"/>
      <c r="RQQ1" s="18"/>
      <c r="RQR1" s="18"/>
      <c r="RQS1" s="18"/>
      <c r="RQT1" s="18"/>
      <c r="RQU1" s="18"/>
      <c r="RQV1" s="18"/>
      <c r="RQW1" s="18"/>
      <c r="RQX1" s="18"/>
      <c r="RQY1" s="18"/>
      <c r="RQZ1" s="18"/>
      <c r="RRA1" s="18"/>
      <c r="RRB1" s="18"/>
      <c r="RRC1" s="18"/>
      <c r="RRD1" s="18"/>
      <c r="RRE1" s="18"/>
      <c r="RRF1" s="18"/>
      <c r="RRG1" s="18"/>
      <c r="RRH1" s="18"/>
      <c r="RRI1" s="18"/>
      <c r="RRJ1" s="18"/>
      <c r="RRK1" s="18"/>
      <c r="RRL1" s="18"/>
      <c r="RRM1" s="18"/>
      <c r="RRN1" s="18"/>
      <c r="RRO1" s="18"/>
      <c r="RRP1" s="18"/>
      <c r="RRQ1" s="18"/>
      <c r="RRR1" s="18"/>
      <c r="RRS1" s="18"/>
      <c r="RRT1" s="18"/>
      <c r="RRU1" s="18"/>
      <c r="RRV1" s="18"/>
      <c r="RRW1" s="18"/>
      <c r="RRX1" s="18"/>
      <c r="RRY1" s="18"/>
      <c r="RRZ1" s="18"/>
      <c r="RSA1" s="18"/>
      <c r="RSB1" s="18"/>
      <c r="RSC1" s="18"/>
      <c r="RSD1" s="18"/>
      <c r="RSE1" s="18"/>
      <c r="RSF1" s="18"/>
      <c r="RSG1" s="18"/>
      <c r="RSH1" s="18"/>
      <c r="RSI1" s="18"/>
      <c r="RSJ1" s="18"/>
      <c r="RSK1" s="18"/>
      <c r="RSL1" s="18"/>
      <c r="RSM1" s="18"/>
      <c r="RSN1" s="18"/>
      <c r="RSO1" s="18"/>
      <c r="RSP1" s="18"/>
      <c r="RSQ1" s="18"/>
      <c r="RSR1" s="18"/>
      <c r="RSS1" s="18"/>
      <c r="RST1" s="18"/>
      <c r="RSU1" s="18"/>
      <c r="RSV1" s="18"/>
      <c r="RSW1" s="18"/>
      <c r="RSX1" s="18"/>
      <c r="RSY1" s="18"/>
      <c r="RSZ1" s="18"/>
      <c r="RTA1" s="18"/>
      <c r="RTB1" s="18"/>
      <c r="RTC1" s="18"/>
      <c r="RTD1" s="18"/>
      <c r="RTE1" s="18"/>
      <c r="RTF1" s="18"/>
      <c r="RTG1" s="18"/>
      <c r="RTH1" s="18"/>
      <c r="RTI1" s="18"/>
      <c r="RTJ1" s="18"/>
      <c r="RTK1" s="18"/>
      <c r="RTL1" s="18"/>
      <c r="RTM1" s="18"/>
      <c r="RTN1" s="18"/>
      <c r="RTO1" s="18"/>
      <c r="RTP1" s="18"/>
      <c r="RTQ1" s="18"/>
      <c r="RTR1" s="18"/>
      <c r="RTS1" s="18"/>
      <c r="RTT1" s="18"/>
      <c r="RTU1" s="18"/>
      <c r="RTV1" s="18"/>
      <c r="RTW1" s="18"/>
      <c r="RTX1" s="18"/>
      <c r="RTY1" s="18"/>
      <c r="RTZ1" s="18"/>
      <c r="RUA1" s="18"/>
      <c r="RUB1" s="18"/>
      <c r="RUC1" s="18"/>
      <c r="RUD1" s="18"/>
      <c r="RUE1" s="18"/>
      <c r="RUF1" s="18"/>
      <c r="RUG1" s="18"/>
      <c r="RUH1" s="18"/>
      <c r="RUI1" s="18"/>
      <c r="RUJ1" s="18"/>
      <c r="RUK1" s="18"/>
      <c r="RUL1" s="18"/>
      <c r="RUM1" s="18"/>
      <c r="RUN1" s="18"/>
      <c r="RUO1" s="18"/>
      <c r="RUP1" s="18"/>
      <c r="RUQ1" s="18"/>
      <c r="RUR1" s="18"/>
      <c r="RUS1" s="18"/>
      <c r="RUT1" s="18"/>
      <c r="RUU1" s="18"/>
      <c r="RUV1" s="18"/>
      <c r="RUW1" s="18"/>
      <c r="RUX1" s="18"/>
      <c r="RUY1" s="18"/>
      <c r="RUZ1" s="18"/>
      <c r="RVA1" s="18"/>
      <c r="RVB1" s="18"/>
      <c r="RVC1" s="18"/>
      <c r="RVD1" s="18"/>
      <c r="RVE1" s="18"/>
      <c r="RVF1" s="18"/>
      <c r="RVG1" s="18"/>
      <c r="RVH1" s="18"/>
      <c r="RVI1" s="18"/>
      <c r="RVJ1" s="18"/>
      <c r="RVK1" s="18"/>
      <c r="RVL1" s="18"/>
      <c r="RVM1" s="18"/>
      <c r="RVN1" s="18"/>
      <c r="RVO1" s="18"/>
      <c r="RVP1" s="18"/>
      <c r="RVQ1" s="18"/>
      <c r="RVR1" s="18"/>
      <c r="RVS1" s="18"/>
      <c r="RVT1" s="18"/>
      <c r="RVU1" s="18"/>
      <c r="RVV1" s="18"/>
      <c r="RVW1" s="18"/>
      <c r="RVX1" s="18"/>
      <c r="RVY1" s="18"/>
      <c r="RVZ1" s="18"/>
      <c r="RWA1" s="18"/>
      <c r="RWB1" s="18"/>
      <c r="RWC1" s="18"/>
      <c r="RWD1" s="18"/>
      <c r="RWE1" s="18"/>
      <c r="RWF1" s="18"/>
      <c r="RWG1" s="18"/>
      <c r="RWH1" s="18"/>
      <c r="RWI1" s="18"/>
      <c r="RWJ1" s="18"/>
      <c r="RWK1" s="18"/>
      <c r="RWL1" s="18"/>
      <c r="RWM1" s="18"/>
      <c r="RWN1" s="18"/>
      <c r="RWO1" s="18"/>
      <c r="RWP1" s="18"/>
      <c r="RWQ1" s="18"/>
      <c r="RWR1" s="18"/>
      <c r="RWS1" s="18"/>
      <c r="RWT1" s="18"/>
      <c r="RWU1" s="18"/>
      <c r="RWV1" s="18"/>
      <c r="RWW1" s="18"/>
      <c r="RWX1" s="18"/>
      <c r="RWY1" s="18"/>
      <c r="RWZ1" s="18"/>
      <c r="RXA1" s="18"/>
      <c r="RXB1" s="18"/>
      <c r="RXC1" s="18"/>
      <c r="RXD1" s="18"/>
      <c r="RXE1" s="18"/>
      <c r="RXF1" s="18"/>
      <c r="RXG1" s="18"/>
      <c r="RXH1" s="18"/>
      <c r="RXI1" s="18"/>
      <c r="RXJ1" s="18"/>
      <c r="RXK1" s="18"/>
      <c r="RXL1" s="18"/>
      <c r="RXM1" s="18"/>
      <c r="RXN1" s="18"/>
      <c r="RXO1" s="18"/>
      <c r="RXP1" s="18"/>
      <c r="RXQ1" s="18"/>
      <c r="RXR1" s="18"/>
      <c r="RXS1" s="18"/>
      <c r="RXT1" s="18"/>
      <c r="RXU1" s="18"/>
      <c r="RXV1" s="18"/>
      <c r="RXW1" s="18"/>
      <c r="RXX1" s="18"/>
      <c r="RXY1" s="18"/>
      <c r="RXZ1" s="18"/>
      <c r="RYA1" s="18"/>
      <c r="RYB1" s="18"/>
      <c r="RYC1" s="18"/>
      <c r="RYD1" s="18"/>
      <c r="RYE1" s="18"/>
      <c r="RYF1" s="18"/>
      <c r="RYG1" s="18"/>
      <c r="RYH1" s="18"/>
      <c r="RYI1" s="18"/>
      <c r="RYJ1" s="18"/>
      <c r="RYK1" s="18"/>
      <c r="RYL1" s="18"/>
      <c r="RYM1" s="18"/>
      <c r="RYN1" s="18"/>
      <c r="RYO1" s="18"/>
      <c r="RYP1" s="18"/>
      <c r="RYQ1" s="18"/>
      <c r="RYR1" s="18"/>
      <c r="RYS1" s="18"/>
      <c r="RYT1" s="18"/>
      <c r="RYU1" s="18"/>
      <c r="RYV1" s="18"/>
      <c r="RYW1" s="18"/>
      <c r="RYX1" s="18"/>
      <c r="RYY1" s="18"/>
      <c r="RYZ1" s="18"/>
      <c r="RZA1" s="18"/>
      <c r="RZB1" s="18"/>
      <c r="RZC1" s="18"/>
      <c r="RZD1" s="18"/>
      <c r="RZE1" s="18"/>
      <c r="RZF1" s="18"/>
      <c r="RZG1" s="18"/>
      <c r="RZH1" s="18"/>
      <c r="RZI1" s="18"/>
      <c r="RZJ1" s="18"/>
      <c r="RZK1" s="18"/>
      <c r="RZL1" s="18"/>
      <c r="RZM1" s="18"/>
      <c r="RZN1" s="18"/>
      <c r="RZO1" s="18"/>
      <c r="RZP1" s="18"/>
      <c r="RZQ1" s="18"/>
      <c r="RZR1" s="18"/>
      <c r="RZS1" s="18"/>
      <c r="RZT1" s="18"/>
      <c r="RZU1" s="18"/>
      <c r="RZV1" s="18"/>
      <c r="RZW1" s="18"/>
      <c r="RZX1" s="18"/>
      <c r="RZY1" s="18"/>
      <c r="RZZ1" s="18"/>
      <c r="SAA1" s="18"/>
      <c r="SAB1" s="18"/>
      <c r="SAC1" s="18"/>
      <c r="SAD1" s="18"/>
      <c r="SAE1" s="18"/>
      <c r="SAF1" s="18"/>
      <c r="SAG1" s="18"/>
      <c r="SAH1" s="18"/>
      <c r="SAI1" s="18"/>
      <c r="SAJ1" s="18"/>
      <c r="SAK1" s="18"/>
      <c r="SAL1" s="18"/>
      <c r="SAM1" s="18"/>
      <c r="SAN1" s="18"/>
      <c r="SAO1" s="18"/>
      <c r="SAP1" s="18"/>
      <c r="SAQ1" s="18"/>
      <c r="SAR1" s="18"/>
      <c r="SAS1" s="18"/>
      <c r="SAT1" s="18"/>
      <c r="SAU1" s="18"/>
      <c r="SAV1" s="18"/>
      <c r="SAW1" s="18"/>
      <c r="SAX1" s="18"/>
      <c r="SAY1" s="18"/>
      <c r="SAZ1" s="18"/>
      <c r="SBA1" s="18"/>
      <c r="SBB1" s="18"/>
      <c r="SBC1" s="18"/>
      <c r="SBD1" s="18"/>
      <c r="SBE1" s="18"/>
      <c r="SBF1" s="18"/>
      <c r="SBG1" s="18"/>
      <c r="SBH1" s="18"/>
      <c r="SBI1" s="18"/>
      <c r="SBJ1" s="18"/>
      <c r="SBK1" s="18"/>
      <c r="SBL1" s="18"/>
      <c r="SBM1" s="18"/>
      <c r="SBN1" s="18"/>
      <c r="SBO1" s="18"/>
      <c r="SBP1" s="18"/>
      <c r="SBQ1" s="18"/>
      <c r="SBR1" s="18"/>
      <c r="SBS1" s="18"/>
      <c r="SBT1" s="18"/>
      <c r="SBU1" s="18"/>
      <c r="SBV1" s="18"/>
      <c r="SBW1" s="18"/>
      <c r="SBX1" s="18"/>
      <c r="SBY1" s="18"/>
      <c r="SBZ1" s="18"/>
      <c r="SCA1" s="18"/>
      <c r="SCB1" s="18"/>
      <c r="SCC1" s="18"/>
      <c r="SCD1" s="18"/>
      <c r="SCE1" s="18"/>
      <c r="SCF1" s="18"/>
      <c r="SCG1" s="18"/>
      <c r="SCH1" s="18"/>
      <c r="SCI1" s="18"/>
      <c r="SCJ1" s="18"/>
      <c r="SCK1" s="18"/>
      <c r="SCL1" s="18"/>
      <c r="SCM1" s="18"/>
      <c r="SCN1" s="18"/>
      <c r="SCO1" s="18"/>
      <c r="SCP1" s="18"/>
      <c r="SCQ1" s="18"/>
      <c r="SCR1" s="18"/>
      <c r="SCS1" s="18"/>
      <c r="SCT1" s="18"/>
      <c r="SCU1" s="18"/>
      <c r="SCV1" s="18"/>
      <c r="SCW1" s="18"/>
      <c r="SCX1" s="18"/>
      <c r="SCY1" s="18"/>
      <c r="SCZ1" s="18"/>
      <c r="SDA1" s="18"/>
      <c r="SDB1" s="18"/>
      <c r="SDC1" s="18"/>
      <c r="SDD1" s="18"/>
      <c r="SDE1" s="18"/>
      <c r="SDF1" s="18"/>
      <c r="SDG1" s="18"/>
      <c r="SDH1" s="18"/>
      <c r="SDI1" s="18"/>
      <c r="SDJ1" s="18"/>
      <c r="SDK1" s="18"/>
      <c r="SDL1" s="18"/>
      <c r="SDM1" s="18"/>
      <c r="SDN1" s="18"/>
      <c r="SDO1" s="18"/>
      <c r="SDP1" s="18"/>
      <c r="SDQ1" s="18"/>
      <c r="SDR1" s="18"/>
      <c r="SDS1" s="18"/>
      <c r="SDT1" s="18"/>
      <c r="SDU1" s="18"/>
      <c r="SDV1" s="18"/>
      <c r="SDW1" s="18"/>
      <c r="SDX1" s="18"/>
      <c r="SDY1" s="18"/>
      <c r="SDZ1" s="18"/>
      <c r="SEA1" s="18"/>
      <c r="SEB1" s="18"/>
      <c r="SEC1" s="18"/>
      <c r="SED1" s="18"/>
      <c r="SEE1" s="18"/>
      <c r="SEF1" s="18"/>
      <c r="SEG1" s="18"/>
      <c r="SEH1" s="18"/>
      <c r="SEI1" s="18"/>
      <c r="SEJ1" s="18"/>
      <c r="SEK1" s="18"/>
      <c r="SEL1" s="18"/>
      <c r="SEM1" s="18"/>
      <c r="SEN1" s="18"/>
      <c r="SEO1" s="18"/>
      <c r="SEP1" s="18"/>
      <c r="SEQ1" s="18"/>
      <c r="SER1" s="18"/>
      <c r="SES1" s="18"/>
      <c r="SET1" s="18"/>
      <c r="SEU1" s="18"/>
      <c r="SEV1" s="18"/>
      <c r="SEW1" s="18"/>
      <c r="SEX1" s="18"/>
      <c r="SEY1" s="18"/>
      <c r="SEZ1" s="18"/>
      <c r="SFA1" s="18"/>
      <c r="SFB1" s="18"/>
      <c r="SFC1" s="18"/>
      <c r="SFD1" s="18"/>
      <c r="SFE1" s="18"/>
      <c r="SFF1" s="18"/>
      <c r="SFG1" s="18"/>
      <c r="SFH1" s="18"/>
      <c r="SFI1" s="18"/>
      <c r="SFJ1" s="18"/>
      <c r="SFK1" s="18"/>
      <c r="SFL1" s="18"/>
      <c r="SFM1" s="18"/>
      <c r="SFN1" s="18"/>
      <c r="SFO1" s="18"/>
      <c r="SFP1" s="18"/>
      <c r="SFQ1" s="18"/>
      <c r="SFR1" s="18"/>
      <c r="SFS1" s="18"/>
      <c r="SFT1" s="18"/>
      <c r="SFU1" s="18"/>
      <c r="SFV1" s="18"/>
      <c r="SFW1" s="18"/>
      <c r="SFX1" s="18"/>
      <c r="SFY1" s="18"/>
      <c r="SFZ1" s="18"/>
      <c r="SGA1" s="18"/>
      <c r="SGB1" s="18"/>
      <c r="SGC1" s="18"/>
      <c r="SGD1" s="18"/>
      <c r="SGE1" s="18"/>
      <c r="SGF1" s="18"/>
      <c r="SGG1" s="18"/>
      <c r="SGH1" s="18"/>
      <c r="SGI1" s="18"/>
      <c r="SGJ1" s="18"/>
      <c r="SGK1" s="18"/>
      <c r="SGL1" s="18"/>
      <c r="SGM1" s="18"/>
      <c r="SGN1" s="18"/>
      <c r="SGO1" s="18"/>
      <c r="SGP1" s="18"/>
      <c r="SGQ1" s="18"/>
      <c r="SGR1" s="18"/>
      <c r="SGS1" s="18"/>
      <c r="SGT1" s="18"/>
      <c r="SGU1" s="18"/>
      <c r="SGV1" s="18"/>
      <c r="SGW1" s="18"/>
      <c r="SGX1" s="18"/>
      <c r="SGY1" s="18"/>
      <c r="SGZ1" s="18"/>
      <c r="SHA1" s="18"/>
      <c r="SHB1" s="18"/>
      <c r="SHC1" s="18"/>
      <c r="SHD1" s="18"/>
      <c r="SHE1" s="18"/>
      <c r="SHF1" s="18"/>
      <c r="SHG1" s="18"/>
      <c r="SHH1" s="18"/>
      <c r="SHI1" s="18"/>
      <c r="SHJ1" s="18"/>
      <c r="SHK1" s="18"/>
      <c r="SHL1" s="18"/>
      <c r="SHM1" s="18"/>
      <c r="SHN1" s="18"/>
      <c r="SHO1" s="18"/>
      <c r="SHP1" s="18"/>
      <c r="SHQ1" s="18"/>
      <c r="SHR1" s="18"/>
      <c r="SHS1" s="18"/>
      <c r="SHT1" s="18"/>
      <c r="SHU1" s="18"/>
      <c r="SHV1" s="18"/>
      <c r="SHW1" s="18"/>
      <c r="SHX1" s="18"/>
      <c r="SHY1" s="18"/>
      <c r="SHZ1" s="18"/>
      <c r="SIA1" s="18"/>
      <c r="SIB1" s="18"/>
      <c r="SIC1" s="18"/>
      <c r="SID1" s="18"/>
      <c r="SIE1" s="18"/>
      <c r="SIF1" s="18"/>
      <c r="SIG1" s="18"/>
      <c r="SIH1" s="18"/>
      <c r="SII1" s="18"/>
      <c r="SIJ1" s="18"/>
      <c r="SIK1" s="18"/>
      <c r="SIL1" s="18"/>
      <c r="SIM1" s="18"/>
      <c r="SIN1" s="18"/>
      <c r="SIO1" s="18"/>
      <c r="SIP1" s="18"/>
      <c r="SIQ1" s="18"/>
      <c r="SIR1" s="18"/>
      <c r="SIS1" s="18"/>
      <c r="SIT1" s="18"/>
      <c r="SIU1" s="18"/>
      <c r="SIV1" s="18"/>
      <c r="SIW1" s="18"/>
      <c r="SIX1" s="18"/>
      <c r="SIY1" s="18"/>
      <c r="SIZ1" s="18"/>
      <c r="SJA1" s="18"/>
      <c r="SJB1" s="18"/>
      <c r="SJC1" s="18"/>
      <c r="SJD1" s="18"/>
      <c r="SJE1" s="18"/>
      <c r="SJF1" s="18"/>
      <c r="SJG1" s="18"/>
      <c r="SJH1" s="18"/>
      <c r="SJI1" s="18"/>
      <c r="SJJ1" s="18"/>
      <c r="SJK1" s="18"/>
      <c r="SJL1" s="18"/>
      <c r="SJM1" s="18"/>
      <c r="SJN1" s="18"/>
      <c r="SJO1" s="18"/>
      <c r="SJP1" s="18"/>
      <c r="SJQ1" s="18"/>
      <c r="SJR1" s="18"/>
      <c r="SJS1" s="18"/>
      <c r="SJT1" s="18"/>
      <c r="SJU1" s="18"/>
      <c r="SJV1" s="18"/>
      <c r="SJW1" s="18"/>
      <c r="SJX1" s="18"/>
      <c r="SJY1" s="18"/>
      <c r="SJZ1" s="18"/>
      <c r="SKA1" s="18"/>
      <c r="SKB1" s="18"/>
      <c r="SKC1" s="18"/>
      <c r="SKD1" s="18"/>
      <c r="SKE1" s="18"/>
      <c r="SKF1" s="18"/>
      <c r="SKG1" s="18"/>
      <c r="SKH1" s="18"/>
      <c r="SKI1" s="18"/>
      <c r="SKJ1" s="18"/>
      <c r="SKK1" s="18"/>
      <c r="SKL1" s="18"/>
      <c r="SKM1" s="18"/>
      <c r="SKN1" s="18"/>
      <c r="SKO1" s="18"/>
      <c r="SKP1" s="18"/>
      <c r="SKQ1" s="18"/>
      <c r="SKR1" s="18"/>
      <c r="SKS1" s="18"/>
      <c r="SKT1" s="18"/>
      <c r="SKU1" s="18"/>
      <c r="SKV1" s="18"/>
      <c r="SKW1" s="18"/>
      <c r="SKX1" s="18"/>
      <c r="SKY1" s="18"/>
      <c r="SKZ1" s="18"/>
      <c r="SLA1" s="18"/>
      <c r="SLB1" s="18"/>
      <c r="SLC1" s="18"/>
      <c r="SLD1" s="18"/>
      <c r="SLE1" s="18"/>
      <c r="SLF1" s="18"/>
      <c r="SLG1" s="18"/>
      <c r="SLH1" s="18"/>
      <c r="SLI1" s="18"/>
      <c r="SLJ1" s="18"/>
      <c r="SLK1" s="18"/>
      <c r="SLL1" s="18"/>
      <c r="SLM1" s="18"/>
      <c r="SLN1" s="18"/>
      <c r="SLO1" s="18"/>
      <c r="SLP1" s="18"/>
      <c r="SLQ1" s="18"/>
      <c r="SLR1" s="18"/>
      <c r="SLS1" s="18"/>
      <c r="SLT1" s="18"/>
      <c r="SLU1" s="18"/>
      <c r="SLV1" s="18"/>
      <c r="SLW1" s="18"/>
      <c r="SLX1" s="18"/>
      <c r="SLY1" s="18"/>
      <c r="SLZ1" s="18"/>
      <c r="SMA1" s="18"/>
      <c r="SMB1" s="18"/>
      <c r="SMC1" s="18"/>
      <c r="SMD1" s="18"/>
      <c r="SME1" s="18"/>
      <c r="SMF1" s="18"/>
      <c r="SMG1" s="18"/>
      <c r="SMH1" s="18"/>
      <c r="SMI1" s="18"/>
      <c r="SMJ1" s="18"/>
      <c r="SMK1" s="18"/>
      <c r="SML1" s="18"/>
      <c r="SMM1" s="18"/>
      <c r="SMN1" s="18"/>
      <c r="SMO1" s="18"/>
      <c r="SMP1" s="18"/>
      <c r="SMQ1" s="18"/>
      <c r="SMR1" s="18"/>
      <c r="SMS1" s="18"/>
      <c r="SMT1" s="18"/>
      <c r="SMU1" s="18"/>
      <c r="SMV1" s="18"/>
      <c r="SMW1" s="18"/>
      <c r="SMX1" s="18"/>
      <c r="SMY1" s="18"/>
      <c r="SMZ1" s="18"/>
      <c r="SNA1" s="18"/>
      <c r="SNB1" s="18"/>
      <c r="SNC1" s="18"/>
      <c r="SND1" s="18"/>
      <c r="SNE1" s="18"/>
      <c r="SNF1" s="18"/>
      <c r="SNG1" s="18"/>
      <c r="SNH1" s="18"/>
      <c r="SNI1" s="18"/>
      <c r="SNJ1" s="18"/>
      <c r="SNK1" s="18"/>
      <c r="SNL1" s="18"/>
      <c r="SNM1" s="18"/>
      <c r="SNN1" s="18"/>
      <c r="SNO1" s="18"/>
      <c r="SNP1" s="18"/>
      <c r="SNQ1" s="18"/>
      <c r="SNR1" s="18"/>
      <c r="SNS1" s="18"/>
      <c r="SNT1" s="18"/>
      <c r="SNU1" s="18"/>
      <c r="SNV1" s="18"/>
      <c r="SNW1" s="18"/>
      <c r="SNX1" s="18"/>
      <c r="SNY1" s="18"/>
      <c r="SNZ1" s="18"/>
      <c r="SOA1" s="18"/>
      <c r="SOB1" s="18"/>
      <c r="SOC1" s="18"/>
      <c r="SOD1" s="18"/>
      <c r="SOE1" s="18"/>
      <c r="SOF1" s="18"/>
      <c r="SOG1" s="18"/>
      <c r="SOH1" s="18"/>
      <c r="SOI1" s="18"/>
      <c r="SOJ1" s="18"/>
      <c r="SOK1" s="18"/>
      <c r="SOL1" s="18"/>
      <c r="SOM1" s="18"/>
      <c r="SON1" s="18"/>
      <c r="SOO1" s="18"/>
      <c r="SOP1" s="18"/>
      <c r="SOQ1" s="18"/>
      <c r="SOR1" s="18"/>
      <c r="SOS1" s="18"/>
      <c r="SOT1" s="18"/>
      <c r="SOU1" s="18"/>
      <c r="SOV1" s="18"/>
      <c r="SOW1" s="18"/>
      <c r="SOX1" s="18"/>
      <c r="SOY1" s="18"/>
      <c r="SOZ1" s="18"/>
      <c r="SPA1" s="18"/>
      <c r="SPB1" s="18"/>
      <c r="SPC1" s="18"/>
      <c r="SPD1" s="18"/>
      <c r="SPE1" s="18"/>
      <c r="SPF1" s="18"/>
      <c r="SPG1" s="18"/>
      <c r="SPH1" s="18"/>
      <c r="SPI1" s="18"/>
      <c r="SPJ1" s="18"/>
      <c r="SPK1" s="18"/>
      <c r="SPL1" s="18"/>
      <c r="SPM1" s="18"/>
      <c r="SPN1" s="18"/>
      <c r="SPO1" s="18"/>
      <c r="SPP1" s="18"/>
      <c r="SPQ1" s="18"/>
      <c r="SPR1" s="18"/>
      <c r="SPS1" s="18"/>
      <c r="SPT1" s="18"/>
      <c r="SPU1" s="18"/>
      <c r="SPV1" s="18"/>
      <c r="SPW1" s="18"/>
      <c r="SPX1" s="18"/>
      <c r="SPY1" s="18"/>
      <c r="SPZ1" s="18"/>
      <c r="SQA1" s="18"/>
      <c r="SQB1" s="18"/>
      <c r="SQC1" s="18"/>
      <c r="SQD1" s="18"/>
      <c r="SQE1" s="18"/>
      <c r="SQF1" s="18"/>
      <c r="SQG1" s="18"/>
      <c r="SQH1" s="18"/>
      <c r="SQI1" s="18"/>
      <c r="SQJ1" s="18"/>
      <c r="SQK1" s="18"/>
      <c r="SQL1" s="18"/>
      <c r="SQM1" s="18"/>
      <c r="SQN1" s="18"/>
      <c r="SQO1" s="18"/>
      <c r="SQP1" s="18"/>
      <c r="SQQ1" s="18"/>
      <c r="SQR1" s="18"/>
      <c r="SQS1" s="18"/>
      <c r="SQT1" s="18"/>
      <c r="SQU1" s="18"/>
      <c r="SQV1" s="18"/>
      <c r="SQW1" s="18"/>
      <c r="SQX1" s="18"/>
      <c r="SQY1" s="18"/>
      <c r="SQZ1" s="18"/>
      <c r="SRA1" s="18"/>
      <c r="SRB1" s="18"/>
      <c r="SRC1" s="18"/>
      <c r="SRD1" s="18"/>
      <c r="SRE1" s="18"/>
      <c r="SRF1" s="18"/>
      <c r="SRG1" s="18"/>
      <c r="SRH1" s="18"/>
      <c r="SRI1" s="18"/>
      <c r="SRJ1" s="18"/>
      <c r="SRK1" s="18"/>
      <c r="SRL1" s="18"/>
      <c r="SRM1" s="18"/>
      <c r="SRN1" s="18"/>
      <c r="SRO1" s="18"/>
      <c r="SRP1" s="18"/>
      <c r="SRQ1" s="18"/>
      <c r="SRR1" s="18"/>
      <c r="SRS1" s="18"/>
      <c r="SRT1" s="18"/>
      <c r="SRU1" s="18"/>
      <c r="SRV1" s="18"/>
      <c r="SRW1" s="18"/>
      <c r="SRX1" s="18"/>
      <c r="SRY1" s="18"/>
      <c r="SRZ1" s="18"/>
      <c r="SSA1" s="18"/>
      <c r="SSB1" s="18"/>
      <c r="SSC1" s="18"/>
      <c r="SSD1" s="18"/>
      <c r="SSE1" s="18"/>
      <c r="SSF1" s="18"/>
      <c r="SSG1" s="18"/>
      <c r="SSH1" s="18"/>
      <c r="SSI1" s="18"/>
      <c r="SSJ1" s="18"/>
      <c r="SSK1" s="18"/>
      <c r="SSL1" s="18"/>
      <c r="SSM1" s="18"/>
      <c r="SSN1" s="18"/>
      <c r="SSO1" s="18"/>
      <c r="SSP1" s="18"/>
      <c r="SSQ1" s="18"/>
      <c r="SSR1" s="18"/>
      <c r="SSS1" s="18"/>
      <c r="SST1" s="18"/>
      <c r="SSU1" s="18"/>
      <c r="SSV1" s="18"/>
      <c r="SSW1" s="18"/>
      <c r="SSX1" s="18"/>
      <c r="SSY1" s="18"/>
      <c r="SSZ1" s="18"/>
      <c r="STA1" s="18"/>
      <c r="STB1" s="18"/>
      <c r="STC1" s="18"/>
      <c r="STD1" s="18"/>
      <c r="STE1" s="18"/>
      <c r="STF1" s="18"/>
      <c r="STG1" s="18"/>
      <c r="STH1" s="18"/>
      <c r="STI1" s="18"/>
      <c r="STJ1" s="18"/>
      <c r="STK1" s="18"/>
      <c r="STL1" s="18"/>
      <c r="STM1" s="18"/>
      <c r="STN1" s="18"/>
      <c r="STO1" s="18"/>
      <c r="STP1" s="18"/>
      <c r="STQ1" s="18"/>
      <c r="STR1" s="18"/>
      <c r="STS1" s="18"/>
      <c r="STT1" s="18"/>
      <c r="STU1" s="18"/>
      <c r="STV1" s="18"/>
      <c r="STW1" s="18"/>
      <c r="STX1" s="18"/>
      <c r="STY1" s="18"/>
      <c r="STZ1" s="18"/>
      <c r="SUA1" s="18"/>
      <c r="SUB1" s="18"/>
      <c r="SUC1" s="18"/>
      <c r="SUD1" s="18"/>
      <c r="SUE1" s="18"/>
      <c r="SUF1" s="18"/>
      <c r="SUG1" s="18"/>
      <c r="SUH1" s="18"/>
      <c r="SUI1" s="18"/>
      <c r="SUJ1" s="18"/>
      <c r="SUK1" s="18"/>
      <c r="SUL1" s="18"/>
      <c r="SUM1" s="18"/>
      <c r="SUN1" s="18"/>
      <c r="SUO1" s="18"/>
      <c r="SUP1" s="18"/>
      <c r="SUQ1" s="18"/>
      <c r="SUR1" s="18"/>
      <c r="SUS1" s="18"/>
      <c r="SUT1" s="18"/>
      <c r="SUU1" s="18"/>
      <c r="SUV1" s="18"/>
      <c r="SUW1" s="18"/>
      <c r="SUX1" s="18"/>
      <c r="SUY1" s="18"/>
      <c r="SUZ1" s="18"/>
      <c r="SVA1" s="18"/>
      <c r="SVB1" s="18"/>
      <c r="SVC1" s="18"/>
      <c r="SVD1" s="18"/>
      <c r="SVE1" s="18"/>
      <c r="SVF1" s="18"/>
      <c r="SVG1" s="18"/>
      <c r="SVH1" s="18"/>
      <c r="SVI1" s="18"/>
      <c r="SVJ1" s="18"/>
      <c r="SVK1" s="18"/>
      <c r="SVL1" s="18"/>
      <c r="SVM1" s="18"/>
      <c r="SVN1" s="18"/>
      <c r="SVO1" s="18"/>
      <c r="SVP1" s="18"/>
      <c r="SVQ1" s="18"/>
      <c r="SVR1" s="18"/>
      <c r="SVS1" s="18"/>
      <c r="SVT1" s="18"/>
      <c r="SVU1" s="18"/>
      <c r="SVV1" s="18"/>
      <c r="SVW1" s="18"/>
      <c r="SVX1" s="18"/>
      <c r="SVY1" s="18"/>
      <c r="SVZ1" s="18"/>
      <c r="SWA1" s="18"/>
      <c r="SWB1" s="18"/>
      <c r="SWC1" s="18"/>
      <c r="SWD1" s="18"/>
      <c r="SWE1" s="18"/>
      <c r="SWF1" s="18"/>
      <c r="SWG1" s="18"/>
      <c r="SWH1" s="18"/>
      <c r="SWI1" s="18"/>
      <c r="SWJ1" s="18"/>
      <c r="SWK1" s="18"/>
      <c r="SWL1" s="18"/>
      <c r="SWM1" s="18"/>
      <c r="SWN1" s="18"/>
      <c r="SWO1" s="18"/>
      <c r="SWP1" s="18"/>
      <c r="SWQ1" s="18"/>
      <c r="SWR1" s="18"/>
      <c r="SWS1" s="18"/>
      <c r="SWT1" s="18"/>
      <c r="SWU1" s="18"/>
      <c r="SWV1" s="18"/>
      <c r="SWW1" s="18"/>
      <c r="SWX1" s="18"/>
      <c r="SWY1" s="18"/>
      <c r="SWZ1" s="18"/>
      <c r="SXA1" s="18"/>
      <c r="SXB1" s="18"/>
      <c r="SXC1" s="18"/>
      <c r="SXD1" s="18"/>
      <c r="SXE1" s="18"/>
      <c r="SXF1" s="18"/>
      <c r="SXG1" s="18"/>
      <c r="SXH1" s="18"/>
      <c r="SXI1" s="18"/>
      <c r="SXJ1" s="18"/>
      <c r="SXK1" s="18"/>
      <c r="SXL1" s="18"/>
      <c r="SXM1" s="18"/>
      <c r="SXN1" s="18"/>
      <c r="SXO1" s="18"/>
      <c r="SXP1" s="18"/>
      <c r="SXQ1" s="18"/>
      <c r="SXR1" s="18"/>
      <c r="SXS1" s="18"/>
      <c r="SXT1" s="18"/>
      <c r="SXU1" s="18"/>
      <c r="SXV1" s="18"/>
      <c r="SXW1" s="18"/>
      <c r="SXX1" s="18"/>
      <c r="SXY1" s="18"/>
      <c r="SXZ1" s="18"/>
      <c r="SYA1" s="18"/>
      <c r="SYB1" s="18"/>
      <c r="SYC1" s="18"/>
      <c r="SYD1" s="18"/>
      <c r="SYE1" s="18"/>
      <c r="SYF1" s="18"/>
      <c r="SYG1" s="18"/>
      <c r="SYH1" s="18"/>
      <c r="SYI1" s="18"/>
      <c r="SYJ1" s="18"/>
      <c r="SYK1" s="18"/>
      <c r="SYL1" s="18"/>
      <c r="SYM1" s="18"/>
      <c r="SYN1" s="18"/>
      <c r="SYO1" s="18"/>
      <c r="SYP1" s="18"/>
      <c r="SYQ1" s="18"/>
      <c r="SYR1" s="18"/>
      <c r="SYS1" s="18"/>
      <c r="SYT1" s="18"/>
      <c r="SYU1" s="18"/>
      <c r="SYV1" s="18"/>
      <c r="SYW1" s="18"/>
      <c r="SYX1" s="18"/>
      <c r="SYY1" s="18"/>
      <c r="SYZ1" s="18"/>
      <c r="SZA1" s="18"/>
      <c r="SZB1" s="18"/>
      <c r="SZC1" s="18"/>
      <c r="SZD1" s="18"/>
      <c r="SZE1" s="18"/>
      <c r="SZF1" s="18"/>
      <c r="SZG1" s="18"/>
      <c r="SZH1" s="18"/>
      <c r="SZI1" s="18"/>
      <c r="SZJ1" s="18"/>
      <c r="SZK1" s="18"/>
      <c r="SZL1" s="18"/>
      <c r="SZM1" s="18"/>
      <c r="SZN1" s="18"/>
      <c r="SZO1" s="18"/>
      <c r="SZP1" s="18"/>
      <c r="SZQ1" s="18"/>
      <c r="SZR1" s="18"/>
      <c r="SZS1" s="18"/>
      <c r="SZT1" s="18"/>
      <c r="SZU1" s="18"/>
      <c r="SZV1" s="18"/>
      <c r="SZW1" s="18"/>
      <c r="SZX1" s="18"/>
      <c r="SZY1" s="18"/>
      <c r="SZZ1" s="18"/>
      <c r="TAA1" s="18"/>
      <c r="TAB1" s="18"/>
      <c r="TAC1" s="18"/>
      <c r="TAD1" s="18"/>
      <c r="TAE1" s="18"/>
      <c r="TAF1" s="18"/>
      <c r="TAG1" s="18"/>
      <c r="TAH1" s="18"/>
      <c r="TAI1" s="18"/>
      <c r="TAJ1" s="18"/>
      <c r="TAK1" s="18"/>
      <c r="TAL1" s="18"/>
      <c r="TAM1" s="18"/>
      <c r="TAN1" s="18"/>
      <c r="TAO1" s="18"/>
      <c r="TAP1" s="18"/>
      <c r="TAQ1" s="18"/>
      <c r="TAR1" s="18"/>
      <c r="TAS1" s="18"/>
      <c r="TAT1" s="18"/>
      <c r="TAU1" s="18"/>
      <c r="TAV1" s="18"/>
      <c r="TAW1" s="18"/>
      <c r="TAX1" s="18"/>
      <c r="TAY1" s="18"/>
      <c r="TAZ1" s="18"/>
      <c r="TBA1" s="18"/>
      <c r="TBB1" s="18"/>
      <c r="TBC1" s="18"/>
      <c r="TBD1" s="18"/>
      <c r="TBE1" s="18"/>
      <c r="TBF1" s="18"/>
      <c r="TBG1" s="18"/>
      <c r="TBH1" s="18"/>
      <c r="TBI1" s="18"/>
      <c r="TBJ1" s="18"/>
      <c r="TBK1" s="18"/>
      <c r="TBL1" s="18"/>
      <c r="TBM1" s="18"/>
      <c r="TBN1" s="18"/>
      <c r="TBO1" s="18"/>
      <c r="TBP1" s="18"/>
      <c r="TBQ1" s="18"/>
      <c r="TBR1" s="18"/>
      <c r="TBS1" s="18"/>
      <c r="TBT1" s="18"/>
      <c r="TBU1" s="18"/>
      <c r="TBV1" s="18"/>
      <c r="TBW1" s="18"/>
      <c r="TBX1" s="18"/>
      <c r="TBY1" s="18"/>
      <c r="TBZ1" s="18"/>
      <c r="TCA1" s="18"/>
      <c r="TCB1" s="18"/>
      <c r="TCC1" s="18"/>
      <c r="TCD1" s="18"/>
      <c r="TCE1" s="18"/>
      <c r="TCF1" s="18"/>
      <c r="TCG1" s="18"/>
      <c r="TCH1" s="18"/>
      <c r="TCI1" s="18"/>
      <c r="TCJ1" s="18"/>
      <c r="TCK1" s="18"/>
      <c r="TCL1" s="18"/>
      <c r="TCM1" s="18"/>
      <c r="TCN1" s="18"/>
      <c r="TCO1" s="18"/>
      <c r="TCP1" s="18"/>
      <c r="TCQ1" s="18"/>
      <c r="TCR1" s="18"/>
      <c r="TCS1" s="18"/>
      <c r="TCT1" s="18"/>
      <c r="TCU1" s="18"/>
      <c r="TCV1" s="18"/>
      <c r="TCW1" s="18"/>
      <c r="TCX1" s="18"/>
      <c r="TCY1" s="18"/>
      <c r="TCZ1" s="18"/>
      <c r="TDA1" s="18"/>
      <c r="TDB1" s="18"/>
      <c r="TDC1" s="18"/>
      <c r="TDD1" s="18"/>
      <c r="TDE1" s="18"/>
      <c r="TDF1" s="18"/>
      <c r="TDG1" s="18"/>
      <c r="TDH1" s="18"/>
      <c r="TDI1" s="18"/>
      <c r="TDJ1" s="18"/>
      <c r="TDK1" s="18"/>
      <c r="TDL1" s="18"/>
      <c r="TDM1" s="18"/>
      <c r="TDN1" s="18"/>
      <c r="TDO1" s="18"/>
      <c r="TDP1" s="18"/>
      <c r="TDQ1" s="18"/>
      <c r="TDR1" s="18"/>
      <c r="TDS1" s="18"/>
      <c r="TDT1" s="18"/>
      <c r="TDU1" s="18"/>
      <c r="TDV1" s="18"/>
      <c r="TDW1" s="18"/>
      <c r="TDX1" s="18"/>
      <c r="TDY1" s="18"/>
      <c r="TDZ1" s="18"/>
      <c r="TEA1" s="18"/>
      <c r="TEB1" s="18"/>
      <c r="TEC1" s="18"/>
      <c r="TED1" s="18"/>
      <c r="TEE1" s="18"/>
      <c r="TEF1" s="18"/>
      <c r="TEG1" s="18"/>
      <c r="TEH1" s="18"/>
      <c r="TEI1" s="18"/>
      <c r="TEJ1" s="18"/>
      <c r="TEK1" s="18"/>
      <c r="TEL1" s="18"/>
      <c r="TEM1" s="18"/>
      <c r="TEN1" s="18"/>
      <c r="TEO1" s="18"/>
      <c r="TEP1" s="18"/>
      <c r="TEQ1" s="18"/>
      <c r="TER1" s="18"/>
      <c r="TES1" s="18"/>
      <c r="TET1" s="18"/>
      <c r="TEU1" s="18"/>
      <c r="TEV1" s="18"/>
      <c r="TEW1" s="18"/>
      <c r="TEX1" s="18"/>
      <c r="TEY1" s="18"/>
      <c r="TEZ1" s="18"/>
      <c r="TFA1" s="18"/>
      <c r="TFB1" s="18"/>
      <c r="TFC1" s="18"/>
      <c r="TFD1" s="18"/>
      <c r="TFE1" s="18"/>
      <c r="TFF1" s="18"/>
      <c r="TFG1" s="18"/>
      <c r="TFH1" s="18"/>
      <c r="TFI1" s="18"/>
      <c r="TFJ1" s="18"/>
      <c r="TFK1" s="18"/>
      <c r="TFL1" s="18"/>
      <c r="TFM1" s="18"/>
      <c r="TFN1" s="18"/>
      <c r="TFO1" s="18"/>
      <c r="TFP1" s="18"/>
      <c r="TFQ1" s="18"/>
      <c r="TFR1" s="18"/>
      <c r="TFS1" s="18"/>
      <c r="TFT1" s="18"/>
      <c r="TFU1" s="18"/>
      <c r="TFV1" s="18"/>
      <c r="TFW1" s="18"/>
      <c r="TFX1" s="18"/>
      <c r="TFY1" s="18"/>
      <c r="TFZ1" s="18"/>
      <c r="TGA1" s="18"/>
      <c r="TGB1" s="18"/>
      <c r="TGC1" s="18"/>
      <c r="TGD1" s="18"/>
      <c r="TGE1" s="18"/>
      <c r="TGF1" s="18"/>
      <c r="TGG1" s="18"/>
      <c r="TGH1" s="18"/>
      <c r="TGI1" s="18"/>
      <c r="TGJ1" s="18"/>
      <c r="TGK1" s="18"/>
      <c r="TGL1" s="18"/>
      <c r="TGM1" s="18"/>
      <c r="TGN1" s="18"/>
      <c r="TGO1" s="18"/>
      <c r="TGP1" s="18"/>
      <c r="TGQ1" s="18"/>
      <c r="TGR1" s="18"/>
      <c r="TGS1" s="18"/>
      <c r="TGT1" s="18"/>
      <c r="TGU1" s="18"/>
      <c r="TGV1" s="18"/>
      <c r="TGW1" s="18"/>
      <c r="TGX1" s="18"/>
      <c r="TGY1" s="18"/>
      <c r="TGZ1" s="18"/>
      <c r="THA1" s="18"/>
      <c r="THB1" s="18"/>
      <c r="THC1" s="18"/>
      <c r="THD1" s="18"/>
      <c r="THE1" s="18"/>
      <c r="THF1" s="18"/>
      <c r="THG1" s="18"/>
      <c r="THH1" s="18"/>
      <c r="THI1" s="18"/>
      <c r="THJ1" s="18"/>
      <c r="THK1" s="18"/>
      <c r="THL1" s="18"/>
      <c r="THM1" s="18"/>
      <c r="THN1" s="18"/>
      <c r="THO1" s="18"/>
      <c r="THP1" s="18"/>
      <c r="THQ1" s="18"/>
      <c r="THR1" s="18"/>
      <c r="THS1" s="18"/>
      <c r="THT1" s="18"/>
      <c r="THU1" s="18"/>
      <c r="THV1" s="18"/>
      <c r="THW1" s="18"/>
      <c r="THX1" s="18"/>
      <c r="THY1" s="18"/>
      <c r="THZ1" s="18"/>
      <c r="TIA1" s="18"/>
      <c r="TIB1" s="18"/>
      <c r="TIC1" s="18"/>
      <c r="TID1" s="18"/>
      <c r="TIE1" s="18"/>
      <c r="TIF1" s="18"/>
      <c r="TIG1" s="18"/>
      <c r="TIH1" s="18"/>
      <c r="TII1" s="18"/>
      <c r="TIJ1" s="18"/>
      <c r="TIK1" s="18"/>
      <c r="TIL1" s="18"/>
      <c r="TIM1" s="18"/>
      <c r="TIN1" s="18"/>
      <c r="TIO1" s="18"/>
      <c r="TIP1" s="18"/>
      <c r="TIQ1" s="18"/>
      <c r="TIR1" s="18"/>
      <c r="TIS1" s="18"/>
      <c r="TIT1" s="18"/>
      <c r="TIU1" s="18"/>
      <c r="TIV1" s="18"/>
      <c r="TIW1" s="18"/>
      <c r="TIX1" s="18"/>
      <c r="TIY1" s="18"/>
      <c r="TIZ1" s="18"/>
      <c r="TJA1" s="18"/>
      <c r="TJB1" s="18"/>
      <c r="TJC1" s="18"/>
      <c r="TJD1" s="18"/>
      <c r="TJE1" s="18"/>
      <c r="TJF1" s="18"/>
      <c r="TJG1" s="18"/>
      <c r="TJH1" s="18"/>
      <c r="TJI1" s="18"/>
      <c r="TJJ1" s="18"/>
      <c r="TJK1" s="18"/>
      <c r="TJL1" s="18"/>
      <c r="TJM1" s="18"/>
      <c r="TJN1" s="18"/>
      <c r="TJO1" s="18"/>
      <c r="TJP1" s="18"/>
      <c r="TJQ1" s="18"/>
      <c r="TJR1" s="18"/>
      <c r="TJS1" s="18"/>
      <c r="TJT1" s="18"/>
      <c r="TJU1" s="18"/>
      <c r="TJV1" s="18"/>
      <c r="TJW1" s="18"/>
      <c r="TJX1" s="18"/>
      <c r="TJY1" s="18"/>
      <c r="TJZ1" s="18"/>
      <c r="TKA1" s="18"/>
      <c r="TKB1" s="18"/>
      <c r="TKC1" s="18"/>
      <c r="TKD1" s="18"/>
      <c r="TKE1" s="18"/>
      <c r="TKF1" s="18"/>
      <c r="TKG1" s="18"/>
      <c r="TKH1" s="18"/>
      <c r="TKI1" s="18"/>
      <c r="TKJ1" s="18"/>
      <c r="TKK1" s="18"/>
      <c r="TKL1" s="18"/>
      <c r="TKM1" s="18"/>
      <c r="TKN1" s="18"/>
      <c r="TKO1" s="18"/>
      <c r="TKP1" s="18"/>
      <c r="TKQ1" s="18"/>
      <c r="TKR1" s="18"/>
      <c r="TKS1" s="18"/>
      <c r="TKT1" s="18"/>
      <c r="TKU1" s="18"/>
      <c r="TKV1" s="18"/>
      <c r="TKW1" s="18"/>
      <c r="TKX1" s="18"/>
      <c r="TKY1" s="18"/>
      <c r="TKZ1" s="18"/>
      <c r="TLA1" s="18"/>
      <c r="TLB1" s="18"/>
      <c r="TLC1" s="18"/>
      <c r="TLD1" s="18"/>
      <c r="TLE1" s="18"/>
      <c r="TLF1" s="18"/>
      <c r="TLG1" s="18"/>
      <c r="TLH1" s="18"/>
      <c r="TLI1" s="18"/>
      <c r="TLJ1" s="18"/>
      <c r="TLK1" s="18"/>
      <c r="TLL1" s="18"/>
      <c r="TLM1" s="18"/>
      <c r="TLN1" s="18"/>
      <c r="TLO1" s="18"/>
      <c r="TLP1" s="18"/>
      <c r="TLQ1" s="18"/>
      <c r="TLR1" s="18"/>
      <c r="TLS1" s="18"/>
      <c r="TLT1" s="18"/>
      <c r="TLU1" s="18"/>
      <c r="TLV1" s="18"/>
      <c r="TLW1" s="18"/>
      <c r="TLX1" s="18"/>
      <c r="TLY1" s="18"/>
      <c r="TLZ1" s="18"/>
      <c r="TMA1" s="18"/>
      <c r="TMB1" s="18"/>
      <c r="TMC1" s="18"/>
      <c r="TMD1" s="18"/>
      <c r="TME1" s="18"/>
      <c r="TMF1" s="18"/>
      <c r="TMG1" s="18"/>
      <c r="TMH1" s="18"/>
      <c r="TMI1" s="18"/>
      <c r="TMJ1" s="18"/>
      <c r="TMK1" s="18"/>
      <c r="TML1" s="18"/>
      <c r="TMM1" s="18"/>
      <c r="TMN1" s="18"/>
      <c r="TMO1" s="18"/>
      <c r="TMP1" s="18"/>
      <c r="TMQ1" s="18"/>
      <c r="TMR1" s="18"/>
      <c r="TMS1" s="18"/>
      <c r="TMT1" s="18"/>
      <c r="TMU1" s="18"/>
      <c r="TMV1" s="18"/>
      <c r="TMW1" s="18"/>
      <c r="TMX1" s="18"/>
      <c r="TMY1" s="18"/>
      <c r="TMZ1" s="18"/>
      <c r="TNA1" s="18"/>
      <c r="TNB1" s="18"/>
      <c r="TNC1" s="18"/>
      <c r="TND1" s="18"/>
      <c r="TNE1" s="18"/>
      <c r="TNF1" s="18"/>
      <c r="TNG1" s="18"/>
      <c r="TNH1" s="18"/>
      <c r="TNI1" s="18"/>
      <c r="TNJ1" s="18"/>
      <c r="TNK1" s="18"/>
      <c r="TNL1" s="18"/>
      <c r="TNM1" s="18"/>
      <c r="TNN1" s="18"/>
      <c r="TNO1" s="18"/>
      <c r="TNP1" s="18"/>
      <c r="TNQ1" s="18"/>
      <c r="TNR1" s="18"/>
      <c r="TNS1" s="18"/>
      <c r="TNT1" s="18"/>
      <c r="TNU1" s="18"/>
      <c r="TNV1" s="18"/>
      <c r="TNW1" s="18"/>
      <c r="TNX1" s="18"/>
      <c r="TNY1" s="18"/>
      <c r="TNZ1" s="18"/>
      <c r="TOA1" s="18"/>
      <c r="TOB1" s="18"/>
      <c r="TOC1" s="18"/>
      <c r="TOD1" s="18"/>
      <c r="TOE1" s="18"/>
      <c r="TOF1" s="18"/>
      <c r="TOG1" s="18"/>
      <c r="TOH1" s="18"/>
      <c r="TOI1" s="18"/>
      <c r="TOJ1" s="18"/>
      <c r="TOK1" s="18"/>
      <c r="TOL1" s="18"/>
      <c r="TOM1" s="18"/>
      <c r="TON1" s="18"/>
      <c r="TOO1" s="18"/>
      <c r="TOP1" s="18"/>
      <c r="TOQ1" s="18"/>
      <c r="TOR1" s="18"/>
      <c r="TOS1" s="18"/>
      <c r="TOT1" s="18"/>
      <c r="TOU1" s="18"/>
      <c r="TOV1" s="18"/>
      <c r="TOW1" s="18"/>
      <c r="TOX1" s="18"/>
      <c r="TOY1" s="18"/>
      <c r="TOZ1" s="18"/>
      <c r="TPA1" s="18"/>
      <c r="TPB1" s="18"/>
      <c r="TPC1" s="18"/>
      <c r="TPD1" s="18"/>
      <c r="TPE1" s="18"/>
      <c r="TPF1" s="18"/>
      <c r="TPG1" s="18"/>
      <c r="TPH1" s="18"/>
      <c r="TPI1" s="18"/>
      <c r="TPJ1" s="18"/>
      <c r="TPK1" s="18"/>
      <c r="TPL1" s="18"/>
      <c r="TPM1" s="18"/>
      <c r="TPN1" s="18"/>
      <c r="TPO1" s="18"/>
      <c r="TPP1" s="18"/>
      <c r="TPQ1" s="18"/>
      <c r="TPR1" s="18"/>
      <c r="TPS1" s="18"/>
      <c r="TPT1" s="18"/>
      <c r="TPU1" s="18"/>
      <c r="TPV1" s="18"/>
      <c r="TPW1" s="18"/>
      <c r="TPX1" s="18"/>
      <c r="TPY1" s="18"/>
      <c r="TPZ1" s="18"/>
      <c r="TQA1" s="18"/>
      <c r="TQB1" s="18"/>
      <c r="TQC1" s="18"/>
      <c r="TQD1" s="18"/>
      <c r="TQE1" s="18"/>
      <c r="TQF1" s="18"/>
      <c r="TQG1" s="18"/>
      <c r="TQH1" s="18"/>
      <c r="TQI1" s="18"/>
      <c r="TQJ1" s="18"/>
      <c r="TQK1" s="18"/>
      <c r="TQL1" s="18"/>
      <c r="TQM1" s="18"/>
      <c r="TQN1" s="18"/>
      <c r="TQO1" s="18"/>
      <c r="TQP1" s="18"/>
      <c r="TQQ1" s="18"/>
      <c r="TQR1" s="18"/>
      <c r="TQS1" s="18"/>
      <c r="TQT1" s="18"/>
      <c r="TQU1" s="18"/>
      <c r="TQV1" s="18"/>
      <c r="TQW1" s="18"/>
      <c r="TQX1" s="18"/>
      <c r="TQY1" s="18"/>
      <c r="TQZ1" s="18"/>
      <c r="TRA1" s="18"/>
      <c r="TRB1" s="18"/>
      <c r="TRC1" s="18"/>
      <c r="TRD1" s="18"/>
      <c r="TRE1" s="18"/>
      <c r="TRF1" s="18"/>
      <c r="TRG1" s="18"/>
      <c r="TRH1" s="18"/>
      <c r="TRI1" s="18"/>
      <c r="TRJ1" s="18"/>
      <c r="TRK1" s="18"/>
      <c r="TRL1" s="18"/>
      <c r="TRM1" s="18"/>
      <c r="TRN1" s="18"/>
      <c r="TRO1" s="18"/>
      <c r="TRP1" s="18"/>
      <c r="TRQ1" s="18"/>
      <c r="TRR1" s="18"/>
      <c r="TRS1" s="18"/>
      <c r="TRT1" s="18"/>
      <c r="TRU1" s="18"/>
      <c r="TRV1" s="18"/>
      <c r="TRW1" s="18"/>
      <c r="TRX1" s="18"/>
      <c r="TRY1" s="18"/>
      <c r="TRZ1" s="18"/>
      <c r="TSA1" s="18"/>
      <c r="TSB1" s="18"/>
      <c r="TSC1" s="18"/>
      <c r="TSD1" s="18"/>
      <c r="TSE1" s="18"/>
      <c r="TSF1" s="18"/>
      <c r="TSG1" s="18"/>
      <c r="TSH1" s="18"/>
      <c r="TSI1" s="18"/>
      <c r="TSJ1" s="18"/>
      <c r="TSK1" s="18"/>
      <c r="TSL1" s="18"/>
      <c r="TSM1" s="18"/>
      <c r="TSN1" s="18"/>
      <c r="TSO1" s="18"/>
      <c r="TSP1" s="18"/>
      <c r="TSQ1" s="18"/>
      <c r="TSR1" s="18"/>
      <c r="TSS1" s="18"/>
      <c r="TST1" s="18"/>
      <c r="TSU1" s="18"/>
      <c r="TSV1" s="18"/>
      <c r="TSW1" s="18"/>
      <c r="TSX1" s="18"/>
      <c r="TSY1" s="18"/>
      <c r="TSZ1" s="18"/>
      <c r="TTA1" s="18"/>
      <c r="TTB1" s="18"/>
      <c r="TTC1" s="18"/>
      <c r="TTD1" s="18"/>
      <c r="TTE1" s="18"/>
      <c r="TTF1" s="18"/>
      <c r="TTG1" s="18"/>
      <c r="TTH1" s="18"/>
      <c r="TTI1" s="18"/>
      <c r="TTJ1" s="18"/>
      <c r="TTK1" s="18"/>
      <c r="TTL1" s="18"/>
      <c r="TTM1" s="18"/>
      <c r="TTN1" s="18"/>
      <c r="TTO1" s="18"/>
      <c r="TTP1" s="18"/>
      <c r="TTQ1" s="18"/>
      <c r="TTR1" s="18"/>
      <c r="TTS1" s="18"/>
      <c r="TTT1" s="18"/>
      <c r="TTU1" s="18"/>
      <c r="TTV1" s="18"/>
      <c r="TTW1" s="18"/>
      <c r="TTX1" s="18"/>
      <c r="TTY1" s="18"/>
      <c r="TTZ1" s="18"/>
      <c r="TUA1" s="18"/>
      <c r="TUB1" s="18"/>
      <c r="TUC1" s="18"/>
      <c r="TUD1" s="18"/>
      <c r="TUE1" s="18"/>
      <c r="TUF1" s="18"/>
      <c r="TUG1" s="18"/>
      <c r="TUH1" s="18"/>
      <c r="TUI1" s="18"/>
      <c r="TUJ1" s="18"/>
      <c r="TUK1" s="18"/>
      <c r="TUL1" s="18"/>
      <c r="TUM1" s="18"/>
      <c r="TUN1" s="18"/>
      <c r="TUO1" s="18"/>
      <c r="TUP1" s="18"/>
      <c r="TUQ1" s="18"/>
      <c r="TUR1" s="18"/>
      <c r="TUS1" s="18"/>
      <c r="TUT1" s="18"/>
      <c r="TUU1" s="18"/>
      <c r="TUV1" s="18"/>
      <c r="TUW1" s="18"/>
      <c r="TUX1" s="18"/>
      <c r="TUY1" s="18"/>
      <c r="TUZ1" s="18"/>
      <c r="TVA1" s="18"/>
      <c r="TVB1" s="18"/>
      <c r="TVC1" s="18"/>
      <c r="TVD1" s="18"/>
      <c r="TVE1" s="18"/>
      <c r="TVF1" s="18"/>
      <c r="TVG1" s="18"/>
      <c r="TVH1" s="18"/>
      <c r="TVI1" s="18"/>
      <c r="TVJ1" s="18"/>
      <c r="TVK1" s="18"/>
      <c r="TVL1" s="18"/>
      <c r="TVM1" s="18"/>
      <c r="TVN1" s="18"/>
      <c r="TVO1" s="18"/>
      <c r="TVP1" s="18"/>
      <c r="TVQ1" s="18"/>
      <c r="TVR1" s="18"/>
      <c r="TVS1" s="18"/>
      <c r="TVT1" s="18"/>
      <c r="TVU1" s="18"/>
      <c r="TVV1" s="18"/>
      <c r="TVW1" s="18"/>
      <c r="TVX1" s="18"/>
      <c r="TVY1" s="18"/>
      <c r="TVZ1" s="18"/>
      <c r="TWA1" s="18"/>
      <c r="TWB1" s="18"/>
      <c r="TWC1" s="18"/>
      <c r="TWD1" s="18"/>
      <c r="TWE1" s="18"/>
      <c r="TWF1" s="18"/>
      <c r="TWG1" s="18"/>
      <c r="TWH1" s="18"/>
      <c r="TWI1" s="18"/>
      <c r="TWJ1" s="18"/>
      <c r="TWK1" s="18"/>
      <c r="TWL1" s="18"/>
      <c r="TWM1" s="18"/>
      <c r="TWN1" s="18"/>
      <c r="TWO1" s="18"/>
      <c r="TWP1" s="18"/>
      <c r="TWQ1" s="18"/>
      <c r="TWR1" s="18"/>
      <c r="TWS1" s="18"/>
      <c r="TWT1" s="18"/>
      <c r="TWU1" s="18"/>
      <c r="TWV1" s="18"/>
      <c r="TWW1" s="18"/>
      <c r="TWX1" s="18"/>
      <c r="TWY1" s="18"/>
      <c r="TWZ1" s="18"/>
      <c r="TXA1" s="18"/>
      <c r="TXB1" s="18"/>
      <c r="TXC1" s="18"/>
      <c r="TXD1" s="18"/>
      <c r="TXE1" s="18"/>
      <c r="TXF1" s="18"/>
      <c r="TXG1" s="18"/>
      <c r="TXH1" s="18"/>
      <c r="TXI1" s="18"/>
      <c r="TXJ1" s="18"/>
      <c r="TXK1" s="18"/>
      <c r="TXL1" s="18"/>
      <c r="TXM1" s="18"/>
      <c r="TXN1" s="18"/>
      <c r="TXO1" s="18"/>
      <c r="TXP1" s="18"/>
      <c r="TXQ1" s="18"/>
      <c r="TXR1" s="18"/>
      <c r="TXS1" s="18"/>
      <c r="TXT1" s="18"/>
      <c r="TXU1" s="18"/>
      <c r="TXV1" s="18"/>
      <c r="TXW1" s="18"/>
      <c r="TXX1" s="18"/>
      <c r="TXY1" s="18"/>
      <c r="TXZ1" s="18"/>
      <c r="TYA1" s="18"/>
      <c r="TYB1" s="18"/>
      <c r="TYC1" s="18"/>
      <c r="TYD1" s="18"/>
      <c r="TYE1" s="18"/>
      <c r="TYF1" s="18"/>
      <c r="TYG1" s="18"/>
      <c r="TYH1" s="18"/>
      <c r="TYI1" s="18"/>
      <c r="TYJ1" s="18"/>
      <c r="TYK1" s="18"/>
      <c r="TYL1" s="18"/>
      <c r="TYM1" s="18"/>
      <c r="TYN1" s="18"/>
      <c r="TYO1" s="18"/>
      <c r="TYP1" s="18"/>
      <c r="TYQ1" s="18"/>
      <c r="TYR1" s="18"/>
      <c r="TYS1" s="18"/>
      <c r="TYT1" s="18"/>
      <c r="TYU1" s="18"/>
      <c r="TYV1" s="18"/>
      <c r="TYW1" s="18"/>
      <c r="TYX1" s="18"/>
      <c r="TYY1" s="18"/>
      <c r="TYZ1" s="18"/>
      <c r="TZA1" s="18"/>
      <c r="TZB1" s="18"/>
      <c r="TZC1" s="18"/>
      <c r="TZD1" s="18"/>
      <c r="TZE1" s="18"/>
      <c r="TZF1" s="18"/>
      <c r="TZG1" s="18"/>
      <c r="TZH1" s="18"/>
      <c r="TZI1" s="18"/>
      <c r="TZJ1" s="18"/>
      <c r="TZK1" s="18"/>
      <c r="TZL1" s="18"/>
      <c r="TZM1" s="18"/>
      <c r="TZN1" s="18"/>
      <c r="TZO1" s="18"/>
      <c r="TZP1" s="18"/>
      <c r="TZQ1" s="18"/>
      <c r="TZR1" s="18"/>
      <c r="TZS1" s="18"/>
      <c r="TZT1" s="18"/>
      <c r="TZU1" s="18"/>
      <c r="TZV1" s="18"/>
      <c r="TZW1" s="18"/>
      <c r="TZX1" s="18"/>
      <c r="TZY1" s="18"/>
      <c r="TZZ1" s="18"/>
      <c r="UAA1" s="18"/>
      <c r="UAB1" s="18"/>
      <c r="UAC1" s="18"/>
      <c r="UAD1" s="18"/>
      <c r="UAE1" s="18"/>
      <c r="UAF1" s="18"/>
      <c r="UAG1" s="18"/>
      <c r="UAH1" s="18"/>
      <c r="UAI1" s="18"/>
      <c r="UAJ1" s="18"/>
      <c r="UAK1" s="18"/>
      <c r="UAL1" s="18"/>
      <c r="UAM1" s="18"/>
      <c r="UAN1" s="18"/>
      <c r="UAO1" s="18"/>
      <c r="UAP1" s="18"/>
      <c r="UAQ1" s="18"/>
      <c r="UAR1" s="18"/>
      <c r="UAS1" s="18"/>
      <c r="UAT1" s="18"/>
      <c r="UAU1" s="18"/>
      <c r="UAV1" s="18"/>
      <c r="UAW1" s="18"/>
      <c r="UAX1" s="18"/>
      <c r="UAY1" s="18"/>
      <c r="UAZ1" s="18"/>
      <c r="UBA1" s="18"/>
      <c r="UBB1" s="18"/>
      <c r="UBC1" s="18"/>
      <c r="UBD1" s="18"/>
      <c r="UBE1" s="18"/>
      <c r="UBF1" s="18"/>
      <c r="UBG1" s="18"/>
      <c r="UBH1" s="18"/>
      <c r="UBI1" s="18"/>
      <c r="UBJ1" s="18"/>
      <c r="UBK1" s="18"/>
      <c r="UBL1" s="18"/>
      <c r="UBM1" s="18"/>
      <c r="UBN1" s="18"/>
      <c r="UBO1" s="18"/>
      <c r="UBP1" s="18"/>
      <c r="UBQ1" s="18"/>
      <c r="UBR1" s="18"/>
      <c r="UBS1" s="18"/>
      <c r="UBT1" s="18"/>
      <c r="UBU1" s="18"/>
      <c r="UBV1" s="18"/>
      <c r="UBW1" s="18"/>
      <c r="UBX1" s="18"/>
      <c r="UBY1" s="18"/>
      <c r="UBZ1" s="18"/>
      <c r="UCA1" s="18"/>
      <c r="UCB1" s="18"/>
      <c r="UCC1" s="18"/>
      <c r="UCD1" s="18"/>
      <c r="UCE1" s="18"/>
      <c r="UCF1" s="18"/>
      <c r="UCG1" s="18"/>
      <c r="UCH1" s="18"/>
      <c r="UCI1" s="18"/>
      <c r="UCJ1" s="18"/>
      <c r="UCK1" s="18"/>
      <c r="UCL1" s="18"/>
      <c r="UCM1" s="18"/>
      <c r="UCN1" s="18"/>
      <c r="UCO1" s="18"/>
      <c r="UCP1" s="18"/>
      <c r="UCQ1" s="18"/>
      <c r="UCR1" s="18"/>
      <c r="UCS1" s="18"/>
      <c r="UCT1" s="18"/>
      <c r="UCU1" s="18"/>
      <c r="UCV1" s="18"/>
      <c r="UCW1" s="18"/>
      <c r="UCX1" s="18"/>
      <c r="UCY1" s="18"/>
      <c r="UCZ1" s="18"/>
      <c r="UDA1" s="18"/>
      <c r="UDB1" s="18"/>
      <c r="UDC1" s="18"/>
      <c r="UDD1" s="18"/>
      <c r="UDE1" s="18"/>
      <c r="UDF1" s="18"/>
      <c r="UDG1" s="18"/>
      <c r="UDH1" s="18"/>
      <c r="UDI1" s="18"/>
      <c r="UDJ1" s="18"/>
      <c r="UDK1" s="18"/>
      <c r="UDL1" s="18"/>
      <c r="UDM1" s="18"/>
      <c r="UDN1" s="18"/>
      <c r="UDO1" s="18"/>
      <c r="UDP1" s="18"/>
      <c r="UDQ1" s="18"/>
      <c r="UDR1" s="18"/>
      <c r="UDS1" s="18"/>
      <c r="UDT1" s="18"/>
      <c r="UDU1" s="18"/>
      <c r="UDV1" s="18"/>
      <c r="UDW1" s="18"/>
      <c r="UDX1" s="18"/>
      <c r="UDY1" s="18"/>
      <c r="UDZ1" s="18"/>
      <c r="UEA1" s="18"/>
      <c r="UEB1" s="18"/>
      <c r="UEC1" s="18"/>
      <c r="UED1" s="18"/>
      <c r="UEE1" s="18"/>
      <c r="UEF1" s="18"/>
      <c r="UEG1" s="18"/>
      <c r="UEH1" s="18"/>
      <c r="UEI1" s="18"/>
      <c r="UEJ1" s="18"/>
      <c r="UEK1" s="18"/>
      <c r="UEL1" s="18"/>
      <c r="UEM1" s="18"/>
      <c r="UEN1" s="18"/>
      <c r="UEO1" s="18"/>
      <c r="UEP1" s="18"/>
      <c r="UEQ1" s="18"/>
      <c r="UER1" s="18"/>
      <c r="UES1" s="18"/>
      <c r="UET1" s="18"/>
      <c r="UEU1" s="18"/>
      <c r="UEV1" s="18"/>
      <c r="UEW1" s="18"/>
      <c r="UEX1" s="18"/>
      <c r="UEY1" s="18"/>
      <c r="UEZ1" s="18"/>
      <c r="UFA1" s="18"/>
      <c r="UFB1" s="18"/>
      <c r="UFC1" s="18"/>
      <c r="UFD1" s="18"/>
      <c r="UFE1" s="18"/>
      <c r="UFF1" s="18"/>
      <c r="UFG1" s="18"/>
      <c r="UFH1" s="18"/>
      <c r="UFI1" s="18"/>
      <c r="UFJ1" s="18"/>
      <c r="UFK1" s="18"/>
      <c r="UFL1" s="18"/>
      <c r="UFM1" s="18"/>
      <c r="UFN1" s="18"/>
      <c r="UFO1" s="18"/>
      <c r="UFP1" s="18"/>
      <c r="UFQ1" s="18"/>
      <c r="UFR1" s="18"/>
      <c r="UFS1" s="18"/>
      <c r="UFT1" s="18"/>
      <c r="UFU1" s="18"/>
      <c r="UFV1" s="18"/>
      <c r="UFW1" s="18"/>
      <c r="UFX1" s="18"/>
      <c r="UFY1" s="18"/>
      <c r="UFZ1" s="18"/>
      <c r="UGA1" s="18"/>
      <c r="UGB1" s="18"/>
      <c r="UGC1" s="18"/>
      <c r="UGD1" s="18"/>
      <c r="UGE1" s="18"/>
      <c r="UGF1" s="18"/>
      <c r="UGG1" s="18"/>
      <c r="UGH1" s="18"/>
      <c r="UGI1" s="18"/>
      <c r="UGJ1" s="18"/>
      <c r="UGK1" s="18"/>
      <c r="UGL1" s="18"/>
      <c r="UGM1" s="18"/>
      <c r="UGN1" s="18"/>
      <c r="UGO1" s="18"/>
      <c r="UGP1" s="18"/>
      <c r="UGQ1" s="18"/>
      <c r="UGR1" s="18"/>
      <c r="UGS1" s="18"/>
      <c r="UGT1" s="18"/>
      <c r="UGU1" s="18"/>
      <c r="UGV1" s="18"/>
      <c r="UGW1" s="18"/>
      <c r="UGX1" s="18"/>
      <c r="UGY1" s="18"/>
      <c r="UGZ1" s="18"/>
      <c r="UHA1" s="18"/>
      <c r="UHB1" s="18"/>
      <c r="UHC1" s="18"/>
      <c r="UHD1" s="18"/>
      <c r="UHE1" s="18"/>
      <c r="UHF1" s="18"/>
      <c r="UHG1" s="18"/>
      <c r="UHH1" s="18"/>
      <c r="UHI1" s="18"/>
      <c r="UHJ1" s="18"/>
      <c r="UHK1" s="18"/>
      <c r="UHL1" s="18"/>
      <c r="UHM1" s="18"/>
      <c r="UHN1" s="18"/>
      <c r="UHO1" s="18"/>
      <c r="UHP1" s="18"/>
      <c r="UHQ1" s="18"/>
      <c r="UHR1" s="18"/>
      <c r="UHS1" s="18"/>
      <c r="UHT1" s="18"/>
      <c r="UHU1" s="18"/>
      <c r="UHV1" s="18"/>
      <c r="UHW1" s="18"/>
      <c r="UHX1" s="18"/>
      <c r="UHY1" s="18"/>
      <c r="UHZ1" s="18"/>
      <c r="UIA1" s="18"/>
      <c r="UIB1" s="18"/>
      <c r="UIC1" s="18"/>
      <c r="UID1" s="18"/>
      <c r="UIE1" s="18"/>
      <c r="UIF1" s="18"/>
      <c r="UIG1" s="18"/>
      <c r="UIH1" s="18"/>
      <c r="UII1" s="18"/>
      <c r="UIJ1" s="18"/>
      <c r="UIK1" s="18"/>
      <c r="UIL1" s="18"/>
      <c r="UIM1" s="18"/>
      <c r="UIN1" s="18"/>
      <c r="UIO1" s="18"/>
      <c r="UIP1" s="18"/>
      <c r="UIQ1" s="18"/>
      <c r="UIR1" s="18"/>
      <c r="UIS1" s="18"/>
      <c r="UIT1" s="18"/>
      <c r="UIU1" s="18"/>
      <c r="UIV1" s="18"/>
      <c r="UIW1" s="18"/>
      <c r="UIX1" s="18"/>
      <c r="UIY1" s="18"/>
      <c r="UIZ1" s="18"/>
      <c r="UJA1" s="18"/>
      <c r="UJB1" s="18"/>
      <c r="UJC1" s="18"/>
      <c r="UJD1" s="18"/>
      <c r="UJE1" s="18"/>
      <c r="UJF1" s="18"/>
      <c r="UJG1" s="18"/>
      <c r="UJH1" s="18"/>
      <c r="UJI1" s="18"/>
      <c r="UJJ1" s="18"/>
      <c r="UJK1" s="18"/>
      <c r="UJL1" s="18"/>
      <c r="UJM1" s="18"/>
      <c r="UJN1" s="18"/>
      <c r="UJO1" s="18"/>
      <c r="UJP1" s="18"/>
      <c r="UJQ1" s="18"/>
      <c r="UJR1" s="18"/>
      <c r="UJS1" s="18"/>
      <c r="UJT1" s="18"/>
      <c r="UJU1" s="18"/>
      <c r="UJV1" s="18"/>
      <c r="UJW1" s="18"/>
      <c r="UJX1" s="18"/>
      <c r="UJY1" s="18"/>
      <c r="UJZ1" s="18"/>
      <c r="UKA1" s="18"/>
      <c r="UKB1" s="18"/>
      <c r="UKC1" s="18"/>
      <c r="UKD1" s="18"/>
      <c r="UKE1" s="18"/>
      <c r="UKF1" s="18"/>
      <c r="UKG1" s="18"/>
      <c r="UKH1" s="18"/>
      <c r="UKI1" s="18"/>
      <c r="UKJ1" s="18"/>
      <c r="UKK1" s="18"/>
      <c r="UKL1" s="18"/>
      <c r="UKM1" s="18"/>
      <c r="UKN1" s="18"/>
      <c r="UKO1" s="18"/>
      <c r="UKP1" s="18"/>
      <c r="UKQ1" s="18"/>
      <c r="UKR1" s="18"/>
      <c r="UKS1" s="18"/>
      <c r="UKT1" s="18"/>
      <c r="UKU1" s="18"/>
      <c r="UKV1" s="18"/>
      <c r="UKW1" s="18"/>
      <c r="UKX1" s="18"/>
      <c r="UKY1" s="18"/>
      <c r="UKZ1" s="18"/>
      <c r="ULA1" s="18"/>
      <c r="ULB1" s="18"/>
      <c r="ULC1" s="18"/>
      <c r="ULD1" s="18"/>
      <c r="ULE1" s="18"/>
      <c r="ULF1" s="18"/>
      <c r="ULG1" s="18"/>
      <c r="ULH1" s="18"/>
      <c r="ULI1" s="18"/>
      <c r="ULJ1" s="18"/>
      <c r="ULK1" s="18"/>
      <c r="ULL1" s="18"/>
      <c r="ULM1" s="18"/>
      <c r="ULN1" s="18"/>
      <c r="ULO1" s="18"/>
      <c r="ULP1" s="18"/>
      <c r="ULQ1" s="18"/>
      <c r="ULR1" s="18"/>
      <c r="ULS1" s="18"/>
      <c r="ULT1" s="18"/>
      <c r="ULU1" s="18"/>
      <c r="ULV1" s="18"/>
      <c r="ULW1" s="18"/>
      <c r="ULX1" s="18"/>
      <c r="ULY1" s="18"/>
      <c r="ULZ1" s="18"/>
      <c r="UMA1" s="18"/>
      <c r="UMB1" s="18"/>
      <c r="UMC1" s="18"/>
      <c r="UMD1" s="18"/>
      <c r="UME1" s="18"/>
      <c r="UMF1" s="18"/>
      <c r="UMG1" s="18"/>
      <c r="UMH1" s="18"/>
      <c r="UMI1" s="18"/>
      <c r="UMJ1" s="18"/>
      <c r="UMK1" s="18"/>
      <c r="UML1" s="18"/>
      <c r="UMM1" s="18"/>
      <c r="UMN1" s="18"/>
      <c r="UMO1" s="18"/>
      <c r="UMP1" s="18"/>
      <c r="UMQ1" s="18"/>
      <c r="UMR1" s="18"/>
      <c r="UMS1" s="18"/>
      <c r="UMT1" s="18"/>
      <c r="UMU1" s="18"/>
      <c r="UMV1" s="18"/>
      <c r="UMW1" s="18"/>
      <c r="UMX1" s="18"/>
      <c r="UMY1" s="18"/>
      <c r="UMZ1" s="18"/>
      <c r="UNA1" s="18"/>
      <c r="UNB1" s="18"/>
      <c r="UNC1" s="18"/>
      <c r="UND1" s="18"/>
      <c r="UNE1" s="18"/>
      <c r="UNF1" s="18"/>
      <c r="UNG1" s="18"/>
      <c r="UNH1" s="18"/>
      <c r="UNI1" s="18"/>
      <c r="UNJ1" s="18"/>
      <c r="UNK1" s="18"/>
      <c r="UNL1" s="18"/>
      <c r="UNM1" s="18"/>
      <c r="UNN1" s="18"/>
      <c r="UNO1" s="18"/>
      <c r="UNP1" s="18"/>
      <c r="UNQ1" s="18"/>
      <c r="UNR1" s="18"/>
      <c r="UNS1" s="18"/>
      <c r="UNT1" s="18"/>
      <c r="UNU1" s="18"/>
      <c r="UNV1" s="18"/>
      <c r="UNW1" s="18"/>
      <c r="UNX1" s="18"/>
      <c r="UNY1" s="18"/>
      <c r="UNZ1" s="18"/>
      <c r="UOA1" s="18"/>
      <c r="UOB1" s="18"/>
      <c r="UOC1" s="18"/>
      <c r="UOD1" s="18"/>
      <c r="UOE1" s="18"/>
      <c r="UOF1" s="18"/>
      <c r="UOG1" s="18"/>
      <c r="UOH1" s="18"/>
      <c r="UOI1" s="18"/>
      <c r="UOJ1" s="18"/>
      <c r="UOK1" s="18"/>
      <c r="UOL1" s="18"/>
      <c r="UOM1" s="18"/>
      <c r="UON1" s="18"/>
      <c r="UOO1" s="18"/>
      <c r="UOP1" s="18"/>
      <c r="UOQ1" s="18"/>
      <c r="UOR1" s="18"/>
      <c r="UOS1" s="18"/>
      <c r="UOT1" s="18"/>
      <c r="UOU1" s="18"/>
      <c r="UOV1" s="18"/>
      <c r="UOW1" s="18"/>
      <c r="UOX1" s="18"/>
      <c r="UOY1" s="18"/>
      <c r="UOZ1" s="18"/>
      <c r="UPA1" s="18"/>
      <c r="UPB1" s="18"/>
      <c r="UPC1" s="18"/>
      <c r="UPD1" s="18"/>
      <c r="UPE1" s="18"/>
      <c r="UPF1" s="18"/>
      <c r="UPG1" s="18"/>
      <c r="UPH1" s="18"/>
      <c r="UPI1" s="18"/>
      <c r="UPJ1" s="18"/>
      <c r="UPK1" s="18"/>
      <c r="UPL1" s="18"/>
      <c r="UPM1" s="18"/>
      <c r="UPN1" s="18"/>
      <c r="UPO1" s="18"/>
      <c r="UPP1" s="18"/>
      <c r="UPQ1" s="18"/>
      <c r="UPR1" s="18"/>
      <c r="UPS1" s="18"/>
      <c r="UPT1" s="18"/>
      <c r="UPU1" s="18"/>
      <c r="UPV1" s="18"/>
      <c r="UPW1" s="18"/>
      <c r="UPX1" s="18"/>
      <c r="UPY1" s="18"/>
      <c r="UPZ1" s="18"/>
      <c r="UQA1" s="18"/>
      <c r="UQB1" s="18"/>
      <c r="UQC1" s="18"/>
      <c r="UQD1" s="18"/>
      <c r="UQE1" s="18"/>
      <c r="UQF1" s="18"/>
      <c r="UQG1" s="18"/>
      <c r="UQH1" s="18"/>
      <c r="UQI1" s="18"/>
      <c r="UQJ1" s="18"/>
      <c r="UQK1" s="18"/>
      <c r="UQL1" s="18"/>
      <c r="UQM1" s="18"/>
      <c r="UQN1" s="18"/>
      <c r="UQO1" s="18"/>
      <c r="UQP1" s="18"/>
      <c r="UQQ1" s="18"/>
      <c r="UQR1" s="18"/>
      <c r="UQS1" s="18"/>
      <c r="UQT1" s="18"/>
      <c r="UQU1" s="18"/>
      <c r="UQV1" s="18"/>
      <c r="UQW1" s="18"/>
      <c r="UQX1" s="18"/>
      <c r="UQY1" s="18"/>
      <c r="UQZ1" s="18"/>
      <c r="URA1" s="18"/>
      <c r="URB1" s="18"/>
      <c r="URC1" s="18"/>
      <c r="URD1" s="18"/>
      <c r="URE1" s="18"/>
      <c r="URF1" s="18"/>
      <c r="URG1" s="18"/>
      <c r="URH1" s="18"/>
      <c r="URI1" s="18"/>
      <c r="URJ1" s="18"/>
      <c r="URK1" s="18"/>
      <c r="URL1" s="18"/>
      <c r="URM1" s="18"/>
      <c r="URN1" s="18"/>
      <c r="URO1" s="18"/>
      <c r="URP1" s="18"/>
      <c r="URQ1" s="18"/>
      <c r="URR1" s="18"/>
      <c r="URS1" s="18"/>
      <c r="URT1" s="18"/>
      <c r="URU1" s="18"/>
      <c r="URV1" s="18"/>
      <c r="URW1" s="18"/>
      <c r="URX1" s="18"/>
      <c r="URY1" s="18"/>
      <c r="URZ1" s="18"/>
      <c r="USA1" s="18"/>
      <c r="USB1" s="18"/>
      <c r="USC1" s="18"/>
      <c r="USD1" s="18"/>
      <c r="USE1" s="18"/>
      <c r="USF1" s="18"/>
      <c r="USG1" s="18"/>
      <c r="USH1" s="18"/>
      <c r="USI1" s="18"/>
      <c r="USJ1" s="18"/>
      <c r="USK1" s="18"/>
      <c r="USL1" s="18"/>
      <c r="USM1" s="18"/>
      <c r="USN1" s="18"/>
      <c r="USO1" s="18"/>
      <c r="USP1" s="18"/>
      <c r="USQ1" s="18"/>
      <c r="USR1" s="18"/>
      <c r="USS1" s="18"/>
      <c r="UST1" s="18"/>
      <c r="USU1" s="18"/>
      <c r="USV1" s="18"/>
      <c r="USW1" s="18"/>
      <c r="USX1" s="18"/>
      <c r="USY1" s="18"/>
      <c r="USZ1" s="18"/>
      <c r="UTA1" s="18"/>
      <c r="UTB1" s="18"/>
      <c r="UTC1" s="18"/>
      <c r="UTD1" s="18"/>
      <c r="UTE1" s="18"/>
      <c r="UTF1" s="18"/>
      <c r="UTG1" s="18"/>
      <c r="UTH1" s="18"/>
      <c r="UTI1" s="18"/>
      <c r="UTJ1" s="18"/>
      <c r="UTK1" s="18"/>
      <c r="UTL1" s="18"/>
      <c r="UTM1" s="18"/>
      <c r="UTN1" s="18"/>
      <c r="UTO1" s="18"/>
      <c r="UTP1" s="18"/>
      <c r="UTQ1" s="18"/>
      <c r="UTR1" s="18"/>
      <c r="UTS1" s="18"/>
      <c r="UTT1" s="18"/>
      <c r="UTU1" s="18"/>
      <c r="UTV1" s="18"/>
      <c r="UTW1" s="18"/>
      <c r="UTX1" s="18"/>
      <c r="UTY1" s="18"/>
      <c r="UTZ1" s="18"/>
      <c r="UUA1" s="18"/>
      <c r="UUB1" s="18"/>
      <c r="UUC1" s="18"/>
      <c r="UUD1" s="18"/>
      <c r="UUE1" s="18"/>
      <c r="UUF1" s="18"/>
      <c r="UUG1" s="18"/>
      <c r="UUH1" s="18"/>
      <c r="UUI1" s="18"/>
      <c r="UUJ1" s="18"/>
      <c r="UUK1" s="18"/>
      <c r="UUL1" s="18"/>
      <c r="UUM1" s="18"/>
      <c r="UUN1" s="18"/>
      <c r="UUO1" s="18"/>
      <c r="UUP1" s="18"/>
      <c r="UUQ1" s="18"/>
      <c r="UUR1" s="18"/>
      <c r="UUS1" s="18"/>
      <c r="UUT1" s="18"/>
      <c r="UUU1" s="18"/>
      <c r="UUV1" s="18"/>
      <c r="UUW1" s="18"/>
      <c r="UUX1" s="18"/>
      <c r="UUY1" s="18"/>
      <c r="UUZ1" s="18"/>
      <c r="UVA1" s="18"/>
      <c r="UVB1" s="18"/>
      <c r="UVC1" s="18"/>
      <c r="UVD1" s="18"/>
      <c r="UVE1" s="18"/>
      <c r="UVF1" s="18"/>
      <c r="UVG1" s="18"/>
      <c r="UVH1" s="18"/>
      <c r="UVI1" s="18"/>
      <c r="UVJ1" s="18"/>
      <c r="UVK1" s="18"/>
      <c r="UVL1" s="18"/>
      <c r="UVM1" s="18"/>
      <c r="UVN1" s="18"/>
      <c r="UVO1" s="18"/>
      <c r="UVP1" s="18"/>
      <c r="UVQ1" s="18"/>
      <c r="UVR1" s="18"/>
      <c r="UVS1" s="18"/>
      <c r="UVT1" s="18"/>
      <c r="UVU1" s="18"/>
      <c r="UVV1" s="18"/>
      <c r="UVW1" s="18"/>
      <c r="UVX1" s="18"/>
      <c r="UVY1" s="18"/>
      <c r="UVZ1" s="18"/>
      <c r="UWA1" s="18"/>
      <c r="UWB1" s="18"/>
      <c r="UWC1" s="18"/>
      <c r="UWD1" s="18"/>
      <c r="UWE1" s="18"/>
      <c r="UWF1" s="18"/>
      <c r="UWG1" s="18"/>
      <c r="UWH1" s="18"/>
      <c r="UWI1" s="18"/>
      <c r="UWJ1" s="18"/>
      <c r="UWK1" s="18"/>
      <c r="UWL1" s="18"/>
      <c r="UWM1" s="18"/>
      <c r="UWN1" s="18"/>
      <c r="UWO1" s="18"/>
      <c r="UWP1" s="18"/>
      <c r="UWQ1" s="18"/>
      <c r="UWR1" s="18"/>
      <c r="UWS1" s="18"/>
      <c r="UWT1" s="18"/>
      <c r="UWU1" s="18"/>
      <c r="UWV1" s="18"/>
      <c r="UWW1" s="18"/>
      <c r="UWX1" s="18"/>
      <c r="UWY1" s="18"/>
      <c r="UWZ1" s="18"/>
      <c r="UXA1" s="18"/>
      <c r="UXB1" s="18"/>
      <c r="UXC1" s="18"/>
      <c r="UXD1" s="18"/>
      <c r="UXE1" s="18"/>
      <c r="UXF1" s="18"/>
      <c r="UXG1" s="18"/>
      <c r="UXH1" s="18"/>
      <c r="UXI1" s="18"/>
      <c r="UXJ1" s="18"/>
      <c r="UXK1" s="18"/>
      <c r="UXL1" s="18"/>
      <c r="UXM1" s="18"/>
      <c r="UXN1" s="18"/>
      <c r="UXO1" s="18"/>
      <c r="UXP1" s="18"/>
      <c r="UXQ1" s="18"/>
      <c r="UXR1" s="18"/>
      <c r="UXS1" s="18"/>
      <c r="UXT1" s="18"/>
      <c r="UXU1" s="18"/>
      <c r="UXV1" s="18"/>
      <c r="UXW1" s="18"/>
      <c r="UXX1" s="18"/>
      <c r="UXY1" s="18"/>
      <c r="UXZ1" s="18"/>
      <c r="UYA1" s="18"/>
      <c r="UYB1" s="18"/>
      <c r="UYC1" s="18"/>
      <c r="UYD1" s="18"/>
      <c r="UYE1" s="18"/>
      <c r="UYF1" s="18"/>
      <c r="UYG1" s="18"/>
      <c r="UYH1" s="18"/>
      <c r="UYI1" s="18"/>
      <c r="UYJ1" s="18"/>
      <c r="UYK1" s="18"/>
      <c r="UYL1" s="18"/>
      <c r="UYM1" s="18"/>
      <c r="UYN1" s="18"/>
      <c r="UYO1" s="18"/>
      <c r="UYP1" s="18"/>
      <c r="UYQ1" s="18"/>
      <c r="UYR1" s="18"/>
      <c r="UYS1" s="18"/>
      <c r="UYT1" s="18"/>
      <c r="UYU1" s="18"/>
      <c r="UYV1" s="18"/>
      <c r="UYW1" s="18"/>
      <c r="UYX1" s="18"/>
      <c r="UYY1" s="18"/>
      <c r="UYZ1" s="18"/>
      <c r="UZA1" s="18"/>
      <c r="UZB1" s="18"/>
      <c r="UZC1" s="18"/>
      <c r="UZD1" s="18"/>
      <c r="UZE1" s="18"/>
      <c r="UZF1" s="18"/>
      <c r="UZG1" s="18"/>
      <c r="UZH1" s="18"/>
      <c r="UZI1" s="18"/>
      <c r="UZJ1" s="18"/>
      <c r="UZK1" s="18"/>
      <c r="UZL1" s="18"/>
      <c r="UZM1" s="18"/>
      <c r="UZN1" s="18"/>
      <c r="UZO1" s="18"/>
      <c r="UZP1" s="18"/>
      <c r="UZQ1" s="18"/>
      <c r="UZR1" s="18"/>
      <c r="UZS1" s="18"/>
      <c r="UZT1" s="18"/>
      <c r="UZU1" s="18"/>
      <c r="UZV1" s="18"/>
      <c r="UZW1" s="18"/>
      <c r="UZX1" s="18"/>
      <c r="UZY1" s="18"/>
      <c r="UZZ1" s="18"/>
      <c r="VAA1" s="18"/>
      <c r="VAB1" s="18"/>
      <c r="VAC1" s="18"/>
      <c r="VAD1" s="18"/>
      <c r="VAE1" s="18"/>
      <c r="VAF1" s="18"/>
      <c r="VAG1" s="18"/>
      <c r="VAH1" s="18"/>
      <c r="VAI1" s="18"/>
      <c r="VAJ1" s="18"/>
      <c r="VAK1" s="18"/>
      <c r="VAL1" s="18"/>
      <c r="VAM1" s="18"/>
      <c r="VAN1" s="18"/>
      <c r="VAO1" s="18"/>
      <c r="VAP1" s="18"/>
      <c r="VAQ1" s="18"/>
      <c r="VAR1" s="18"/>
      <c r="VAS1" s="18"/>
      <c r="VAT1" s="18"/>
      <c r="VAU1" s="18"/>
      <c r="VAV1" s="18"/>
      <c r="VAW1" s="18"/>
      <c r="VAX1" s="18"/>
      <c r="VAY1" s="18"/>
      <c r="VAZ1" s="18"/>
      <c r="VBA1" s="18"/>
      <c r="VBB1" s="18"/>
      <c r="VBC1" s="18"/>
      <c r="VBD1" s="18"/>
      <c r="VBE1" s="18"/>
      <c r="VBF1" s="18"/>
      <c r="VBG1" s="18"/>
      <c r="VBH1" s="18"/>
      <c r="VBI1" s="18"/>
      <c r="VBJ1" s="18"/>
      <c r="VBK1" s="18"/>
      <c r="VBL1" s="18"/>
      <c r="VBM1" s="18"/>
      <c r="VBN1" s="18"/>
      <c r="VBO1" s="18"/>
      <c r="VBP1" s="18"/>
      <c r="VBQ1" s="18"/>
      <c r="VBR1" s="18"/>
      <c r="VBS1" s="18"/>
      <c r="VBT1" s="18"/>
      <c r="VBU1" s="18"/>
      <c r="VBV1" s="18"/>
      <c r="VBW1" s="18"/>
      <c r="VBX1" s="18"/>
      <c r="VBY1" s="18"/>
      <c r="VBZ1" s="18"/>
      <c r="VCA1" s="18"/>
      <c r="VCB1" s="18"/>
      <c r="VCC1" s="18"/>
      <c r="VCD1" s="18"/>
      <c r="VCE1" s="18"/>
      <c r="VCF1" s="18"/>
      <c r="VCG1" s="18"/>
      <c r="VCH1" s="18"/>
      <c r="VCI1" s="18"/>
      <c r="VCJ1" s="18"/>
      <c r="VCK1" s="18"/>
      <c r="VCL1" s="18"/>
      <c r="VCM1" s="18"/>
      <c r="VCN1" s="18"/>
      <c r="VCO1" s="18"/>
      <c r="VCP1" s="18"/>
      <c r="VCQ1" s="18"/>
      <c r="VCR1" s="18"/>
      <c r="VCS1" s="18"/>
      <c r="VCT1" s="18"/>
      <c r="VCU1" s="18"/>
      <c r="VCV1" s="18"/>
      <c r="VCW1" s="18"/>
      <c r="VCX1" s="18"/>
      <c r="VCY1" s="18"/>
      <c r="VCZ1" s="18"/>
      <c r="VDA1" s="18"/>
      <c r="VDB1" s="18"/>
      <c r="VDC1" s="18"/>
      <c r="VDD1" s="18"/>
      <c r="VDE1" s="18"/>
      <c r="VDF1" s="18"/>
      <c r="VDG1" s="18"/>
      <c r="VDH1" s="18"/>
      <c r="VDI1" s="18"/>
      <c r="VDJ1" s="18"/>
      <c r="VDK1" s="18"/>
      <c r="VDL1" s="18"/>
      <c r="VDM1" s="18"/>
      <c r="VDN1" s="18"/>
      <c r="VDO1" s="18"/>
      <c r="VDP1" s="18"/>
      <c r="VDQ1" s="18"/>
      <c r="VDR1" s="18"/>
      <c r="VDS1" s="18"/>
      <c r="VDT1" s="18"/>
      <c r="VDU1" s="18"/>
      <c r="VDV1" s="18"/>
      <c r="VDW1" s="18"/>
      <c r="VDX1" s="18"/>
      <c r="VDY1" s="18"/>
      <c r="VDZ1" s="18"/>
      <c r="VEA1" s="18"/>
      <c r="VEB1" s="18"/>
      <c r="VEC1" s="18"/>
      <c r="VED1" s="18"/>
      <c r="VEE1" s="18"/>
      <c r="VEF1" s="18"/>
      <c r="VEG1" s="18"/>
      <c r="VEH1" s="18"/>
      <c r="VEI1" s="18"/>
      <c r="VEJ1" s="18"/>
      <c r="VEK1" s="18"/>
      <c r="VEL1" s="18"/>
      <c r="VEM1" s="18"/>
      <c r="VEN1" s="18"/>
      <c r="VEO1" s="18"/>
      <c r="VEP1" s="18"/>
      <c r="VEQ1" s="18"/>
      <c r="VER1" s="18"/>
      <c r="VES1" s="18"/>
      <c r="VET1" s="18"/>
      <c r="VEU1" s="18"/>
      <c r="VEV1" s="18"/>
      <c r="VEW1" s="18"/>
      <c r="VEX1" s="18"/>
      <c r="VEY1" s="18"/>
      <c r="VEZ1" s="18"/>
      <c r="VFA1" s="18"/>
      <c r="VFB1" s="18"/>
      <c r="VFC1" s="18"/>
      <c r="VFD1" s="18"/>
      <c r="VFE1" s="18"/>
      <c r="VFF1" s="18"/>
      <c r="VFG1" s="18"/>
      <c r="VFH1" s="18"/>
      <c r="VFI1" s="18"/>
      <c r="VFJ1" s="18"/>
      <c r="VFK1" s="18"/>
      <c r="VFL1" s="18"/>
      <c r="VFM1" s="18"/>
      <c r="VFN1" s="18"/>
      <c r="VFO1" s="18"/>
      <c r="VFP1" s="18"/>
      <c r="VFQ1" s="18"/>
      <c r="VFR1" s="18"/>
      <c r="VFS1" s="18"/>
      <c r="VFT1" s="18"/>
      <c r="VFU1" s="18"/>
      <c r="VFV1" s="18"/>
      <c r="VFW1" s="18"/>
      <c r="VFX1" s="18"/>
      <c r="VFY1" s="18"/>
      <c r="VFZ1" s="18"/>
      <c r="VGA1" s="18"/>
      <c r="VGB1" s="18"/>
      <c r="VGC1" s="18"/>
      <c r="VGD1" s="18"/>
      <c r="VGE1" s="18"/>
      <c r="VGF1" s="18"/>
      <c r="VGG1" s="18"/>
      <c r="VGH1" s="18"/>
      <c r="VGI1" s="18"/>
      <c r="VGJ1" s="18"/>
      <c r="VGK1" s="18"/>
      <c r="VGL1" s="18"/>
      <c r="VGM1" s="18"/>
      <c r="VGN1" s="18"/>
      <c r="VGO1" s="18"/>
      <c r="VGP1" s="18"/>
      <c r="VGQ1" s="18"/>
      <c r="VGR1" s="18"/>
      <c r="VGS1" s="18"/>
      <c r="VGT1" s="18"/>
      <c r="VGU1" s="18"/>
      <c r="VGV1" s="18"/>
      <c r="VGW1" s="18"/>
      <c r="VGX1" s="18"/>
      <c r="VGY1" s="18"/>
      <c r="VGZ1" s="18"/>
      <c r="VHA1" s="18"/>
      <c r="VHB1" s="18"/>
      <c r="VHC1" s="18"/>
      <c r="VHD1" s="18"/>
      <c r="VHE1" s="18"/>
      <c r="VHF1" s="18"/>
      <c r="VHG1" s="18"/>
      <c r="VHH1" s="18"/>
      <c r="VHI1" s="18"/>
      <c r="VHJ1" s="18"/>
      <c r="VHK1" s="18"/>
      <c r="VHL1" s="18"/>
      <c r="VHM1" s="18"/>
      <c r="VHN1" s="18"/>
      <c r="VHO1" s="18"/>
      <c r="VHP1" s="18"/>
      <c r="VHQ1" s="18"/>
      <c r="VHR1" s="18"/>
      <c r="VHS1" s="18"/>
      <c r="VHT1" s="18"/>
      <c r="VHU1" s="18"/>
      <c r="VHV1" s="18"/>
      <c r="VHW1" s="18"/>
      <c r="VHX1" s="18"/>
      <c r="VHY1" s="18"/>
      <c r="VHZ1" s="18"/>
      <c r="VIA1" s="18"/>
      <c r="VIB1" s="18"/>
      <c r="VIC1" s="18"/>
      <c r="VID1" s="18"/>
      <c r="VIE1" s="18"/>
      <c r="VIF1" s="18"/>
      <c r="VIG1" s="18"/>
      <c r="VIH1" s="18"/>
      <c r="VII1" s="18"/>
      <c r="VIJ1" s="18"/>
      <c r="VIK1" s="18"/>
      <c r="VIL1" s="18"/>
      <c r="VIM1" s="18"/>
      <c r="VIN1" s="18"/>
      <c r="VIO1" s="18"/>
      <c r="VIP1" s="18"/>
      <c r="VIQ1" s="18"/>
      <c r="VIR1" s="18"/>
      <c r="VIS1" s="18"/>
      <c r="VIT1" s="18"/>
      <c r="VIU1" s="18"/>
      <c r="VIV1" s="18"/>
      <c r="VIW1" s="18"/>
      <c r="VIX1" s="18"/>
      <c r="VIY1" s="18"/>
      <c r="VIZ1" s="18"/>
      <c r="VJA1" s="18"/>
      <c r="VJB1" s="18"/>
      <c r="VJC1" s="18"/>
      <c r="VJD1" s="18"/>
      <c r="VJE1" s="18"/>
      <c r="VJF1" s="18"/>
      <c r="VJG1" s="18"/>
      <c r="VJH1" s="18"/>
      <c r="VJI1" s="18"/>
      <c r="VJJ1" s="18"/>
      <c r="VJK1" s="18"/>
      <c r="VJL1" s="18"/>
      <c r="VJM1" s="18"/>
      <c r="VJN1" s="18"/>
      <c r="VJO1" s="18"/>
      <c r="VJP1" s="18"/>
      <c r="VJQ1" s="18"/>
      <c r="VJR1" s="18"/>
      <c r="VJS1" s="18"/>
      <c r="VJT1" s="18"/>
      <c r="VJU1" s="18"/>
      <c r="VJV1" s="18"/>
      <c r="VJW1" s="18"/>
      <c r="VJX1" s="18"/>
      <c r="VJY1" s="18"/>
      <c r="VJZ1" s="18"/>
      <c r="VKA1" s="18"/>
      <c r="VKB1" s="18"/>
      <c r="VKC1" s="18"/>
      <c r="VKD1" s="18"/>
      <c r="VKE1" s="18"/>
      <c r="VKF1" s="18"/>
      <c r="VKG1" s="18"/>
      <c r="VKH1" s="18"/>
      <c r="VKI1" s="18"/>
      <c r="VKJ1" s="18"/>
      <c r="VKK1" s="18"/>
      <c r="VKL1" s="18"/>
      <c r="VKM1" s="18"/>
      <c r="VKN1" s="18"/>
      <c r="VKO1" s="18"/>
      <c r="VKP1" s="18"/>
      <c r="VKQ1" s="18"/>
      <c r="VKR1" s="18"/>
      <c r="VKS1" s="18"/>
      <c r="VKT1" s="18"/>
      <c r="VKU1" s="18"/>
      <c r="VKV1" s="18"/>
      <c r="VKW1" s="18"/>
      <c r="VKX1" s="18"/>
      <c r="VKY1" s="18"/>
      <c r="VKZ1" s="18"/>
      <c r="VLA1" s="18"/>
      <c r="VLB1" s="18"/>
      <c r="VLC1" s="18"/>
      <c r="VLD1" s="18"/>
      <c r="VLE1" s="18"/>
      <c r="VLF1" s="18"/>
      <c r="VLG1" s="18"/>
      <c r="VLH1" s="18"/>
      <c r="VLI1" s="18"/>
      <c r="VLJ1" s="18"/>
      <c r="VLK1" s="18"/>
      <c r="VLL1" s="18"/>
      <c r="VLM1" s="18"/>
      <c r="VLN1" s="18"/>
      <c r="VLO1" s="18"/>
      <c r="VLP1" s="18"/>
      <c r="VLQ1" s="18"/>
      <c r="VLR1" s="18"/>
      <c r="VLS1" s="18"/>
      <c r="VLT1" s="18"/>
      <c r="VLU1" s="18"/>
      <c r="VLV1" s="18"/>
      <c r="VLW1" s="18"/>
      <c r="VLX1" s="18"/>
      <c r="VLY1" s="18"/>
      <c r="VLZ1" s="18"/>
      <c r="VMA1" s="18"/>
      <c r="VMB1" s="18"/>
      <c r="VMC1" s="18"/>
      <c r="VMD1" s="18"/>
      <c r="VME1" s="18"/>
      <c r="VMF1" s="18"/>
      <c r="VMG1" s="18"/>
      <c r="VMH1" s="18"/>
      <c r="VMI1" s="18"/>
      <c r="VMJ1" s="18"/>
      <c r="VMK1" s="18"/>
      <c r="VML1" s="18"/>
      <c r="VMM1" s="18"/>
      <c r="VMN1" s="18"/>
      <c r="VMO1" s="18"/>
      <c r="VMP1" s="18"/>
      <c r="VMQ1" s="18"/>
      <c r="VMR1" s="18"/>
      <c r="VMS1" s="18"/>
      <c r="VMT1" s="18"/>
      <c r="VMU1" s="18"/>
      <c r="VMV1" s="18"/>
      <c r="VMW1" s="18"/>
      <c r="VMX1" s="18"/>
      <c r="VMY1" s="18"/>
      <c r="VMZ1" s="18"/>
      <c r="VNA1" s="18"/>
      <c r="VNB1" s="18"/>
      <c r="VNC1" s="18"/>
      <c r="VND1" s="18"/>
      <c r="VNE1" s="18"/>
      <c r="VNF1" s="18"/>
      <c r="VNG1" s="18"/>
      <c r="VNH1" s="18"/>
      <c r="VNI1" s="18"/>
      <c r="VNJ1" s="18"/>
      <c r="VNK1" s="18"/>
      <c r="VNL1" s="18"/>
      <c r="VNM1" s="18"/>
      <c r="VNN1" s="18"/>
      <c r="VNO1" s="18"/>
      <c r="VNP1" s="18"/>
      <c r="VNQ1" s="18"/>
      <c r="VNR1" s="18"/>
      <c r="VNS1" s="18"/>
      <c r="VNT1" s="18"/>
      <c r="VNU1" s="18"/>
      <c r="VNV1" s="18"/>
      <c r="VNW1" s="18"/>
      <c r="VNX1" s="18"/>
      <c r="VNY1" s="18"/>
      <c r="VNZ1" s="18"/>
      <c r="VOA1" s="18"/>
      <c r="VOB1" s="18"/>
      <c r="VOC1" s="18"/>
      <c r="VOD1" s="18"/>
      <c r="VOE1" s="18"/>
      <c r="VOF1" s="18"/>
      <c r="VOG1" s="18"/>
      <c r="VOH1" s="18"/>
      <c r="VOI1" s="18"/>
      <c r="VOJ1" s="18"/>
      <c r="VOK1" s="18"/>
      <c r="VOL1" s="18"/>
      <c r="VOM1" s="18"/>
      <c r="VON1" s="18"/>
      <c r="VOO1" s="18"/>
      <c r="VOP1" s="18"/>
      <c r="VOQ1" s="18"/>
      <c r="VOR1" s="18"/>
      <c r="VOS1" s="18"/>
      <c r="VOT1" s="18"/>
      <c r="VOU1" s="18"/>
      <c r="VOV1" s="18"/>
      <c r="VOW1" s="18"/>
      <c r="VOX1" s="18"/>
      <c r="VOY1" s="18"/>
      <c r="VOZ1" s="18"/>
      <c r="VPA1" s="18"/>
      <c r="VPB1" s="18"/>
      <c r="VPC1" s="18"/>
      <c r="VPD1" s="18"/>
      <c r="VPE1" s="18"/>
      <c r="VPF1" s="18"/>
      <c r="VPG1" s="18"/>
      <c r="VPH1" s="18"/>
      <c r="VPI1" s="18"/>
      <c r="VPJ1" s="18"/>
      <c r="VPK1" s="18"/>
      <c r="VPL1" s="18"/>
      <c r="VPM1" s="18"/>
      <c r="VPN1" s="18"/>
      <c r="VPO1" s="18"/>
      <c r="VPP1" s="18"/>
      <c r="VPQ1" s="18"/>
      <c r="VPR1" s="18"/>
      <c r="VPS1" s="18"/>
      <c r="VPT1" s="18"/>
      <c r="VPU1" s="18"/>
      <c r="VPV1" s="18"/>
      <c r="VPW1" s="18"/>
      <c r="VPX1" s="18"/>
      <c r="VPY1" s="18"/>
      <c r="VPZ1" s="18"/>
      <c r="VQA1" s="18"/>
      <c r="VQB1" s="18"/>
      <c r="VQC1" s="18"/>
      <c r="VQD1" s="18"/>
      <c r="VQE1" s="18"/>
      <c r="VQF1" s="18"/>
      <c r="VQG1" s="18"/>
      <c r="VQH1" s="18"/>
      <c r="VQI1" s="18"/>
      <c r="VQJ1" s="18"/>
      <c r="VQK1" s="18"/>
      <c r="VQL1" s="18"/>
      <c r="VQM1" s="18"/>
      <c r="VQN1" s="18"/>
      <c r="VQO1" s="18"/>
      <c r="VQP1" s="18"/>
      <c r="VQQ1" s="18"/>
      <c r="VQR1" s="18"/>
      <c r="VQS1" s="18"/>
      <c r="VQT1" s="18"/>
      <c r="VQU1" s="18"/>
      <c r="VQV1" s="18"/>
      <c r="VQW1" s="18"/>
      <c r="VQX1" s="18"/>
      <c r="VQY1" s="18"/>
      <c r="VQZ1" s="18"/>
      <c r="VRA1" s="18"/>
      <c r="VRB1" s="18"/>
      <c r="VRC1" s="18"/>
      <c r="VRD1" s="18"/>
      <c r="VRE1" s="18"/>
      <c r="VRF1" s="18"/>
      <c r="VRG1" s="18"/>
      <c r="VRH1" s="18"/>
      <c r="VRI1" s="18"/>
      <c r="VRJ1" s="18"/>
      <c r="VRK1" s="18"/>
      <c r="VRL1" s="18"/>
      <c r="VRM1" s="18"/>
      <c r="VRN1" s="18"/>
      <c r="VRO1" s="18"/>
      <c r="VRP1" s="18"/>
      <c r="VRQ1" s="18"/>
      <c r="VRR1" s="18"/>
      <c r="VRS1" s="18"/>
      <c r="VRT1" s="18"/>
      <c r="VRU1" s="18"/>
      <c r="VRV1" s="18"/>
      <c r="VRW1" s="18"/>
      <c r="VRX1" s="18"/>
      <c r="VRY1" s="18"/>
      <c r="VRZ1" s="18"/>
      <c r="VSA1" s="18"/>
      <c r="VSB1" s="18"/>
      <c r="VSC1" s="18"/>
      <c r="VSD1" s="18"/>
      <c r="VSE1" s="18"/>
      <c r="VSF1" s="18"/>
      <c r="VSG1" s="18"/>
      <c r="VSH1" s="18"/>
      <c r="VSI1" s="18"/>
      <c r="VSJ1" s="18"/>
      <c r="VSK1" s="18"/>
      <c r="VSL1" s="18"/>
      <c r="VSM1" s="18"/>
      <c r="VSN1" s="18"/>
      <c r="VSO1" s="18"/>
      <c r="VSP1" s="18"/>
      <c r="VSQ1" s="18"/>
      <c r="VSR1" s="18"/>
      <c r="VSS1" s="18"/>
      <c r="VST1" s="18"/>
      <c r="VSU1" s="18"/>
      <c r="VSV1" s="18"/>
      <c r="VSW1" s="18"/>
      <c r="VSX1" s="18"/>
      <c r="VSY1" s="18"/>
      <c r="VSZ1" s="18"/>
      <c r="VTA1" s="18"/>
      <c r="VTB1" s="18"/>
      <c r="VTC1" s="18"/>
      <c r="VTD1" s="18"/>
      <c r="VTE1" s="18"/>
      <c r="VTF1" s="18"/>
      <c r="VTG1" s="18"/>
      <c r="VTH1" s="18"/>
      <c r="VTI1" s="18"/>
      <c r="VTJ1" s="18"/>
      <c r="VTK1" s="18"/>
      <c r="VTL1" s="18"/>
      <c r="VTM1" s="18"/>
      <c r="VTN1" s="18"/>
      <c r="VTO1" s="18"/>
      <c r="VTP1" s="18"/>
      <c r="VTQ1" s="18"/>
      <c r="VTR1" s="18"/>
      <c r="VTS1" s="18"/>
      <c r="VTT1" s="18"/>
      <c r="VTU1" s="18"/>
      <c r="VTV1" s="18"/>
      <c r="VTW1" s="18"/>
      <c r="VTX1" s="18"/>
      <c r="VTY1" s="18"/>
      <c r="VTZ1" s="18"/>
      <c r="VUA1" s="18"/>
      <c r="VUB1" s="18"/>
      <c r="VUC1" s="18"/>
      <c r="VUD1" s="18"/>
      <c r="VUE1" s="18"/>
      <c r="VUF1" s="18"/>
      <c r="VUG1" s="18"/>
      <c r="VUH1" s="18"/>
      <c r="VUI1" s="18"/>
      <c r="VUJ1" s="18"/>
      <c r="VUK1" s="18"/>
      <c r="VUL1" s="18"/>
      <c r="VUM1" s="18"/>
      <c r="VUN1" s="18"/>
      <c r="VUO1" s="18"/>
      <c r="VUP1" s="18"/>
      <c r="VUQ1" s="18"/>
      <c r="VUR1" s="18"/>
      <c r="VUS1" s="18"/>
      <c r="VUT1" s="18"/>
      <c r="VUU1" s="18"/>
      <c r="VUV1" s="18"/>
      <c r="VUW1" s="18"/>
      <c r="VUX1" s="18"/>
      <c r="VUY1" s="18"/>
      <c r="VUZ1" s="18"/>
      <c r="VVA1" s="18"/>
      <c r="VVB1" s="18"/>
      <c r="VVC1" s="18"/>
      <c r="VVD1" s="18"/>
      <c r="VVE1" s="18"/>
      <c r="VVF1" s="18"/>
      <c r="VVG1" s="18"/>
      <c r="VVH1" s="18"/>
      <c r="VVI1" s="18"/>
      <c r="VVJ1" s="18"/>
      <c r="VVK1" s="18"/>
      <c r="VVL1" s="18"/>
      <c r="VVM1" s="18"/>
      <c r="VVN1" s="18"/>
      <c r="VVO1" s="18"/>
      <c r="VVP1" s="18"/>
      <c r="VVQ1" s="18"/>
      <c r="VVR1" s="18"/>
      <c r="VVS1" s="18"/>
      <c r="VVT1" s="18"/>
      <c r="VVU1" s="18"/>
      <c r="VVV1" s="18"/>
      <c r="VVW1" s="18"/>
      <c r="VVX1" s="18"/>
      <c r="VVY1" s="18"/>
      <c r="VVZ1" s="18"/>
      <c r="VWA1" s="18"/>
      <c r="VWB1" s="18"/>
      <c r="VWC1" s="18"/>
      <c r="VWD1" s="18"/>
      <c r="VWE1" s="18"/>
      <c r="VWF1" s="18"/>
      <c r="VWG1" s="18"/>
      <c r="VWH1" s="18"/>
      <c r="VWI1" s="18"/>
      <c r="VWJ1" s="18"/>
      <c r="VWK1" s="18"/>
      <c r="VWL1" s="18"/>
      <c r="VWM1" s="18"/>
      <c r="VWN1" s="18"/>
      <c r="VWO1" s="18"/>
      <c r="VWP1" s="18"/>
      <c r="VWQ1" s="18"/>
      <c r="VWR1" s="18"/>
      <c r="VWS1" s="18"/>
      <c r="VWT1" s="18"/>
      <c r="VWU1" s="18"/>
      <c r="VWV1" s="18"/>
      <c r="VWW1" s="18"/>
      <c r="VWX1" s="18"/>
      <c r="VWY1" s="18"/>
      <c r="VWZ1" s="18"/>
      <c r="VXA1" s="18"/>
      <c r="VXB1" s="18"/>
      <c r="VXC1" s="18"/>
      <c r="VXD1" s="18"/>
      <c r="VXE1" s="18"/>
      <c r="VXF1" s="18"/>
      <c r="VXG1" s="18"/>
      <c r="VXH1" s="18"/>
      <c r="VXI1" s="18"/>
      <c r="VXJ1" s="18"/>
      <c r="VXK1" s="18"/>
      <c r="VXL1" s="18"/>
      <c r="VXM1" s="18"/>
      <c r="VXN1" s="18"/>
      <c r="VXO1" s="18"/>
      <c r="VXP1" s="18"/>
      <c r="VXQ1" s="18"/>
      <c r="VXR1" s="18"/>
      <c r="VXS1" s="18"/>
      <c r="VXT1" s="18"/>
      <c r="VXU1" s="18"/>
      <c r="VXV1" s="18"/>
      <c r="VXW1" s="18"/>
      <c r="VXX1" s="18"/>
      <c r="VXY1" s="18"/>
      <c r="VXZ1" s="18"/>
      <c r="VYA1" s="18"/>
      <c r="VYB1" s="18"/>
      <c r="VYC1" s="18"/>
      <c r="VYD1" s="18"/>
      <c r="VYE1" s="18"/>
      <c r="VYF1" s="18"/>
      <c r="VYG1" s="18"/>
      <c r="VYH1" s="18"/>
      <c r="VYI1" s="18"/>
      <c r="VYJ1" s="18"/>
      <c r="VYK1" s="18"/>
      <c r="VYL1" s="18"/>
      <c r="VYM1" s="18"/>
      <c r="VYN1" s="18"/>
      <c r="VYO1" s="18"/>
      <c r="VYP1" s="18"/>
      <c r="VYQ1" s="18"/>
      <c r="VYR1" s="18"/>
      <c r="VYS1" s="18"/>
      <c r="VYT1" s="18"/>
      <c r="VYU1" s="18"/>
      <c r="VYV1" s="18"/>
      <c r="VYW1" s="18"/>
      <c r="VYX1" s="18"/>
      <c r="VYY1" s="18"/>
      <c r="VYZ1" s="18"/>
      <c r="VZA1" s="18"/>
      <c r="VZB1" s="18"/>
      <c r="VZC1" s="18"/>
      <c r="VZD1" s="18"/>
      <c r="VZE1" s="18"/>
      <c r="VZF1" s="18"/>
      <c r="VZG1" s="18"/>
      <c r="VZH1" s="18"/>
      <c r="VZI1" s="18"/>
      <c r="VZJ1" s="18"/>
      <c r="VZK1" s="18"/>
      <c r="VZL1" s="18"/>
      <c r="VZM1" s="18"/>
      <c r="VZN1" s="18"/>
      <c r="VZO1" s="18"/>
      <c r="VZP1" s="18"/>
      <c r="VZQ1" s="18"/>
      <c r="VZR1" s="18"/>
      <c r="VZS1" s="18"/>
      <c r="VZT1" s="18"/>
      <c r="VZU1" s="18"/>
      <c r="VZV1" s="18"/>
      <c r="VZW1" s="18"/>
      <c r="VZX1" s="18"/>
      <c r="VZY1" s="18"/>
      <c r="VZZ1" s="18"/>
      <c r="WAA1" s="18"/>
      <c r="WAB1" s="18"/>
      <c r="WAC1" s="18"/>
      <c r="WAD1" s="18"/>
      <c r="WAE1" s="18"/>
      <c r="WAF1" s="18"/>
      <c r="WAG1" s="18"/>
      <c r="WAH1" s="18"/>
      <c r="WAI1" s="18"/>
      <c r="WAJ1" s="18"/>
      <c r="WAK1" s="18"/>
      <c r="WAL1" s="18"/>
      <c r="WAM1" s="18"/>
      <c r="WAN1" s="18"/>
      <c r="WAO1" s="18"/>
      <c r="WAP1" s="18"/>
      <c r="WAQ1" s="18"/>
      <c r="WAR1" s="18"/>
      <c r="WAS1" s="18"/>
      <c r="WAT1" s="18"/>
      <c r="WAU1" s="18"/>
      <c r="WAV1" s="18"/>
      <c r="WAW1" s="18"/>
      <c r="WAX1" s="18"/>
      <c r="WAY1" s="18"/>
      <c r="WAZ1" s="18"/>
      <c r="WBA1" s="18"/>
      <c r="WBB1" s="18"/>
      <c r="WBC1" s="18"/>
      <c r="WBD1" s="18"/>
      <c r="WBE1" s="18"/>
      <c r="WBF1" s="18"/>
      <c r="WBG1" s="18"/>
      <c r="WBH1" s="18"/>
      <c r="WBI1" s="18"/>
      <c r="WBJ1" s="18"/>
      <c r="WBK1" s="18"/>
      <c r="WBL1" s="18"/>
      <c r="WBM1" s="18"/>
      <c r="WBN1" s="18"/>
      <c r="WBO1" s="18"/>
      <c r="WBP1" s="18"/>
      <c r="WBQ1" s="18"/>
      <c r="WBR1" s="18"/>
      <c r="WBS1" s="18"/>
      <c r="WBT1" s="18"/>
      <c r="WBU1" s="18"/>
      <c r="WBV1" s="18"/>
      <c r="WBW1" s="18"/>
      <c r="WBX1" s="18"/>
      <c r="WBY1" s="18"/>
      <c r="WBZ1" s="18"/>
      <c r="WCA1" s="18"/>
      <c r="WCB1" s="18"/>
      <c r="WCC1" s="18"/>
      <c r="WCD1" s="18"/>
      <c r="WCE1" s="18"/>
      <c r="WCF1" s="18"/>
      <c r="WCG1" s="18"/>
      <c r="WCH1" s="18"/>
      <c r="WCI1" s="18"/>
      <c r="WCJ1" s="18"/>
      <c r="WCK1" s="18"/>
      <c r="WCL1" s="18"/>
      <c r="WCM1" s="18"/>
      <c r="WCN1" s="18"/>
      <c r="WCO1" s="18"/>
      <c r="WCP1" s="18"/>
      <c r="WCQ1" s="18"/>
      <c r="WCR1" s="18"/>
      <c r="WCS1" s="18"/>
      <c r="WCT1" s="18"/>
      <c r="WCU1" s="18"/>
      <c r="WCV1" s="18"/>
      <c r="WCW1" s="18"/>
      <c r="WCX1" s="18"/>
      <c r="WCY1" s="18"/>
      <c r="WCZ1" s="18"/>
      <c r="WDA1" s="18"/>
      <c r="WDB1" s="18"/>
      <c r="WDC1" s="18"/>
      <c r="WDD1" s="18"/>
      <c r="WDE1" s="18"/>
      <c r="WDF1" s="18"/>
      <c r="WDG1" s="18"/>
      <c r="WDH1" s="18"/>
      <c r="WDI1" s="18"/>
      <c r="WDJ1" s="18"/>
      <c r="WDK1" s="18"/>
      <c r="WDL1" s="18"/>
      <c r="WDM1" s="18"/>
      <c r="WDN1" s="18"/>
      <c r="WDO1" s="18"/>
      <c r="WDP1" s="18"/>
      <c r="WDQ1" s="18"/>
      <c r="WDR1" s="18"/>
      <c r="WDS1" s="18"/>
      <c r="WDT1" s="18"/>
      <c r="WDU1" s="18"/>
      <c r="WDV1" s="18"/>
      <c r="WDW1" s="18"/>
      <c r="WDX1" s="18"/>
      <c r="WDY1" s="18"/>
      <c r="WDZ1" s="18"/>
      <c r="WEA1" s="18"/>
      <c r="WEB1" s="18"/>
      <c r="WEC1" s="18"/>
      <c r="WED1" s="18"/>
      <c r="WEE1" s="18"/>
      <c r="WEF1" s="18"/>
      <c r="WEG1" s="18"/>
      <c r="WEH1" s="18"/>
      <c r="WEI1" s="18"/>
      <c r="WEJ1" s="18"/>
      <c r="WEK1" s="18"/>
      <c r="WEL1" s="18"/>
      <c r="WEM1" s="18"/>
      <c r="WEN1" s="18"/>
      <c r="WEO1" s="18"/>
      <c r="WEP1" s="18"/>
      <c r="WEQ1" s="18"/>
      <c r="WER1" s="18"/>
      <c r="WES1" s="18"/>
      <c r="WET1" s="18"/>
      <c r="WEU1" s="18"/>
      <c r="WEV1" s="18"/>
      <c r="WEW1" s="18"/>
      <c r="WEX1" s="18"/>
      <c r="WEY1" s="18"/>
      <c r="WEZ1" s="18"/>
      <c r="WFA1" s="18"/>
      <c r="WFB1" s="18"/>
      <c r="WFC1" s="18"/>
      <c r="WFD1" s="18"/>
      <c r="WFE1" s="18"/>
      <c r="WFF1" s="18"/>
      <c r="WFG1" s="18"/>
      <c r="WFH1" s="18"/>
      <c r="WFI1" s="18"/>
      <c r="WFJ1" s="18"/>
      <c r="WFK1" s="18"/>
      <c r="WFL1" s="18"/>
      <c r="WFM1" s="18"/>
      <c r="WFN1" s="18"/>
      <c r="WFO1" s="18"/>
      <c r="WFP1" s="18"/>
      <c r="WFQ1" s="18"/>
      <c r="WFR1" s="18"/>
      <c r="WFS1" s="18"/>
      <c r="WFT1" s="18"/>
      <c r="WFU1" s="18"/>
      <c r="WFV1" s="18"/>
      <c r="WFW1" s="18"/>
      <c r="WFX1" s="18"/>
      <c r="WFY1" s="18"/>
      <c r="WFZ1" s="18"/>
      <c r="WGA1" s="18"/>
      <c r="WGB1" s="18"/>
      <c r="WGC1" s="18"/>
      <c r="WGD1" s="18"/>
      <c r="WGE1" s="18"/>
      <c r="WGF1" s="18"/>
      <c r="WGG1" s="18"/>
      <c r="WGH1" s="18"/>
      <c r="WGI1" s="18"/>
      <c r="WGJ1" s="18"/>
      <c r="WGK1" s="18"/>
      <c r="WGL1" s="18"/>
      <c r="WGM1" s="18"/>
      <c r="WGN1" s="18"/>
      <c r="WGO1" s="18"/>
      <c r="WGP1" s="18"/>
      <c r="WGQ1" s="18"/>
      <c r="WGR1" s="18"/>
      <c r="WGS1" s="18"/>
      <c r="WGT1" s="18"/>
      <c r="WGU1" s="18"/>
      <c r="WGV1" s="18"/>
      <c r="WGW1" s="18"/>
      <c r="WGX1" s="18"/>
      <c r="WGY1" s="18"/>
      <c r="WGZ1" s="18"/>
      <c r="WHA1" s="18"/>
      <c r="WHB1" s="18"/>
      <c r="WHC1" s="18"/>
      <c r="WHD1" s="18"/>
      <c r="WHE1" s="18"/>
      <c r="WHF1" s="18"/>
      <c r="WHG1" s="18"/>
      <c r="WHH1" s="18"/>
      <c r="WHI1" s="18"/>
      <c r="WHJ1" s="18"/>
      <c r="WHK1" s="18"/>
      <c r="WHL1" s="18"/>
      <c r="WHM1" s="18"/>
      <c r="WHN1" s="18"/>
      <c r="WHO1" s="18"/>
      <c r="WHP1" s="18"/>
      <c r="WHQ1" s="18"/>
      <c r="WHR1" s="18"/>
      <c r="WHS1" s="18"/>
      <c r="WHT1" s="18"/>
      <c r="WHU1" s="18"/>
      <c r="WHV1" s="18"/>
      <c r="WHW1" s="18"/>
      <c r="WHX1" s="18"/>
      <c r="WHY1" s="18"/>
      <c r="WHZ1" s="18"/>
      <c r="WIA1" s="18"/>
      <c r="WIB1" s="18"/>
      <c r="WIC1" s="18"/>
      <c r="WID1" s="18"/>
      <c r="WIE1" s="18"/>
      <c r="WIF1" s="18"/>
      <c r="WIG1" s="18"/>
      <c r="WIH1" s="18"/>
      <c r="WII1" s="18"/>
      <c r="WIJ1" s="18"/>
      <c r="WIK1" s="18"/>
      <c r="WIL1" s="18"/>
      <c r="WIM1" s="18"/>
      <c r="WIN1" s="18"/>
      <c r="WIO1" s="18"/>
      <c r="WIP1" s="18"/>
      <c r="WIQ1" s="18"/>
      <c r="WIR1" s="18"/>
      <c r="WIS1" s="18"/>
      <c r="WIT1" s="18"/>
      <c r="WIU1" s="18"/>
      <c r="WIV1" s="18"/>
      <c r="WIW1" s="18"/>
      <c r="WIX1" s="18"/>
      <c r="WIY1" s="18"/>
      <c r="WIZ1" s="18"/>
      <c r="WJA1" s="18"/>
      <c r="WJB1" s="18"/>
      <c r="WJC1" s="18"/>
      <c r="WJD1" s="18"/>
      <c r="WJE1" s="18"/>
      <c r="WJF1" s="18"/>
      <c r="WJG1" s="18"/>
      <c r="WJH1" s="18"/>
      <c r="WJI1" s="18"/>
      <c r="WJJ1" s="18"/>
      <c r="WJK1" s="18"/>
      <c r="WJL1" s="18"/>
      <c r="WJM1" s="18"/>
      <c r="WJN1" s="18"/>
      <c r="WJO1" s="18"/>
      <c r="WJP1" s="18"/>
      <c r="WJQ1" s="18"/>
      <c r="WJR1" s="18"/>
      <c r="WJS1" s="18"/>
      <c r="WJT1" s="18"/>
      <c r="WJU1" s="18"/>
      <c r="WJV1" s="18"/>
      <c r="WJW1" s="18"/>
      <c r="WJX1" s="18"/>
      <c r="WJY1" s="18"/>
      <c r="WJZ1" s="18"/>
      <c r="WKA1" s="18"/>
      <c r="WKB1" s="18"/>
      <c r="WKC1" s="18"/>
      <c r="WKD1" s="18"/>
      <c r="WKE1" s="18"/>
      <c r="WKF1" s="18"/>
      <c r="WKG1" s="18"/>
      <c r="WKH1" s="18"/>
      <c r="WKI1" s="18"/>
      <c r="WKJ1" s="18"/>
      <c r="WKK1" s="18"/>
      <c r="WKL1" s="18"/>
      <c r="WKM1" s="18"/>
      <c r="WKN1" s="18"/>
      <c r="WKO1" s="18"/>
      <c r="WKP1" s="18"/>
      <c r="WKQ1" s="18"/>
      <c r="WKR1" s="18"/>
      <c r="WKS1" s="18"/>
      <c r="WKT1" s="18"/>
      <c r="WKU1" s="18"/>
      <c r="WKV1" s="18"/>
      <c r="WKW1" s="18"/>
      <c r="WKX1" s="18"/>
      <c r="WKY1" s="18"/>
      <c r="WKZ1" s="18"/>
      <c r="WLA1" s="18"/>
      <c r="WLB1" s="18"/>
      <c r="WLC1" s="18"/>
      <c r="WLD1" s="18"/>
      <c r="WLE1" s="18"/>
      <c r="WLF1" s="18"/>
      <c r="WLG1" s="18"/>
      <c r="WLH1" s="18"/>
      <c r="WLI1" s="18"/>
      <c r="WLJ1" s="18"/>
      <c r="WLK1" s="18"/>
      <c r="WLL1" s="18"/>
      <c r="WLM1" s="18"/>
      <c r="WLN1" s="18"/>
      <c r="WLO1" s="18"/>
      <c r="WLP1" s="18"/>
      <c r="WLQ1" s="18"/>
      <c r="WLR1" s="18"/>
      <c r="WLS1" s="18"/>
      <c r="WLT1" s="18"/>
      <c r="WLU1" s="18"/>
      <c r="WLV1" s="18"/>
      <c r="WLW1" s="18"/>
      <c r="WLX1" s="18"/>
      <c r="WLY1" s="18"/>
      <c r="WLZ1" s="18"/>
      <c r="WMA1" s="18"/>
      <c r="WMB1" s="18"/>
      <c r="WMC1" s="18"/>
      <c r="WMD1" s="18"/>
      <c r="WME1" s="18"/>
      <c r="WMF1" s="18"/>
      <c r="WMG1" s="18"/>
      <c r="WMH1" s="18"/>
      <c r="WMI1" s="18"/>
      <c r="WMJ1" s="18"/>
      <c r="WMK1" s="18"/>
      <c r="WML1" s="18"/>
      <c r="WMM1" s="18"/>
      <c r="WMN1" s="18"/>
      <c r="WMO1" s="18"/>
      <c r="WMP1" s="18"/>
      <c r="WMQ1" s="18"/>
      <c r="WMR1" s="18"/>
      <c r="WMS1" s="18"/>
      <c r="WMT1" s="18"/>
      <c r="WMU1" s="18"/>
      <c r="WMV1" s="18"/>
      <c r="WMW1" s="18"/>
      <c r="WMX1" s="18"/>
      <c r="WMY1" s="18"/>
      <c r="WMZ1" s="18"/>
      <c r="WNA1" s="18"/>
      <c r="WNB1" s="18"/>
      <c r="WNC1" s="18"/>
      <c r="WND1" s="18"/>
      <c r="WNE1" s="18"/>
      <c r="WNF1" s="18"/>
      <c r="WNG1" s="18"/>
      <c r="WNH1" s="18"/>
      <c r="WNI1" s="18"/>
      <c r="WNJ1" s="18"/>
      <c r="WNK1" s="18"/>
      <c r="WNL1" s="18"/>
      <c r="WNM1" s="18"/>
      <c r="WNN1" s="18"/>
      <c r="WNO1" s="18"/>
      <c r="WNP1" s="18"/>
      <c r="WNQ1" s="18"/>
      <c r="WNR1" s="18"/>
      <c r="WNS1" s="18"/>
      <c r="WNT1" s="18"/>
      <c r="WNU1" s="18"/>
      <c r="WNV1" s="18"/>
      <c r="WNW1" s="18"/>
      <c r="WNX1" s="18"/>
      <c r="WNY1" s="18"/>
      <c r="WNZ1" s="18"/>
      <c r="WOA1" s="18"/>
      <c r="WOB1" s="18"/>
      <c r="WOC1" s="18"/>
      <c r="WOD1" s="18"/>
      <c r="WOE1" s="18"/>
      <c r="WOF1" s="18"/>
      <c r="WOG1" s="18"/>
      <c r="WOH1" s="18"/>
      <c r="WOI1" s="18"/>
      <c r="WOJ1" s="18"/>
      <c r="WOK1" s="18"/>
      <c r="WOL1" s="18"/>
      <c r="WOM1" s="18"/>
      <c r="WON1" s="18"/>
      <c r="WOO1" s="18"/>
      <c r="WOP1" s="18"/>
      <c r="WOQ1" s="18"/>
      <c r="WOR1" s="18"/>
      <c r="WOS1" s="18"/>
      <c r="WOT1" s="18"/>
      <c r="WOU1" s="18"/>
      <c r="WOV1" s="18"/>
      <c r="WOW1" s="18"/>
      <c r="WOX1" s="18"/>
      <c r="WOY1" s="18"/>
      <c r="WOZ1" s="18"/>
      <c r="WPA1" s="18"/>
      <c r="WPB1" s="18"/>
      <c r="WPC1" s="18"/>
      <c r="WPD1" s="18"/>
      <c r="WPE1" s="18"/>
      <c r="WPF1" s="18"/>
      <c r="WPG1" s="18"/>
      <c r="WPH1" s="18"/>
      <c r="WPI1" s="18"/>
      <c r="WPJ1" s="18"/>
      <c r="WPK1" s="18"/>
      <c r="WPL1" s="18"/>
      <c r="WPM1" s="18"/>
      <c r="WPN1" s="18"/>
      <c r="WPO1" s="18"/>
      <c r="WPP1" s="18"/>
      <c r="WPQ1" s="18"/>
      <c r="WPR1" s="18"/>
      <c r="WPS1" s="18"/>
      <c r="WPT1" s="18"/>
      <c r="WPU1" s="18"/>
      <c r="WPV1" s="18"/>
      <c r="WPW1" s="18"/>
      <c r="WPX1" s="18"/>
      <c r="WPY1" s="18"/>
      <c r="WPZ1" s="18"/>
      <c r="WQA1" s="18"/>
      <c r="WQB1" s="18"/>
      <c r="WQC1" s="18"/>
      <c r="WQD1" s="18"/>
      <c r="WQE1" s="18"/>
      <c r="WQF1" s="18"/>
      <c r="WQG1" s="18"/>
      <c r="WQH1" s="18"/>
      <c r="WQI1" s="18"/>
      <c r="WQJ1" s="18"/>
      <c r="WQK1" s="18"/>
      <c r="WQL1" s="18"/>
      <c r="WQM1" s="18"/>
      <c r="WQN1" s="18"/>
      <c r="WQO1" s="18"/>
      <c r="WQP1" s="18"/>
      <c r="WQQ1" s="18"/>
      <c r="WQR1" s="18"/>
      <c r="WQS1" s="18"/>
      <c r="WQT1" s="18"/>
      <c r="WQU1" s="18"/>
      <c r="WQV1" s="18"/>
      <c r="WQW1" s="18"/>
      <c r="WQX1" s="18"/>
      <c r="WQY1" s="18"/>
      <c r="WQZ1" s="18"/>
      <c r="WRA1" s="18"/>
      <c r="WRB1" s="18"/>
      <c r="WRC1" s="18"/>
      <c r="WRD1" s="18"/>
      <c r="WRE1" s="18"/>
      <c r="WRF1" s="18"/>
      <c r="WRG1" s="18"/>
      <c r="WRH1" s="18"/>
      <c r="WRI1" s="18"/>
      <c r="WRJ1" s="18"/>
      <c r="WRK1" s="18"/>
      <c r="WRL1" s="18"/>
      <c r="WRM1" s="18"/>
      <c r="WRN1" s="18"/>
      <c r="WRO1" s="18"/>
      <c r="WRP1" s="18"/>
      <c r="WRQ1" s="18"/>
      <c r="WRR1" s="18"/>
      <c r="WRS1" s="18"/>
      <c r="WRT1" s="18"/>
      <c r="WRU1" s="18"/>
      <c r="WRV1" s="18"/>
      <c r="WRW1" s="18"/>
      <c r="WRX1" s="18"/>
      <c r="WRY1" s="18"/>
      <c r="WRZ1" s="18"/>
      <c r="WSA1" s="18"/>
      <c r="WSB1" s="18"/>
      <c r="WSC1" s="18"/>
      <c r="WSD1" s="18"/>
      <c r="WSE1" s="18"/>
      <c r="WSF1" s="18"/>
      <c r="WSG1" s="18"/>
      <c r="WSH1" s="18"/>
      <c r="WSI1" s="18"/>
      <c r="WSJ1" s="18"/>
      <c r="WSK1" s="18"/>
      <c r="WSL1" s="18"/>
      <c r="WSM1" s="18"/>
      <c r="WSN1" s="18"/>
      <c r="WSO1" s="18"/>
      <c r="WSP1" s="18"/>
      <c r="WSQ1" s="18"/>
      <c r="WSR1" s="18"/>
      <c r="WSS1" s="18"/>
      <c r="WST1" s="18"/>
      <c r="WSU1" s="18"/>
      <c r="WSV1" s="18"/>
      <c r="WSW1" s="18"/>
      <c r="WSX1" s="18"/>
      <c r="WSY1" s="18"/>
      <c r="WSZ1" s="18"/>
      <c r="WTA1" s="18"/>
      <c r="WTB1" s="18"/>
      <c r="WTC1" s="18"/>
      <c r="WTD1" s="18"/>
      <c r="WTE1" s="18"/>
      <c r="WTF1" s="18"/>
      <c r="WTG1" s="18"/>
      <c r="WTH1" s="18"/>
      <c r="WTI1" s="18"/>
      <c r="WTJ1" s="18"/>
      <c r="WTK1" s="18"/>
      <c r="WTL1" s="18"/>
      <c r="WTM1" s="18"/>
      <c r="WTN1" s="18"/>
      <c r="WTO1" s="18"/>
      <c r="WTP1" s="18"/>
      <c r="WTQ1" s="18"/>
      <c r="WTR1" s="18"/>
      <c r="WTS1" s="18"/>
      <c r="WTT1" s="18"/>
      <c r="WTU1" s="18"/>
      <c r="WTV1" s="18"/>
      <c r="WTW1" s="18"/>
      <c r="WTX1" s="18"/>
      <c r="WTY1" s="18"/>
      <c r="WTZ1" s="18"/>
      <c r="WUA1" s="18"/>
      <c r="WUB1" s="18"/>
      <c r="WUC1" s="18"/>
      <c r="WUD1" s="18"/>
      <c r="WUE1" s="18"/>
      <c r="WUF1" s="18"/>
      <c r="WUG1" s="18"/>
      <c r="WUH1" s="18"/>
      <c r="WUI1" s="18"/>
      <c r="WUJ1" s="18"/>
      <c r="WUK1" s="18"/>
      <c r="WUL1" s="18"/>
      <c r="WUM1" s="18"/>
      <c r="WUN1" s="18"/>
      <c r="WUO1" s="18"/>
      <c r="WUP1" s="18"/>
      <c r="WUQ1" s="18"/>
      <c r="WUR1" s="18"/>
      <c r="WUS1" s="18"/>
      <c r="WUT1" s="18"/>
      <c r="WUU1" s="18"/>
      <c r="WUV1" s="18"/>
      <c r="WUW1" s="18"/>
      <c r="WUX1" s="18"/>
      <c r="WUY1" s="18"/>
      <c r="WUZ1" s="18"/>
      <c r="WVA1" s="18"/>
      <c r="WVB1" s="18"/>
      <c r="WVC1" s="18"/>
      <c r="WVD1" s="18"/>
      <c r="WVE1" s="18"/>
      <c r="WVF1" s="18"/>
      <c r="WVG1" s="18"/>
      <c r="WVH1" s="18"/>
      <c r="WVI1" s="18"/>
      <c r="WVJ1" s="18"/>
      <c r="WVK1" s="18"/>
      <c r="WVL1" s="18"/>
      <c r="WVM1" s="18"/>
      <c r="WVN1" s="18"/>
      <c r="WVO1" s="18"/>
      <c r="WVP1" s="18"/>
      <c r="WVQ1" s="18"/>
      <c r="WVR1" s="18"/>
      <c r="WVS1" s="18"/>
      <c r="WVT1" s="18"/>
      <c r="WVU1" s="18"/>
      <c r="WVV1" s="18"/>
      <c r="WVW1" s="18"/>
      <c r="WVX1" s="18"/>
      <c r="WVY1" s="18"/>
      <c r="WVZ1" s="18"/>
      <c r="WWA1" s="18"/>
      <c r="WWB1" s="18"/>
      <c r="WWC1" s="18"/>
      <c r="WWD1" s="18"/>
      <c r="WWE1" s="18"/>
      <c r="WWF1" s="18"/>
      <c r="WWG1" s="18"/>
      <c r="WWH1" s="18"/>
      <c r="WWI1" s="18"/>
      <c r="WWJ1" s="18"/>
      <c r="WWK1" s="18"/>
      <c r="WWL1" s="18"/>
      <c r="WWM1" s="18"/>
      <c r="WWN1" s="18"/>
      <c r="WWO1" s="18"/>
      <c r="WWP1" s="18"/>
      <c r="WWQ1" s="18"/>
      <c r="WWR1" s="18"/>
      <c r="WWS1" s="18"/>
      <c r="WWT1" s="18"/>
      <c r="WWU1" s="18"/>
      <c r="WWV1" s="18"/>
      <c r="WWW1" s="18"/>
      <c r="WWX1" s="18"/>
      <c r="WWY1" s="18"/>
      <c r="WWZ1" s="18"/>
      <c r="WXA1" s="18"/>
      <c r="WXB1" s="18"/>
      <c r="WXC1" s="18"/>
      <c r="WXD1" s="18"/>
      <c r="WXE1" s="18"/>
      <c r="WXF1" s="18"/>
      <c r="WXG1" s="18"/>
      <c r="WXH1" s="18"/>
      <c r="WXI1" s="18"/>
      <c r="WXJ1" s="18"/>
      <c r="WXK1" s="18"/>
      <c r="WXL1" s="18"/>
      <c r="WXM1" s="18"/>
      <c r="WXN1" s="18"/>
      <c r="WXO1" s="18"/>
      <c r="WXP1" s="18"/>
      <c r="WXQ1" s="18"/>
      <c r="WXR1" s="18"/>
      <c r="WXS1" s="18"/>
      <c r="WXT1" s="18"/>
      <c r="WXU1" s="18"/>
      <c r="WXV1" s="18"/>
      <c r="WXW1" s="18"/>
      <c r="WXX1" s="18"/>
      <c r="WXY1" s="18"/>
      <c r="WXZ1" s="18"/>
      <c r="WYA1" s="18"/>
      <c r="WYB1" s="18"/>
      <c r="WYC1" s="18"/>
      <c r="WYD1" s="18"/>
      <c r="WYE1" s="18"/>
      <c r="WYF1" s="18"/>
      <c r="WYG1" s="18"/>
      <c r="WYH1" s="18"/>
      <c r="WYI1" s="18"/>
      <c r="WYJ1" s="18"/>
      <c r="WYK1" s="18"/>
      <c r="WYL1" s="18"/>
      <c r="WYM1" s="18"/>
      <c r="WYN1" s="18"/>
      <c r="WYO1" s="18"/>
      <c r="WYP1" s="18"/>
      <c r="WYQ1" s="18"/>
      <c r="WYR1" s="18"/>
      <c r="WYS1" s="18"/>
      <c r="WYT1" s="18"/>
      <c r="WYU1" s="18"/>
      <c r="WYV1" s="18"/>
      <c r="WYW1" s="18"/>
      <c r="WYX1" s="18"/>
      <c r="WYY1" s="18"/>
      <c r="WYZ1" s="18"/>
      <c r="WZA1" s="18"/>
      <c r="WZB1" s="18"/>
      <c r="WZC1" s="18"/>
      <c r="WZD1" s="18"/>
      <c r="WZE1" s="18"/>
      <c r="WZF1" s="18"/>
      <c r="WZG1" s="18"/>
      <c r="WZH1" s="18"/>
      <c r="WZI1" s="18"/>
      <c r="WZJ1" s="18"/>
      <c r="WZK1" s="18"/>
      <c r="WZL1" s="18"/>
      <c r="WZM1" s="18"/>
      <c r="WZN1" s="18"/>
      <c r="WZO1" s="18"/>
      <c r="WZP1" s="18"/>
      <c r="WZQ1" s="18"/>
      <c r="WZR1" s="18"/>
      <c r="WZS1" s="18"/>
      <c r="WZT1" s="18"/>
      <c r="WZU1" s="18"/>
      <c r="WZV1" s="18"/>
      <c r="WZW1" s="18"/>
      <c r="WZX1" s="18"/>
      <c r="WZY1" s="18"/>
      <c r="WZZ1" s="18"/>
      <c r="XAA1" s="18"/>
      <c r="XAB1" s="18"/>
      <c r="XAC1" s="18"/>
      <c r="XAD1" s="18"/>
      <c r="XAE1" s="18"/>
      <c r="XAF1" s="18"/>
      <c r="XAG1" s="18"/>
      <c r="XAH1" s="18"/>
      <c r="XAI1" s="18"/>
      <c r="XAJ1" s="18"/>
      <c r="XAK1" s="18"/>
      <c r="XAL1" s="18"/>
      <c r="XAM1" s="18"/>
      <c r="XAN1" s="18"/>
      <c r="XAO1" s="18"/>
      <c r="XAP1" s="18"/>
      <c r="XAQ1" s="18"/>
      <c r="XAR1" s="18"/>
      <c r="XAS1" s="18"/>
      <c r="XAT1" s="18"/>
      <c r="XAU1" s="18"/>
      <c r="XAV1" s="18"/>
      <c r="XAW1" s="18"/>
      <c r="XAX1" s="18"/>
      <c r="XAY1" s="18"/>
      <c r="XAZ1" s="18"/>
      <c r="XBA1" s="18"/>
      <c r="XBB1" s="18"/>
      <c r="XBC1" s="18"/>
      <c r="XBD1" s="18"/>
      <c r="XBE1" s="18"/>
      <c r="XBF1" s="18"/>
      <c r="XBG1" s="18"/>
      <c r="XBH1" s="18"/>
      <c r="XBI1" s="18"/>
      <c r="XBJ1" s="18"/>
      <c r="XBK1" s="18"/>
      <c r="XBL1" s="18"/>
      <c r="XBM1" s="18"/>
      <c r="XBN1" s="18"/>
      <c r="XBO1" s="18"/>
      <c r="XBP1" s="18"/>
      <c r="XBQ1" s="18"/>
      <c r="XBR1" s="18"/>
      <c r="XBS1" s="18"/>
      <c r="XBT1" s="18"/>
      <c r="XBU1" s="18"/>
      <c r="XBV1" s="18"/>
      <c r="XBW1" s="18"/>
      <c r="XBX1" s="18"/>
      <c r="XBY1" s="18"/>
      <c r="XBZ1" s="18"/>
      <c r="XCA1" s="18"/>
      <c r="XCB1" s="18"/>
      <c r="XCC1" s="18"/>
      <c r="XCD1" s="18"/>
      <c r="XCE1" s="18"/>
      <c r="XCF1" s="18"/>
      <c r="XCG1" s="18"/>
      <c r="XCH1" s="18"/>
      <c r="XCI1" s="18"/>
      <c r="XCJ1" s="18"/>
      <c r="XCK1" s="18"/>
      <c r="XCL1" s="18"/>
      <c r="XCM1" s="18"/>
      <c r="XCN1" s="18"/>
      <c r="XCO1" s="18"/>
      <c r="XCP1" s="18"/>
      <c r="XCQ1" s="18"/>
      <c r="XCR1" s="18"/>
      <c r="XCS1" s="18"/>
      <c r="XCT1" s="18"/>
      <c r="XCU1" s="18"/>
      <c r="XCV1" s="18"/>
      <c r="XCW1" s="18"/>
      <c r="XCX1" s="18"/>
      <c r="XCY1" s="18"/>
      <c r="XCZ1" s="18"/>
      <c r="XDA1" s="18"/>
      <c r="XDB1" s="18"/>
      <c r="XDC1" s="18"/>
      <c r="XDD1" s="18"/>
      <c r="XDE1" s="18"/>
      <c r="XDF1" s="18"/>
      <c r="XDG1" s="18"/>
      <c r="XDH1" s="18"/>
      <c r="XDI1" s="18"/>
      <c r="XDJ1" s="18"/>
      <c r="XDK1" s="18"/>
      <c r="XDL1" s="18"/>
      <c r="XDM1" s="18"/>
      <c r="XDN1" s="18"/>
      <c r="XDO1" s="18"/>
      <c r="XDP1" s="18"/>
      <c r="XDQ1" s="18"/>
      <c r="XDR1" s="18"/>
      <c r="XDS1" s="18"/>
      <c r="XDT1" s="18"/>
      <c r="XDU1" s="18"/>
      <c r="XDV1" s="18"/>
      <c r="XDW1" s="18"/>
      <c r="XDX1" s="18"/>
      <c r="XDY1" s="18"/>
      <c r="XDZ1" s="18"/>
      <c r="XEA1" s="18"/>
      <c r="XEB1" s="18"/>
      <c r="XEC1" s="18"/>
      <c r="XED1" s="18"/>
      <c r="XEE1" s="18"/>
      <c r="XEF1" s="18"/>
      <c r="XEG1" s="18"/>
      <c r="XEH1" s="18"/>
      <c r="XEI1" s="18"/>
      <c r="XEJ1" s="18"/>
      <c r="XEK1" s="18"/>
      <c r="XEL1" s="18"/>
      <c r="XEM1" s="18"/>
      <c r="XEN1" s="18"/>
      <c r="XEO1" s="18"/>
      <c r="XEP1" s="18"/>
      <c r="XEQ1" s="18"/>
      <c r="XER1" s="18"/>
      <c r="XES1" s="18"/>
      <c r="XET1" s="18"/>
      <c r="XEU1" s="18"/>
    </row>
    <row r="2" spans="2:16375" s="2" customFormat="1" x14ac:dyDescent="0.2">
      <c r="B2" s="245" t="str">
        <f>'Assumptions - General'!$E$23</f>
        <v xml:space="preserve">Ruritania Railways </v>
      </c>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c r="QQ2" s="18"/>
      <c r="QR2" s="18"/>
      <c r="QS2" s="18"/>
      <c r="QT2" s="18"/>
      <c r="QU2" s="18"/>
      <c r="QV2" s="18"/>
      <c r="QW2" s="18"/>
      <c r="QX2" s="18"/>
      <c r="QY2" s="18"/>
      <c r="QZ2" s="18"/>
      <c r="RA2" s="18"/>
      <c r="RB2" s="18"/>
      <c r="RC2" s="18"/>
      <c r="RD2" s="18"/>
      <c r="RE2" s="18"/>
      <c r="RF2" s="18"/>
      <c r="RG2" s="18"/>
      <c r="RH2" s="18"/>
      <c r="RI2" s="18"/>
      <c r="RJ2" s="18"/>
      <c r="RK2" s="18"/>
      <c r="RL2" s="18"/>
      <c r="RM2" s="18"/>
      <c r="RN2" s="18"/>
      <c r="RO2" s="18"/>
      <c r="RP2" s="18"/>
      <c r="RQ2" s="18"/>
      <c r="RR2" s="18"/>
      <c r="RS2" s="18"/>
      <c r="RT2" s="18"/>
      <c r="RU2" s="18"/>
      <c r="RV2" s="18"/>
      <c r="RW2" s="18"/>
      <c r="RX2" s="18"/>
      <c r="RY2" s="18"/>
      <c r="RZ2" s="18"/>
      <c r="SA2" s="18"/>
      <c r="SB2" s="18"/>
      <c r="SC2" s="18"/>
      <c r="SD2" s="18"/>
      <c r="SE2" s="18"/>
      <c r="SF2" s="18"/>
      <c r="SG2" s="18"/>
      <c r="SH2" s="18"/>
      <c r="SI2" s="18"/>
      <c r="SJ2" s="18"/>
      <c r="SK2" s="18"/>
      <c r="SL2" s="18"/>
      <c r="SM2" s="18"/>
      <c r="SN2" s="18"/>
      <c r="SO2" s="18"/>
      <c r="SP2" s="18"/>
      <c r="SQ2" s="18"/>
      <c r="SR2" s="18"/>
      <c r="SS2" s="18"/>
      <c r="ST2" s="18"/>
      <c r="SU2" s="18"/>
      <c r="SV2" s="18"/>
      <c r="SW2" s="18"/>
      <c r="SX2" s="18"/>
      <c r="SY2" s="18"/>
      <c r="SZ2" s="18"/>
      <c r="TA2" s="18"/>
      <c r="TB2" s="18"/>
      <c r="TC2" s="18"/>
      <c r="TD2" s="18"/>
      <c r="TE2" s="18"/>
      <c r="TF2" s="18"/>
      <c r="TG2" s="18"/>
      <c r="TH2" s="18"/>
      <c r="TI2" s="18"/>
      <c r="TJ2" s="18"/>
      <c r="TK2" s="18"/>
      <c r="TL2" s="18"/>
      <c r="TM2" s="18"/>
      <c r="TN2" s="18"/>
      <c r="TO2" s="18"/>
      <c r="TP2" s="18"/>
      <c r="TQ2" s="18"/>
      <c r="TR2" s="18"/>
      <c r="TS2" s="18"/>
      <c r="TT2" s="18"/>
      <c r="TU2" s="18"/>
      <c r="TV2" s="18"/>
      <c r="TW2" s="18"/>
      <c r="TX2" s="18"/>
      <c r="TY2" s="18"/>
      <c r="TZ2" s="18"/>
      <c r="UA2" s="18"/>
      <c r="UB2" s="18"/>
      <c r="UC2" s="18"/>
      <c r="UD2" s="18"/>
      <c r="UE2" s="18"/>
      <c r="UF2" s="18"/>
      <c r="UG2" s="18"/>
      <c r="UH2" s="18"/>
      <c r="UI2" s="18"/>
      <c r="UJ2" s="18"/>
      <c r="UK2" s="18"/>
      <c r="UL2" s="18"/>
      <c r="UM2" s="18"/>
      <c r="UN2" s="18"/>
      <c r="UO2" s="18"/>
      <c r="UP2" s="18"/>
      <c r="UQ2" s="18"/>
      <c r="UR2" s="18"/>
      <c r="US2" s="18"/>
      <c r="UT2" s="18"/>
      <c r="UU2" s="18"/>
      <c r="UV2" s="18"/>
      <c r="UW2" s="18"/>
      <c r="UX2" s="18"/>
      <c r="UY2" s="18"/>
      <c r="UZ2" s="18"/>
      <c r="VA2" s="18"/>
      <c r="VB2" s="18"/>
      <c r="VC2" s="18"/>
      <c r="VD2" s="18"/>
      <c r="VE2" s="18"/>
      <c r="VF2" s="18"/>
      <c r="VG2" s="18"/>
      <c r="VH2" s="18"/>
      <c r="VI2" s="18"/>
      <c r="VJ2" s="18"/>
      <c r="VK2" s="18"/>
      <c r="VL2" s="18"/>
      <c r="VM2" s="18"/>
      <c r="VN2" s="18"/>
      <c r="VO2" s="18"/>
      <c r="VP2" s="18"/>
      <c r="VQ2" s="18"/>
      <c r="VR2" s="18"/>
      <c r="VS2" s="18"/>
      <c r="VT2" s="18"/>
      <c r="VU2" s="18"/>
      <c r="VV2" s="18"/>
      <c r="VW2" s="18"/>
      <c r="VX2" s="18"/>
      <c r="VY2" s="18"/>
      <c r="VZ2" s="18"/>
      <c r="WA2" s="18"/>
      <c r="WB2" s="18"/>
      <c r="WC2" s="18"/>
      <c r="WD2" s="18"/>
      <c r="WE2" s="18"/>
      <c r="WF2" s="18"/>
      <c r="WG2" s="18"/>
      <c r="WH2" s="18"/>
      <c r="WI2" s="18"/>
      <c r="WJ2" s="18"/>
      <c r="WK2" s="18"/>
      <c r="WL2" s="18"/>
      <c r="WM2" s="18"/>
      <c r="WN2" s="18"/>
      <c r="WO2" s="18"/>
      <c r="WP2" s="18"/>
      <c r="WQ2" s="18"/>
      <c r="WR2" s="18"/>
      <c r="WS2" s="18"/>
      <c r="WT2" s="18"/>
      <c r="WU2" s="18"/>
      <c r="WV2" s="18"/>
      <c r="WW2" s="18"/>
      <c r="WX2" s="18"/>
      <c r="WY2" s="18"/>
      <c r="WZ2" s="18"/>
      <c r="XA2" s="18"/>
      <c r="XB2" s="18"/>
      <c r="XC2" s="18"/>
      <c r="XD2" s="18"/>
      <c r="XE2" s="18"/>
      <c r="XF2" s="18"/>
      <c r="XG2" s="18"/>
      <c r="XH2" s="18"/>
      <c r="XI2" s="18"/>
      <c r="XJ2" s="18"/>
      <c r="XK2" s="18"/>
      <c r="XL2" s="18"/>
      <c r="XM2" s="18"/>
      <c r="XN2" s="18"/>
      <c r="XO2" s="18"/>
      <c r="XP2" s="18"/>
      <c r="XQ2" s="18"/>
      <c r="XR2" s="18"/>
      <c r="XS2" s="18"/>
      <c r="XT2" s="18"/>
      <c r="XU2" s="18"/>
      <c r="XV2" s="18"/>
      <c r="XW2" s="18"/>
      <c r="XX2" s="18"/>
      <c r="XY2" s="18"/>
      <c r="XZ2" s="18"/>
      <c r="YA2" s="18"/>
      <c r="YB2" s="18"/>
      <c r="YC2" s="18"/>
      <c r="YD2" s="18"/>
      <c r="YE2" s="18"/>
      <c r="YF2" s="18"/>
      <c r="YG2" s="18"/>
      <c r="YH2" s="18"/>
      <c r="YI2" s="18"/>
      <c r="YJ2" s="18"/>
      <c r="YK2" s="18"/>
      <c r="YL2" s="18"/>
      <c r="YM2" s="18"/>
      <c r="YN2" s="18"/>
      <c r="YO2" s="18"/>
      <c r="YP2" s="18"/>
      <c r="YQ2" s="18"/>
      <c r="YR2" s="18"/>
      <c r="YS2" s="18"/>
      <c r="YT2" s="18"/>
      <c r="YU2" s="18"/>
      <c r="YV2" s="18"/>
      <c r="YW2" s="18"/>
      <c r="YX2" s="18"/>
      <c r="YY2" s="18"/>
      <c r="YZ2" s="18"/>
      <c r="ZA2" s="18"/>
      <c r="ZB2" s="18"/>
      <c r="ZC2" s="18"/>
      <c r="ZD2" s="18"/>
      <c r="ZE2" s="18"/>
      <c r="ZF2" s="18"/>
      <c r="ZG2" s="18"/>
      <c r="ZH2" s="18"/>
      <c r="ZI2" s="18"/>
      <c r="ZJ2" s="18"/>
      <c r="ZK2" s="18"/>
      <c r="ZL2" s="18"/>
      <c r="ZM2" s="18"/>
      <c r="ZN2" s="18"/>
      <c r="ZO2" s="18"/>
      <c r="ZP2" s="18"/>
      <c r="ZQ2" s="18"/>
      <c r="ZR2" s="18"/>
      <c r="ZS2" s="18"/>
      <c r="ZT2" s="18"/>
      <c r="ZU2" s="18"/>
      <c r="ZV2" s="18"/>
      <c r="ZW2" s="18"/>
      <c r="ZX2" s="18"/>
      <c r="ZY2" s="18"/>
      <c r="ZZ2" s="18"/>
      <c r="AAA2" s="18"/>
      <c r="AAB2" s="18"/>
      <c r="AAC2" s="18"/>
      <c r="AAD2" s="18"/>
      <c r="AAE2" s="18"/>
      <c r="AAF2" s="18"/>
      <c r="AAG2" s="18"/>
      <c r="AAH2" s="18"/>
      <c r="AAI2" s="18"/>
      <c r="AAJ2" s="18"/>
      <c r="AAK2" s="18"/>
      <c r="AAL2" s="18"/>
      <c r="AAM2" s="18"/>
      <c r="AAN2" s="18"/>
      <c r="AAO2" s="18"/>
      <c r="AAP2" s="18"/>
      <c r="AAQ2" s="18"/>
      <c r="AAR2" s="18"/>
      <c r="AAS2" s="18"/>
      <c r="AAT2" s="18"/>
      <c r="AAU2" s="18"/>
      <c r="AAV2" s="18"/>
      <c r="AAW2" s="18"/>
      <c r="AAX2" s="18"/>
      <c r="AAY2" s="18"/>
      <c r="AAZ2" s="18"/>
      <c r="ABA2" s="18"/>
      <c r="ABB2" s="18"/>
      <c r="ABC2" s="18"/>
      <c r="ABD2" s="18"/>
      <c r="ABE2" s="18"/>
      <c r="ABF2" s="18"/>
      <c r="ABG2" s="18"/>
      <c r="ABH2" s="18"/>
      <c r="ABI2" s="18"/>
      <c r="ABJ2" s="18"/>
      <c r="ABK2" s="18"/>
      <c r="ABL2" s="18"/>
      <c r="ABM2" s="18"/>
      <c r="ABN2" s="18"/>
      <c r="ABO2" s="18"/>
      <c r="ABP2" s="18"/>
      <c r="ABQ2" s="18"/>
      <c r="ABR2" s="18"/>
      <c r="ABS2" s="18"/>
      <c r="ABT2" s="18"/>
      <c r="ABU2" s="18"/>
      <c r="ABV2" s="18"/>
      <c r="ABW2" s="18"/>
      <c r="ABX2" s="18"/>
      <c r="ABY2" s="18"/>
      <c r="ABZ2" s="18"/>
      <c r="ACA2" s="18"/>
      <c r="ACB2" s="18"/>
      <c r="ACC2" s="18"/>
      <c r="ACD2" s="18"/>
      <c r="ACE2" s="18"/>
      <c r="ACF2" s="18"/>
      <c r="ACG2" s="18"/>
      <c r="ACH2" s="18"/>
      <c r="ACI2" s="18"/>
      <c r="ACJ2" s="18"/>
      <c r="ACK2" s="18"/>
      <c r="ACL2" s="18"/>
      <c r="ACM2" s="18"/>
      <c r="ACN2" s="18"/>
      <c r="ACO2" s="18"/>
      <c r="ACP2" s="18"/>
      <c r="ACQ2" s="18"/>
      <c r="ACR2" s="18"/>
      <c r="ACS2" s="18"/>
      <c r="ACT2" s="18"/>
      <c r="ACU2" s="18"/>
      <c r="ACV2" s="18"/>
      <c r="ACW2" s="18"/>
      <c r="ACX2" s="18"/>
      <c r="ACY2" s="18"/>
      <c r="ACZ2" s="18"/>
      <c r="ADA2" s="18"/>
      <c r="ADB2" s="18"/>
      <c r="ADC2" s="18"/>
      <c r="ADD2" s="18"/>
      <c r="ADE2" s="18"/>
      <c r="ADF2" s="18"/>
      <c r="ADG2" s="18"/>
      <c r="ADH2" s="18"/>
      <c r="ADI2" s="18"/>
      <c r="ADJ2" s="18"/>
      <c r="ADK2" s="18"/>
      <c r="ADL2" s="18"/>
      <c r="ADM2" s="18"/>
      <c r="ADN2" s="18"/>
      <c r="ADO2" s="18"/>
      <c r="ADP2" s="18"/>
      <c r="ADQ2" s="18"/>
      <c r="ADR2" s="18"/>
      <c r="ADS2" s="18"/>
      <c r="ADT2" s="18"/>
      <c r="ADU2" s="18"/>
      <c r="ADV2" s="18"/>
      <c r="ADW2" s="18"/>
      <c r="ADX2" s="18"/>
      <c r="ADY2" s="18"/>
      <c r="ADZ2" s="18"/>
      <c r="AEA2" s="18"/>
      <c r="AEB2" s="18"/>
      <c r="AEC2" s="18"/>
      <c r="AED2" s="18"/>
      <c r="AEE2" s="18"/>
      <c r="AEF2" s="18"/>
      <c r="AEG2" s="18"/>
      <c r="AEH2" s="18"/>
      <c r="AEI2" s="18"/>
      <c r="AEJ2" s="18"/>
      <c r="AEK2" s="18"/>
      <c r="AEL2" s="18"/>
      <c r="AEM2" s="18"/>
      <c r="AEN2" s="18"/>
      <c r="AEO2" s="18"/>
      <c r="AEP2" s="18"/>
      <c r="AEQ2" s="18"/>
      <c r="AER2" s="18"/>
      <c r="AES2" s="18"/>
      <c r="AET2" s="18"/>
      <c r="AEU2" s="18"/>
      <c r="AEV2" s="18"/>
      <c r="AEW2" s="18"/>
      <c r="AEX2" s="18"/>
      <c r="AEY2" s="18"/>
      <c r="AEZ2" s="18"/>
      <c r="AFA2" s="18"/>
      <c r="AFB2" s="18"/>
      <c r="AFC2" s="18"/>
      <c r="AFD2" s="18"/>
      <c r="AFE2" s="18"/>
      <c r="AFF2" s="18"/>
      <c r="AFG2" s="18"/>
      <c r="AFH2" s="18"/>
      <c r="AFI2" s="18"/>
      <c r="AFJ2" s="18"/>
      <c r="AFK2" s="18"/>
      <c r="AFL2" s="18"/>
      <c r="AFM2" s="18"/>
      <c r="AFN2" s="18"/>
      <c r="AFO2" s="18"/>
      <c r="AFP2" s="18"/>
      <c r="AFQ2" s="18"/>
      <c r="AFR2" s="18"/>
      <c r="AFS2" s="18"/>
      <c r="AFT2" s="18"/>
      <c r="AFU2" s="18"/>
      <c r="AFV2" s="18"/>
      <c r="AFW2" s="18"/>
      <c r="AFX2" s="18"/>
      <c r="AFY2" s="18"/>
      <c r="AFZ2" s="18"/>
      <c r="AGA2" s="18"/>
      <c r="AGB2" s="18"/>
      <c r="AGC2" s="18"/>
      <c r="AGD2" s="18"/>
      <c r="AGE2" s="18"/>
      <c r="AGF2" s="18"/>
      <c r="AGG2" s="18"/>
      <c r="AGH2" s="18"/>
      <c r="AGI2" s="18"/>
      <c r="AGJ2" s="18"/>
      <c r="AGK2" s="18"/>
      <c r="AGL2" s="18"/>
      <c r="AGM2" s="18"/>
      <c r="AGN2" s="18"/>
      <c r="AGO2" s="18"/>
      <c r="AGP2" s="18"/>
      <c r="AGQ2" s="18"/>
      <c r="AGR2" s="18"/>
      <c r="AGS2" s="18"/>
      <c r="AGT2" s="18"/>
      <c r="AGU2" s="18"/>
      <c r="AGV2" s="18"/>
      <c r="AGW2" s="18"/>
      <c r="AGX2" s="18"/>
      <c r="AGY2" s="18"/>
      <c r="AGZ2" s="18"/>
      <c r="AHA2" s="18"/>
      <c r="AHB2" s="18"/>
      <c r="AHC2" s="18"/>
      <c r="AHD2" s="18"/>
      <c r="AHE2" s="18"/>
      <c r="AHF2" s="18"/>
      <c r="AHG2" s="18"/>
      <c r="AHH2" s="18"/>
      <c r="AHI2" s="18"/>
      <c r="AHJ2" s="18"/>
      <c r="AHK2" s="18"/>
      <c r="AHL2" s="18"/>
      <c r="AHM2" s="18"/>
      <c r="AHN2" s="18"/>
      <c r="AHO2" s="18"/>
      <c r="AHP2" s="18"/>
      <c r="AHQ2" s="18"/>
      <c r="AHR2" s="18"/>
      <c r="AHS2" s="18"/>
      <c r="AHT2" s="18"/>
      <c r="AHU2" s="18"/>
      <c r="AHV2" s="18"/>
      <c r="AHW2" s="18"/>
      <c r="AHX2" s="18"/>
      <c r="AHY2" s="18"/>
      <c r="AHZ2" s="18"/>
      <c r="AIA2" s="18"/>
      <c r="AIB2" s="18"/>
      <c r="AIC2" s="18"/>
      <c r="AID2" s="18"/>
      <c r="AIE2" s="18"/>
      <c r="AIF2" s="18"/>
      <c r="AIG2" s="18"/>
      <c r="AIH2" s="18"/>
      <c r="AII2" s="18"/>
      <c r="AIJ2" s="18"/>
      <c r="AIK2" s="18"/>
      <c r="AIL2" s="18"/>
      <c r="AIM2" s="18"/>
      <c r="AIN2" s="18"/>
      <c r="AIO2" s="18"/>
      <c r="AIP2" s="18"/>
      <c r="AIQ2" s="18"/>
      <c r="AIR2" s="18"/>
      <c r="AIS2" s="18"/>
      <c r="AIT2" s="18"/>
      <c r="AIU2" s="18"/>
      <c r="AIV2" s="18"/>
      <c r="AIW2" s="18"/>
      <c r="AIX2" s="18"/>
      <c r="AIY2" s="18"/>
      <c r="AIZ2" s="18"/>
      <c r="AJA2" s="18"/>
      <c r="AJB2" s="18"/>
      <c r="AJC2" s="18"/>
      <c r="AJD2" s="18"/>
      <c r="AJE2" s="18"/>
      <c r="AJF2" s="18"/>
      <c r="AJG2" s="18"/>
      <c r="AJH2" s="18"/>
      <c r="AJI2" s="18"/>
      <c r="AJJ2" s="18"/>
      <c r="AJK2" s="18"/>
      <c r="AJL2" s="18"/>
      <c r="AJM2" s="18"/>
      <c r="AJN2" s="18"/>
      <c r="AJO2" s="18"/>
      <c r="AJP2" s="18"/>
      <c r="AJQ2" s="18"/>
      <c r="AJR2" s="18"/>
      <c r="AJS2" s="18"/>
      <c r="AJT2" s="18"/>
      <c r="AJU2" s="18"/>
      <c r="AJV2" s="18"/>
      <c r="AJW2" s="18"/>
      <c r="AJX2" s="18"/>
      <c r="AJY2" s="18"/>
      <c r="AJZ2" s="18"/>
      <c r="AKA2" s="18"/>
      <c r="AKB2" s="18"/>
      <c r="AKC2" s="18"/>
      <c r="AKD2" s="18"/>
      <c r="AKE2" s="18"/>
      <c r="AKF2" s="18"/>
      <c r="AKG2" s="18"/>
      <c r="AKH2" s="18"/>
      <c r="AKI2" s="18"/>
      <c r="AKJ2" s="18"/>
      <c r="AKK2" s="18"/>
      <c r="AKL2" s="18"/>
      <c r="AKM2" s="18"/>
      <c r="AKN2" s="18"/>
      <c r="AKO2" s="18"/>
      <c r="AKP2" s="18"/>
      <c r="AKQ2" s="18"/>
      <c r="AKR2" s="18"/>
      <c r="AKS2" s="18"/>
      <c r="AKT2" s="18"/>
      <c r="AKU2" s="18"/>
      <c r="AKV2" s="18"/>
      <c r="AKW2" s="18"/>
      <c r="AKX2" s="18"/>
      <c r="AKY2" s="18"/>
      <c r="AKZ2" s="18"/>
      <c r="ALA2" s="18"/>
      <c r="ALB2" s="18"/>
      <c r="ALC2" s="18"/>
      <c r="ALD2" s="18"/>
      <c r="ALE2" s="18"/>
      <c r="ALF2" s="18"/>
      <c r="ALG2" s="18"/>
      <c r="ALH2" s="18"/>
      <c r="ALI2" s="18"/>
      <c r="ALJ2" s="18"/>
      <c r="ALK2" s="18"/>
      <c r="ALL2" s="18"/>
      <c r="ALM2" s="18"/>
      <c r="ALN2" s="18"/>
      <c r="ALO2" s="18"/>
      <c r="ALP2" s="18"/>
      <c r="ALQ2" s="18"/>
      <c r="ALR2" s="18"/>
      <c r="ALS2" s="18"/>
      <c r="ALT2" s="18"/>
      <c r="ALU2" s="18"/>
      <c r="ALV2" s="18"/>
      <c r="ALW2" s="18"/>
      <c r="ALX2" s="18"/>
      <c r="ALY2" s="18"/>
      <c r="ALZ2" s="18"/>
      <c r="AMA2" s="18"/>
      <c r="AMB2" s="18"/>
      <c r="AMC2" s="18"/>
      <c r="AMD2" s="18"/>
      <c r="AME2" s="18"/>
      <c r="AMF2" s="18"/>
      <c r="AMG2" s="18"/>
      <c r="AMH2" s="18"/>
      <c r="AMI2" s="18"/>
      <c r="AMJ2" s="18"/>
      <c r="AMK2" s="18"/>
      <c r="AML2" s="18"/>
      <c r="AMM2" s="18"/>
      <c r="AMN2" s="18"/>
      <c r="AMO2" s="18"/>
      <c r="AMP2" s="18"/>
      <c r="AMQ2" s="18"/>
      <c r="AMR2" s="18"/>
      <c r="AMS2" s="18"/>
      <c r="AMT2" s="18"/>
      <c r="AMU2" s="18"/>
      <c r="AMV2" s="18"/>
      <c r="AMW2" s="18"/>
      <c r="AMX2" s="18"/>
      <c r="AMY2" s="18"/>
      <c r="AMZ2" s="18"/>
      <c r="ANA2" s="18"/>
      <c r="ANB2" s="18"/>
      <c r="ANC2" s="18"/>
      <c r="AND2" s="18"/>
      <c r="ANE2" s="18"/>
      <c r="ANF2" s="18"/>
      <c r="ANG2" s="18"/>
      <c r="ANH2" s="18"/>
      <c r="ANI2" s="18"/>
      <c r="ANJ2" s="18"/>
      <c r="ANK2" s="18"/>
      <c r="ANL2" s="18"/>
      <c r="ANM2" s="18"/>
      <c r="ANN2" s="18"/>
      <c r="ANO2" s="18"/>
      <c r="ANP2" s="18"/>
      <c r="ANQ2" s="18"/>
      <c r="ANR2" s="18"/>
      <c r="ANS2" s="18"/>
      <c r="ANT2" s="18"/>
      <c r="ANU2" s="18"/>
      <c r="ANV2" s="18"/>
      <c r="ANW2" s="18"/>
      <c r="ANX2" s="18"/>
      <c r="ANY2" s="18"/>
      <c r="ANZ2" s="18"/>
      <c r="AOA2" s="18"/>
      <c r="AOB2" s="18"/>
      <c r="AOC2" s="18"/>
      <c r="AOD2" s="18"/>
      <c r="AOE2" s="18"/>
      <c r="AOF2" s="18"/>
      <c r="AOG2" s="18"/>
      <c r="AOH2" s="18"/>
      <c r="AOI2" s="18"/>
      <c r="AOJ2" s="18"/>
      <c r="AOK2" s="18"/>
      <c r="AOL2" s="18"/>
      <c r="AOM2" s="18"/>
      <c r="AON2" s="18"/>
      <c r="AOO2" s="18"/>
      <c r="AOP2" s="18"/>
      <c r="AOQ2" s="18"/>
      <c r="AOR2" s="18"/>
      <c r="AOS2" s="18"/>
      <c r="AOT2" s="18"/>
      <c r="AOU2" s="18"/>
      <c r="AOV2" s="18"/>
      <c r="AOW2" s="18"/>
      <c r="AOX2" s="18"/>
      <c r="AOY2" s="18"/>
      <c r="AOZ2" s="18"/>
      <c r="APA2" s="18"/>
      <c r="APB2" s="18"/>
      <c r="APC2" s="18"/>
      <c r="APD2" s="18"/>
      <c r="APE2" s="18"/>
      <c r="APF2" s="18"/>
      <c r="APG2" s="18"/>
      <c r="APH2" s="18"/>
      <c r="API2" s="18"/>
      <c r="APJ2" s="18"/>
      <c r="APK2" s="18"/>
      <c r="APL2" s="18"/>
      <c r="APM2" s="18"/>
      <c r="APN2" s="18"/>
      <c r="APO2" s="18"/>
      <c r="APP2" s="18"/>
      <c r="APQ2" s="18"/>
      <c r="APR2" s="18"/>
      <c r="APS2" s="18"/>
      <c r="APT2" s="18"/>
      <c r="APU2" s="18"/>
      <c r="APV2" s="18"/>
      <c r="APW2" s="18"/>
      <c r="APX2" s="18"/>
      <c r="APY2" s="18"/>
      <c r="APZ2" s="18"/>
      <c r="AQA2" s="18"/>
      <c r="AQB2" s="18"/>
      <c r="AQC2" s="18"/>
      <c r="AQD2" s="18"/>
      <c r="AQE2" s="18"/>
      <c r="AQF2" s="18"/>
      <c r="AQG2" s="18"/>
      <c r="AQH2" s="18"/>
      <c r="AQI2" s="18"/>
      <c r="AQJ2" s="18"/>
      <c r="AQK2" s="18"/>
      <c r="AQL2" s="18"/>
      <c r="AQM2" s="18"/>
      <c r="AQN2" s="18"/>
      <c r="AQO2" s="18"/>
      <c r="AQP2" s="18"/>
      <c r="AQQ2" s="18"/>
      <c r="AQR2" s="18"/>
      <c r="AQS2" s="18"/>
      <c r="AQT2" s="18"/>
      <c r="AQU2" s="18"/>
      <c r="AQV2" s="18"/>
      <c r="AQW2" s="18"/>
      <c r="AQX2" s="18"/>
      <c r="AQY2" s="18"/>
      <c r="AQZ2" s="18"/>
      <c r="ARA2" s="18"/>
      <c r="ARB2" s="18"/>
      <c r="ARC2" s="18"/>
      <c r="ARD2" s="18"/>
      <c r="ARE2" s="18"/>
      <c r="ARF2" s="18"/>
      <c r="ARG2" s="18"/>
      <c r="ARH2" s="18"/>
      <c r="ARI2" s="18"/>
      <c r="ARJ2" s="18"/>
      <c r="ARK2" s="18"/>
      <c r="ARL2" s="18"/>
      <c r="ARM2" s="18"/>
      <c r="ARN2" s="18"/>
      <c r="ARO2" s="18"/>
      <c r="ARP2" s="18"/>
      <c r="ARQ2" s="18"/>
      <c r="ARR2" s="18"/>
      <c r="ARS2" s="18"/>
      <c r="ART2" s="18"/>
      <c r="ARU2" s="18"/>
      <c r="ARV2" s="18"/>
      <c r="ARW2" s="18"/>
      <c r="ARX2" s="18"/>
      <c r="ARY2" s="18"/>
      <c r="ARZ2" s="18"/>
      <c r="ASA2" s="18"/>
      <c r="ASB2" s="18"/>
      <c r="ASC2" s="18"/>
      <c r="ASD2" s="18"/>
      <c r="ASE2" s="18"/>
      <c r="ASF2" s="18"/>
      <c r="ASG2" s="18"/>
      <c r="ASH2" s="18"/>
      <c r="ASI2" s="18"/>
      <c r="ASJ2" s="18"/>
      <c r="ASK2" s="18"/>
      <c r="ASL2" s="18"/>
      <c r="ASM2" s="18"/>
      <c r="ASN2" s="18"/>
      <c r="ASO2" s="18"/>
      <c r="ASP2" s="18"/>
      <c r="ASQ2" s="18"/>
      <c r="ASR2" s="18"/>
      <c r="ASS2" s="18"/>
      <c r="AST2" s="18"/>
      <c r="ASU2" s="18"/>
      <c r="ASV2" s="18"/>
      <c r="ASW2" s="18"/>
      <c r="ASX2" s="18"/>
      <c r="ASY2" s="18"/>
      <c r="ASZ2" s="18"/>
      <c r="ATA2" s="18"/>
      <c r="ATB2" s="18"/>
      <c r="ATC2" s="18"/>
      <c r="ATD2" s="18"/>
      <c r="ATE2" s="18"/>
      <c r="ATF2" s="18"/>
      <c r="ATG2" s="18"/>
      <c r="ATH2" s="18"/>
      <c r="ATI2" s="18"/>
      <c r="ATJ2" s="18"/>
      <c r="ATK2" s="18"/>
      <c r="ATL2" s="18"/>
      <c r="ATM2" s="18"/>
      <c r="ATN2" s="18"/>
      <c r="ATO2" s="18"/>
      <c r="ATP2" s="18"/>
      <c r="ATQ2" s="18"/>
      <c r="ATR2" s="18"/>
      <c r="ATS2" s="18"/>
      <c r="ATT2" s="18"/>
      <c r="ATU2" s="18"/>
      <c r="ATV2" s="18"/>
      <c r="ATW2" s="18"/>
      <c r="ATX2" s="18"/>
      <c r="ATY2" s="18"/>
      <c r="ATZ2" s="18"/>
      <c r="AUA2" s="18"/>
      <c r="AUB2" s="18"/>
      <c r="AUC2" s="18"/>
      <c r="AUD2" s="18"/>
      <c r="AUE2" s="18"/>
      <c r="AUF2" s="18"/>
      <c r="AUG2" s="18"/>
      <c r="AUH2" s="18"/>
      <c r="AUI2" s="18"/>
      <c r="AUJ2" s="18"/>
      <c r="AUK2" s="18"/>
      <c r="AUL2" s="18"/>
      <c r="AUM2" s="18"/>
      <c r="AUN2" s="18"/>
      <c r="AUO2" s="18"/>
      <c r="AUP2" s="18"/>
      <c r="AUQ2" s="18"/>
      <c r="AUR2" s="18"/>
      <c r="AUS2" s="18"/>
      <c r="AUT2" s="18"/>
      <c r="AUU2" s="18"/>
      <c r="AUV2" s="18"/>
      <c r="AUW2" s="18"/>
      <c r="AUX2" s="18"/>
      <c r="AUY2" s="18"/>
      <c r="AUZ2" s="18"/>
      <c r="AVA2" s="18"/>
      <c r="AVB2" s="18"/>
      <c r="AVC2" s="18"/>
      <c r="AVD2" s="18"/>
      <c r="AVE2" s="18"/>
      <c r="AVF2" s="18"/>
      <c r="AVG2" s="18"/>
      <c r="AVH2" s="18"/>
      <c r="AVI2" s="18"/>
      <c r="AVJ2" s="18"/>
      <c r="AVK2" s="18"/>
      <c r="AVL2" s="18"/>
      <c r="AVM2" s="18"/>
      <c r="AVN2" s="18"/>
      <c r="AVO2" s="18"/>
      <c r="AVP2" s="18"/>
      <c r="AVQ2" s="18"/>
      <c r="AVR2" s="18"/>
      <c r="AVS2" s="18"/>
      <c r="AVT2" s="18"/>
      <c r="AVU2" s="18"/>
      <c r="AVV2" s="18"/>
      <c r="AVW2" s="18"/>
      <c r="AVX2" s="18"/>
      <c r="AVY2" s="18"/>
      <c r="AVZ2" s="18"/>
      <c r="AWA2" s="18"/>
      <c r="AWB2" s="18"/>
      <c r="AWC2" s="18"/>
      <c r="AWD2" s="18"/>
      <c r="AWE2" s="18"/>
      <c r="AWF2" s="18"/>
      <c r="AWG2" s="18"/>
      <c r="AWH2" s="18"/>
      <c r="AWI2" s="18"/>
      <c r="AWJ2" s="18"/>
      <c r="AWK2" s="18"/>
      <c r="AWL2" s="18"/>
      <c r="AWM2" s="18"/>
      <c r="AWN2" s="18"/>
      <c r="AWO2" s="18"/>
      <c r="AWP2" s="18"/>
      <c r="AWQ2" s="18"/>
      <c r="AWR2" s="18"/>
      <c r="AWS2" s="18"/>
      <c r="AWT2" s="18"/>
      <c r="AWU2" s="18"/>
      <c r="AWV2" s="18"/>
      <c r="AWW2" s="18"/>
      <c r="AWX2" s="18"/>
      <c r="AWY2" s="18"/>
      <c r="AWZ2" s="18"/>
      <c r="AXA2" s="18"/>
      <c r="AXB2" s="18"/>
      <c r="AXC2" s="18"/>
      <c r="AXD2" s="18"/>
      <c r="AXE2" s="18"/>
      <c r="AXF2" s="18"/>
      <c r="AXG2" s="18"/>
      <c r="AXH2" s="18"/>
      <c r="AXI2" s="18"/>
      <c r="AXJ2" s="18"/>
      <c r="AXK2" s="18"/>
      <c r="AXL2" s="18"/>
      <c r="AXM2" s="18"/>
      <c r="AXN2" s="18"/>
      <c r="AXO2" s="18"/>
      <c r="AXP2" s="18"/>
      <c r="AXQ2" s="18"/>
      <c r="AXR2" s="18"/>
      <c r="AXS2" s="18"/>
      <c r="AXT2" s="18"/>
      <c r="AXU2" s="18"/>
      <c r="AXV2" s="18"/>
      <c r="AXW2" s="18"/>
      <c r="AXX2" s="18"/>
      <c r="AXY2" s="18"/>
      <c r="AXZ2" s="18"/>
      <c r="AYA2" s="18"/>
      <c r="AYB2" s="18"/>
      <c r="AYC2" s="18"/>
      <c r="AYD2" s="18"/>
      <c r="AYE2" s="18"/>
      <c r="AYF2" s="18"/>
      <c r="AYG2" s="18"/>
      <c r="AYH2" s="18"/>
      <c r="AYI2" s="18"/>
      <c r="AYJ2" s="18"/>
      <c r="AYK2" s="18"/>
      <c r="AYL2" s="18"/>
      <c r="AYM2" s="18"/>
      <c r="AYN2" s="18"/>
      <c r="AYO2" s="18"/>
      <c r="AYP2" s="18"/>
      <c r="AYQ2" s="18"/>
      <c r="AYR2" s="18"/>
      <c r="AYS2" s="18"/>
      <c r="AYT2" s="18"/>
      <c r="AYU2" s="18"/>
      <c r="AYV2" s="18"/>
      <c r="AYW2" s="18"/>
      <c r="AYX2" s="18"/>
      <c r="AYY2" s="18"/>
      <c r="AYZ2" s="18"/>
      <c r="AZA2" s="18"/>
      <c r="AZB2" s="18"/>
      <c r="AZC2" s="18"/>
      <c r="AZD2" s="18"/>
      <c r="AZE2" s="18"/>
      <c r="AZF2" s="18"/>
      <c r="AZG2" s="18"/>
      <c r="AZH2" s="18"/>
      <c r="AZI2" s="18"/>
      <c r="AZJ2" s="18"/>
      <c r="AZK2" s="18"/>
      <c r="AZL2" s="18"/>
      <c r="AZM2" s="18"/>
      <c r="AZN2" s="18"/>
      <c r="AZO2" s="18"/>
      <c r="AZP2" s="18"/>
      <c r="AZQ2" s="18"/>
      <c r="AZR2" s="18"/>
      <c r="AZS2" s="18"/>
      <c r="AZT2" s="18"/>
      <c r="AZU2" s="18"/>
      <c r="AZV2" s="18"/>
      <c r="AZW2" s="18"/>
      <c r="AZX2" s="18"/>
      <c r="AZY2" s="18"/>
      <c r="AZZ2" s="18"/>
      <c r="BAA2" s="18"/>
      <c r="BAB2" s="18"/>
      <c r="BAC2" s="18"/>
      <c r="BAD2" s="18"/>
      <c r="BAE2" s="18"/>
      <c r="BAF2" s="18"/>
      <c r="BAG2" s="18"/>
      <c r="BAH2" s="18"/>
      <c r="BAI2" s="18"/>
      <c r="BAJ2" s="18"/>
      <c r="BAK2" s="18"/>
      <c r="BAL2" s="18"/>
      <c r="BAM2" s="18"/>
      <c r="BAN2" s="18"/>
      <c r="BAO2" s="18"/>
      <c r="BAP2" s="18"/>
      <c r="BAQ2" s="18"/>
      <c r="BAR2" s="18"/>
      <c r="BAS2" s="18"/>
      <c r="BAT2" s="18"/>
      <c r="BAU2" s="18"/>
      <c r="BAV2" s="18"/>
      <c r="BAW2" s="18"/>
      <c r="BAX2" s="18"/>
      <c r="BAY2" s="18"/>
      <c r="BAZ2" s="18"/>
      <c r="BBA2" s="18"/>
      <c r="BBB2" s="18"/>
      <c r="BBC2" s="18"/>
      <c r="BBD2" s="18"/>
      <c r="BBE2" s="18"/>
      <c r="BBF2" s="18"/>
      <c r="BBG2" s="18"/>
      <c r="BBH2" s="18"/>
      <c r="BBI2" s="18"/>
      <c r="BBJ2" s="18"/>
      <c r="BBK2" s="18"/>
      <c r="BBL2" s="18"/>
      <c r="BBM2" s="18"/>
      <c r="BBN2" s="18"/>
      <c r="BBO2" s="18"/>
      <c r="BBP2" s="18"/>
      <c r="BBQ2" s="18"/>
      <c r="BBR2" s="18"/>
      <c r="BBS2" s="18"/>
      <c r="BBT2" s="18"/>
      <c r="BBU2" s="18"/>
      <c r="BBV2" s="18"/>
      <c r="BBW2" s="18"/>
      <c r="BBX2" s="18"/>
      <c r="BBY2" s="18"/>
      <c r="BBZ2" s="18"/>
      <c r="BCA2" s="18"/>
      <c r="BCB2" s="18"/>
      <c r="BCC2" s="18"/>
      <c r="BCD2" s="18"/>
      <c r="BCE2" s="18"/>
      <c r="BCF2" s="18"/>
      <c r="BCG2" s="18"/>
      <c r="BCH2" s="18"/>
      <c r="BCI2" s="18"/>
      <c r="BCJ2" s="18"/>
      <c r="BCK2" s="18"/>
      <c r="BCL2" s="18"/>
      <c r="BCM2" s="18"/>
      <c r="BCN2" s="18"/>
      <c r="BCO2" s="18"/>
      <c r="BCP2" s="18"/>
      <c r="BCQ2" s="18"/>
      <c r="BCR2" s="18"/>
      <c r="BCS2" s="18"/>
      <c r="BCT2" s="18"/>
      <c r="BCU2" s="18"/>
      <c r="BCV2" s="18"/>
      <c r="BCW2" s="18"/>
      <c r="BCX2" s="18"/>
      <c r="BCY2" s="18"/>
      <c r="BCZ2" s="18"/>
      <c r="BDA2" s="18"/>
      <c r="BDB2" s="18"/>
      <c r="BDC2" s="18"/>
      <c r="BDD2" s="18"/>
      <c r="BDE2" s="18"/>
      <c r="BDF2" s="18"/>
      <c r="BDG2" s="18"/>
      <c r="BDH2" s="18"/>
      <c r="BDI2" s="18"/>
      <c r="BDJ2" s="18"/>
      <c r="BDK2" s="18"/>
      <c r="BDL2" s="18"/>
      <c r="BDM2" s="18"/>
      <c r="BDN2" s="18"/>
      <c r="BDO2" s="18"/>
      <c r="BDP2" s="18"/>
      <c r="BDQ2" s="18"/>
      <c r="BDR2" s="18"/>
      <c r="BDS2" s="18"/>
      <c r="BDT2" s="18"/>
      <c r="BDU2" s="18"/>
      <c r="BDV2" s="18"/>
      <c r="BDW2" s="18"/>
      <c r="BDX2" s="18"/>
      <c r="BDY2" s="18"/>
      <c r="BDZ2" s="18"/>
      <c r="BEA2" s="18"/>
      <c r="BEB2" s="18"/>
      <c r="BEC2" s="18"/>
      <c r="BED2" s="18"/>
      <c r="BEE2" s="18"/>
      <c r="BEF2" s="18"/>
      <c r="BEG2" s="18"/>
      <c r="BEH2" s="18"/>
      <c r="BEI2" s="18"/>
      <c r="BEJ2" s="18"/>
      <c r="BEK2" s="18"/>
      <c r="BEL2" s="18"/>
      <c r="BEM2" s="18"/>
      <c r="BEN2" s="18"/>
      <c r="BEO2" s="18"/>
      <c r="BEP2" s="18"/>
      <c r="BEQ2" s="18"/>
      <c r="BER2" s="18"/>
      <c r="BES2" s="18"/>
      <c r="BET2" s="18"/>
      <c r="BEU2" s="18"/>
      <c r="BEV2" s="18"/>
      <c r="BEW2" s="18"/>
      <c r="BEX2" s="18"/>
      <c r="BEY2" s="18"/>
      <c r="BEZ2" s="18"/>
      <c r="BFA2" s="18"/>
      <c r="BFB2" s="18"/>
      <c r="BFC2" s="18"/>
      <c r="BFD2" s="18"/>
      <c r="BFE2" s="18"/>
      <c r="BFF2" s="18"/>
      <c r="BFG2" s="18"/>
      <c r="BFH2" s="18"/>
      <c r="BFI2" s="18"/>
      <c r="BFJ2" s="18"/>
      <c r="BFK2" s="18"/>
      <c r="BFL2" s="18"/>
      <c r="BFM2" s="18"/>
      <c r="BFN2" s="18"/>
      <c r="BFO2" s="18"/>
      <c r="BFP2" s="18"/>
      <c r="BFQ2" s="18"/>
      <c r="BFR2" s="18"/>
      <c r="BFS2" s="18"/>
      <c r="BFT2" s="18"/>
      <c r="BFU2" s="18"/>
      <c r="BFV2" s="18"/>
      <c r="BFW2" s="18"/>
      <c r="BFX2" s="18"/>
      <c r="BFY2" s="18"/>
      <c r="BFZ2" s="18"/>
      <c r="BGA2" s="18"/>
      <c r="BGB2" s="18"/>
      <c r="BGC2" s="18"/>
      <c r="BGD2" s="18"/>
      <c r="BGE2" s="18"/>
      <c r="BGF2" s="18"/>
      <c r="BGG2" s="18"/>
      <c r="BGH2" s="18"/>
      <c r="BGI2" s="18"/>
      <c r="BGJ2" s="18"/>
      <c r="BGK2" s="18"/>
      <c r="BGL2" s="18"/>
      <c r="BGM2" s="18"/>
      <c r="BGN2" s="18"/>
      <c r="BGO2" s="18"/>
      <c r="BGP2" s="18"/>
      <c r="BGQ2" s="18"/>
      <c r="BGR2" s="18"/>
      <c r="BGS2" s="18"/>
      <c r="BGT2" s="18"/>
      <c r="BGU2" s="18"/>
      <c r="BGV2" s="18"/>
      <c r="BGW2" s="18"/>
      <c r="BGX2" s="18"/>
      <c r="BGY2" s="18"/>
      <c r="BGZ2" s="18"/>
      <c r="BHA2" s="18"/>
      <c r="BHB2" s="18"/>
      <c r="BHC2" s="18"/>
      <c r="BHD2" s="18"/>
      <c r="BHE2" s="18"/>
      <c r="BHF2" s="18"/>
      <c r="BHG2" s="18"/>
      <c r="BHH2" s="18"/>
      <c r="BHI2" s="18"/>
      <c r="BHJ2" s="18"/>
      <c r="BHK2" s="18"/>
      <c r="BHL2" s="18"/>
      <c r="BHM2" s="18"/>
      <c r="BHN2" s="18"/>
      <c r="BHO2" s="18"/>
      <c r="BHP2" s="18"/>
      <c r="BHQ2" s="18"/>
      <c r="BHR2" s="18"/>
      <c r="BHS2" s="18"/>
      <c r="BHT2" s="18"/>
      <c r="BHU2" s="18"/>
      <c r="BHV2" s="18"/>
      <c r="BHW2" s="18"/>
      <c r="BHX2" s="18"/>
      <c r="BHY2" s="18"/>
      <c r="BHZ2" s="18"/>
      <c r="BIA2" s="18"/>
      <c r="BIB2" s="18"/>
      <c r="BIC2" s="18"/>
      <c r="BID2" s="18"/>
      <c r="BIE2" s="18"/>
      <c r="BIF2" s="18"/>
      <c r="BIG2" s="18"/>
      <c r="BIH2" s="18"/>
      <c r="BII2" s="18"/>
      <c r="BIJ2" s="18"/>
      <c r="BIK2" s="18"/>
      <c r="BIL2" s="18"/>
      <c r="BIM2" s="18"/>
      <c r="BIN2" s="18"/>
      <c r="BIO2" s="18"/>
      <c r="BIP2" s="18"/>
      <c r="BIQ2" s="18"/>
      <c r="BIR2" s="18"/>
      <c r="BIS2" s="18"/>
      <c r="BIT2" s="18"/>
      <c r="BIU2" s="18"/>
      <c r="BIV2" s="18"/>
      <c r="BIW2" s="18"/>
      <c r="BIX2" s="18"/>
      <c r="BIY2" s="18"/>
      <c r="BIZ2" s="18"/>
      <c r="BJA2" s="18"/>
      <c r="BJB2" s="18"/>
      <c r="BJC2" s="18"/>
      <c r="BJD2" s="18"/>
      <c r="BJE2" s="18"/>
      <c r="BJF2" s="18"/>
      <c r="BJG2" s="18"/>
      <c r="BJH2" s="18"/>
      <c r="BJI2" s="18"/>
      <c r="BJJ2" s="18"/>
      <c r="BJK2" s="18"/>
      <c r="BJL2" s="18"/>
      <c r="BJM2" s="18"/>
      <c r="BJN2" s="18"/>
      <c r="BJO2" s="18"/>
      <c r="BJP2" s="18"/>
      <c r="BJQ2" s="18"/>
      <c r="BJR2" s="18"/>
      <c r="BJS2" s="18"/>
      <c r="BJT2" s="18"/>
      <c r="BJU2" s="18"/>
      <c r="BJV2" s="18"/>
      <c r="BJW2" s="18"/>
      <c r="BJX2" s="18"/>
      <c r="BJY2" s="18"/>
      <c r="BJZ2" s="18"/>
      <c r="BKA2" s="18"/>
      <c r="BKB2" s="18"/>
      <c r="BKC2" s="18"/>
      <c r="BKD2" s="18"/>
      <c r="BKE2" s="18"/>
      <c r="BKF2" s="18"/>
      <c r="BKG2" s="18"/>
      <c r="BKH2" s="18"/>
      <c r="BKI2" s="18"/>
      <c r="BKJ2" s="18"/>
      <c r="BKK2" s="18"/>
      <c r="BKL2" s="18"/>
      <c r="BKM2" s="18"/>
      <c r="BKN2" s="18"/>
      <c r="BKO2" s="18"/>
      <c r="BKP2" s="18"/>
      <c r="BKQ2" s="18"/>
      <c r="BKR2" s="18"/>
      <c r="BKS2" s="18"/>
      <c r="BKT2" s="18"/>
      <c r="BKU2" s="18"/>
      <c r="BKV2" s="18"/>
      <c r="BKW2" s="18"/>
      <c r="BKX2" s="18"/>
      <c r="BKY2" s="18"/>
      <c r="BKZ2" s="18"/>
      <c r="BLA2" s="18"/>
      <c r="BLB2" s="18"/>
      <c r="BLC2" s="18"/>
      <c r="BLD2" s="18"/>
      <c r="BLE2" s="18"/>
      <c r="BLF2" s="18"/>
      <c r="BLG2" s="18"/>
      <c r="BLH2" s="18"/>
      <c r="BLI2" s="18"/>
      <c r="BLJ2" s="18"/>
      <c r="BLK2" s="18"/>
      <c r="BLL2" s="18"/>
      <c r="BLM2" s="18"/>
      <c r="BLN2" s="18"/>
      <c r="BLO2" s="18"/>
      <c r="BLP2" s="18"/>
      <c r="BLQ2" s="18"/>
      <c r="BLR2" s="18"/>
      <c r="BLS2" s="18"/>
      <c r="BLT2" s="18"/>
      <c r="BLU2" s="18"/>
      <c r="BLV2" s="18"/>
      <c r="BLW2" s="18"/>
      <c r="BLX2" s="18"/>
      <c r="BLY2" s="18"/>
      <c r="BLZ2" s="18"/>
      <c r="BMA2" s="18"/>
      <c r="BMB2" s="18"/>
      <c r="BMC2" s="18"/>
      <c r="BMD2" s="18"/>
      <c r="BME2" s="18"/>
      <c r="BMF2" s="18"/>
      <c r="BMG2" s="18"/>
      <c r="BMH2" s="18"/>
      <c r="BMI2" s="18"/>
      <c r="BMJ2" s="18"/>
      <c r="BMK2" s="18"/>
      <c r="BML2" s="18"/>
      <c r="BMM2" s="18"/>
      <c r="BMN2" s="18"/>
      <c r="BMO2" s="18"/>
      <c r="BMP2" s="18"/>
      <c r="BMQ2" s="18"/>
      <c r="BMR2" s="18"/>
      <c r="BMS2" s="18"/>
      <c r="BMT2" s="18"/>
      <c r="BMU2" s="18"/>
      <c r="BMV2" s="18"/>
      <c r="BMW2" s="18"/>
      <c r="BMX2" s="18"/>
      <c r="BMY2" s="18"/>
      <c r="BMZ2" s="18"/>
      <c r="BNA2" s="18"/>
      <c r="BNB2" s="18"/>
      <c r="BNC2" s="18"/>
      <c r="BND2" s="18"/>
      <c r="BNE2" s="18"/>
      <c r="BNF2" s="18"/>
      <c r="BNG2" s="18"/>
      <c r="BNH2" s="18"/>
      <c r="BNI2" s="18"/>
      <c r="BNJ2" s="18"/>
      <c r="BNK2" s="18"/>
      <c r="BNL2" s="18"/>
      <c r="BNM2" s="18"/>
      <c r="BNN2" s="18"/>
      <c r="BNO2" s="18"/>
      <c r="BNP2" s="18"/>
      <c r="BNQ2" s="18"/>
      <c r="BNR2" s="18"/>
      <c r="BNS2" s="18"/>
      <c r="BNT2" s="18"/>
      <c r="BNU2" s="18"/>
      <c r="BNV2" s="18"/>
      <c r="BNW2" s="18"/>
      <c r="BNX2" s="18"/>
      <c r="BNY2" s="18"/>
      <c r="BNZ2" s="18"/>
      <c r="BOA2" s="18"/>
      <c r="BOB2" s="18"/>
      <c r="BOC2" s="18"/>
      <c r="BOD2" s="18"/>
      <c r="BOE2" s="18"/>
      <c r="BOF2" s="18"/>
      <c r="BOG2" s="18"/>
      <c r="BOH2" s="18"/>
      <c r="BOI2" s="18"/>
      <c r="BOJ2" s="18"/>
      <c r="BOK2" s="18"/>
      <c r="BOL2" s="18"/>
      <c r="BOM2" s="18"/>
      <c r="BON2" s="18"/>
      <c r="BOO2" s="18"/>
      <c r="BOP2" s="18"/>
      <c r="BOQ2" s="18"/>
      <c r="BOR2" s="18"/>
      <c r="BOS2" s="18"/>
      <c r="BOT2" s="18"/>
      <c r="BOU2" s="18"/>
      <c r="BOV2" s="18"/>
      <c r="BOW2" s="18"/>
      <c r="BOX2" s="18"/>
      <c r="BOY2" s="18"/>
      <c r="BOZ2" s="18"/>
      <c r="BPA2" s="18"/>
      <c r="BPB2" s="18"/>
      <c r="BPC2" s="18"/>
      <c r="BPD2" s="18"/>
      <c r="BPE2" s="18"/>
      <c r="BPF2" s="18"/>
      <c r="BPG2" s="18"/>
      <c r="BPH2" s="18"/>
      <c r="BPI2" s="18"/>
      <c r="BPJ2" s="18"/>
      <c r="BPK2" s="18"/>
      <c r="BPL2" s="18"/>
      <c r="BPM2" s="18"/>
      <c r="BPN2" s="18"/>
      <c r="BPO2" s="18"/>
      <c r="BPP2" s="18"/>
      <c r="BPQ2" s="18"/>
      <c r="BPR2" s="18"/>
      <c r="BPS2" s="18"/>
      <c r="BPT2" s="18"/>
      <c r="BPU2" s="18"/>
      <c r="BPV2" s="18"/>
      <c r="BPW2" s="18"/>
      <c r="BPX2" s="18"/>
      <c r="BPY2" s="18"/>
      <c r="BPZ2" s="18"/>
      <c r="BQA2" s="18"/>
      <c r="BQB2" s="18"/>
      <c r="BQC2" s="18"/>
      <c r="BQD2" s="18"/>
      <c r="BQE2" s="18"/>
      <c r="BQF2" s="18"/>
      <c r="BQG2" s="18"/>
      <c r="BQH2" s="18"/>
      <c r="BQI2" s="18"/>
      <c r="BQJ2" s="18"/>
      <c r="BQK2" s="18"/>
      <c r="BQL2" s="18"/>
      <c r="BQM2" s="18"/>
      <c r="BQN2" s="18"/>
      <c r="BQO2" s="18"/>
      <c r="BQP2" s="18"/>
      <c r="BQQ2" s="18"/>
      <c r="BQR2" s="18"/>
      <c r="BQS2" s="18"/>
      <c r="BQT2" s="18"/>
      <c r="BQU2" s="18"/>
      <c r="BQV2" s="18"/>
      <c r="BQW2" s="18"/>
      <c r="BQX2" s="18"/>
      <c r="BQY2" s="18"/>
      <c r="BQZ2" s="18"/>
      <c r="BRA2" s="18"/>
      <c r="BRB2" s="18"/>
      <c r="BRC2" s="18"/>
      <c r="BRD2" s="18"/>
      <c r="BRE2" s="18"/>
      <c r="BRF2" s="18"/>
      <c r="BRG2" s="18"/>
      <c r="BRH2" s="18"/>
      <c r="BRI2" s="18"/>
      <c r="BRJ2" s="18"/>
      <c r="BRK2" s="18"/>
      <c r="BRL2" s="18"/>
      <c r="BRM2" s="18"/>
      <c r="BRN2" s="18"/>
      <c r="BRO2" s="18"/>
      <c r="BRP2" s="18"/>
      <c r="BRQ2" s="18"/>
      <c r="BRR2" s="18"/>
      <c r="BRS2" s="18"/>
      <c r="BRT2" s="18"/>
      <c r="BRU2" s="18"/>
      <c r="BRV2" s="18"/>
      <c r="BRW2" s="18"/>
      <c r="BRX2" s="18"/>
      <c r="BRY2" s="18"/>
      <c r="BRZ2" s="18"/>
      <c r="BSA2" s="18"/>
      <c r="BSB2" s="18"/>
      <c r="BSC2" s="18"/>
      <c r="BSD2" s="18"/>
      <c r="BSE2" s="18"/>
      <c r="BSF2" s="18"/>
      <c r="BSG2" s="18"/>
      <c r="BSH2" s="18"/>
      <c r="BSI2" s="18"/>
      <c r="BSJ2" s="18"/>
      <c r="BSK2" s="18"/>
      <c r="BSL2" s="18"/>
      <c r="BSM2" s="18"/>
      <c r="BSN2" s="18"/>
      <c r="BSO2" s="18"/>
      <c r="BSP2" s="18"/>
      <c r="BSQ2" s="18"/>
      <c r="BSR2" s="18"/>
      <c r="BSS2" s="18"/>
      <c r="BST2" s="18"/>
      <c r="BSU2" s="18"/>
      <c r="BSV2" s="18"/>
      <c r="BSW2" s="18"/>
      <c r="BSX2" s="18"/>
      <c r="BSY2" s="18"/>
      <c r="BSZ2" s="18"/>
      <c r="BTA2" s="18"/>
      <c r="BTB2" s="18"/>
      <c r="BTC2" s="18"/>
      <c r="BTD2" s="18"/>
      <c r="BTE2" s="18"/>
      <c r="BTF2" s="18"/>
      <c r="BTG2" s="18"/>
      <c r="BTH2" s="18"/>
      <c r="BTI2" s="18"/>
      <c r="BTJ2" s="18"/>
      <c r="BTK2" s="18"/>
      <c r="BTL2" s="18"/>
      <c r="BTM2" s="18"/>
      <c r="BTN2" s="18"/>
      <c r="BTO2" s="18"/>
      <c r="BTP2" s="18"/>
      <c r="BTQ2" s="18"/>
      <c r="BTR2" s="18"/>
      <c r="BTS2" s="18"/>
      <c r="BTT2" s="18"/>
      <c r="BTU2" s="18"/>
      <c r="BTV2" s="18"/>
      <c r="BTW2" s="18"/>
      <c r="BTX2" s="18"/>
      <c r="BTY2" s="18"/>
      <c r="BTZ2" s="18"/>
      <c r="BUA2" s="18"/>
      <c r="BUB2" s="18"/>
      <c r="BUC2" s="18"/>
      <c r="BUD2" s="18"/>
      <c r="BUE2" s="18"/>
      <c r="BUF2" s="18"/>
      <c r="BUG2" s="18"/>
      <c r="BUH2" s="18"/>
      <c r="BUI2" s="18"/>
      <c r="BUJ2" s="18"/>
      <c r="BUK2" s="18"/>
      <c r="BUL2" s="18"/>
      <c r="BUM2" s="18"/>
      <c r="BUN2" s="18"/>
      <c r="BUO2" s="18"/>
      <c r="BUP2" s="18"/>
      <c r="BUQ2" s="18"/>
      <c r="BUR2" s="18"/>
      <c r="BUS2" s="18"/>
      <c r="BUT2" s="18"/>
      <c r="BUU2" s="18"/>
      <c r="BUV2" s="18"/>
      <c r="BUW2" s="18"/>
      <c r="BUX2" s="18"/>
      <c r="BUY2" s="18"/>
      <c r="BUZ2" s="18"/>
      <c r="BVA2" s="18"/>
      <c r="BVB2" s="18"/>
      <c r="BVC2" s="18"/>
      <c r="BVD2" s="18"/>
      <c r="BVE2" s="18"/>
      <c r="BVF2" s="18"/>
      <c r="BVG2" s="18"/>
      <c r="BVH2" s="18"/>
      <c r="BVI2" s="18"/>
      <c r="BVJ2" s="18"/>
      <c r="BVK2" s="18"/>
      <c r="BVL2" s="18"/>
      <c r="BVM2" s="18"/>
      <c r="BVN2" s="18"/>
      <c r="BVO2" s="18"/>
      <c r="BVP2" s="18"/>
      <c r="BVQ2" s="18"/>
      <c r="BVR2" s="18"/>
      <c r="BVS2" s="18"/>
      <c r="BVT2" s="18"/>
      <c r="BVU2" s="18"/>
      <c r="BVV2" s="18"/>
      <c r="BVW2" s="18"/>
      <c r="BVX2" s="18"/>
      <c r="BVY2" s="18"/>
      <c r="BVZ2" s="18"/>
      <c r="BWA2" s="18"/>
      <c r="BWB2" s="18"/>
      <c r="BWC2" s="18"/>
      <c r="BWD2" s="18"/>
      <c r="BWE2" s="18"/>
      <c r="BWF2" s="18"/>
      <c r="BWG2" s="18"/>
      <c r="BWH2" s="18"/>
      <c r="BWI2" s="18"/>
      <c r="BWJ2" s="18"/>
      <c r="BWK2" s="18"/>
      <c r="BWL2" s="18"/>
      <c r="BWM2" s="18"/>
      <c r="BWN2" s="18"/>
      <c r="BWO2" s="18"/>
      <c r="BWP2" s="18"/>
      <c r="BWQ2" s="18"/>
      <c r="BWR2" s="18"/>
      <c r="BWS2" s="18"/>
      <c r="BWT2" s="18"/>
      <c r="BWU2" s="18"/>
      <c r="BWV2" s="18"/>
      <c r="BWW2" s="18"/>
      <c r="BWX2" s="18"/>
      <c r="BWY2" s="18"/>
      <c r="BWZ2" s="18"/>
      <c r="BXA2" s="18"/>
      <c r="BXB2" s="18"/>
      <c r="BXC2" s="18"/>
      <c r="BXD2" s="18"/>
      <c r="BXE2" s="18"/>
      <c r="BXF2" s="18"/>
      <c r="BXG2" s="18"/>
      <c r="BXH2" s="18"/>
      <c r="BXI2" s="18"/>
      <c r="BXJ2" s="18"/>
      <c r="BXK2" s="18"/>
      <c r="BXL2" s="18"/>
      <c r="BXM2" s="18"/>
      <c r="BXN2" s="18"/>
      <c r="BXO2" s="18"/>
      <c r="BXP2" s="18"/>
      <c r="BXQ2" s="18"/>
      <c r="BXR2" s="18"/>
      <c r="BXS2" s="18"/>
      <c r="BXT2" s="18"/>
      <c r="BXU2" s="18"/>
      <c r="BXV2" s="18"/>
      <c r="BXW2" s="18"/>
      <c r="BXX2" s="18"/>
      <c r="BXY2" s="18"/>
      <c r="BXZ2" s="18"/>
      <c r="BYA2" s="18"/>
      <c r="BYB2" s="18"/>
      <c r="BYC2" s="18"/>
      <c r="BYD2" s="18"/>
      <c r="BYE2" s="18"/>
      <c r="BYF2" s="18"/>
      <c r="BYG2" s="18"/>
      <c r="BYH2" s="18"/>
      <c r="BYI2" s="18"/>
      <c r="BYJ2" s="18"/>
      <c r="BYK2" s="18"/>
      <c r="BYL2" s="18"/>
      <c r="BYM2" s="18"/>
      <c r="BYN2" s="18"/>
      <c r="BYO2" s="18"/>
      <c r="BYP2" s="18"/>
      <c r="BYQ2" s="18"/>
      <c r="BYR2" s="18"/>
      <c r="BYS2" s="18"/>
      <c r="BYT2" s="18"/>
      <c r="BYU2" s="18"/>
      <c r="BYV2" s="18"/>
      <c r="BYW2" s="18"/>
      <c r="BYX2" s="18"/>
      <c r="BYY2" s="18"/>
      <c r="BYZ2" s="18"/>
      <c r="BZA2" s="18"/>
      <c r="BZB2" s="18"/>
      <c r="BZC2" s="18"/>
      <c r="BZD2" s="18"/>
      <c r="BZE2" s="18"/>
      <c r="BZF2" s="18"/>
      <c r="BZG2" s="18"/>
      <c r="BZH2" s="18"/>
      <c r="BZI2" s="18"/>
      <c r="BZJ2" s="18"/>
      <c r="BZK2" s="18"/>
      <c r="BZL2" s="18"/>
      <c r="BZM2" s="18"/>
      <c r="BZN2" s="18"/>
      <c r="BZO2" s="18"/>
      <c r="BZP2" s="18"/>
      <c r="BZQ2" s="18"/>
      <c r="BZR2" s="18"/>
      <c r="BZS2" s="18"/>
      <c r="BZT2" s="18"/>
      <c r="BZU2" s="18"/>
      <c r="BZV2" s="18"/>
      <c r="BZW2" s="18"/>
      <c r="BZX2" s="18"/>
      <c r="BZY2" s="18"/>
      <c r="BZZ2" s="18"/>
      <c r="CAA2" s="18"/>
      <c r="CAB2" s="18"/>
      <c r="CAC2" s="18"/>
      <c r="CAD2" s="18"/>
      <c r="CAE2" s="18"/>
      <c r="CAF2" s="18"/>
      <c r="CAG2" s="18"/>
      <c r="CAH2" s="18"/>
      <c r="CAI2" s="18"/>
      <c r="CAJ2" s="18"/>
      <c r="CAK2" s="18"/>
      <c r="CAL2" s="18"/>
      <c r="CAM2" s="18"/>
      <c r="CAN2" s="18"/>
      <c r="CAO2" s="18"/>
      <c r="CAP2" s="18"/>
      <c r="CAQ2" s="18"/>
      <c r="CAR2" s="18"/>
      <c r="CAS2" s="18"/>
      <c r="CAT2" s="18"/>
      <c r="CAU2" s="18"/>
      <c r="CAV2" s="18"/>
      <c r="CAW2" s="18"/>
      <c r="CAX2" s="18"/>
      <c r="CAY2" s="18"/>
      <c r="CAZ2" s="18"/>
      <c r="CBA2" s="18"/>
      <c r="CBB2" s="18"/>
      <c r="CBC2" s="18"/>
      <c r="CBD2" s="18"/>
      <c r="CBE2" s="18"/>
      <c r="CBF2" s="18"/>
      <c r="CBG2" s="18"/>
      <c r="CBH2" s="18"/>
      <c r="CBI2" s="18"/>
      <c r="CBJ2" s="18"/>
      <c r="CBK2" s="18"/>
      <c r="CBL2" s="18"/>
      <c r="CBM2" s="18"/>
      <c r="CBN2" s="18"/>
      <c r="CBO2" s="18"/>
      <c r="CBP2" s="18"/>
      <c r="CBQ2" s="18"/>
      <c r="CBR2" s="18"/>
      <c r="CBS2" s="18"/>
      <c r="CBT2" s="18"/>
      <c r="CBU2" s="18"/>
      <c r="CBV2" s="18"/>
      <c r="CBW2" s="18"/>
      <c r="CBX2" s="18"/>
      <c r="CBY2" s="18"/>
      <c r="CBZ2" s="18"/>
      <c r="CCA2" s="18"/>
      <c r="CCB2" s="18"/>
      <c r="CCC2" s="18"/>
      <c r="CCD2" s="18"/>
      <c r="CCE2" s="18"/>
      <c r="CCF2" s="18"/>
      <c r="CCG2" s="18"/>
      <c r="CCH2" s="18"/>
      <c r="CCI2" s="18"/>
      <c r="CCJ2" s="18"/>
      <c r="CCK2" s="18"/>
      <c r="CCL2" s="18"/>
      <c r="CCM2" s="18"/>
      <c r="CCN2" s="18"/>
      <c r="CCO2" s="18"/>
      <c r="CCP2" s="18"/>
      <c r="CCQ2" s="18"/>
      <c r="CCR2" s="18"/>
      <c r="CCS2" s="18"/>
      <c r="CCT2" s="18"/>
      <c r="CCU2" s="18"/>
      <c r="CCV2" s="18"/>
      <c r="CCW2" s="18"/>
      <c r="CCX2" s="18"/>
      <c r="CCY2" s="18"/>
      <c r="CCZ2" s="18"/>
      <c r="CDA2" s="18"/>
      <c r="CDB2" s="18"/>
      <c r="CDC2" s="18"/>
      <c r="CDD2" s="18"/>
      <c r="CDE2" s="18"/>
      <c r="CDF2" s="18"/>
      <c r="CDG2" s="18"/>
      <c r="CDH2" s="18"/>
      <c r="CDI2" s="18"/>
      <c r="CDJ2" s="18"/>
      <c r="CDK2" s="18"/>
      <c r="CDL2" s="18"/>
      <c r="CDM2" s="18"/>
      <c r="CDN2" s="18"/>
      <c r="CDO2" s="18"/>
      <c r="CDP2" s="18"/>
      <c r="CDQ2" s="18"/>
      <c r="CDR2" s="18"/>
      <c r="CDS2" s="18"/>
      <c r="CDT2" s="18"/>
      <c r="CDU2" s="18"/>
      <c r="CDV2" s="18"/>
      <c r="CDW2" s="18"/>
      <c r="CDX2" s="18"/>
      <c r="CDY2" s="18"/>
      <c r="CDZ2" s="18"/>
      <c r="CEA2" s="18"/>
      <c r="CEB2" s="18"/>
      <c r="CEC2" s="18"/>
      <c r="CED2" s="18"/>
      <c r="CEE2" s="18"/>
      <c r="CEF2" s="18"/>
      <c r="CEG2" s="18"/>
      <c r="CEH2" s="18"/>
      <c r="CEI2" s="18"/>
      <c r="CEJ2" s="18"/>
      <c r="CEK2" s="18"/>
      <c r="CEL2" s="18"/>
      <c r="CEM2" s="18"/>
      <c r="CEN2" s="18"/>
      <c r="CEO2" s="18"/>
      <c r="CEP2" s="18"/>
      <c r="CEQ2" s="18"/>
      <c r="CER2" s="18"/>
      <c r="CES2" s="18"/>
      <c r="CET2" s="18"/>
      <c r="CEU2" s="18"/>
      <c r="CEV2" s="18"/>
      <c r="CEW2" s="18"/>
      <c r="CEX2" s="18"/>
      <c r="CEY2" s="18"/>
      <c r="CEZ2" s="18"/>
      <c r="CFA2" s="18"/>
      <c r="CFB2" s="18"/>
      <c r="CFC2" s="18"/>
      <c r="CFD2" s="18"/>
      <c r="CFE2" s="18"/>
      <c r="CFF2" s="18"/>
      <c r="CFG2" s="18"/>
      <c r="CFH2" s="18"/>
      <c r="CFI2" s="18"/>
      <c r="CFJ2" s="18"/>
      <c r="CFK2" s="18"/>
      <c r="CFL2" s="18"/>
      <c r="CFM2" s="18"/>
      <c r="CFN2" s="18"/>
      <c r="CFO2" s="18"/>
      <c r="CFP2" s="18"/>
      <c r="CFQ2" s="18"/>
      <c r="CFR2" s="18"/>
      <c r="CFS2" s="18"/>
      <c r="CFT2" s="18"/>
      <c r="CFU2" s="18"/>
      <c r="CFV2" s="18"/>
      <c r="CFW2" s="18"/>
      <c r="CFX2" s="18"/>
      <c r="CFY2" s="18"/>
      <c r="CFZ2" s="18"/>
      <c r="CGA2" s="18"/>
      <c r="CGB2" s="18"/>
      <c r="CGC2" s="18"/>
      <c r="CGD2" s="18"/>
      <c r="CGE2" s="18"/>
      <c r="CGF2" s="18"/>
      <c r="CGG2" s="18"/>
      <c r="CGH2" s="18"/>
      <c r="CGI2" s="18"/>
      <c r="CGJ2" s="18"/>
      <c r="CGK2" s="18"/>
      <c r="CGL2" s="18"/>
      <c r="CGM2" s="18"/>
      <c r="CGN2" s="18"/>
      <c r="CGO2" s="18"/>
      <c r="CGP2" s="18"/>
      <c r="CGQ2" s="18"/>
      <c r="CGR2" s="18"/>
      <c r="CGS2" s="18"/>
      <c r="CGT2" s="18"/>
      <c r="CGU2" s="18"/>
      <c r="CGV2" s="18"/>
      <c r="CGW2" s="18"/>
      <c r="CGX2" s="18"/>
      <c r="CGY2" s="18"/>
      <c r="CGZ2" s="18"/>
      <c r="CHA2" s="18"/>
      <c r="CHB2" s="18"/>
      <c r="CHC2" s="18"/>
      <c r="CHD2" s="18"/>
      <c r="CHE2" s="18"/>
      <c r="CHF2" s="18"/>
      <c r="CHG2" s="18"/>
      <c r="CHH2" s="18"/>
      <c r="CHI2" s="18"/>
      <c r="CHJ2" s="18"/>
      <c r="CHK2" s="18"/>
      <c r="CHL2" s="18"/>
      <c r="CHM2" s="18"/>
      <c r="CHN2" s="18"/>
      <c r="CHO2" s="18"/>
      <c r="CHP2" s="18"/>
      <c r="CHQ2" s="18"/>
      <c r="CHR2" s="18"/>
      <c r="CHS2" s="18"/>
      <c r="CHT2" s="18"/>
      <c r="CHU2" s="18"/>
      <c r="CHV2" s="18"/>
      <c r="CHW2" s="18"/>
      <c r="CHX2" s="18"/>
      <c r="CHY2" s="18"/>
      <c r="CHZ2" s="18"/>
      <c r="CIA2" s="18"/>
      <c r="CIB2" s="18"/>
      <c r="CIC2" s="18"/>
      <c r="CID2" s="18"/>
      <c r="CIE2" s="18"/>
      <c r="CIF2" s="18"/>
      <c r="CIG2" s="18"/>
      <c r="CIH2" s="18"/>
      <c r="CII2" s="18"/>
      <c r="CIJ2" s="18"/>
      <c r="CIK2" s="18"/>
      <c r="CIL2" s="18"/>
      <c r="CIM2" s="18"/>
      <c r="CIN2" s="18"/>
      <c r="CIO2" s="18"/>
      <c r="CIP2" s="18"/>
      <c r="CIQ2" s="18"/>
      <c r="CIR2" s="18"/>
      <c r="CIS2" s="18"/>
      <c r="CIT2" s="18"/>
      <c r="CIU2" s="18"/>
      <c r="CIV2" s="18"/>
      <c r="CIW2" s="18"/>
      <c r="CIX2" s="18"/>
      <c r="CIY2" s="18"/>
      <c r="CIZ2" s="18"/>
      <c r="CJA2" s="18"/>
      <c r="CJB2" s="18"/>
      <c r="CJC2" s="18"/>
      <c r="CJD2" s="18"/>
      <c r="CJE2" s="18"/>
      <c r="CJF2" s="18"/>
      <c r="CJG2" s="18"/>
      <c r="CJH2" s="18"/>
      <c r="CJI2" s="18"/>
      <c r="CJJ2" s="18"/>
      <c r="CJK2" s="18"/>
      <c r="CJL2" s="18"/>
      <c r="CJM2" s="18"/>
      <c r="CJN2" s="18"/>
      <c r="CJO2" s="18"/>
      <c r="CJP2" s="18"/>
      <c r="CJQ2" s="18"/>
      <c r="CJR2" s="18"/>
      <c r="CJS2" s="18"/>
      <c r="CJT2" s="18"/>
      <c r="CJU2" s="18"/>
      <c r="CJV2" s="18"/>
      <c r="CJW2" s="18"/>
      <c r="CJX2" s="18"/>
      <c r="CJY2" s="18"/>
      <c r="CJZ2" s="18"/>
      <c r="CKA2" s="18"/>
      <c r="CKB2" s="18"/>
      <c r="CKC2" s="18"/>
      <c r="CKD2" s="18"/>
      <c r="CKE2" s="18"/>
      <c r="CKF2" s="18"/>
      <c r="CKG2" s="18"/>
      <c r="CKH2" s="18"/>
      <c r="CKI2" s="18"/>
      <c r="CKJ2" s="18"/>
      <c r="CKK2" s="18"/>
      <c r="CKL2" s="18"/>
      <c r="CKM2" s="18"/>
      <c r="CKN2" s="18"/>
      <c r="CKO2" s="18"/>
      <c r="CKP2" s="18"/>
      <c r="CKQ2" s="18"/>
      <c r="CKR2" s="18"/>
      <c r="CKS2" s="18"/>
      <c r="CKT2" s="18"/>
      <c r="CKU2" s="18"/>
      <c r="CKV2" s="18"/>
      <c r="CKW2" s="18"/>
      <c r="CKX2" s="18"/>
      <c r="CKY2" s="18"/>
      <c r="CKZ2" s="18"/>
      <c r="CLA2" s="18"/>
      <c r="CLB2" s="18"/>
      <c r="CLC2" s="18"/>
      <c r="CLD2" s="18"/>
      <c r="CLE2" s="18"/>
      <c r="CLF2" s="18"/>
      <c r="CLG2" s="18"/>
      <c r="CLH2" s="18"/>
      <c r="CLI2" s="18"/>
      <c r="CLJ2" s="18"/>
      <c r="CLK2" s="18"/>
      <c r="CLL2" s="18"/>
      <c r="CLM2" s="18"/>
      <c r="CLN2" s="18"/>
      <c r="CLO2" s="18"/>
      <c r="CLP2" s="18"/>
      <c r="CLQ2" s="18"/>
      <c r="CLR2" s="18"/>
      <c r="CLS2" s="18"/>
      <c r="CLT2" s="18"/>
      <c r="CLU2" s="18"/>
      <c r="CLV2" s="18"/>
      <c r="CLW2" s="18"/>
      <c r="CLX2" s="18"/>
      <c r="CLY2" s="18"/>
      <c r="CLZ2" s="18"/>
      <c r="CMA2" s="18"/>
      <c r="CMB2" s="18"/>
      <c r="CMC2" s="18"/>
      <c r="CMD2" s="18"/>
      <c r="CME2" s="18"/>
      <c r="CMF2" s="18"/>
      <c r="CMG2" s="18"/>
      <c r="CMH2" s="18"/>
      <c r="CMI2" s="18"/>
      <c r="CMJ2" s="18"/>
      <c r="CMK2" s="18"/>
      <c r="CML2" s="18"/>
      <c r="CMM2" s="18"/>
      <c r="CMN2" s="18"/>
      <c r="CMO2" s="18"/>
      <c r="CMP2" s="18"/>
      <c r="CMQ2" s="18"/>
      <c r="CMR2" s="18"/>
      <c r="CMS2" s="18"/>
      <c r="CMT2" s="18"/>
      <c r="CMU2" s="18"/>
      <c r="CMV2" s="18"/>
      <c r="CMW2" s="18"/>
      <c r="CMX2" s="18"/>
      <c r="CMY2" s="18"/>
      <c r="CMZ2" s="18"/>
      <c r="CNA2" s="18"/>
      <c r="CNB2" s="18"/>
      <c r="CNC2" s="18"/>
      <c r="CND2" s="18"/>
      <c r="CNE2" s="18"/>
      <c r="CNF2" s="18"/>
      <c r="CNG2" s="18"/>
      <c r="CNH2" s="18"/>
      <c r="CNI2" s="18"/>
      <c r="CNJ2" s="18"/>
      <c r="CNK2" s="18"/>
      <c r="CNL2" s="18"/>
      <c r="CNM2" s="18"/>
      <c r="CNN2" s="18"/>
      <c r="CNO2" s="18"/>
      <c r="CNP2" s="18"/>
      <c r="CNQ2" s="18"/>
      <c r="CNR2" s="18"/>
      <c r="CNS2" s="18"/>
      <c r="CNT2" s="18"/>
      <c r="CNU2" s="18"/>
      <c r="CNV2" s="18"/>
      <c r="CNW2" s="18"/>
      <c r="CNX2" s="18"/>
      <c r="CNY2" s="18"/>
      <c r="CNZ2" s="18"/>
      <c r="COA2" s="18"/>
      <c r="COB2" s="18"/>
      <c r="COC2" s="18"/>
      <c r="COD2" s="18"/>
      <c r="COE2" s="18"/>
      <c r="COF2" s="18"/>
      <c r="COG2" s="18"/>
      <c r="COH2" s="18"/>
      <c r="COI2" s="18"/>
      <c r="COJ2" s="18"/>
      <c r="COK2" s="18"/>
      <c r="COL2" s="18"/>
      <c r="COM2" s="18"/>
      <c r="CON2" s="18"/>
      <c r="COO2" s="18"/>
      <c r="COP2" s="18"/>
      <c r="COQ2" s="18"/>
      <c r="COR2" s="18"/>
      <c r="COS2" s="18"/>
      <c r="COT2" s="18"/>
      <c r="COU2" s="18"/>
      <c r="COV2" s="18"/>
      <c r="COW2" s="18"/>
      <c r="COX2" s="18"/>
      <c r="COY2" s="18"/>
      <c r="COZ2" s="18"/>
      <c r="CPA2" s="18"/>
      <c r="CPB2" s="18"/>
      <c r="CPC2" s="18"/>
      <c r="CPD2" s="18"/>
      <c r="CPE2" s="18"/>
      <c r="CPF2" s="18"/>
      <c r="CPG2" s="18"/>
      <c r="CPH2" s="18"/>
      <c r="CPI2" s="18"/>
      <c r="CPJ2" s="18"/>
      <c r="CPK2" s="18"/>
      <c r="CPL2" s="18"/>
      <c r="CPM2" s="18"/>
      <c r="CPN2" s="18"/>
      <c r="CPO2" s="18"/>
      <c r="CPP2" s="18"/>
      <c r="CPQ2" s="18"/>
      <c r="CPR2" s="18"/>
      <c r="CPS2" s="18"/>
      <c r="CPT2" s="18"/>
      <c r="CPU2" s="18"/>
      <c r="CPV2" s="18"/>
      <c r="CPW2" s="18"/>
      <c r="CPX2" s="18"/>
      <c r="CPY2" s="18"/>
      <c r="CPZ2" s="18"/>
      <c r="CQA2" s="18"/>
      <c r="CQB2" s="18"/>
      <c r="CQC2" s="18"/>
      <c r="CQD2" s="18"/>
      <c r="CQE2" s="18"/>
      <c r="CQF2" s="18"/>
      <c r="CQG2" s="18"/>
      <c r="CQH2" s="18"/>
      <c r="CQI2" s="18"/>
      <c r="CQJ2" s="18"/>
      <c r="CQK2" s="18"/>
      <c r="CQL2" s="18"/>
      <c r="CQM2" s="18"/>
      <c r="CQN2" s="18"/>
      <c r="CQO2" s="18"/>
      <c r="CQP2" s="18"/>
      <c r="CQQ2" s="18"/>
      <c r="CQR2" s="18"/>
      <c r="CQS2" s="18"/>
      <c r="CQT2" s="18"/>
      <c r="CQU2" s="18"/>
      <c r="CQV2" s="18"/>
      <c r="CQW2" s="18"/>
      <c r="CQX2" s="18"/>
      <c r="CQY2" s="18"/>
      <c r="CQZ2" s="18"/>
      <c r="CRA2" s="18"/>
      <c r="CRB2" s="18"/>
      <c r="CRC2" s="18"/>
      <c r="CRD2" s="18"/>
      <c r="CRE2" s="18"/>
      <c r="CRF2" s="18"/>
      <c r="CRG2" s="18"/>
      <c r="CRH2" s="18"/>
      <c r="CRI2" s="18"/>
      <c r="CRJ2" s="18"/>
      <c r="CRK2" s="18"/>
      <c r="CRL2" s="18"/>
      <c r="CRM2" s="18"/>
      <c r="CRN2" s="18"/>
      <c r="CRO2" s="18"/>
      <c r="CRP2" s="18"/>
      <c r="CRQ2" s="18"/>
      <c r="CRR2" s="18"/>
      <c r="CRS2" s="18"/>
      <c r="CRT2" s="18"/>
      <c r="CRU2" s="18"/>
      <c r="CRV2" s="18"/>
      <c r="CRW2" s="18"/>
      <c r="CRX2" s="18"/>
      <c r="CRY2" s="18"/>
      <c r="CRZ2" s="18"/>
      <c r="CSA2" s="18"/>
      <c r="CSB2" s="18"/>
      <c r="CSC2" s="18"/>
      <c r="CSD2" s="18"/>
      <c r="CSE2" s="18"/>
      <c r="CSF2" s="18"/>
      <c r="CSG2" s="18"/>
      <c r="CSH2" s="18"/>
      <c r="CSI2" s="18"/>
      <c r="CSJ2" s="18"/>
      <c r="CSK2" s="18"/>
      <c r="CSL2" s="18"/>
      <c r="CSM2" s="18"/>
      <c r="CSN2" s="18"/>
      <c r="CSO2" s="18"/>
      <c r="CSP2" s="18"/>
      <c r="CSQ2" s="18"/>
      <c r="CSR2" s="18"/>
      <c r="CSS2" s="18"/>
      <c r="CST2" s="18"/>
      <c r="CSU2" s="18"/>
      <c r="CSV2" s="18"/>
      <c r="CSW2" s="18"/>
      <c r="CSX2" s="18"/>
      <c r="CSY2" s="18"/>
      <c r="CSZ2" s="18"/>
      <c r="CTA2" s="18"/>
      <c r="CTB2" s="18"/>
      <c r="CTC2" s="18"/>
      <c r="CTD2" s="18"/>
      <c r="CTE2" s="18"/>
      <c r="CTF2" s="18"/>
      <c r="CTG2" s="18"/>
      <c r="CTH2" s="18"/>
      <c r="CTI2" s="18"/>
      <c r="CTJ2" s="18"/>
      <c r="CTK2" s="18"/>
      <c r="CTL2" s="18"/>
      <c r="CTM2" s="18"/>
      <c r="CTN2" s="18"/>
      <c r="CTO2" s="18"/>
      <c r="CTP2" s="18"/>
      <c r="CTQ2" s="18"/>
      <c r="CTR2" s="18"/>
      <c r="CTS2" s="18"/>
      <c r="CTT2" s="18"/>
      <c r="CTU2" s="18"/>
      <c r="CTV2" s="18"/>
      <c r="CTW2" s="18"/>
      <c r="CTX2" s="18"/>
      <c r="CTY2" s="18"/>
      <c r="CTZ2" s="18"/>
      <c r="CUA2" s="18"/>
      <c r="CUB2" s="18"/>
      <c r="CUC2" s="18"/>
      <c r="CUD2" s="18"/>
      <c r="CUE2" s="18"/>
      <c r="CUF2" s="18"/>
      <c r="CUG2" s="18"/>
      <c r="CUH2" s="18"/>
      <c r="CUI2" s="18"/>
      <c r="CUJ2" s="18"/>
      <c r="CUK2" s="18"/>
      <c r="CUL2" s="18"/>
      <c r="CUM2" s="18"/>
      <c r="CUN2" s="18"/>
      <c r="CUO2" s="18"/>
      <c r="CUP2" s="18"/>
      <c r="CUQ2" s="18"/>
      <c r="CUR2" s="18"/>
      <c r="CUS2" s="18"/>
      <c r="CUT2" s="18"/>
      <c r="CUU2" s="18"/>
      <c r="CUV2" s="18"/>
      <c r="CUW2" s="18"/>
      <c r="CUX2" s="18"/>
      <c r="CUY2" s="18"/>
      <c r="CUZ2" s="18"/>
      <c r="CVA2" s="18"/>
      <c r="CVB2" s="18"/>
      <c r="CVC2" s="18"/>
      <c r="CVD2" s="18"/>
      <c r="CVE2" s="18"/>
      <c r="CVF2" s="18"/>
      <c r="CVG2" s="18"/>
      <c r="CVH2" s="18"/>
      <c r="CVI2" s="18"/>
      <c r="CVJ2" s="18"/>
      <c r="CVK2" s="18"/>
      <c r="CVL2" s="18"/>
      <c r="CVM2" s="18"/>
      <c r="CVN2" s="18"/>
      <c r="CVO2" s="18"/>
      <c r="CVP2" s="18"/>
      <c r="CVQ2" s="18"/>
      <c r="CVR2" s="18"/>
      <c r="CVS2" s="18"/>
      <c r="CVT2" s="18"/>
      <c r="CVU2" s="18"/>
      <c r="CVV2" s="18"/>
      <c r="CVW2" s="18"/>
      <c r="CVX2" s="18"/>
      <c r="CVY2" s="18"/>
      <c r="CVZ2" s="18"/>
      <c r="CWA2" s="18"/>
      <c r="CWB2" s="18"/>
      <c r="CWC2" s="18"/>
      <c r="CWD2" s="18"/>
      <c r="CWE2" s="18"/>
      <c r="CWF2" s="18"/>
      <c r="CWG2" s="18"/>
      <c r="CWH2" s="18"/>
      <c r="CWI2" s="18"/>
      <c r="CWJ2" s="18"/>
      <c r="CWK2" s="18"/>
      <c r="CWL2" s="18"/>
      <c r="CWM2" s="18"/>
      <c r="CWN2" s="18"/>
      <c r="CWO2" s="18"/>
      <c r="CWP2" s="18"/>
      <c r="CWQ2" s="18"/>
      <c r="CWR2" s="18"/>
      <c r="CWS2" s="18"/>
      <c r="CWT2" s="18"/>
      <c r="CWU2" s="18"/>
      <c r="CWV2" s="18"/>
      <c r="CWW2" s="18"/>
      <c r="CWX2" s="18"/>
      <c r="CWY2" s="18"/>
      <c r="CWZ2" s="18"/>
      <c r="CXA2" s="18"/>
      <c r="CXB2" s="18"/>
      <c r="CXC2" s="18"/>
      <c r="CXD2" s="18"/>
      <c r="CXE2" s="18"/>
      <c r="CXF2" s="18"/>
      <c r="CXG2" s="18"/>
      <c r="CXH2" s="18"/>
      <c r="CXI2" s="18"/>
      <c r="CXJ2" s="18"/>
      <c r="CXK2" s="18"/>
      <c r="CXL2" s="18"/>
      <c r="CXM2" s="18"/>
      <c r="CXN2" s="18"/>
      <c r="CXO2" s="18"/>
      <c r="CXP2" s="18"/>
      <c r="CXQ2" s="18"/>
      <c r="CXR2" s="18"/>
      <c r="CXS2" s="18"/>
      <c r="CXT2" s="18"/>
      <c r="CXU2" s="18"/>
      <c r="CXV2" s="18"/>
      <c r="CXW2" s="18"/>
      <c r="CXX2" s="18"/>
      <c r="CXY2" s="18"/>
      <c r="CXZ2" s="18"/>
      <c r="CYA2" s="18"/>
      <c r="CYB2" s="18"/>
      <c r="CYC2" s="18"/>
      <c r="CYD2" s="18"/>
      <c r="CYE2" s="18"/>
      <c r="CYF2" s="18"/>
      <c r="CYG2" s="18"/>
      <c r="CYH2" s="18"/>
      <c r="CYI2" s="18"/>
      <c r="CYJ2" s="18"/>
      <c r="CYK2" s="18"/>
      <c r="CYL2" s="18"/>
      <c r="CYM2" s="18"/>
      <c r="CYN2" s="18"/>
      <c r="CYO2" s="18"/>
      <c r="CYP2" s="18"/>
      <c r="CYQ2" s="18"/>
      <c r="CYR2" s="18"/>
      <c r="CYS2" s="18"/>
      <c r="CYT2" s="18"/>
      <c r="CYU2" s="18"/>
      <c r="CYV2" s="18"/>
      <c r="CYW2" s="18"/>
      <c r="CYX2" s="18"/>
      <c r="CYY2" s="18"/>
      <c r="CYZ2" s="18"/>
      <c r="CZA2" s="18"/>
      <c r="CZB2" s="18"/>
      <c r="CZC2" s="18"/>
      <c r="CZD2" s="18"/>
      <c r="CZE2" s="18"/>
      <c r="CZF2" s="18"/>
      <c r="CZG2" s="18"/>
      <c r="CZH2" s="18"/>
      <c r="CZI2" s="18"/>
      <c r="CZJ2" s="18"/>
      <c r="CZK2" s="18"/>
      <c r="CZL2" s="18"/>
      <c r="CZM2" s="18"/>
      <c r="CZN2" s="18"/>
      <c r="CZO2" s="18"/>
      <c r="CZP2" s="18"/>
      <c r="CZQ2" s="18"/>
      <c r="CZR2" s="18"/>
      <c r="CZS2" s="18"/>
      <c r="CZT2" s="18"/>
      <c r="CZU2" s="18"/>
      <c r="CZV2" s="18"/>
      <c r="CZW2" s="18"/>
      <c r="CZX2" s="18"/>
      <c r="CZY2" s="18"/>
      <c r="CZZ2" s="18"/>
      <c r="DAA2" s="18"/>
      <c r="DAB2" s="18"/>
      <c r="DAC2" s="18"/>
      <c r="DAD2" s="18"/>
      <c r="DAE2" s="18"/>
      <c r="DAF2" s="18"/>
      <c r="DAG2" s="18"/>
      <c r="DAH2" s="18"/>
      <c r="DAI2" s="18"/>
      <c r="DAJ2" s="18"/>
      <c r="DAK2" s="18"/>
      <c r="DAL2" s="18"/>
      <c r="DAM2" s="18"/>
      <c r="DAN2" s="18"/>
      <c r="DAO2" s="18"/>
      <c r="DAP2" s="18"/>
      <c r="DAQ2" s="18"/>
      <c r="DAR2" s="18"/>
      <c r="DAS2" s="18"/>
      <c r="DAT2" s="18"/>
      <c r="DAU2" s="18"/>
      <c r="DAV2" s="18"/>
      <c r="DAW2" s="18"/>
      <c r="DAX2" s="18"/>
      <c r="DAY2" s="18"/>
      <c r="DAZ2" s="18"/>
      <c r="DBA2" s="18"/>
      <c r="DBB2" s="18"/>
      <c r="DBC2" s="18"/>
      <c r="DBD2" s="18"/>
      <c r="DBE2" s="18"/>
      <c r="DBF2" s="18"/>
      <c r="DBG2" s="18"/>
      <c r="DBH2" s="18"/>
      <c r="DBI2" s="18"/>
      <c r="DBJ2" s="18"/>
      <c r="DBK2" s="18"/>
      <c r="DBL2" s="18"/>
      <c r="DBM2" s="18"/>
      <c r="DBN2" s="18"/>
      <c r="DBO2" s="18"/>
      <c r="DBP2" s="18"/>
      <c r="DBQ2" s="18"/>
      <c r="DBR2" s="18"/>
      <c r="DBS2" s="18"/>
      <c r="DBT2" s="18"/>
      <c r="DBU2" s="18"/>
      <c r="DBV2" s="18"/>
      <c r="DBW2" s="18"/>
      <c r="DBX2" s="18"/>
      <c r="DBY2" s="18"/>
      <c r="DBZ2" s="18"/>
      <c r="DCA2" s="18"/>
      <c r="DCB2" s="18"/>
      <c r="DCC2" s="18"/>
      <c r="DCD2" s="18"/>
      <c r="DCE2" s="18"/>
      <c r="DCF2" s="18"/>
      <c r="DCG2" s="18"/>
      <c r="DCH2" s="18"/>
      <c r="DCI2" s="18"/>
      <c r="DCJ2" s="18"/>
      <c r="DCK2" s="18"/>
      <c r="DCL2" s="18"/>
      <c r="DCM2" s="18"/>
      <c r="DCN2" s="18"/>
      <c r="DCO2" s="18"/>
      <c r="DCP2" s="18"/>
      <c r="DCQ2" s="18"/>
      <c r="DCR2" s="18"/>
      <c r="DCS2" s="18"/>
      <c r="DCT2" s="18"/>
      <c r="DCU2" s="18"/>
      <c r="DCV2" s="18"/>
      <c r="DCW2" s="18"/>
      <c r="DCX2" s="18"/>
      <c r="DCY2" s="18"/>
      <c r="DCZ2" s="18"/>
      <c r="DDA2" s="18"/>
      <c r="DDB2" s="18"/>
      <c r="DDC2" s="18"/>
      <c r="DDD2" s="18"/>
      <c r="DDE2" s="18"/>
      <c r="DDF2" s="18"/>
      <c r="DDG2" s="18"/>
      <c r="DDH2" s="18"/>
      <c r="DDI2" s="18"/>
      <c r="DDJ2" s="18"/>
      <c r="DDK2" s="18"/>
      <c r="DDL2" s="18"/>
      <c r="DDM2" s="18"/>
      <c r="DDN2" s="18"/>
      <c r="DDO2" s="18"/>
      <c r="DDP2" s="18"/>
      <c r="DDQ2" s="18"/>
      <c r="DDR2" s="18"/>
      <c r="DDS2" s="18"/>
      <c r="DDT2" s="18"/>
      <c r="DDU2" s="18"/>
      <c r="DDV2" s="18"/>
      <c r="DDW2" s="18"/>
      <c r="DDX2" s="18"/>
      <c r="DDY2" s="18"/>
      <c r="DDZ2" s="18"/>
      <c r="DEA2" s="18"/>
      <c r="DEB2" s="18"/>
      <c r="DEC2" s="18"/>
      <c r="DED2" s="18"/>
      <c r="DEE2" s="18"/>
      <c r="DEF2" s="18"/>
      <c r="DEG2" s="18"/>
      <c r="DEH2" s="18"/>
      <c r="DEI2" s="18"/>
      <c r="DEJ2" s="18"/>
      <c r="DEK2" s="18"/>
      <c r="DEL2" s="18"/>
      <c r="DEM2" s="18"/>
      <c r="DEN2" s="18"/>
      <c r="DEO2" s="18"/>
      <c r="DEP2" s="18"/>
      <c r="DEQ2" s="18"/>
      <c r="DER2" s="18"/>
      <c r="DES2" s="18"/>
      <c r="DET2" s="18"/>
      <c r="DEU2" s="18"/>
      <c r="DEV2" s="18"/>
      <c r="DEW2" s="18"/>
      <c r="DEX2" s="18"/>
      <c r="DEY2" s="18"/>
      <c r="DEZ2" s="18"/>
      <c r="DFA2" s="18"/>
      <c r="DFB2" s="18"/>
      <c r="DFC2" s="18"/>
      <c r="DFD2" s="18"/>
      <c r="DFE2" s="18"/>
      <c r="DFF2" s="18"/>
      <c r="DFG2" s="18"/>
      <c r="DFH2" s="18"/>
      <c r="DFI2" s="18"/>
      <c r="DFJ2" s="18"/>
      <c r="DFK2" s="18"/>
      <c r="DFL2" s="18"/>
      <c r="DFM2" s="18"/>
      <c r="DFN2" s="18"/>
      <c r="DFO2" s="18"/>
      <c r="DFP2" s="18"/>
      <c r="DFQ2" s="18"/>
      <c r="DFR2" s="18"/>
      <c r="DFS2" s="18"/>
      <c r="DFT2" s="18"/>
      <c r="DFU2" s="18"/>
      <c r="DFV2" s="18"/>
      <c r="DFW2" s="18"/>
      <c r="DFX2" s="18"/>
      <c r="DFY2" s="18"/>
      <c r="DFZ2" s="18"/>
      <c r="DGA2" s="18"/>
      <c r="DGB2" s="18"/>
      <c r="DGC2" s="18"/>
      <c r="DGD2" s="18"/>
      <c r="DGE2" s="18"/>
      <c r="DGF2" s="18"/>
      <c r="DGG2" s="18"/>
      <c r="DGH2" s="18"/>
      <c r="DGI2" s="18"/>
      <c r="DGJ2" s="18"/>
      <c r="DGK2" s="18"/>
      <c r="DGL2" s="18"/>
      <c r="DGM2" s="18"/>
      <c r="DGN2" s="18"/>
      <c r="DGO2" s="18"/>
      <c r="DGP2" s="18"/>
      <c r="DGQ2" s="18"/>
      <c r="DGR2" s="18"/>
      <c r="DGS2" s="18"/>
      <c r="DGT2" s="18"/>
      <c r="DGU2" s="18"/>
      <c r="DGV2" s="18"/>
      <c r="DGW2" s="18"/>
      <c r="DGX2" s="18"/>
      <c r="DGY2" s="18"/>
      <c r="DGZ2" s="18"/>
      <c r="DHA2" s="18"/>
      <c r="DHB2" s="18"/>
      <c r="DHC2" s="18"/>
      <c r="DHD2" s="18"/>
      <c r="DHE2" s="18"/>
      <c r="DHF2" s="18"/>
      <c r="DHG2" s="18"/>
      <c r="DHH2" s="18"/>
      <c r="DHI2" s="18"/>
      <c r="DHJ2" s="18"/>
      <c r="DHK2" s="18"/>
      <c r="DHL2" s="18"/>
      <c r="DHM2" s="18"/>
      <c r="DHN2" s="18"/>
      <c r="DHO2" s="18"/>
      <c r="DHP2" s="18"/>
      <c r="DHQ2" s="18"/>
      <c r="DHR2" s="18"/>
      <c r="DHS2" s="18"/>
      <c r="DHT2" s="18"/>
      <c r="DHU2" s="18"/>
      <c r="DHV2" s="18"/>
      <c r="DHW2" s="18"/>
      <c r="DHX2" s="18"/>
      <c r="DHY2" s="18"/>
      <c r="DHZ2" s="18"/>
      <c r="DIA2" s="18"/>
      <c r="DIB2" s="18"/>
      <c r="DIC2" s="18"/>
      <c r="DID2" s="18"/>
      <c r="DIE2" s="18"/>
      <c r="DIF2" s="18"/>
      <c r="DIG2" s="18"/>
      <c r="DIH2" s="18"/>
      <c r="DII2" s="18"/>
      <c r="DIJ2" s="18"/>
      <c r="DIK2" s="18"/>
      <c r="DIL2" s="18"/>
      <c r="DIM2" s="18"/>
      <c r="DIN2" s="18"/>
      <c r="DIO2" s="18"/>
      <c r="DIP2" s="18"/>
      <c r="DIQ2" s="18"/>
      <c r="DIR2" s="18"/>
      <c r="DIS2" s="18"/>
      <c r="DIT2" s="18"/>
      <c r="DIU2" s="18"/>
      <c r="DIV2" s="18"/>
      <c r="DIW2" s="18"/>
      <c r="DIX2" s="18"/>
      <c r="DIY2" s="18"/>
      <c r="DIZ2" s="18"/>
      <c r="DJA2" s="18"/>
      <c r="DJB2" s="18"/>
      <c r="DJC2" s="18"/>
      <c r="DJD2" s="18"/>
      <c r="DJE2" s="18"/>
      <c r="DJF2" s="18"/>
      <c r="DJG2" s="18"/>
      <c r="DJH2" s="18"/>
      <c r="DJI2" s="18"/>
      <c r="DJJ2" s="18"/>
      <c r="DJK2" s="18"/>
      <c r="DJL2" s="18"/>
      <c r="DJM2" s="18"/>
      <c r="DJN2" s="18"/>
      <c r="DJO2" s="18"/>
      <c r="DJP2" s="18"/>
      <c r="DJQ2" s="18"/>
      <c r="DJR2" s="18"/>
      <c r="DJS2" s="18"/>
      <c r="DJT2" s="18"/>
      <c r="DJU2" s="18"/>
      <c r="DJV2" s="18"/>
      <c r="DJW2" s="18"/>
      <c r="DJX2" s="18"/>
      <c r="DJY2" s="18"/>
      <c r="DJZ2" s="18"/>
      <c r="DKA2" s="18"/>
      <c r="DKB2" s="18"/>
      <c r="DKC2" s="18"/>
      <c r="DKD2" s="18"/>
      <c r="DKE2" s="18"/>
      <c r="DKF2" s="18"/>
      <c r="DKG2" s="18"/>
      <c r="DKH2" s="18"/>
      <c r="DKI2" s="18"/>
      <c r="DKJ2" s="18"/>
      <c r="DKK2" s="18"/>
      <c r="DKL2" s="18"/>
      <c r="DKM2" s="18"/>
      <c r="DKN2" s="18"/>
      <c r="DKO2" s="18"/>
      <c r="DKP2" s="18"/>
      <c r="DKQ2" s="18"/>
      <c r="DKR2" s="18"/>
      <c r="DKS2" s="18"/>
      <c r="DKT2" s="18"/>
      <c r="DKU2" s="18"/>
      <c r="DKV2" s="18"/>
      <c r="DKW2" s="18"/>
      <c r="DKX2" s="18"/>
      <c r="DKY2" s="18"/>
      <c r="DKZ2" s="18"/>
      <c r="DLA2" s="18"/>
      <c r="DLB2" s="18"/>
      <c r="DLC2" s="18"/>
      <c r="DLD2" s="18"/>
      <c r="DLE2" s="18"/>
      <c r="DLF2" s="18"/>
      <c r="DLG2" s="18"/>
      <c r="DLH2" s="18"/>
      <c r="DLI2" s="18"/>
      <c r="DLJ2" s="18"/>
      <c r="DLK2" s="18"/>
      <c r="DLL2" s="18"/>
      <c r="DLM2" s="18"/>
      <c r="DLN2" s="18"/>
      <c r="DLO2" s="18"/>
      <c r="DLP2" s="18"/>
      <c r="DLQ2" s="18"/>
      <c r="DLR2" s="18"/>
      <c r="DLS2" s="18"/>
      <c r="DLT2" s="18"/>
      <c r="DLU2" s="18"/>
      <c r="DLV2" s="18"/>
      <c r="DLW2" s="18"/>
      <c r="DLX2" s="18"/>
      <c r="DLY2" s="18"/>
      <c r="DLZ2" s="18"/>
      <c r="DMA2" s="18"/>
      <c r="DMB2" s="18"/>
      <c r="DMC2" s="18"/>
      <c r="DMD2" s="18"/>
      <c r="DME2" s="18"/>
      <c r="DMF2" s="18"/>
      <c r="DMG2" s="18"/>
      <c r="DMH2" s="18"/>
      <c r="DMI2" s="18"/>
      <c r="DMJ2" s="18"/>
      <c r="DMK2" s="18"/>
      <c r="DML2" s="18"/>
      <c r="DMM2" s="18"/>
      <c r="DMN2" s="18"/>
      <c r="DMO2" s="18"/>
      <c r="DMP2" s="18"/>
      <c r="DMQ2" s="18"/>
      <c r="DMR2" s="18"/>
      <c r="DMS2" s="18"/>
      <c r="DMT2" s="18"/>
      <c r="DMU2" s="18"/>
      <c r="DMV2" s="18"/>
      <c r="DMW2" s="18"/>
      <c r="DMX2" s="18"/>
      <c r="DMY2" s="18"/>
      <c r="DMZ2" s="18"/>
      <c r="DNA2" s="18"/>
      <c r="DNB2" s="18"/>
      <c r="DNC2" s="18"/>
      <c r="DND2" s="18"/>
      <c r="DNE2" s="18"/>
      <c r="DNF2" s="18"/>
      <c r="DNG2" s="18"/>
      <c r="DNH2" s="18"/>
      <c r="DNI2" s="18"/>
      <c r="DNJ2" s="18"/>
      <c r="DNK2" s="18"/>
      <c r="DNL2" s="18"/>
      <c r="DNM2" s="18"/>
      <c r="DNN2" s="18"/>
      <c r="DNO2" s="18"/>
      <c r="DNP2" s="18"/>
      <c r="DNQ2" s="18"/>
      <c r="DNR2" s="18"/>
      <c r="DNS2" s="18"/>
      <c r="DNT2" s="18"/>
      <c r="DNU2" s="18"/>
      <c r="DNV2" s="18"/>
      <c r="DNW2" s="18"/>
      <c r="DNX2" s="18"/>
      <c r="DNY2" s="18"/>
      <c r="DNZ2" s="18"/>
      <c r="DOA2" s="18"/>
      <c r="DOB2" s="18"/>
      <c r="DOC2" s="18"/>
      <c r="DOD2" s="18"/>
      <c r="DOE2" s="18"/>
      <c r="DOF2" s="18"/>
      <c r="DOG2" s="18"/>
      <c r="DOH2" s="18"/>
      <c r="DOI2" s="18"/>
      <c r="DOJ2" s="18"/>
      <c r="DOK2" s="18"/>
      <c r="DOL2" s="18"/>
      <c r="DOM2" s="18"/>
      <c r="DON2" s="18"/>
      <c r="DOO2" s="18"/>
      <c r="DOP2" s="18"/>
      <c r="DOQ2" s="18"/>
      <c r="DOR2" s="18"/>
      <c r="DOS2" s="18"/>
      <c r="DOT2" s="18"/>
      <c r="DOU2" s="18"/>
      <c r="DOV2" s="18"/>
      <c r="DOW2" s="18"/>
      <c r="DOX2" s="18"/>
      <c r="DOY2" s="18"/>
      <c r="DOZ2" s="18"/>
      <c r="DPA2" s="18"/>
      <c r="DPB2" s="18"/>
      <c r="DPC2" s="18"/>
      <c r="DPD2" s="18"/>
      <c r="DPE2" s="18"/>
      <c r="DPF2" s="18"/>
      <c r="DPG2" s="18"/>
      <c r="DPH2" s="18"/>
      <c r="DPI2" s="18"/>
      <c r="DPJ2" s="18"/>
      <c r="DPK2" s="18"/>
      <c r="DPL2" s="18"/>
      <c r="DPM2" s="18"/>
      <c r="DPN2" s="18"/>
      <c r="DPO2" s="18"/>
      <c r="DPP2" s="18"/>
      <c r="DPQ2" s="18"/>
      <c r="DPR2" s="18"/>
      <c r="DPS2" s="18"/>
      <c r="DPT2" s="18"/>
      <c r="DPU2" s="18"/>
      <c r="DPV2" s="18"/>
      <c r="DPW2" s="18"/>
      <c r="DPX2" s="18"/>
      <c r="DPY2" s="18"/>
      <c r="DPZ2" s="18"/>
      <c r="DQA2" s="18"/>
      <c r="DQB2" s="18"/>
      <c r="DQC2" s="18"/>
      <c r="DQD2" s="18"/>
      <c r="DQE2" s="18"/>
      <c r="DQF2" s="18"/>
      <c r="DQG2" s="18"/>
      <c r="DQH2" s="18"/>
      <c r="DQI2" s="18"/>
      <c r="DQJ2" s="18"/>
      <c r="DQK2" s="18"/>
      <c r="DQL2" s="18"/>
      <c r="DQM2" s="18"/>
      <c r="DQN2" s="18"/>
      <c r="DQO2" s="18"/>
      <c r="DQP2" s="18"/>
      <c r="DQQ2" s="18"/>
      <c r="DQR2" s="18"/>
      <c r="DQS2" s="18"/>
      <c r="DQT2" s="18"/>
      <c r="DQU2" s="18"/>
      <c r="DQV2" s="18"/>
      <c r="DQW2" s="18"/>
      <c r="DQX2" s="18"/>
      <c r="DQY2" s="18"/>
      <c r="DQZ2" s="18"/>
      <c r="DRA2" s="18"/>
      <c r="DRB2" s="18"/>
      <c r="DRC2" s="18"/>
      <c r="DRD2" s="18"/>
      <c r="DRE2" s="18"/>
      <c r="DRF2" s="18"/>
      <c r="DRG2" s="18"/>
      <c r="DRH2" s="18"/>
      <c r="DRI2" s="18"/>
      <c r="DRJ2" s="18"/>
      <c r="DRK2" s="18"/>
      <c r="DRL2" s="18"/>
      <c r="DRM2" s="18"/>
      <c r="DRN2" s="18"/>
      <c r="DRO2" s="18"/>
      <c r="DRP2" s="18"/>
      <c r="DRQ2" s="18"/>
      <c r="DRR2" s="18"/>
      <c r="DRS2" s="18"/>
      <c r="DRT2" s="18"/>
      <c r="DRU2" s="18"/>
      <c r="DRV2" s="18"/>
      <c r="DRW2" s="18"/>
      <c r="DRX2" s="18"/>
      <c r="DRY2" s="18"/>
      <c r="DRZ2" s="18"/>
      <c r="DSA2" s="18"/>
      <c r="DSB2" s="18"/>
      <c r="DSC2" s="18"/>
      <c r="DSD2" s="18"/>
      <c r="DSE2" s="18"/>
      <c r="DSF2" s="18"/>
      <c r="DSG2" s="18"/>
      <c r="DSH2" s="18"/>
      <c r="DSI2" s="18"/>
      <c r="DSJ2" s="18"/>
      <c r="DSK2" s="18"/>
      <c r="DSL2" s="18"/>
      <c r="DSM2" s="18"/>
      <c r="DSN2" s="18"/>
      <c r="DSO2" s="18"/>
      <c r="DSP2" s="18"/>
      <c r="DSQ2" s="18"/>
      <c r="DSR2" s="18"/>
      <c r="DSS2" s="18"/>
      <c r="DST2" s="18"/>
      <c r="DSU2" s="18"/>
      <c r="DSV2" s="18"/>
      <c r="DSW2" s="18"/>
      <c r="DSX2" s="18"/>
      <c r="DSY2" s="18"/>
      <c r="DSZ2" s="18"/>
      <c r="DTA2" s="18"/>
      <c r="DTB2" s="18"/>
      <c r="DTC2" s="18"/>
      <c r="DTD2" s="18"/>
      <c r="DTE2" s="18"/>
      <c r="DTF2" s="18"/>
      <c r="DTG2" s="18"/>
      <c r="DTH2" s="18"/>
      <c r="DTI2" s="18"/>
      <c r="DTJ2" s="18"/>
      <c r="DTK2" s="18"/>
      <c r="DTL2" s="18"/>
      <c r="DTM2" s="18"/>
      <c r="DTN2" s="18"/>
      <c r="DTO2" s="18"/>
      <c r="DTP2" s="18"/>
      <c r="DTQ2" s="18"/>
      <c r="DTR2" s="18"/>
      <c r="DTS2" s="18"/>
      <c r="DTT2" s="18"/>
      <c r="DTU2" s="18"/>
      <c r="DTV2" s="18"/>
      <c r="DTW2" s="18"/>
      <c r="DTX2" s="18"/>
      <c r="DTY2" s="18"/>
      <c r="DTZ2" s="18"/>
      <c r="DUA2" s="18"/>
      <c r="DUB2" s="18"/>
      <c r="DUC2" s="18"/>
      <c r="DUD2" s="18"/>
      <c r="DUE2" s="18"/>
      <c r="DUF2" s="18"/>
      <c r="DUG2" s="18"/>
      <c r="DUH2" s="18"/>
      <c r="DUI2" s="18"/>
      <c r="DUJ2" s="18"/>
      <c r="DUK2" s="18"/>
      <c r="DUL2" s="18"/>
      <c r="DUM2" s="18"/>
      <c r="DUN2" s="18"/>
      <c r="DUO2" s="18"/>
      <c r="DUP2" s="18"/>
      <c r="DUQ2" s="18"/>
      <c r="DUR2" s="18"/>
      <c r="DUS2" s="18"/>
      <c r="DUT2" s="18"/>
      <c r="DUU2" s="18"/>
      <c r="DUV2" s="18"/>
      <c r="DUW2" s="18"/>
      <c r="DUX2" s="18"/>
      <c r="DUY2" s="18"/>
      <c r="DUZ2" s="18"/>
      <c r="DVA2" s="18"/>
      <c r="DVB2" s="18"/>
      <c r="DVC2" s="18"/>
      <c r="DVD2" s="18"/>
      <c r="DVE2" s="18"/>
      <c r="DVF2" s="18"/>
      <c r="DVG2" s="18"/>
      <c r="DVH2" s="18"/>
      <c r="DVI2" s="18"/>
      <c r="DVJ2" s="18"/>
      <c r="DVK2" s="18"/>
      <c r="DVL2" s="18"/>
      <c r="DVM2" s="18"/>
      <c r="DVN2" s="18"/>
      <c r="DVO2" s="18"/>
      <c r="DVP2" s="18"/>
      <c r="DVQ2" s="18"/>
      <c r="DVR2" s="18"/>
      <c r="DVS2" s="18"/>
      <c r="DVT2" s="18"/>
      <c r="DVU2" s="18"/>
      <c r="DVV2" s="18"/>
      <c r="DVW2" s="18"/>
      <c r="DVX2" s="18"/>
      <c r="DVY2" s="18"/>
      <c r="DVZ2" s="18"/>
      <c r="DWA2" s="18"/>
      <c r="DWB2" s="18"/>
      <c r="DWC2" s="18"/>
      <c r="DWD2" s="18"/>
      <c r="DWE2" s="18"/>
      <c r="DWF2" s="18"/>
      <c r="DWG2" s="18"/>
      <c r="DWH2" s="18"/>
      <c r="DWI2" s="18"/>
      <c r="DWJ2" s="18"/>
      <c r="DWK2" s="18"/>
      <c r="DWL2" s="18"/>
      <c r="DWM2" s="18"/>
      <c r="DWN2" s="18"/>
      <c r="DWO2" s="18"/>
      <c r="DWP2" s="18"/>
      <c r="DWQ2" s="18"/>
      <c r="DWR2" s="18"/>
      <c r="DWS2" s="18"/>
      <c r="DWT2" s="18"/>
      <c r="DWU2" s="18"/>
      <c r="DWV2" s="18"/>
      <c r="DWW2" s="18"/>
      <c r="DWX2" s="18"/>
      <c r="DWY2" s="18"/>
      <c r="DWZ2" s="18"/>
      <c r="DXA2" s="18"/>
      <c r="DXB2" s="18"/>
      <c r="DXC2" s="18"/>
      <c r="DXD2" s="18"/>
      <c r="DXE2" s="18"/>
      <c r="DXF2" s="18"/>
      <c r="DXG2" s="18"/>
      <c r="DXH2" s="18"/>
      <c r="DXI2" s="18"/>
      <c r="DXJ2" s="18"/>
      <c r="DXK2" s="18"/>
      <c r="DXL2" s="18"/>
      <c r="DXM2" s="18"/>
      <c r="DXN2" s="18"/>
      <c r="DXO2" s="18"/>
      <c r="DXP2" s="18"/>
      <c r="DXQ2" s="18"/>
      <c r="DXR2" s="18"/>
      <c r="DXS2" s="18"/>
      <c r="DXT2" s="18"/>
      <c r="DXU2" s="18"/>
      <c r="DXV2" s="18"/>
      <c r="DXW2" s="18"/>
      <c r="DXX2" s="18"/>
      <c r="DXY2" s="18"/>
      <c r="DXZ2" s="18"/>
      <c r="DYA2" s="18"/>
      <c r="DYB2" s="18"/>
      <c r="DYC2" s="18"/>
      <c r="DYD2" s="18"/>
      <c r="DYE2" s="18"/>
      <c r="DYF2" s="18"/>
      <c r="DYG2" s="18"/>
      <c r="DYH2" s="18"/>
      <c r="DYI2" s="18"/>
      <c r="DYJ2" s="18"/>
      <c r="DYK2" s="18"/>
      <c r="DYL2" s="18"/>
      <c r="DYM2" s="18"/>
      <c r="DYN2" s="18"/>
      <c r="DYO2" s="18"/>
      <c r="DYP2" s="18"/>
      <c r="DYQ2" s="18"/>
      <c r="DYR2" s="18"/>
      <c r="DYS2" s="18"/>
      <c r="DYT2" s="18"/>
      <c r="DYU2" s="18"/>
      <c r="DYV2" s="18"/>
      <c r="DYW2" s="18"/>
      <c r="DYX2" s="18"/>
      <c r="DYY2" s="18"/>
      <c r="DYZ2" s="18"/>
      <c r="DZA2" s="18"/>
      <c r="DZB2" s="18"/>
      <c r="DZC2" s="18"/>
      <c r="DZD2" s="18"/>
      <c r="DZE2" s="18"/>
      <c r="DZF2" s="18"/>
      <c r="DZG2" s="18"/>
      <c r="DZH2" s="18"/>
      <c r="DZI2" s="18"/>
      <c r="DZJ2" s="18"/>
      <c r="DZK2" s="18"/>
      <c r="DZL2" s="18"/>
      <c r="DZM2" s="18"/>
      <c r="DZN2" s="18"/>
      <c r="DZO2" s="18"/>
      <c r="DZP2" s="18"/>
      <c r="DZQ2" s="18"/>
      <c r="DZR2" s="18"/>
      <c r="DZS2" s="18"/>
      <c r="DZT2" s="18"/>
      <c r="DZU2" s="18"/>
      <c r="DZV2" s="18"/>
      <c r="DZW2" s="18"/>
      <c r="DZX2" s="18"/>
      <c r="DZY2" s="18"/>
      <c r="DZZ2" s="18"/>
      <c r="EAA2" s="18"/>
      <c r="EAB2" s="18"/>
      <c r="EAC2" s="18"/>
      <c r="EAD2" s="18"/>
      <c r="EAE2" s="18"/>
      <c r="EAF2" s="18"/>
      <c r="EAG2" s="18"/>
      <c r="EAH2" s="18"/>
      <c r="EAI2" s="18"/>
      <c r="EAJ2" s="18"/>
      <c r="EAK2" s="18"/>
      <c r="EAL2" s="18"/>
      <c r="EAM2" s="18"/>
      <c r="EAN2" s="18"/>
      <c r="EAO2" s="18"/>
      <c r="EAP2" s="18"/>
      <c r="EAQ2" s="18"/>
      <c r="EAR2" s="18"/>
      <c r="EAS2" s="18"/>
      <c r="EAT2" s="18"/>
      <c r="EAU2" s="18"/>
      <c r="EAV2" s="18"/>
      <c r="EAW2" s="18"/>
      <c r="EAX2" s="18"/>
      <c r="EAY2" s="18"/>
      <c r="EAZ2" s="18"/>
      <c r="EBA2" s="18"/>
      <c r="EBB2" s="18"/>
      <c r="EBC2" s="18"/>
      <c r="EBD2" s="18"/>
      <c r="EBE2" s="18"/>
      <c r="EBF2" s="18"/>
      <c r="EBG2" s="18"/>
      <c r="EBH2" s="18"/>
      <c r="EBI2" s="18"/>
      <c r="EBJ2" s="18"/>
      <c r="EBK2" s="18"/>
      <c r="EBL2" s="18"/>
      <c r="EBM2" s="18"/>
      <c r="EBN2" s="18"/>
      <c r="EBO2" s="18"/>
      <c r="EBP2" s="18"/>
      <c r="EBQ2" s="18"/>
      <c r="EBR2" s="18"/>
      <c r="EBS2" s="18"/>
      <c r="EBT2" s="18"/>
      <c r="EBU2" s="18"/>
      <c r="EBV2" s="18"/>
      <c r="EBW2" s="18"/>
      <c r="EBX2" s="18"/>
      <c r="EBY2" s="18"/>
      <c r="EBZ2" s="18"/>
      <c r="ECA2" s="18"/>
      <c r="ECB2" s="18"/>
      <c r="ECC2" s="18"/>
      <c r="ECD2" s="18"/>
      <c r="ECE2" s="18"/>
      <c r="ECF2" s="18"/>
      <c r="ECG2" s="18"/>
      <c r="ECH2" s="18"/>
      <c r="ECI2" s="18"/>
      <c r="ECJ2" s="18"/>
      <c r="ECK2" s="18"/>
      <c r="ECL2" s="18"/>
      <c r="ECM2" s="18"/>
      <c r="ECN2" s="18"/>
      <c r="ECO2" s="18"/>
      <c r="ECP2" s="18"/>
      <c r="ECQ2" s="18"/>
      <c r="ECR2" s="18"/>
      <c r="ECS2" s="18"/>
      <c r="ECT2" s="18"/>
      <c r="ECU2" s="18"/>
      <c r="ECV2" s="18"/>
      <c r="ECW2" s="18"/>
      <c r="ECX2" s="18"/>
      <c r="ECY2" s="18"/>
      <c r="ECZ2" s="18"/>
      <c r="EDA2" s="18"/>
      <c r="EDB2" s="18"/>
      <c r="EDC2" s="18"/>
      <c r="EDD2" s="18"/>
      <c r="EDE2" s="18"/>
      <c r="EDF2" s="18"/>
      <c r="EDG2" s="18"/>
      <c r="EDH2" s="18"/>
      <c r="EDI2" s="18"/>
      <c r="EDJ2" s="18"/>
      <c r="EDK2" s="18"/>
      <c r="EDL2" s="18"/>
      <c r="EDM2" s="18"/>
      <c r="EDN2" s="18"/>
      <c r="EDO2" s="18"/>
      <c r="EDP2" s="18"/>
      <c r="EDQ2" s="18"/>
      <c r="EDR2" s="18"/>
      <c r="EDS2" s="18"/>
      <c r="EDT2" s="18"/>
      <c r="EDU2" s="18"/>
      <c r="EDV2" s="18"/>
      <c r="EDW2" s="18"/>
      <c r="EDX2" s="18"/>
      <c r="EDY2" s="18"/>
      <c r="EDZ2" s="18"/>
      <c r="EEA2" s="18"/>
      <c r="EEB2" s="18"/>
      <c r="EEC2" s="18"/>
      <c r="EED2" s="18"/>
      <c r="EEE2" s="18"/>
      <c r="EEF2" s="18"/>
      <c r="EEG2" s="18"/>
      <c r="EEH2" s="18"/>
      <c r="EEI2" s="18"/>
      <c r="EEJ2" s="18"/>
      <c r="EEK2" s="18"/>
      <c r="EEL2" s="18"/>
      <c r="EEM2" s="18"/>
      <c r="EEN2" s="18"/>
      <c r="EEO2" s="18"/>
      <c r="EEP2" s="18"/>
      <c r="EEQ2" s="18"/>
      <c r="EER2" s="18"/>
      <c r="EES2" s="18"/>
      <c r="EET2" s="18"/>
      <c r="EEU2" s="18"/>
      <c r="EEV2" s="18"/>
      <c r="EEW2" s="18"/>
      <c r="EEX2" s="18"/>
      <c r="EEY2" s="18"/>
      <c r="EEZ2" s="18"/>
      <c r="EFA2" s="18"/>
      <c r="EFB2" s="18"/>
      <c r="EFC2" s="18"/>
      <c r="EFD2" s="18"/>
      <c r="EFE2" s="18"/>
      <c r="EFF2" s="18"/>
      <c r="EFG2" s="18"/>
      <c r="EFH2" s="18"/>
      <c r="EFI2" s="18"/>
      <c r="EFJ2" s="18"/>
      <c r="EFK2" s="18"/>
      <c r="EFL2" s="18"/>
      <c r="EFM2" s="18"/>
      <c r="EFN2" s="18"/>
      <c r="EFO2" s="18"/>
      <c r="EFP2" s="18"/>
      <c r="EFQ2" s="18"/>
      <c r="EFR2" s="18"/>
      <c r="EFS2" s="18"/>
      <c r="EFT2" s="18"/>
      <c r="EFU2" s="18"/>
      <c r="EFV2" s="18"/>
      <c r="EFW2" s="18"/>
      <c r="EFX2" s="18"/>
      <c r="EFY2" s="18"/>
      <c r="EFZ2" s="18"/>
      <c r="EGA2" s="18"/>
      <c r="EGB2" s="18"/>
      <c r="EGC2" s="18"/>
      <c r="EGD2" s="18"/>
      <c r="EGE2" s="18"/>
      <c r="EGF2" s="18"/>
      <c r="EGG2" s="18"/>
      <c r="EGH2" s="18"/>
      <c r="EGI2" s="18"/>
      <c r="EGJ2" s="18"/>
      <c r="EGK2" s="18"/>
      <c r="EGL2" s="18"/>
      <c r="EGM2" s="18"/>
      <c r="EGN2" s="18"/>
      <c r="EGO2" s="18"/>
      <c r="EGP2" s="18"/>
      <c r="EGQ2" s="18"/>
      <c r="EGR2" s="18"/>
      <c r="EGS2" s="18"/>
      <c r="EGT2" s="18"/>
      <c r="EGU2" s="18"/>
      <c r="EGV2" s="18"/>
      <c r="EGW2" s="18"/>
      <c r="EGX2" s="18"/>
      <c r="EGY2" s="18"/>
      <c r="EGZ2" s="18"/>
      <c r="EHA2" s="18"/>
      <c r="EHB2" s="18"/>
      <c r="EHC2" s="18"/>
      <c r="EHD2" s="18"/>
      <c r="EHE2" s="18"/>
      <c r="EHF2" s="18"/>
      <c r="EHG2" s="18"/>
      <c r="EHH2" s="18"/>
      <c r="EHI2" s="18"/>
      <c r="EHJ2" s="18"/>
      <c r="EHK2" s="18"/>
      <c r="EHL2" s="18"/>
      <c r="EHM2" s="18"/>
      <c r="EHN2" s="18"/>
      <c r="EHO2" s="18"/>
      <c r="EHP2" s="18"/>
      <c r="EHQ2" s="18"/>
      <c r="EHR2" s="18"/>
      <c r="EHS2" s="18"/>
      <c r="EHT2" s="18"/>
      <c r="EHU2" s="18"/>
      <c r="EHV2" s="18"/>
      <c r="EHW2" s="18"/>
      <c r="EHX2" s="18"/>
      <c r="EHY2" s="18"/>
      <c r="EHZ2" s="18"/>
      <c r="EIA2" s="18"/>
      <c r="EIB2" s="18"/>
      <c r="EIC2" s="18"/>
      <c r="EID2" s="18"/>
      <c r="EIE2" s="18"/>
      <c r="EIF2" s="18"/>
      <c r="EIG2" s="18"/>
      <c r="EIH2" s="18"/>
      <c r="EII2" s="18"/>
      <c r="EIJ2" s="18"/>
      <c r="EIK2" s="18"/>
      <c r="EIL2" s="18"/>
      <c r="EIM2" s="18"/>
      <c r="EIN2" s="18"/>
      <c r="EIO2" s="18"/>
      <c r="EIP2" s="18"/>
      <c r="EIQ2" s="18"/>
      <c r="EIR2" s="18"/>
      <c r="EIS2" s="18"/>
      <c r="EIT2" s="18"/>
      <c r="EIU2" s="18"/>
      <c r="EIV2" s="18"/>
      <c r="EIW2" s="18"/>
      <c r="EIX2" s="18"/>
      <c r="EIY2" s="18"/>
      <c r="EIZ2" s="18"/>
      <c r="EJA2" s="18"/>
      <c r="EJB2" s="18"/>
      <c r="EJC2" s="18"/>
      <c r="EJD2" s="18"/>
      <c r="EJE2" s="18"/>
      <c r="EJF2" s="18"/>
      <c r="EJG2" s="18"/>
      <c r="EJH2" s="18"/>
      <c r="EJI2" s="18"/>
      <c r="EJJ2" s="18"/>
      <c r="EJK2" s="18"/>
      <c r="EJL2" s="18"/>
      <c r="EJM2" s="18"/>
      <c r="EJN2" s="18"/>
      <c r="EJO2" s="18"/>
      <c r="EJP2" s="18"/>
      <c r="EJQ2" s="18"/>
      <c r="EJR2" s="18"/>
      <c r="EJS2" s="18"/>
      <c r="EJT2" s="18"/>
      <c r="EJU2" s="18"/>
      <c r="EJV2" s="18"/>
      <c r="EJW2" s="18"/>
      <c r="EJX2" s="18"/>
      <c r="EJY2" s="18"/>
      <c r="EJZ2" s="18"/>
      <c r="EKA2" s="18"/>
      <c r="EKB2" s="18"/>
      <c r="EKC2" s="18"/>
      <c r="EKD2" s="18"/>
      <c r="EKE2" s="18"/>
      <c r="EKF2" s="18"/>
      <c r="EKG2" s="18"/>
      <c r="EKH2" s="18"/>
      <c r="EKI2" s="18"/>
      <c r="EKJ2" s="18"/>
      <c r="EKK2" s="18"/>
      <c r="EKL2" s="18"/>
      <c r="EKM2" s="18"/>
      <c r="EKN2" s="18"/>
      <c r="EKO2" s="18"/>
      <c r="EKP2" s="18"/>
      <c r="EKQ2" s="18"/>
      <c r="EKR2" s="18"/>
      <c r="EKS2" s="18"/>
      <c r="EKT2" s="18"/>
      <c r="EKU2" s="18"/>
      <c r="EKV2" s="18"/>
      <c r="EKW2" s="18"/>
      <c r="EKX2" s="18"/>
      <c r="EKY2" s="18"/>
      <c r="EKZ2" s="18"/>
      <c r="ELA2" s="18"/>
      <c r="ELB2" s="18"/>
      <c r="ELC2" s="18"/>
      <c r="ELD2" s="18"/>
      <c r="ELE2" s="18"/>
      <c r="ELF2" s="18"/>
      <c r="ELG2" s="18"/>
      <c r="ELH2" s="18"/>
      <c r="ELI2" s="18"/>
      <c r="ELJ2" s="18"/>
      <c r="ELK2" s="18"/>
      <c r="ELL2" s="18"/>
      <c r="ELM2" s="18"/>
      <c r="ELN2" s="18"/>
      <c r="ELO2" s="18"/>
      <c r="ELP2" s="18"/>
      <c r="ELQ2" s="18"/>
      <c r="ELR2" s="18"/>
      <c r="ELS2" s="18"/>
      <c r="ELT2" s="18"/>
      <c r="ELU2" s="18"/>
      <c r="ELV2" s="18"/>
      <c r="ELW2" s="18"/>
      <c r="ELX2" s="18"/>
      <c r="ELY2" s="18"/>
      <c r="ELZ2" s="18"/>
      <c r="EMA2" s="18"/>
      <c r="EMB2" s="18"/>
      <c r="EMC2" s="18"/>
      <c r="EMD2" s="18"/>
      <c r="EME2" s="18"/>
      <c r="EMF2" s="18"/>
      <c r="EMG2" s="18"/>
      <c r="EMH2" s="18"/>
      <c r="EMI2" s="18"/>
      <c r="EMJ2" s="18"/>
      <c r="EMK2" s="18"/>
      <c r="EML2" s="18"/>
      <c r="EMM2" s="18"/>
      <c r="EMN2" s="18"/>
      <c r="EMO2" s="18"/>
      <c r="EMP2" s="18"/>
      <c r="EMQ2" s="18"/>
      <c r="EMR2" s="18"/>
      <c r="EMS2" s="18"/>
      <c r="EMT2" s="18"/>
      <c r="EMU2" s="18"/>
      <c r="EMV2" s="18"/>
      <c r="EMW2" s="18"/>
      <c r="EMX2" s="18"/>
      <c r="EMY2" s="18"/>
      <c r="EMZ2" s="18"/>
      <c r="ENA2" s="18"/>
      <c r="ENB2" s="18"/>
      <c r="ENC2" s="18"/>
      <c r="END2" s="18"/>
      <c r="ENE2" s="18"/>
      <c r="ENF2" s="18"/>
      <c r="ENG2" s="18"/>
      <c r="ENH2" s="18"/>
      <c r="ENI2" s="18"/>
      <c r="ENJ2" s="18"/>
      <c r="ENK2" s="18"/>
      <c r="ENL2" s="18"/>
      <c r="ENM2" s="18"/>
      <c r="ENN2" s="18"/>
      <c r="ENO2" s="18"/>
      <c r="ENP2" s="18"/>
      <c r="ENQ2" s="18"/>
      <c r="ENR2" s="18"/>
      <c r="ENS2" s="18"/>
      <c r="ENT2" s="18"/>
      <c r="ENU2" s="18"/>
      <c r="ENV2" s="18"/>
      <c r="ENW2" s="18"/>
      <c r="ENX2" s="18"/>
      <c r="ENY2" s="18"/>
      <c r="ENZ2" s="18"/>
      <c r="EOA2" s="18"/>
      <c r="EOB2" s="18"/>
      <c r="EOC2" s="18"/>
      <c r="EOD2" s="18"/>
      <c r="EOE2" s="18"/>
      <c r="EOF2" s="18"/>
      <c r="EOG2" s="18"/>
      <c r="EOH2" s="18"/>
      <c r="EOI2" s="18"/>
      <c r="EOJ2" s="18"/>
      <c r="EOK2" s="18"/>
      <c r="EOL2" s="18"/>
      <c r="EOM2" s="18"/>
      <c r="EON2" s="18"/>
      <c r="EOO2" s="18"/>
      <c r="EOP2" s="18"/>
      <c r="EOQ2" s="18"/>
      <c r="EOR2" s="18"/>
      <c r="EOS2" s="18"/>
      <c r="EOT2" s="18"/>
      <c r="EOU2" s="18"/>
      <c r="EOV2" s="18"/>
      <c r="EOW2" s="18"/>
      <c r="EOX2" s="18"/>
      <c r="EOY2" s="18"/>
      <c r="EOZ2" s="18"/>
      <c r="EPA2" s="18"/>
      <c r="EPB2" s="18"/>
      <c r="EPC2" s="18"/>
      <c r="EPD2" s="18"/>
      <c r="EPE2" s="18"/>
      <c r="EPF2" s="18"/>
      <c r="EPG2" s="18"/>
      <c r="EPH2" s="18"/>
      <c r="EPI2" s="18"/>
      <c r="EPJ2" s="18"/>
      <c r="EPK2" s="18"/>
      <c r="EPL2" s="18"/>
      <c r="EPM2" s="18"/>
      <c r="EPN2" s="18"/>
      <c r="EPO2" s="18"/>
      <c r="EPP2" s="18"/>
      <c r="EPQ2" s="18"/>
      <c r="EPR2" s="18"/>
      <c r="EPS2" s="18"/>
      <c r="EPT2" s="18"/>
      <c r="EPU2" s="18"/>
      <c r="EPV2" s="18"/>
      <c r="EPW2" s="18"/>
      <c r="EPX2" s="18"/>
      <c r="EPY2" s="18"/>
      <c r="EPZ2" s="18"/>
      <c r="EQA2" s="18"/>
      <c r="EQB2" s="18"/>
      <c r="EQC2" s="18"/>
      <c r="EQD2" s="18"/>
      <c r="EQE2" s="18"/>
      <c r="EQF2" s="18"/>
      <c r="EQG2" s="18"/>
      <c r="EQH2" s="18"/>
      <c r="EQI2" s="18"/>
      <c r="EQJ2" s="18"/>
      <c r="EQK2" s="18"/>
      <c r="EQL2" s="18"/>
      <c r="EQM2" s="18"/>
      <c r="EQN2" s="18"/>
      <c r="EQO2" s="18"/>
      <c r="EQP2" s="18"/>
      <c r="EQQ2" s="18"/>
      <c r="EQR2" s="18"/>
      <c r="EQS2" s="18"/>
      <c r="EQT2" s="18"/>
      <c r="EQU2" s="18"/>
      <c r="EQV2" s="18"/>
      <c r="EQW2" s="18"/>
      <c r="EQX2" s="18"/>
      <c r="EQY2" s="18"/>
      <c r="EQZ2" s="18"/>
      <c r="ERA2" s="18"/>
      <c r="ERB2" s="18"/>
      <c r="ERC2" s="18"/>
      <c r="ERD2" s="18"/>
      <c r="ERE2" s="18"/>
      <c r="ERF2" s="18"/>
      <c r="ERG2" s="18"/>
      <c r="ERH2" s="18"/>
      <c r="ERI2" s="18"/>
      <c r="ERJ2" s="18"/>
      <c r="ERK2" s="18"/>
      <c r="ERL2" s="18"/>
      <c r="ERM2" s="18"/>
      <c r="ERN2" s="18"/>
      <c r="ERO2" s="18"/>
      <c r="ERP2" s="18"/>
      <c r="ERQ2" s="18"/>
      <c r="ERR2" s="18"/>
      <c r="ERS2" s="18"/>
      <c r="ERT2" s="18"/>
      <c r="ERU2" s="18"/>
      <c r="ERV2" s="18"/>
      <c r="ERW2" s="18"/>
      <c r="ERX2" s="18"/>
      <c r="ERY2" s="18"/>
      <c r="ERZ2" s="18"/>
      <c r="ESA2" s="18"/>
      <c r="ESB2" s="18"/>
      <c r="ESC2" s="18"/>
      <c r="ESD2" s="18"/>
      <c r="ESE2" s="18"/>
      <c r="ESF2" s="18"/>
      <c r="ESG2" s="18"/>
      <c r="ESH2" s="18"/>
      <c r="ESI2" s="18"/>
      <c r="ESJ2" s="18"/>
      <c r="ESK2" s="18"/>
      <c r="ESL2" s="18"/>
      <c r="ESM2" s="18"/>
      <c r="ESN2" s="18"/>
      <c r="ESO2" s="18"/>
      <c r="ESP2" s="18"/>
      <c r="ESQ2" s="18"/>
      <c r="ESR2" s="18"/>
      <c r="ESS2" s="18"/>
      <c r="EST2" s="18"/>
      <c r="ESU2" s="18"/>
      <c r="ESV2" s="18"/>
      <c r="ESW2" s="18"/>
      <c r="ESX2" s="18"/>
      <c r="ESY2" s="18"/>
      <c r="ESZ2" s="18"/>
      <c r="ETA2" s="18"/>
      <c r="ETB2" s="18"/>
      <c r="ETC2" s="18"/>
      <c r="ETD2" s="18"/>
      <c r="ETE2" s="18"/>
      <c r="ETF2" s="18"/>
      <c r="ETG2" s="18"/>
      <c r="ETH2" s="18"/>
      <c r="ETI2" s="18"/>
      <c r="ETJ2" s="18"/>
      <c r="ETK2" s="18"/>
      <c r="ETL2" s="18"/>
      <c r="ETM2" s="18"/>
      <c r="ETN2" s="18"/>
      <c r="ETO2" s="18"/>
      <c r="ETP2" s="18"/>
      <c r="ETQ2" s="18"/>
      <c r="ETR2" s="18"/>
      <c r="ETS2" s="18"/>
      <c r="ETT2" s="18"/>
      <c r="ETU2" s="18"/>
      <c r="ETV2" s="18"/>
      <c r="ETW2" s="18"/>
      <c r="ETX2" s="18"/>
      <c r="ETY2" s="18"/>
      <c r="ETZ2" s="18"/>
      <c r="EUA2" s="18"/>
      <c r="EUB2" s="18"/>
      <c r="EUC2" s="18"/>
      <c r="EUD2" s="18"/>
      <c r="EUE2" s="18"/>
      <c r="EUF2" s="18"/>
      <c r="EUG2" s="18"/>
      <c r="EUH2" s="18"/>
      <c r="EUI2" s="18"/>
      <c r="EUJ2" s="18"/>
      <c r="EUK2" s="18"/>
      <c r="EUL2" s="18"/>
      <c r="EUM2" s="18"/>
      <c r="EUN2" s="18"/>
      <c r="EUO2" s="18"/>
      <c r="EUP2" s="18"/>
      <c r="EUQ2" s="18"/>
      <c r="EUR2" s="18"/>
      <c r="EUS2" s="18"/>
      <c r="EUT2" s="18"/>
      <c r="EUU2" s="18"/>
      <c r="EUV2" s="18"/>
      <c r="EUW2" s="18"/>
      <c r="EUX2" s="18"/>
      <c r="EUY2" s="18"/>
      <c r="EUZ2" s="18"/>
      <c r="EVA2" s="18"/>
      <c r="EVB2" s="18"/>
      <c r="EVC2" s="18"/>
      <c r="EVD2" s="18"/>
      <c r="EVE2" s="18"/>
      <c r="EVF2" s="18"/>
      <c r="EVG2" s="18"/>
      <c r="EVH2" s="18"/>
      <c r="EVI2" s="18"/>
      <c r="EVJ2" s="18"/>
      <c r="EVK2" s="18"/>
      <c r="EVL2" s="18"/>
      <c r="EVM2" s="18"/>
      <c r="EVN2" s="18"/>
      <c r="EVO2" s="18"/>
      <c r="EVP2" s="18"/>
      <c r="EVQ2" s="18"/>
      <c r="EVR2" s="18"/>
      <c r="EVS2" s="18"/>
      <c r="EVT2" s="18"/>
      <c r="EVU2" s="18"/>
      <c r="EVV2" s="18"/>
      <c r="EVW2" s="18"/>
      <c r="EVX2" s="18"/>
      <c r="EVY2" s="18"/>
      <c r="EVZ2" s="18"/>
      <c r="EWA2" s="18"/>
      <c r="EWB2" s="18"/>
      <c r="EWC2" s="18"/>
      <c r="EWD2" s="18"/>
      <c r="EWE2" s="18"/>
      <c r="EWF2" s="18"/>
      <c r="EWG2" s="18"/>
      <c r="EWH2" s="18"/>
      <c r="EWI2" s="18"/>
      <c r="EWJ2" s="18"/>
      <c r="EWK2" s="18"/>
      <c r="EWL2" s="18"/>
      <c r="EWM2" s="18"/>
      <c r="EWN2" s="18"/>
      <c r="EWO2" s="18"/>
      <c r="EWP2" s="18"/>
      <c r="EWQ2" s="18"/>
      <c r="EWR2" s="18"/>
      <c r="EWS2" s="18"/>
      <c r="EWT2" s="18"/>
      <c r="EWU2" s="18"/>
      <c r="EWV2" s="18"/>
      <c r="EWW2" s="18"/>
      <c r="EWX2" s="18"/>
      <c r="EWY2" s="18"/>
      <c r="EWZ2" s="18"/>
      <c r="EXA2" s="18"/>
      <c r="EXB2" s="18"/>
      <c r="EXC2" s="18"/>
      <c r="EXD2" s="18"/>
      <c r="EXE2" s="18"/>
      <c r="EXF2" s="18"/>
      <c r="EXG2" s="18"/>
      <c r="EXH2" s="18"/>
      <c r="EXI2" s="18"/>
      <c r="EXJ2" s="18"/>
      <c r="EXK2" s="18"/>
      <c r="EXL2" s="18"/>
      <c r="EXM2" s="18"/>
      <c r="EXN2" s="18"/>
      <c r="EXO2" s="18"/>
      <c r="EXP2" s="18"/>
      <c r="EXQ2" s="18"/>
      <c r="EXR2" s="18"/>
      <c r="EXS2" s="18"/>
      <c r="EXT2" s="18"/>
      <c r="EXU2" s="18"/>
      <c r="EXV2" s="18"/>
      <c r="EXW2" s="18"/>
      <c r="EXX2" s="18"/>
      <c r="EXY2" s="18"/>
      <c r="EXZ2" s="18"/>
      <c r="EYA2" s="18"/>
      <c r="EYB2" s="18"/>
      <c r="EYC2" s="18"/>
      <c r="EYD2" s="18"/>
      <c r="EYE2" s="18"/>
      <c r="EYF2" s="18"/>
      <c r="EYG2" s="18"/>
      <c r="EYH2" s="18"/>
      <c r="EYI2" s="18"/>
      <c r="EYJ2" s="18"/>
      <c r="EYK2" s="18"/>
      <c r="EYL2" s="18"/>
      <c r="EYM2" s="18"/>
      <c r="EYN2" s="18"/>
      <c r="EYO2" s="18"/>
      <c r="EYP2" s="18"/>
      <c r="EYQ2" s="18"/>
      <c r="EYR2" s="18"/>
      <c r="EYS2" s="18"/>
      <c r="EYT2" s="18"/>
      <c r="EYU2" s="18"/>
      <c r="EYV2" s="18"/>
      <c r="EYW2" s="18"/>
      <c r="EYX2" s="18"/>
      <c r="EYY2" s="18"/>
      <c r="EYZ2" s="18"/>
      <c r="EZA2" s="18"/>
      <c r="EZB2" s="18"/>
      <c r="EZC2" s="18"/>
      <c r="EZD2" s="18"/>
      <c r="EZE2" s="18"/>
      <c r="EZF2" s="18"/>
      <c r="EZG2" s="18"/>
      <c r="EZH2" s="18"/>
      <c r="EZI2" s="18"/>
      <c r="EZJ2" s="18"/>
      <c r="EZK2" s="18"/>
      <c r="EZL2" s="18"/>
      <c r="EZM2" s="18"/>
      <c r="EZN2" s="18"/>
      <c r="EZO2" s="18"/>
      <c r="EZP2" s="18"/>
      <c r="EZQ2" s="18"/>
      <c r="EZR2" s="18"/>
      <c r="EZS2" s="18"/>
      <c r="EZT2" s="18"/>
      <c r="EZU2" s="18"/>
      <c r="EZV2" s="18"/>
      <c r="EZW2" s="18"/>
      <c r="EZX2" s="18"/>
      <c r="EZY2" s="18"/>
      <c r="EZZ2" s="18"/>
      <c r="FAA2" s="18"/>
      <c r="FAB2" s="18"/>
      <c r="FAC2" s="18"/>
      <c r="FAD2" s="18"/>
      <c r="FAE2" s="18"/>
      <c r="FAF2" s="18"/>
      <c r="FAG2" s="18"/>
      <c r="FAH2" s="18"/>
      <c r="FAI2" s="18"/>
      <c r="FAJ2" s="18"/>
      <c r="FAK2" s="18"/>
      <c r="FAL2" s="18"/>
      <c r="FAM2" s="18"/>
      <c r="FAN2" s="18"/>
      <c r="FAO2" s="18"/>
      <c r="FAP2" s="18"/>
      <c r="FAQ2" s="18"/>
      <c r="FAR2" s="18"/>
      <c r="FAS2" s="18"/>
      <c r="FAT2" s="18"/>
      <c r="FAU2" s="18"/>
      <c r="FAV2" s="18"/>
      <c r="FAW2" s="18"/>
      <c r="FAX2" s="18"/>
      <c r="FAY2" s="18"/>
      <c r="FAZ2" s="18"/>
      <c r="FBA2" s="18"/>
      <c r="FBB2" s="18"/>
      <c r="FBC2" s="18"/>
      <c r="FBD2" s="18"/>
      <c r="FBE2" s="18"/>
      <c r="FBF2" s="18"/>
      <c r="FBG2" s="18"/>
      <c r="FBH2" s="18"/>
      <c r="FBI2" s="18"/>
      <c r="FBJ2" s="18"/>
      <c r="FBK2" s="18"/>
      <c r="FBL2" s="18"/>
      <c r="FBM2" s="18"/>
      <c r="FBN2" s="18"/>
      <c r="FBO2" s="18"/>
      <c r="FBP2" s="18"/>
      <c r="FBQ2" s="18"/>
      <c r="FBR2" s="18"/>
      <c r="FBS2" s="18"/>
      <c r="FBT2" s="18"/>
      <c r="FBU2" s="18"/>
      <c r="FBV2" s="18"/>
      <c r="FBW2" s="18"/>
      <c r="FBX2" s="18"/>
      <c r="FBY2" s="18"/>
      <c r="FBZ2" s="18"/>
      <c r="FCA2" s="18"/>
      <c r="FCB2" s="18"/>
      <c r="FCC2" s="18"/>
      <c r="FCD2" s="18"/>
      <c r="FCE2" s="18"/>
      <c r="FCF2" s="18"/>
      <c r="FCG2" s="18"/>
      <c r="FCH2" s="18"/>
      <c r="FCI2" s="18"/>
      <c r="FCJ2" s="18"/>
      <c r="FCK2" s="18"/>
      <c r="FCL2" s="18"/>
      <c r="FCM2" s="18"/>
      <c r="FCN2" s="18"/>
      <c r="FCO2" s="18"/>
      <c r="FCP2" s="18"/>
      <c r="FCQ2" s="18"/>
      <c r="FCR2" s="18"/>
      <c r="FCS2" s="18"/>
      <c r="FCT2" s="18"/>
      <c r="FCU2" s="18"/>
      <c r="FCV2" s="18"/>
      <c r="FCW2" s="18"/>
      <c r="FCX2" s="18"/>
      <c r="FCY2" s="18"/>
      <c r="FCZ2" s="18"/>
      <c r="FDA2" s="18"/>
      <c r="FDB2" s="18"/>
      <c r="FDC2" s="18"/>
      <c r="FDD2" s="18"/>
      <c r="FDE2" s="18"/>
      <c r="FDF2" s="18"/>
      <c r="FDG2" s="18"/>
      <c r="FDH2" s="18"/>
      <c r="FDI2" s="18"/>
      <c r="FDJ2" s="18"/>
      <c r="FDK2" s="18"/>
      <c r="FDL2" s="18"/>
      <c r="FDM2" s="18"/>
      <c r="FDN2" s="18"/>
      <c r="FDO2" s="18"/>
      <c r="FDP2" s="18"/>
      <c r="FDQ2" s="18"/>
      <c r="FDR2" s="18"/>
      <c r="FDS2" s="18"/>
      <c r="FDT2" s="18"/>
      <c r="FDU2" s="18"/>
      <c r="FDV2" s="18"/>
      <c r="FDW2" s="18"/>
      <c r="FDX2" s="18"/>
      <c r="FDY2" s="18"/>
      <c r="FDZ2" s="18"/>
      <c r="FEA2" s="18"/>
      <c r="FEB2" s="18"/>
      <c r="FEC2" s="18"/>
      <c r="FED2" s="18"/>
      <c r="FEE2" s="18"/>
      <c r="FEF2" s="18"/>
      <c r="FEG2" s="18"/>
      <c r="FEH2" s="18"/>
      <c r="FEI2" s="18"/>
      <c r="FEJ2" s="18"/>
      <c r="FEK2" s="18"/>
      <c r="FEL2" s="18"/>
      <c r="FEM2" s="18"/>
      <c r="FEN2" s="18"/>
      <c r="FEO2" s="18"/>
      <c r="FEP2" s="18"/>
      <c r="FEQ2" s="18"/>
      <c r="FER2" s="18"/>
      <c r="FES2" s="18"/>
      <c r="FET2" s="18"/>
      <c r="FEU2" s="18"/>
      <c r="FEV2" s="18"/>
      <c r="FEW2" s="18"/>
      <c r="FEX2" s="18"/>
      <c r="FEY2" s="18"/>
      <c r="FEZ2" s="18"/>
      <c r="FFA2" s="18"/>
      <c r="FFB2" s="18"/>
      <c r="FFC2" s="18"/>
      <c r="FFD2" s="18"/>
      <c r="FFE2" s="18"/>
      <c r="FFF2" s="18"/>
      <c r="FFG2" s="18"/>
      <c r="FFH2" s="18"/>
      <c r="FFI2" s="18"/>
      <c r="FFJ2" s="18"/>
      <c r="FFK2" s="18"/>
      <c r="FFL2" s="18"/>
      <c r="FFM2" s="18"/>
      <c r="FFN2" s="18"/>
      <c r="FFO2" s="18"/>
      <c r="FFP2" s="18"/>
      <c r="FFQ2" s="18"/>
      <c r="FFR2" s="18"/>
      <c r="FFS2" s="18"/>
      <c r="FFT2" s="18"/>
      <c r="FFU2" s="18"/>
      <c r="FFV2" s="18"/>
      <c r="FFW2" s="18"/>
      <c r="FFX2" s="18"/>
      <c r="FFY2" s="18"/>
      <c r="FFZ2" s="18"/>
      <c r="FGA2" s="18"/>
      <c r="FGB2" s="18"/>
      <c r="FGC2" s="18"/>
      <c r="FGD2" s="18"/>
      <c r="FGE2" s="18"/>
      <c r="FGF2" s="18"/>
      <c r="FGG2" s="18"/>
      <c r="FGH2" s="18"/>
      <c r="FGI2" s="18"/>
      <c r="FGJ2" s="18"/>
      <c r="FGK2" s="18"/>
      <c r="FGL2" s="18"/>
      <c r="FGM2" s="18"/>
      <c r="FGN2" s="18"/>
      <c r="FGO2" s="18"/>
      <c r="FGP2" s="18"/>
      <c r="FGQ2" s="18"/>
      <c r="FGR2" s="18"/>
      <c r="FGS2" s="18"/>
      <c r="FGT2" s="18"/>
      <c r="FGU2" s="18"/>
      <c r="FGV2" s="18"/>
      <c r="FGW2" s="18"/>
      <c r="FGX2" s="18"/>
      <c r="FGY2" s="18"/>
      <c r="FGZ2" s="18"/>
      <c r="FHA2" s="18"/>
      <c r="FHB2" s="18"/>
      <c r="FHC2" s="18"/>
      <c r="FHD2" s="18"/>
      <c r="FHE2" s="18"/>
      <c r="FHF2" s="18"/>
      <c r="FHG2" s="18"/>
      <c r="FHH2" s="18"/>
      <c r="FHI2" s="18"/>
      <c r="FHJ2" s="18"/>
      <c r="FHK2" s="18"/>
      <c r="FHL2" s="18"/>
      <c r="FHM2" s="18"/>
      <c r="FHN2" s="18"/>
      <c r="FHO2" s="18"/>
      <c r="FHP2" s="18"/>
      <c r="FHQ2" s="18"/>
      <c r="FHR2" s="18"/>
      <c r="FHS2" s="18"/>
      <c r="FHT2" s="18"/>
      <c r="FHU2" s="18"/>
      <c r="FHV2" s="18"/>
      <c r="FHW2" s="18"/>
      <c r="FHX2" s="18"/>
      <c r="FHY2" s="18"/>
      <c r="FHZ2" s="18"/>
      <c r="FIA2" s="18"/>
      <c r="FIB2" s="18"/>
      <c r="FIC2" s="18"/>
      <c r="FID2" s="18"/>
      <c r="FIE2" s="18"/>
      <c r="FIF2" s="18"/>
      <c r="FIG2" s="18"/>
      <c r="FIH2" s="18"/>
      <c r="FII2" s="18"/>
      <c r="FIJ2" s="18"/>
      <c r="FIK2" s="18"/>
      <c r="FIL2" s="18"/>
      <c r="FIM2" s="18"/>
      <c r="FIN2" s="18"/>
      <c r="FIO2" s="18"/>
      <c r="FIP2" s="18"/>
      <c r="FIQ2" s="18"/>
      <c r="FIR2" s="18"/>
      <c r="FIS2" s="18"/>
      <c r="FIT2" s="18"/>
      <c r="FIU2" s="18"/>
      <c r="FIV2" s="18"/>
      <c r="FIW2" s="18"/>
      <c r="FIX2" s="18"/>
      <c r="FIY2" s="18"/>
      <c r="FIZ2" s="18"/>
      <c r="FJA2" s="18"/>
      <c r="FJB2" s="18"/>
      <c r="FJC2" s="18"/>
      <c r="FJD2" s="18"/>
      <c r="FJE2" s="18"/>
      <c r="FJF2" s="18"/>
      <c r="FJG2" s="18"/>
      <c r="FJH2" s="18"/>
      <c r="FJI2" s="18"/>
      <c r="FJJ2" s="18"/>
      <c r="FJK2" s="18"/>
      <c r="FJL2" s="18"/>
      <c r="FJM2" s="18"/>
      <c r="FJN2" s="18"/>
      <c r="FJO2" s="18"/>
      <c r="FJP2" s="18"/>
      <c r="FJQ2" s="18"/>
      <c r="FJR2" s="18"/>
      <c r="FJS2" s="18"/>
      <c r="FJT2" s="18"/>
      <c r="FJU2" s="18"/>
      <c r="FJV2" s="18"/>
      <c r="FJW2" s="18"/>
      <c r="FJX2" s="18"/>
      <c r="FJY2" s="18"/>
      <c r="FJZ2" s="18"/>
      <c r="FKA2" s="18"/>
      <c r="FKB2" s="18"/>
      <c r="FKC2" s="18"/>
      <c r="FKD2" s="18"/>
      <c r="FKE2" s="18"/>
      <c r="FKF2" s="18"/>
      <c r="FKG2" s="18"/>
      <c r="FKH2" s="18"/>
      <c r="FKI2" s="18"/>
      <c r="FKJ2" s="18"/>
      <c r="FKK2" s="18"/>
      <c r="FKL2" s="18"/>
      <c r="FKM2" s="18"/>
      <c r="FKN2" s="18"/>
      <c r="FKO2" s="18"/>
      <c r="FKP2" s="18"/>
      <c r="FKQ2" s="18"/>
      <c r="FKR2" s="18"/>
      <c r="FKS2" s="18"/>
      <c r="FKT2" s="18"/>
      <c r="FKU2" s="18"/>
      <c r="FKV2" s="18"/>
      <c r="FKW2" s="18"/>
      <c r="FKX2" s="18"/>
      <c r="FKY2" s="18"/>
      <c r="FKZ2" s="18"/>
      <c r="FLA2" s="18"/>
      <c r="FLB2" s="18"/>
      <c r="FLC2" s="18"/>
      <c r="FLD2" s="18"/>
      <c r="FLE2" s="18"/>
      <c r="FLF2" s="18"/>
      <c r="FLG2" s="18"/>
      <c r="FLH2" s="18"/>
      <c r="FLI2" s="18"/>
      <c r="FLJ2" s="18"/>
      <c r="FLK2" s="18"/>
      <c r="FLL2" s="18"/>
      <c r="FLM2" s="18"/>
      <c r="FLN2" s="18"/>
      <c r="FLO2" s="18"/>
      <c r="FLP2" s="18"/>
      <c r="FLQ2" s="18"/>
      <c r="FLR2" s="18"/>
      <c r="FLS2" s="18"/>
      <c r="FLT2" s="18"/>
      <c r="FLU2" s="18"/>
      <c r="FLV2" s="18"/>
      <c r="FLW2" s="18"/>
      <c r="FLX2" s="18"/>
      <c r="FLY2" s="18"/>
      <c r="FLZ2" s="18"/>
      <c r="FMA2" s="18"/>
      <c r="FMB2" s="18"/>
      <c r="FMC2" s="18"/>
      <c r="FMD2" s="18"/>
      <c r="FME2" s="18"/>
      <c r="FMF2" s="18"/>
      <c r="FMG2" s="18"/>
      <c r="FMH2" s="18"/>
      <c r="FMI2" s="18"/>
      <c r="FMJ2" s="18"/>
      <c r="FMK2" s="18"/>
      <c r="FML2" s="18"/>
      <c r="FMM2" s="18"/>
      <c r="FMN2" s="18"/>
      <c r="FMO2" s="18"/>
      <c r="FMP2" s="18"/>
      <c r="FMQ2" s="18"/>
      <c r="FMR2" s="18"/>
      <c r="FMS2" s="18"/>
      <c r="FMT2" s="18"/>
      <c r="FMU2" s="18"/>
      <c r="FMV2" s="18"/>
      <c r="FMW2" s="18"/>
      <c r="FMX2" s="18"/>
      <c r="FMY2" s="18"/>
      <c r="FMZ2" s="18"/>
      <c r="FNA2" s="18"/>
      <c r="FNB2" s="18"/>
      <c r="FNC2" s="18"/>
      <c r="FND2" s="18"/>
      <c r="FNE2" s="18"/>
      <c r="FNF2" s="18"/>
      <c r="FNG2" s="18"/>
      <c r="FNH2" s="18"/>
      <c r="FNI2" s="18"/>
      <c r="FNJ2" s="18"/>
      <c r="FNK2" s="18"/>
      <c r="FNL2" s="18"/>
      <c r="FNM2" s="18"/>
      <c r="FNN2" s="18"/>
      <c r="FNO2" s="18"/>
      <c r="FNP2" s="18"/>
      <c r="FNQ2" s="18"/>
      <c r="FNR2" s="18"/>
      <c r="FNS2" s="18"/>
      <c r="FNT2" s="18"/>
      <c r="FNU2" s="18"/>
      <c r="FNV2" s="18"/>
      <c r="FNW2" s="18"/>
      <c r="FNX2" s="18"/>
      <c r="FNY2" s="18"/>
      <c r="FNZ2" s="18"/>
      <c r="FOA2" s="18"/>
      <c r="FOB2" s="18"/>
      <c r="FOC2" s="18"/>
      <c r="FOD2" s="18"/>
      <c r="FOE2" s="18"/>
      <c r="FOF2" s="18"/>
      <c r="FOG2" s="18"/>
      <c r="FOH2" s="18"/>
      <c r="FOI2" s="18"/>
      <c r="FOJ2" s="18"/>
      <c r="FOK2" s="18"/>
      <c r="FOL2" s="18"/>
      <c r="FOM2" s="18"/>
      <c r="FON2" s="18"/>
      <c r="FOO2" s="18"/>
      <c r="FOP2" s="18"/>
      <c r="FOQ2" s="18"/>
      <c r="FOR2" s="18"/>
      <c r="FOS2" s="18"/>
      <c r="FOT2" s="18"/>
      <c r="FOU2" s="18"/>
      <c r="FOV2" s="18"/>
      <c r="FOW2" s="18"/>
      <c r="FOX2" s="18"/>
      <c r="FOY2" s="18"/>
      <c r="FOZ2" s="18"/>
      <c r="FPA2" s="18"/>
      <c r="FPB2" s="18"/>
      <c r="FPC2" s="18"/>
      <c r="FPD2" s="18"/>
      <c r="FPE2" s="18"/>
      <c r="FPF2" s="18"/>
      <c r="FPG2" s="18"/>
      <c r="FPH2" s="18"/>
      <c r="FPI2" s="18"/>
      <c r="FPJ2" s="18"/>
      <c r="FPK2" s="18"/>
      <c r="FPL2" s="18"/>
      <c r="FPM2" s="18"/>
      <c r="FPN2" s="18"/>
      <c r="FPO2" s="18"/>
      <c r="FPP2" s="18"/>
      <c r="FPQ2" s="18"/>
      <c r="FPR2" s="18"/>
      <c r="FPS2" s="18"/>
      <c r="FPT2" s="18"/>
      <c r="FPU2" s="18"/>
      <c r="FPV2" s="18"/>
      <c r="FPW2" s="18"/>
      <c r="FPX2" s="18"/>
      <c r="FPY2" s="18"/>
      <c r="FPZ2" s="18"/>
      <c r="FQA2" s="18"/>
      <c r="FQB2" s="18"/>
      <c r="FQC2" s="18"/>
      <c r="FQD2" s="18"/>
      <c r="FQE2" s="18"/>
      <c r="FQF2" s="18"/>
      <c r="FQG2" s="18"/>
      <c r="FQH2" s="18"/>
      <c r="FQI2" s="18"/>
      <c r="FQJ2" s="18"/>
      <c r="FQK2" s="18"/>
      <c r="FQL2" s="18"/>
      <c r="FQM2" s="18"/>
      <c r="FQN2" s="18"/>
      <c r="FQO2" s="18"/>
      <c r="FQP2" s="18"/>
      <c r="FQQ2" s="18"/>
      <c r="FQR2" s="18"/>
      <c r="FQS2" s="18"/>
      <c r="FQT2" s="18"/>
      <c r="FQU2" s="18"/>
      <c r="FQV2" s="18"/>
      <c r="FQW2" s="18"/>
      <c r="FQX2" s="18"/>
      <c r="FQY2" s="18"/>
      <c r="FQZ2" s="18"/>
      <c r="FRA2" s="18"/>
      <c r="FRB2" s="18"/>
      <c r="FRC2" s="18"/>
      <c r="FRD2" s="18"/>
      <c r="FRE2" s="18"/>
      <c r="FRF2" s="18"/>
      <c r="FRG2" s="18"/>
      <c r="FRH2" s="18"/>
      <c r="FRI2" s="18"/>
      <c r="FRJ2" s="18"/>
      <c r="FRK2" s="18"/>
      <c r="FRL2" s="18"/>
      <c r="FRM2" s="18"/>
      <c r="FRN2" s="18"/>
      <c r="FRO2" s="18"/>
      <c r="FRP2" s="18"/>
      <c r="FRQ2" s="18"/>
      <c r="FRR2" s="18"/>
      <c r="FRS2" s="18"/>
      <c r="FRT2" s="18"/>
      <c r="FRU2" s="18"/>
      <c r="FRV2" s="18"/>
      <c r="FRW2" s="18"/>
      <c r="FRX2" s="18"/>
      <c r="FRY2" s="18"/>
      <c r="FRZ2" s="18"/>
      <c r="FSA2" s="18"/>
      <c r="FSB2" s="18"/>
      <c r="FSC2" s="18"/>
      <c r="FSD2" s="18"/>
      <c r="FSE2" s="18"/>
      <c r="FSF2" s="18"/>
      <c r="FSG2" s="18"/>
      <c r="FSH2" s="18"/>
      <c r="FSI2" s="18"/>
      <c r="FSJ2" s="18"/>
      <c r="FSK2" s="18"/>
      <c r="FSL2" s="18"/>
      <c r="FSM2" s="18"/>
      <c r="FSN2" s="18"/>
      <c r="FSO2" s="18"/>
      <c r="FSP2" s="18"/>
      <c r="FSQ2" s="18"/>
      <c r="FSR2" s="18"/>
      <c r="FSS2" s="18"/>
      <c r="FST2" s="18"/>
      <c r="FSU2" s="18"/>
      <c r="FSV2" s="18"/>
      <c r="FSW2" s="18"/>
      <c r="FSX2" s="18"/>
      <c r="FSY2" s="18"/>
      <c r="FSZ2" s="18"/>
      <c r="FTA2" s="18"/>
      <c r="FTB2" s="18"/>
      <c r="FTC2" s="18"/>
      <c r="FTD2" s="18"/>
      <c r="FTE2" s="18"/>
      <c r="FTF2" s="18"/>
      <c r="FTG2" s="18"/>
      <c r="FTH2" s="18"/>
      <c r="FTI2" s="18"/>
      <c r="FTJ2" s="18"/>
      <c r="FTK2" s="18"/>
      <c r="FTL2" s="18"/>
      <c r="FTM2" s="18"/>
      <c r="FTN2" s="18"/>
      <c r="FTO2" s="18"/>
      <c r="FTP2" s="18"/>
      <c r="FTQ2" s="18"/>
      <c r="FTR2" s="18"/>
      <c r="FTS2" s="18"/>
      <c r="FTT2" s="18"/>
      <c r="FTU2" s="18"/>
      <c r="FTV2" s="18"/>
      <c r="FTW2" s="18"/>
      <c r="FTX2" s="18"/>
      <c r="FTY2" s="18"/>
      <c r="FTZ2" s="18"/>
      <c r="FUA2" s="18"/>
      <c r="FUB2" s="18"/>
      <c r="FUC2" s="18"/>
      <c r="FUD2" s="18"/>
      <c r="FUE2" s="18"/>
      <c r="FUF2" s="18"/>
      <c r="FUG2" s="18"/>
      <c r="FUH2" s="18"/>
      <c r="FUI2" s="18"/>
      <c r="FUJ2" s="18"/>
      <c r="FUK2" s="18"/>
      <c r="FUL2" s="18"/>
      <c r="FUM2" s="18"/>
      <c r="FUN2" s="18"/>
      <c r="FUO2" s="18"/>
      <c r="FUP2" s="18"/>
      <c r="FUQ2" s="18"/>
      <c r="FUR2" s="18"/>
      <c r="FUS2" s="18"/>
      <c r="FUT2" s="18"/>
      <c r="FUU2" s="18"/>
      <c r="FUV2" s="18"/>
      <c r="FUW2" s="18"/>
      <c r="FUX2" s="18"/>
      <c r="FUY2" s="18"/>
      <c r="FUZ2" s="18"/>
      <c r="FVA2" s="18"/>
      <c r="FVB2" s="18"/>
      <c r="FVC2" s="18"/>
      <c r="FVD2" s="18"/>
      <c r="FVE2" s="18"/>
      <c r="FVF2" s="18"/>
      <c r="FVG2" s="18"/>
      <c r="FVH2" s="18"/>
      <c r="FVI2" s="18"/>
      <c r="FVJ2" s="18"/>
      <c r="FVK2" s="18"/>
      <c r="FVL2" s="18"/>
      <c r="FVM2" s="18"/>
      <c r="FVN2" s="18"/>
      <c r="FVO2" s="18"/>
      <c r="FVP2" s="18"/>
      <c r="FVQ2" s="18"/>
      <c r="FVR2" s="18"/>
      <c r="FVS2" s="18"/>
      <c r="FVT2" s="18"/>
      <c r="FVU2" s="18"/>
      <c r="FVV2" s="18"/>
      <c r="FVW2" s="18"/>
      <c r="FVX2" s="18"/>
      <c r="FVY2" s="18"/>
      <c r="FVZ2" s="18"/>
      <c r="FWA2" s="18"/>
      <c r="FWB2" s="18"/>
      <c r="FWC2" s="18"/>
      <c r="FWD2" s="18"/>
      <c r="FWE2" s="18"/>
      <c r="FWF2" s="18"/>
      <c r="FWG2" s="18"/>
      <c r="FWH2" s="18"/>
      <c r="FWI2" s="18"/>
      <c r="FWJ2" s="18"/>
      <c r="FWK2" s="18"/>
      <c r="FWL2" s="18"/>
      <c r="FWM2" s="18"/>
      <c r="FWN2" s="18"/>
      <c r="FWO2" s="18"/>
      <c r="FWP2" s="18"/>
      <c r="FWQ2" s="18"/>
      <c r="FWR2" s="18"/>
      <c r="FWS2" s="18"/>
      <c r="FWT2" s="18"/>
      <c r="FWU2" s="18"/>
      <c r="FWV2" s="18"/>
      <c r="FWW2" s="18"/>
      <c r="FWX2" s="18"/>
      <c r="FWY2" s="18"/>
      <c r="FWZ2" s="18"/>
      <c r="FXA2" s="18"/>
      <c r="FXB2" s="18"/>
      <c r="FXC2" s="18"/>
      <c r="FXD2" s="18"/>
      <c r="FXE2" s="18"/>
      <c r="FXF2" s="18"/>
      <c r="FXG2" s="18"/>
      <c r="FXH2" s="18"/>
      <c r="FXI2" s="18"/>
      <c r="FXJ2" s="18"/>
      <c r="FXK2" s="18"/>
      <c r="FXL2" s="18"/>
      <c r="FXM2" s="18"/>
      <c r="FXN2" s="18"/>
      <c r="FXO2" s="18"/>
      <c r="FXP2" s="18"/>
      <c r="FXQ2" s="18"/>
      <c r="FXR2" s="18"/>
      <c r="FXS2" s="18"/>
      <c r="FXT2" s="18"/>
      <c r="FXU2" s="18"/>
      <c r="FXV2" s="18"/>
      <c r="FXW2" s="18"/>
      <c r="FXX2" s="18"/>
      <c r="FXY2" s="18"/>
      <c r="FXZ2" s="18"/>
      <c r="FYA2" s="18"/>
      <c r="FYB2" s="18"/>
      <c r="FYC2" s="18"/>
      <c r="FYD2" s="18"/>
      <c r="FYE2" s="18"/>
      <c r="FYF2" s="18"/>
      <c r="FYG2" s="18"/>
      <c r="FYH2" s="18"/>
      <c r="FYI2" s="18"/>
      <c r="FYJ2" s="18"/>
      <c r="FYK2" s="18"/>
      <c r="FYL2" s="18"/>
      <c r="FYM2" s="18"/>
      <c r="FYN2" s="18"/>
      <c r="FYO2" s="18"/>
      <c r="FYP2" s="18"/>
      <c r="FYQ2" s="18"/>
      <c r="FYR2" s="18"/>
      <c r="FYS2" s="18"/>
      <c r="FYT2" s="18"/>
      <c r="FYU2" s="18"/>
      <c r="FYV2" s="18"/>
      <c r="FYW2" s="18"/>
      <c r="FYX2" s="18"/>
      <c r="FYY2" s="18"/>
      <c r="FYZ2" s="18"/>
      <c r="FZA2" s="18"/>
      <c r="FZB2" s="18"/>
      <c r="FZC2" s="18"/>
      <c r="FZD2" s="18"/>
      <c r="FZE2" s="18"/>
      <c r="FZF2" s="18"/>
      <c r="FZG2" s="18"/>
      <c r="FZH2" s="18"/>
      <c r="FZI2" s="18"/>
      <c r="FZJ2" s="18"/>
      <c r="FZK2" s="18"/>
      <c r="FZL2" s="18"/>
      <c r="FZM2" s="18"/>
      <c r="FZN2" s="18"/>
      <c r="FZO2" s="18"/>
      <c r="FZP2" s="18"/>
      <c r="FZQ2" s="18"/>
      <c r="FZR2" s="18"/>
      <c r="FZS2" s="18"/>
      <c r="FZT2" s="18"/>
      <c r="FZU2" s="18"/>
      <c r="FZV2" s="18"/>
      <c r="FZW2" s="18"/>
      <c r="FZX2" s="18"/>
      <c r="FZY2" s="18"/>
      <c r="FZZ2" s="18"/>
      <c r="GAA2" s="18"/>
      <c r="GAB2" s="18"/>
      <c r="GAC2" s="18"/>
      <c r="GAD2" s="18"/>
      <c r="GAE2" s="18"/>
      <c r="GAF2" s="18"/>
      <c r="GAG2" s="18"/>
      <c r="GAH2" s="18"/>
      <c r="GAI2" s="18"/>
      <c r="GAJ2" s="18"/>
      <c r="GAK2" s="18"/>
      <c r="GAL2" s="18"/>
      <c r="GAM2" s="18"/>
      <c r="GAN2" s="18"/>
      <c r="GAO2" s="18"/>
      <c r="GAP2" s="18"/>
      <c r="GAQ2" s="18"/>
      <c r="GAR2" s="18"/>
      <c r="GAS2" s="18"/>
      <c r="GAT2" s="18"/>
      <c r="GAU2" s="18"/>
      <c r="GAV2" s="18"/>
      <c r="GAW2" s="18"/>
      <c r="GAX2" s="18"/>
      <c r="GAY2" s="18"/>
      <c r="GAZ2" s="18"/>
      <c r="GBA2" s="18"/>
      <c r="GBB2" s="18"/>
      <c r="GBC2" s="18"/>
      <c r="GBD2" s="18"/>
      <c r="GBE2" s="18"/>
      <c r="GBF2" s="18"/>
      <c r="GBG2" s="18"/>
      <c r="GBH2" s="18"/>
      <c r="GBI2" s="18"/>
      <c r="GBJ2" s="18"/>
      <c r="GBK2" s="18"/>
      <c r="GBL2" s="18"/>
      <c r="GBM2" s="18"/>
      <c r="GBN2" s="18"/>
      <c r="GBO2" s="18"/>
      <c r="GBP2" s="18"/>
      <c r="GBQ2" s="18"/>
      <c r="GBR2" s="18"/>
      <c r="GBS2" s="18"/>
      <c r="GBT2" s="18"/>
      <c r="GBU2" s="18"/>
      <c r="GBV2" s="18"/>
      <c r="GBW2" s="18"/>
      <c r="GBX2" s="18"/>
      <c r="GBY2" s="18"/>
      <c r="GBZ2" s="18"/>
      <c r="GCA2" s="18"/>
      <c r="GCB2" s="18"/>
      <c r="GCC2" s="18"/>
      <c r="GCD2" s="18"/>
      <c r="GCE2" s="18"/>
      <c r="GCF2" s="18"/>
      <c r="GCG2" s="18"/>
      <c r="GCH2" s="18"/>
      <c r="GCI2" s="18"/>
      <c r="GCJ2" s="18"/>
      <c r="GCK2" s="18"/>
      <c r="GCL2" s="18"/>
      <c r="GCM2" s="18"/>
      <c r="GCN2" s="18"/>
      <c r="GCO2" s="18"/>
      <c r="GCP2" s="18"/>
      <c r="GCQ2" s="18"/>
      <c r="GCR2" s="18"/>
      <c r="GCS2" s="18"/>
      <c r="GCT2" s="18"/>
      <c r="GCU2" s="18"/>
      <c r="GCV2" s="18"/>
      <c r="GCW2" s="18"/>
      <c r="GCX2" s="18"/>
      <c r="GCY2" s="18"/>
      <c r="GCZ2" s="18"/>
      <c r="GDA2" s="18"/>
      <c r="GDB2" s="18"/>
      <c r="GDC2" s="18"/>
      <c r="GDD2" s="18"/>
      <c r="GDE2" s="18"/>
      <c r="GDF2" s="18"/>
      <c r="GDG2" s="18"/>
      <c r="GDH2" s="18"/>
      <c r="GDI2" s="18"/>
      <c r="GDJ2" s="18"/>
      <c r="GDK2" s="18"/>
      <c r="GDL2" s="18"/>
      <c r="GDM2" s="18"/>
      <c r="GDN2" s="18"/>
      <c r="GDO2" s="18"/>
      <c r="GDP2" s="18"/>
      <c r="GDQ2" s="18"/>
      <c r="GDR2" s="18"/>
      <c r="GDS2" s="18"/>
      <c r="GDT2" s="18"/>
      <c r="GDU2" s="18"/>
      <c r="GDV2" s="18"/>
      <c r="GDW2" s="18"/>
      <c r="GDX2" s="18"/>
      <c r="GDY2" s="18"/>
      <c r="GDZ2" s="18"/>
      <c r="GEA2" s="18"/>
      <c r="GEB2" s="18"/>
      <c r="GEC2" s="18"/>
      <c r="GED2" s="18"/>
      <c r="GEE2" s="18"/>
      <c r="GEF2" s="18"/>
      <c r="GEG2" s="18"/>
      <c r="GEH2" s="18"/>
      <c r="GEI2" s="18"/>
      <c r="GEJ2" s="18"/>
      <c r="GEK2" s="18"/>
      <c r="GEL2" s="18"/>
      <c r="GEM2" s="18"/>
      <c r="GEN2" s="18"/>
      <c r="GEO2" s="18"/>
      <c r="GEP2" s="18"/>
      <c r="GEQ2" s="18"/>
      <c r="GER2" s="18"/>
      <c r="GES2" s="18"/>
      <c r="GET2" s="18"/>
      <c r="GEU2" s="18"/>
      <c r="GEV2" s="18"/>
      <c r="GEW2" s="18"/>
      <c r="GEX2" s="18"/>
      <c r="GEY2" s="18"/>
      <c r="GEZ2" s="18"/>
      <c r="GFA2" s="18"/>
      <c r="GFB2" s="18"/>
      <c r="GFC2" s="18"/>
      <c r="GFD2" s="18"/>
      <c r="GFE2" s="18"/>
      <c r="GFF2" s="18"/>
      <c r="GFG2" s="18"/>
      <c r="GFH2" s="18"/>
      <c r="GFI2" s="18"/>
      <c r="GFJ2" s="18"/>
      <c r="GFK2" s="18"/>
      <c r="GFL2" s="18"/>
      <c r="GFM2" s="18"/>
      <c r="GFN2" s="18"/>
      <c r="GFO2" s="18"/>
      <c r="GFP2" s="18"/>
      <c r="GFQ2" s="18"/>
      <c r="GFR2" s="18"/>
      <c r="GFS2" s="18"/>
      <c r="GFT2" s="18"/>
      <c r="GFU2" s="18"/>
      <c r="GFV2" s="18"/>
      <c r="GFW2" s="18"/>
      <c r="GFX2" s="18"/>
      <c r="GFY2" s="18"/>
      <c r="GFZ2" s="18"/>
      <c r="GGA2" s="18"/>
      <c r="GGB2" s="18"/>
      <c r="GGC2" s="18"/>
      <c r="GGD2" s="18"/>
      <c r="GGE2" s="18"/>
      <c r="GGF2" s="18"/>
      <c r="GGG2" s="18"/>
      <c r="GGH2" s="18"/>
      <c r="GGI2" s="18"/>
      <c r="GGJ2" s="18"/>
      <c r="GGK2" s="18"/>
      <c r="GGL2" s="18"/>
      <c r="GGM2" s="18"/>
      <c r="GGN2" s="18"/>
      <c r="GGO2" s="18"/>
      <c r="GGP2" s="18"/>
      <c r="GGQ2" s="18"/>
      <c r="GGR2" s="18"/>
      <c r="GGS2" s="18"/>
      <c r="GGT2" s="18"/>
      <c r="GGU2" s="18"/>
      <c r="GGV2" s="18"/>
      <c r="GGW2" s="18"/>
      <c r="GGX2" s="18"/>
      <c r="GGY2" s="18"/>
      <c r="GGZ2" s="18"/>
      <c r="GHA2" s="18"/>
      <c r="GHB2" s="18"/>
      <c r="GHC2" s="18"/>
      <c r="GHD2" s="18"/>
      <c r="GHE2" s="18"/>
      <c r="GHF2" s="18"/>
      <c r="GHG2" s="18"/>
      <c r="GHH2" s="18"/>
      <c r="GHI2" s="18"/>
      <c r="GHJ2" s="18"/>
      <c r="GHK2" s="18"/>
      <c r="GHL2" s="18"/>
      <c r="GHM2" s="18"/>
      <c r="GHN2" s="18"/>
      <c r="GHO2" s="18"/>
      <c r="GHP2" s="18"/>
      <c r="GHQ2" s="18"/>
      <c r="GHR2" s="18"/>
      <c r="GHS2" s="18"/>
      <c r="GHT2" s="18"/>
      <c r="GHU2" s="18"/>
      <c r="GHV2" s="18"/>
      <c r="GHW2" s="18"/>
      <c r="GHX2" s="18"/>
      <c r="GHY2" s="18"/>
      <c r="GHZ2" s="18"/>
      <c r="GIA2" s="18"/>
      <c r="GIB2" s="18"/>
      <c r="GIC2" s="18"/>
      <c r="GID2" s="18"/>
      <c r="GIE2" s="18"/>
      <c r="GIF2" s="18"/>
      <c r="GIG2" s="18"/>
      <c r="GIH2" s="18"/>
      <c r="GII2" s="18"/>
      <c r="GIJ2" s="18"/>
      <c r="GIK2" s="18"/>
      <c r="GIL2" s="18"/>
      <c r="GIM2" s="18"/>
      <c r="GIN2" s="18"/>
      <c r="GIO2" s="18"/>
      <c r="GIP2" s="18"/>
      <c r="GIQ2" s="18"/>
      <c r="GIR2" s="18"/>
      <c r="GIS2" s="18"/>
      <c r="GIT2" s="18"/>
      <c r="GIU2" s="18"/>
      <c r="GIV2" s="18"/>
      <c r="GIW2" s="18"/>
      <c r="GIX2" s="18"/>
      <c r="GIY2" s="18"/>
      <c r="GIZ2" s="18"/>
      <c r="GJA2" s="18"/>
      <c r="GJB2" s="18"/>
      <c r="GJC2" s="18"/>
      <c r="GJD2" s="18"/>
      <c r="GJE2" s="18"/>
      <c r="GJF2" s="18"/>
      <c r="GJG2" s="18"/>
      <c r="GJH2" s="18"/>
      <c r="GJI2" s="18"/>
      <c r="GJJ2" s="18"/>
      <c r="GJK2" s="18"/>
      <c r="GJL2" s="18"/>
      <c r="GJM2" s="18"/>
      <c r="GJN2" s="18"/>
      <c r="GJO2" s="18"/>
      <c r="GJP2" s="18"/>
      <c r="GJQ2" s="18"/>
      <c r="GJR2" s="18"/>
      <c r="GJS2" s="18"/>
      <c r="GJT2" s="18"/>
      <c r="GJU2" s="18"/>
      <c r="GJV2" s="18"/>
      <c r="GJW2" s="18"/>
      <c r="GJX2" s="18"/>
      <c r="GJY2" s="18"/>
      <c r="GJZ2" s="18"/>
      <c r="GKA2" s="18"/>
      <c r="GKB2" s="18"/>
      <c r="GKC2" s="18"/>
      <c r="GKD2" s="18"/>
      <c r="GKE2" s="18"/>
      <c r="GKF2" s="18"/>
      <c r="GKG2" s="18"/>
      <c r="GKH2" s="18"/>
      <c r="GKI2" s="18"/>
      <c r="GKJ2" s="18"/>
      <c r="GKK2" s="18"/>
      <c r="GKL2" s="18"/>
      <c r="GKM2" s="18"/>
      <c r="GKN2" s="18"/>
      <c r="GKO2" s="18"/>
      <c r="GKP2" s="18"/>
      <c r="GKQ2" s="18"/>
      <c r="GKR2" s="18"/>
      <c r="GKS2" s="18"/>
      <c r="GKT2" s="18"/>
      <c r="GKU2" s="18"/>
      <c r="GKV2" s="18"/>
      <c r="GKW2" s="18"/>
      <c r="GKX2" s="18"/>
      <c r="GKY2" s="18"/>
      <c r="GKZ2" s="18"/>
      <c r="GLA2" s="18"/>
      <c r="GLB2" s="18"/>
      <c r="GLC2" s="18"/>
      <c r="GLD2" s="18"/>
      <c r="GLE2" s="18"/>
      <c r="GLF2" s="18"/>
      <c r="GLG2" s="18"/>
      <c r="GLH2" s="18"/>
      <c r="GLI2" s="18"/>
      <c r="GLJ2" s="18"/>
      <c r="GLK2" s="18"/>
      <c r="GLL2" s="18"/>
      <c r="GLM2" s="18"/>
      <c r="GLN2" s="18"/>
      <c r="GLO2" s="18"/>
      <c r="GLP2" s="18"/>
      <c r="GLQ2" s="18"/>
      <c r="GLR2" s="18"/>
      <c r="GLS2" s="18"/>
      <c r="GLT2" s="18"/>
      <c r="GLU2" s="18"/>
      <c r="GLV2" s="18"/>
      <c r="GLW2" s="18"/>
      <c r="GLX2" s="18"/>
      <c r="GLY2" s="18"/>
      <c r="GLZ2" s="18"/>
      <c r="GMA2" s="18"/>
      <c r="GMB2" s="18"/>
      <c r="GMC2" s="18"/>
      <c r="GMD2" s="18"/>
      <c r="GME2" s="18"/>
      <c r="GMF2" s="18"/>
      <c r="GMG2" s="18"/>
      <c r="GMH2" s="18"/>
      <c r="GMI2" s="18"/>
      <c r="GMJ2" s="18"/>
      <c r="GMK2" s="18"/>
      <c r="GML2" s="18"/>
      <c r="GMM2" s="18"/>
      <c r="GMN2" s="18"/>
      <c r="GMO2" s="18"/>
      <c r="GMP2" s="18"/>
      <c r="GMQ2" s="18"/>
      <c r="GMR2" s="18"/>
      <c r="GMS2" s="18"/>
      <c r="GMT2" s="18"/>
      <c r="GMU2" s="18"/>
      <c r="GMV2" s="18"/>
      <c r="GMW2" s="18"/>
      <c r="GMX2" s="18"/>
      <c r="GMY2" s="18"/>
      <c r="GMZ2" s="18"/>
      <c r="GNA2" s="18"/>
      <c r="GNB2" s="18"/>
      <c r="GNC2" s="18"/>
      <c r="GND2" s="18"/>
      <c r="GNE2" s="18"/>
      <c r="GNF2" s="18"/>
      <c r="GNG2" s="18"/>
      <c r="GNH2" s="18"/>
      <c r="GNI2" s="18"/>
      <c r="GNJ2" s="18"/>
      <c r="GNK2" s="18"/>
      <c r="GNL2" s="18"/>
      <c r="GNM2" s="18"/>
      <c r="GNN2" s="18"/>
      <c r="GNO2" s="18"/>
      <c r="GNP2" s="18"/>
      <c r="GNQ2" s="18"/>
      <c r="GNR2" s="18"/>
      <c r="GNS2" s="18"/>
      <c r="GNT2" s="18"/>
      <c r="GNU2" s="18"/>
      <c r="GNV2" s="18"/>
      <c r="GNW2" s="18"/>
      <c r="GNX2" s="18"/>
      <c r="GNY2" s="18"/>
      <c r="GNZ2" s="18"/>
      <c r="GOA2" s="18"/>
      <c r="GOB2" s="18"/>
      <c r="GOC2" s="18"/>
      <c r="GOD2" s="18"/>
      <c r="GOE2" s="18"/>
      <c r="GOF2" s="18"/>
      <c r="GOG2" s="18"/>
      <c r="GOH2" s="18"/>
      <c r="GOI2" s="18"/>
      <c r="GOJ2" s="18"/>
      <c r="GOK2" s="18"/>
      <c r="GOL2" s="18"/>
      <c r="GOM2" s="18"/>
      <c r="GON2" s="18"/>
      <c r="GOO2" s="18"/>
      <c r="GOP2" s="18"/>
      <c r="GOQ2" s="18"/>
      <c r="GOR2" s="18"/>
      <c r="GOS2" s="18"/>
      <c r="GOT2" s="18"/>
      <c r="GOU2" s="18"/>
      <c r="GOV2" s="18"/>
      <c r="GOW2" s="18"/>
      <c r="GOX2" s="18"/>
      <c r="GOY2" s="18"/>
      <c r="GOZ2" s="18"/>
      <c r="GPA2" s="18"/>
      <c r="GPB2" s="18"/>
      <c r="GPC2" s="18"/>
      <c r="GPD2" s="18"/>
      <c r="GPE2" s="18"/>
      <c r="GPF2" s="18"/>
      <c r="GPG2" s="18"/>
      <c r="GPH2" s="18"/>
      <c r="GPI2" s="18"/>
      <c r="GPJ2" s="18"/>
      <c r="GPK2" s="18"/>
      <c r="GPL2" s="18"/>
      <c r="GPM2" s="18"/>
      <c r="GPN2" s="18"/>
      <c r="GPO2" s="18"/>
      <c r="GPP2" s="18"/>
      <c r="GPQ2" s="18"/>
      <c r="GPR2" s="18"/>
      <c r="GPS2" s="18"/>
      <c r="GPT2" s="18"/>
      <c r="GPU2" s="18"/>
      <c r="GPV2" s="18"/>
      <c r="GPW2" s="18"/>
      <c r="GPX2" s="18"/>
      <c r="GPY2" s="18"/>
      <c r="GPZ2" s="18"/>
      <c r="GQA2" s="18"/>
      <c r="GQB2" s="18"/>
      <c r="GQC2" s="18"/>
      <c r="GQD2" s="18"/>
      <c r="GQE2" s="18"/>
      <c r="GQF2" s="18"/>
      <c r="GQG2" s="18"/>
      <c r="GQH2" s="18"/>
      <c r="GQI2" s="18"/>
      <c r="GQJ2" s="18"/>
      <c r="GQK2" s="18"/>
      <c r="GQL2" s="18"/>
      <c r="GQM2" s="18"/>
      <c r="GQN2" s="18"/>
      <c r="GQO2" s="18"/>
      <c r="GQP2" s="18"/>
      <c r="GQQ2" s="18"/>
      <c r="GQR2" s="18"/>
      <c r="GQS2" s="18"/>
      <c r="GQT2" s="18"/>
      <c r="GQU2" s="18"/>
      <c r="GQV2" s="18"/>
      <c r="GQW2" s="18"/>
      <c r="GQX2" s="18"/>
      <c r="GQY2" s="18"/>
      <c r="GQZ2" s="18"/>
      <c r="GRA2" s="18"/>
      <c r="GRB2" s="18"/>
      <c r="GRC2" s="18"/>
      <c r="GRD2" s="18"/>
      <c r="GRE2" s="18"/>
      <c r="GRF2" s="18"/>
      <c r="GRG2" s="18"/>
      <c r="GRH2" s="18"/>
      <c r="GRI2" s="18"/>
      <c r="GRJ2" s="18"/>
      <c r="GRK2" s="18"/>
      <c r="GRL2" s="18"/>
      <c r="GRM2" s="18"/>
      <c r="GRN2" s="18"/>
      <c r="GRO2" s="18"/>
      <c r="GRP2" s="18"/>
      <c r="GRQ2" s="18"/>
      <c r="GRR2" s="18"/>
      <c r="GRS2" s="18"/>
      <c r="GRT2" s="18"/>
      <c r="GRU2" s="18"/>
      <c r="GRV2" s="18"/>
      <c r="GRW2" s="18"/>
      <c r="GRX2" s="18"/>
      <c r="GRY2" s="18"/>
      <c r="GRZ2" s="18"/>
      <c r="GSA2" s="18"/>
      <c r="GSB2" s="18"/>
      <c r="GSC2" s="18"/>
      <c r="GSD2" s="18"/>
      <c r="GSE2" s="18"/>
      <c r="GSF2" s="18"/>
      <c r="GSG2" s="18"/>
      <c r="GSH2" s="18"/>
      <c r="GSI2" s="18"/>
      <c r="GSJ2" s="18"/>
      <c r="GSK2" s="18"/>
      <c r="GSL2" s="18"/>
      <c r="GSM2" s="18"/>
      <c r="GSN2" s="18"/>
      <c r="GSO2" s="18"/>
      <c r="GSP2" s="18"/>
      <c r="GSQ2" s="18"/>
      <c r="GSR2" s="18"/>
      <c r="GSS2" s="18"/>
      <c r="GST2" s="18"/>
      <c r="GSU2" s="18"/>
      <c r="GSV2" s="18"/>
      <c r="GSW2" s="18"/>
      <c r="GSX2" s="18"/>
      <c r="GSY2" s="18"/>
      <c r="GSZ2" s="18"/>
      <c r="GTA2" s="18"/>
      <c r="GTB2" s="18"/>
      <c r="GTC2" s="18"/>
      <c r="GTD2" s="18"/>
      <c r="GTE2" s="18"/>
      <c r="GTF2" s="18"/>
      <c r="GTG2" s="18"/>
      <c r="GTH2" s="18"/>
      <c r="GTI2" s="18"/>
      <c r="GTJ2" s="18"/>
      <c r="GTK2" s="18"/>
      <c r="GTL2" s="18"/>
      <c r="GTM2" s="18"/>
      <c r="GTN2" s="18"/>
      <c r="GTO2" s="18"/>
      <c r="GTP2" s="18"/>
      <c r="GTQ2" s="18"/>
      <c r="GTR2" s="18"/>
      <c r="GTS2" s="18"/>
      <c r="GTT2" s="18"/>
      <c r="GTU2" s="18"/>
      <c r="GTV2" s="18"/>
      <c r="GTW2" s="18"/>
      <c r="GTX2" s="18"/>
      <c r="GTY2" s="18"/>
      <c r="GTZ2" s="18"/>
      <c r="GUA2" s="18"/>
      <c r="GUB2" s="18"/>
      <c r="GUC2" s="18"/>
      <c r="GUD2" s="18"/>
      <c r="GUE2" s="18"/>
      <c r="GUF2" s="18"/>
      <c r="GUG2" s="18"/>
      <c r="GUH2" s="18"/>
      <c r="GUI2" s="18"/>
      <c r="GUJ2" s="18"/>
      <c r="GUK2" s="18"/>
      <c r="GUL2" s="18"/>
      <c r="GUM2" s="18"/>
      <c r="GUN2" s="18"/>
      <c r="GUO2" s="18"/>
      <c r="GUP2" s="18"/>
      <c r="GUQ2" s="18"/>
      <c r="GUR2" s="18"/>
      <c r="GUS2" s="18"/>
      <c r="GUT2" s="18"/>
      <c r="GUU2" s="18"/>
      <c r="GUV2" s="18"/>
      <c r="GUW2" s="18"/>
      <c r="GUX2" s="18"/>
      <c r="GUY2" s="18"/>
      <c r="GUZ2" s="18"/>
      <c r="GVA2" s="18"/>
      <c r="GVB2" s="18"/>
      <c r="GVC2" s="18"/>
      <c r="GVD2" s="18"/>
      <c r="GVE2" s="18"/>
      <c r="GVF2" s="18"/>
      <c r="GVG2" s="18"/>
      <c r="GVH2" s="18"/>
      <c r="GVI2" s="18"/>
      <c r="GVJ2" s="18"/>
      <c r="GVK2" s="18"/>
      <c r="GVL2" s="18"/>
      <c r="GVM2" s="18"/>
      <c r="GVN2" s="18"/>
      <c r="GVO2" s="18"/>
      <c r="GVP2" s="18"/>
      <c r="GVQ2" s="18"/>
      <c r="GVR2" s="18"/>
      <c r="GVS2" s="18"/>
      <c r="GVT2" s="18"/>
      <c r="GVU2" s="18"/>
      <c r="GVV2" s="18"/>
      <c r="GVW2" s="18"/>
      <c r="GVX2" s="18"/>
      <c r="GVY2" s="18"/>
      <c r="GVZ2" s="18"/>
      <c r="GWA2" s="18"/>
      <c r="GWB2" s="18"/>
      <c r="GWC2" s="18"/>
      <c r="GWD2" s="18"/>
      <c r="GWE2" s="18"/>
      <c r="GWF2" s="18"/>
      <c r="GWG2" s="18"/>
      <c r="GWH2" s="18"/>
      <c r="GWI2" s="18"/>
      <c r="GWJ2" s="18"/>
      <c r="GWK2" s="18"/>
      <c r="GWL2" s="18"/>
      <c r="GWM2" s="18"/>
      <c r="GWN2" s="18"/>
      <c r="GWO2" s="18"/>
      <c r="GWP2" s="18"/>
      <c r="GWQ2" s="18"/>
      <c r="GWR2" s="18"/>
      <c r="GWS2" s="18"/>
      <c r="GWT2" s="18"/>
      <c r="GWU2" s="18"/>
      <c r="GWV2" s="18"/>
      <c r="GWW2" s="18"/>
      <c r="GWX2" s="18"/>
      <c r="GWY2" s="18"/>
      <c r="GWZ2" s="18"/>
      <c r="GXA2" s="18"/>
      <c r="GXB2" s="18"/>
      <c r="GXC2" s="18"/>
      <c r="GXD2" s="18"/>
      <c r="GXE2" s="18"/>
      <c r="GXF2" s="18"/>
      <c r="GXG2" s="18"/>
      <c r="GXH2" s="18"/>
      <c r="GXI2" s="18"/>
      <c r="GXJ2" s="18"/>
      <c r="GXK2" s="18"/>
      <c r="GXL2" s="18"/>
      <c r="GXM2" s="18"/>
      <c r="GXN2" s="18"/>
      <c r="GXO2" s="18"/>
      <c r="GXP2" s="18"/>
      <c r="GXQ2" s="18"/>
      <c r="GXR2" s="18"/>
      <c r="GXS2" s="18"/>
      <c r="GXT2" s="18"/>
      <c r="GXU2" s="18"/>
      <c r="GXV2" s="18"/>
      <c r="GXW2" s="18"/>
      <c r="GXX2" s="18"/>
      <c r="GXY2" s="18"/>
      <c r="GXZ2" s="18"/>
      <c r="GYA2" s="18"/>
      <c r="GYB2" s="18"/>
      <c r="GYC2" s="18"/>
      <c r="GYD2" s="18"/>
      <c r="GYE2" s="18"/>
      <c r="GYF2" s="18"/>
      <c r="GYG2" s="18"/>
      <c r="GYH2" s="18"/>
      <c r="GYI2" s="18"/>
      <c r="GYJ2" s="18"/>
      <c r="GYK2" s="18"/>
      <c r="GYL2" s="18"/>
      <c r="GYM2" s="18"/>
      <c r="GYN2" s="18"/>
      <c r="GYO2" s="18"/>
      <c r="GYP2" s="18"/>
      <c r="GYQ2" s="18"/>
      <c r="GYR2" s="18"/>
      <c r="GYS2" s="18"/>
      <c r="GYT2" s="18"/>
      <c r="GYU2" s="18"/>
      <c r="GYV2" s="18"/>
      <c r="GYW2" s="18"/>
      <c r="GYX2" s="18"/>
      <c r="GYY2" s="18"/>
      <c r="GYZ2" s="18"/>
      <c r="GZA2" s="18"/>
      <c r="GZB2" s="18"/>
      <c r="GZC2" s="18"/>
      <c r="GZD2" s="18"/>
      <c r="GZE2" s="18"/>
      <c r="GZF2" s="18"/>
      <c r="GZG2" s="18"/>
      <c r="GZH2" s="18"/>
      <c r="GZI2" s="18"/>
      <c r="GZJ2" s="18"/>
      <c r="GZK2" s="18"/>
      <c r="GZL2" s="18"/>
      <c r="GZM2" s="18"/>
      <c r="GZN2" s="18"/>
      <c r="GZO2" s="18"/>
      <c r="GZP2" s="18"/>
      <c r="GZQ2" s="18"/>
      <c r="GZR2" s="18"/>
      <c r="GZS2" s="18"/>
      <c r="GZT2" s="18"/>
      <c r="GZU2" s="18"/>
      <c r="GZV2" s="18"/>
      <c r="GZW2" s="18"/>
      <c r="GZX2" s="18"/>
      <c r="GZY2" s="18"/>
      <c r="GZZ2" s="18"/>
      <c r="HAA2" s="18"/>
      <c r="HAB2" s="18"/>
      <c r="HAC2" s="18"/>
      <c r="HAD2" s="18"/>
      <c r="HAE2" s="18"/>
      <c r="HAF2" s="18"/>
      <c r="HAG2" s="18"/>
      <c r="HAH2" s="18"/>
      <c r="HAI2" s="18"/>
      <c r="HAJ2" s="18"/>
      <c r="HAK2" s="18"/>
      <c r="HAL2" s="18"/>
      <c r="HAM2" s="18"/>
      <c r="HAN2" s="18"/>
      <c r="HAO2" s="18"/>
      <c r="HAP2" s="18"/>
      <c r="HAQ2" s="18"/>
      <c r="HAR2" s="18"/>
      <c r="HAS2" s="18"/>
      <c r="HAT2" s="18"/>
      <c r="HAU2" s="18"/>
      <c r="HAV2" s="18"/>
      <c r="HAW2" s="18"/>
      <c r="HAX2" s="18"/>
      <c r="HAY2" s="18"/>
      <c r="HAZ2" s="18"/>
      <c r="HBA2" s="18"/>
      <c r="HBB2" s="18"/>
      <c r="HBC2" s="18"/>
      <c r="HBD2" s="18"/>
      <c r="HBE2" s="18"/>
      <c r="HBF2" s="18"/>
      <c r="HBG2" s="18"/>
      <c r="HBH2" s="18"/>
      <c r="HBI2" s="18"/>
      <c r="HBJ2" s="18"/>
      <c r="HBK2" s="18"/>
      <c r="HBL2" s="18"/>
      <c r="HBM2" s="18"/>
      <c r="HBN2" s="18"/>
      <c r="HBO2" s="18"/>
      <c r="HBP2" s="18"/>
      <c r="HBQ2" s="18"/>
      <c r="HBR2" s="18"/>
      <c r="HBS2" s="18"/>
      <c r="HBT2" s="18"/>
      <c r="HBU2" s="18"/>
      <c r="HBV2" s="18"/>
      <c r="HBW2" s="18"/>
      <c r="HBX2" s="18"/>
      <c r="HBY2" s="18"/>
      <c r="HBZ2" s="18"/>
      <c r="HCA2" s="18"/>
      <c r="HCB2" s="18"/>
      <c r="HCC2" s="18"/>
      <c r="HCD2" s="18"/>
      <c r="HCE2" s="18"/>
      <c r="HCF2" s="18"/>
      <c r="HCG2" s="18"/>
      <c r="HCH2" s="18"/>
      <c r="HCI2" s="18"/>
      <c r="HCJ2" s="18"/>
      <c r="HCK2" s="18"/>
      <c r="HCL2" s="18"/>
      <c r="HCM2" s="18"/>
      <c r="HCN2" s="18"/>
      <c r="HCO2" s="18"/>
      <c r="HCP2" s="18"/>
      <c r="HCQ2" s="18"/>
      <c r="HCR2" s="18"/>
      <c r="HCS2" s="18"/>
      <c r="HCT2" s="18"/>
      <c r="HCU2" s="18"/>
      <c r="HCV2" s="18"/>
      <c r="HCW2" s="18"/>
      <c r="HCX2" s="18"/>
      <c r="HCY2" s="18"/>
      <c r="HCZ2" s="18"/>
      <c r="HDA2" s="18"/>
      <c r="HDB2" s="18"/>
      <c r="HDC2" s="18"/>
      <c r="HDD2" s="18"/>
      <c r="HDE2" s="18"/>
      <c r="HDF2" s="18"/>
      <c r="HDG2" s="18"/>
      <c r="HDH2" s="18"/>
      <c r="HDI2" s="18"/>
      <c r="HDJ2" s="18"/>
      <c r="HDK2" s="18"/>
      <c r="HDL2" s="18"/>
      <c r="HDM2" s="18"/>
      <c r="HDN2" s="18"/>
      <c r="HDO2" s="18"/>
      <c r="HDP2" s="18"/>
      <c r="HDQ2" s="18"/>
      <c r="HDR2" s="18"/>
      <c r="HDS2" s="18"/>
      <c r="HDT2" s="18"/>
      <c r="HDU2" s="18"/>
      <c r="HDV2" s="18"/>
      <c r="HDW2" s="18"/>
      <c r="HDX2" s="18"/>
      <c r="HDY2" s="18"/>
      <c r="HDZ2" s="18"/>
      <c r="HEA2" s="18"/>
      <c r="HEB2" s="18"/>
      <c r="HEC2" s="18"/>
      <c r="HED2" s="18"/>
      <c r="HEE2" s="18"/>
      <c r="HEF2" s="18"/>
      <c r="HEG2" s="18"/>
      <c r="HEH2" s="18"/>
      <c r="HEI2" s="18"/>
      <c r="HEJ2" s="18"/>
      <c r="HEK2" s="18"/>
      <c r="HEL2" s="18"/>
      <c r="HEM2" s="18"/>
      <c r="HEN2" s="18"/>
      <c r="HEO2" s="18"/>
      <c r="HEP2" s="18"/>
      <c r="HEQ2" s="18"/>
      <c r="HER2" s="18"/>
      <c r="HES2" s="18"/>
      <c r="HET2" s="18"/>
      <c r="HEU2" s="18"/>
      <c r="HEV2" s="18"/>
      <c r="HEW2" s="18"/>
      <c r="HEX2" s="18"/>
      <c r="HEY2" s="18"/>
      <c r="HEZ2" s="18"/>
      <c r="HFA2" s="18"/>
      <c r="HFB2" s="18"/>
      <c r="HFC2" s="18"/>
      <c r="HFD2" s="18"/>
      <c r="HFE2" s="18"/>
      <c r="HFF2" s="18"/>
      <c r="HFG2" s="18"/>
      <c r="HFH2" s="18"/>
      <c r="HFI2" s="18"/>
      <c r="HFJ2" s="18"/>
      <c r="HFK2" s="18"/>
      <c r="HFL2" s="18"/>
      <c r="HFM2" s="18"/>
      <c r="HFN2" s="18"/>
      <c r="HFO2" s="18"/>
      <c r="HFP2" s="18"/>
      <c r="HFQ2" s="18"/>
      <c r="HFR2" s="18"/>
      <c r="HFS2" s="18"/>
      <c r="HFT2" s="18"/>
      <c r="HFU2" s="18"/>
      <c r="HFV2" s="18"/>
      <c r="HFW2" s="18"/>
      <c r="HFX2" s="18"/>
      <c r="HFY2" s="18"/>
      <c r="HFZ2" s="18"/>
      <c r="HGA2" s="18"/>
      <c r="HGB2" s="18"/>
      <c r="HGC2" s="18"/>
      <c r="HGD2" s="18"/>
      <c r="HGE2" s="18"/>
      <c r="HGF2" s="18"/>
      <c r="HGG2" s="18"/>
      <c r="HGH2" s="18"/>
      <c r="HGI2" s="18"/>
      <c r="HGJ2" s="18"/>
      <c r="HGK2" s="18"/>
      <c r="HGL2" s="18"/>
      <c r="HGM2" s="18"/>
      <c r="HGN2" s="18"/>
      <c r="HGO2" s="18"/>
      <c r="HGP2" s="18"/>
      <c r="HGQ2" s="18"/>
      <c r="HGR2" s="18"/>
      <c r="HGS2" s="18"/>
      <c r="HGT2" s="18"/>
      <c r="HGU2" s="18"/>
      <c r="HGV2" s="18"/>
      <c r="HGW2" s="18"/>
      <c r="HGX2" s="18"/>
      <c r="HGY2" s="18"/>
      <c r="HGZ2" s="18"/>
      <c r="HHA2" s="18"/>
      <c r="HHB2" s="18"/>
      <c r="HHC2" s="18"/>
      <c r="HHD2" s="18"/>
      <c r="HHE2" s="18"/>
      <c r="HHF2" s="18"/>
      <c r="HHG2" s="18"/>
      <c r="HHH2" s="18"/>
      <c r="HHI2" s="18"/>
      <c r="HHJ2" s="18"/>
      <c r="HHK2" s="18"/>
      <c r="HHL2" s="18"/>
      <c r="HHM2" s="18"/>
      <c r="HHN2" s="18"/>
      <c r="HHO2" s="18"/>
      <c r="HHP2" s="18"/>
      <c r="HHQ2" s="18"/>
      <c r="HHR2" s="18"/>
      <c r="HHS2" s="18"/>
      <c r="HHT2" s="18"/>
      <c r="HHU2" s="18"/>
      <c r="HHV2" s="18"/>
      <c r="HHW2" s="18"/>
      <c r="HHX2" s="18"/>
      <c r="HHY2" s="18"/>
      <c r="HHZ2" s="18"/>
      <c r="HIA2" s="18"/>
      <c r="HIB2" s="18"/>
      <c r="HIC2" s="18"/>
      <c r="HID2" s="18"/>
      <c r="HIE2" s="18"/>
      <c r="HIF2" s="18"/>
      <c r="HIG2" s="18"/>
      <c r="HIH2" s="18"/>
      <c r="HII2" s="18"/>
      <c r="HIJ2" s="18"/>
      <c r="HIK2" s="18"/>
      <c r="HIL2" s="18"/>
      <c r="HIM2" s="18"/>
      <c r="HIN2" s="18"/>
      <c r="HIO2" s="18"/>
      <c r="HIP2" s="18"/>
      <c r="HIQ2" s="18"/>
      <c r="HIR2" s="18"/>
      <c r="HIS2" s="18"/>
      <c r="HIT2" s="18"/>
      <c r="HIU2" s="18"/>
      <c r="HIV2" s="18"/>
      <c r="HIW2" s="18"/>
      <c r="HIX2" s="18"/>
      <c r="HIY2" s="18"/>
      <c r="HIZ2" s="18"/>
      <c r="HJA2" s="18"/>
      <c r="HJB2" s="18"/>
      <c r="HJC2" s="18"/>
      <c r="HJD2" s="18"/>
      <c r="HJE2" s="18"/>
      <c r="HJF2" s="18"/>
      <c r="HJG2" s="18"/>
      <c r="HJH2" s="18"/>
      <c r="HJI2" s="18"/>
      <c r="HJJ2" s="18"/>
      <c r="HJK2" s="18"/>
      <c r="HJL2" s="18"/>
      <c r="HJM2" s="18"/>
      <c r="HJN2" s="18"/>
      <c r="HJO2" s="18"/>
      <c r="HJP2" s="18"/>
      <c r="HJQ2" s="18"/>
      <c r="HJR2" s="18"/>
      <c r="HJS2" s="18"/>
      <c r="HJT2" s="18"/>
      <c r="HJU2" s="18"/>
      <c r="HJV2" s="18"/>
      <c r="HJW2" s="18"/>
      <c r="HJX2" s="18"/>
      <c r="HJY2" s="18"/>
      <c r="HJZ2" s="18"/>
      <c r="HKA2" s="18"/>
      <c r="HKB2" s="18"/>
      <c r="HKC2" s="18"/>
      <c r="HKD2" s="18"/>
      <c r="HKE2" s="18"/>
      <c r="HKF2" s="18"/>
      <c r="HKG2" s="18"/>
      <c r="HKH2" s="18"/>
      <c r="HKI2" s="18"/>
      <c r="HKJ2" s="18"/>
      <c r="HKK2" s="18"/>
      <c r="HKL2" s="18"/>
      <c r="HKM2" s="18"/>
      <c r="HKN2" s="18"/>
      <c r="HKO2" s="18"/>
      <c r="HKP2" s="18"/>
      <c r="HKQ2" s="18"/>
      <c r="HKR2" s="18"/>
      <c r="HKS2" s="18"/>
      <c r="HKT2" s="18"/>
      <c r="HKU2" s="18"/>
      <c r="HKV2" s="18"/>
      <c r="HKW2" s="18"/>
      <c r="HKX2" s="18"/>
      <c r="HKY2" s="18"/>
      <c r="HKZ2" s="18"/>
      <c r="HLA2" s="18"/>
      <c r="HLB2" s="18"/>
      <c r="HLC2" s="18"/>
      <c r="HLD2" s="18"/>
      <c r="HLE2" s="18"/>
      <c r="HLF2" s="18"/>
      <c r="HLG2" s="18"/>
      <c r="HLH2" s="18"/>
      <c r="HLI2" s="18"/>
      <c r="HLJ2" s="18"/>
      <c r="HLK2" s="18"/>
      <c r="HLL2" s="18"/>
      <c r="HLM2" s="18"/>
      <c r="HLN2" s="18"/>
      <c r="HLO2" s="18"/>
      <c r="HLP2" s="18"/>
      <c r="HLQ2" s="18"/>
      <c r="HLR2" s="18"/>
      <c r="HLS2" s="18"/>
      <c r="HLT2" s="18"/>
      <c r="HLU2" s="18"/>
      <c r="HLV2" s="18"/>
      <c r="HLW2" s="18"/>
      <c r="HLX2" s="18"/>
      <c r="HLY2" s="18"/>
      <c r="HLZ2" s="18"/>
      <c r="HMA2" s="18"/>
      <c r="HMB2" s="18"/>
      <c r="HMC2" s="18"/>
      <c r="HMD2" s="18"/>
      <c r="HME2" s="18"/>
      <c r="HMF2" s="18"/>
      <c r="HMG2" s="18"/>
      <c r="HMH2" s="18"/>
      <c r="HMI2" s="18"/>
      <c r="HMJ2" s="18"/>
      <c r="HMK2" s="18"/>
      <c r="HML2" s="18"/>
      <c r="HMM2" s="18"/>
      <c r="HMN2" s="18"/>
      <c r="HMO2" s="18"/>
      <c r="HMP2" s="18"/>
      <c r="HMQ2" s="18"/>
      <c r="HMR2" s="18"/>
      <c r="HMS2" s="18"/>
      <c r="HMT2" s="18"/>
      <c r="HMU2" s="18"/>
      <c r="HMV2" s="18"/>
      <c r="HMW2" s="18"/>
      <c r="HMX2" s="18"/>
      <c r="HMY2" s="18"/>
      <c r="HMZ2" s="18"/>
      <c r="HNA2" s="18"/>
      <c r="HNB2" s="18"/>
      <c r="HNC2" s="18"/>
      <c r="HND2" s="18"/>
      <c r="HNE2" s="18"/>
      <c r="HNF2" s="18"/>
      <c r="HNG2" s="18"/>
      <c r="HNH2" s="18"/>
      <c r="HNI2" s="18"/>
      <c r="HNJ2" s="18"/>
      <c r="HNK2" s="18"/>
      <c r="HNL2" s="18"/>
      <c r="HNM2" s="18"/>
      <c r="HNN2" s="18"/>
      <c r="HNO2" s="18"/>
      <c r="HNP2" s="18"/>
      <c r="HNQ2" s="18"/>
      <c r="HNR2" s="18"/>
      <c r="HNS2" s="18"/>
      <c r="HNT2" s="18"/>
      <c r="HNU2" s="18"/>
      <c r="HNV2" s="18"/>
      <c r="HNW2" s="18"/>
      <c r="HNX2" s="18"/>
      <c r="HNY2" s="18"/>
      <c r="HNZ2" s="18"/>
      <c r="HOA2" s="18"/>
      <c r="HOB2" s="18"/>
      <c r="HOC2" s="18"/>
      <c r="HOD2" s="18"/>
      <c r="HOE2" s="18"/>
      <c r="HOF2" s="18"/>
      <c r="HOG2" s="18"/>
      <c r="HOH2" s="18"/>
      <c r="HOI2" s="18"/>
      <c r="HOJ2" s="18"/>
      <c r="HOK2" s="18"/>
      <c r="HOL2" s="18"/>
      <c r="HOM2" s="18"/>
      <c r="HON2" s="18"/>
      <c r="HOO2" s="18"/>
      <c r="HOP2" s="18"/>
      <c r="HOQ2" s="18"/>
      <c r="HOR2" s="18"/>
      <c r="HOS2" s="18"/>
      <c r="HOT2" s="18"/>
      <c r="HOU2" s="18"/>
      <c r="HOV2" s="18"/>
      <c r="HOW2" s="18"/>
      <c r="HOX2" s="18"/>
      <c r="HOY2" s="18"/>
      <c r="HOZ2" s="18"/>
      <c r="HPA2" s="18"/>
      <c r="HPB2" s="18"/>
      <c r="HPC2" s="18"/>
      <c r="HPD2" s="18"/>
      <c r="HPE2" s="18"/>
      <c r="HPF2" s="18"/>
      <c r="HPG2" s="18"/>
      <c r="HPH2" s="18"/>
      <c r="HPI2" s="18"/>
      <c r="HPJ2" s="18"/>
      <c r="HPK2" s="18"/>
      <c r="HPL2" s="18"/>
      <c r="HPM2" s="18"/>
      <c r="HPN2" s="18"/>
      <c r="HPO2" s="18"/>
      <c r="HPP2" s="18"/>
      <c r="HPQ2" s="18"/>
      <c r="HPR2" s="18"/>
      <c r="HPS2" s="18"/>
      <c r="HPT2" s="18"/>
      <c r="HPU2" s="18"/>
      <c r="HPV2" s="18"/>
      <c r="HPW2" s="18"/>
      <c r="HPX2" s="18"/>
      <c r="HPY2" s="18"/>
      <c r="HPZ2" s="18"/>
      <c r="HQA2" s="18"/>
      <c r="HQB2" s="18"/>
      <c r="HQC2" s="18"/>
      <c r="HQD2" s="18"/>
      <c r="HQE2" s="18"/>
      <c r="HQF2" s="18"/>
      <c r="HQG2" s="18"/>
      <c r="HQH2" s="18"/>
      <c r="HQI2" s="18"/>
      <c r="HQJ2" s="18"/>
      <c r="HQK2" s="18"/>
      <c r="HQL2" s="18"/>
      <c r="HQM2" s="18"/>
      <c r="HQN2" s="18"/>
      <c r="HQO2" s="18"/>
      <c r="HQP2" s="18"/>
      <c r="HQQ2" s="18"/>
      <c r="HQR2" s="18"/>
      <c r="HQS2" s="18"/>
      <c r="HQT2" s="18"/>
      <c r="HQU2" s="18"/>
      <c r="HQV2" s="18"/>
      <c r="HQW2" s="18"/>
      <c r="HQX2" s="18"/>
      <c r="HQY2" s="18"/>
      <c r="HQZ2" s="18"/>
      <c r="HRA2" s="18"/>
      <c r="HRB2" s="18"/>
      <c r="HRC2" s="18"/>
      <c r="HRD2" s="18"/>
      <c r="HRE2" s="18"/>
      <c r="HRF2" s="18"/>
      <c r="HRG2" s="18"/>
      <c r="HRH2" s="18"/>
      <c r="HRI2" s="18"/>
      <c r="HRJ2" s="18"/>
      <c r="HRK2" s="18"/>
      <c r="HRL2" s="18"/>
      <c r="HRM2" s="18"/>
      <c r="HRN2" s="18"/>
      <c r="HRO2" s="18"/>
      <c r="HRP2" s="18"/>
      <c r="HRQ2" s="18"/>
      <c r="HRR2" s="18"/>
      <c r="HRS2" s="18"/>
      <c r="HRT2" s="18"/>
      <c r="HRU2" s="18"/>
      <c r="HRV2" s="18"/>
      <c r="HRW2" s="18"/>
      <c r="HRX2" s="18"/>
      <c r="HRY2" s="18"/>
      <c r="HRZ2" s="18"/>
      <c r="HSA2" s="18"/>
      <c r="HSB2" s="18"/>
      <c r="HSC2" s="18"/>
      <c r="HSD2" s="18"/>
      <c r="HSE2" s="18"/>
      <c r="HSF2" s="18"/>
      <c r="HSG2" s="18"/>
      <c r="HSH2" s="18"/>
      <c r="HSI2" s="18"/>
      <c r="HSJ2" s="18"/>
      <c r="HSK2" s="18"/>
      <c r="HSL2" s="18"/>
      <c r="HSM2" s="18"/>
      <c r="HSN2" s="18"/>
      <c r="HSO2" s="18"/>
      <c r="HSP2" s="18"/>
      <c r="HSQ2" s="18"/>
      <c r="HSR2" s="18"/>
      <c r="HSS2" s="18"/>
      <c r="HST2" s="18"/>
      <c r="HSU2" s="18"/>
      <c r="HSV2" s="18"/>
      <c r="HSW2" s="18"/>
      <c r="HSX2" s="18"/>
      <c r="HSY2" s="18"/>
      <c r="HSZ2" s="18"/>
      <c r="HTA2" s="18"/>
      <c r="HTB2" s="18"/>
      <c r="HTC2" s="18"/>
      <c r="HTD2" s="18"/>
      <c r="HTE2" s="18"/>
      <c r="HTF2" s="18"/>
      <c r="HTG2" s="18"/>
      <c r="HTH2" s="18"/>
      <c r="HTI2" s="18"/>
      <c r="HTJ2" s="18"/>
      <c r="HTK2" s="18"/>
      <c r="HTL2" s="18"/>
      <c r="HTM2" s="18"/>
      <c r="HTN2" s="18"/>
      <c r="HTO2" s="18"/>
      <c r="HTP2" s="18"/>
      <c r="HTQ2" s="18"/>
      <c r="HTR2" s="18"/>
      <c r="HTS2" s="18"/>
      <c r="HTT2" s="18"/>
      <c r="HTU2" s="18"/>
      <c r="HTV2" s="18"/>
      <c r="HTW2" s="18"/>
      <c r="HTX2" s="18"/>
      <c r="HTY2" s="18"/>
      <c r="HTZ2" s="18"/>
      <c r="HUA2" s="18"/>
      <c r="HUB2" s="18"/>
      <c r="HUC2" s="18"/>
      <c r="HUD2" s="18"/>
      <c r="HUE2" s="18"/>
      <c r="HUF2" s="18"/>
      <c r="HUG2" s="18"/>
      <c r="HUH2" s="18"/>
      <c r="HUI2" s="18"/>
      <c r="HUJ2" s="18"/>
      <c r="HUK2" s="18"/>
      <c r="HUL2" s="18"/>
      <c r="HUM2" s="18"/>
      <c r="HUN2" s="18"/>
      <c r="HUO2" s="18"/>
      <c r="HUP2" s="18"/>
      <c r="HUQ2" s="18"/>
      <c r="HUR2" s="18"/>
      <c r="HUS2" s="18"/>
      <c r="HUT2" s="18"/>
      <c r="HUU2" s="18"/>
      <c r="HUV2" s="18"/>
      <c r="HUW2" s="18"/>
      <c r="HUX2" s="18"/>
      <c r="HUY2" s="18"/>
      <c r="HUZ2" s="18"/>
      <c r="HVA2" s="18"/>
      <c r="HVB2" s="18"/>
      <c r="HVC2" s="18"/>
      <c r="HVD2" s="18"/>
      <c r="HVE2" s="18"/>
      <c r="HVF2" s="18"/>
      <c r="HVG2" s="18"/>
      <c r="HVH2" s="18"/>
      <c r="HVI2" s="18"/>
      <c r="HVJ2" s="18"/>
      <c r="HVK2" s="18"/>
      <c r="HVL2" s="18"/>
      <c r="HVM2" s="18"/>
      <c r="HVN2" s="18"/>
      <c r="HVO2" s="18"/>
      <c r="HVP2" s="18"/>
      <c r="HVQ2" s="18"/>
      <c r="HVR2" s="18"/>
      <c r="HVS2" s="18"/>
      <c r="HVT2" s="18"/>
      <c r="HVU2" s="18"/>
      <c r="HVV2" s="18"/>
      <c r="HVW2" s="18"/>
      <c r="HVX2" s="18"/>
      <c r="HVY2" s="18"/>
      <c r="HVZ2" s="18"/>
      <c r="HWA2" s="18"/>
      <c r="HWB2" s="18"/>
      <c r="HWC2" s="18"/>
      <c r="HWD2" s="18"/>
      <c r="HWE2" s="18"/>
      <c r="HWF2" s="18"/>
      <c r="HWG2" s="18"/>
      <c r="HWH2" s="18"/>
      <c r="HWI2" s="18"/>
      <c r="HWJ2" s="18"/>
      <c r="HWK2" s="18"/>
      <c r="HWL2" s="18"/>
      <c r="HWM2" s="18"/>
      <c r="HWN2" s="18"/>
      <c r="HWO2" s="18"/>
      <c r="HWP2" s="18"/>
      <c r="HWQ2" s="18"/>
      <c r="HWR2" s="18"/>
      <c r="HWS2" s="18"/>
      <c r="HWT2" s="18"/>
      <c r="HWU2" s="18"/>
      <c r="HWV2" s="18"/>
      <c r="HWW2" s="18"/>
      <c r="HWX2" s="18"/>
      <c r="HWY2" s="18"/>
      <c r="HWZ2" s="18"/>
      <c r="HXA2" s="18"/>
      <c r="HXB2" s="18"/>
      <c r="HXC2" s="18"/>
      <c r="HXD2" s="18"/>
      <c r="HXE2" s="18"/>
      <c r="HXF2" s="18"/>
      <c r="HXG2" s="18"/>
      <c r="HXH2" s="18"/>
      <c r="HXI2" s="18"/>
      <c r="HXJ2" s="18"/>
      <c r="HXK2" s="18"/>
      <c r="HXL2" s="18"/>
      <c r="HXM2" s="18"/>
      <c r="HXN2" s="18"/>
      <c r="HXO2" s="18"/>
      <c r="HXP2" s="18"/>
      <c r="HXQ2" s="18"/>
      <c r="HXR2" s="18"/>
      <c r="HXS2" s="18"/>
      <c r="HXT2" s="18"/>
      <c r="HXU2" s="18"/>
      <c r="HXV2" s="18"/>
      <c r="HXW2" s="18"/>
      <c r="HXX2" s="18"/>
      <c r="HXY2" s="18"/>
      <c r="HXZ2" s="18"/>
      <c r="HYA2" s="18"/>
      <c r="HYB2" s="18"/>
      <c r="HYC2" s="18"/>
      <c r="HYD2" s="18"/>
      <c r="HYE2" s="18"/>
      <c r="HYF2" s="18"/>
      <c r="HYG2" s="18"/>
      <c r="HYH2" s="18"/>
      <c r="HYI2" s="18"/>
      <c r="HYJ2" s="18"/>
      <c r="HYK2" s="18"/>
      <c r="HYL2" s="18"/>
      <c r="HYM2" s="18"/>
      <c r="HYN2" s="18"/>
      <c r="HYO2" s="18"/>
      <c r="HYP2" s="18"/>
      <c r="HYQ2" s="18"/>
      <c r="HYR2" s="18"/>
      <c r="HYS2" s="18"/>
      <c r="HYT2" s="18"/>
      <c r="HYU2" s="18"/>
      <c r="HYV2" s="18"/>
      <c r="HYW2" s="18"/>
      <c r="HYX2" s="18"/>
      <c r="HYY2" s="18"/>
      <c r="HYZ2" s="18"/>
      <c r="HZA2" s="18"/>
      <c r="HZB2" s="18"/>
      <c r="HZC2" s="18"/>
      <c r="HZD2" s="18"/>
      <c r="HZE2" s="18"/>
      <c r="HZF2" s="18"/>
      <c r="HZG2" s="18"/>
      <c r="HZH2" s="18"/>
      <c r="HZI2" s="18"/>
      <c r="HZJ2" s="18"/>
      <c r="HZK2" s="18"/>
      <c r="HZL2" s="18"/>
      <c r="HZM2" s="18"/>
      <c r="HZN2" s="18"/>
      <c r="HZO2" s="18"/>
      <c r="HZP2" s="18"/>
      <c r="HZQ2" s="18"/>
      <c r="HZR2" s="18"/>
      <c r="HZS2" s="18"/>
      <c r="HZT2" s="18"/>
      <c r="HZU2" s="18"/>
      <c r="HZV2" s="18"/>
      <c r="HZW2" s="18"/>
      <c r="HZX2" s="18"/>
      <c r="HZY2" s="18"/>
      <c r="HZZ2" s="18"/>
      <c r="IAA2" s="18"/>
      <c r="IAB2" s="18"/>
      <c r="IAC2" s="18"/>
      <c r="IAD2" s="18"/>
      <c r="IAE2" s="18"/>
      <c r="IAF2" s="18"/>
      <c r="IAG2" s="18"/>
      <c r="IAH2" s="18"/>
      <c r="IAI2" s="18"/>
      <c r="IAJ2" s="18"/>
      <c r="IAK2" s="18"/>
      <c r="IAL2" s="18"/>
      <c r="IAM2" s="18"/>
      <c r="IAN2" s="18"/>
      <c r="IAO2" s="18"/>
      <c r="IAP2" s="18"/>
      <c r="IAQ2" s="18"/>
      <c r="IAR2" s="18"/>
      <c r="IAS2" s="18"/>
      <c r="IAT2" s="18"/>
      <c r="IAU2" s="18"/>
      <c r="IAV2" s="18"/>
      <c r="IAW2" s="18"/>
      <c r="IAX2" s="18"/>
      <c r="IAY2" s="18"/>
      <c r="IAZ2" s="18"/>
      <c r="IBA2" s="18"/>
      <c r="IBB2" s="18"/>
      <c r="IBC2" s="18"/>
      <c r="IBD2" s="18"/>
      <c r="IBE2" s="18"/>
      <c r="IBF2" s="18"/>
      <c r="IBG2" s="18"/>
      <c r="IBH2" s="18"/>
      <c r="IBI2" s="18"/>
      <c r="IBJ2" s="18"/>
      <c r="IBK2" s="18"/>
      <c r="IBL2" s="18"/>
      <c r="IBM2" s="18"/>
      <c r="IBN2" s="18"/>
      <c r="IBO2" s="18"/>
      <c r="IBP2" s="18"/>
      <c r="IBQ2" s="18"/>
      <c r="IBR2" s="18"/>
      <c r="IBS2" s="18"/>
      <c r="IBT2" s="18"/>
      <c r="IBU2" s="18"/>
      <c r="IBV2" s="18"/>
      <c r="IBW2" s="18"/>
      <c r="IBX2" s="18"/>
      <c r="IBY2" s="18"/>
      <c r="IBZ2" s="18"/>
      <c r="ICA2" s="18"/>
      <c r="ICB2" s="18"/>
      <c r="ICC2" s="18"/>
      <c r="ICD2" s="18"/>
      <c r="ICE2" s="18"/>
      <c r="ICF2" s="18"/>
      <c r="ICG2" s="18"/>
      <c r="ICH2" s="18"/>
      <c r="ICI2" s="18"/>
      <c r="ICJ2" s="18"/>
      <c r="ICK2" s="18"/>
      <c r="ICL2" s="18"/>
      <c r="ICM2" s="18"/>
      <c r="ICN2" s="18"/>
      <c r="ICO2" s="18"/>
      <c r="ICP2" s="18"/>
      <c r="ICQ2" s="18"/>
      <c r="ICR2" s="18"/>
      <c r="ICS2" s="18"/>
      <c r="ICT2" s="18"/>
      <c r="ICU2" s="18"/>
      <c r="ICV2" s="18"/>
      <c r="ICW2" s="18"/>
      <c r="ICX2" s="18"/>
      <c r="ICY2" s="18"/>
      <c r="ICZ2" s="18"/>
      <c r="IDA2" s="18"/>
      <c r="IDB2" s="18"/>
      <c r="IDC2" s="18"/>
      <c r="IDD2" s="18"/>
      <c r="IDE2" s="18"/>
      <c r="IDF2" s="18"/>
      <c r="IDG2" s="18"/>
      <c r="IDH2" s="18"/>
      <c r="IDI2" s="18"/>
      <c r="IDJ2" s="18"/>
      <c r="IDK2" s="18"/>
      <c r="IDL2" s="18"/>
      <c r="IDM2" s="18"/>
      <c r="IDN2" s="18"/>
      <c r="IDO2" s="18"/>
      <c r="IDP2" s="18"/>
      <c r="IDQ2" s="18"/>
      <c r="IDR2" s="18"/>
      <c r="IDS2" s="18"/>
      <c r="IDT2" s="18"/>
      <c r="IDU2" s="18"/>
      <c r="IDV2" s="18"/>
      <c r="IDW2" s="18"/>
      <c r="IDX2" s="18"/>
      <c r="IDY2" s="18"/>
      <c r="IDZ2" s="18"/>
      <c r="IEA2" s="18"/>
      <c r="IEB2" s="18"/>
      <c r="IEC2" s="18"/>
      <c r="IED2" s="18"/>
      <c r="IEE2" s="18"/>
      <c r="IEF2" s="18"/>
      <c r="IEG2" s="18"/>
      <c r="IEH2" s="18"/>
      <c r="IEI2" s="18"/>
      <c r="IEJ2" s="18"/>
      <c r="IEK2" s="18"/>
      <c r="IEL2" s="18"/>
      <c r="IEM2" s="18"/>
      <c r="IEN2" s="18"/>
      <c r="IEO2" s="18"/>
      <c r="IEP2" s="18"/>
      <c r="IEQ2" s="18"/>
      <c r="IER2" s="18"/>
      <c r="IES2" s="18"/>
      <c r="IET2" s="18"/>
      <c r="IEU2" s="18"/>
      <c r="IEV2" s="18"/>
      <c r="IEW2" s="18"/>
      <c r="IEX2" s="18"/>
      <c r="IEY2" s="18"/>
      <c r="IEZ2" s="18"/>
      <c r="IFA2" s="18"/>
      <c r="IFB2" s="18"/>
      <c r="IFC2" s="18"/>
      <c r="IFD2" s="18"/>
      <c r="IFE2" s="18"/>
      <c r="IFF2" s="18"/>
      <c r="IFG2" s="18"/>
      <c r="IFH2" s="18"/>
      <c r="IFI2" s="18"/>
      <c r="IFJ2" s="18"/>
      <c r="IFK2" s="18"/>
      <c r="IFL2" s="18"/>
      <c r="IFM2" s="18"/>
      <c r="IFN2" s="18"/>
      <c r="IFO2" s="18"/>
      <c r="IFP2" s="18"/>
      <c r="IFQ2" s="18"/>
      <c r="IFR2" s="18"/>
      <c r="IFS2" s="18"/>
      <c r="IFT2" s="18"/>
      <c r="IFU2" s="18"/>
      <c r="IFV2" s="18"/>
      <c r="IFW2" s="18"/>
      <c r="IFX2" s="18"/>
      <c r="IFY2" s="18"/>
      <c r="IFZ2" s="18"/>
      <c r="IGA2" s="18"/>
      <c r="IGB2" s="18"/>
      <c r="IGC2" s="18"/>
      <c r="IGD2" s="18"/>
      <c r="IGE2" s="18"/>
      <c r="IGF2" s="18"/>
      <c r="IGG2" s="18"/>
      <c r="IGH2" s="18"/>
      <c r="IGI2" s="18"/>
      <c r="IGJ2" s="18"/>
      <c r="IGK2" s="18"/>
      <c r="IGL2" s="18"/>
      <c r="IGM2" s="18"/>
      <c r="IGN2" s="18"/>
      <c r="IGO2" s="18"/>
      <c r="IGP2" s="18"/>
      <c r="IGQ2" s="18"/>
      <c r="IGR2" s="18"/>
      <c r="IGS2" s="18"/>
      <c r="IGT2" s="18"/>
      <c r="IGU2" s="18"/>
      <c r="IGV2" s="18"/>
      <c r="IGW2" s="18"/>
      <c r="IGX2" s="18"/>
      <c r="IGY2" s="18"/>
      <c r="IGZ2" s="18"/>
      <c r="IHA2" s="18"/>
      <c r="IHB2" s="18"/>
      <c r="IHC2" s="18"/>
      <c r="IHD2" s="18"/>
      <c r="IHE2" s="18"/>
      <c r="IHF2" s="18"/>
      <c r="IHG2" s="18"/>
      <c r="IHH2" s="18"/>
      <c r="IHI2" s="18"/>
      <c r="IHJ2" s="18"/>
      <c r="IHK2" s="18"/>
      <c r="IHL2" s="18"/>
      <c r="IHM2" s="18"/>
      <c r="IHN2" s="18"/>
      <c r="IHO2" s="18"/>
      <c r="IHP2" s="18"/>
      <c r="IHQ2" s="18"/>
      <c r="IHR2" s="18"/>
      <c r="IHS2" s="18"/>
      <c r="IHT2" s="18"/>
      <c r="IHU2" s="18"/>
      <c r="IHV2" s="18"/>
      <c r="IHW2" s="18"/>
      <c r="IHX2" s="18"/>
      <c r="IHY2" s="18"/>
      <c r="IHZ2" s="18"/>
      <c r="IIA2" s="18"/>
      <c r="IIB2" s="18"/>
      <c r="IIC2" s="18"/>
      <c r="IID2" s="18"/>
      <c r="IIE2" s="18"/>
      <c r="IIF2" s="18"/>
      <c r="IIG2" s="18"/>
      <c r="IIH2" s="18"/>
      <c r="III2" s="18"/>
      <c r="IIJ2" s="18"/>
      <c r="IIK2" s="18"/>
      <c r="IIL2" s="18"/>
      <c r="IIM2" s="18"/>
      <c r="IIN2" s="18"/>
      <c r="IIO2" s="18"/>
      <c r="IIP2" s="18"/>
      <c r="IIQ2" s="18"/>
      <c r="IIR2" s="18"/>
      <c r="IIS2" s="18"/>
      <c r="IIT2" s="18"/>
      <c r="IIU2" s="18"/>
      <c r="IIV2" s="18"/>
      <c r="IIW2" s="18"/>
      <c r="IIX2" s="18"/>
      <c r="IIY2" s="18"/>
      <c r="IIZ2" s="18"/>
      <c r="IJA2" s="18"/>
      <c r="IJB2" s="18"/>
      <c r="IJC2" s="18"/>
      <c r="IJD2" s="18"/>
      <c r="IJE2" s="18"/>
      <c r="IJF2" s="18"/>
      <c r="IJG2" s="18"/>
      <c r="IJH2" s="18"/>
      <c r="IJI2" s="18"/>
      <c r="IJJ2" s="18"/>
      <c r="IJK2" s="18"/>
      <c r="IJL2" s="18"/>
      <c r="IJM2" s="18"/>
      <c r="IJN2" s="18"/>
      <c r="IJO2" s="18"/>
      <c r="IJP2" s="18"/>
      <c r="IJQ2" s="18"/>
      <c r="IJR2" s="18"/>
      <c r="IJS2" s="18"/>
      <c r="IJT2" s="18"/>
      <c r="IJU2" s="18"/>
      <c r="IJV2" s="18"/>
      <c r="IJW2" s="18"/>
      <c r="IJX2" s="18"/>
      <c r="IJY2" s="18"/>
      <c r="IJZ2" s="18"/>
      <c r="IKA2" s="18"/>
      <c r="IKB2" s="18"/>
      <c r="IKC2" s="18"/>
      <c r="IKD2" s="18"/>
      <c r="IKE2" s="18"/>
      <c r="IKF2" s="18"/>
      <c r="IKG2" s="18"/>
      <c r="IKH2" s="18"/>
      <c r="IKI2" s="18"/>
      <c r="IKJ2" s="18"/>
      <c r="IKK2" s="18"/>
      <c r="IKL2" s="18"/>
      <c r="IKM2" s="18"/>
      <c r="IKN2" s="18"/>
      <c r="IKO2" s="18"/>
      <c r="IKP2" s="18"/>
      <c r="IKQ2" s="18"/>
      <c r="IKR2" s="18"/>
      <c r="IKS2" s="18"/>
      <c r="IKT2" s="18"/>
      <c r="IKU2" s="18"/>
      <c r="IKV2" s="18"/>
      <c r="IKW2" s="18"/>
      <c r="IKX2" s="18"/>
      <c r="IKY2" s="18"/>
      <c r="IKZ2" s="18"/>
      <c r="ILA2" s="18"/>
      <c r="ILB2" s="18"/>
      <c r="ILC2" s="18"/>
      <c r="ILD2" s="18"/>
      <c r="ILE2" s="18"/>
      <c r="ILF2" s="18"/>
      <c r="ILG2" s="18"/>
      <c r="ILH2" s="18"/>
      <c r="ILI2" s="18"/>
      <c r="ILJ2" s="18"/>
      <c r="ILK2" s="18"/>
      <c r="ILL2" s="18"/>
      <c r="ILM2" s="18"/>
      <c r="ILN2" s="18"/>
      <c r="ILO2" s="18"/>
      <c r="ILP2" s="18"/>
      <c r="ILQ2" s="18"/>
      <c r="ILR2" s="18"/>
      <c r="ILS2" s="18"/>
      <c r="ILT2" s="18"/>
      <c r="ILU2" s="18"/>
      <c r="ILV2" s="18"/>
      <c r="ILW2" s="18"/>
      <c r="ILX2" s="18"/>
      <c r="ILY2" s="18"/>
      <c r="ILZ2" s="18"/>
      <c r="IMA2" s="18"/>
      <c r="IMB2" s="18"/>
      <c r="IMC2" s="18"/>
      <c r="IMD2" s="18"/>
      <c r="IME2" s="18"/>
      <c r="IMF2" s="18"/>
      <c r="IMG2" s="18"/>
      <c r="IMH2" s="18"/>
      <c r="IMI2" s="18"/>
      <c r="IMJ2" s="18"/>
      <c r="IMK2" s="18"/>
      <c r="IML2" s="18"/>
      <c r="IMM2" s="18"/>
      <c r="IMN2" s="18"/>
      <c r="IMO2" s="18"/>
      <c r="IMP2" s="18"/>
      <c r="IMQ2" s="18"/>
      <c r="IMR2" s="18"/>
      <c r="IMS2" s="18"/>
      <c r="IMT2" s="18"/>
      <c r="IMU2" s="18"/>
      <c r="IMV2" s="18"/>
      <c r="IMW2" s="18"/>
      <c r="IMX2" s="18"/>
      <c r="IMY2" s="18"/>
      <c r="IMZ2" s="18"/>
      <c r="INA2" s="18"/>
      <c r="INB2" s="18"/>
      <c r="INC2" s="18"/>
      <c r="IND2" s="18"/>
      <c r="INE2" s="18"/>
      <c r="INF2" s="18"/>
      <c r="ING2" s="18"/>
      <c r="INH2" s="18"/>
      <c r="INI2" s="18"/>
      <c r="INJ2" s="18"/>
      <c r="INK2" s="18"/>
      <c r="INL2" s="18"/>
      <c r="INM2" s="18"/>
      <c r="INN2" s="18"/>
      <c r="INO2" s="18"/>
      <c r="INP2" s="18"/>
      <c r="INQ2" s="18"/>
      <c r="INR2" s="18"/>
      <c r="INS2" s="18"/>
      <c r="INT2" s="18"/>
      <c r="INU2" s="18"/>
      <c r="INV2" s="18"/>
      <c r="INW2" s="18"/>
      <c r="INX2" s="18"/>
      <c r="INY2" s="18"/>
      <c r="INZ2" s="18"/>
      <c r="IOA2" s="18"/>
      <c r="IOB2" s="18"/>
      <c r="IOC2" s="18"/>
      <c r="IOD2" s="18"/>
      <c r="IOE2" s="18"/>
      <c r="IOF2" s="18"/>
      <c r="IOG2" s="18"/>
      <c r="IOH2" s="18"/>
      <c r="IOI2" s="18"/>
      <c r="IOJ2" s="18"/>
      <c r="IOK2" s="18"/>
      <c r="IOL2" s="18"/>
      <c r="IOM2" s="18"/>
      <c r="ION2" s="18"/>
      <c r="IOO2" s="18"/>
      <c r="IOP2" s="18"/>
      <c r="IOQ2" s="18"/>
      <c r="IOR2" s="18"/>
      <c r="IOS2" s="18"/>
      <c r="IOT2" s="18"/>
      <c r="IOU2" s="18"/>
      <c r="IOV2" s="18"/>
      <c r="IOW2" s="18"/>
      <c r="IOX2" s="18"/>
      <c r="IOY2" s="18"/>
      <c r="IOZ2" s="18"/>
      <c r="IPA2" s="18"/>
      <c r="IPB2" s="18"/>
      <c r="IPC2" s="18"/>
      <c r="IPD2" s="18"/>
      <c r="IPE2" s="18"/>
      <c r="IPF2" s="18"/>
      <c r="IPG2" s="18"/>
      <c r="IPH2" s="18"/>
      <c r="IPI2" s="18"/>
      <c r="IPJ2" s="18"/>
      <c r="IPK2" s="18"/>
      <c r="IPL2" s="18"/>
      <c r="IPM2" s="18"/>
      <c r="IPN2" s="18"/>
      <c r="IPO2" s="18"/>
      <c r="IPP2" s="18"/>
      <c r="IPQ2" s="18"/>
      <c r="IPR2" s="18"/>
      <c r="IPS2" s="18"/>
      <c r="IPT2" s="18"/>
      <c r="IPU2" s="18"/>
      <c r="IPV2" s="18"/>
      <c r="IPW2" s="18"/>
      <c r="IPX2" s="18"/>
      <c r="IPY2" s="18"/>
      <c r="IPZ2" s="18"/>
      <c r="IQA2" s="18"/>
      <c r="IQB2" s="18"/>
      <c r="IQC2" s="18"/>
      <c r="IQD2" s="18"/>
      <c r="IQE2" s="18"/>
      <c r="IQF2" s="18"/>
      <c r="IQG2" s="18"/>
      <c r="IQH2" s="18"/>
      <c r="IQI2" s="18"/>
      <c r="IQJ2" s="18"/>
      <c r="IQK2" s="18"/>
      <c r="IQL2" s="18"/>
      <c r="IQM2" s="18"/>
      <c r="IQN2" s="18"/>
      <c r="IQO2" s="18"/>
      <c r="IQP2" s="18"/>
      <c r="IQQ2" s="18"/>
      <c r="IQR2" s="18"/>
      <c r="IQS2" s="18"/>
      <c r="IQT2" s="18"/>
      <c r="IQU2" s="18"/>
      <c r="IQV2" s="18"/>
      <c r="IQW2" s="18"/>
      <c r="IQX2" s="18"/>
      <c r="IQY2" s="18"/>
      <c r="IQZ2" s="18"/>
      <c r="IRA2" s="18"/>
      <c r="IRB2" s="18"/>
      <c r="IRC2" s="18"/>
      <c r="IRD2" s="18"/>
      <c r="IRE2" s="18"/>
      <c r="IRF2" s="18"/>
      <c r="IRG2" s="18"/>
      <c r="IRH2" s="18"/>
      <c r="IRI2" s="18"/>
      <c r="IRJ2" s="18"/>
      <c r="IRK2" s="18"/>
      <c r="IRL2" s="18"/>
      <c r="IRM2" s="18"/>
      <c r="IRN2" s="18"/>
      <c r="IRO2" s="18"/>
      <c r="IRP2" s="18"/>
      <c r="IRQ2" s="18"/>
      <c r="IRR2" s="18"/>
      <c r="IRS2" s="18"/>
      <c r="IRT2" s="18"/>
      <c r="IRU2" s="18"/>
      <c r="IRV2" s="18"/>
      <c r="IRW2" s="18"/>
      <c r="IRX2" s="18"/>
      <c r="IRY2" s="18"/>
      <c r="IRZ2" s="18"/>
      <c r="ISA2" s="18"/>
      <c r="ISB2" s="18"/>
      <c r="ISC2" s="18"/>
      <c r="ISD2" s="18"/>
      <c r="ISE2" s="18"/>
      <c r="ISF2" s="18"/>
      <c r="ISG2" s="18"/>
      <c r="ISH2" s="18"/>
      <c r="ISI2" s="18"/>
      <c r="ISJ2" s="18"/>
      <c r="ISK2" s="18"/>
      <c r="ISL2" s="18"/>
      <c r="ISM2" s="18"/>
      <c r="ISN2" s="18"/>
      <c r="ISO2" s="18"/>
      <c r="ISP2" s="18"/>
      <c r="ISQ2" s="18"/>
      <c r="ISR2" s="18"/>
      <c r="ISS2" s="18"/>
      <c r="IST2" s="18"/>
      <c r="ISU2" s="18"/>
      <c r="ISV2" s="18"/>
      <c r="ISW2" s="18"/>
      <c r="ISX2" s="18"/>
      <c r="ISY2" s="18"/>
      <c r="ISZ2" s="18"/>
      <c r="ITA2" s="18"/>
      <c r="ITB2" s="18"/>
      <c r="ITC2" s="18"/>
      <c r="ITD2" s="18"/>
      <c r="ITE2" s="18"/>
      <c r="ITF2" s="18"/>
      <c r="ITG2" s="18"/>
      <c r="ITH2" s="18"/>
      <c r="ITI2" s="18"/>
      <c r="ITJ2" s="18"/>
      <c r="ITK2" s="18"/>
      <c r="ITL2" s="18"/>
      <c r="ITM2" s="18"/>
      <c r="ITN2" s="18"/>
      <c r="ITO2" s="18"/>
      <c r="ITP2" s="18"/>
      <c r="ITQ2" s="18"/>
      <c r="ITR2" s="18"/>
      <c r="ITS2" s="18"/>
      <c r="ITT2" s="18"/>
      <c r="ITU2" s="18"/>
      <c r="ITV2" s="18"/>
      <c r="ITW2" s="18"/>
      <c r="ITX2" s="18"/>
      <c r="ITY2" s="18"/>
      <c r="ITZ2" s="18"/>
      <c r="IUA2" s="18"/>
      <c r="IUB2" s="18"/>
      <c r="IUC2" s="18"/>
      <c r="IUD2" s="18"/>
      <c r="IUE2" s="18"/>
      <c r="IUF2" s="18"/>
      <c r="IUG2" s="18"/>
      <c r="IUH2" s="18"/>
      <c r="IUI2" s="18"/>
      <c r="IUJ2" s="18"/>
      <c r="IUK2" s="18"/>
      <c r="IUL2" s="18"/>
      <c r="IUM2" s="18"/>
      <c r="IUN2" s="18"/>
      <c r="IUO2" s="18"/>
      <c r="IUP2" s="18"/>
      <c r="IUQ2" s="18"/>
      <c r="IUR2" s="18"/>
      <c r="IUS2" s="18"/>
      <c r="IUT2" s="18"/>
      <c r="IUU2" s="18"/>
      <c r="IUV2" s="18"/>
      <c r="IUW2" s="18"/>
      <c r="IUX2" s="18"/>
      <c r="IUY2" s="18"/>
      <c r="IUZ2" s="18"/>
      <c r="IVA2" s="18"/>
      <c r="IVB2" s="18"/>
      <c r="IVC2" s="18"/>
      <c r="IVD2" s="18"/>
      <c r="IVE2" s="18"/>
      <c r="IVF2" s="18"/>
      <c r="IVG2" s="18"/>
      <c r="IVH2" s="18"/>
      <c r="IVI2" s="18"/>
      <c r="IVJ2" s="18"/>
      <c r="IVK2" s="18"/>
      <c r="IVL2" s="18"/>
      <c r="IVM2" s="18"/>
      <c r="IVN2" s="18"/>
      <c r="IVO2" s="18"/>
      <c r="IVP2" s="18"/>
      <c r="IVQ2" s="18"/>
      <c r="IVR2" s="18"/>
      <c r="IVS2" s="18"/>
      <c r="IVT2" s="18"/>
      <c r="IVU2" s="18"/>
      <c r="IVV2" s="18"/>
      <c r="IVW2" s="18"/>
      <c r="IVX2" s="18"/>
      <c r="IVY2" s="18"/>
      <c r="IVZ2" s="18"/>
      <c r="IWA2" s="18"/>
      <c r="IWB2" s="18"/>
      <c r="IWC2" s="18"/>
      <c r="IWD2" s="18"/>
      <c r="IWE2" s="18"/>
      <c r="IWF2" s="18"/>
      <c r="IWG2" s="18"/>
      <c r="IWH2" s="18"/>
      <c r="IWI2" s="18"/>
      <c r="IWJ2" s="18"/>
      <c r="IWK2" s="18"/>
      <c r="IWL2" s="18"/>
      <c r="IWM2" s="18"/>
      <c r="IWN2" s="18"/>
      <c r="IWO2" s="18"/>
      <c r="IWP2" s="18"/>
      <c r="IWQ2" s="18"/>
      <c r="IWR2" s="18"/>
      <c r="IWS2" s="18"/>
      <c r="IWT2" s="18"/>
      <c r="IWU2" s="18"/>
      <c r="IWV2" s="18"/>
      <c r="IWW2" s="18"/>
      <c r="IWX2" s="18"/>
      <c r="IWY2" s="18"/>
      <c r="IWZ2" s="18"/>
      <c r="IXA2" s="18"/>
      <c r="IXB2" s="18"/>
      <c r="IXC2" s="18"/>
      <c r="IXD2" s="18"/>
      <c r="IXE2" s="18"/>
      <c r="IXF2" s="18"/>
      <c r="IXG2" s="18"/>
      <c r="IXH2" s="18"/>
      <c r="IXI2" s="18"/>
      <c r="IXJ2" s="18"/>
      <c r="IXK2" s="18"/>
      <c r="IXL2" s="18"/>
      <c r="IXM2" s="18"/>
      <c r="IXN2" s="18"/>
      <c r="IXO2" s="18"/>
      <c r="IXP2" s="18"/>
      <c r="IXQ2" s="18"/>
      <c r="IXR2" s="18"/>
      <c r="IXS2" s="18"/>
      <c r="IXT2" s="18"/>
      <c r="IXU2" s="18"/>
      <c r="IXV2" s="18"/>
      <c r="IXW2" s="18"/>
      <c r="IXX2" s="18"/>
      <c r="IXY2" s="18"/>
      <c r="IXZ2" s="18"/>
      <c r="IYA2" s="18"/>
      <c r="IYB2" s="18"/>
      <c r="IYC2" s="18"/>
      <c r="IYD2" s="18"/>
      <c r="IYE2" s="18"/>
      <c r="IYF2" s="18"/>
      <c r="IYG2" s="18"/>
      <c r="IYH2" s="18"/>
      <c r="IYI2" s="18"/>
      <c r="IYJ2" s="18"/>
      <c r="IYK2" s="18"/>
      <c r="IYL2" s="18"/>
      <c r="IYM2" s="18"/>
      <c r="IYN2" s="18"/>
      <c r="IYO2" s="18"/>
      <c r="IYP2" s="18"/>
      <c r="IYQ2" s="18"/>
      <c r="IYR2" s="18"/>
      <c r="IYS2" s="18"/>
      <c r="IYT2" s="18"/>
      <c r="IYU2" s="18"/>
      <c r="IYV2" s="18"/>
      <c r="IYW2" s="18"/>
      <c r="IYX2" s="18"/>
      <c r="IYY2" s="18"/>
      <c r="IYZ2" s="18"/>
      <c r="IZA2" s="18"/>
      <c r="IZB2" s="18"/>
      <c r="IZC2" s="18"/>
      <c r="IZD2" s="18"/>
      <c r="IZE2" s="18"/>
      <c r="IZF2" s="18"/>
      <c r="IZG2" s="18"/>
      <c r="IZH2" s="18"/>
      <c r="IZI2" s="18"/>
      <c r="IZJ2" s="18"/>
      <c r="IZK2" s="18"/>
      <c r="IZL2" s="18"/>
      <c r="IZM2" s="18"/>
      <c r="IZN2" s="18"/>
      <c r="IZO2" s="18"/>
      <c r="IZP2" s="18"/>
      <c r="IZQ2" s="18"/>
      <c r="IZR2" s="18"/>
      <c r="IZS2" s="18"/>
      <c r="IZT2" s="18"/>
      <c r="IZU2" s="18"/>
      <c r="IZV2" s="18"/>
      <c r="IZW2" s="18"/>
      <c r="IZX2" s="18"/>
      <c r="IZY2" s="18"/>
      <c r="IZZ2" s="18"/>
      <c r="JAA2" s="18"/>
      <c r="JAB2" s="18"/>
      <c r="JAC2" s="18"/>
      <c r="JAD2" s="18"/>
      <c r="JAE2" s="18"/>
      <c r="JAF2" s="18"/>
      <c r="JAG2" s="18"/>
      <c r="JAH2" s="18"/>
      <c r="JAI2" s="18"/>
      <c r="JAJ2" s="18"/>
      <c r="JAK2" s="18"/>
      <c r="JAL2" s="18"/>
      <c r="JAM2" s="18"/>
      <c r="JAN2" s="18"/>
      <c r="JAO2" s="18"/>
      <c r="JAP2" s="18"/>
      <c r="JAQ2" s="18"/>
      <c r="JAR2" s="18"/>
      <c r="JAS2" s="18"/>
      <c r="JAT2" s="18"/>
      <c r="JAU2" s="18"/>
      <c r="JAV2" s="18"/>
      <c r="JAW2" s="18"/>
      <c r="JAX2" s="18"/>
      <c r="JAY2" s="18"/>
      <c r="JAZ2" s="18"/>
      <c r="JBA2" s="18"/>
      <c r="JBB2" s="18"/>
      <c r="JBC2" s="18"/>
      <c r="JBD2" s="18"/>
      <c r="JBE2" s="18"/>
      <c r="JBF2" s="18"/>
      <c r="JBG2" s="18"/>
      <c r="JBH2" s="18"/>
      <c r="JBI2" s="18"/>
      <c r="JBJ2" s="18"/>
      <c r="JBK2" s="18"/>
      <c r="JBL2" s="18"/>
      <c r="JBM2" s="18"/>
      <c r="JBN2" s="18"/>
      <c r="JBO2" s="18"/>
      <c r="JBP2" s="18"/>
      <c r="JBQ2" s="18"/>
      <c r="JBR2" s="18"/>
      <c r="JBS2" s="18"/>
      <c r="JBT2" s="18"/>
      <c r="JBU2" s="18"/>
      <c r="JBV2" s="18"/>
      <c r="JBW2" s="18"/>
      <c r="JBX2" s="18"/>
      <c r="JBY2" s="18"/>
      <c r="JBZ2" s="18"/>
      <c r="JCA2" s="18"/>
      <c r="JCB2" s="18"/>
      <c r="JCC2" s="18"/>
      <c r="JCD2" s="18"/>
      <c r="JCE2" s="18"/>
      <c r="JCF2" s="18"/>
      <c r="JCG2" s="18"/>
      <c r="JCH2" s="18"/>
      <c r="JCI2" s="18"/>
      <c r="JCJ2" s="18"/>
      <c r="JCK2" s="18"/>
      <c r="JCL2" s="18"/>
      <c r="JCM2" s="18"/>
      <c r="JCN2" s="18"/>
      <c r="JCO2" s="18"/>
      <c r="JCP2" s="18"/>
      <c r="JCQ2" s="18"/>
      <c r="JCR2" s="18"/>
      <c r="JCS2" s="18"/>
      <c r="JCT2" s="18"/>
      <c r="JCU2" s="18"/>
      <c r="JCV2" s="18"/>
      <c r="JCW2" s="18"/>
      <c r="JCX2" s="18"/>
      <c r="JCY2" s="18"/>
      <c r="JCZ2" s="18"/>
      <c r="JDA2" s="18"/>
      <c r="JDB2" s="18"/>
      <c r="JDC2" s="18"/>
      <c r="JDD2" s="18"/>
      <c r="JDE2" s="18"/>
      <c r="JDF2" s="18"/>
      <c r="JDG2" s="18"/>
      <c r="JDH2" s="18"/>
      <c r="JDI2" s="18"/>
      <c r="JDJ2" s="18"/>
      <c r="JDK2" s="18"/>
      <c r="JDL2" s="18"/>
      <c r="JDM2" s="18"/>
      <c r="JDN2" s="18"/>
      <c r="JDO2" s="18"/>
      <c r="JDP2" s="18"/>
      <c r="JDQ2" s="18"/>
      <c r="JDR2" s="18"/>
      <c r="JDS2" s="18"/>
      <c r="JDT2" s="18"/>
      <c r="JDU2" s="18"/>
      <c r="JDV2" s="18"/>
      <c r="JDW2" s="18"/>
      <c r="JDX2" s="18"/>
      <c r="JDY2" s="18"/>
      <c r="JDZ2" s="18"/>
      <c r="JEA2" s="18"/>
      <c r="JEB2" s="18"/>
      <c r="JEC2" s="18"/>
      <c r="JED2" s="18"/>
      <c r="JEE2" s="18"/>
      <c r="JEF2" s="18"/>
      <c r="JEG2" s="18"/>
      <c r="JEH2" s="18"/>
      <c r="JEI2" s="18"/>
      <c r="JEJ2" s="18"/>
      <c r="JEK2" s="18"/>
      <c r="JEL2" s="18"/>
      <c r="JEM2" s="18"/>
      <c r="JEN2" s="18"/>
      <c r="JEO2" s="18"/>
      <c r="JEP2" s="18"/>
      <c r="JEQ2" s="18"/>
      <c r="JER2" s="18"/>
      <c r="JES2" s="18"/>
      <c r="JET2" s="18"/>
      <c r="JEU2" s="18"/>
      <c r="JEV2" s="18"/>
      <c r="JEW2" s="18"/>
      <c r="JEX2" s="18"/>
      <c r="JEY2" s="18"/>
      <c r="JEZ2" s="18"/>
      <c r="JFA2" s="18"/>
      <c r="JFB2" s="18"/>
      <c r="JFC2" s="18"/>
      <c r="JFD2" s="18"/>
      <c r="JFE2" s="18"/>
      <c r="JFF2" s="18"/>
      <c r="JFG2" s="18"/>
      <c r="JFH2" s="18"/>
      <c r="JFI2" s="18"/>
      <c r="JFJ2" s="18"/>
      <c r="JFK2" s="18"/>
      <c r="JFL2" s="18"/>
      <c r="JFM2" s="18"/>
      <c r="JFN2" s="18"/>
      <c r="JFO2" s="18"/>
      <c r="JFP2" s="18"/>
      <c r="JFQ2" s="18"/>
      <c r="JFR2" s="18"/>
      <c r="JFS2" s="18"/>
      <c r="JFT2" s="18"/>
      <c r="JFU2" s="18"/>
      <c r="JFV2" s="18"/>
      <c r="JFW2" s="18"/>
      <c r="JFX2" s="18"/>
      <c r="JFY2" s="18"/>
      <c r="JFZ2" s="18"/>
      <c r="JGA2" s="18"/>
      <c r="JGB2" s="18"/>
      <c r="JGC2" s="18"/>
      <c r="JGD2" s="18"/>
      <c r="JGE2" s="18"/>
      <c r="JGF2" s="18"/>
      <c r="JGG2" s="18"/>
      <c r="JGH2" s="18"/>
      <c r="JGI2" s="18"/>
      <c r="JGJ2" s="18"/>
      <c r="JGK2" s="18"/>
      <c r="JGL2" s="18"/>
      <c r="JGM2" s="18"/>
      <c r="JGN2" s="18"/>
      <c r="JGO2" s="18"/>
      <c r="JGP2" s="18"/>
      <c r="JGQ2" s="18"/>
      <c r="JGR2" s="18"/>
      <c r="JGS2" s="18"/>
      <c r="JGT2" s="18"/>
      <c r="JGU2" s="18"/>
      <c r="JGV2" s="18"/>
      <c r="JGW2" s="18"/>
      <c r="JGX2" s="18"/>
      <c r="JGY2" s="18"/>
      <c r="JGZ2" s="18"/>
      <c r="JHA2" s="18"/>
      <c r="JHB2" s="18"/>
      <c r="JHC2" s="18"/>
      <c r="JHD2" s="18"/>
      <c r="JHE2" s="18"/>
      <c r="JHF2" s="18"/>
      <c r="JHG2" s="18"/>
      <c r="JHH2" s="18"/>
      <c r="JHI2" s="18"/>
      <c r="JHJ2" s="18"/>
      <c r="JHK2" s="18"/>
      <c r="JHL2" s="18"/>
      <c r="JHM2" s="18"/>
      <c r="JHN2" s="18"/>
      <c r="JHO2" s="18"/>
      <c r="JHP2" s="18"/>
      <c r="JHQ2" s="18"/>
      <c r="JHR2" s="18"/>
      <c r="JHS2" s="18"/>
      <c r="JHT2" s="18"/>
      <c r="JHU2" s="18"/>
      <c r="JHV2" s="18"/>
      <c r="JHW2" s="18"/>
      <c r="JHX2" s="18"/>
      <c r="JHY2" s="18"/>
      <c r="JHZ2" s="18"/>
      <c r="JIA2" s="18"/>
      <c r="JIB2" s="18"/>
      <c r="JIC2" s="18"/>
      <c r="JID2" s="18"/>
      <c r="JIE2" s="18"/>
      <c r="JIF2" s="18"/>
      <c r="JIG2" s="18"/>
      <c r="JIH2" s="18"/>
      <c r="JII2" s="18"/>
      <c r="JIJ2" s="18"/>
      <c r="JIK2" s="18"/>
      <c r="JIL2" s="18"/>
      <c r="JIM2" s="18"/>
      <c r="JIN2" s="18"/>
      <c r="JIO2" s="18"/>
      <c r="JIP2" s="18"/>
      <c r="JIQ2" s="18"/>
      <c r="JIR2" s="18"/>
      <c r="JIS2" s="18"/>
      <c r="JIT2" s="18"/>
      <c r="JIU2" s="18"/>
      <c r="JIV2" s="18"/>
      <c r="JIW2" s="18"/>
      <c r="JIX2" s="18"/>
      <c r="JIY2" s="18"/>
      <c r="JIZ2" s="18"/>
      <c r="JJA2" s="18"/>
      <c r="JJB2" s="18"/>
      <c r="JJC2" s="18"/>
      <c r="JJD2" s="18"/>
      <c r="JJE2" s="18"/>
      <c r="JJF2" s="18"/>
      <c r="JJG2" s="18"/>
      <c r="JJH2" s="18"/>
      <c r="JJI2" s="18"/>
      <c r="JJJ2" s="18"/>
      <c r="JJK2" s="18"/>
      <c r="JJL2" s="18"/>
      <c r="JJM2" s="18"/>
      <c r="JJN2" s="18"/>
      <c r="JJO2" s="18"/>
      <c r="JJP2" s="18"/>
      <c r="JJQ2" s="18"/>
      <c r="JJR2" s="18"/>
      <c r="JJS2" s="18"/>
      <c r="JJT2" s="18"/>
      <c r="JJU2" s="18"/>
      <c r="JJV2" s="18"/>
      <c r="JJW2" s="18"/>
      <c r="JJX2" s="18"/>
      <c r="JJY2" s="18"/>
      <c r="JJZ2" s="18"/>
      <c r="JKA2" s="18"/>
      <c r="JKB2" s="18"/>
      <c r="JKC2" s="18"/>
      <c r="JKD2" s="18"/>
      <c r="JKE2" s="18"/>
      <c r="JKF2" s="18"/>
      <c r="JKG2" s="18"/>
      <c r="JKH2" s="18"/>
      <c r="JKI2" s="18"/>
      <c r="JKJ2" s="18"/>
      <c r="JKK2" s="18"/>
      <c r="JKL2" s="18"/>
      <c r="JKM2" s="18"/>
      <c r="JKN2" s="18"/>
      <c r="JKO2" s="18"/>
      <c r="JKP2" s="18"/>
      <c r="JKQ2" s="18"/>
      <c r="JKR2" s="18"/>
      <c r="JKS2" s="18"/>
      <c r="JKT2" s="18"/>
      <c r="JKU2" s="18"/>
      <c r="JKV2" s="18"/>
      <c r="JKW2" s="18"/>
      <c r="JKX2" s="18"/>
      <c r="JKY2" s="18"/>
      <c r="JKZ2" s="18"/>
      <c r="JLA2" s="18"/>
      <c r="JLB2" s="18"/>
      <c r="JLC2" s="18"/>
      <c r="JLD2" s="18"/>
      <c r="JLE2" s="18"/>
      <c r="JLF2" s="18"/>
      <c r="JLG2" s="18"/>
      <c r="JLH2" s="18"/>
      <c r="JLI2" s="18"/>
      <c r="JLJ2" s="18"/>
      <c r="JLK2" s="18"/>
      <c r="JLL2" s="18"/>
      <c r="JLM2" s="18"/>
      <c r="JLN2" s="18"/>
      <c r="JLO2" s="18"/>
      <c r="JLP2" s="18"/>
      <c r="JLQ2" s="18"/>
      <c r="JLR2" s="18"/>
      <c r="JLS2" s="18"/>
      <c r="JLT2" s="18"/>
      <c r="JLU2" s="18"/>
      <c r="JLV2" s="18"/>
      <c r="JLW2" s="18"/>
      <c r="JLX2" s="18"/>
      <c r="JLY2" s="18"/>
      <c r="JLZ2" s="18"/>
      <c r="JMA2" s="18"/>
      <c r="JMB2" s="18"/>
      <c r="JMC2" s="18"/>
      <c r="JMD2" s="18"/>
      <c r="JME2" s="18"/>
      <c r="JMF2" s="18"/>
      <c r="JMG2" s="18"/>
      <c r="JMH2" s="18"/>
      <c r="JMI2" s="18"/>
      <c r="JMJ2" s="18"/>
      <c r="JMK2" s="18"/>
      <c r="JML2" s="18"/>
      <c r="JMM2" s="18"/>
      <c r="JMN2" s="18"/>
      <c r="JMO2" s="18"/>
      <c r="JMP2" s="18"/>
      <c r="JMQ2" s="18"/>
      <c r="JMR2" s="18"/>
      <c r="JMS2" s="18"/>
      <c r="JMT2" s="18"/>
      <c r="JMU2" s="18"/>
      <c r="JMV2" s="18"/>
      <c r="JMW2" s="18"/>
      <c r="JMX2" s="18"/>
      <c r="JMY2" s="18"/>
      <c r="JMZ2" s="18"/>
      <c r="JNA2" s="18"/>
      <c r="JNB2" s="18"/>
      <c r="JNC2" s="18"/>
      <c r="JND2" s="18"/>
      <c r="JNE2" s="18"/>
      <c r="JNF2" s="18"/>
      <c r="JNG2" s="18"/>
      <c r="JNH2" s="18"/>
      <c r="JNI2" s="18"/>
      <c r="JNJ2" s="18"/>
      <c r="JNK2" s="18"/>
      <c r="JNL2" s="18"/>
      <c r="JNM2" s="18"/>
      <c r="JNN2" s="18"/>
      <c r="JNO2" s="18"/>
      <c r="JNP2" s="18"/>
      <c r="JNQ2" s="18"/>
      <c r="JNR2" s="18"/>
      <c r="JNS2" s="18"/>
      <c r="JNT2" s="18"/>
      <c r="JNU2" s="18"/>
      <c r="JNV2" s="18"/>
      <c r="JNW2" s="18"/>
      <c r="JNX2" s="18"/>
      <c r="JNY2" s="18"/>
      <c r="JNZ2" s="18"/>
      <c r="JOA2" s="18"/>
      <c r="JOB2" s="18"/>
      <c r="JOC2" s="18"/>
      <c r="JOD2" s="18"/>
      <c r="JOE2" s="18"/>
      <c r="JOF2" s="18"/>
      <c r="JOG2" s="18"/>
      <c r="JOH2" s="18"/>
      <c r="JOI2" s="18"/>
      <c r="JOJ2" s="18"/>
      <c r="JOK2" s="18"/>
      <c r="JOL2" s="18"/>
      <c r="JOM2" s="18"/>
      <c r="JON2" s="18"/>
      <c r="JOO2" s="18"/>
      <c r="JOP2" s="18"/>
      <c r="JOQ2" s="18"/>
      <c r="JOR2" s="18"/>
      <c r="JOS2" s="18"/>
      <c r="JOT2" s="18"/>
      <c r="JOU2" s="18"/>
      <c r="JOV2" s="18"/>
      <c r="JOW2" s="18"/>
      <c r="JOX2" s="18"/>
      <c r="JOY2" s="18"/>
      <c r="JOZ2" s="18"/>
      <c r="JPA2" s="18"/>
      <c r="JPB2" s="18"/>
      <c r="JPC2" s="18"/>
      <c r="JPD2" s="18"/>
      <c r="JPE2" s="18"/>
      <c r="JPF2" s="18"/>
      <c r="JPG2" s="18"/>
      <c r="JPH2" s="18"/>
      <c r="JPI2" s="18"/>
      <c r="JPJ2" s="18"/>
      <c r="JPK2" s="18"/>
      <c r="JPL2" s="18"/>
      <c r="JPM2" s="18"/>
      <c r="JPN2" s="18"/>
      <c r="JPO2" s="18"/>
      <c r="JPP2" s="18"/>
      <c r="JPQ2" s="18"/>
      <c r="JPR2" s="18"/>
      <c r="JPS2" s="18"/>
      <c r="JPT2" s="18"/>
      <c r="JPU2" s="18"/>
      <c r="JPV2" s="18"/>
      <c r="JPW2" s="18"/>
      <c r="JPX2" s="18"/>
      <c r="JPY2" s="18"/>
      <c r="JPZ2" s="18"/>
      <c r="JQA2" s="18"/>
      <c r="JQB2" s="18"/>
      <c r="JQC2" s="18"/>
      <c r="JQD2" s="18"/>
      <c r="JQE2" s="18"/>
      <c r="JQF2" s="18"/>
      <c r="JQG2" s="18"/>
      <c r="JQH2" s="18"/>
      <c r="JQI2" s="18"/>
      <c r="JQJ2" s="18"/>
      <c r="JQK2" s="18"/>
      <c r="JQL2" s="18"/>
      <c r="JQM2" s="18"/>
      <c r="JQN2" s="18"/>
      <c r="JQO2" s="18"/>
      <c r="JQP2" s="18"/>
      <c r="JQQ2" s="18"/>
      <c r="JQR2" s="18"/>
      <c r="JQS2" s="18"/>
      <c r="JQT2" s="18"/>
      <c r="JQU2" s="18"/>
      <c r="JQV2" s="18"/>
      <c r="JQW2" s="18"/>
      <c r="JQX2" s="18"/>
      <c r="JQY2" s="18"/>
      <c r="JQZ2" s="18"/>
      <c r="JRA2" s="18"/>
      <c r="JRB2" s="18"/>
      <c r="JRC2" s="18"/>
      <c r="JRD2" s="18"/>
      <c r="JRE2" s="18"/>
      <c r="JRF2" s="18"/>
      <c r="JRG2" s="18"/>
      <c r="JRH2" s="18"/>
      <c r="JRI2" s="18"/>
      <c r="JRJ2" s="18"/>
      <c r="JRK2" s="18"/>
      <c r="JRL2" s="18"/>
      <c r="JRM2" s="18"/>
      <c r="JRN2" s="18"/>
      <c r="JRO2" s="18"/>
      <c r="JRP2" s="18"/>
      <c r="JRQ2" s="18"/>
      <c r="JRR2" s="18"/>
      <c r="JRS2" s="18"/>
      <c r="JRT2" s="18"/>
      <c r="JRU2" s="18"/>
      <c r="JRV2" s="18"/>
      <c r="JRW2" s="18"/>
      <c r="JRX2" s="18"/>
      <c r="JRY2" s="18"/>
      <c r="JRZ2" s="18"/>
      <c r="JSA2" s="18"/>
      <c r="JSB2" s="18"/>
      <c r="JSC2" s="18"/>
      <c r="JSD2" s="18"/>
      <c r="JSE2" s="18"/>
      <c r="JSF2" s="18"/>
      <c r="JSG2" s="18"/>
      <c r="JSH2" s="18"/>
      <c r="JSI2" s="18"/>
      <c r="JSJ2" s="18"/>
      <c r="JSK2" s="18"/>
      <c r="JSL2" s="18"/>
      <c r="JSM2" s="18"/>
      <c r="JSN2" s="18"/>
      <c r="JSO2" s="18"/>
      <c r="JSP2" s="18"/>
      <c r="JSQ2" s="18"/>
      <c r="JSR2" s="18"/>
      <c r="JSS2" s="18"/>
      <c r="JST2" s="18"/>
      <c r="JSU2" s="18"/>
      <c r="JSV2" s="18"/>
      <c r="JSW2" s="18"/>
      <c r="JSX2" s="18"/>
      <c r="JSY2" s="18"/>
      <c r="JSZ2" s="18"/>
      <c r="JTA2" s="18"/>
      <c r="JTB2" s="18"/>
      <c r="JTC2" s="18"/>
      <c r="JTD2" s="18"/>
      <c r="JTE2" s="18"/>
      <c r="JTF2" s="18"/>
      <c r="JTG2" s="18"/>
      <c r="JTH2" s="18"/>
      <c r="JTI2" s="18"/>
      <c r="JTJ2" s="18"/>
      <c r="JTK2" s="18"/>
      <c r="JTL2" s="18"/>
      <c r="JTM2" s="18"/>
      <c r="JTN2" s="18"/>
      <c r="JTO2" s="18"/>
      <c r="JTP2" s="18"/>
      <c r="JTQ2" s="18"/>
      <c r="JTR2" s="18"/>
      <c r="JTS2" s="18"/>
      <c r="JTT2" s="18"/>
      <c r="JTU2" s="18"/>
      <c r="JTV2" s="18"/>
      <c r="JTW2" s="18"/>
      <c r="JTX2" s="18"/>
      <c r="JTY2" s="18"/>
      <c r="JTZ2" s="18"/>
      <c r="JUA2" s="18"/>
      <c r="JUB2" s="18"/>
      <c r="JUC2" s="18"/>
      <c r="JUD2" s="18"/>
      <c r="JUE2" s="18"/>
      <c r="JUF2" s="18"/>
      <c r="JUG2" s="18"/>
      <c r="JUH2" s="18"/>
      <c r="JUI2" s="18"/>
      <c r="JUJ2" s="18"/>
      <c r="JUK2" s="18"/>
      <c r="JUL2" s="18"/>
      <c r="JUM2" s="18"/>
      <c r="JUN2" s="18"/>
      <c r="JUO2" s="18"/>
      <c r="JUP2" s="18"/>
      <c r="JUQ2" s="18"/>
      <c r="JUR2" s="18"/>
      <c r="JUS2" s="18"/>
      <c r="JUT2" s="18"/>
      <c r="JUU2" s="18"/>
      <c r="JUV2" s="18"/>
      <c r="JUW2" s="18"/>
      <c r="JUX2" s="18"/>
      <c r="JUY2" s="18"/>
      <c r="JUZ2" s="18"/>
      <c r="JVA2" s="18"/>
      <c r="JVB2" s="18"/>
      <c r="JVC2" s="18"/>
      <c r="JVD2" s="18"/>
      <c r="JVE2" s="18"/>
      <c r="JVF2" s="18"/>
      <c r="JVG2" s="18"/>
      <c r="JVH2" s="18"/>
      <c r="JVI2" s="18"/>
      <c r="JVJ2" s="18"/>
      <c r="JVK2" s="18"/>
      <c r="JVL2" s="18"/>
      <c r="JVM2" s="18"/>
      <c r="JVN2" s="18"/>
      <c r="JVO2" s="18"/>
      <c r="JVP2" s="18"/>
      <c r="JVQ2" s="18"/>
      <c r="JVR2" s="18"/>
      <c r="JVS2" s="18"/>
      <c r="JVT2" s="18"/>
      <c r="JVU2" s="18"/>
      <c r="JVV2" s="18"/>
      <c r="JVW2" s="18"/>
      <c r="JVX2" s="18"/>
      <c r="JVY2" s="18"/>
      <c r="JVZ2" s="18"/>
      <c r="JWA2" s="18"/>
      <c r="JWB2" s="18"/>
      <c r="JWC2" s="18"/>
      <c r="JWD2" s="18"/>
      <c r="JWE2" s="18"/>
      <c r="JWF2" s="18"/>
      <c r="JWG2" s="18"/>
      <c r="JWH2" s="18"/>
      <c r="JWI2" s="18"/>
      <c r="JWJ2" s="18"/>
      <c r="JWK2" s="18"/>
      <c r="JWL2" s="18"/>
      <c r="JWM2" s="18"/>
      <c r="JWN2" s="18"/>
      <c r="JWO2" s="18"/>
      <c r="JWP2" s="18"/>
      <c r="JWQ2" s="18"/>
      <c r="JWR2" s="18"/>
      <c r="JWS2" s="18"/>
      <c r="JWT2" s="18"/>
      <c r="JWU2" s="18"/>
      <c r="JWV2" s="18"/>
      <c r="JWW2" s="18"/>
      <c r="JWX2" s="18"/>
      <c r="JWY2" s="18"/>
      <c r="JWZ2" s="18"/>
      <c r="JXA2" s="18"/>
      <c r="JXB2" s="18"/>
      <c r="JXC2" s="18"/>
      <c r="JXD2" s="18"/>
      <c r="JXE2" s="18"/>
      <c r="JXF2" s="18"/>
      <c r="JXG2" s="18"/>
      <c r="JXH2" s="18"/>
      <c r="JXI2" s="18"/>
      <c r="JXJ2" s="18"/>
      <c r="JXK2" s="18"/>
      <c r="JXL2" s="18"/>
      <c r="JXM2" s="18"/>
      <c r="JXN2" s="18"/>
      <c r="JXO2" s="18"/>
      <c r="JXP2" s="18"/>
      <c r="JXQ2" s="18"/>
      <c r="JXR2" s="18"/>
      <c r="JXS2" s="18"/>
      <c r="JXT2" s="18"/>
      <c r="JXU2" s="18"/>
      <c r="JXV2" s="18"/>
      <c r="JXW2" s="18"/>
      <c r="JXX2" s="18"/>
      <c r="JXY2" s="18"/>
      <c r="JXZ2" s="18"/>
      <c r="JYA2" s="18"/>
      <c r="JYB2" s="18"/>
      <c r="JYC2" s="18"/>
      <c r="JYD2" s="18"/>
      <c r="JYE2" s="18"/>
      <c r="JYF2" s="18"/>
      <c r="JYG2" s="18"/>
      <c r="JYH2" s="18"/>
      <c r="JYI2" s="18"/>
      <c r="JYJ2" s="18"/>
      <c r="JYK2" s="18"/>
      <c r="JYL2" s="18"/>
      <c r="JYM2" s="18"/>
      <c r="JYN2" s="18"/>
      <c r="JYO2" s="18"/>
      <c r="JYP2" s="18"/>
      <c r="JYQ2" s="18"/>
      <c r="JYR2" s="18"/>
      <c r="JYS2" s="18"/>
      <c r="JYT2" s="18"/>
      <c r="JYU2" s="18"/>
      <c r="JYV2" s="18"/>
      <c r="JYW2" s="18"/>
      <c r="JYX2" s="18"/>
      <c r="JYY2" s="18"/>
      <c r="JYZ2" s="18"/>
      <c r="JZA2" s="18"/>
      <c r="JZB2" s="18"/>
      <c r="JZC2" s="18"/>
      <c r="JZD2" s="18"/>
      <c r="JZE2" s="18"/>
      <c r="JZF2" s="18"/>
      <c r="JZG2" s="18"/>
      <c r="JZH2" s="18"/>
      <c r="JZI2" s="18"/>
      <c r="JZJ2" s="18"/>
      <c r="JZK2" s="18"/>
      <c r="JZL2" s="18"/>
      <c r="JZM2" s="18"/>
      <c r="JZN2" s="18"/>
      <c r="JZO2" s="18"/>
      <c r="JZP2" s="18"/>
      <c r="JZQ2" s="18"/>
      <c r="JZR2" s="18"/>
      <c r="JZS2" s="18"/>
      <c r="JZT2" s="18"/>
      <c r="JZU2" s="18"/>
      <c r="JZV2" s="18"/>
      <c r="JZW2" s="18"/>
      <c r="JZX2" s="18"/>
      <c r="JZY2" s="18"/>
      <c r="JZZ2" s="18"/>
      <c r="KAA2" s="18"/>
      <c r="KAB2" s="18"/>
      <c r="KAC2" s="18"/>
      <c r="KAD2" s="18"/>
      <c r="KAE2" s="18"/>
      <c r="KAF2" s="18"/>
      <c r="KAG2" s="18"/>
      <c r="KAH2" s="18"/>
      <c r="KAI2" s="18"/>
      <c r="KAJ2" s="18"/>
      <c r="KAK2" s="18"/>
      <c r="KAL2" s="18"/>
      <c r="KAM2" s="18"/>
      <c r="KAN2" s="18"/>
      <c r="KAO2" s="18"/>
      <c r="KAP2" s="18"/>
      <c r="KAQ2" s="18"/>
      <c r="KAR2" s="18"/>
      <c r="KAS2" s="18"/>
      <c r="KAT2" s="18"/>
      <c r="KAU2" s="18"/>
      <c r="KAV2" s="18"/>
      <c r="KAW2" s="18"/>
      <c r="KAX2" s="18"/>
      <c r="KAY2" s="18"/>
      <c r="KAZ2" s="18"/>
      <c r="KBA2" s="18"/>
      <c r="KBB2" s="18"/>
      <c r="KBC2" s="18"/>
      <c r="KBD2" s="18"/>
      <c r="KBE2" s="18"/>
      <c r="KBF2" s="18"/>
      <c r="KBG2" s="18"/>
      <c r="KBH2" s="18"/>
      <c r="KBI2" s="18"/>
      <c r="KBJ2" s="18"/>
      <c r="KBK2" s="18"/>
      <c r="KBL2" s="18"/>
      <c r="KBM2" s="18"/>
      <c r="KBN2" s="18"/>
      <c r="KBO2" s="18"/>
      <c r="KBP2" s="18"/>
      <c r="KBQ2" s="18"/>
      <c r="KBR2" s="18"/>
      <c r="KBS2" s="18"/>
      <c r="KBT2" s="18"/>
      <c r="KBU2" s="18"/>
      <c r="KBV2" s="18"/>
      <c r="KBW2" s="18"/>
      <c r="KBX2" s="18"/>
      <c r="KBY2" s="18"/>
      <c r="KBZ2" s="18"/>
      <c r="KCA2" s="18"/>
      <c r="KCB2" s="18"/>
      <c r="KCC2" s="18"/>
      <c r="KCD2" s="18"/>
      <c r="KCE2" s="18"/>
      <c r="KCF2" s="18"/>
      <c r="KCG2" s="18"/>
      <c r="KCH2" s="18"/>
      <c r="KCI2" s="18"/>
      <c r="KCJ2" s="18"/>
      <c r="KCK2" s="18"/>
      <c r="KCL2" s="18"/>
      <c r="KCM2" s="18"/>
      <c r="KCN2" s="18"/>
      <c r="KCO2" s="18"/>
      <c r="KCP2" s="18"/>
      <c r="KCQ2" s="18"/>
      <c r="KCR2" s="18"/>
      <c r="KCS2" s="18"/>
      <c r="KCT2" s="18"/>
      <c r="KCU2" s="18"/>
      <c r="KCV2" s="18"/>
      <c r="KCW2" s="18"/>
      <c r="KCX2" s="18"/>
      <c r="KCY2" s="18"/>
      <c r="KCZ2" s="18"/>
      <c r="KDA2" s="18"/>
      <c r="KDB2" s="18"/>
      <c r="KDC2" s="18"/>
      <c r="KDD2" s="18"/>
      <c r="KDE2" s="18"/>
      <c r="KDF2" s="18"/>
      <c r="KDG2" s="18"/>
      <c r="KDH2" s="18"/>
      <c r="KDI2" s="18"/>
      <c r="KDJ2" s="18"/>
      <c r="KDK2" s="18"/>
      <c r="KDL2" s="18"/>
      <c r="KDM2" s="18"/>
      <c r="KDN2" s="18"/>
      <c r="KDO2" s="18"/>
      <c r="KDP2" s="18"/>
      <c r="KDQ2" s="18"/>
      <c r="KDR2" s="18"/>
      <c r="KDS2" s="18"/>
      <c r="KDT2" s="18"/>
      <c r="KDU2" s="18"/>
      <c r="KDV2" s="18"/>
      <c r="KDW2" s="18"/>
      <c r="KDX2" s="18"/>
      <c r="KDY2" s="18"/>
      <c r="KDZ2" s="18"/>
      <c r="KEA2" s="18"/>
      <c r="KEB2" s="18"/>
      <c r="KEC2" s="18"/>
      <c r="KED2" s="18"/>
      <c r="KEE2" s="18"/>
      <c r="KEF2" s="18"/>
      <c r="KEG2" s="18"/>
      <c r="KEH2" s="18"/>
      <c r="KEI2" s="18"/>
      <c r="KEJ2" s="18"/>
      <c r="KEK2" s="18"/>
      <c r="KEL2" s="18"/>
      <c r="KEM2" s="18"/>
      <c r="KEN2" s="18"/>
      <c r="KEO2" s="18"/>
      <c r="KEP2" s="18"/>
      <c r="KEQ2" s="18"/>
      <c r="KER2" s="18"/>
      <c r="KES2" s="18"/>
      <c r="KET2" s="18"/>
      <c r="KEU2" s="18"/>
      <c r="KEV2" s="18"/>
      <c r="KEW2" s="18"/>
      <c r="KEX2" s="18"/>
      <c r="KEY2" s="18"/>
      <c r="KEZ2" s="18"/>
      <c r="KFA2" s="18"/>
      <c r="KFB2" s="18"/>
      <c r="KFC2" s="18"/>
      <c r="KFD2" s="18"/>
      <c r="KFE2" s="18"/>
      <c r="KFF2" s="18"/>
      <c r="KFG2" s="18"/>
      <c r="KFH2" s="18"/>
      <c r="KFI2" s="18"/>
      <c r="KFJ2" s="18"/>
      <c r="KFK2" s="18"/>
      <c r="KFL2" s="18"/>
      <c r="KFM2" s="18"/>
      <c r="KFN2" s="18"/>
      <c r="KFO2" s="18"/>
      <c r="KFP2" s="18"/>
      <c r="KFQ2" s="18"/>
      <c r="KFR2" s="18"/>
      <c r="KFS2" s="18"/>
      <c r="KFT2" s="18"/>
      <c r="KFU2" s="18"/>
      <c r="KFV2" s="18"/>
      <c r="KFW2" s="18"/>
      <c r="KFX2" s="18"/>
      <c r="KFY2" s="18"/>
      <c r="KFZ2" s="18"/>
      <c r="KGA2" s="18"/>
      <c r="KGB2" s="18"/>
      <c r="KGC2" s="18"/>
      <c r="KGD2" s="18"/>
      <c r="KGE2" s="18"/>
      <c r="KGF2" s="18"/>
      <c r="KGG2" s="18"/>
      <c r="KGH2" s="18"/>
      <c r="KGI2" s="18"/>
      <c r="KGJ2" s="18"/>
      <c r="KGK2" s="18"/>
      <c r="KGL2" s="18"/>
      <c r="KGM2" s="18"/>
      <c r="KGN2" s="18"/>
      <c r="KGO2" s="18"/>
      <c r="KGP2" s="18"/>
      <c r="KGQ2" s="18"/>
      <c r="KGR2" s="18"/>
      <c r="KGS2" s="18"/>
      <c r="KGT2" s="18"/>
      <c r="KGU2" s="18"/>
      <c r="KGV2" s="18"/>
      <c r="KGW2" s="18"/>
      <c r="KGX2" s="18"/>
      <c r="KGY2" s="18"/>
      <c r="KGZ2" s="18"/>
      <c r="KHA2" s="18"/>
      <c r="KHB2" s="18"/>
      <c r="KHC2" s="18"/>
      <c r="KHD2" s="18"/>
      <c r="KHE2" s="18"/>
      <c r="KHF2" s="18"/>
      <c r="KHG2" s="18"/>
      <c r="KHH2" s="18"/>
      <c r="KHI2" s="18"/>
      <c r="KHJ2" s="18"/>
      <c r="KHK2" s="18"/>
      <c r="KHL2" s="18"/>
      <c r="KHM2" s="18"/>
      <c r="KHN2" s="18"/>
      <c r="KHO2" s="18"/>
      <c r="KHP2" s="18"/>
      <c r="KHQ2" s="18"/>
      <c r="KHR2" s="18"/>
      <c r="KHS2" s="18"/>
      <c r="KHT2" s="18"/>
      <c r="KHU2" s="18"/>
      <c r="KHV2" s="18"/>
      <c r="KHW2" s="18"/>
      <c r="KHX2" s="18"/>
      <c r="KHY2" s="18"/>
      <c r="KHZ2" s="18"/>
      <c r="KIA2" s="18"/>
      <c r="KIB2" s="18"/>
      <c r="KIC2" s="18"/>
      <c r="KID2" s="18"/>
      <c r="KIE2" s="18"/>
      <c r="KIF2" s="18"/>
      <c r="KIG2" s="18"/>
      <c r="KIH2" s="18"/>
      <c r="KII2" s="18"/>
      <c r="KIJ2" s="18"/>
      <c r="KIK2" s="18"/>
      <c r="KIL2" s="18"/>
      <c r="KIM2" s="18"/>
      <c r="KIN2" s="18"/>
      <c r="KIO2" s="18"/>
      <c r="KIP2" s="18"/>
      <c r="KIQ2" s="18"/>
      <c r="KIR2" s="18"/>
      <c r="KIS2" s="18"/>
      <c r="KIT2" s="18"/>
      <c r="KIU2" s="18"/>
      <c r="KIV2" s="18"/>
      <c r="KIW2" s="18"/>
      <c r="KIX2" s="18"/>
      <c r="KIY2" s="18"/>
      <c r="KIZ2" s="18"/>
      <c r="KJA2" s="18"/>
      <c r="KJB2" s="18"/>
      <c r="KJC2" s="18"/>
      <c r="KJD2" s="18"/>
      <c r="KJE2" s="18"/>
      <c r="KJF2" s="18"/>
      <c r="KJG2" s="18"/>
      <c r="KJH2" s="18"/>
      <c r="KJI2" s="18"/>
      <c r="KJJ2" s="18"/>
      <c r="KJK2" s="18"/>
      <c r="KJL2" s="18"/>
      <c r="KJM2" s="18"/>
      <c r="KJN2" s="18"/>
      <c r="KJO2" s="18"/>
      <c r="KJP2" s="18"/>
      <c r="KJQ2" s="18"/>
      <c r="KJR2" s="18"/>
      <c r="KJS2" s="18"/>
      <c r="KJT2" s="18"/>
      <c r="KJU2" s="18"/>
      <c r="KJV2" s="18"/>
      <c r="KJW2" s="18"/>
      <c r="KJX2" s="18"/>
      <c r="KJY2" s="18"/>
      <c r="KJZ2" s="18"/>
      <c r="KKA2" s="18"/>
      <c r="KKB2" s="18"/>
      <c r="KKC2" s="18"/>
      <c r="KKD2" s="18"/>
      <c r="KKE2" s="18"/>
      <c r="KKF2" s="18"/>
      <c r="KKG2" s="18"/>
      <c r="KKH2" s="18"/>
      <c r="KKI2" s="18"/>
      <c r="KKJ2" s="18"/>
      <c r="KKK2" s="18"/>
      <c r="KKL2" s="18"/>
      <c r="KKM2" s="18"/>
      <c r="KKN2" s="18"/>
      <c r="KKO2" s="18"/>
      <c r="KKP2" s="18"/>
      <c r="KKQ2" s="18"/>
      <c r="KKR2" s="18"/>
      <c r="KKS2" s="18"/>
      <c r="KKT2" s="18"/>
      <c r="KKU2" s="18"/>
      <c r="KKV2" s="18"/>
      <c r="KKW2" s="18"/>
      <c r="KKX2" s="18"/>
      <c r="KKY2" s="18"/>
      <c r="KKZ2" s="18"/>
      <c r="KLA2" s="18"/>
      <c r="KLB2" s="18"/>
      <c r="KLC2" s="18"/>
      <c r="KLD2" s="18"/>
      <c r="KLE2" s="18"/>
      <c r="KLF2" s="18"/>
      <c r="KLG2" s="18"/>
      <c r="KLH2" s="18"/>
      <c r="KLI2" s="18"/>
      <c r="KLJ2" s="18"/>
      <c r="KLK2" s="18"/>
      <c r="KLL2" s="18"/>
      <c r="KLM2" s="18"/>
      <c r="KLN2" s="18"/>
      <c r="KLO2" s="18"/>
      <c r="KLP2" s="18"/>
      <c r="KLQ2" s="18"/>
      <c r="KLR2" s="18"/>
      <c r="KLS2" s="18"/>
      <c r="KLT2" s="18"/>
      <c r="KLU2" s="18"/>
      <c r="KLV2" s="18"/>
      <c r="KLW2" s="18"/>
      <c r="KLX2" s="18"/>
      <c r="KLY2" s="18"/>
      <c r="KLZ2" s="18"/>
      <c r="KMA2" s="18"/>
      <c r="KMB2" s="18"/>
      <c r="KMC2" s="18"/>
      <c r="KMD2" s="18"/>
      <c r="KME2" s="18"/>
      <c r="KMF2" s="18"/>
      <c r="KMG2" s="18"/>
      <c r="KMH2" s="18"/>
      <c r="KMI2" s="18"/>
      <c r="KMJ2" s="18"/>
      <c r="KMK2" s="18"/>
      <c r="KML2" s="18"/>
      <c r="KMM2" s="18"/>
      <c r="KMN2" s="18"/>
      <c r="KMO2" s="18"/>
      <c r="KMP2" s="18"/>
      <c r="KMQ2" s="18"/>
      <c r="KMR2" s="18"/>
      <c r="KMS2" s="18"/>
      <c r="KMT2" s="18"/>
      <c r="KMU2" s="18"/>
      <c r="KMV2" s="18"/>
      <c r="KMW2" s="18"/>
      <c r="KMX2" s="18"/>
      <c r="KMY2" s="18"/>
      <c r="KMZ2" s="18"/>
      <c r="KNA2" s="18"/>
      <c r="KNB2" s="18"/>
      <c r="KNC2" s="18"/>
      <c r="KND2" s="18"/>
      <c r="KNE2" s="18"/>
      <c r="KNF2" s="18"/>
      <c r="KNG2" s="18"/>
      <c r="KNH2" s="18"/>
      <c r="KNI2" s="18"/>
      <c r="KNJ2" s="18"/>
      <c r="KNK2" s="18"/>
      <c r="KNL2" s="18"/>
      <c r="KNM2" s="18"/>
      <c r="KNN2" s="18"/>
      <c r="KNO2" s="18"/>
      <c r="KNP2" s="18"/>
      <c r="KNQ2" s="18"/>
      <c r="KNR2" s="18"/>
      <c r="KNS2" s="18"/>
      <c r="KNT2" s="18"/>
      <c r="KNU2" s="18"/>
      <c r="KNV2" s="18"/>
      <c r="KNW2" s="18"/>
      <c r="KNX2" s="18"/>
      <c r="KNY2" s="18"/>
      <c r="KNZ2" s="18"/>
      <c r="KOA2" s="18"/>
      <c r="KOB2" s="18"/>
      <c r="KOC2" s="18"/>
      <c r="KOD2" s="18"/>
      <c r="KOE2" s="18"/>
      <c r="KOF2" s="18"/>
      <c r="KOG2" s="18"/>
      <c r="KOH2" s="18"/>
      <c r="KOI2" s="18"/>
      <c r="KOJ2" s="18"/>
      <c r="KOK2" s="18"/>
      <c r="KOL2" s="18"/>
      <c r="KOM2" s="18"/>
      <c r="KON2" s="18"/>
      <c r="KOO2" s="18"/>
      <c r="KOP2" s="18"/>
      <c r="KOQ2" s="18"/>
      <c r="KOR2" s="18"/>
      <c r="KOS2" s="18"/>
      <c r="KOT2" s="18"/>
      <c r="KOU2" s="18"/>
      <c r="KOV2" s="18"/>
      <c r="KOW2" s="18"/>
      <c r="KOX2" s="18"/>
      <c r="KOY2" s="18"/>
      <c r="KOZ2" s="18"/>
      <c r="KPA2" s="18"/>
      <c r="KPB2" s="18"/>
      <c r="KPC2" s="18"/>
      <c r="KPD2" s="18"/>
      <c r="KPE2" s="18"/>
      <c r="KPF2" s="18"/>
      <c r="KPG2" s="18"/>
      <c r="KPH2" s="18"/>
      <c r="KPI2" s="18"/>
      <c r="KPJ2" s="18"/>
      <c r="KPK2" s="18"/>
      <c r="KPL2" s="18"/>
      <c r="KPM2" s="18"/>
      <c r="KPN2" s="18"/>
      <c r="KPO2" s="18"/>
      <c r="KPP2" s="18"/>
      <c r="KPQ2" s="18"/>
      <c r="KPR2" s="18"/>
      <c r="KPS2" s="18"/>
      <c r="KPT2" s="18"/>
      <c r="KPU2" s="18"/>
      <c r="KPV2" s="18"/>
      <c r="KPW2" s="18"/>
      <c r="KPX2" s="18"/>
      <c r="KPY2" s="18"/>
      <c r="KPZ2" s="18"/>
      <c r="KQA2" s="18"/>
      <c r="KQB2" s="18"/>
      <c r="KQC2" s="18"/>
      <c r="KQD2" s="18"/>
      <c r="KQE2" s="18"/>
      <c r="KQF2" s="18"/>
      <c r="KQG2" s="18"/>
      <c r="KQH2" s="18"/>
      <c r="KQI2" s="18"/>
      <c r="KQJ2" s="18"/>
      <c r="KQK2" s="18"/>
      <c r="KQL2" s="18"/>
      <c r="KQM2" s="18"/>
      <c r="KQN2" s="18"/>
      <c r="KQO2" s="18"/>
      <c r="KQP2" s="18"/>
      <c r="KQQ2" s="18"/>
      <c r="KQR2" s="18"/>
      <c r="KQS2" s="18"/>
      <c r="KQT2" s="18"/>
      <c r="KQU2" s="18"/>
      <c r="KQV2" s="18"/>
      <c r="KQW2" s="18"/>
      <c r="KQX2" s="18"/>
      <c r="KQY2" s="18"/>
      <c r="KQZ2" s="18"/>
      <c r="KRA2" s="18"/>
      <c r="KRB2" s="18"/>
      <c r="KRC2" s="18"/>
      <c r="KRD2" s="18"/>
      <c r="KRE2" s="18"/>
      <c r="KRF2" s="18"/>
      <c r="KRG2" s="18"/>
      <c r="KRH2" s="18"/>
      <c r="KRI2" s="18"/>
      <c r="KRJ2" s="18"/>
      <c r="KRK2" s="18"/>
      <c r="KRL2" s="18"/>
      <c r="KRM2" s="18"/>
      <c r="KRN2" s="18"/>
      <c r="KRO2" s="18"/>
      <c r="KRP2" s="18"/>
      <c r="KRQ2" s="18"/>
      <c r="KRR2" s="18"/>
      <c r="KRS2" s="18"/>
      <c r="KRT2" s="18"/>
      <c r="KRU2" s="18"/>
      <c r="KRV2" s="18"/>
      <c r="KRW2" s="18"/>
      <c r="KRX2" s="18"/>
      <c r="KRY2" s="18"/>
      <c r="KRZ2" s="18"/>
      <c r="KSA2" s="18"/>
      <c r="KSB2" s="18"/>
      <c r="KSC2" s="18"/>
      <c r="KSD2" s="18"/>
      <c r="KSE2" s="18"/>
      <c r="KSF2" s="18"/>
      <c r="KSG2" s="18"/>
      <c r="KSH2" s="18"/>
      <c r="KSI2" s="18"/>
      <c r="KSJ2" s="18"/>
      <c r="KSK2" s="18"/>
      <c r="KSL2" s="18"/>
      <c r="KSM2" s="18"/>
      <c r="KSN2" s="18"/>
      <c r="KSO2" s="18"/>
      <c r="KSP2" s="18"/>
      <c r="KSQ2" s="18"/>
      <c r="KSR2" s="18"/>
      <c r="KSS2" s="18"/>
      <c r="KST2" s="18"/>
      <c r="KSU2" s="18"/>
      <c r="KSV2" s="18"/>
      <c r="KSW2" s="18"/>
      <c r="KSX2" s="18"/>
      <c r="KSY2" s="18"/>
      <c r="KSZ2" s="18"/>
      <c r="KTA2" s="18"/>
      <c r="KTB2" s="18"/>
      <c r="KTC2" s="18"/>
      <c r="KTD2" s="18"/>
      <c r="KTE2" s="18"/>
      <c r="KTF2" s="18"/>
      <c r="KTG2" s="18"/>
      <c r="KTH2" s="18"/>
      <c r="KTI2" s="18"/>
      <c r="KTJ2" s="18"/>
      <c r="KTK2" s="18"/>
      <c r="KTL2" s="18"/>
      <c r="KTM2" s="18"/>
      <c r="KTN2" s="18"/>
      <c r="KTO2" s="18"/>
      <c r="KTP2" s="18"/>
      <c r="KTQ2" s="18"/>
      <c r="KTR2" s="18"/>
      <c r="KTS2" s="18"/>
      <c r="KTT2" s="18"/>
      <c r="KTU2" s="18"/>
      <c r="KTV2" s="18"/>
      <c r="KTW2" s="18"/>
      <c r="KTX2" s="18"/>
      <c r="KTY2" s="18"/>
      <c r="KTZ2" s="18"/>
      <c r="KUA2" s="18"/>
      <c r="KUB2" s="18"/>
      <c r="KUC2" s="18"/>
      <c r="KUD2" s="18"/>
      <c r="KUE2" s="18"/>
      <c r="KUF2" s="18"/>
      <c r="KUG2" s="18"/>
      <c r="KUH2" s="18"/>
      <c r="KUI2" s="18"/>
      <c r="KUJ2" s="18"/>
      <c r="KUK2" s="18"/>
      <c r="KUL2" s="18"/>
      <c r="KUM2" s="18"/>
      <c r="KUN2" s="18"/>
      <c r="KUO2" s="18"/>
      <c r="KUP2" s="18"/>
      <c r="KUQ2" s="18"/>
      <c r="KUR2" s="18"/>
      <c r="KUS2" s="18"/>
      <c r="KUT2" s="18"/>
      <c r="KUU2" s="18"/>
      <c r="KUV2" s="18"/>
      <c r="KUW2" s="18"/>
      <c r="KUX2" s="18"/>
      <c r="KUY2" s="18"/>
      <c r="KUZ2" s="18"/>
      <c r="KVA2" s="18"/>
      <c r="KVB2" s="18"/>
      <c r="KVC2" s="18"/>
      <c r="KVD2" s="18"/>
      <c r="KVE2" s="18"/>
      <c r="KVF2" s="18"/>
      <c r="KVG2" s="18"/>
      <c r="KVH2" s="18"/>
      <c r="KVI2" s="18"/>
      <c r="KVJ2" s="18"/>
      <c r="KVK2" s="18"/>
      <c r="KVL2" s="18"/>
      <c r="KVM2" s="18"/>
      <c r="KVN2" s="18"/>
      <c r="KVO2" s="18"/>
      <c r="KVP2" s="18"/>
      <c r="KVQ2" s="18"/>
      <c r="KVR2" s="18"/>
      <c r="KVS2" s="18"/>
      <c r="KVT2" s="18"/>
      <c r="KVU2" s="18"/>
      <c r="KVV2" s="18"/>
      <c r="KVW2" s="18"/>
      <c r="KVX2" s="18"/>
      <c r="KVY2" s="18"/>
      <c r="KVZ2" s="18"/>
      <c r="KWA2" s="18"/>
      <c r="KWB2" s="18"/>
      <c r="KWC2" s="18"/>
      <c r="KWD2" s="18"/>
      <c r="KWE2" s="18"/>
      <c r="KWF2" s="18"/>
      <c r="KWG2" s="18"/>
      <c r="KWH2" s="18"/>
      <c r="KWI2" s="18"/>
      <c r="KWJ2" s="18"/>
      <c r="KWK2" s="18"/>
      <c r="KWL2" s="18"/>
      <c r="KWM2" s="18"/>
      <c r="KWN2" s="18"/>
      <c r="KWO2" s="18"/>
      <c r="KWP2" s="18"/>
      <c r="KWQ2" s="18"/>
      <c r="KWR2" s="18"/>
      <c r="KWS2" s="18"/>
      <c r="KWT2" s="18"/>
      <c r="KWU2" s="18"/>
      <c r="KWV2" s="18"/>
      <c r="KWW2" s="18"/>
      <c r="KWX2" s="18"/>
      <c r="KWY2" s="18"/>
      <c r="KWZ2" s="18"/>
      <c r="KXA2" s="18"/>
      <c r="KXB2" s="18"/>
      <c r="KXC2" s="18"/>
      <c r="KXD2" s="18"/>
      <c r="KXE2" s="18"/>
      <c r="KXF2" s="18"/>
      <c r="KXG2" s="18"/>
      <c r="KXH2" s="18"/>
      <c r="KXI2" s="18"/>
      <c r="KXJ2" s="18"/>
      <c r="KXK2" s="18"/>
      <c r="KXL2" s="18"/>
      <c r="KXM2" s="18"/>
      <c r="KXN2" s="18"/>
      <c r="KXO2" s="18"/>
      <c r="KXP2" s="18"/>
      <c r="KXQ2" s="18"/>
      <c r="KXR2" s="18"/>
      <c r="KXS2" s="18"/>
      <c r="KXT2" s="18"/>
      <c r="KXU2" s="18"/>
      <c r="KXV2" s="18"/>
      <c r="KXW2" s="18"/>
      <c r="KXX2" s="18"/>
      <c r="KXY2" s="18"/>
      <c r="KXZ2" s="18"/>
      <c r="KYA2" s="18"/>
      <c r="KYB2" s="18"/>
      <c r="KYC2" s="18"/>
      <c r="KYD2" s="18"/>
      <c r="KYE2" s="18"/>
      <c r="KYF2" s="18"/>
      <c r="KYG2" s="18"/>
      <c r="KYH2" s="18"/>
      <c r="KYI2" s="18"/>
      <c r="KYJ2" s="18"/>
      <c r="KYK2" s="18"/>
      <c r="KYL2" s="18"/>
      <c r="KYM2" s="18"/>
      <c r="KYN2" s="18"/>
      <c r="KYO2" s="18"/>
      <c r="KYP2" s="18"/>
      <c r="KYQ2" s="18"/>
      <c r="KYR2" s="18"/>
      <c r="KYS2" s="18"/>
      <c r="KYT2" s="18"/>
      <c r="KYU2" s="18"/>
      <c r="KYV2" s="18"/>
      <c r="KYW2" s="18"/>
      <c r="KYX2" s="18"/>
      <c r="KYY2" s="18"/>
      <c r="KYZ2" s="18"/>
      <c r="KZA2" s="18"/>
      <c r="KZB2" s="18"/>
      <c r="KZC2" s="18"/>
      <c r="KZD2" s="18"/>
      <c r="KZE2" s="18"/>
      <c r="KZF2" s="18"/>
      <c r="KZG2" s="18"/>
      <c r="KZH2" s="18"/>
      <c r="KZI2" s="18"/>
      <c r="KZJ2" s="18"/>
      <c r="KZK2" s="18"/>
      <c r="KZL2" s="18"/>
      <c r="KZM2" s="18"/>
      <c r="KZN2" s="18"/>
      <c r="KZO2" s="18"/>
      <c r="KZP2" s="18"/>
      <c r="KZQ2" s="18"/>
      <c r="KZR2" s="18"/>
      <c r="KZS2" s="18"/>
      <c r="KZT2" s="18"/>
      <c r="KZU2" s="18"/>
      <c r="KZV2" s="18"/>
      <c r="KZW2" s="18"/>
      <c r="KZX2" s="18"/>
      <c r="KZY2" s="18"/>
      <c r="KZZ2" s="18"/>
      <c r="LAA2" s="18"/>
      <c r="LAB2" s="18"/>
      <c r="LAC2" s="18"/>
      <c r="LAD2" s="18"/>
      <c r="LAE2" s="18"/>
      <c r="LAF2" s="18"/>
      <c r="LAG2" s="18"/>
      <c r="LAH2" s="18"/>
      <c r="LAI2" s="18"/>
      <c r="LAJ2" s="18"/>
      <c r="LAK2" s="18"/>
      <c r="LAL2" s="18"/>
      <c r="LAM2" s="18"/>
      <c r="LAN2" s="18"/>
      <c r="LAO2" s="18"/>
      <c r="LAP2" s="18"/>
      <c r="LAQ2" s="18"/>
      <c r="LAR2" s="18"/>
      <c r="LAS2" s="18"/>
      <c r="LAT2" s="18"/>
      <c r="LAU2" s="18"/>
      <c r="LAV2" s="18"/>
      <c r="LAW2" s="18"/>
      <c r="LAX2" s="18"/>
      <c r="LAY2" s="18"/>
      <c r="LAZ2" s="18"/>
      <c r="LBA2" s="18"/>
      <c r="LBB2" s="18"/>
      <c r="LBC2" s="18"/>
      <c r="LBD2" s="18"/>
      <c r="LBE2" s="18"/>
      <c r="LBF2" s="18"/>
      <c r="LBG2" s="18"/>
      <c r="LBH2" s="18"/>
      <c r="LBI2" s="18"/>
      <c r="LBJ2" s="18"/>
      <c r="LBK2" s="18"/>
      <c r="LBL2" s="18"/>
      <c r="LBM2" s="18"/>
      <c r="LBN2" s="18"/>
      <c r="LBO2" s="18"/>
      <c r="LBP2" s="18"/>
      <c r="LBQ2" s="18"/>
      <c r="LBR2" s="18"/>
      <c r="LBS2" s="18"/>
      <c r="LBT2" s="18"/>
      <c r="LBU2" s="18"/>
      <c r="LBV2" s="18"/>
      <c r="LBW2" s="18"/>
      <c r="LBX2" s="18"/>
      <c r="LBY2" s="18"/>
      <c r="LBZ2" s="18"/>
      <c r="LCA2" s="18"/>
      <c r="LCB2" s="18"/>
      <c r="LCC2" s="18"/>
      <c r="LCD2" s="18"/>
      <c r="LCE2" s="18"/>
      <c r="LCF2" s="18"/>
      <c r="LCG2" s="18"/>
      <c r="LCH2" s="18"/>
      <c r="LCI2" s="18"/>
      <c r="LCJ2" s="18"/>
      <c r="LCK2" s="18"/>
      <c r="LCL2" s="18"/>
      <c r="LCM2" s="18"/>
      <c r="LCN2" s="18"/>
      <c r="LCO2" s="18"/>
      <c r="LCP2" s="18"/>
      <c r="LCQ2" s="18"/>
      <c r="LCR2" s="18"/>
      <c r="LCS2" s="18"/>
      <c r="LCT2" s="18"/>
      <c r="LCU2" s="18"/>
      <c r="LCV2" s="18"/>
      <c r="LCW2" s="18"/>
      <c r="LCX2" s="18"/>
      <c r="LCY2" s="18"/>
      <c r="LCZ2" s="18"/>
      <c r="LDA2" s="18"/>
      <c r="LDB2" s="18"/>
      <c r="LDC2" s="18"/>
      <c r="LDD2" s="18"/>
      <c r="LDE2" s="18"/>
      <c r="LDF2" s="18"/>
      <c r="LDG2" s="18"/>
      <c r="LDH2" s="18"/>
      <c r="LDI2" s="18"/>
      <c r="LDJ2" s="18"/>
      <c r="LDK2" s="18"/>
      <c r="LDL2" s="18"/>
      <c r="LDM2" s="18"/>
      <c r="LDN2" s="18"/>
      <c r="LDO2" s="18"/>
      <c r="LDP2" s="18"/>
      <c r="LDQ2" s="18"/>
      <c r="LDR2" s="18"/>
      <c r="LDS2" s="18"/>
      <c r="LDT2" s="18"/>
      <c r="LDU2" s="18"/>
      <c r="LDV2" s="18"/>
      <c r="LDW2" s="18"/>
      <c r="LDX2" s="18"/>
      <c r="LDY2" s="18"/>
      <c r="LDZ2" s="18"/>
      <c r="LEA2" s="18"/>
      <c r="LEB2" s="18"/>
      <c r="LEC2" s="18"/>
      <c r="LED2" s="18"/>
      <c r="LEE2" s="18"/>
      <c r="LEF2" s="18"/>
      <c r="LEG2" s="18"/>
      <c r="LEH2" s="18"/>
      <c r="LEI2" s="18"/>
      <c r="LEJ2" s="18"/>
      <c r="LEK2" s="18"/>
      <c r="LEL2" s="18"/>
      <c r="LEM2" s="18"/>
      <c r="LEN2" s="18"/>
      <c r="LEO2" s="18"/>
      <c r="LEP2" s="18"/>
      <c r="LEQ2" s="18"/>
      <c r="LER2" s="18"/>
      <c r="LES2" s="18"/>
      <c r="LET2" s="18"/>
      <c r="LEU2" s="18"/>
      <c r="LEV2" s="18"/>
      <c r="LEW2" s="18"/>
      <c r="LEX2" s="18"/>
      <c r="LEY2" s="18"/>
      <c r="LEZ2" s="18"/>
      <c r="LFA2" s="18"/>
      <c r="LFB2" s="18"/>
      <c r="LFC2" s="18"/>
      <c r="LFD2" s="18"/>
      <c r="LFE2" s="18"/>
      <c r="LFF2" s="18"/>
      <c r="LFG2" s="18"/>
      <c r="LFH2" s="18"/>
      <c r="LFI2" s="18"/>
      <c r="LFJ2" s="18"/>
      <c r="LFK2" s="18"/>
      <c r="LFL2" s="18"/>
      <c r="LFM2" s="18"/>
      <c r="LFN2" s="18"/>
      <c r="LFO2" s="18"/>
      <c r="LFP2" s="18"/>
      <c r="LFQ2" s="18"/>
      <c r="LFR2" s="18"/>
      <c r="LFS2" s="18"/>
      <c r="LFT2" s="18"/>
      <c r="LFU2" s="18"/>
      <c r="LFV2" s="18"/>
      <c r="LFW2" s="18"/>
      <c r="LFX2" s="18"/>
      <c r="LFY2" s="18"/>
      <c r="LFZ2" s="18"/>
      <c r="LGA2" s="18"/>
      <c r="LGB2" s="18"/>
      <c r="LGC2" s="18"/>
      <c r="LGD2" s="18"/>
      <c r="LGE2" s="18"/>
      <c r="LGF2" s="18"/>
      <c r="LGG2" s="18"/>
      <c r="LGH2" s="18"/>
      <c r="LGI2" s="18"/>
      <c r="LGJ2" s="18"/>
      <c r="LGK2" s="18"/>
      <c r="LGL2" s="18"/>
      <c r="LGM2" s="18"/>
      <c r="LGN2" s="18"/>
      <c r="LGO2" s="18"/>
      <c r="LGP2" s="18"/>
      <c r="LGQ2" s="18"/>
      <c r="LGR2" s="18"/>
      <c r="LGS2" s="18"/>
      <c r="LGT2" s="18"/>
      <c r="LGU2" s="18"/>
      <c r="LGV2" s="18"/>
      <c r="LGW2" s="18"/>
      <c r="LGX2" s="18"/>
      <c r="LGY2" s="18"/>
      <c r="LGZ2" s="18"/>
      <c r="LHA2" s="18"/>
      <c r="LHB2" s="18"/>
      <c r="LHC2" s="18"/>
      <c r="LHD2" s="18"/>
      <c r="LHE2" s="18"/>
      <c r="LHF2" s="18"/>
      <c r="LHG2" s="18"/>
      <c r="LHH2" s="18"/>
      <c r="LHI2" s="18"/>
      <c r="LHJ2" s="18"/>
      <c r="LHK2" s="18"/>
      <c r="LHL2" s="18"/>
      <c r="LHM2" s="18"/>
      <c r="LHN2" s="18"/>
      <c r="LHO2" s="18"/>
      <c r="LHP2" s="18"/>
      <c r="LHQ2" s="18"/>
      <c r="LHR2" s="18"/>
      <c r="LHS2" s="18"/>
      <c r="LHT2" s="18"/>
      <c r="LHU2" s="18"/>
      <c r="LHV2" s="18"/>
      <c r="LHW2" s="18"/>
      <c r="LHX2" s="18"/>
      <c r="LHY2" s="18"/>
      <c r="LHZ2" s="18"/>
      <c r="LIA2" s="18"/>
      <c r="LIB2" s="18"/>
      <c r="LIC2" s="18"/>
      <c r="LID2" s="18"/>
      <c r="LIE2" s="18"/>
      <c r="LIF2" s="18"/>
      <c r="LIG2" s="18"/>
      <c r="LIH2" s="18"/>
      <c r="LII2" s="18"/>
      <c r="LIJ2" s="18"/>
      <c r="LIK2" s="18"/>
      <c r="LIL2" s="18"/>
      <c r="LIM2" s="18"/>
      <c r="LIN2" s="18"/>
      <c r="LIO2" s="18"/>
      <c r="LIP2" s="18"/>
      <c r="LIQ2" s="18"/>
      <c r="LIR2" s="18"/>
      <c r="LIS2" s="18"/>
      <c r="LIT2" s="18"/>
      <c r="LIU2" s="18"/>
      <c r="LIV2" s="18"/>
      <c r="LIW2" s="18"/>
      <c r="LIX2" s="18"/>
      <c r="LIY2" s="18"/>
      <c r="LIZ2" s="18"/>
      <c r="LJA2" s="18"/>
      <c r="LJB2" s="18"/>
      <c r="LJC2" s="18"/>
      <c r="LJD2" s="18"/>
      <c r="LJE2" s="18"/>
      <c r="LJF2" s="18"/>
      <c r="LJG2" s="18"/>
      <c r="LJH2" s="18"/>
      <c r="LJI2" s="18"/>
      <c r="LJJ2" s="18"/>
      <c r="LJK2" s="18"/>
      <c r="LJL2" s="18"/>
      <c r="LJM2" s="18"/>
      <c r="LJN2" s="18"/>
      <c r="LJO2" s="18"/>
      <c r="LJP2" s="18"/>
      <c r="LJQ2" s="18"/>
      <c r="LJR2" s="18"/>
      <c r="LJS2" s="18"/>
      <c r="LJT2" s="18"/>
      <c r="LJU2" s="18"/>
      <c r="LJV2" s="18"/>
      <c r="LJW2" s="18"/>
      <c r="LJX2" s="18"/>
      <c r="LJY2" s="18"/>
      <c r="LJZ2" s="18"/>
      <c r="LKA2" s="18"/>
      <c r="LKB2" s="18"/>
      <c r="LKC2" s="18"/>
      <c r="LKD2" s="18"/>
      <c r="LKE2" s="18"/>
      <c r="LKF2" s="18"/>
      <c r="LKG2" s="18"/>
      <c r="LKH2" s="18"/>
      <c r="LKI2" s="18"/>
      <c r="LKJ2" s="18"/>
      <c r="LKK2" s="18"/>
      <c r="LKL2" s="18"/>
      <c r="LKM2" s="18"/>
      <c r="LKN2" s="18"/>
      <c r="LKO2" s="18"/>
      <c r="LKP2" s="18"/>
      <c r="LKQ2" s="18"/>
      <c r="LKR2" s="18"/>
      <c r="LKS2" s="18"/>
      <c r="LKT2" s="18"/>
      <c r="LKU2" s="18"/>
      <c r="LKV2" s="18"/>
      <c r="LKW2" s="18"/>
      <c r="LKX2" s="18"/>
      <c r="LKY2" s="18"/>
      <c r="LKZ2" s="18"/>
      <c r="LLA2" s="18"/>
      <c r="LLB2" s="18"/>
      <c r="LLC2" s="18"/>
      <c r="LLD2" s="18"/>
      <c r="LLE2" s="18"/>
      <c r="LLF2" s="18"/>
      <c r="LLG2" s="18"/>
      <c r="LLH2" s="18"/>
      <c r="LLI2" s="18"/>
      <c r="LLJ2" s="18"/>
      <c r="LLK2" s="18"/>
      <c r="LLL2" s="18"/>
      <c r="LLM2" s="18"/>
      <c r="LLN2" s="18"/>
      <c r="LLO2" s="18"/>
      <c r="LLP2" s="18"/>
      <c r="LLQ2" s="18"/>
      <c r="LLR2" s="18"/>
      <c r="LLS2" s="18"/>
      <c r="LLT2" s="18"/>
      <c r="LLU2" s="18"/>
      <c r="LLV2" s="18"/>
      <c r="LLW2" s="18"/>
      <c r="LLX2" s="18"/>
      <c r="LLY2" s="18"/>
      <c r="LLZ2" s="18"/>
      <c r="LMA2" s="18"/>
      <c r="LMB2" s="18"/>
      <c r="LMC2" s="18"/>
      <c r="LMD2" s="18"/>
      <c r="LME2" s="18"/>
      <c r="LMF2" s="18"/>
      <c r="LMG2" s="18"/>
      <c r="LMH2" s="18"/>
      <c r="LMI2" s="18"/>
      <c r="LMJ2" s="18"/>
      <c r="LMK2" s="18"/>
      <c r="LML2" s="18"/>
      <c r="LMM2" s="18"/>
      <c r="LMN2" s="18"/>
      <c r="LMO2" s="18"/>
      <c r="LMP2" s="18"/>
      <c r="LMQ2" s="18"/>
      <c r="LMR2" s="18"/>
      <c r="LMS2" s="18"/>
      <c r="LMT2" s="18"/>
      <c r="LMU2" s="18"/>
      <c r="LMV2" s="18"/>
      <c r="LMW2" s="18"/>
      <c r="LMX2" s="18"/>
      <c r="LMY2" s="18"/>
      <c r="LMZ2" s="18"/>
      <c r="LNA2" s="18"/>
      <c r="LNB2" s="18"/>
      <c r="LNC2" s="18"/>
      <c r="LND2" s="18"/>
      <c r="LNE2" s="18"/>
      <c r="LNF2" s="18"/>
      <c r="LNG2" s="18"/>
      <c r="LNH2" s="18"/>
      <c r="LNI2" s="18"/>
      <c r="LNJ2" s="18"/>
      <c r="LNK2" s="18"/>
      <c r="LNL2" s="18"/>
      <c r="LNM2" s="18"/>
      <c r="LNN2" s="18"/>
      <c r="LNO2" s="18"/>
      <c r="LNP2" s="18"/>
      <c r="LNQ2" s="18"/>
      <c r="LNR2" s="18"/>
      <c r="LNS2" s="18"/>
      <c r="LNT2" s="18"/>
      <c r="LNU2" s="18"/>
      <c r="LNV2" s="18"/>
      <c r="LNW2" s="18"/>
      <c r="LNX2" s="18"/>
      <c r="LNY2" s="18"/>
      <c r="LNZ2" s="18"/>
      <c r="LOA2" s="18"/>
      <c r="LOB2" s="18"/>
      <c r="LOC2" s="18"/>
      <c r="LOD2" s="18"/>
      <c r="LOE2" s="18"/>
      <c r="LOF2" s="18"/>
      <c r="LOG2" s="18"/>
      <c r="LOH2" s="18"/>
      <c r="LOI2" s="18"/>
      <c r="LOJ2" s="18"/>
      <c r="LOK2" s="18"/>
      <c r="LOL2" s="18"/>
      <c r="LOM2" s="18"/>
      <c r="LON2" s="18"/>
      <c r="LOO2" s="18"/>
      <c r="LOP2" s="18"/>
      <c r="LOQ2" s="18"/>
      <c r="LOR2" s="18"/>
      <c r="LOS2" s="18"/>
      <c r="LOT2" s="18"/>
      <c r="LOU2" s="18"/>
      <c r="LOV2" s="18"/>
      <c r="LOW2" s="18"/>
      <c r="LOX2" s="18"/>
      <c r="LOY2" s="18"/>
      <c r="LOZ2" s="18"/>
      <c r="LPA2" s="18"/>
      <c r="LPB2" s="18"/>
      <c r="LPC2" s="18"/>
      <c r="LPD2" s="18"/>
      <c r="LPE2" s="18"/>
      <c r="LPF2" s="18"/>
      <c r="LPG2" s="18"/>
      <c r="LPH2" s="18"/>
      <c r="LPI2" s="18"/>
      <c r="LPJ2" s="18"/>
      <c r="LPK2" s="18"/>
      <c r="LPL2" s="18"/>
      <c r="LPM2" s="18"/>
      <c r="LPN2" s="18"/>
      <c r="LPO2" s="18"/>
      <c r="LPP2" s="18"/>
      <c r="LPQ2" s="18"/>
      <c r="LPR2" s="18"/>
      <c r="LPS2" s="18"/>
      <c r="LPT2" s="18"/>
      <c r="LPU2" s="18"/>
      <c r="LPV2" s="18"/>
      <c r="LPW2" s="18"/>
      <c r="LPX2" s="18"/>
      <c r="LPY2" s="18"/>
      <c r="LPZ2" s="18"/>
      <c r="LQA2" s="18"/>
      <c r="LQB2" s="18"/>
      <c r="LQC2" s="18"/>
      <c r="LQD2" s="18"/>
      <c r="LQE2" s="18"/>
      <c r="LQF2" s="18"/>
      <c r="LQG2" s="18"/>
      <c r="LQH2" s="18"/>
      <c r="LQI2" s="18"/>
      <c r="LQJ2" s="18"/>
      <c r="LQK2" s="18"/>
      <c r="LQL2" s="18"/>
      <c r="LQM2" s="18"/>
      <c r="LQN2" s="18"/>
      <c r="LQO2" s="18"/>
      <c r="LQP2" s="18"/>
      <c r="LQQ2" s="18"/>
      <c r="LQR2" s="18"/>
      <c r="LQS2" s="18"/>
      <c r="LQT2" s="18"/>
      <c r="LQU2" s="18"/>
      <c r="LQV2" s="18"/>
      <c r="LQW2" s="18"/>
      <c r="LQX2" s="18"/>
      <c r="LQY2" s="18"/>
      <c r="LQZ2" s="18"/>
      <c r="LRA2" s="18"/>
      <c r="LRB2" s="18"/>
      <c r="LRC2" s="18"/>
      <c r="LRD2" s="18"/>
      <c r="LRE2" s="18"/>
      <c r="LRF2" s="18"/>
      <c r="LRG2" s="18"/>
      <c r="LRH2" s="18"/>
      <c r="LRI2" s="18"/>
      <c r="LRJ2" s="18"/>
      <c r="LRK2" s="18"/>
      <c r="LRL2" s="18"/>
      <c r="LRM2" s="18"/>
      <c r="LRN2" s="18"/>
      <c r="LRO2" s="18"/>
      <c r="LRP2" s="18"/>
      <c r="LRQ2" s="18"/>
      <c r="LRR2" s="18"/>
      <c r="LRS2" s="18"/>
      <c r="LRT2" s="18"/>
      <c r="LRU2" s="18"/>
      <c r="LRV2" s="18"/>
      <c r="LRW2" s="18"/>
      <c r="LRX2" s="18"/>
      <c r="LRY2" s="18"/>
      <c r="LRZ2" s="18"/>
      <c r="LSA2" s="18"/>
      <c r="LSB2" s="18"/>
      <c r="LSC2" s="18"/>
      <c r="LSD2" s="18"/>
      <c r="LSE2" s="18"/>
      <c r="LSF2" s="18"/>
      <c r="LSG2" s="18"/>
      <c r="LSH2" s="18"/>
      <c r="LSI2" s="18"/>
      <c r="LSJ2" s="18"/>
      <c r="LSK2" s="18"/>
      <c r="LSL2" s="18"/>
      <c r="LSM2" s="18"/>
      <c r="LSN2" s="18"/>
      <c r="LSO2" s="18"/>
      <c r="LSP2" s="18"/>
      <c r="LSQ2" s="18"/>
      <c r="LSR2" s="18"/>
      <c r="LSS2" s="18"/>
      <c r="LST2" s="18"/>
      <c r="LSU2" s="18"/>
      <c r="LSV2" s="18"/>
      <c r="LSW2" s="18"/>
      <c r="LSX2" s="18"/>
      <c r="LSY2" s="18"/>
      <c r="LSZ2" s="18"/>
      <c r="LTA2" s="18"/>
      <c r="LTB2" s="18"/>
      <c r="LTC2" s="18"/>
      <c r="LTD2" s="18"/>
      <c r="LTE2" s="18"/>
      <c r="LTF2" s="18"/>
      <c r="LTG2" s="18"/>
      <c r="LTH2" s="18"/>
      <c r="LTI2" s="18"/>
      <c r="LTJ2" s="18"/>
      <c r="LTK2" s="18"/>
      <c r="LTL2" s="18"/>
      <c r="LTM2" s="18"/>
      <c r="LTN2" s="18"/>
      <c r="LTO2" s="18"/>
      <c r="LTP2" s="18"/>
      <c r="LTQ2" s="18"/>
      <c r="LTR2" s="18"/>
      <c r="LTS2" s="18"/>
      <c r="LTT2" s="18"/>
      <c r="LTU2" s="18"/>
      <c r="LTV2" s="18"/>
      <c r="LTW2" s="18"/>
      <c r="LTX2" s="18"/>
      <c r="LTY2" s="18"/>
      <c r="LTZ2" s="18"/>
      <c r="LUA2" s="18"/>
      <c r="LUB2" s="18"/>
      <c r="LUC2" s="18"/>
      <c r="LUD2" s="18"/>
      <c r="LUE2" s="18"/>
      <c r="LUF2" s="18"/>
      <c r="LUG2" s="18"/>
      <c r="LUH2" s="18"/>
      <c r="LUI2" s="18"/>
      <c r="LUJ2" s="18"/>
      <c r="LUK2" s="18"/>
      <c r="LUL2" s="18"/>
      <c r="LUM2" s="18"/>
      <c r="LUN2" s="18"/>
      <c r="LUO2" s="18"/>
      <c r="LUP2" s="18"/>
      <c r="LUQ2" s="18"/>
      <c r="LUR2" s="18"/>
      <c r="LUS2" s="18"/>
      <c r="LUT2" s="18"/>
      <c r="LUU2" s="18"/>
      <c r="LUV2" s="18"/>
      <c r="LUW2" s="18"/>
      <c r="LUX2" s="18"/>
      <c r="LUY2" s="18"/>
      <c r="LUZ2" s="18"/>
      <c r="LVA2" s="18"/>
      <c r="LVB2" s="18"/>
      <c r="LVC2" s="18"/>
      <c r="LVD2" s="18"/>
      <c r="LVE2" s="18"/>
      <c r="LVF2" s="18"/>
      <c r="LVG2" s="18"/>
      <c r="LVH2" s="18"/>
      <c r="LVI2" s="18"/>
      <c r="LVJ2" s="18"/>
      <c r="LVK2" s="18"/>
      <c r="LVL2" s="18"/>
      <c r="LVM2" s="18"/>
      <c r="LVN2" s="18"/>
      <c r="LVO2" s="18"/>
      <c r="LVP2" s="18"/>
      <c r="LVQ2" s="18"/>
      <c r="LVR2" s="18"/>
      <c r="LVS2" s="18"/>
      <c r="LVT2" s="18"/>
      <c r="LVU2" s="18"/>
      <c r="LVV2" s="18"/>
      <c r="LVW2" s="18"/>
      <c r="LVX2" s="18"/>
      <c r="LVY2" s="18"/>
      <c r="LVZ2" s="18"/>
      <c r="LWA2" s="18"/>
      <c r="LWB2" s="18"/>
      <c r="LWC2" s="18"/>
      <c r="LWD2" s="18"/>
      <c r="LWE2" s="18"/>
      <c r="LWF2" s="18"/>
      <c r="LWG2" s="18"/>
      <c r="LWH2" s="18"/>
      <c r="LWI2" s="18"/>
      <c r="LWJ2" s="18"/>
      <c r="LWK2" s="18"/>
      <c r="LWL2" s="18"/>
      <c r="LWM2" s="18"/>
      <c r="LWN2" s="18"/>
      <c r="LWO2" s="18"/>
      <c r="LWP2" s="18"/>
      <c r="LWQ2" s="18"/>
      <c r="LWR2" s="18"/>
      <c r="LWS2" s="18"/>
      <c r="LWT2" s="18"/>
      <c r="LWU2" s="18"/>
      <c r="LWV2" s="18"/>
      <c r="LWW2" s="18"/>
      <c r="LWX2" s="18"/>
      <c r="LWY2" s="18"/>
      <c r="LWZ2" s="18"/>
      <c r="LXA2" s="18"/>
      <c r="LXB2" s="18"/>
      <c r="LXC2" s="18"/>
      <c r="LXD2" s="18"/>
      <c r="LXE2" s="18"/>
      <c r="LXF2" s="18"/>
      <c r="LXG2" s="18"/>
      <c r="LXH2" s="18"/>
      <c r="LXI2" s="18"/>
      <c r="LXJ2" s="18"/>
      <c r="LXK2" s="18"/>
      <c r="LXL2" s="18"/>
      <c r="LXM2" s="18"/>
      <c r="LXN2" s="18"/>
      <c r="LXO2" s="18"/>
      <c r="LXP2" s="18"/>
      <c r="LXQ2" s="18"/>
      <c r="LXR2" s="18"/>
      <c r="LXS2" s="18"/>
      <c r="LXT2" s="18"/>
      <c r="LXU2" s="18"/>
      <c r="LXV2" s="18"/>
      <c r="LXW2" s="18"/>
      <c r="LXX2" s="18"/>
      <c r="LXY2" s="18"/>
      <c r="LXZ2" s="18"/>
      <c r="LYA2" s="18"/>
      <c r="LYB2" s="18"/>
      <c r="LYC2" s="18"/>
      <c r="LYD2" s="18"/>
      <c r="LYE2" s="18"/>
      <c r="LYF2" s="18"/>
      <c r="LYG2" s="18"/>
      <c r="LYH2" s="18"/>
      <c r="LYI2" s="18"/>
      <c r="LYJ2" s="18"/>
      <c r="LYK2" s="18"/>
      <c r="LYL2" s="18"/>
      <c r="LYM2" s="18"/>
      <c r="LYN2" s="18"/>
      <c r="LYO2" s="18"/>
      <c r="LYP2" s="18"/>
      <c r="LYQ2" s="18"/>
      <c r="LYR2" s="18"/>
      <c r="LYS2" s="18"/>
      <c r="LYT2" s="18"/>
      <c r="LYU2" s="18"/>
      <c r="LYV2" s="18"/>
      <c r="LYW2" s="18"/>
      <c r="LYX2" s="18"/>
      <c r="LYY2" s="18"/>
      <c r="LYZ2" s="18"/>
      <c r="LZA2" s="18"/>
      <c r="LZB2" s="18"/>
      <c r="LZC2" s="18"/>
      <c r="LZD2" s="18"/>
      <c r="LZE2" s="18"/>
      <c r="LZF2" s="18"/>
      <c r="LZG2" s="18"/>
      <c r="LZH2" s="18"/>
      <c r="LZI2" s="18"/>
      <c r="LZJ2" s="18"/>
      <c r="LZK2" s="18"/>
      <c r="LZL2" s="18"/>
      <c r="LZM2" s="18"/>
      <c r="LZN2" s="18"/>
      <c r="LZO2" s="18"/>
      <c r="LZP2" s="18"/>
      <c r="LZQ2" s="18"/>
      <c r="LZR2" s="18"/>
      <c r="LZS2" s="18"/>
      <c r="LZT2" s="18"/>
      <c r="LZU2" s="18"/>
      <c r="LZV2" s="18"/>
      <c r="LZW2" s="18"/>
      <c r="LZX2" s="18"/>
      <c r="LZY2" s="18"/>
      <c r="LZZ2" s="18"/>
      <c r="MAA2" s="18"/>
      <c r="MAB2" s="18"/>
      <c r="MAC2" s="18"/>
      <c r="MAD2" s="18"/>
      <c r="MAE2" s="18"/>
      <c r="MAF2" s="18"/>
      <c r="MAG2" s="18"/>
      <c r="MAH2" s="18"/>
      <c r="MAI2" s="18"/>
      <c r="MAJ2" s="18"/>
      <c r="MAK2" s="18"/>
      <c r="MAL2" s="18"/>
      <c r="MAM2" s="18"/>
      <c r="MAN2" s="18"/>
      <c r="MAO2" s="18"/>
      <c r="MAP2" s="18"/>
      <c r="MAQ2" s="18"/>
      <c r="MAR2" s="18"/>
      <c r="MAS2" s="18"/>
      <c r="MAT2" s="18"/>
      <c r="MAU2" s="18"/>
      <c r="MAV2" s="18"/>
      <c r="MAW2" s="18"/>
      <c r="MAX2" s="18"/>
      <c r="MAY2" s="18"/>
      <c r="MAZ2" s="18"/>
      <c r="MBA2" s="18"/>
      <c r="MBB2" s="18"/>
      <c r="MBC2" s="18"/>
      <c r="MBD2" s="18"/>
      <c r="MBE2" s="18"/>
      <c r="MBF2" s="18"/>
      <c r="MBG2" s="18"/>
      <c r="MBH2" s="18"/>
      <c r="MBI2" s="18"/>
      <c r="MBJ2" s="18"/>
      <c r="MBK2" s="18"/>
      <c r="MBL2" s="18"/>
      <c r="MBM2" s="18"/>
      <c r="MBN2" s="18"/>
      <c r="MBO2" s="18"/>
      <c r="MBP2" s="18"/>
      <c r="MBQ2" s="18"/>
      <c r="MBR2" s="18"/>
      <c r="MBS2" s="18"/>
      <c r="MBT2" s="18"/>
      <c r="MBU2" s="18"/>
      <c r="MBV2" s="18"/>
      <c r="MBW2" s="18"/>
      <c r="MBX2" s="18"/>
      <c r="MBY2" s="18"/>
      <c r="MBZ2" s="18"/>
      <c r="MCA2" s="18"/>
      <c r="MCB2" s="18"/>
      <c r="MCC2" s="18"/>
      <c r="MCD2" s="18"/>
      <c r="MCE2" s="18"/>
      <c r="MCF2" s="18"/>
      <c r="MCG2" s="18"/>
      <c r="MCH2" s="18"/>
      <c r="MCI2" s="18"/>
      <c r="MCJ2" s="18"/>
      <c r="MCK2" s="18"/>
      <c r="MCL2" s="18"/>
      <c r="MCM2" s="18"/>
      <c r="MCN2" s="18"/>
      <c r="MCO2" s="18"/>
      <c r="MCP2" s="18"/>
      <c r="MCQ2" s="18"/>
      <c r="MCR2" s="18"/>
      <c r="MCS2" s="18"/>
      <c r="MCT2" s="18"/>
      <c r="MCU2" s="18"/>
      <c r="MCV2" s="18"/>
      <c r="MCW2" s="18"/>
      <c r="MCX2" s="18"/>
      <c r="MCY2" s="18"/>
      <c r="MCZ2" s="18"/>
      <c r="MDA2" s="18"/>
      <c r="MDB2" s="18"/>
      <c r="MDC2" s="18"/>
      <c r="MDD2" s="18"/>
      <c r="MDE2" s="18"/>
      <c r="MDF2" s="18"/>
      <c r="MDG2" s="18"/>
      <c r="MDH2" s="18"/>
      <c r="MDI2" s="18"/>
      <c r="MDJ2" s="18"/>
      <c r="MDK2" s="18"/>
      <c r="MDL2" s="18"/>
      <c r="MDM2" s="18"/>
      <c r="MDN2" s="18"/>
      <c r="MDO2" s="18"/>
      <c r="MDP2" s="18"/>
      <c r="MDQ2" s="18"/>
      <c r="MDR2" s="18"/>
      <c r="MDS2" s="18"/>
      <c r="MDT2" s="18"/>
      <c r="MDU2" s="18"/>
      <c r="MDV2" s="18"/>
      <c r="MDW2" s="18"/>
      <c r="MDX2" s="18"/>
      <c r="MDY2" s="18"/>
      <c r="MDZ2" s="18"/>
      <c r="MEA2" s="18"/>
      <c r="MEB2" s="18"/>
      <c r="MEC2" s="18"/>
      <c r="MED2" s="18"/>
      <c r="MEE2" s="18"/>
      <c r="MEF2" s="18"/>
      <c r="MEG2" s="18"/>
      <c r="MEH2" s="18"/>
      <c r="MEI2" s="18"/>
      <c r="MEJ2" s="18"/>
      <c r="MEK2" s="18"/>
      <c r="MEL2" s="18"/>
      <c r="MEM2" s="18"/>
      <c r="MEN2" s="18"/>
      <c r="MEO2" s="18"/>
      <c r="MEP2" s="18"/>
      <c r="MEQ2" s="18"/>
      <c r="MER2" s="18"/>
      <c r="MES2" s="18"/>
      <c r="MET2" s="18"/>
      <c r="MEU2" s="18"/>
      <c r="MEV2" s="18"/>
      <c r="MEW2" s="18"/>
      <c r="MEX2" s="18"/>
      <c r="MEY2" s="18"/>
      <c r="MEZ2" s="18"/>
      <c r="MFA2" s="18"/>
      <c r="MFB2" s="18"/>
      <c r="MFC2" s="18"/>
      <c r="MFD2" s="18"/>
      <c r="MFE2" s="18"/>
      <c r="MFF2" s="18"/>
      <c r="MFG2" s="18"/>
      <c r="MFH2" s="18"/>
      <c r="MFI2" s="18"/>
      <c r="MFJ2" s="18"/>
      <c r="MFK2" s="18"/>
      <c r="MFL2" s="18"/>
      <c r="MFM2" s="18"/>
      <c r="MFN2" s="18"/>
      <c r="MFO2" s="18"/>
      <c r="MFP2" s="18"/>
      <c r="MFQ2" s="18"/>
      <c r="MFR2" s="18"/>
      <c r="MFS2" s="18"/>
      <c r="MFT2" s="18"/>
      <c r="MFU2" s="18"/>
      <c r="MFV2" s="18"/>
      <c r="MFW2" s="18"/>
      <c r="MFX2" s="18"/>
      <c r="MFY2" s="18"/>
      <c r="MFZ2" s="18"/>
      <c r="MGA2" s="18"/>
      <c r="MGB2" s="18"/>
      <c r="MGC2" s="18"/>
      <c r="MGD2" s="18"/>
      <c r="MGE2" s="18"/>
      <c r="MGF2" s="18"/>
      <c r="MGG2" s="18"/>
      <c r="MGH2" s="18"/>
      <c r="MGI2" s="18"/>
      <c r="MGJ2" s="18"/>
      <c r="MGK2" s="18"/>
      <c r="MGL2" s="18"/>
      <c r="MGM2" s="18"/>
      <c r="MGN2" s="18"/>
      <c r="MGO2" s="18"/>
      <c r="MGP2" s="18"/>
      <c r="MGQ2" s="18"/>
      <c r="MGR2" s="18"/>
      <c r="MGS2" s="18"/>
      <c r="MGT2" s="18"/>
      <c r="MGU2" s="18"/>
      <c r="MGV2" s="18"/>
      <c r="MGW2" s="18"/>
      <c r="MGX2" s="18"/>
      <c r="MGY2" s="18"/>
      <c r="MGZ2" s="18"/>
      <c r="MHA2" s="18"/>
      <c r="MHB2" s="18"/>
      <c r="MHC2" s="18"/>
      <c r="MHD2" s="18"/>
      <c r="MHE2" s="18"/>
      <c r="MHF2" s="18"/>
      <c r="MHG2" s="18"/>
      <c r="MHH2" s="18"/>
      <c r="MHI2" s="18"/>
      <c r="MHJ2" s="18"/>
      <c r="MHK2" s="18"/>
      <c r="MHL2" s="18"/>
      <c r="MHM2" s="18"/>
      <c r="MHN2" s="18"/>
      <c r="MHO2" s="18"/>
      <c r="MHP2" s="18"/>
      <c r="MHQ2" s="18"/>
      <c r="MHR2" s="18"/>
      <c r="MHS2" s="18"/>
      <c r="MHT2" s="18"/>
      <c r="MHU2" s="18"/>
      <c r="MHV2" s="18"/>
      <c r="MHW2" s="18"/>
      <c r="MHX2" s="18"/>
      <c r="MHY2" s="18"/>
      <c r="MHZ2" s="18"/>
      <c r="MIA2" s="18"/>
      <c r="MIB2" s="18"/>
      <c r="MIC2" s="18"/>
      <c r="MID2" s="18"/>
      <c r="MIE2" s="18"/>
      <c r="MIF2" s="18"/>
      <c r="MIG2" s="18"/>
      <c r="MIH2" s="18"/>
      <c r="MII2" s="18"/>
      <c r="MIJ2" s="18"/>
      <c r="MIK2" s="18"/>
      <c r="MIL2" s="18"/>
      <c r="MIM2" s="18"/>
      <c r="MIN2" s="18"/>
      <c r="MIO2" s="18"/>
      <c r="MIP2" s="18"/>
      <c r="MIQ2" s="18"/>
      <c r="MIR2" s="18"/>
      <c r="MIS2" s="18"/>
      <c r="MIT2" s="18"/>
      <c r="MIU2" s="18"/>
      <c r="MIV2" s="18"/>
      <c r="MIW2" s="18"/>
      <c r="MIX2" s="18"/>
      <c r="MIY2" s="18"/>
      <c r="MIZ2" s="18"/>
      <c r="MJA2" s="18"/>
      <c r="MJB2" s="18"/>
      <c r="MJC2" s="18"/>
      <c r="MJD2" s="18"/>
      <c r="MJE2" s="18"/>
      <c r="MJF2" s="18"/>
      <c r="MJG2" s="18"/>
      <c r="MJH2" s="18"/>
      <c r="MJI2" s="18"/>
      <c r="MJJ2" s="18"/>
      <c r="MJK2" s="18"/>
      <c r="MJL2" s="18"/>
      <c r="MJM2" s="18"/>
      <c r="MJN2" s="18"/>
      <c r="MJO2" s="18"/>
      <c r="MJP2" s="18"/>
      <c r="MJQ2" s="18"/>
      <c r="MJR2" s="18"/>
      <c r="MJS2" s="18"/>
      <c r="MJT2" s="18"/>
      <c r="MJU2" s="18"/>
      <c r="MJV2" s="18"/>
      <c r="MJW2" s="18"/>
      <c r="MJX2" s="18"/>
      <c r="MJY2" s="18"/>
      <c r="MJZ2" s="18"/>
      <c r="MKA2" s="18"/>
      <c r="MKB2" s="18"/>
      <c r="MKC2" s="18"/>
      <c r="MKD2" s="18"/>
      <c r="MKE2" s="18"/>
      <c r="MKF2" s="18"/>
      <c r="MKG2" s="18"/>
      <c r="MKH2" s="18"/>
      <c r="MKI2" s="18"/>
      <c r="MKJ2" s="18"/>
      <c r="MKK2" s="18"/>
      <c r="MKL2" s="18"/>
      <c r="MKM2" s="18"/>
      <c r="MKN2" s="18"/>
      <c r="MKO2" s="18"/>
      <c r="MKP2" s="18"/>
      <c r="MKQ2" s="18"/>
      <c r="MKR2" s="18"/>
      <c r="MKS2" s="18"/>
      <c r="MKT2" s="18"/>
      <c r="MKU2" s="18"/>
      <c r="MKV2" s="18"/>
      <c r="MKW2" s="18"/>
      <c r="MKX2" s="18"/>
      <c r="MKY2" s="18"/>
      <c r="MKZ2" s="18"/>
      <c r="MLA2" s="18"/>
      <c r="MLB2" s="18"/>
      <c r="MLC2" s="18"/>
      <c r="MLD2" s="18"/>
      <c r="MLE2" s="18"/>
      <c r="MLF2" s="18"/>
      <c r="MLG2" s="18"/>
      <c r="MLH2" s="18"/>
      <c r="MLI2" s="18"/>
      <c r="MLJ2" s="18"/>
      <c r="MLK2" s="18"/>
      <c r="MLL2" s="18"/>
      <c r="MLM2" s="18"/>
      <c r="MLN2" s="18"/>
      <c r="MLO2" s="18"/>
      <c r="MLP2" s="18"/>
      <c r="MLQ2" s="18"/>
      <c r="MLR2" s="18"/>
      <c r="MLS2" s="18"/>
      <c r="MLT2" s="18"/>
      <c r="MLU2" s="18"/>
      <c r="MLV2" s="18"/>
      <c r="MLW2" s="18"/>
      <c r="MLX2" s="18"/>
      <c r="MLY2" s="18"/>
      <c r="MLZ2" s="18"/>
      <c r="MMA2" s="18"/>
      <c r="MMB2" s="18"/>
      <c r="MMC2" s="18"/>
      <c r="MMD2" s="18"/>
      <c r="MME2" s="18"/>
      <c r="MMF2" s="18"/>
      <c r="MMG2" s="18"/>
      <c r="MMH2" s="18"/>
      <c r="MMI2" s="18"/>
      <c r="MMJ2" s="18"/>
      <c r="MMK2" s="18"/>
      <c r="MML2" s="18"/>
      <c r="MMM2" s="18"/>
      <c r="MMN2" s="18"/>
      <c r="MMO2" s="18"/>
      <c r="MMP2" s="18"/>
      <c r="MMQ2" s="18"/>
      <c r="MMR2" s="18"/>
      <c r="MMS2" s="18"/>
      <c r="MMT2" s="18"/>
      <c r="MMU2" s="18"/>
      <c r="MMV2" s="18"/>
      <c r="MMW2" s="18"/>
      <c r="MMX2" s="18"/>
      <c r="MMY2" s="18"/>
      <c r="MMZ2" s="18"/>
      <c r="MNA2" s="18"/>
      <c r="MNB2" s="18"/>
      <c r="MNC2" s="18"/>
      <c r="MND2" s="18"/>
      <c r="MNE2" s="18"/>
      <c r="MNF2" s="18"/>
      <c r="MNG2" s="18"/>
      <c r="MNH2" s="18"/>
      <c r="MNI2" s="18"/>
      <c r="MNJ2" s="18"/>
      <c r="MNK2" s="18"/>
      <c r="MNL2" s="18"/>
      <c r="MNM2" s="18"/>
      <c r="MNN2" s="18"/>
      <c r="MNO2" s="18"/>
      <c r="MNP2" s="18"/>
      <c r="MNQ2" s="18"/>
      <c r="MNR2" s="18"/>
      <c r="MNS2" s="18"/>
      <c r="MNT2" s="18"/>
      <c r="MNU2" s="18"/>
      <c r="MNV2" s="18"/>
      <c r="MNW2" s="18"/>
      <c r="MNX2" s="18"/>
      <c r="MNY2" s="18"/>
      <c r="MNZ2" s="18"/>
      <c r="MOA2" s="18"/>
      <c r="MOB2" s="18"/>
      <c r="MOC2" s="18"/>
      <c r="MOD2" s="18"/>
      <c r="MOE2" s="18"/>
      <c r="MOF2" s="18"/>
      <c r="MOG2" s="18"/>
      <c r="MOH2" s="18"/>
      <c r="MOI2" s="18"/>
      <c r="MOJ2" s="18"/>
      <c r="MOK2" s="18"/>
      <c r="MOL2" s="18"/>
      <c r="MOM2" s="18"/>
      <c r="MON2" s="18"/>
      <c r="MOO2" s="18"/>
      <c r="MOP2" s="18"/>
      <c r="MOQ2" s="18"/>
      <c r="MOR2" s="18"/>
      <c r="MOS2" s="18"/>
      <c r="MOT2" s="18"/>
      <c r="MOU2" s="18"/>
      <c r="MOV2" s="18"/>
      <c r="MOW2" s="18"/>
      <c r="MOX2" s="18"/>
      <c r="MOY2" s="18"/>
      <c r="MOZ2" s="18"/>
      <c r="MPA2" s="18"/>
      <c r="MPB2" s="18"/>
      <c r="MPC2" s="18"/>
      <c r="MPD2" s="18"/>
      <c r="MPE2" s="18"/>
      <c r="MPF2" s="18"/>
      <c r="MPG2" s="18"/>
      <c r="MPH2" s="18"/>
      <c r="MPI2" s="18"/>
      <c r="MPJ2" s="18"/>
      <c r="MPK2" s="18"/>
      <c r="MPL2" s="18"/>
      <c r="MPM2" s="18"/>
      <c r="MPN2" s="18"/>
      <c r="MPO2" s="18"/>
      <c r="MPP2" s="18"/>
      <c r="MPQ2" s="18"/>
      <c r="MPR2" s="18"/>
      <c r="MPS2" s="18"/>
      <c r="MPT2" s="18"/>
      <c r="MPU2" s="18"/>
      <c r="MPV2" s="18"/>
      <c r="MPW2" s="18"/>
      <c r="MPX2" s="18"/>
      <c r="MPY2" s="18"/>
      <c r="MPZ2" s="18"/>
      <c r="MQA2" s="18"/>
      <c r="MQB2" s="18"/>
      <c r="MQC2" s="18"/>
      <c r="MQD2" s="18"/>
      <c r="MQE2" s="18"/>
      <c r="MQF2" s="18"/>
      <c r="MQG2" s="18"/>
      <c r="MQH2" s="18"/>
      <c r="MQI2" s="18"/>
      <c r="MQJ2" s="18"/>
      <c r="MQK2" s="18"/>
      <c r="MQL2" s="18"/>
      <c r="MQM2" s="18"/>
      <c r="MQN2" s="18"/>
      <c r="MQO2" s="18"/>
      <c r="MQP2" s="18"/>
      <c r="MQQ2" s="18"/>
      <c r="MQR2" s="18"/>
      <c r="MQS2" s="18"/>
      <c r="MQT2" s="18"/>
      <c r="MQU2" s="18"/>
      <c r="MQV2" s="18"/>
      <c r="MQW2" s="18"/>
      <c r="MQX2" s="18"/>
      <c r="MQY2" s="18"/>
      <c r="MQZ2" s="18"/>
      <c r="MRA2" s="18"/>
      <c r="MRB2" s="18"/>
      <c r="MRC2" s="18"/>
      <c r="MRD2" s="18"/>
      <c r="MRE2" s="18"/>
      <c r="MRF2" s="18"/>
      <c r="MRG2" s="18"/>
      <c r="MRH2" s="18"/>
      <c r="MRI2" s="18"/>
      <c r="MRJ2" s="18"/>
      <c r="MRK2" s="18"/>
      <c r="MRL2" s="18"/>
      <c r="MRM2" s="18"/>
      <c r="MRN2" s="18"/>
      <c r="MRO2" s="18"/>
      <c r="MRP2" s="18"/>
      <c r="MRQ2" s="18"/>
      <c r="MRR2" s="18"/>
      <c r="MRS2" s="18"/>
      <c r="MRT2" s="18"/>
      <c r="MRU2" s="18"/>
      <c r="MRV2" s="18"/>
      <c r="MRW2" s="18"/>
      <c r="MRX2" s="18"/>
      <c r="MRY2" s="18"/>
      <c r="MRZ2" s="18"/>
      <c r="MSA2" s="18"/>
      <c r="MSB2" s="18"/>
      <c r="MSC2" s="18"/>
      <c r="MSD2" s="18"/>
      <c r="MSE2" s="18"/>
      <c r="MSF2" s="18"/>
      <c r="MSG2" s="18"/>
      <c r="MSH2" s="18"/>
      <c r="MSI2" s="18"/>
      <c r="MSJ2" s="18"/>
      <c r="MSK2" s="18"/>
      <c r="MSL2" s="18"/>
      <c r="MSM2" s="18"/>
      <c r="MSN2" s="18"/>
      <c r="MSO2" s="18"/>
      <c r="MSP2" s="18"/>
      <c r="MSQ2" s="18"/>
      <c r="MSR2" s="18"/>
      <c r="MSS2" s="18"/>
      <c r="MST2" s="18"/>
      <c r="MSU2" s="18"/>
      <c r="MSV2" s="18"/>
      <c r="MSW2" s="18"/>
      <c r="MSX2" s="18"/>
      <c r="MSY2" s="18"/>
      <c r="MSZ2" s="18"/>
      <c r="MTA2" s="18"/>
      <c r="MTB2" s="18"/>
      <c r="MTC2" s="18"/>
      <c r="MTD2" s="18"/>
      <c r="MTE2" s="18"/>
      <c r="MTF2" s="18"/>
      <c r="MTG2" s="18"/>
      <c r="MTH2" s="18"/>
      <c r="MTI2" s="18"/>
      <c r="MTJ2" s="18"/>
      <c r="MTK2" s="18"/>
      <c r="MTL2" s="18"/>
      <c r="MTM2" s="18"/>
      <c r="MTN2" s="18"/>
      <c r="MTO2" s="18"/>
      <c r="MTP2" s="18"/>
      <c r="MTQ2" s="18"/>
      <c r="MTR2" s="18"/>
      <c r="MTS2" s="18"/>
      <c r="MTT2" s="18"/>
      <c r="MTU2" s="18"/>
      <c r="MTV2" s="18"/>
      <c r="MTW2" s="18"/>
      <c r="MTX2" s="18"/>
      <c r="MTY2" s="18"/>
      <c r="MTZ2" s="18"/>
      <c r="MUA2" s="18"/>
      <c r="MUB2" s="18"/>
      <c r="MUC2" s="18"/>
      <c r="MUD2" s="18"/>
      <c r="MUE2" s="18"/>
      <c r="MUF2" s="18"/>
      <c r="MUG2" s="18"/>
      <c r="MUH2" s="18"/>
      <c r="MUI2" s="18"/>
      <c r="MUJ2" s="18"/>
      <c r="MUK2" s="18"/>
      <c r="MUL2" s="18"/>
      <c r="MUM2" s="18"/>
      <c r="MUN2" s="18"/>
      <c r="MUO2" s="18"/>
      <c r="MUP2" s="18"/>
      <c r="MUQ2" s="18"/>
      <c r="MUR2" s="18"/>
      <c r="MUS2" s="18"/>
      <c r="MUT2" s="18"/>
      <c r="MUU2" s="18"/>
      <c r="MUV2" s="18"/>
      <c r="MUW2" s="18"/>
      <c r="MUX2" s="18"/>
      <c r="MUY2" s="18"/>
      <c r="MUZ2" s="18"/>
      <c r="MVA2" s="18"/>
      <c r="MVB2" s="18"/>
      <c r="MVC2" s="18"/>
      <c r="MVD2" s="18"/>
      <c r="MVE2" s="18"/>
      <c r="MVF2" s="18"/>
      <c r="MVG2" s="18"/>
      <c r="MVH2" s="18"/>
      <c r="MVI2" s="18"/>
      <c r="MVJ2" s="18"/>
      <c r="MVK2" s="18"/>
      <c r="MVL2" s="18"/>
      <c r="MVM2" s="18"/>
      <c r="MVN2" s="18"/>
      <c r="MVO2" s="18"/>
      <c r="MVP2" s="18"/>
      <c r="MVQ2" s="18"/>
      <c r="MVR2" s="18"/>
      <c r="MVS2" s="18"/>
      <c r="MVT2" s="18"/>
      <c r="MVU2" s="18"/>
      <c r="MVV2" s="18"/>
      <c r="MVW2" s="18"/>
      <c r="MVX2" s="18"/>
      <c r="MVY2" s="18"/>
      <c r="MVZ2" s="18"/>
      <c r="MWA2" s="18"/>
      <c r="MWB2" s="18"/>
      <c r="MWC2" s="18"/>
      <c r="MWD2" s="18"/>
      <c r="MWE2" s="18"/>
      <c r="MWF2" s="18"/>
      <c r="MWG2" s="18"/>
      <c r="MWH2" s="18"/>
      <c r="MWI2" s="18"/>
      <c r="MWJ2" s="18"/>
      <c r="MWK2" s="18"/>
      <c r="MWL2" s="18"/>
      <c r="MWM2" s="18"/>
      <c r="MWN2" s="18"/>
      <c r="MWO2" s="18"/>
      <c r="MWP2" s="18"/>
      <c r="MWQ2" s="18"/>
      <c r="MWR2" s="18"/>
      <c r="MWS2" s="18"/>
      <c r="MWT2" s="18"/>
      <c r="MWU2" s="18"/>
      <c r="MWV2" s="18"/>
      <c r="MWW2" s="18"/>
      <c r="MWX2" s="18"/>
      <c r="MWY2" s="18"/>
      <c r="MWZ2" s="18"/>
      <c r="MXA2" s="18"/>
      <c r="MXB2" s="18"/>
      <c r="MXC2" s="18"/>
      <c r="MXD2" s="18"/>
      <c r="MXE2" s="18"/>
      <c r="MXF2" s="18"/>
      <c r="MXG2" s="18"/>
      <c r="MXH2" s="18"/>
      <c r="MXI2" s="18"/>
      <c r="MXJ2" s="18"/>
      <c r="MXK2" s="18"/>
      <c r="MXL2" s="18"/>
      <c r="MXM2" s="18"/>
      <c r="MXN2" s="18"/>
      <c r="MXO2" s="18"/>
      <c r="MXP2" s="18"/>
      <c r="MXQ2" s="18"/>
      <c r="MXR2" s="18"/>
      <c r="MXS2" s="18"/>
      <c r="MXT2" s="18"/>
      <c r="MXU2" s="18"/>
      <c r="MXV2" s="18"/>
      <c r="MXW2" s="18"/>
      <c r="MXX2" s="18"/>
      <c r="MXY2" s="18"/>
      <c r="MXZ2" s="18"/>
      <c r="MYA2" s="18"/>
      <c r="MYB2" s="18"/>
      <c r="MYC2" s="18"/>
      <c r="MYD2" s="18"/>
      <c r="MYE2" s="18"/>
      <c r="MYF2" s="18"/>
      <c r="MYG2" s="18"/>
      <c r="MYH2" s="18"/>
      <c r="MYI2" s="18"/>
      <c r="MYJ2" s="18"/>
      <c r="MYK2" s="18"/>
      <c r="MYL2" s="18"/>
      <c r="MYM2" s="18"/>
      <c r="MYN2" s="18"/>
      <c r="MYO2" s="18"/>
      <c r="MYP2" s="18"/>
      <c r="MYQ2" s="18"/>
      <c r="MYR2" s="18"/>
      <c r="MYS2" s="18"/>
      <c r="MYT2" s="18"/>
      <c r="MYU2" s="18"/>
      <c r="MYV2" s="18"/>
      <c r="MYW2" s="18"/>
      <c r="MYX2" s="18"/>
      <c r="MYY2" s="18"/>
      <c r="MYZ2" s="18"/>
      <c r="MZA2" s="18"/>
      <c r="MZB2" s="18"/>
      <c r="MZC2" s="18"/>
      <c r="MZD2" s="18"/>
      <c r="MZE2" s="18"/>
      <c r="MZF2" s="18"/>
      <c r="MZG2" s="18"/>
      <c r="MZH2" s="18"/>
      <c r="MZI2" s="18"/>
      <c r="MZJ2" s="18"/>
      <c r="MZK2" s="18"/>
      <c r="MZL2" s="18"/>
      <c r="MZM2" s="18"/>
      <c r="MZN2" s="18"/>
      <c r="MZO2" s="18"/>
      <c r="MZP2" s="18"/>
      <c r="MZQ2" s="18"/>
      <c r="MZR2" s="18"/>
      <c r="MZS2" s="18"/>
      <c r="MZT2" s="18"/>
      <c r="MZU2" s="18"/>
      <c r="MZV2" s="18"/>
      <c r="MZW2" s="18"/>
      <c r="MZX2" s="18"/>
      <c r="MZY2" s="18"/>
      <c r="MZZ2" s="18"/>
      <c r="NAA2" s="18"/>
      <c r="NAB2" s="18"/>
      <c r="NAC2" s="18"/>
      <c r="NAD2" s="18"/>
      <c r="NAE2" s="18"/>
      <c r="NAF2" s="18"/>
      <c r="NAG2" s="18"/>
      <c r="NAH2" s="18"/>
      <c r="NAI2" s="18"/>
      <c r="NAJ2" s="18"/>
      <c r="NAK2" s="18"/>
      <c r="NAL2" s="18"/>
      <c r="NAM2" s="18"/>
      <c r="NAN2" s="18"/>
      <c r="NAO2" s="18"/>
      <c r="NAP2" s="18"/>
      <c r="NAQ2" s="18"/>
      <c r="NAR2" s="18"/>
      <c r="NAS2" s="18"/>
      <c r="NAT2" s="18"/>
      <c r="NAU2" s="18"/>
      <c r="NAV2" s="18"/>
      <c r="NAW2" s="18"/>
      <c r="NAX2" s="18"/>
      <c r="NAY2" s="18"/>
      <c r="NAZ2" s="18"/>
      <c r="NBA2" s="18"/>
      <c r="NBB2" s="18"/>
      <c r="NBC2" s="18"/>
      <c r="NBD2" s="18"/>
      <c r="NBE2" s="18"/>
      <c r="NBF2" s="18"/>
      <c r="NBG2" s="18"/>
      <c r="NBH2" s="18"/>
      <c r="NBI2" s="18"/>
      <c r="NBJ2" s="18"/>
      <c r="NBK2" s="18"/>
      <c r="NBL2" s="18"/>
      <c r="NBM2" s="18"/>
      <c r="NBN2" s="18"/>
      <c r="NBO2" s="18"/>
      <c r="NBP2" s="18"/>
      <c r="NBQ2" s="18"/>
      <c r="NBR2" s="18"/>
      <c r="NBS2" s="18"/>
      <c r="NBT2" s="18"/>
      <c r="NBU2" s="18"/>
      <c r="NBV2" s="18"/>
      <c r="NBW2" s="18"/>
      <c r="NBX2" s="18"/>
      <c r="NBY2" s="18"/>
      <c r="NBZ2" s="18"/>
      <c r="NCA2" s="18"/>
      <c r="NCB2" s="18"/>
      <c r="NCC2" s="18"/>
      <c r="NCD2" s="18"/>
      <c r="NCE2" s="18"/>
      <c r="NCF2" s="18"/>
      <c r="NCG2" s="18"/>
      <c r="NCH2" s="18"/>
      <c r="NCI2" s="18"/>
      <c r="NCJ2" s="18"/>
      <c r="NCK2" s="18"/>
      <c r="NCL2" s="18"/>
      <c r="NCM2" s="18"/>
      <c r="NCN2" s="18"/>
      <c r="NCO2" s="18"/>
      <c r="NCP2" s="18"/>
      <c r="NCQ2" s="18"/>
      <c r="NCR2" s="18"/>
      <c r="NCS2" s="18"/>
      <c r="NCT2" s="18"/>
      <c r="NCU2" s="18"/>
      <c r="NCV2" s="18"/>
      <c r="NCW2" s="18"/>
      <c r="NCX2" s="18"/>
      <c r="NCY2" s="18"/>
      <c r="NCZ2" s="18"/>
      <c r="NDA2" s="18"/>
      <c r="NDB2" s="18"/>
      <c r="NDC2" s="18"/>
      <c r="NDD2" s="18"/>
      <c r="NDE2" s="18"/>
      <c r="NDF2" s="18"/>
      <c r="NDG2" s="18"/>
      <c r="NDH2" s="18"/>
      <c r="NDI2" s="18"/>
      <c r="NDJ2" s="18"/>
      <c r="NDK2" s="18"/>
      <c r="NDL2" s="18"/>
      <c r="NDM2" s="18"/>
      <c r="NDN2" s="18"/>
      <c r="NDO2" s="18"/>
      <c r="NDP2" s="18"/>
      <c r="NDQ2" s="18"/>
      <c r="NDR2" s="18"/>
      <c r="NDS2" s="18"/>
      <c r="NDT2" s="18"/>
      <c r="NDU2" s="18"/>
      <c r="NDV2" s="18"/>
      <c r="NDW2" s="18"/>
      <c r="NDX2" s="18"/>
      <c r="NDY2" s="18"/>
      <c r="NDZ2" s="18"/>
      <c r="NEA2" s="18"/>
      <c r="NEB2" s="18"/>
      <c r="NEC2" s="18"/>
      <c r="NED2" s="18"/>
      <c r="NEE2" s="18"/>
      <c r="NEF2" s="18"/>
      <c r="NEG2" s="18"/>
      <c r="NEH2" s="18"/>
      <c r="NEI2" s="18"/>
      <c r="NEJ2" s="18"/>
      <c r="NEK2" s="18"/>
      <c r="NEL2" s="18"/>
      <c r="NEM2" s="18"/>
      <c r="NEN2" s="18"/>
      <c r="NEO2" s="18"/>
      <c r="NEP2" s="18"/>
      <c r="NEQ2" s="18"/>
      <c r="NER2" s="18"/>
      <c r="NES2" s="18"/>
      <c r="NET2" s="18"/>
      <c r="NEU2" s="18"/>
      <c r="NEV2" s="18"/>
      <c r="NEW2" s="18"/>
      <c r="NEX2" s="18"/>
      <c r="NEY2" s="18"/>
      <c r="NEZ2" s="18"/>
      <c r="NFA2" s="18"/>
      <c r="NFB2" s="18"/>
      <c r="NFC2" s="18"/>
      <c r="NFD2" s="18"/>
      <c r="NFE2" s="18"/>
      <c r="NFF2" s="18"/>
      <c r="NFG2" s="18"/>
      <c r="NFH2" s="18"/>
      <c r="NFI2" s="18"/>
      <c r="NFJ2" s="18"/>
      <c r="NFK2" s="18"/>
      <c r="NFL2" s="18"/>
      <c r="NFM2" s="18"/>
      <c r="NFN2" s="18"/>
      <c r="NFO2" s="18"/>
      <c r="NFP2" s="18"/>
      <c r="NFQ2" s="18"/>
      <c r="NFR2" s="18"/>
      <c r="NFS2" s="18"/>
      <c r="NFT2" s="18"/>
      <c r="NFU2" s="18"/>
      <c r="NFV2" s="18"/>
      <c r="NFW2" s="18"/>
      <c r="NFX2" s="18"/>
      <c r="NFY2" s="18"/>
      <c r="NFZ2" s="18"/>
      <c r="NGA2" s="18"/>
      <c r="NGB2" s="18"/>
      <c r="NGC2" s="18"/>
      <c r="NGD2" s="18"/>
      <c r="NGE2" s="18"/>
      <c r="NGF2" s="18"/>
      <c r="NGG2" s="18"/>
      <c r="NGH2" s="18"/>
      <c r="NGI2" s="18"/>
      <c r="NGJ2" s="18"/>
      <c r="NGK2" s="18"/>
      <c r="NGL2" s="18"/>
      <c r="NGM2" s="18"/>
      <c r="NGN2" s="18"/>
      <c r="NGO2" s="18"/>
      <c r="NGP2" s="18"/>
      <c r="NGQ2" s="18"/>
      <c r="NGR2" s="18"/>
      <c r="NGS2" s="18"/>
      <c r="NGT2" s="18"/>
      <c r="NGU2" s="18"/>
      <c r="NGV2" s="18"/>
      <c r="NGW2" s="18"/>
      <c r="NGX2" s="18"/>
      <c r="NGY2" s="18"/>
      <c r="NGZ2" s="18"/>
      <c r="NHA2" s="18"/>
      <c r="NHB2" s="18"/>
      <c r="NHC2" s="18"/>
      <c r="NHD2" s="18"/>
      <c r="NHE2" s="18"/>
      <c r="NHF2" s="18"/>
      <c r="NHG2" s="18"/>
      <c r="NHH2" s="18"/>
      <c r="NHI2" s="18"/>
      <c r="NHJ2" s="18"/>
      <c r="NHK2" s="18"/>
      <c r="NHL2" s="18"/>
      <c r="NHM2" s="18"/>
      <c r="NHN2" s="18"/>
      <c r="NHO2" s="18"/>
      <c r="NHP2" s="18"/>
      <c r="NHQ2" s="18"/>
      <c r="NHR2" s="18"/>
      <c r="NHS2" s="18"/>
      <c r="NHT2" s="18"/>
      <c r="NHU2" s="18"/>
      <c r="NHV2" s="18"/>
      <c r="NHW2" s="18"/>
      <c r="NHX2" s="18"/>
      <c r="NHY2" s="18"/>
      <c r="NHZ2" s="18"/>
      <c r="NIA2" s="18"/>
      <c r="NIB2" s="18"/>
      <c r="NIC2" s="18"/>
      <c r="NID2" s="18"/>
      <c r="NIE2" s="18"/>
      <c r="NIF2" s="18"/>
      <c r="NIG2" s="18"/>
      <c r="NIH2" s="18"/>
      <c r="NII2" s="18"/>
      <c r="NIJ2" s="18"/>
      <c r="NIK2" s="18"/>
      <c r="NIL2" s="18"/>
      <c r="NIM2" s="18"/>
      <c r="NIN2" s="18"/>
      <c r="NIO2" s="18"/>
      <c r="NIP2" s="18"/>
      <c r="NIQ2" s="18"/>
      <c r="NIR2" s="18"/>
      <c r="NIS2" s="18"/>
      <c r="NIT2" s="18"/>
      <c r="NIU2" s="18"/>
      <c r="NIV2" s="18"/>
      <c r="NIW2" s="18"/>
      <c r="NIX2" s="18"/>
      <c r="NIY2" s="18"/>
      <c r="NIZ2" s="18"/>
      <c r="NJA2" s="18"/>
      <c r="NJB2" s="18"/>
      <c r="NJC2" s="18"/>
      <c r="NJD2" s="18"/>
      <c r="NJE2" s="18"/>
      <c r="NJF2" s="18"/>
      <c r="NJG2" s="18"/>
      <c r="NJH2" s="18"/>
      <c r="NJI2" s="18"/>
      <c r="NJJ2" s="18"/>
      <c r="NJK2" s="18"/>
      <c r="NJL2" s="18"/>
      <c r="NJM2" s="18"/>
      <c r="NJN2" s="18"/>
      <c r="NJO2" s="18"/>
      <c r="NJP2" s="18"/>
      <c r="NJQ2" s="18"/>
      <c r="NJR2" s="18"/>
      <c r="NJS2" s="18"/>
      <c r="NJT2" s="18"/>
      <c r="NJU2" s="18"/>
      <c r="NJV2" s="18"/>
      <c r="NJW2" s="18"/>
      <c r="NJX2" s="18"/>
      <c r="NJY2" s="18"/>
      <c r="NJZ2" s="18"/>
      <c r="NKA2" s="18"/>
      <c r="NKB2" s="18"/>
      <c r="NKC2" s="18"/>
      <c r="NKD2" s="18"/>
      <c r="NKE2" s="18"/>
      <c r="NKF2" s="18"/>
      <c r="NKG2" s="18"/>
      <c r="NKH2" s="18"/>
      <c r="NKI2" s="18"/>
      <c r="NKJ2" s="18"/>
      <c r="NKK2" s="18"/>
      <c r="NKL2" s="18"/>
      <c r="NKM2" s="18"/>
      <c r="NKN2" s="18"/>
      <c r="NKO2" s="18"/>
      <c r="NKP2" s="18"/>
      <c r="NKQ2" s="18"/>
      <c r="NKR2" s="18"/>
      <c r="NKS2" s="18"/>
      <c r="NKT2" s="18"/>
      <c r="NKU2" s="18"/>
      <c r="NKV2" s="18"/>
      <c r="NKW2" s="18"/>
      <c r="NKX2" s="18"/>
      <c r="NKY2" s="18"/>
      <c r="NKZ2" s="18"/>
      <c r="NLA2" s="18"/>
      <c r="NLB2" s="18"/>
      <c r="NLC2" s="18"/>
      <c r="NLD2" s="18"/>
      <c r="NLE2" s="18"/>
      <c r="NLF2" s="18"/>
      <c r="NLG2" s="18"/>
      <c r="NLH2" s="18"/>
      <c r="NLI2" s="18"/>
      <c r="NLJ2" s="18"/>
      <c r="NLK2" s="18"/>
      <c r="NLL2" s="18"/>
      <c r="NLM2" s="18"/>
      <c r="NLN2" s="18"/>
      <c r="NLO2" s="18"/>
      <c r="NLP2" s="18"/>
      <c r="NLQ2" s="18"/>
      <c r="NLR2" s="18"/>
      <c r="NLS2" s="18"/>
      <c r="NLT2" s="18"/>
      <c r="NLU2" s="18"/>
      <c r="NLV2" s="18"/>
      <c r="NLW2" s="18"/>
      <c r="NLX2" s="18"/>
      <c r="NLY2" s="18"/>
      <c r="NLZ2" s="18"/>
      <c r="NMA2" s="18"/>
      <c r="NMB2" s="18"/>
      <c r="NMC2" s="18"/>
      <c r="NMD2" s="18"/>
      <c r="NME2" s="18"/>
      <c r="NMF2" s="18"/>
      <c r="NMG2" s="18"/>
      <c r="NMH2" s="18"/>
      <c r="NMI2" s="18"/>
      <c r="NMJ2" s="18"/>
      <c r="NMK2" s="18"/>
      <c r="NML2" s="18"/>
      <c r="NMM2" s="18"/>
      <c r="NMN2" s="18"/>
      <c r="NMO2" s="18"/>
      <c r="NMP2" s="18"/>
      <c r="NMQ2" s="18"/>
      <c r="NMR2" s="18"/>
      <c r="NMS2" s="18"/>
      <c r="NMT2" s="18"/>
      <c r="NMU2" s="18"/>
      <c r="NMV2" s="18"/>
      <c r="NMW2" s="18"/>
      <c r="NMX2" s="18"/>
      <c r="NMY2" s="18"/>
      <c r="NMZ2" s="18"/>
      <c r="NNA2" s="18"/>
      <c r="NNB2" s="18"/>
      <c r="NNC2" s="18"/>
      <c r="NND2" s="18"/>
      <c r="NNE2" s="18"/>
      <c r="NNF2" s="18"/>
      <c r="NNG2" s="18"/>
      <c r="NNH2" s="18"/>
      <c r="NNI2" s="18"/>
      <c r="NNJ2" s="18"/>
      <c r="NNK2" s="18"/>
      <c r="NNL2" s="18"/>
      <c r="NNM2" s="18"/>
      <c r="NNN2" s="18"/>
      <c r="NNO2" s="18"/>
      <c r="NNP2" s="18"/>
      <c r="NNQ2" s="18"/>
      <c r="NNR2" s="18"/>
      <c r="NNS2" s="18"/>
      <c r="NNT2" s="18"/>
      <c r="NNU2" s="18"/>
      <c r="NNV2" s="18"/>
      <c r="NNW2" s="18"/>
      <c r="NNX2" s="18"/>
      <c r="NNY2" s="18"/>
      <c r="NNZ2" s="18"/>
      <c r="NOA2" s="18"/>
      <c r="NOB2" s="18"/>
      <c r="NOC2" s="18"/>
      <c r="NOD2" s="18"/>
      <c r="NOE2" s="18"/>
      <c r="NOF2" s="18"/>
      <c r="NOG2" s="18"/>
      <c r="NOH2" s="18"/>
      <c r="NOI2" s="18"/>
      <c r="NOJ2" s="18"/>
      <c r="NOK2" s="18"/>
      <c r="NOL2" s="18"/>
      <c r="NOM2" s="18"/>
      <c r="NON2" s="18"/>
      <c r="NOO2" s="18"/>
      <c r="NOP2" s="18"/>
      <c r="NOQ2" s="18"/>
      <c r="NOR2" s="18"/>
      <c r="NOS2" s="18"/>
      <c r="NOT2" s="18"/>
      <c r="NOU2" s="18"/>
      <c r="NOV2" s="18"/>
      <c r="NOW2" s="18"/>
      <c r="NOX2" s="18"/>
      <c r="NOY2" s="18"/>
      <c r="NOZ2" s="18"/>
      <c r="NPA2" s="18"/>
      <c r="NPB2" s="18"/>
      <c r="NPC2" s="18"/>
      <c r="NPD2" s="18"/>
      <c r="NPE2" s="18"/>
      <c r="NPF2" s="18"/>
      <c r="NPG2" s="18"/>
      <c r="NPH2" s="18"/>
      <c r="NPI2" s="18"/>
      <c r="NPJ2" s="18"/>
      <c r="NPK2" s="18"/>
      <c r="NPL2" s="18"/>
      <c r="NPM2" s="18"/>
      <c r="NPN2" s="18"/>
      <c r="NPO2" s="18"/>
      <c r="NPP2" s="18"/>
      <c r="NPQ2" s="18"/>
      <c r="NPR2" s="18"/>
      <c r="NPS2" s="18"/>
      <c r="NPT2" s="18"/>
      <c r="NPU2" s="18"/>
      <c r="NPV2" s="18"/>
      <c r="NPW2" s="18"/>
      <c r="NPX2" s="18"/>
      <c r="NPY2" s="18"/>
      <c r="NPZ2" s="18"/>
      <c r="NQA2" s="18"/>
      <c r="NQB2" s="18"/>
      <c r="NQC2" s="18"/>
      <c r="NQD2" s="18"/>
      <c r="NQE2" s="18"/>
      <c r="NQF2" s="18"/>
      <c r="NQG2" s="18"/>
      <c r="NQH2" s="18"/>
      <c r="NQI2" s="18"/>
      <c r="NQJ2" s="18"/>
      <c r="NQK2" s="18"/>
      <c r="NQL2" s="18"/>
      <c r="NQM2" s="18"/>
      <c r="NQN2" s="18"/>
      <c r="NQO2" s="18"/>
      <c r="NQP2" s="18"/>
      <c r="NQQ2" s="18"/>
      <c r="NQR2" s="18"/>
      <c r="NQS2" s="18"/>
      <c r="NQT2" s="18"/>
      <c r="NQU2" s="18"/>
      <c r="NQV2" s="18"/>
      <c r="NQW2" s="18"/>
      <c r="NQX2" s="18"/>
      <c r="NQY2" s="18"/>
      <c r="NQZ2" s="18"/>
      <c r="NRA2" s="18"/>
      <c r="NRB2" s="18"/>
      <c r="NRC2" s="18"/>
      <c r="NRD2" s="18"/>
      <c r="NRE2" s="18"/>
      <c r="NRF2" s="18"/>
      <c r="NRG2" s="18"/>
      <c r="NRH2" s="18"/>
      <c r="NRI2" s="18"/>
      <c r="NRJ2" s="18"/>
      <c r="NRK2" s="18"/>
      <c r="NRL2" s="18"/>
      <c r="NRM2" s="18"/>
      <c r="NRN2" s="18"/>
      <c r="NRO2" s="18"/>
      <c r="NRP2" s="18"/>
      <c r="NRQ2" s="18"/>
      <c r="NRR2" s="18"/>
      <c r="NRS2" s="18"/>
      <c r="NRT2" s="18"/>
      <c r="NRU2" s="18"/>
      <c r="NRV2" s="18"/>
      <c r="NRW2" s="18"/>
      <c r="NRX2" s="18"/>
      <c r="NRY2" s="18"/>
      <c r="NRZ2" s="18"/>
      <c r="NSA2" s="18"/>
      <c r="NSB2" s="18"/>
      <c r="NSC2" s="18"/>
      <c r="NSD2" s="18"/>
      <c r="NSE2" s="18"/>
      <c r="NSF2" s="18"/>
      <c r="NSG2" s="18"/>
      <c r="NSH2" s="18"/>
      <c r="NSI2" s="18"/>
      <c r="NSJ2" s="18"/>
      <c r="NSK2" s="18"/>
      <c r="NSL2" s="18"/>
      <c r="NSM2" s="18"/>
      <c r="NSN2" s="18"/>
      <c r="NSO2" s="18"/>
      <c r="NSP2" s="18"/>
      <c r="NSQ2" s="18"/>
      <c r="NSR2" s="18"/>
      <c r="NSS2" s="18"/>
      <c r="NST2" s="18"/>
      <c r="NSU2" s="18"/>
      <c r="NSV2" s="18"/>
      <c r="NSW2" s="18"/>
      <c r="NSX2" s="18"/>
      <c r="NSY2" s="18"/>
      <c r="NSZ2" s="18"/>
      <c r="NTA2" s="18"/>
      <c r="NTB2" s="18"/>
      <c r="NTC2" s="18"/>
      <c r="NTD2" s="18"/>
      <c r="NTE2" s="18"/>
      <c r="NTF2" s="18"/>
      <c r="NTG2" s="18"/>
      <c r="NTH2" s="18"/>
      <c r="NTI2" s="18"/>
      <c r="NTJ2" s="18"/>
      <c r="NTK2" s="18"/>
      <c r="NTL2" s="18"/>
      <c r="NTM2" s="18"/>
      <c r="NTN2" s="18"/>
      <c r="NTO2" s="18"/>
      <c r="NTP2" s="18"/>
      <c r="NTQ2" s="18"/>
      <c r="NTR2" s="18"/>
      <c r="NTS2" s="18"/>
      <c r="NTT2" s="18"/>
      <c r="NTU2" s="18"/>
      <c r="NTV2" s="18"/>
      <c r="NTW2" s="18"/>
      <c r="NTX2" s="18"/>
      <c r="NTY2" s="18"/>
      <c r="NTZ2" s="18"/>
      <c r="NUA2" s="18"/>
      <c r="NUB2" s="18"/>
      <c r="NUC2" s="18"/>
      <c r="NUD2" s="18"/>
      <c r="NUE2" s="18"/>
      <c r="NUF2" s="18"/>
      <c r="NUG2" s="18"/>
      <c r="NUH2" s="18"/>
      <c r="NUI2" s="18"/>
      <c r="NUJ2" s="18"/>
      <c r="NUK2" s="18"/>
      <c r="NUL2" s="18"/>
      <c r="NUM2" s="18"/>
      <c r="NUN2" s="18"/>
      <c r="NUO2" s="18"/>
      <c r="NUP2" s="18"/>
      <c r="NUQ2" s="18"/>
      <c r="NUR2" s="18"/>
      <c r="NUS2" s="18"/>
      <c r="NUT2" s="18"/>
      <c r="NUU2" s="18"/>
      <c r="NUV2" s="18"/>
      <c r="NUW2" s="18"/>
      <c r="NUX2" s="18"/>
      <c r="NUY2" s="18"/>
      <c r="NUZ2" s="18"/>
      <c r="NVA2" s="18"/>
      <c r="NVB2" s="18"/>
      <c r="NVC2" s="18"/>
      <c r="NVD2" s="18"/>
      <c r="NVE2" s="18"/>
      <c r="NVF2" s="18"/>
      <c r="NVG2" s="18"/>
      <c r="NVH2" s="18"/>
      <c r="NVI2" s="18"/>
      <c r="NVJ2" s="18"/>
      <c r="NVK2" s="18"/>
      <c r="NVL2" s="18"/>
      <c r="NVM2" s="18"/>
      <c r="NVN2" s="18"/>
      <c r="NVO2" s="18"/>
      <c r="NVP2" s="18"/>
      <c r="NVQ2" s="18"/>
      <c r="NVR2" s="18"/>
      <c r="NVS2" s="18"/>
      <c r="NVT2" s="18"/>
      <c r="NVU2" s="18"/>
      <c r="NVV2" s="18"/>
      <c r="NVW2" s="18"/>
      <c r="NVX2" s="18"/>
      <c r="NVY2" s="18"/>
      <c r="NVZ2" s="18"/>
      <c r="NWA2" s="18"/>
      <c r="NWB2" s="18"/>
      <c r="NWC2" s="18"/>
      <c r="NWD2" s="18"/>
      <c r="NWE2" s="18"/>
      <c r="NWF2" s="18"/>
      <c r="NWG2" s="18"/>
      <c r="NWH2" s="18"/>
      <c r="NWI2" s="18"/>
      <c r="NWJ2" s="18"/>
      <c r="NWK2" s="18"/>
      <c r="NWL2" s="18"/>
      <c r="NWM2" s="18"/>
      <c r="NWN2" s="18"/>
      <c r="NWO2" s="18"/>
      <c r="NWP2" s="18"/>
      <c r="NWQ2" s="18"/>
      <c r="NWR2" s="18"/>
      <c r="NWS2" s="18"/>
      <c r="NWT2" s="18"/>
      <c r="NWU2" s="18"/>
      <c r="NWV2" s="18"/>
      <c r="NWW2" s="18"/>
      <c r="NWX2" s="18"/>
      <c r="NWY2" s="18"/>
      <c r="NWZ2" s="18"/>
      <c r="NXA2" s="18"/>
      <c r="NXB2" s="18"/>
      <c r="NXC2" s="18"/>
      <c r="NXD2" s="18"/>
      <c r="NXE2" s="18"/>
      <c r="NXF2" s="18"/>
      <c r="NXG2" s="18"/>
      <c r="NXH2" s="18"/>
      <c r="NXI2" s="18"/>
      <c r="NXJ2" s="18"/>
      <c r="NXK2" s="18"/>
      <c r="NXL2" s="18"/>
      <c r="NXM2" s="18"/>
      <c r="NXN2" s="18"/>
      <c r="NXO2" s="18"/>
      <c r="NXP2" s="18"/>
      <c r="NXQ2" s="18"/>
      <c r="NXR2" s="18"/>
      <c r="NXS2" s="18"/>
      <c r="NXT2" s="18"/>
      <c r="NXU2" s="18"/>
      <c r="NXV2" s="18"/>
      <c r="NXW2" s="18"/>
      <c r="NXX2" s="18"/>
      <c r="NXY2" s="18"/>
      <c r="NXZ2" s="18"/>
      <c r="NYA2" s="18"/>
      <c r="NYB2" s="18"/>
      <c r="NYC2" s="18"/>
      <c r="NYD2" s="18"/>
      <c r="NYE2" s="18"/>
      <c r="NYF2" s="18"/>
      <c r="NYG2" s="18"/>
      <c r="NYH2" s="18"/>
      <c r="NYI2" s="18"/>
      <c r="NYJ2" s="18"/>
      <c r="NYK2" s="18"/>
      <c r="NYL2" s="18"/>
      <c r="NYM2" s="18"/>
      <c r="NYN2" s="18"/>
      <c r="NYO2" s="18"/>
      <c r="NYP2" s="18"/>
      <c r="NYQ2" s="18"/>
      <c r="NYR2" s="18"/>
      <c r="NYS2" s="18"/>
      <c r="NYT2" s="18"/>
      <c r="NYU2" s="18"/>
      <c r="NYV2" s="18"/>
      <c r="NYW2" s="18"/>
      <c r="NYX2" s="18"/>
      <c r="NYY2" s="18"/>
      <c r="NYZ2" s="18"/>
      <c r="NZA2" s="18"/>
      <c r="NZB2" s="18"/>
      <c r="NZC2" s="18"/>
      <c r="NZD2" s="18"/>
      <c r="NZE2" s="18"/>
      <c r="NZF2" s="18"/>
      <c r="NZG2" s="18"/>
      <c r="NZH2" s="18"/>
      <c r="NZI2" s="18"/>
      <c r="NZJ2" s="18"/>
      <c r="NZK2" s="18"/>
      <c r="NZL2" s="18"/>
      <c r="NZM2" s="18"/>
      <c r="NZN2" s="18"/>
      <c r="NZO2" s="18"/>
      <c r="NZP2" s="18"/>
      <c r="NZQ2" s="18"/>
      <c r="NZR2" s="18"/>
      <c r="NZS2" s="18"/>
      <c r="NZT2" s="18"/>
      <c r="NZU2" s="18"/>
      <c r="NZV2" s="18"/>
      <c r="NZW2" s="18"/>
      <c r="NZX2" s="18"/>
      <c r="NZY2" s="18"/>
      <c r="NZZ2" s="18"/>
      <c r="OAA2" s="18"/>
      <c r="OAB2" s="18"/>
      <c r="OAC2" s="18"/>
      <c r="OAD2" s="18"/>
      <c r="OAE2" s="18"/>
      <c r="OAF2" s="18"/>
      <c r="OAG2" s="18"/>
      <c r="OAH2" s="18"/>
      <c r="OAI2" s="18"/>
      <c r="OAJ2" s="18"/>
      <c r="OAK2" s="18"/>
      <c r="OAL2" s="18"/>
      <c r="OAM2" s="18"/>
      <c r="OAN2" s="18"/>
      <c r="OAO2" s="18"/>
      <c r="OAP2" s="18"/>
      <c r="OAQ2" s="18"/>
      <c r="OAR2" s="18"/>
      <c r="OAS2" s="18"/>
      <c r="OAT2" s="18"/>
      <c r="OAU2" s="18"/>
      <c r="OAV2" s="18"/>
      <c r="OAW2" s="18"/>
      <c r="OAX2" s="18"/>
      <c r="OAY2" s="18"/>
      <c r="OAZ2" s="18"/>
      <c r="OBA2" s="18"/>
      <c r="OBB2" s="18"/>
      <c r="OBC2" s="18"/>
      <c r="OBD2" s="18"/>
      <c r="OBE2" s="18"/>
      <c r="OBF2" s="18"/>
      <c r="OBG2" s="18"/>
      <c r="OBH2" s="18"/>
      <c r="OBI2" s="18"/>
      <c r="OBJ2" s="18"/>
      <c r="OBK2" s="18"/>
      <c r="OBL2" s="18"/>
      <c r="OBM2" s="18"/>
      <c r="OBN2" s="18"/>
      <c r="OBO2" s="18"/>
      <c r="OBP2" s="18"/>
      <c r="OBQ2" s="18"/>
      <c r="OBR2" s="18"/>
      <c r="OBS2" s="18"/>
      <c r="OBT2" s="18"/>
      <c r="OBU2" s="18"/>
      <c r="OBV2" s="18"/>
      <c r="OBW2" s="18"/>
      <c r="OBX2" s="18"/>
      <c r="OBY2" s="18"/>
      <c r="OBZ2" s="18"/>
      <c r="OCA2" s="18"/>
      <c r="OCB2" s="18"/>
      <c r="OCC2" s="18"/>
      <c r="OCD2" s="18"/>
      <c r="OCE2" s="18"/>
      <c r="OCF2" s="18"/>
      <c r="OCG2" s="18"/>
      <c r="OCH2" s="18"/>
      <c r="OCI2" s="18"/>
      <c r="OCJ2" s="18"/>
      <c r="OCK2" s="18"/>
      <c r="OCL2" s="18"/>
      <c r="OCM2" s="18"/>
      <c r="OCN2" s="18"/>
      <c r="OCO2" s="18"/>
      <c r="OCP2" s="18"/>
      <c r="OCQ2" s="18"/>
      <c r="OCR2" s="18"/>
      <c r="OCS2" s="18"/>
      <c r="OCT2" s="18"/>
      <c r="OCU2" s="18"/>
      <c r="OCV2" s="18"/>
      <c r="OCW2" s="18"/>
      <c r="OCX2" s="18"/>
      <c r="OCY2" s="18"/>
      <c r="OCZ2" s="18"/>
      <c r="ODA2" s="18"/>
      <c r="ODB2" s="18"/>
      <c r="ODC2" s="18"/>
      <c r="ODD2" s="18"/>
      <c r="ODE2" s="18"/>
      <c r="ODF2" s="18"/>
      <c r="ODG2" s="18"/>
      <c r="ODH2" s="18"/>
      <c r="ODI2" s="18"/>
      <c r="ODJ2" s="18"/>
      <c r="ODK2" s="18"/>
      <c r="ODL2" s="18"/>
      <c r="ODM2" s="18"/>
      <c r="ODN2" s="18"/>
      <c r="ODO2" s="18"/>
      <c r="ODP2" s="18"/>
      <c r="ODQ2" s="18"/>
      <c r="ODR2" s="18"/>
      <c r="ODS2" s="18"/>
      <c r="ODT2" s="18"/>
      <c r="ODU2" s="18"/>
      <c r="ODV2" s="18"/>
      <c r="ODW2" s="18"/>
      <c r="ODX2" s="18"/>
      <c r="ODY2" s="18"/>
      <c r="ODZ2" s="18"/>
      <c r="OEA2" s="18"/>
      <c r="OEB2" s="18"/>
      <c r="OEC2" s="18"/>
      <c r="OED2" s="18"/>
      <c r="OEE2" s="18"/>
      <c r="OEF2" s="18"/>
      <c r="OEG2" s="18"/>
      <c r="OEH2" s="18"/>
      <c r="OEI2" s="18"/>
      <c r="OEJ2" s="18"/>
      <c r="OEK2" s="18"/>
      <c r="OEL2" s="18"/>
      <c r="OEM2" s="18"/>
      <c r="OEN2" s="18"/>
      <c r="OEO2" s="18"/>
      <c r="OEP2" s="18"/>
      <c r="OEQ2" s="18"/>
      <c r="OER2" s="18"/>
      <c r="OES2" s="18"/>
      <c r="OET2" s="18"/>
      <c r="OEU2" s="18"/>
      <c r="OEV2" s="18"/>
      <c r="OEW2" s="18"/>
      <c r="OEX2" s="18"/>
      <c r="OEY2" s="18"/>
      <c r="OEZ2" s="18"/>
      <c r="OFA2" s="18"/>
      <c r="OFB2" s="18"/>
      <c r="OFC2" s="18"/>
      <c r="OFD2" s="18"/>
      <c r="OFE2" s="18"/>
      <c r="OFF2" s="18"/>
      <c r="OFG2" s="18"/>
      <c r="OFH2" s="18"/>
      <c r="OFI2" s="18"/>
      <c r="OFJ2" s="18"/>
      <c r="OFK2" s="18"/>
      <c r="OFL2" s="18"/>
      <c r="OFM2" s="18"/>
      <c r="OFN2" s="18"/>
      <c r="OFO2" s="18"/>
      <c r="OFP2" s="18"/>
      <c r="OFQ2" s="18"/>
      <c r="OFR2" s="18"/>
      <c r="OFS2" s="18"/>
      <c r="OFT2" s="18"/>
      <c r="OFU2" s="18"/>
      <c r="OFV2" s="18"/>
      <c r="OFW2" s="18"/>
      <c r="OFX2" s="18"/>
      <c r="OFY2" s="18"/>
      <c r="OFZ2" s="18"/>
      <c r="OGA2" s="18"/>
      <c r="OGB2" s="18"/>
      <c r="OGC2" s="18"/>
      <c r="OGD2" s="18"/>
      <c r="OGE2" s="18"/>
      <c r="OGF2" s="18"/>
      <c r="OGG2" s="18"/>
      <c r="OGH2" s="18"/>
      <c r="OGI2" s="18"/>
      <c r="OGJ2" s="18"/>
      <c r="OGK2" s="18"/>
      <c r="OGL2" s="18"/>
      <c r="OGM2" s="18"/>
      <c r="OGN2" s="18"/>
      <c r="OGO2" s="18"/>
      <c r="OGP2" s="18"/>
      <c r="OGQ2" s="18"/>
      <c r="OGR2" s="18"/>
      <c r="OGS2" s="18"/>
      <c r="OGT2" s="18"/>
      <c r="OGU2" s="18"/>
      <c r="OGV2" s="18"/>
      <c r="OGW2" s="18"/>
      <c r="OGX2" s="18"/>
      <c r="OGY2" s="18"/>
      <c r="OGZ2" s="18"/>
      <c r="OHA2" s="18"/>
      <c r="OHB2" s="18"/>
      <c r="OHC2" s="18"/>
      <c r="OHD2" s="18"/>
      <c r="OHE2" s="18"/>
      <c r="OHF2" s="18"/>
      <c r="OHG2" s="18"/>
      <c r="OHH2" s="18"/>
      <c r="OHI2" s="18"/>
      <c r="OHJ2" s="18"/>
      <c r="OHK2" s="18"/>
      <c r="OHL2" s="18"/>
      <c r="OHM2" s="18"/>
      <c r="OHN2" s="18"/>
      <c r="OHO2" s="18"/>
      <c r="OHP2" s="18"/>
      <c r="OHQ2" s="18"/>
      <c r="OHR2" s="18"/>
      <c r="OHS2" s="18"/>
      <c r="OHT2" s="18"/>
      <c r="OHU2" s="18"/>
      <c r="OHV2" s="18"/>
      <c r="OHW2" s="18"/>
      <c r="OHX2" s="18"/>
      <c r="OHY2" s="18"/>
      <c r="OHZ2" s="18"/>
      <c r="OIA2" s="18"/>
      <c r="OIB2" s="18"/>
      <c r="OIC2" s="18"/>
      <c r="OID2" s="18"/>
      <c r="OIE2" s="18"/>
      <c r="OIF2" s="18"/>
      <c r="OIG2" s="18"/>
      <c r="OIH2" s="18"/>
      <c r="OII2" s="18"/>
      <c r="OIJ2" s="18"/>
      <c r="OIK2" s="18"/>
      <c r="OIL2" s="18"/>
      <c r="OIM2" s="18"/>
      <c r="OIN2" s="18"/>
      <c r="OIO2" s="18"/>
      <c r="OIP2" s="18"/>
      <c r="OIQ2" s="18"/>
      <c r="OIR2" s="18"/>
      <c r="OIS2" s="18"/>
      <c r="OIT2" s="18"/>
      <c r="OIU2" s="18"/>
      <c r="OIV2" s="18"/>
      <c r="OIW2" s="18"/>
      <c r="OIX2" s="18"/>
      <c r="OIY2" s="18"/>
      <c r="OIZ2" s="18"/>
      <c r="OJA2" s="18"/>
      <c r="OJB2" s="18"/>
      <c r="OJC2" s="18"/>
      <c r="OJD2" s="18"/>
      <c r="OJE2" s="18"/>
      <c r="OJF2" s="18"/>
      <c r="OJG2" s="18"/>
      <c r="OJH2" s="18"/>
      <c r="OJI2" s="18"/>
      <c r="OJJ2" s="18"/>
      <c r="OJK2" s="18"/>
      <c r="OJL2" s="18"/>
      <c r="OJM2" s="18"/>
      <c r="OJN2" s="18"/>
      <c r="OJO2" s="18"/>
      <c r="OJP2" s="18"/>
      <c r="OJQ2" s="18"/>
      <c r="OJR2" s="18"/>
      <c r="OJS2" s="18"/>
      <c r="OJT2" s="18"/>
      <c r="OJU2" s="18"/>
      <c r="OJV2" s="18"/>
      <c r="OJW2" s="18"/>
      <c r="OJX2" s="18"/>
      <c r="OJY2" s="18"/>
      <c r="OJZ2" s="18"/>
      <c r="OKA2" s="18"/>
      <c r="OKB2" s="18"/>
      <c r="OKC2" s="18"/>
      <c r="OKD2" s="18"/>
      <c r="OKE2" s="18"/>
      <c r="OKF2" s="18"/>
      <c r="OKG2" s="18"/>
      <c r="OKH2" s="18"/>
      <c r="OKI2" s="18"/>
      <c r="OKJ2" s="18"/>
      <c r="OKK2" s="18"/>
      <c r="OKL2" s="18"/>
      <c r="OKM2" s="18"/>
      <c r="OKN2" s="18"/>
      <c r="OKO2" s="18"/>
      <c r="OKP2" s="18"/>
      <c r="OKQ2" s="18"/>
      <c r="OKR2" s="18"/>
      <c r="OKS2" s="18"/>
      <c r="OKT2" s="18"/>
      <c r="OKU2" s="18"/>
      <c r="OKV2" s="18"/>
      <c r="OKW2" s="18"/>
      <c r="OKX2" s="18"/>
      <c r="OKY2" s="18"/>
      <c r="OKZ2" s="18"/>
      <c r="OLA2" s="18"/>
      <c r="OLB2" s="18"/>
      <c r="OLC2" s="18"/>
      <c r="OLD2" s="18"/>
      <c r="OLE2" s="18"/>
      <c r="OLF2" s="18"/>
      <c r="OLG2" s="18"/>
      <c r="OLH2" s="18"/>
      <c r="OLI2" s="18"/>
      <c r="OLJ2" s="18"/>
      <c r="OLK2" s="18"/>
      <c r="OLL2" s="18"/>
      <c r="OLM2" s="18"/>
      <c r="OLN2" s="18"/>
      <c r="OLO2" s="18"/>
      <c r="OLP2" s="18"/>
      <c r="OLQ2" s="18"/>
      <c r="OLR2" s="18"/>
      <c r="OLS2" s="18"/>
      <c r="OLT2" s="18"/>
      <c r="OLU2" s="18"/>
      <c r="OLV2" s="18"/>
      <c r="OLW2" s="18"/>
      <c r="OLX2" s="18"/>
      <c r="OLY2" s="18"/>
      <c r="OLZ2" s="18"/>
      <c r="OMA2" s="18"/>
      <c r="OMB2" s="18"/>
      <c r="OMC2" s="18"/>
      <c r="OMD2" s="18"/>
      <c r="OME2" s="18"/>
      <c r="OMF2" s="18"/>
      <c r="OMG2" s="18"/>
      <c r="OMH2" s="18"/>
      <c r="OMI2" s="18"/>
      <c r="OMJ2" s="18"/>
      <c r="OMK2" s="18"/>
      <c r="OML2" s="18"/>
      <c r="OMM2" s="18"/>
      <c r="OMN2" s="18"/>
      <c r="OMO2" s="18"/>
      <c r="OMP2" s="18"/>
      <c r="OMQ2" s="18"/>
      <c r="OMR2" s="18"/>
      <c r="OMS2" s="18"/>
      <c r="OMT2" s="18"/>
      <c r="OMU2" s="18"/>
      <c r="OMV2" s="18"/>
      <c r="OMW2" s="18"/>
      <c r="OMX2" s="18"/>
      <c r="OMY2" s="18"/>
      <c r="OMZ2" s="18"/>
      <c r="ONA2" s="18"/>
      <c r="ONB2" s="18"/>
      <c r="ONC2" s="18"/>
      <c r="OND2" s="18"/>
      <c r="ONE2" s="18"/>
      <c r="ONF2" s="18"/>
      <c r="ONG2" s="18"/>
      <c r="ONH2" s="18"/>
      <c r="ONI2" s="18"/>
      <c r="ONJ2" s="18"/>
      <c r="ONK2" s="18"/>
      <c r="ONL2" s="18"/>
      <c r="ONM2" s="18"/>
      <c r="ONN2" s="18"/>
      <c r="ONO2" s="18"/>
      <c r="ONP2" s="18"/>
      <c r="ONQ2" s="18"/>
      <c r="ONR2" s="18"/>
      <c r="ONS2" s="18"/>
      <c r="ONT2" s="18"/>
      <c r="ONU2" s="18"/>
      <c r="ONV2" s="18"/>
      <c r="ONW2" s="18"/>
      <c r="ONX2" s="18"/>
      <c r="ONY2" s="18"/>
      <c r="ONZ2" s="18"/>
      <c r="OOA2" s="18"/>
      <c r="OOB2" s="18"/>
      <c r="OOC2" s="18"/>
      <c r="OOD2" s="18"/>
      <c r="OOE2" s="18"/>
      <c r="OOF2" s="18"/>
      <c r="OOG2" s="18"/>
      <c r="OOH2" s="18"/>
      <c r="OOI2" s="18"/>
      <c r="OOJ2" s="18"/>
      <c r="OOK2" s="18"/>
      <c r="OOL2" s="18"/>
      <c r="OOM2" s="18"/>
      <c r="OON2" s="18"/>
      <c r="OOO2" s="18"/>
      <c r="OOP2" s="18"/>
      <c r="OOQ2" s="18"/>
      <c r="OOR2" s="18"/>
      <c r="OOS2" s="18"/>
      <c r="OOT2" s="18"/>
      <c r="OOU2" s="18"/>
      <c r="OOV2" s="18"/>
      <c r="OOW2" s="18"/>
      <c r="OOX2" s="18"/>
      <c r="OOY2" s="18"/>
      <c r="OOZ2" s="18"/>
      <c r="OPA2" s="18"/>
      <c r="OPB2" s="18"/>
      <c r="OPC2" s="18"/>
      <c r="OPD2" s="18"/>
      <c r="OPE2" s="18"/>
      <c r="OPF2" s="18"/>
      <c r="OPG2" s="18"/>
      <c r="OPH2" s="18"/>
      <c r="OPI2" s="18"/>
      <c r="OPJ2" s="18"/>
      <c r="OPK2" s="18"/>
      <c r="OPL2" s="18"/>
      <c r="OPM2" s="18"/>
      <c r="OPN2" s="18"/>
      <c r="OPO2" s="18"/>
      <c r="OPP2" s="18"/>
      <c r="OPQ2" s="18"/>
      <c r="OPR2" s="18"/>
      <c r="OPS2" s="18"/>
      <c r="OPT2" s="18"/>
      <c r="OPU2" s="18"/>
      <c r="OPV2" s="18"/>
      <c r="OPW2" s="18"/>
      <c r="OPX2" s="18"/>
      <c r="OPY2" s="18"/>
      <c r="OPZ2" s="18"/>
      <c r="OQA2" s="18"/>
      <c r="OQB2" s="18"/>
      <c r="OQC2" s="18"/>
      <c r="OQD2" s="18"/>
      <c r="OQE2" s="18"/>
      <c r="OQF2" s="18"/>
      <c r="OQG2" s="18"/>
      <c r="OQH2" s="18"/>
      <c r="OQI2" s="18"/>
      <c r="OQJ2" s="18"/>
      <c r="OQK2" s="18"/>
      <c r="OQL2" s="18"/>
      <c r="OQM2" s="18"/>
      <c r="OQN2" s="18"/>
      <c r="OQO2" s="18"/>
      <c r="OQP2" s="18"/>
      <c r="OQQ2" s="18"/>
      <c r="OQR2" s="18"/>
      <c r="OQS2" s="18"/>
      <c r="OQT2" s="18"/>
      <c r="OQU2" s="18"/>
      <c r="OQV2" s="18"/>
      <c r="OQW2" s="18"/>
      <c r="OQX2" s="18"/>
      <c r="OQY2" s="18"/>
      <c r="OQZ2" s="18"/>
      <c r="ORA2" s="18"/>
      <c r="ORB2" s="18"/>
      <c r="ORC2" s="18"/>
      <c r="ORD2" s="18"/>
      <c r="ORE2" s="18"/>
      <c r="ORF2" s="18"/>
      <c r="ORG2" s="18"/>
      <c r="ORH2" s="18"/>
      <c r="ORI2" s="18"/>
      <c r="ORJ2" s="18"/>
      <c r="ORK2" s="18"/>
      <c r="ORL2" s="18"/>
      <c r="ORM2" s="18"/>
      <c r="ORN2" s="18"/>
      <c r="ORO2" s="18"/>
      <c r="ORP2" s="18"/>
      <c r="ORQ2" s="18"/>
      <c r="ORR2" s="18"/>
      <c r="ORS2" s="18"/>
      <c r="ORT2" s="18"/>
      <c r="ORU2" s="18"/>
      <c r="ORV2" s="18"/>
      <c r="ORW2" s="18"/>
      <c r="ORX2" s="18"/>
      <c r="ORY2" s="18"/>
      <c r="ORZ2" s="18"/>
      <c r="OSA2" s="18"/>
      <c r="OSB2" s="18"/>
      <c r="OSC2" s="18"/>
      <c r="OSD2" s="18"/>
      <c r="OSE2" s="18"/>
      <c r="OSF2" s="18"/>
      <c r="OSG2" s="18"/>
      <c r="OSH2" s="18"/>
      <c r="OSI2" s="18"/>
      <c r="OSJ2" s="18"/>
      <c r="OSK2" s="18"/>
      <c r="OSL2" s="18"/>
      <c r="OSM2" s="18"/>
      <c r="OSN2" s="18"/>
      <c r="OSO2" s="18"/>
      <c r="OSP2" s="18"/>
      <c r="OSQ2" s="18"/>
      <c r="OSR2" s="18"/>
      <c r="OSS2" s="18"/>
      <c r="OST2" s="18"/>
      <c r="OSU2" s="18"/>
      <c r="OSV2" s="18"/>
      <c r="OSW2" s="18"/>
      <c r="OSX2" s="18"/>
      <c r="OSY2" s="18"/>
      <c r="OSZ2" s="18"/>
      <c r="OTA2" s="18"/>
      <c r="OTB2" s="18"/>
      <c r="OTC2" s="18"/>
      <c r="OTD2" s="18"/>
      <c r="OTE2" s="18"/>
      <c r="OTF2" s="18"/>
      <c r="OTG2" s="18"/>
      <c r="OTH2" s="18"/>
      <c r="OTI2" s="18"/>
      <c r="OTJ2" s="18"/>
      <c r="OTK2" s="18"/>
      <c r="OTL2" s="18"/>
      <c r="OTM2" s="18"/>
      <c r="OTN2" s="18"/>
      <c r="OTO2" s="18"/>
      <c r="OTP2" s="18"/>
      <c r="OTQ2" s="18"/>
      <c r="OTR2" s="18"/>
      <c r="OTS2" s="18"/>
      <c r="OTT2" s="18"/>
      <c r="OTU2" s="18"/>
      <c r="OTV2" s="18"/>
      <c r="OTW2" s="18"/>
      <c r="OTX2" s="18"/>
      <c r="OTY2" s="18"/>
      <c r="OTZ2" s="18"/>
      <c r="OUA2" s="18"/>
      <c r="OUB2" s="18"/>
      <c r="OUC2" s="18"/>
      <c r="OUD2" s="18"/>
      <c r="OUE2" s="18"/>
      <c r="OUF2" s="18"/>
      <c r="OUG2" s="18"/>
      <c r="OUH2" s="18"/>
      <c r="OUI2" s="18"/>
      <c r="OUJ2" s="18"/>
      <c r="OUK2" s="18"/>
      <c r="OUL2" s="18"/>
      <c r="OUM2" s="18"/>
      <c r="OUN2" s="18"/>
      <c r="OUO2" s="18"/>
      <c r="OUP2" s="18"/>
      <c r="OUQ2" s="18"/>
      <c r="OUR2" s="18"/>
      <c r="OUS2" s="18"/>
      <c r="OUT2" s="18"/>
      <c r="OUU2" s="18"/>
      <c r="OUV2" s="18"/>
      <c r="OUW2" s="18"/>
      <c r="OUX2" s="18"/>
      <c r="OUY2" s="18"/>
      <c r="OUZ2" s="18"/>
      <c r="OVA2" s="18"/>
      <c r="OVB2" s="18"/>
      <c r="OVC2" s="18"/>
      <c r="OVD2" s="18"/>
      <c r="OVE2" s="18"/>
      <c r="OVF2" s="18"/>
      <c r="OVG2" s="18"/>
      <c r="OVH2" s="18"/>
      <c r="OVI2" s="18"/>
      <c r="OVJ2" s="18"/>
      <c r="OVK2" s="18"/>
      <c r="OVL2" s="18"/>
      <c r="OVM2" s="18"/>
      <c r="OVN2" s="18"/>
      <c r="OVO2" s="18"/>
      <c r="OVP2" s="18"/>
      <c r="OVQ2" s="18"/>
      <c r="OVR2" s="18"/>
      <c r="OVS2" s="18"/>
      <c r="OVT2" s="18"/>
      <c r="OVU2" s="18"/>
      <c r="OVV2" s="18"/>
      <c r="OVW2" s="18"/>
      <c r="OVX2" s="18"/>
      <c r="OVY2" s="18"/>
      <c r="OVZ2" s="18"/>
      <c r="OWA2" s="18"/>
      <c r="OWB2" s="18"/>
      <c r="OWC2" s="18"/>
      <c r="OWD2" s="18"/>
      <c r="OWE2" s="18"/>
      <c r="OWF2" s="18"/>
      <c r="OWG2" s="18"/>
      <c r="OWH2" s="18"/>
      <c r="OWI2" s="18"/>
      <c r="OWJ2" s="18"/>
      <c r="OWK2" s="18"/>
      <c r="OWL2" s="18"/>
      <c r="OWM2" s="18"/>
      <c r="OWN2" s="18"/>
      <c r="OWO2" s="18"/>
      <c r="OWP2" s="18"/>
      <c r="OWQ2" s="18"/>
      <c r="OWR2" s="18"/>
      <c r="OWS2" s="18"/>
      <c r="OWT2" s="18"/>
      <c r="OWU2" s="18"/>
      <c r="OWV2" s="18"/>
      <c r="OWW2" s="18"/>
      <c r="OWX2" s="18"/>
      <c r="OWY2" s="18"/>
      <c r="OWZ2" s="18"/>
      <c r="OXA2" s="18"/>
      <c r="OXB2" s="18"/>
      <c r="OXC2" s="18"/>
      <c r="OXD2" s="18"/>
      <c r="OXE2" s="18"/>
      <c r="OXF2" s="18"/>
      <c r="OXG2" s="18"/>
      <c r="OXH2" s="18"/>
      <c r="OXI2" s="18"/>
      <c r="OXJ2" s="18"/>
      <c r="OXK2" s="18"/>
      <c r="OXL2" s="18"/>
      <c r="OXM2" s="18"/>
      <c r="OXN2" s="18"/>
      <c r="OXO2" s="18"/>
      <c r="OXP2" s="18"/>
      <c r="OXQ2" s="18"/>
      <c r="OXR2" s="18"/>
      <c r="OXS2" s="18"/>
      <c r="OXT2" s="18"/>
      <c r="OXU2" s="18"/>
      <c r="OXV2" s="18"/>
      <c r="OXW2" s="18"/>
      <c r="OXX2" s="18"/>
      <c r="OXY2" s="18"/>
      <c r="OXZ2" s="18"/>
      <c r="OYA2" s="18"/>
      <c r="OYB2" s="18"/>
      <c r="OYC2" s="18"/>
      <c r="OYD2" s="18"/>
      <c r="OYE2" s="18"/>
      <c r="OYF2" s="18"/>
      <c r="OYG2" s="18"/>
      <c r="OYH2" s="18"/>
      <c r="OYI2" s="18"/>
      <c r="OYJ2" s="18"/>
      <c r="OYK2" s="18"/>
      <c r="OYL2" s="18"/>
      <c r="OYM2" s="18"/>
      <c r="OYN2" s="18"/>
      <c r="OYO2" s="18"/>
      <c r="OYP2" s="18"/>
      <c r="OYQ2" s="18"/>
      <c r="OYR2" s="18"/>
      <c r="OYS2" s="18"/>
      <c r="OYT2" s="18"/>
      <c r="OYU2" s="18"/>
      <c r="OYV2" s="18"/>
      <c r="OYW2" s="18"/>
      <c r="OYX2" s="18"/>
      <c r="OYY2" s="18"/>
      <c r="OYZ2" s="18"/>
      <c r="OZA2" s="18"/>
      <c r="OZB2" s="18"/>
      <c r="OZC2" s="18"/>
      <c r="OZD2" s="18"/>
      <c r="OZE2" s="18"/>
      <c r="OZF2" s="18"/>
      <c r="OZG2" s="18"/>
      <c r="OZH2" s="18"/>
      <c r="OZI2" s="18"/>
      <c r="OZJ2" s="18"/>
      <c r="OZK2" s="18"/>
      <c r="OZL2" s="18"/>
      <c r="OZM2" s="18"/>
      <c r="OZN2" s="18"/>
      <c r="OZO2" s="18"/>
      <c r="OZP2" s="18"/>
      <c r="OZQ2" s="18"/>
      <c r="OZR2" s="18"/>
      <c r="OZS2" s="18"/>
      <c r="OZT2" s="18"/>
      <c r="OZU2" s="18"/>
      <c r="OZV2" s="18"/>
      <c r="OZW2" s="18"/>
      <c r="OZX2" s="18"/>
      <c r="OZY2" s="18"/>
      <c r="OZZ2" s="18"/>
      <c r="PAA2" s="18"/>
      <c r="PAB2" s="18"/>
      <c r="PAC2" s="18"/>
      <c r="PAD2" s="18"/>
      <c r="PAE2" s="18"/>
      <c r="PAF2" s="18"/>
      <c r="PAG2" s="18"/>
      <c r="PAH2" s="18"/>
      <c r="PAI2" s="18"/>
      <c r="PAJ2" s="18"/>
      <c r="PAK2" s="18"/>
      <c r="PAL2" s="18"/>
      <c r="PAM2" s="18"/>
      <c r="PAN2" s="18"/>
      <c r="PAO2" s="18"/>
      <c r="PAP2" s="18"/>
      <c r="PAQ2" s="18"/>
      <c r="PAR2" s="18"/>
      <c r="PAS2" s="18"/>
      <c r="PAT2" s="18"/>
      <c r="PAU2" s="18"/>
      <c r="PAV2" s="18"/>
      <c r="PAW2" s="18"/>
      <c r="PAX2" s="18"/>
      <c r="PAY2" s="18"/>
      <c r="PAZ2" s="18"/>
      <c r="PBA2" s="18"/>
      <c r="PBB2" s="18"/>
      <c r="PBC2" s="18"/>
      <c r="PBD2" s="18"/>
      <c r="PBE2" s="18"/>
      <c r="PBF2" s="18"/>
      <c r="PBG2" s="18"/>
      <c r="PBH2" s="18"/>
      <c r="PBI2" s="18"/>
      <c r="PBJ2" s="18"/>
      <c r="PBK2" s="18"/>
      <c r="PBL2" s="18"/>
      <c r="PBM2" s="18"/>
      <c r="PBN2" s="18"/>
      <c r="PBO2" s="18"/>
      <c r="PBP2" s="18"/>
      <c r="PBQ2" s="18"/>
      <c r="PBR2" s="18"/>
      <c r="PBS2" s="18"/>
      <c r="PBT2" s="18"/>
      <c r="PBU2" s="18"/>
      <c r="PBV2" s="18"/>
      <c r="PBW2" s="18"/>
      <c r="PBX2" s="18"/>
      <c r="PBY2" s="18"/>
      <c r="PBZ2" s="18"/>
      <c r="PCA2" s="18"/>
      <c r="PCB2" s="18"/>
      <c r="PCC2" s="18"/>
      <c r="PCD2" s="18"/>
      <c r="PCE2" s="18"/>
      <c r="PCF2" s="18"/>
      <c r="PCG2" s="18"/>
      <c r="PCH2" s="18"/>
      <c r="PCI2" s="18"/>
      <c r="PCJ2" s="18"/>
      <c r="PCK2" s="18"/>
      <c r="PCL2" s="18"/>
      <c r="PCM2" s="18"/>
      <c r="PCN2" s="18"/>
      <c r="PCO2" s="18"/>
      <c r="PCP2" s="18"/>
      <c r="PCQ2" s="18"/>
      <c r="PCR2" s="18"/>
      <c r="PCS2" s="18"/>
      <c r="PCT2" s="18"/>
      <c r="PCU2" s="18"/>
      <c r="PCV2" s="18"/>
      <c r="PCW2" s="18"/>
      <c r="PCX2" s="18"/>
      <c r="PCY2" s="18"/>
      <c r="PCZ2" s="18"/>
      <c r="PDA2" s="18"/>
      <c r="PDB2" s="18"/>
      <c r="PDC2" s="18"/>
      <c r="PDD2" s="18"/>
      <c r="PDE2" s="18"/>
      <c r="PDF2" s="18"/>
      <c r="PDG2" s="18"/>
      <c r="PDH2" s="18"/>
      <c r="PDI2" s="18"/>
      <c r="PDJ2" s="18"/>
      <c r="PDK2" s="18"/>
      <c r="PDL2" s="18"/>
      <c r="PDM2" s="18"/>
      <c r="PDN2" s="18"/>
      <c r="PDO2" s="18"/>
      <c r="PDP2" s="18"/>
      <c r="PDQ2" s="18"/>
      <c r="PDR2" s="18"/>
      <c r="PDS2" s="18"/>
      <c r="PDT2" s="18"/>
      <c r="PDU2" s="18"/>
      <c r="PDV2" s="18"/>
      <c r="PDW2" s="18"/>
      <c r="PDX2" s="18"/>
      <c r="PDY2" s="18"/>
      <c r="PDZ2" s="18"/>
      <c r="PEA2" s="18"/>
      <c r="PEB2" s="18"/>
      <c r="PEC2" s="18"/>
      <c r="PED2" s="18"/>
      <c r="PEE2" s="18"/>
      <c r="PEF2" s="18"/>
      <c r="PEG2" s="18"/>
      <c r="PEH2" s="18"/>
      <c r="PEI2" s="18"/>
      <c r="PEJ2" s="18"/>
      <c r="PEK2" s="18"/>
      <c r="PEL2" s="18"/>
      <c r="PEM2" s="18"/>
      <c r="PEN2" s="18"/>
      <c r="PEO2" s="18"/>
      <c r="PEP2" s="18"/>
      <c r="PEQ2" s="18"/>
      <c r="PER2" s="18"/>
      <c r="PES2" s="18"/>
      <c r="PET2" s="18"/>
      <c r="PEU2" s="18"/>
      <c r="PEV2" s="18"/>
      <c r="PEW2" s="18"/>
      <c r="PEX2" s="18"/>
      <c r="PEY2" s="18"/>
      <c r="PEZ2" s="18"/>
      <c r="PFA2" s="18"/>
      <c r="PFB2" s="18"/>
      <c r="PFC2" s="18"/>
      <c r="PFD2" s="18"/>
      <c r="PFE2" s="18"/>
      <c r="PFF2" s="18"/>
      <c r="PFG2" s="18"/>
      <c r="PFH2" s="18"/>
      <c r="PFI2" s="18"/>
      <c r="PFJ2" s="18"/>
      <c r="PFK2" s="18"/>
      <c r="PFL2" s="18"/>
      <c r="PFM2" s="18"/>
      <c r="PFN2" s="18"/>
      <c r="PFO2" s="18"/>
      <c r="PFP2" s="18"/>
      <c r="PFQ2" s="18"/>
      <c r="PFR2" s="18"/>
      <c r="PFS2" s="18"/>
      <c r="PFT2" s="18"/>
      <c r="PFU2" s="18"/>
      <c r="PFV2" s="18"/>
      <c r="PFW2" s="18"/>
      <c r="PFX2" s="18"/>
      <c r="PFY2" s="18"/>
      <c r="PFZ2" s="18"/>
      <c r="PGA2" s="18"/>
      <c r="PGB2" s="18"/>
      <c r="PGC2" s="18"/>
      <c r="PGD2" s="18"/>
      <c r="PGE2" s="18"/>
      <c r="PGF2" s="18"/>
      <c r="PGG2" s="18"/>
      <c r="PGH2" s="18"/>
      <c r="PGI2" s="18"/>
      <c r="PGJ2" s="18"/>
      <c r="PGK2" s="18"/>
      <c r="PGL2" s="18"/>
      <c r="PGM2" s="18"/>
      <c r="PGN2" s="18"/>
      <c r="PGO2" s="18"/>
      <c r="PGP2" s="18"/>
      <c r="PGQ2" s="18"/>
      <c r="PGR2" s="18"/>
      <c r="PGS2" s="18"/>
      <c r="PGT2" s="18"/>
      <c r="PGU2" s="18"/>
      <c r="PGV2" s="18"/>
      <c r="PGW2" s="18"/>
      <c r="PGX2" s="18"/>
      <c r="PGY2" s="18"/>
      <c r="PGZ2" s="18"/>
      <c r="PHA2" s="18"/>
      <c r="PHB2" s="18"/>
      <c r="PHC2" s="18"/>
      <c r="PHD2" s="18"/>
      <c r="PHE2" s="18"/>
      <c r="PHF2" s="18"/>
      <c r="PHG2" s="18"/>
      <c r="PHH2" s="18"/>
      <c r="PHI2" s="18"/>
      <c r="PHJ2" s="18"/>
      <c r="PHK2" s="18"/>
      <c r="PHL2" s="18"/>
      <c r="PHM2" s="18"/>
      <c r="PHN2" s="18"/>
      <c r="PHO2" s="18"/>
      <c r="PHP2" s="18"/>
      <c r="PHQ2" s="18"/>
      <c r="PHR2" s="18"/>
      <c r="PHS2" s="18"/>
      <c r="PHT2" s="18"/>
      <c r="PHU2" s="18"/>
      <c r="PHV2" s="18"/>
      <c r="PHW2" s="18"/>
      <c r="PHX2" s="18"/>
      <c r="PHY2" s="18"/>
      <c r="PHZ2" s="18"/>
      <c r="PIA2" s="18"/>
      <c r="PIB2" s="18"/>
      <c r="PIC2" s="18"/>
      <c r="PID2" s="18"/>
      <c r="PIE2" s="18"/>
      <c r="PIF2" s="18"/>
      <c r="PIG2" s="18"/>
      <c r="PIH2" s="18"/>
      <c r="PII2" s="18"/>
      <c r="PIJ2" s="18"/>
      <c r="PIK2" s="18"/>
      <c r="PIL2" s="18"/>
      <c r="PIM2" s="18"/>
      <c r="PIN2" s="18"/>
      <c r="PIO2" s="18"/>
      <c r="PIP2" s="18"/>
      <c r="PIQ2" s="18"/>
      <c r="PIR2" s="18"/>
      <c r="PIS2" s="18"/>
      <c r="PIT2" s="18"/>
      <c r="PIU2" s="18"/>
      <c r="PIV2" s="18"/>
      <c r="PIW2" s="18"/>
      <c r="PIX2" s="18"/>
      <c r="PIY2" s="18"/>
      <c r="PIZ2" s="18"/>
      <c r="PJA2" s="18"/>
      <c r="PJB2" s="18"/>
      <c r="PJC2" s="18"/>
      <c r="PJD2" s="18"/>
      <c r="PJE2" s="18"/>
      <c r="PJF2" s="18"/>
      <c r="PJG2" s="18"/>
      <c r="PJH2" s="18"/>
      <c r="PJI2" s="18"/>
      <c r="PJJ2" s="18"/>
      <c r="PJK2" s="18"/>
      <c r="PJL2" s="18"/>
      <c r="PJM2" s="18"/>
      <c r="PJN2" s="18"/>
      <c r="PJO2" s="18"/>
      <c r="PJP2" s="18"/>
      <c r="PJQ2" s="18"/>
      <c r="PJR2" s="18"/>
      <c r="PJS2" s="18"/>
      <c r="PJT2" s="18"/>
      <c r="PJU2" s="18"/>
      <c r="PJV2" s="18"/>
      <c r="PJW2" s="18"/>
      <c r="PJX2" s="18"/>
      <c r="PJY2" s="18"/>
      <c r="PJZ2" s="18"/>
      <c r="PKA2" s="18"/>
      <c r="PKB2" s="18"/>
      <c r="PKC2" s="18"/>
      <c r="PKD2" s="18"/>
      <c r="PKE2" s="18"/>
      <c r="PKF2" s="18"/>
      <c r="PKG2" s="18"/>
      <c r="PKH2" s="18"/>
      <c r="PKI2" s="18"/>
      <c r="PKJ2" s="18"/>
      <c r="PKK2" s="18"/>
      <c r="PKL2" s="18"/>
      <c r="PKM2" s="18"/>
      <c r="PKN2" s="18"/>
      <c r="PKO2" s="18"/>
      <c r="PKP2" s="18"/>
      <c r="PKQ2" s="18"/>
      <c r="PKR2" s="18"/>
      <c r="PKS2" s="18"/>
      <c r="PKT2" s="18"/>
      <c r="PKU2" s="18"/>
      <c r="PKV2" s="18"/>
      <c r="PKW2" s="18"/>
      <c r="PKX2" s="18"/>
      <c r="PKY2" s="18"/>
      <c r="PKZ2" s="18"/>
      <c r="PLA2" s="18"/>
      <c r="PLB2" s="18"/>
      <c r="PLC2" s="18"/>
      <c r="PLD2" s="18"/>
      <c r="PLE2" s="18"/>
      <c r="PLF2" s="18"/>
      <c r="PLG2" s="18"/>
      <c r="PLH2" s="18"/>
      <c r="PLI2" s="18"/>
      <c r="PLJ2" s="18"/>
      <c r="PLK2" s="18"/>
      <c r="PLL2" s="18"/>
      <c r="PLM2" s="18"/>
      <c r="PLN2" s="18"/>
      <c r="PLO2" s="18"/>
      <c r="PLP2" s="18"/>
      <c r="PLQ2" s="18"/>
      <c r="PLR2" s="18"/>
      <c r="PLS2" s="18"/>
      <c r="PLT2" s="18"/>
      <c r="PLU2" s="18"/>
      <c r="PLV2" s="18"/>
      <c r="PLW2" s="18"/>
      <c r="PLX2" s="18"/>
      <c r="PLY2" s="18"/>
      <c r="PLZ2" s="18"/>
      <c r="PMA2" s="18"/>
      <c r="PMB2" s="18"/>
      <c r="PMC2" s="18"/>
      <c r="PMD2" s="18"/>
      <c r="PME2" s="18"/>
      <c r="PMF2" s="18"/>
      <c r="PMG2" s="18"/>
      <c r="PMH2" s="18"/>
      <c r="PMI2" s="18"/>
      <c r="PMJ2" s="18"/>
      <c r="PMK2" s="18"/>
      <c r="PML2" s="18"/>
      <c r="PMM2" s="18"/>
      <c r="PMN2" s="18"/>
      <c r="PMO2" s="18"/>
      <c r="PMP2" s="18"/>
      <c r="PMQ2" s="18"/>
      <c r="PMR2" s="18"/>
      <c r="PMS2" s="18"/>
      <c r="PMT2" s="18"/>
      <c r="PMU2" s="18"/>
      <c r="PMV2" s="18"/>
      <c r="PMW2" s="18"/>
      <c r="PMX2" s="18"/>
      <c r="PMY2" s="18"/>
      <c r="PMZ2" s="18"/>
      <c r="PNA2" s="18"/>
      <c r="PNB2" s="18"/>
      <c r="PNC2" s="18"/>
      <c r="PND2" s="18"/>
      <c r="PNE2" s="18"/>
      <c r="PNF2" s="18"/>
      <c r="PNG2" s="18"/>
      <c r="PNH2" s="18"/>
      <c r="PNI2" s="18"/>
      <c r="PNJ2" s="18"/>
      <c r="PNK2" s="18"/>
      <c r="PNL2" s="18"/>
      <c r="PNM2" s="18"/>
      <c r="PNN2" s="18"/>
      <c r="PNO2" s="18"/>
      <c r="PNP2" s="18"/>
      <c r="PNQ2" s="18"/>
      <c r="PNR2" s="18"/>
      <c r="PNS2" s="18"/>
      <c r="PNT2" s="18"/>
      <c r="PNU2" s="18"/>
      <c r="PNV2" s="18"/>
      <c r="PNW2" s="18"/>
      <c r="PNX2" s="18"/>
      <c r="PNY2" s="18"/>
      <c r="PNZ2" s="18"/>
      <c r="POA2" s="18"/>
      <c r="POB2" s="18"/>
      <c r="POC2" s="18"/>
      <c r="POD2" s="18"/>
      <c r="POE2" s="18"/>
      <c r="POF2" s="18"/>
      <c r="POG2" s="18"/>
      <c r="POH2" s="18"/>
      <c r="POI2" s="18"/>
      <c r="POJ2" s="18"/>
      <c r="POK2" s="18"/>
      <c r="POL2" s="18"/>
      <c r="POM2" s="18"/>
      <c r="PON2" s="18"/>
      <c r="POO2" s="18"/>
      <c r="POP2" s="18"/>
      <c r="POQ2" s="18"/>
      <c r="POR2" s="18"/>
      <c r="POS2" s="18"/>
      <c r="POT2" s="18"/>
      <c r="POU2" s="18"/>
      <c r="POV2" s="18"/>
      <c r="POW2" s="18"/>
      <c r="POX2" s="18"/>
      <c r="POY2" s="18"/>
      <c r="POZ2" s="18"/>
      <c r="PPA2" s="18"/>
      <c r="PPB2" s="18"/>
      <c r="PPC2" s="18"/>
      <c r="PPD2" s="18"/>
      <c r="PPE2" s="18"/>
      <c r="PPF2" s="18"/>
      <c r="PPG2" s="18"/>
      <c r="PPH2" s="18"/>
      <c r="PPI2" s="18"/>
      <c r="PPJ2" s="18"/>
      <c r="PPK2" s="18"/>
      <c r="PPL2" s="18"/>
      <c r="PPM2" s="18"/>
      <c r="PPN2" s="18"/>
      <c r="PPO2" s="18"/>
      <c r="PPP2" s="18"/>
      <c r="PPQ2" s="18"/>
      <c r="PPR2" s="18"/>
      <c r="PPS2" s="18"/>
      <c r="PPT2" s="18"/>
      <c r="PPU2" s="18"/>
      <c r="PPV2" s="18"/>
      <c r="PPW2" s="18"/>
      <c r="PPX2" s="18"/>
      <c r="PPY2" s="18"/>
      <c r="PPZ2" s="18"/>
      <c r="PQA2" s="18"/>
      <c r="PQB2" s="18"/>
      <c r="PQC2" s="18"/>
      <c r="PQD2" s="18"/>
      <c r="PQE2" s="18"/>
      <c r="PQF2" s="18"/>
      <c r="PQG2" s="18"/>
      <c r="PQH2" s="18"/>
      <c r="PQI2" s="18"/>
      <c r="PQJ2" s="18"/>
      <c r="PQK2" s="18"/>
      <c r="PQL2" s="18"/>
      <c r="PQM2" s="18"/>
      <c r="PQN2" s="18"/>
      <c r="PQO2" s="18"/>
      <c r="PQP2" s="18"/>
      <c r="PQQ2" s="18"/>
      <c r="PQR2" s="18"/>
      <c r="PQS2" s="18"/>
      <c r="PQT2" s="18"/>
      <c r="PQU2" s="18"/>
      <c r="PQV2" s="18"/>
      <c r="PQW2" s="18"/>
      <c r="PQX2" s="18"/>
      <c r="PQY2" s="18"/>
      <c r="PQZ2" s="18"/>
      <c r="PRA2" s="18"/>
      <c r="PRB2" s="18"/>
      <c r="PRC2" s="18"/>
      <c r="PRD2" s="18"/>
      <c r="PRE2" s="18"/>
      <c r="PRF2" s="18"/>
      <c r="PRG2" s="18"/>
      <c r="PRH2" s="18"/>
      <c r="PRI2" s="18"/>
      <c r="PRJ2" s="18"/>
      <c r="PRK2" s="18"/>
      <c r="PRL2" s="18"/>
      <c r="PRM2" s="18"/>
      <c r="PRN2" s="18"/>
      <c r="PRO2" s="18"/>
      <c r="PRP2" s="18"/>
      <c r="PRQ2" s="18"/>
      <c r="PRR2" s="18"/>
      <c r="PRS2" s="18"/>
      <c r="PRT2" s="18"/>
      <c r="PRU2" s="18"/>
      <c r="PRV2" s="18"/>
      <c r="PRW2" s="18"/>
      <c r="PRX2" s="18"/>
      <c r="PRY2" s="18"/>
      <c r="PRZ2" s="18"/>
      <c r="PSA2" s="18"/>
      <c r="PSB2" s="18"/>
      <c r="PSC2" s="18"/>
      <c r="PSD2" s="18"/>
      <c r="PSE2" s="18"/>
      <c r="PSF2" s="18"/>
      <c r="PSG2" s="18"/>
      <c r="PSH2" s="18"/>
      <c r="PSI2" s="18"/>
      <c r="PSJ2" s="18"/>
      <c r="PSK2" s="18"/>
      <c r="PSL2" s="18"/>
      <c r="PSM2" s="18"/>
      <c r="PSN2" s="18"/>
      <c r="PSO2" s="18"/>
      <c r="PSP2" s="18"/>
      <c r="PSQ2" s="18"/>
      <c r="PSR2" s="18"/>
      <c r="PSS2" s="18"/>
      <c r="PST2" s="18"/>
      <c r="PSU2" s="18"/>
      <c r="PSV2" s="18"/>
      <c r="PSW2" s="18"/>
      <c r="PSX2" s="18"/>
      <c r="PSY2" s="18"/>
      <c r="PSZ2" s="18"/>
      <c r="PTA2" s="18"/>
      <c r="PTB2" s="18"/>
      <c r="PTC2" s="18"/>
      <c r="PTD2" s="18"/>
      <c r="PTE2" s="18"/>
      <c r="PTF2" s="18"/>
      <c r="PTG2" s="18"/>
      <c r="PTH2" s="18"/>
      <c r="PTI2" s="18"/>
      <c r="PTJ2" s="18"/>
      <c r="PTK2" s="18"/>
      <c r="PTL2" s="18"/>
      <c r="PTM2" s="18"/>
      <c r="PTN2" s="18"/>
      <c r="PTO2" s="18"/>
      <c r="PTP2" s="18"/>
      <c r="PTQ2" s="18"/>
      <c r="PTR2" s="18"/>
      <c r="PTS2" s="18"/>
      <c r="PTT2" s="18"/>
      <c r="PTU2" s="18"/>
      <c r="PTV2" s="18"/>
      <c r="PTW2" s="18"/>
      <c r="PTX2" s="18"/>
      <c r="PTY2" s="18"/>
      <c r="PTZ2" s="18"/>
      <c r="PUA2" s="18"/>
      <c r="PUB2" s="18"/>
      <c r="PUC2" s="18"/>
      <c r="PUD2" s="18"/>
      <c r="PUE2" s="18"/>
      <c r="PUF2" s="18"/>
      <c r="PUG2" s="18"/>
      <c r="PUH2" s="18"/>
      <c r="PUI2" s="18"/>
      <c r="PUJ2" s="18"/>
      <c r="PUK2" s="18"/>
      <c r="PUL2" s="18"/>
      <c r="PUM2" s="18"/>
      <c r="PUN2" s="18"/>
      <c r="PUO2" s="18"/>
      <c r="PUP2" s="18"/>
      <c r="PUQ2" s="18"/>
      <c r="PUR2" s="18"/>
      <c r="PUS2" s="18"/>
      <c r="PUT2" s="18"/>
      <c r="PUU2" s="18"/>
      <c r="PUV2" s="18"/>
      <c r="PUW2" s="18"/>
      <c r="PUX2" s="18"/>
      <c r="PUY2" s="18"/>
      <c r="PUZ2" s="18"/>
      <c r="PVA2" s="18"/>
      <c r="PVB2" s="18"/>
      <c r="PVC2" s="18"/>
      <c r="PVD2" s="18"/>
      <c r="PVE2" s="18"/>
      <c r="PVF2" s="18"/>
      <c r="PVG2" s="18"/>
      <c r="PVH2" s="18"/>
      <c r="PVI2" s="18"/>
      <c r="PVJ2" s="18"/>
      <c r="PVK2" s="18"/>
      <c r="PVL2" s="18"/>
      <c r="PVM2" s="18"/>
      <c r="PVN2" s="18"/>
      <c r="PVO2" s="18"/>
      <c r="PVP2" s="18"/>
      <c r="PVQ2" s="18"/>
      <c r="PVR2" s="18"/>
      <c r="PVS2" s="18"/>
      <c r="PVT2" s="18"/>
      <c r="PVU2" s="18"/>
      <c r="PVV2" s="18"/>
      <c r="PVW2" s="18"/>
      <c r="PVX2" s="18"/>
      <c r="PVY2" s="18"/>
      <c r="PVZ2" s="18"/>
      <c r="PWA2" s="18"/>
      <c r="PWB2" s="18"/>
      <c r="PWC2" s="18"/>
      <c r="PWD2" s="18"/>
      <c r="PWE2" s="18"/>
      <c r="PWF2" s="18"/>
      <c r="PWG2" s="18"/>
      <c r="PWH2" s="18"/>
      <c r="PWI2" s="18"/>
      <c r="PWJ2" s="18"/>
      <c r="PWK2" s="18"/>
      <c r="PWL2" s="18"/>
      <c r="PWM2" s="18"/>
      <c r="PWN2" s="18"/>
      <c r="PWO2" s="18"/>
      <c r="PWP2" s="18"/>
      <c r="PWQ2" s="18"/>
      <c r="PWR2" s="18"/>
      <c r="PWS2" s="18"/>
      <c r="PWT2" s="18"/>
      <c r="PWU2" s="18"/>
      <c r="PWV2" s="18"/>
      <c r="PWW2" s="18"/>
      <c r="PWX2" s="18"/>
      <c r="PWY2" s="18"/>
      <c r="PWZ2" s="18"/>
      <c r="PXA2" s="18"/>
      <c r="PXB2" s="18"/>
      <c r="PXC2" s="18"/>
      <c r="PXD2" s="18"/>
      <c r="PXE2" s="18"/>
      <c r="PXF2" s="18"/>
      <c r="PXG2" s="18"/>
      <c r="PXH2" s="18"/>
      <c r="PXI2" s="18"/>
      <c r="PXJ2" s="18"/>
      <c r="PXK2" s="18"/>
      <c r="PXL2" s="18"/>
      <c r="PXM2" s="18"/>
      <c r="PXN2" s="18"/>
      <c r="PXO2" s="18"/>
      <c r="PXP2" s="18"/>
      <c r="PXQ2" s="18"/>
      <c r="PXR2" s="18"/>
      <c r="PXS2" s="18"/>
      <c r="PXT2" s="18"/>
      <c r="PXU2" s="18"/>
      <c r="PXV2" s="18"/>
      <c r="PXW2" s="18"/>
      <c r="PXX2" s="18"/>
      <c r="PXY2" s="18"/>
      <c r="PXZ2" s="18"/>
      <c r="PYA2" s="18"/>
      <c r="PYB2" s="18"/>
      <c r="PYC2" s="18"/>
      <c r="PYD2" s="18"/>
      <c r="PYE2" s="18"/>
      <c r="PYF2" s="18"/>
      <c r="PYG2" s="18"/>
      <c r="PYH2" s="18"/>
      <c r="PYI2" s="18"/>
      <c r="PYJ2" s="18"/>
      <c r="PYK2" s="18"/>
      <c r="PYL2" s="18"/>
      <c r="PYM2" s="18"/>
      <c r="PYN2" s="18"/>
      <c r="PYO2" s="18"/>
      <c r="PYP2" s="18"/>
      <c r="PYQ2" s="18"/>
      <c r="PYR2" s="18"/>
      <c r="PYS2" s="18"/>
      <c r="PYT2" s="18"/>
      <c r="PYU2" s="18"/>
      <c r="PYV2" s="18"/>
      <c r="PYW2" s="18"/>
      <c r="PYX2" s="18"/>
      <c r="PYY2" s="18"/>
      <c r="PYZ2" s="18"/>
      <c r="PZA2" s="18"/>
      <c r="PZB2" s="18"/>
      <c r="PZC2" s="18"/>
      <c r="PZD2" s="18"/>
      <c r="PZE2" s="18"/>
      <c r="PZF2" s="18"/>
      <c r="PZG2" s="18"/>
      <c r="PZH2" s="18"/>
      <c r="PZI2" s="18"/>
      <c r="PZJ2" s="18"/>
      <c r="PZK2" s="18"/>
      <c r="PZL2" s="18"/>
      <c r="PZM2" s="18"/>
      <c r="PZN2" s="18"/>
      <c r="PZO2" s="18"/>
      <c r="PZP2" s="18"/>
      <c r="PZQ2" s="18"/>
      <c r="PZR2" s="18"/>
      <c r="PZS2" s="18"/>
      <c r="PZT2" s="18"/>
      <c r="PZU2" s="18"/>
      <c r="PZV2" s="18"/>
      <c r="PZW2" s="18"/>
      <c r="PZX2" s="18"/>
      <c r="PZY2" s="18"/>
      <c r="PZZ2" s="18"/>
      <c r="QAA2" s="18"/>
      <c r="QAB2" s="18"/>
      <c r="QAC2" s="18"/>
      <c r="QAD2" s="18"/>
      <c r="QAE2" s="18"/>
      <c r="QAF2" s="18"/>
      <c r="QAG2" s="18"/>
      <c r="QAH2" s="18"/>
      <c r="QAI2" s="18"/>
      <c r="QAJ2" s="18"/>
      <c r="QAK2" s="18"/>
      <c r="QAL2" s="18"/>
      <c r="QAM2" s="18"/>
      <c r="QAN2" s="18"/>
      <c r="QAO2" s="18"/>
      <c r="QAP2" s="18"/>
      <c r="QAQ2" s="18"/>
      <c r="QAR2" s="18"/>
      <c r="QAS2" s="18"/>
      <c r="QAT2" s="18"/>
      <c r="QAU2" s="18"/>
      <c r="QAV2" s="18"/>
      <c r="QAW2" s="18"/>
      <c r="QAX2" s="18"/>
      <c r="QAY2" s="18"/>
      <c r="QAZ2" s="18"/>
      <c r="QBA2" s="18"/>
      <c r="QBB2" s="18"/>
      <c r="QBC2" s="18"/>
      <c r="QBD2" s="18"/>
      <c r="QBE2" s="18"/>
      <c r="QBF2" s="18"/>
      <c r="QBG2" s="18"/>
      <c r="QBH2" s="18"/>
      <c r="QBI2" s="18"/>
      <c r="QBJ2" s="18"/>
      <c r="QBK2" s="18"/>
      <c r="QBL2" s="18"/>
      <c r="QBM2" s="18"/>
      <c r="QBN2" s="18"/>
      <c r="QBO2" s="18"/>
      <c r="QBP2" s="18"/>
      <c r="QBQ2" s="18"/>
      <c r="QBR2" s="18"/>
      <c r="QBS2" s="18"/>
      <c r="QBT2" s="18"/>
      <c r="QBU2" s="18"/>
      <c r="QBV2" s="18"/>
      <c r="QBW2" s="18"/>
      <c r="QBX2" s="18"/>
      <c r="QBY2" s="18"/>
      <c r="QBZ2" s="18"/>
      <c r="QCA2" s="18"/>
      <c r="QCB2" s="18"/>
      <c r="QCC2" s="18"/>
      <c r="QCD2" s="18"/>
      <c r="QCE2" s="18"/>
      <c r="QCF2" s="18"/>
      <c r="QCG2" s="18"/>
      <c r="QCH2" s="18"/>
      <c r="QCI2" s="18"/>
      <c r="QCJ2" s="18"/>
      <c r="QCK2" s="18"/>
      <c r="QCL2" s="18"/>
      <c r="QCM2" s="18"/>
      <c r="QCN2" s="18"/>
      <c r="QCO2" s="18"/>
      <c r="QCP2" s="18"/>
      <c r="QCQ2" s="18"/>
      <c r="QCR2" s="18"/>
      <c r="QCS2" s="18"/>
      <c r="QCT2" s="18"/>
      <c r="QCU2" s="18"/>
      <c r="QCV2" s="18"/>
      <c r="QCW2" s="18"/>
      <c r="QCX2" s="18"/>
      <c r="QCY2" s="18"/>
      <c r="QCZ2" s="18"/>
      <c r="QDA2" s="18"/>
      <c r="QDB2" s="18"/>
      <c r="QDC2" s="18"/>
      <c r="QDD2" s="18"/>
      <c r="QDE2" s="18"/>
      <c r="QDF2" s="18"/>
      <c r="QDG2" s="18"/>
      <c r="QDH2" s="18"/>
      <c r="QDI2" s="18"/>
      <c r="QDJ2" s="18"/>
      <c r="QDK2" s="18"/>
      <c r="QDL2" s="18"/>
      <c r="QDM2" s="18"/>
      <c r="QDN2" s="18"/>
      <c r="QDO2" s="18"/>
      <c r="QDP2" s="18"/>
      <c r="QDQ2" s="18"/>
      <c r="QDR2" s="18"/>
      <c r="QDS2" s="18"/>
      <c r="QDT2" s="18"/>
      <c r="QDU2" s="18"/>
      <c r="QDV2" s="18"/>
      <c r="QDW2" s="18"/>
      <c r="QDX2" s="18"/>
      <c r="QDY2" s="18"/>
      <c r="QDZ2" s="18"/>
      <c r="QEA2" s="18"/>
      <c r="QEB2" s="18"/>
      <c r="QEC2" s="18"/>
      <c r="QED2" s="18"/>
      <c r="QEE2" s="18"/>
      <c r="QEF2" s="18"/>
      <c r="QEG2" s="18"/>
      <c r="QEH2" s="18"/>
      <c r="QEI2" s="18"/>
      <c r="QEJ2" s="18"/>
      <c r="QEK2" s="18"/>
      <c r="QEL2" s="18"/>
      <c r="QEM2" s="18"/>
      <c r="QEN2" s="18"/>
      <c r="QEO2" s="18"/>
      <c r="QEP2" s="18"/>
      <c r="QEQ2" s="18"/>
      <c r="QER2" s="18"/>
      <c r="QES2" s="18"/>
      <c r="QET2" s="18"/>
      <c r="QEU2" s="18"/>
      <c r="QEV2" s="18"/>
      <c r="QEW2" s="18"/>
      <c r="QEX2" s="18"/>
      <c r="QEY2" s="18"/>
      <c r="QEZ2" s="18"/>
      <c r="QFA2" s="18"/>
      <c r="QFB2" s="18"/>
      <c r="QFC2" s="18"/>
      <c r="QFD2" s="18"/>
      <c r="QFE2" s="18"/>
      <c r="QFF2" s="18"/>
      <c r="QFG2" s="18"/>
      <c r="QFH2" s="18"/>
      <c r="QFI2" s="18"/>
      <c r="QFJ2" s="18"/>
      <c r="QFK2" s="18"/>
      <c r="QFL2" s="18"/>
      <c r="QFM2" s="18"/>
      <c r="QFN2" s="18"/>
      <c r="QFO2" s="18"/>
      <c r="QFP2" s="18"/>
      <c r="QFQ2" s="18"/>
      <c r="QFR2" s="18"/>
      <c r="QFS2" s="18"/>
      <c r="QFT2" s="18"/>
      <c r="QFU2" s="18"/>
      <c r="QFV2" s="18"/>
      <c r="QFW2" s="18"/>
      <c r="QFX2" s="18"/>
      <c r="QFY2" s="18"/>
      <c r="QFZ2" s="18"/>
      <c r="QGA2" s="18"/>
      <c r="QGB2" s="18"/>
      <c r="QGC2" s="18"/>
      <c r="QGD2" s="18"/>
      <c r="QGE2" s="18"/>
      <c r="QGF2" s="18"/>
      <c r="QGG2" s="18"/>
      <c r="QGH2" s="18"/>
      <c r="QGI2" s="18"/>
      <c r="QGJ2" s="18"/>
      <c r="QGK2" s="18"/>
      <c r="QGL2" s="18"/>
      <c r="QGM2" s="18"/>
      <c r="QGN2" s="18"/>
      <c r="QGO2" s="18"/>
      <c r="QGP2" s="18"/>
      <c r="QGQ2" s="18"/>
      <c r="QGR2" s="18"/>
      <c r="QGS2" s="18"/>
      <c r="QGT2" s="18"/>
      <c r="QGU2" s="18"/>
      <c r="QGV2" s="18"/>
      <c r="QGW2" s="18"/>
      <c r="QGX2" s="18"/>
      <c r="QGY2" s="18"/>
      <c r="QGZ2" s="18"/>
      <c r="QHA2" s="18"/>
      <c r="QHB2" s="18"/>
      <c r="QHC2" s="18"/>
      <c r="QHD2" s="18"/>
      <c r="QHE2" s="18"/>
      <c r="QHF2" s="18"/>
      <c r="QHG2" s="18"/>
      <c r="QHH2" s="18"/>
      <c r="QHI2" s="18"/>
      <c r="QHJ2" s="18"/>
      <c r="QHK2" s="18"/>
      <c r="QHL2" s="18"/>
      <c r="QHM2" s="18"/>
      <c r="QHN2" s="18"/>
      <c r="QHO2" s="18"/>
      <c r="QHP2" s="18"/>
      <c r="QHQ2" s="18"/>
      <c r="QHR2" s="18"/>
      <c r="QHS2" s="18"/>
      <c r="QHT2" s="18"/>
      <c r="QHU2" s="18"/>
      <c r="QHV2" s="18"/>
      <c r="QHW2" s="18"/>
      <c r="QHX2" s="18"/>
      <c r="QHY2" s="18"/>
      <c r="QHZ2" s="18"/>
      <c r="QIA2" s="18"/>
      <c r="QIB2" s="18"/>
      <c r="QIC2" s="18"/>
      <c r="QID2" s="18"/>
      <c r="QIE2" s="18"/>
      <c r="QIF2" s="18"/>
      <c r="QIG2" s="18"/>
      <c r="QIH2" s="18"/>
      <c r="QII2" s="18"/>
      <c r="QIJ2" s="18"/>
      <c r="QIK2" s="18"/>
      <c r="QIL2" s="18"/>
      <c r="QIM2" s="18"/>
      <c r="QIN2" s="18"/>
      <c r="QIO2" s="18"/>
      <c r="QIP2" s="18"/>
      <c r="QIQ2" s="18"/>
      <c r="QIR2" s="18"/>
      <c r="QIS2" s="18"/>
      <c r="QIT2" s="18"/>
      <c r="QIU2" s="18"/>
      <c r="QIV2" s="18"/>
      <c r="QIW2" s="18"/>
      <c r="QIX2" s="18"/>
      <c r="QIY2" s="18"/>
      <c r="QIZ2" s="18"/>
      <c r="QJA2" s="18"/>
      <c r="QJB2" s="18"/>
      <c r="QJC2" s="18"/>
      <c r="QJD2" s="18"/>
      <c r="QJE2" s="18"/>
      <c r="QJF2" s="18"/>
      <c r="QJG2" s="18"/>
      <c r="QJH2" s="18"/>
      <c r="QJI2" s="18"/>
      <c r="QJJ2" s="18"/>
      <c r="QJK2" s="18"/>
      <c r="QJL2" s="18"/>
      <c r="QJM2" s="18"/>
      <c r="QJN2" s="18"/>
      <c r="QJO2" s="18"/>
      <c r="QJP2" s="18"/>
      <c r="QJQ2" s="18"/>
      <c r="QJR2" s="18"/>
      <c r="QJS2" s="18"/>
      <c r="QJT2" s="18"/>
      <c r="QJU2" s="18"/>
      <c r="QJV2" s="18"/>
      <c r="QJW2" s="18"/>
      <c r="QJX2" s="18"/>
      <c r="QJY2" s="18"/>
      <c r="QJZ2" s="18"/>
      <c r="QKA2" s="18"/>
      <c r="QKB2" s="18"/>
      <c r="QKC2" s="18"/>
      <c r="QKD2" s="18"/>
      <c r="QKE2" s="18"/>
      <c r="QKF2" s="18"/>
      <c r="QKG2" s="18"/>
      <c r="QKH2" s="18"/>
      <c r="QKI2" s="18"/>
      <c r="QKJ2" s="18"/>
      <c r="QKK2" s="18"/>
      <c r="QKL2" s="18"/>
      <c r="QKM2" s="18"/>
      <c r="QKN2" s="18"/>
      <c r="QKO2" s="18"/>
      <c r="QKP2" s="18"/>
      <c r="QKQ2" s="18"/>
      <c r="QKR2" s="18"/>
      <c r="QKS2" s="18"/>
      <c r="QKT2" s="18"/>
      <c r="QKU2" s="18"/>
      <c r="QKV2" s="18"/>
      <c r="QKW2" s="18"/>
      <c r="QKX2" s="18"/>
      <c r="QKY2" s="18"/>
      <c r="QKZ2" s="18"/>
      <c r="QLA2" s="18"/>
      <c r="QLB2" s="18"/>
      <c r="QLC2" s="18"/>
      <c r="QLD2" s="18"/>
      <c r="QLE2" s="18"/>
      <c r="QLF2" s="18"/>
      <c r="QLG2" s="18"/>
      <c r="QLH2" s="18"/>
      <c r="QLI2" s="18"/>
      <c r="QLJ2" s="18"/>
      <c r="QLK2" s="18"/>
      <c r="QLL2" s="18"/>
      <c r="QLM2" s="18"/>
      <c r="QLN2" s="18"/>
      <c r="QLO2" s="18"/>
      <c r="QLP2" s="18"/>
      <c r="QLQ2" s="18"/>
      <c r="QLR2" s="18"/>
      <c r="QLS2" s="18"/>
      <c r="QLT2" s="18"/>
      <c r="QLU2" s="18"/>
      <c r="QLV2" s="18"/>
      <c r="QLW2" s="18"/>
      <c r="QLX2" s="18"/>
      <c r="QLY2" s="18"/>
      <c r="QLZ2" s="18"/>
      <c r="QMA2" s="18"/>
      <c r="QMB2" s="18"/>
      <c r="QMC2" s="18"/>
      <c r="QMD2" s="18"/>
      <c r="QME2" s="18"/>
      <c r="QMF2" s="18"/>
      <c r="QMG2" s="18"/>
      <c r="QMH2" s="18"/>
      <c r="QMI2" s="18"/>
      <c r="QMJ2" s="18"/>
      <c r="QMK2" s="18"/>
      <c r="QML2" s="18"/>
      <c r="QMM2" s="18"/>
      <c r="QMN2" s="18"/>
      <c r="QMO2" s="18"/>
      <c r="QMP2" s="18"/>
      <c r="QMQ2" s="18"/>
      <c r="QMR2" s="18"/>
      <c r="QMS2" s="18"/>
      <c r="QMT2" s="18"/>
      <c r="QMU2" s="18"/>
      <c r="QMV2" s="18"/>
      <c r="QMW2" s="18"/>
      <c r="QMX2" s="18"/>
      <c r="QMY2" s="18"/>
      <c r="QMZ2" s="18"/>
      <c r="QNA2" s="18"/>
      <c r="QNB2" s="18"/>
      <c r="QNC2" s="18"/>
      <c r="QND2" s="18"/>
      <c r="QNE2" s="18"/>
      <c r="QNF2" s="18"/>
      <c r="QNG2" s="18"/>
      <c r="QNH2" s="18"/>
      <c r="QNI2" s="18"/>
      <c r="QNJ2" s="18"/>
      <c r="QNK2" s="18"/>
      <c r="QNL2" s="18"/>
      <c r="QNM2" s="18"/>
      <c r="QNN2" s="18"/>
      <c r="QNO2" s="18"/>
      <c r="QNP2" s="18"/>
      <c r="QNQ2" s="18"/>
      <c r="QNR2" s="18"/>
      <c r="QNS2" s="18"/>
      <c r="QNT2" s="18"/>
      <c r="QNU2" s="18"/>
      <c r="QNV2" s="18"/>
      <c r="QNW2" s="18"/>
      <c r="QNX2" s="18"/>
      <c r="QNY2" s="18"/>
      <c r="QNZ2" s="18"/>
      <c r="QOA2" s="18"/>
      <c r="QOB2" s="18"/>
      <c r="QOC2" s="18"/>
      <c r="QOD2" s="18"/>
      <c r="QOE2" s="18"/>
      <c r="QOF2" s="18"/>
      <c r="QOG2" s="18"/>
      <c r="QOH2" s="18"/>
      <c r="QOI2" s="18"/>
      <c r="QOJ2" s="18"/>
      <c r="QOK2" s="18"/>
      <c r="QOL2" s="18"/>
      <c r="QOM2" s="18"/>
      <c r="QON2" s="18"/>
      <c r="QOO2" s="18"/>
      <c r="QOP2" s="18"/>
      <c r="QOQ2" s="18"/>
      <c r="QOR2" s="18"/>
      <c r="QOS2" s="18"/>
      <c r="QOT2" s="18"/>
      <c r="QOU2" s="18"/>
      <c r="QOV2" s="18"/>
      <c r="QOW2" s="18"/>
      <c r="QOX2" s="18"/>
      <c r="QOY2" s="18"/>
      <c r="QOZ2" s="18"/>
      <c r="QPA2" s="18"/>
      <c r="QPB2" s="18"/>
      <c r="QPC2" s="18"/>
      <c r="QPD2" s="18"/>
      <c r="QPE2" s="18"/>
      <c r="QPF2" s="18"/>
      <c r="QPG2" s="18"/>
      <c r="QPH2" s="18"/>
      <c r="QPI2" s="18"/>
      <c r="QPJ2" s="18"/>
      <c r="QPK2" s="18"/>
      <c r="QPL2" s="18"/>
      <c r="QPM2" s="18"/>
      <c r="QPN2" s="18"/>
      <c r="QPO2" s="18"/>
      <c r="QPP2" s="18"/>
      <c r="QPQ2" s="18"/>
      <c r="QPR2" s="18"/>
      <c r="QPS2" s="18"/>
      <c r="QPT2" s="18"/>
      <c r="QPU2" s="18"/>
      <c r="QPV2" s="18"/>
      <c r="QPW2" s="18"/>
      <c r="QPX2" s="18"/>
      <c r="QPY2" s="18"/>
      <c r="QPZ2" s="18"/>
      <c r="QQA2" s="18"/>
      <c r="QQB2" s="18"/>
      <c r="QQC2" s="18"/>
      <c r="QQD2" s="18"/>
      <c r="QQE2" s="18"/>
      <c r="QQF2" s="18"/>
      <c r="QQG2" s="18"/>
      <c r="QQH2" s="18"/>
      <c r="QQI2" s="18"/>
      <c r="QQJ2" s="18"/>
      <c r="QQK2" s="18"/>
      <c r="QQL2" s="18"/>
      <c r="QQM2" s="18"/>
      <c r="QQN2" s="18"/>
      <c r="QQO2" s="18"/>
      <c r="QQP2" s="18"/>
      <c r="QQQ2" s="18"/>
      <c r="QQR2" s="18"/>
      <c r="QQS2" s="18"/>
      <c r="QQT2" s="18"/>
      <c r="QQU2" s="18"/>
      <c r="QQV2" s="18"/>
      <c r="QQW2" s="18"/>
      <c r="QQX2" s="18"/>
      <c r="QQY2" s="18"/>
      <c r="QQZ2" s="18"/>
      <c r="QRA2" s="18"/>
      <c r="QRB2" s="18"/>
      <c r="QRC2" s="18"/>
      <c r="QRD2" s="18"/>
      <c r="QRE2" s="18"/>
      <c r="QRF2" s="18"/>
      <c r="QRG2" s="18"/>
      <c r="QRH2" s="18"/>
      <c r="QRI2" s="18"/>
      <c r="QRJ2" s="18"/>
      <c r="QRK2" s="18"/>
      <c r="QRL2" s="18"/>
      <c r="QRM2" s="18"/>
      <c r="QRN2" s="18"/>
      <c r="QRO2" s="18"/>
      <c r="QRP2" s="18"/>
      <c r="QRQ2" s="18"/>
      <c r="QRR2" s="18"/>
      <c r="QRS2" s="18"/>
      <c r="QRT2" s="18"/>
      <c r="QRU2" s="18"/>
      <c r="QRV2" s="18"/>
      <c r="QRW2" s="18"/>
      <c r="QRX2" s="18"/>
      <c r="QRY2" s="18"/>
      <c r="QRZ2" s="18"/>
      <c r="QSA2" s="18"/>
      <c r="QSB2" s="18"/>
      <c r="QSC2" s="18"/>
      <c r="QSD2" s="18"/>
      <c r="QSE2" s="18"/>
      <c r="QSF2" s="18"/>
      <c r="QSG2" s="18"/>
      <c r="QSH2" s="18"/>
      <c r="QSI2" s="18"/>
      <c r="QSJ2" s="18"/>
      <c r="QSK2" s="18"/>
      <c r="QSL2" s="18"/>
      <c r="QSM2" s="18"/>
      <c r="QSN2" s="18"/>
      <c r="QSO2" s="18"/>
      <c r="QSP2" s="18"/>
      <c r="QSQ2" s="18"/>
      <c r="QSR2" s="18"/>
      <c r="QSS2" s="18"/>
      <c r="QST2" s="18"/>
      <c r="QSU2" s="18"/>
      <c r="QSV2" s="18"/>
      <c r="QSW2" s="18"/>
      <c r="QSX2" s="18"/>
      <c r="QSY2" s="18"/>
      <c r="QSZ2" s="18"/>
      <c r="QTA2" s="18"/>
      <c r="QTB2" s="18"/>
      <c r="QTC2" s="18"/>
      <c r="QTD2" s="18"/>
      <c r="QTE2" s="18"/>
      <c r="QTF2" s="18"/>
      <c r="QTG2" s="18"/>
      <c r="QTH2" s="18"/>
      <c r="QTI2" s="18"/>
      <c r="QTJ2" s="18"/>
      <c r="QTK2" s="18"/>
      <c r="QTL2" s="18"/>
      <c r="QTM2" s="18"/>
      <c r="QTN2" s="18"/>
      <c r="QTO2" s="18"/>
      <c r="QTP2" s="18"/>
      <c r="QTQ2" s="18"/>
      <c r="QTR2" s="18"/>
      <c r="QTS2" s="18"/>
      <c r="QTT2" s="18"/>
      <c r="QTU2" s="18"/>
      <c r="QTV2" s="18"/>
      <c r="QTW2" s="18"/>
      <c r="QTX2" s="18"/>
      <c r="QTY2" s="18"/>
      <c r="QTZ2" s="18"/>
      <c r="QUA2" s="18"/>
      <c r="QUB2" s="18"/>
      <c r="QUC2" s="18"/>
      <c r="QUD2" s="18"/>
      <c r="QUE2" s="18"/>
      <c r="QUF2" s="18"/>
      <c r="QUG2" s="18"/>
      <c r="QUH2" s="18"/>
      <c r="QUI2" s="18"/>
      <c r="QUJ2" s="18"/>
      <c r="QUK2" s="18"/>
      <c r="QUL2" s="18"/>
      <c r="QUM2" s="18"/>
      <c r="QUN2" s="18"/>
      <c r="QUO2" s="18"/>
      <c r="QUP2" s="18"/>
      <c r="QUQ2" s="18"/>
      <c r="QUR2" s="18"/>
      <c r="QUS2" s="18"/>
      <c r="QUT2" s="18"/>
      <c r="QUU2" s="18"/>
      <c r="QUV2" s="18"/>
      <c r="QUW2" s="18"/>
      <c r="QUX2" s="18"/>
      <c r="QUY2" s="18"/>
      <c r="QUZ2" s="18"/>
      <c r="QVA2" s="18"/>
      <c r="QVB2" s="18"/>
      <c r="QVC2" s="18"/>
      <c r="QVD2" s="18"/>
      <c r="QVE2" s="18"/>
      <c r="QVF2" s="18"/>
      <c r="QVG2" s="18"/>
      <c r="QVH2" s="18"/>
      <c r="QVI2" s="18"/>
      <c r="QVJ2" s="18"/>
      <c r="QVK2" s="18"/>
      <c r="QVL2" s="18"/>
      <c r="QVM2" s="18"/>
      <c r="QVN2" s="18"/>
      <c r="QVO2" s="18"/>
      <c r="QVP2" s="18"/>
      <c r="QVQ2" s="18"/>
      <c r="QVR2" s="18"/>
      <c r="QVS2" s="18"/>
      <c r="QVT2" s="18"/>
      <c r="QVU2" s="18"/>
      <c r="QVV2" s="18"/>
      <c r="QVW2" s="18"/>
      <c r="QVX2" s="18"/>
      <c r="QVY2" s="18"/>
      <c r="QVZ2" s="18"/>
      <c r="QWA2" s="18"/>
      <c r="QWB2" s="18"/>
      <c r="QWC2" s="18"/>
      <c r="QWD2" s="18"/>
      <c r="QWE2" s="18"/>
      <c r="QWF2" s="18"/>
      <c r="QWG2" s="18"/>
      <c r="QWH2" s="18"/>
      <c r="QWI2" s="18"/>
      <c r="QWJ2" s="18"/>
      <c r="QWK2" s="18"/>
      <c r="QWL2" s="18"/>
      <c r="QWM2" s="18"/>
      <c r="QWN2" s="18"/>
      <c r="QWO2" s="18"/>
      <c r="QWP2" s="18"/>
      <c r="QWQ2" s="18"/>
      <c r="QWR2" s="18"/>
      <c r="QWS2" s="18"/>
      <c r="QWT2" s="18"/>
      <c r="QWU2" s="18"/>
      <c r="QWV2" s="18"/>
      <c r="QWW2" s="18"/>
      <c r="QWX2" s="18"/>
      <c r="QWY2" s="18"/>
      <c r="QWZ2" s="18"/>
      <c r="QXA2" s="18"/>
      <c r="QXB2" s="18"/>
      <c r="QXC2" s="18"/>
      <c r="QXD2" s="18"/>
      <c r="QXE2" s="18"/>
      <c r="QXF2" s="18"/>
      <c r="QXG2" s="18"/>
      <c r="QXH2" s="18"/>
      <c r="QXI2" s="18"/>
      <c r="QXJ2" s="18"/>
      <c r="QXK2" s="18"/>
      <c r="QXL2" s="18"/>
      <c r="QXM2" s="18"/>
      <c r="QXN2" s="18"/>
      <c r="QXO2" s="18"/>
      <c r="QXP2" s="18"/>
      <c r="QXQ2" s="18"/>
      <c r="QXR2" s="18"/>
      <c r="QXS2" s="18"/>
      <c r="QXT2" s="18"/>
      <c r="QXU2" s="18"/>
      <c r="QXV2" s="18"/>
      <c r="QXW2" s="18"/>
      <c r="QXX2" s="18"/>
      <c r="QXY2" s="18"/>
      <c r="QXZ2" s="18"/>
      <c r="QYA2" s="18"/>
      <c r="QYB2" s="18"/>
      <c r="QYC2" s="18"/>
      <c r="QYD2" s="18"/>
      <c r="QYE2" s="18"/>
      <c r="QYF2" s="18"/>
      <c r="QYG2" s="18"/>
      <c r="QYH2" s="18"/>
      <c r="QYI2" s="18"/>
      <c r="QYJ2" s="18"/>
      <c r="QYK2" s="18"/>
      <c r="QYL2" s="18"/>
      <c r="QYM2" s="18"/>
      <c r="QYN2" s="18"/>
      <c r="QYO2" s="18"/>
      <c r="QYP2" s="18"/>
      <c r="QYQ2" s="18"/>
      <c r="QYR2" s="18"/>
      <c r="QYS2" s="18"/>
      <c r="QYT2" s="18"/>
      <c r="QYU2" s="18"/>
      <c r="QYV2" s="18"/>
      <c r="QYW2" s="18"/>
      <c r="QYX2" s="18"/>
      <c r="QYY2" s="18"/>
      <c r="QYZ2" s="18"/>
      <c r="QZA2" s="18"/>
      <c r="QZB2" s="18"/>
      <c r="QZC2" s="18"/>
      <c r="QZD2" s="18"/>
      <c r="QZE2" s="18"/>
      <c r="QZF2" s="18"/>
      <c r="QZG2" s="18"/>
      <c r="QZH2" s="18"/>
      <c r="QZI2" s="18"/>
      <c r="QZJ2" s="18"/>
      <c r="QZK2" s="18"/>
      <c r="QZL2" s="18"/>
      <c r="QZM2" s="18"/>
      <c r="QZN2" s="18"/>
      <c r="QZO2" s="18"/>
      <c r="QZP2" s="18"/>
      <c r="QZQ2" s="18"/>
      <c r="QZR2" s="18"/>
      <c r="QZS2" s="18"/>
      <c r="QZT2" s="18"/>
      <c r="QZU2" s="18"/>
      <c r="QZV2" s="18"/>
      <c r="QZW2" s="18"/>
      <c r="QZX2" s="18"/>
      <c r="QZY2" s="18"/>
      <c r="QZZ2" s="18"/>
      <c r="RAA2" s="18"/>
      <c r="RAB2" s="18"/>
      <c r="RAC2" s="18"/>
      <c r="RAD2" s="18"/>
      <c r="RAE2" s="18"/>
      <c r="RAF2" s="18"/>
      <c r="RAG2" s="18"/>
      <c r="RAH2" s="18"/>
      <c r="RAI2" s="18"/>
      <c r="RAJ2" s="18"/>
      <c r="RAK2" s="18"/>
      <c r="RAL2" s="18"/>
      <c r="RAM2" s="18"/>
      <c r="RAN2" s="18"/>
      <c r="RAO2" s="18"/>
      <c r="RAP2" s="18"/>
      <c r="RAQ2" s="18"/>
      <c r="RAR2" s="18"/>
      <c r="RAS2" s="18"/>
      <c r="RAT2" s="18"/>
      <c r="RAU2" s="18"/>
      <c r="RAV2" s="18"/>
      <c r="RAW2" s="18"/>
      <c r="RAX2" s="18"/>
      <c r="RAY2" s="18"/>
      <c r="RAZ2" s="18"/>
      <c r="RBA2" s="18"/>
      <c r="RBB2" s="18"/>
      <c r="RBC2" s="18"/>
      <c r="RBD2" s="18"/>
      <c r="RBE2" s="18"/>
      <c r="RBF2" s="18"/>
      <c r="RBG2" s="18"/>
      <c r="RBH2" s="18"/>
      <c r="RBI2" s="18"/>
      <c r="RBJ2" s="18"/>
      <c r="RBK2" s="18"/>
      <c r="RBL2" s="18"/>
      <c r="RBM2" s="18"/>
      <c r="RBN2" s="18"/>
      <c r="RBO2" s="18"/>
      <c r="RBP2" s="18"/>
      <c r="RBQ2" s="18"/>
      <c r="RBR2" s="18"/>
      <c r="RBS2" s="18"/>
      <c r="RBT2" s="18"/>
      <c r="RBU2" s="18"/>
      <c r="RBV2" s="18"/>
      <c r="RBW2" s="18"/>
      <c r="RBX2" s="18"/>
      <c r="RBY2" s="18"/>
      <c r="RBZ2" s="18"/>
      <c r="RCA2" s="18"/>
      <c r="RCB2" s="18"/>
      <c r="RCC2" s="18"/>
      <c r="RCD2" s="18"/>
      <c r="RCE2" s="18"/>
      <c r="RCF2" s="18"/>
      <c r="RCG2" s="18"/>
      <c r="RCH2" s="18"/>
      <c r="RCI2" s="18"/>
      <c r="RCJ2" s="18"/>
      <c r="RCK2" s="18"/>
      <c r="RCL2" s="18"/>
      <c r="RCM2" s="18"/>
      <c r="RCN2" s="18"/>
      <c r="RCO2" s="18"/>
      <c r="RCP2" s="18"/>
      <c r="RCQ2" s="18"/>
      <c r="RCR2" s="18"/>
      <c r="RCS2" s="18"/>
      <c r="RCT2" s="18"/>
      <c r="RCU2" s="18"/>
      <c r="RCV2" s="18"/>
      <c r="RCW2" s="18"/>
      <c r="RCX2" s="18"/>
      <c r="RCY2" s="18"/>
      <c r="RCZ2" s="18"/>
      <c r="RDA2" s="18"/>
      <c r="RDB2" s="18"/>
      <c r="RDC2" s="18"/>
      <c r="RDD2" s="18"/>
      <c r="RDE2" s="18"/>
      <c r="RDF2" s="18"/>
      <c r="RDG2" s="18"/>
      <c r="RDH2" s="18"/>
      <c r="RDI2" s="18"/>
      <c r="RDJ2" s="18"/>
      <c r="RDK2" s="18"/>
      <c r="RDL2" s="18"/>
      <c r="RDM2" s="18"/>
      <c r="RDN2" s="18"/>
      <c r="RDO2" s="18"/>
      <c r="RDP2" s="18"/>
      <c r="RDQ2" s="18"/>
      <c r="RDR2" s="18"/>
      <c r="RDS2" s="18"/>
      <c r="RDT2" s="18"/>
      <c r="RDU2" s="18"/>
      <c r="RDV2" s="18"/>
      <c r="RDW2" s="18"/>
      <c r="RDX2" s="18"/>
      <c r="RDY2" s="18"/>
      <c r="RDZ2" s="18"/>
      <c r="REA2" s="18"/>
      <c r="REB2" s="18"/>
      <c r="REC2" s="18"/>
      <c r="RED2" s="18"/>
      <c r="REE2" s="18"/>
      <c r="REF2" s="18"/>
      <c r="REG2" s="18"/>
      <c r="REH2" s="18"/>
      <c r="REI2" s="18"/>
      <c r="REJ2" s="18"/>
      <c r="REK2" s="18"/>
      <c r="REL2" s="18"/>
      <c r="REM2" s="18"/>
      <c r="REN2" s="18"/>
      <c r="REO2" s="18"/>
      <c r="REP2" s="18"/>
      <c r="REQ2" s="18"/>
      <c r="RER2" s="18"/>
      <c r="RES2" s="18"/>
      <c r="RET2" s="18"/>
      <c r="REU2" s="18"/>
      <c r="REV2" s="18"/>
      <c r="REW2" s="18"/>
      <c r="REX2" s="18"/>
      <c r="REY2" s="18"/>
      <c r="REZ2" s="18"/>
      <c r="RFA2" s="18"/>
      <c r="RFB2" s="18"/>
      <c r="RFC2" s="18"/>
      <c r="RFD2" s="18"/>
      <c r="RFE2" s="18"/>
      <c r="RFF2" s="18"/>
      <c r="RFG2" s="18"/>
      <c r="RFH2" s="18"/>
      <c r="RFI2" s="18"/>
      <c r="RFJ2" s="18"/>
      <c r="RFK2" s="18"/>
      <c r="RFL2" s="18"/>
      <c r="RFM2" s="18"/>
      <c r="RFN2" s="18"/>
      <c r="RFO2" s="18"/>
      <c r="RFP2" s="18"/>
      <c r="RFQ2" s="18"/>
      <c r="RFR2" s="18"/>
      <c r="RFS2" s="18"/>
      <c r="RFT2" s="18"/>
      <c r="RFU2" s="18"/>
      <c r="RFV2" s="18"/>
      <c r="RFW2" s="18"/>
      <c r="RFX2" s="18"/>
      <c r="RFY2" s="18"/>
      <c r="RFZ2" s="18"/>
      <c r="RGA2" s="18"/>
      <c r="RGB2" s="18"/>
      <c r="RGC2" s="18"/>
      <c r="RGD2" s="18"/>
      <c r="RGE2" s="18"/>
      <c r="RGF2" s="18"/>
      <c r="RGG2" s="18"/>
      <c r="RGH2" s="18"/>
      <c r="RGI2" s="18"/>
      <c r="RGJ2" s="18"/>
      <c r="RGK2" s="18"/>
      <c r="RGL2" s="18"/>
      <c r="RGM2" s="18"/>
      <c r="RGN2" s="18"/>
      <c r="RGO2" s="18"/>
      <c r="RGP2" s="18"/>
      <c r="RGQ2" s="18"/>
      <c r="RGR2" s="18"/>
      <c r="RGS2" s="18"/>
      <c r="RGT2" s="18"/>
      <c r="RGU2" s="18"/>
      <c r="RGV2" s="18"/>
      <c r="RGW2" s="18"/>
      <c r="RGX2" s="18"/>
      <c r="RGY2" s="18"/>
      <c r="RGZ2" s="18"/>
      <c r="RHA2" s="18"/>
      <c r="RHB2" s="18"/>
      <c r="RHC2" s="18"/>
      <c r="RHD2" s="18"/>
      <c r="RHE2" s="18"/>
      <c r="RHF2" s="18"/>
      <c r="RHG2" s="18"/>
      <c r="RHH2" s="18"/>
      <c r="RHI2" s="18"/>
      <c r="RHJ2" s="18"/>
      <c r="RHK2" s="18"/>
      <c r="RHL2" s="18"/>
      <c r="RHM2" s="18"/>
      <c r="RHN2" s="18"/>
      <c r="RHO2" s="18"/>
      <c r="RHP2" s="18"/>
      <c r="RHQ2" s="18"/>
      <c r="RHR2" s="18"/>
      <c r="RHS2" s="18"/>
      <c r="RHT2" s="18"/>
      <c r="RHU2" s="18"/>
      <c r="RHV2" s="18"/>
      <c r="RHW2" s="18"/>
      <c r="RHX2" s="18"/>
      <c r="RHY2" s="18"/>
      <c r="RHZ2" s="18"/>
      <c r="RIA2" s="18"/>
      <c r="RIB2" s="18"/>
      <c r="RIC2" s="18"/>
      <c r="RID2" s="18"/>
      <c r="RIE2" s="18"/>
      <c r="RIF2" s="18"/>
      <c r="RIG2" s="18"/>
      <c r="RIH2" s="18"/>
      <c r="RII2" s="18"/>
      <c r="RIJ2" s="18"/>
      <c r="RIK2" s="18"/>
      <c r="RIL2" s="18"/>
      <c r="RIM2" s="18"/>
      <c r="RIN2" s="18"/>
      <c r="RIO2" s="18"/>
      <c r="RIP2" s="18"/>
      <c r="RIQ2" s="18"/>
      <c r="RIR2" s="18"/>
      <c r="RIS2" s="18"/>
      <c r="RIT2" s="18"/>
      <c r="RIU2" s="18"/>
      <c r="RIV2" s="18"/>
      <c r="RIW2" s="18"/>
      <c r="RIX2" s="18"/>
      <c r="RIY2" s="18"/>
      <c r="RIZ2" s="18"/>
      <c r="RJA2" s="18"/>
      <c r="RJB2" s="18"/>
      <c r="RJC2" s="18"/>
      <c r="RJD2" s="18"/>
      <c r="RJE2" s="18"/>
      <c r="RJF2" s="18"/>
      <c r="RJG2" s="18"/>
      <c r="RJH2" s="18"/>
      <c r="RJI2" s="18"/>
      <c r="RJJ2" s="18"/>
      <c r="RJK2" s="18"/>
      <c r="RJL2" s="18"/>
      <c r="RJM2" s="18"/>
      <c r="RJN2" s="18"/>
      <c r="RJO2" s="18"/>
      <c r="RJP2" s="18"/>
      <c r="RJQ2" s="18"/>
      <c r="RJR2" s="18"/>
      <c r="RJS2" s="18"/>
      <c r="RJT2" s="18"/>
      <c r="RJU2" s="18"/>
      <c r="RJV2" s="18"/>
      <c r="RJW2" s="18"/>
      <c r="RJX2" s="18"/>
      <c r="RJY2" s="18"/>
      <c r="RJZ2" s="18"/>
      <c r="RKA2" s="18"/>
      <c r="RKB2" s="18"/>
      <c r="RKC2" s="18"/>
      <c r="RKD2" s="18"/>
      <c r="RKE2" s="18"/>
      <c r="RKF2" s="18"/>
      <c r="RKG2" s="18"/>
      <c r="RKH2" s="18"/>
      <c r="RKI2" s="18"/>
      <c r="RKJ2" s="18"/>
      <c r="RKK2" s="18"/>
      <c r="RKL2" s="18"/>
      <c r="RKM2" s="18"/>
      <c r="RKN2" s="18"/>
      <c r="RKO2" s="18"/>
      <c r="RKP2" s="18"/>
      <c r="RKQ2" s="18"/>
      <c r="RKR2" s="18"/>
      <c r="RKS2" s="18"/>
      <c r="RKT2" s="18"/>
      <c r="RKU2" s="18"/>
      <c r="RKV2" s="18"/>
      <c r="RKW2" s="18"/>
      <c r="RKX2" s="18"/>
      <c r="RKY2" s="18"/>
      <c r="RKZ2" s="18"/>
      <c r="RLA2" s="18"/>
      <c r="RLB2" s="18"/>
      <c r="RLC2" s="18"/>
      <c r="RLD2" s="18"/>
      <c r="RLE2" s="18"/>
      <c r="RLF2" s="18"/>
      <c r="RLG2" s="18"/>
      <c r="RLH2" s="18"/>
      <c r="RLI2" s="18"/>
      <c r="RLJ2" s="18"/>
      <c r="RLK2" s="18"/>
      <c r="RLL2" s="18"/>
      <c r="RLM2" s="18"/>
      <c r="RLN2" s="18"/>
      <c r="RLO2" s="18"/>
      <c r="RLP2" s="18"/>
      <c r="RLQ2" s="18"/>
      <c r="RLR2" s="18"/>
      <c r="RLS2" s="18"/>
      <c r="RLT2" s="18"/>
      <c r="RLU2" s="18"/>
      <c r="RLV2" s="18"/>
      <c r="RLW2" s="18"/>
      <c r="RLX2" s="18"/>
      <c r="RLY2" s="18"/>
      <c r="RLZ2" s="18"/>
      <c r="RMA2" s="18"/>
      <c r="RMB2" s="18"/>
      <c r="RMC2" s="18"/>
      <c r="RMD2" s="18"/>
      <c r="RME2" s="18"/>
      <c r="RMF2" s="18"/>
      <c r="RMG2" s="18"/>
      <c r="RMH2" s="18"/>
      <c r="RMI2" s="18"/>
      <c r="RMJ2" s="18"/>
      <c r="RMK2" s="18"/>
      <c r="RML2" s="18"/>
      <c r="RMM2" s="18"/>
      <c r="RMN2" s="18"/>
      <c r="RMO2" s="18"/>
      <c r="RMP2" s="18"/>
      <c r="RMQ2" s="18"/>
      <c r="RMR2" s="18"/>
      <c r="RMS2" s="18"/>
      <c r="RMT2" s="18"/>
      <c r="RMU2" s="18"/>
      <c r="RMV2" s="18"/>
      <c r="RMW2" s="18"/>
      <c r="RMX2" s="18"/>
      <c r="RMY2" s="18"/>
      <c r="RMZ2" s="18"/>
      <c r="RNA2" s="18"/>
      <c r="RNB2" s="18"/>
      <c r="RNC2" s="18"/>
      <c r="RND2" s="18"/>
      <c r="RNE2" s="18"/>
      <c r="RNF2" s="18"/>
      <c r="RNG2" s="18"/>
      <c r="RNH2" s="18"/>
      <c r="RNI2" s="18"/>
      <c r="RNJ2" s="18"/>
      <c r="RNK2" s="18"/>
      <c r="RNL2" s="18"/>
      <c r="RNM2" s="18"/>
      <c r="RNN2" s="18"/>
      <c r="RNO2" s="18"/>
      <c r="RNP2" s="18"/>
      <c r="RNQ2" s="18"/>
      <c r="RNR2" s="18"/>
      <c r="RNS2" s="18"/>
      <c r="RNT2" s="18"/>
      <c r="RNU2" s="18"/>
      <c r="RNV2" s="18"/>
      <c r="RNW2" s="18"/>
      <c r="RNX2" s="18"/>
      <c r="RNY2" s="18"/>
      <c r="RNZ2" s="18"/>
      <c r="ROA2" s="18"/>
      <c r="ROB2" s="18"/>
      <c r="ROC2" s="18"/>
      <c r="ROD2" s="18"/>
      <c r="ROE2" s="18"/>
      <c r="ROF2" s="18"/>
      <c r="ROG2" s="18"/>
      <c r="ROH2" s="18"/>
      <c r="ROI2" s="18"/>
      <c r="ROJ2" s="18"/>
      <c r="ROK2" s="18"/>
      <c r="ROL2" s="18"/>
      <c r="ROM2" s="18"/>
      <c r="RON2" s="18"/>
      <c r="ROO2" s="18"/>
      <c r="ROP2" s="18"/>
      <c r="ROQ2" s="18"/>
      <c r="ROR2" s="18"/>
      <c r="ROS2" s="18"/>
      <c r="ROT2" s="18"/>
      <c r="ROU2" s="18"/>
      <c r="ROV2" s="18"/>
      <c r="ROW2" s="18"/>
      <c r="ROX2" s="18"/>
      <c r="ROY2" s="18"/>
      <c r="ROZ2" s="18"/>
      <c r="RPA2" s="18"/>
      <c r="RPB2" s="18"/>
      <c r="RPC2" s="18"/>
      <c r="RPD2" s="18"/>
      <c r="RPE2" s="18"/>
      <c r="RPF2" s="18"/>
      <c r="RPG2" s="18"/>
      <c r="RPH2" s="18"/>
      <c r="RPI2" s="18"/>
      <c r="RPJ2" s="18"/>
      <c r="RPK2" s="18"/>
      <c r="RPL2" s="18"/>
      <c r="RPM2" s="18"/>
      <c r="RPN2" s="18"/>
      <c r="RPO2" s="18"/>
      <c r="RPP2" s="18"/>
      <c r="RPQ2" s="18"/>
      <c r="RPR2" s="18"/>
      <c r="RPS2" s="18"/>
      <c r="RPT2" s="18"/>
      <c r="RPU2" s="18"/>
      <c r="RPV2" s="18"/>
      <c r="RPW2" s="18"/>
      <c r="RPX2" s="18"/>
      <c r="RPY2" s="18"/>
      <c r="RPZ2" s="18"/>
      <c r="RQA2" s="18"/>
      <c r="RQB2" s="18"/>
      <c r="RQC2" s="18"/>
      <c r="RQD2" s="18"/>
      <c r="RQE2" s="18"/>
      <c r="RQF2" s="18"/>
      <c r="RQG2" s="18"/>
      <c r="RQH2" s="18"/>
      <c r="RQI2" s="18"/>
      <c r="RQJ2" s="18"/>
      <c r="RQK2" s="18"/>
      <c r="RQL2" s="18"/>
      <c r="RQM2" s="18"/>
      <c r="RQN2" s="18"/>
      <c r="RQO2" s="18"/>
      <c r="RQP2" s="18"/>
      <c r="RQQ2" s="18"/>
      <c r="RQR2" s="18"/>
      <c r="RQS2" s="18"/>
      <c r="RQT2" s="18"/>
      <c r="RQU2" s="18"/>
      <c r="RQV2" s="18"/>
      <c r="RQW2" s="18"/>
      <c r="RQX2" s="18"/>
      <c r="RQY2" s="18"/>
      <c r="RQZ2" s="18"/>
      <c r="RRA2" s="18"/>
      <c r="RRB2" s="18"/>
      <c r="RRC2" s="18"/>
      <c r="RRD2" s="18"/>
      <c r="RRE2" s="18"/>
      <c r="RRF2" s="18"/>
      <c r="RRG2" s="18"/>
      <c r="RRH2" s="18"/>
      <c r="RRI2" s="18"/>
      <c r="RRJ2" s="18"/>
      <c r="RRK2" s="18"/>
      <c r="RRL2" s="18"/>
      <c r="RRM2" s="18"/>
      <c r="RRN2" s="18"/>
      <c r="RRO2" s="18"/>
      <c r="RRP2" s="18"/>
      <c r="RRQ2" s="18"/>
      <c r="RRR2" s="18"/>
      <c r="RRS2" s="18"/>
      <c r="RRT2" s="18"/>
      <c r="RRU2" s="18"/>
      <c r="RRV2" s="18"/>
      <c r="RRW2" s="18"/>
      <c r="RRX2" s="18"/>
      <c r="RRY2" s="18"/>
      <c r="RRZ2" s="18"/>
      <c r="RSA2" s="18"/>
      <c r="RSB2" s="18"/>
      <c r="RSC2" s="18"/>
      <c r="RSD2" s="18"/>
      <c r="RSE2" s="18"/>
      <c r="RSF2" s="18"/>
      <c r="RSG2" s="18"/>
      <c r="RSH2" s="18"/>
      <c r="RSI2" s="18"/>
      <c r="RSJ2" s="18"/>
      <c r="RSK2" s="18"/>
      <c r="RSL2" s="18"/>
      <c r="RSM2" s="18"/>
      <c r="RSN2" s="18"/>
      <c r="RSO2" s="18"/>
      <c r="RSP2" s="18"/>
      <c r="RSQ2" s="18"/>
      <c r="RSR2" s="18"/>
      <c r="RSS2" s="18"/>
      <c r="RST2" s="18"/>
      <c r="RSU2" s="18"/>
      <c r="RSV2" s="18"/>
      <c r="RSW2" s="18"/>
      <c r="RSX2" s="18"/>
      <c r="RSY2" s="18"/>
      <c r="RSZ2" s="18"/>
      <c r="RTA2" s="18"/>
      <c r="RTB2" s="18"/>
      <c r="RTC2" s="18"/>
      <c r="RTD2" s="18"/>
      <c r="RTE2" s="18"/>
      <c r="RTF2" s="18"/>
      <c r="RTG2" s="18"/>
      <c r="RTH2" s="18"/>
      <c r="RTI2" s="18"/>
      <c r="RTJ2" s="18"/>
      <c r="RTK2" s="18"/>
      <c r="RTL2" s="18"/>
      <c r="RTM2" s="18"/>
      <c r="RTN2" s="18"/>
      <c r="RTO2" s="18"/>
      <c r="RTP2" s="18"/>
      <c r="RTQ2" s="18"/>
      <c r="RTR2" s="18"/>
      <c r="RTS2" s="18"/>
      <c r="RTT2" s="18"/>
      <c r="RTU2" s="18"/>
      <c r="RTV2" s="18"/>
      <c r="RTW2" s="18"/>
      <c r="RTX2" s="18"/>
      <c r="RTY2" s="18"/>
      <c r="RTZ2" s="18"/>
      <c r="RUA2" s="18"/>
      <c r="RUB2" s="18"/>
      <c r="RUC2" s="18"/>
      <c r="RUD2" s="18"/>
      <c r="RUE2" s="18"/>
      <c r="RUF2" s="18"/>
      <c r="RUG2" s="18"/>
      <c r="RUH2" s="18"/>
      <c r="RUI2" s="18"/>
      <c r="RUJ2" s="18"/>
      <c r="RUK2" s="18"/>
      <c r="RUL2" s="18"/>
      <c r="RUM2" s="18"/>
      <c r="RUN2" s="18"/>
      <c r="RUO2" s="18"/>
      <c r="RUP2" s="18"/>
      <c r="RUQ2" s="18"/>
      <c r="RUR2" s="18"/>
      <c r="RUS2" s="18"/>
      <c r="RUT2" s="18"/>
      <c r="RUU2" s="18"/>
      <c r="RUV2" s="18"/>
      <c r="RUW2" s="18"/>
      <c r="RUX2" s="18"/>
      <c r="RUY2" s="18"/>
      <c r="RUZ2" s="18"/>
      <c r="RVA2" s="18"/>
      <c r="RVB2" s="18"/>
      <c r="RVC2" s="18"/>
      <c r="RVD2" s="18"/>
      <c r="RVE2" s="18"/>
      <c r="RVF2" s="18"/>
      <c r="RVG2" s="18"/>
      <c r="RVH2" s="18"/>
      <c r="RVI2" s="18"/>
      <c r="RVJ2" s="18"/>
      <c r="RVK2" s="18"/>
      <c r="RVL2" s="18"/>
      <c r="RVM2" s="18"/>
      <c r="RVN2" s="18"/>
      <c r="RVO2" s="18"/>
      <c r="RVP2" s="18"/>
      <c r="RVQ2" s="18"/>
      <c r="RVR2" s="18"/>
      <c r="RVS2" s="18"/>
      <c r="RVT2" s="18"/>
      <c r="RVU2" s="18"/>
      <c r="RVV2" s="18"/>
      <c r="RVW2" s="18"/>
      <c r="RVX2" s="18"/>
      <c r="RVY2" s="18"/>
      <c r="RVZ2" s="18"/>
      <c r="RWA2" s="18"/>
      <c r="RWB2" s="18"/>
      <c r="RWC2" s="18"/>
      <c r="RWD2" s="18"/>
      <c r="RWE2" s="18"/>
      <c r="RWF2" s="18"/>
      <c r="RWG2" s="18"/>
      <c r="RWH2" s="18"/>
      <c r="RWI2" s="18"/>
      <c r="RWJ2" s="18"/>
      <c r="RWK2" s="18"/>
      <c r="RWL2" s="18"/>
      <c r="RWM2" s="18"/>
      <c r="RWN2" s="18"/>
      <c r="RWO2" s="18"/>
      <c r="RWP2" s="18"/>
      <c r="RWQ2" s="18"/>
      <c r="RWR2" s="18"/>
      <c r="RWS2" s="18"/>
      <c r="RWT2" s="18"/>
      <c r="RWU2" s="18"/>
      <c r="RWV2" s="18"/>
      <c r="RWW2" s="18"/>
      <c r="RWX2" s="18"/>
      <c r="RWY2" s="18"/>
      <c r="RWZ2" s="18"/>
      <c r="RXA2" s="18"/>
      <c r="RXB2" s="18"/>
      <c r="RXC2" s="18"/>
      <c r="RXD2" s="18"/>
      <c r="RXE2" s="18"/>
      <c r="RXF2" s="18"/>
      <c r="RXG2" s="18"/>
      <c r="RXH2" s="18"/>
      <c r="RXI2" s="18"/>
      <c r="RXJ2" s="18"/>
      <c r="RXK2" s="18"/>
      <c r="RXL2" s="18"/>
      <c r="RXM2" s="18"/>
      <c r="RXN2" s="18"/>
      <c r="RXO2" s="18"/>
      <c r="RXP2" s="18"/>
      <c r="RXQ2" s="18"/>
      <c r="RXR2" s="18"/>
      <c r="RXS2" s="18"/>
      <c r="RXT2" s="18"/>
      <c r="RXU2" s="18"/>
      <c r="RXV2" s="18"/>
      <c r="RXW2" s="18"/>
      <c r="RXX2" s="18"/>
      <c r="RXY2" s="18"/>
      <c r="RXZ2" s="18"/>
      <c r="RYA2" s="18"/>
      <c r="RYB2" s="18"/>
      <c r="RYC2" s="18"/>
      <c r="RYD2" s="18"/>
      <c r="RYE2" s="18"/>
      <c r="RYF2" s="18"/>
      <c r="RYG2" s="18"/>
      <c r="RYH2" s="18"/>
      <c r="RYI2" s="18"/>
      <c r="RYJ2" s="18"/>
      <c r="RYK2" s="18"/>
      <c r="RYL2" s="18"/>
      <c r="RYM2" s="18"/>
      <c r="RYN2" s="18"/>
      <c r="RYO2" s="18"/>
      <c r="RYP2" s="18"/>
      <c r="RYQ2" s="18"/>
      <c r="RYR2" s="18"/>
      <c r="RYS2" s="18"/>
      <c r="RYT2" s="18"/>
      <c r="RYU2" s="18"/>
      <c r="RYV2" s="18"/>
      <c r="RYW2" s="18"/>
      <c r="RYX2" s="18"/>
      <c r="RYY2" s="18"/>
      <c r="RYZ2" s="18"/>
      <c r="RZA2" s="18"/>
      <c r="RZB2" s="18"/>
      <c r="RZC2" s="18"/>
      <c r="RZD2" s="18"/>
      <c r="RZE2" s="18"/>
      <c r="RZF2" s="18"/>
      <c r="RZG2" s="18"/>
      <c r="RZH2" s="18"/>
      <c r="RZI2" s="18"/>
      <c r="RZJ2" s="18"/>
      <c r="RZK2" s="18"/>
      <c r="RZL2" s="18"/>
      <c r="RZM2" s="18"/>
      <c r="RZN2" s="18"/>
      <c r="RZO2" s="18"/>
      <c r="RZP2" s="18"/>
      <c r="RZQ2" s="18"/>
      <c r="RZR2" s="18"/>
      <c r="RZS2" s="18"/>
      <c r="RZT2" s="18"/>
      <c r="RZU2" s="18"/>
      <c r="RZV2" s="18"/>
      <c r="RZW2" s="18"/>
      <c r="RZX2" s="18"/>
      <c r="RZY2" s="18"/>
      <c r="RZZ2" s="18"/>
      <c r="SAA2" s="18"/>
      <c r="SAB2" s="18"/>
      <c r="SAC2" s="18"/>
      <c r="SAD2" s="18"/>
      <c r="SAE2" s="18"/>
      <c r="SAF2" s="18"/>
      <c r="SAG2" s="18"/>
      <c r="SAH2" s="18"/>
      <c r="SAI2" s="18"/>
      <c r="SAJ2" s="18"/>
      <c r="SAK2" s="18"/>
      <c r="SAL2" s="18"/>
      <c r="SAM2" s="18"/>
      <c r="SAN2" s="18"/>
      <c r="SAO2" s="18"/>
      <c r="SAP2" s="18"/>
      <c r="SAQ2" s="18"/>
      <c r="SAR2" s="18"/>
      <c r="SAS2" s="18"/>
      <c r="SAT2" s="18"/>
      <c r="SAU2" s="18"/>
      <c r="SAV2" s="18"/>
      <c r="SAW2" s="18"/>
      <c r="SAX2" s="18"/>
      <c r="SAY2" s="18"/>
      <c r="SAZ2" s="18"/>
      <c r="SBA2" s="18"/>
      <c r="SBB2" s="18"/>
      <c r="SBC2" s="18"/>
      <c r="SBD2" s="18"/>
      <c r="SBE2" s="18"/>
      <c r="SBF2" s="18"/>
      <c r="SBG2" s="18"/>
      <c r="SBH2" s="18"/>
      <c r="SBI2" s="18"/>
      <c r="SBJ2" s="18"/>
      <c r="SBK2" s="18"/>
      <c r="SBL2" s="18"/>
      <c r="SBM2" s="18"/>
      <c r="SBN2" s="18"/>
      <c r="SBO2" s="18"/>
      <c r="SBP2" s="18"/>
      <c r="SBQ2" s="18"/>
      <c r="SBR2" s="18"/>
      <c r="SBS2" s="18"/>
      <c r="SBT2" s="18"/>
      <c r="SBU2" s="18"/>
      <c r="SBV2" s="18"/>
      <c r="SBW2" s="18"/>
      <c r="SBX2" s="18"/>
      <c r="SBY2" s="18"/>
      <c r="SBZ2" s="18"/>
      <c r="SCA2" s="18"/>
      <c r="SCB2" s="18"/>
      <c r="SCC2" s="18"/>
      <c r="SCD2" s="18"/>
      <c r="SCE2" s="18"/>
      <c r="SCF2" s="18"/>
      <c r="SCG2" s="18"/>
      <c r="SCH2" s="18"/>
      <c r="SCI2" s="18"/>
      <c r="SCJ2" s="18"/>
      <c r="SCK2" s="18"/>
      <c r="SCL2" s="18"/>
      <c r="SCM2" s="18"/>
      <c r="SCN2" s="18"/>
      <c r="SCO2" s="18"/>
      <c r="SCP2" s="18"/>
      <c r="SCQ2" s="18"/>
      <c r="SCR2" s="18"/>
      <c r="SCS2" s="18"/>
      <c r="SCT2" s="18"/>
      <c r="SCU2" s="18"/>
      <c r="SCV2" s="18"/>
      <c r="SCW2" s="18"/>
      <c r="SCX2" s="18"/>
      <c r="SCY2" s="18"/>
      <c r="SCZ2" s="18"/>
      <c r="SDA2" s="18"/>
      <c r="SDB2" s="18"/>
      <c r="SDC2" s="18"/>
      <c r="SDD2" s="18"/>
      <c r="SDE2" s="18"/>
      <c r="SDF2" s="18"/>
      <c r="SDG2" s="18"/>
      <c r="SDH2" s="18"/>
      <c r="SDI2" s="18"/>
      <c r="SDJ2" s="18"/>
      <c r="SDK2" s="18"/>
      <c r="SDL2" s="18"/>
      <c r="SDM2" s="18"/>
      <c r="SDN2" s="18"/>
      <c r="SDO2" s="18"/>
      <c r="SDP2" s="18"/>
      <c r="SDQ2" s="18"/>
      <c r="SDR2" s="18"/>
      <c r="SDS2" s="18"/>
      <c r="SDT2" s="18"/>
      <c r="SDU2" s="18"/>
      <c r="SDV2" s="18"/>
      <c r="SDW2" s="18"/>
      <c r="SDX2" s="18"/>
      <c r="SDY2" s="18"/>
      <c r="SDZ2" s="18"/>
      <c r="SEA2" s="18"/>
      <c r="SEB2" s="18"/>
      <c r="SEC2" s="18"/>
      <c r="SED2" s="18"/>
      <c r="SEE2" s="18"/>
      <c r="SEF2" s="18"/>
      <c r="SEG2" s="18"/>
      <c r="SEH2" s="18"/>
      <c r="SEI2" s="18"/>
      <c r="SEJ2" s="18"/>
      <c r="SEK2" s="18"/>
      <c r="SEL2" s="18"/>
      <c r="SEM2" s="18"/>
      <c r="SEN2" s="18"/>
      <c r="SEO2" s="18"/>
      <c r="SEP2" s="18"/>
      <c r="SEQ2" s="18"/>
      <c r="SER2" s="18"/>
      <c r="SES2" s="18"/>
      <c r="SET2" s="18"/>
      <c r="SEU2" s="18"/>
      <c r="SEV2" s="18"/>
      <c r="SEW2" s="18"/>
      <c r="SEX2" s="18"/>
      <c r="SEY2" s="18"/>
      <c r="SEZ2" s="18"/>
      <c r="SFA2" s="18"/>
      <c r="SFB2" s="18"/>
      <c r="SFC2" s="18"/>
      <c r="SFD2" s="18"/>
      <c r="SFE2" s="18"/>
      <c r="SFF2" s="18"/>
      <c r="SFG2" s="18"/>
      <c r="SFH2" s="18"/>
      <c r="SFI2" s="18"/>
      <c r="SFJ2" s="18"/>
      <c r="SFK2" s="18"/>
      <c r="SFL2" s="18"/>
      <c r="SFM2" s="18"/>
      <c r="SFN2" s="18"/>
      <c r="SFO2" s="18"/>
      <c r="SFP2" s="18"/>
      <c r="SFQ2" s="18"/>
      <c r="SFR2" s="18"/>
      <c r="SFS2" s="18"/>
      <c r="SFT2" s="18"/>
      <c r="SFU2" s="18"/>
      <c r="SFV2" s="18"/>
      <c r="SFW2" s="18"/>
      <c r="SFX2" s="18"/>
      <c r="SFY2" s="18"/>
      <c r="SFZ2" s="18"/>
      <c r="SGA2" s="18"/>
      <c r="SGB2" s="18"/>
      <c r="SGC2" s="18"/>
      <c r="SGD2" s="18"/>
      <c r="SGE2" s="18"/>
      <c r="SGF2" s="18"/>
      <c r="SGG2" s="18"/>
      <c r="SGH2" s="18"/>
      <c r="SGI2" s="18"/>
      <c r="SGJ2" s="18"/>
      <c r="SGK2" s="18"/>
      <c r="SGL2" s="18"/>
      <c r="SGM2" s="18"/>
      <c r="SGN2" s="18"/>
      <c r="SGO2" s="18"/>
      <c r="SGP2" s="18"/>
      <c r="SGQ2" s="18"/>
      <c r="SGR2" s="18"/>
      <c r="SGS2" s="18"/>
      <c r="SGT2" s="18"/>
      <c r="SGU2" s="18"/>
      <c r="SGV2" s="18"/>
      <c r="SGW2" s="18"/>
      <c r="SGX2" s="18"/>
      <c r="SGY2" s="18"/>
      <c r="SGZ2" s="18"/>
      <c r="SHA2" s="18"/>
      <c r="SHB2" s="18"/>
      <c r="SHC2" s="18"/>
      <c r="SHD2" s="18"/>
      <c r="SHE2" s="18"/>
      <c r="SHF2" s="18"/>
      <c r="SHG2" s="18"/>
      <c r="SHH2" s="18"/>
      <c r="SHI2" s="18"/>
      <c r="SHJ2" s="18"/>
      <c r="SHK2" s="18"/>
      <c r="SHL2" s="18"/>
      <c r="SHM2" s="18"/>
      <c r="SHN2" s="18"/>
      <c r="SHO2" s="18"/>
      <c r="SHP2" s="18"/>
      <c r="SHQ2" s="18"/>
      <c r="SHR2" s="18"/>
      <c r="SHS2" s="18"/>
      <c r="SHT2" s="18"/>
      <c r="SHU2" s="18"/>
      <c r="SHV2" s="18"/>
      <c r="SHW2" s="18"/>
      <c r="SHX2" s="18"/>
      <c r="SHY2" s="18"/>
      <c r="SHZ2" s="18"/>
      <c r="SIA2" s="18"/>
      <c r="SIB2" s="18"/>
      <c r="SIC2" s="18"/>
      <c r="SID2" s="18"/>
      <c r="SIE2" s="18"/>
      <c r="SIF2" s="18"/>
      <c r="SIG2" s="18"/>
      <c r="SIH2" s="18"/>
      <c r="SII2" s="18"/>
      <c r="SIJ2" s="18"/>
      <c r="SIK2" s="18"/>
      <c r="SIL2" s="18"/>
      <c r="SIM2" s="18"/>
      <c r="SIN2" s="18"/>
      <c r="SIO2" s="18"/>
      <c r="SIP2" s="18"/>
      <c r="SIQ2" s="18"/>
      <c r="SIR2" s="18"/>
      <c r="SIS2" s="18"/>
      <c r="SIT2" s="18"/>
      <c r="SIU2" s="18"/>
      <c r="SIV2" s="18"/>
      <c r="SIW2" s="18"/>
      <c r="SIX2" s="18"/>
      <c r="SIY2" s="18"/>
      <c r="SIZ2" s="18"/>
      <c r="SJA2" s="18"/>
      <c r="SJB2" s="18"/>
      <c r="SJC2" s="18"/>
      <c r="SJD2" s="18"/>
      <c r="SJE2" s="18"/>
      <c r="SJF2" s="18"/>
      <c r="SJG2" s="18"/>
      <c r="SJH2" s="18"/>
      <c r="SJI2" s="18"/>
      <c r="SJJ2" s="18"/>
      <c r="SJK2" s="18"/>
      <c r="SJL2" s="18"/>
      <c r="SJM2" s="18"/>
      <c r="SJN2" s="18"/>
      <c r="SJO2" s="18"/>
      <c r="SJP2" s="18"/>
      <c r="SJQ2" s="18"/>
      <c r="SJR2" s="18"/>
      <c r="SJS2" s="18"/>
      <c r="SJT2" s="18"/>
      <c r="SJU2" s="18"/>
      <c r="SJV2" s="18"/>
      <c r="SJW2" s="18"/>
      <c r="SJX2" s="18"/>
      <c r="SJY2" s="18"/>
      <c r="SJZ2" s="18"/>
      <c r="SKA2" s="18"/>
      <c r="SKB2" s="18"/>
      <c r="SKC2" s="18"/>
      <c r="SKD2" s="18"/>
      <c r="SKE2" s="18"/>
      <c r="SKF2" s="18"/>
      <c r="SKG2" s="18"/>
      <c r="SKH2" s="18"/>
      <c r="SKI2" s="18"/>
      <c r="SKJ2" s="18"/>
      <c r="SKK2" s="18"/>
      <c r="SKL2" s="18"/>
      <c r="SKM2" s="18"/>
      <c r="SKN2" s="18"/>
      <c r="SKO2" s="18"/>
      <c r="SKP2" s="18"/>
      <c r="SKQ2" s="18"/>
      <c r="SKR2" s="18"/>
      <c r="SKS2" s="18"/>
      <c r="SKT2" s="18"/>
      <c r="SKU2" s="18"/>
      <c r="SKV2" s="18"/>
      <c r="SKW2" s="18"/>
      <c r="SKX2" s="18"/>
      <c r="SKY2" s="18"/>
      <c r="SKZ2" s="18"/>
      <c r="SLA2" s="18"/>
      <c r="SLB2" s="18"/>
      <c r="SLC2" s="18"/>
      <c r="SLD2" s="18"/>
      <c r="SLE2" s="18"/>
      <c r="SLF2" s="18"/>
      <c r="SLG2" s="18"/>
      <c r="SLH2" s="18"/>
      <c r="SLI2" s="18"/>
      <c r="SLJ2" s="18"/>
      <c r="SLK2" s="18"/>
      <c r="SLL2" s="18"/>
      <c r="SLM2" s="18"/>
      <c r="SLN2" s="18"/>
      <c r="SLO2" s="18"/>
      <c r="SLP2" s="18"/>
      <c r="SLQ2" s="18"/>
      <c r="SLR2" s="18"/>
      <c r="SLS2" s="18"/>
      <c r="SLT2" s="18"/>
      <c r="SLU2" s="18"/>
      <c r="SLV2" s="18"/>
      <c r="SLW2" s="18"/>
      <c r="SLX2" s="18"/>
      <c r="SLY2" s="18"/>
      <c r="SLZ2" s="18"/>
      <c r="SMA2" s="18"/>
      <c r="SMB2" s="18"/>
      <c r="SMC2" s="18"/>
      <c r="SMD2" s="18"/>
      <c r="SME2" s="18"/>
      <c r="SMF2" s="18"/>
      <c r="SMG2" s="18"/>
      <c r="SMH2" s="18"/>
      <c r="SMI2" s="18"/>
      <c r="SMJ2" s="18"/>
      <c r="SMK2" s="18"/>
      <c r="SML2" s="18"/>
      <c r="SMM2" s="18"/>
      <c r="SMN2" s="18"/>
      <c r="SMO2" s="18"/>
      <c r="SMP2" s="18"/>
      <c r="SMQ2" s="18"/>
      <c r="SMR2" s="18"/>
      <c r="SMS2" s="18"/>
      <c r="SMT2" s="18"/>
      <c r="SMU2" s="18"/>
      <c r="SMV2" s="18"/>
      <c r="SMW2" s="18"/>
      <c r="SMX2" s="18"/>
      <c r="SMY2" s="18"/>
      <c r="SMZ2" s="18"/>
      <c r="SNA2" s="18"/>
      <c r="SNB2" s="18"/>
      <c r="SNC2" s="18"/>
      <c r="SND2" s="18"/>
      <c r="SNE2" s="18"/>
      <c r="SNF2" s="18"/>
      <c r="SNG2" s="18"/>
      <c r="SNH2" s="18"/>
      <c r="SNI2" s="18"/>
      <c r="SNJ2" s="18"/>
      <c r="SNK2" s="18"/>
      <c r="SNL2" s="18"/>
      <c r="SNM2" s="18"/>
      <c r="SNN2" s="18"/>
      <c r="SNO2" s="18"/>
      <c r="SNP2" s="18"/>
      <c r="SNQ2" s="18"/>
      <c r="SNR2" s="18"/>
      <c r="SNS2" s="18"/>
      <c r="SNT2" s="18"/>
      <c r="SNU2" s="18"/>
      <c r="SNV2" s="18"/>
      <c r="SNW2" s="18"/>
      <c r="SNX2" s="18"/>
      <c r="SNY2" s="18"/>
      <c r="SNZ2" s="18"/>
      <c r="SOA2" s="18"/>
      <c r="SOB2" s="18"/>
      <c r="SOC2" s="18"/>
      <c r="SOD2" s="18"/>
      <c r="SOE2" s="18"/>
      <c r="SOF2" s="18"/>
      <c r="SOG2" s="18"/>
      <c r="SOH2" s="18"/>
      <c r="SOI2" s="18"/>
      <c r="SOJ2" s="18"/>
      <c r="SOK2" s="18"/>
      <c r="SOL2" s="18"/>
      <c r="SOM2" s="18"/>
      <c r="SON2" s="18"/>
      <c r="SOO2" s="18"/>
      <c r="SOP2" s="18"/>
      <c r="SOQ2" s="18"/>
      <c r="SOR2" s="18"/>
      <c r="SOS2" s="18"/>
      <c r="SOT2" s="18"/>
      <c r="SOU2" s="18"/>
      <c r="SOV2" s="18"/>
      <c r="SOW2" s="18"/>
      <c r="SOX2" s="18"/>
      <c r="SOY2" s="18"/>
      <c r="SOZ2" s="18"/>
      <c r="SPA2" s="18"/>
      <c r="SPB2" s="18"/>
      <c r="SPC2" s="18"/>
      <c r="SPD2" s="18"/>
      <c r="SPE2" s="18"/>
      <c r="SPF2" s="18"/>
      <c r="SPG2" s="18"/>
      <c r="SPH2" s="18"/>
      <c r="SPI2" s="18"/>
      <c r="SPJ2" s="18"/>
      <c r="SPK2" s="18"/>
      <c r="SPL2" s="18"/>
      <c r="SPM2" s="18"/>
      <c r="SPN2" s="18"/>
      <c r="SPO2" s="18"/>
      <c r="SPP2" s="18"/>
      <c r="SPQ2" s="18"/>
      <c r="SPR2" s="18"/>
      <c r="SPS2" s="18"/>
      <c r="SPT2" s="18"/>
      <c r="SPU2" s="18"/>
      <c r="SPV2" s="18"/>
      <c r="SPW2" s="18"/>
      <c r="SPX2" s="18"/>
      <c r="SPY2" s="18"/>
      <c r="SPZ2" s="18"/>
      <c r="SQA2" s="18"/>
      <c r="SQB2" s="18"/>
      <c r="SQC2" s="18"/>
      <c r="SQD2" s="18"/>
      <c r="SQE2" s="18"/>
      <c r="SQF2" s="18"/>
      <c r="SQG2" s="18"/>
      <c r="SQH2" s="18"/>
      <c r="SQI2" s="18"/>
      <c r="SQJ2" s="18"/>
      <c r="SQK2" s="18"/>
      <c r="SQL2" s="18"/>
      <c r="SQM2" s="18"/>
      <c r="SQN2" s="18"/>
      <c r="SQO2" s="18"/>
      <c r="SQP2" s="18"/>
      <c r="SQQ2" s="18"/>
      <c r="SQR2" s="18"/>
      <c r="SQS2" s="18"/>
      <c r="SQT2" s="18"/>
      <c r="SQU2" s="18"/>
      <c r="SQV2" s="18"/>
      <c r="SQW2" s="18"/>
      <c r="SQX2" s="18"/>
      <c r="SQY2" s="18"/>
      <c r="SQZ2" s="18"/>
      <c r="SRA2" s="18"/>
      <c r="SRB2" s="18"/>
      <c r="SRC2" s="18"/>
      <c r="SRD2" s="18"/>
      <c r="SRE2" s="18"/>
      <c r="SRF2" s="18"/>
      <c r="SRG2" s="18"/>
      <c r="SRH2" s="18"/>
      <c r="SRI2" s="18"/>
      <c r="SRJ2" s="18"/>
      <c r="SRK2" s="18"/>
      <c r="SRL2" s="18"/>
      <c r="SRM2" s="18"/>
      <c r="SRN2" s="18"/>
      <c r="SRO2" s="18"/>
      <c r="SRP2" s="18"/>
      <c r="SRQ2" s="18"/>
      <c r="SRR2" s="18"/>
      <c r="SRS2" s="18"/>
      <c r="SRT2" s="18"/>
      <c r="SRU2" s="18"/>
      <c r="SRV2" s="18"/>
      <c r="SRW2" s="18"/>
      <c r="SRX2" s="18"/>
      <c r="SRY2" s="18"/>
      <c r="SRZ2" s="18"/>
      <c r="SSA2" s="18"/>
      <c r="SSB2" s="18"/>
      <c r="SSC2" s="18"/>
      <c r="SSD2" s="18"/>
      <c r="SSE2" s="18"/>
      <c r="SSF2" s="18"/>
      <c r="SSG2" s="18"/>
      <c r="SSH2" s="18"/>
      <c r="SSI2" s="18"/>
      <c r="SSJ2" s="18"/>
      <c r="SSK2" s="18"/>
      <c r="SSL2" s="18"/>
      <c r="SSM2" s="18"/>
      <c r="SSN2" s="18"/>
      <c r="SSO2" s="18"/>
      <c r="SSP2" s="18"/>
      <c r="SSQ2" s="18"/>
      <c r="SSR2" s="18"/>
      <c r="SSS2" s="18"/>
      <c r="SST2" s="18"/>
      <c r="SSU2" s="18"/>
      <c r="SSV2" s="18"/>
      <c r="SSW2" s="18"/>
      <c r="SSX2" s="18"/>
      <c r="SSY2" s="18"/>
      <c r="SSZ2" s="18"/>
      <c r="STA2" s="18"/>
      <c r="STB2" s="18"/>
      <c r="STC2" s="18"/>
      <c r="STD2" s="18"/>
      <c r="STE2" s="18"/>
      <c r="STF2" s="18"/>
      <c r="STG2" s="18"/>
      <c r="STH2" s="18"/>
      <c r="STI2" s="18"/>
      <c r="STJ2" s="18"/>
      <c r="STK2" s="18"/>
      <c r="STL2" s="18"/>
      <c r="STM2" s="18"/>
      <c r="STN2" s="18"/>
      <c r="STO2" s="18"/>
      <c r="STP2" s="18"/>
      <c r="STQ2" s="18"/>
      <c r="STR2" s="18"/>
      <c r="STS2" s="18"/>
      <c r="STT2" s="18"/>
      <c r="STU2" s="18"/>
      <c r="STV2" s="18"/>
      <c r="STW2" s="18"/>
      <c r="STX2" s="18"/>
      <c r="STY2" s="18"/>
      <c r="STZ2" s="18"/>
      <c r="SUA2" s="18"/>
      <c r="SUB2" s="18"/>
      <c r="SUC2" s="18"/>
      <c r="SUD2" s="18"/>
      <c r="SUE2" s="18"/>
      <c r="SUF2" s="18"/>
      <c r="SUG2" s="18"/>
      <c r="SUH2" s="18"/>
      <c r="SUI2" s="18"/>
      <c r="SUJ2" s="18"/>
      <c r="SUK2" s="18"/>
      <c r="SUL2" s="18"/>
      <c r="SUM2" s="18"/>
      <c r="SUN2" s="18"/>
      <c r="SUO2" s="18"/>
      <c r="SUP2" s="18"/>
      <c r="SUQ2" s="18"/>
      <c r="SUR2" s="18"/>
      <c r="SUS2" s="18"/>
      <c r="SUT2" s="18"/>
      <c r="SUU2" s="18"/>
      <c r="SUV2" s="18"/>
      <c r="SUW2" s="18"/>
      <c r="SUX2" s="18"/>
      <c r="SUY2" s="18"/>
      <c r="SUZ2" s="18"/>
      <c r="SVA2" s="18"/>
      <c r="SVB2" s="18"/>
      <c r="SVC2" s="18"/>
      <c r="SVD2" s="18"/>
      <c r="SVE2" s="18"/>
      <c r="SVF2" s="18"/>
      <c r="SVG2" s="18"/>
      <c r="SVH2" s="18"/>
      <c r="SVI2" s="18"/>
      <c r="SVJ2" s="18"/>
      <c r="SVK2" s="18"/>
      <c r="SVL2" s="18"/>
      <c r="SVM2" s="18"/>
      <c r="SVN2" s="18"/>
      <c r="SVO2" s="18"/>
      <c r="SVP2" s="18"/>
      <c r="SVQ2" s="18"/>
      <c r="SVR2" s="18"/>
      <c r="SVS2" s="18"/>
      <c r="SVT2" s="18"/>
      <c r="SVU2" s="18"/>
      <c r="SVV2" s="18"/>
      <c r="SVW2" s="18"/>
      <c r="SVX2" s="18"/>
      <c r="SVY2" s="18"/>
      <c r="SVZ2" s="18"/>
      <c r="SWA2" s="18"/>
      <c r="SWB2" s="18"/>
      <c r="SWC2" s="18"/>
      <c r="SWD2" s="18"/>
      <c r="SWE2" s="18"/>
      <c r="SWF2" s="18"/>
      <c r="SWG2" s="18"/>
      <c r="SWH2" s="18"/>
      <c r="SWI2" s="18"/>
      <c r="SWJ2" s="18"/>
      <c r="SWK2" s="18"/>
      <c r="SWL2" s="18"/>
      <c r="SWM2" s="18"/>
      <c r="SWN2" s="18"/>
      <c r="SWO2" s="18"/>
      <c r="SWP2" s="18"/>
      <c r="SWQ2" s="18"/>
      <c r="SWR2" s="18"/>
      <c r="SWS2" s="18"/>
      <c r="SWT2" s="18"/>
      <c r="SWU2" s="18"/>
      <c r="SWV2" s="18"/>
      <c r="SWW2" s="18"/>
      <c r="SWX2" s="18"/>
      <c r="SWY2" s="18"/>
      <c r="SWZ2" s="18"/>
      <c r="SXA2" s="18"/>
      <c r="SXB2" s="18"/>
      <c r="SXC2" s="18"/>
      <c r="SXD2" s="18"/>
      <c r="SXE2" s="18"/>
      <c r="SXF2" s="18"/>
      <c r="SXG2" s="18"/>
      <c r="SXH2" s="18"/>
      <c r="SXI2" s="18"/>
      <c r="SXJ2" s="18"/>
      <c r="SXK2" s="18"/>
      <c r="SXL2" s="18"/>
      <c r="SXM2" s="18"/>
      <c r="SXN2" s="18"/>
      <c r="SXO2" s="18"/>
      <c r="SXP2" s="18"/>
      <c r="SXQ2" s="18"/>
      <c r="SXR2" s="18"/>
      <c r="SXS2" s="18"/>
      <c r="SXT2" s="18"/>
      <c r="SXU2" s="18"/>
      <c r="SXV2" s="18"/>
      <c r="SXW2" s="18"/>
      <c r="SXX2" s="18"/>
      <c r="SXY2" s="18"/>
      <c r="SXZ2" s="18"/>
      <c r="SYA2" s="18"/>
      <c r="SYB2" s="18"/>
      <c r="SYC2" s="18"/>
      <c r="SYD2" s="18"/>
      <c r="SYE2" s="18"/>
      <c r="SYF2" s="18"/>
      <c r="SYG2" s="18"/>
      <c r="SYH2" s="18"/>
      <c r="SYI2" s="18"/>
      <c r="SYJ2" s="18"/>
      <c r="SYK2" s="18"/>
      <c r="SYL2" s="18"/>
      <c r="SYM2" s="18"/>
      <c r="SYN2" s="18"/>
      <c r="SYO2" s="18"/>
      <c r="SYP2" s="18"/>
      <c r="SYQ2" s="18"/>
      <c r="SYR2" s="18"/>
      <c r="SYS2" s="18"/>
      <c r="SYT2" s="18"/>
      <c r="SYU2" s="18"/>
      <c r="SYV2" s="18"/>
      <c r="SYW2" s="18"/>
      <c r="SYX2" s="18"/>
      <c r="SYY2" s="18"/>
      <c r="SYZ2" s="18"/>
      <c r="SZA2" s="18"/>
      <c r="SZB2" s="18"/>
      <c r="SZC2" s="18"/>
      <c r="SZD2" s="18"/>
      <c r="SZE2" s="18"/>
      <c r="SZF2" s="18"/>
      <c r="SZG2" s="18"/>
      <c r="SZH2" s="18"/>
      <c r="SZI2" s="18"/>
      <c r="SZJ2" s="18"/>
      <c r="SZK2" s="18"/>
      <c r="SZL2" s="18"/>
      <c r="SZM2" s="18"/>
      <c r="SZN2" s="18"/>
      <c r="SZO2" s="18"/>
      <c r="SZP2" s="18"/>
      <c r="SZQ2" s="18"/>
      <c r="SZR2" s="18"/>
      <c r="SZS2" s="18"/>
      <c r="SZT2" s="18"/>
      <c r="SZU2" s="18"/>
      <c r="SZV2" s="18"/>
      <c r="SZW2" s="18"/>
      <c r="SZX2" s="18"/>
      <c r="SZY2" s="18"/>
      <c r="SZZ2" s="18"/>
      <c r="TAA2" s="18"/>
      <c r="TAB2" s="18"/>
      <c r="TAC2" s="18"/>
      <c r="TAD2" s="18"/>
      <c r="TAE2" s="18"/>
      <c r="TAF2" s="18"/>
      <c r="TAG2" s="18"/>
      <c r="TAH2" s="18"/>
      <c r="TAI2" s="18"/>
      <c r="TAJ2" s="18"/>
      <c r="TAK2" s="18"/>
      <c r="TAL2" s="18"/>
      <c r="TAM2" s="18"/>
      <c r="TAN2" s="18"/>
      <c r="TAO2" s="18"/>
      <c r="TAP2" s="18"/>
      <c r="TAQ2" s="18"/>
      <c r="TAR2" s="18"/>
      <c r="TAS2" s="18"/>
      <c r="TAT2" s="18"/>
      <c r="TAU2" s="18"/>
      <c r="TAV2" s="18"/>
      <c r="TAW2" s="18"/>
      <c r="TAX2" s="18"/>
      <c r="TAY2" s="18"/>
      <c r="TAZ2" s="18"/>
      <c r="TBA2" s="18"/>
      <c r="TBB2" s="18"/>
      <c r="TBC2" s="18"/>
      <c r="TBD2" s="18"/>
      <c r="TBE2" s="18"/>
      <c r="TBF2" s="18"/>
      <c r="TBG2" s="18"/>
      <c r="TBH2" s="18"/>
      <c r="TBI2" s="18"/>
      <c r="TBJ2" s="18"/>
      <c r="TBK2" s="18"/>
      <c r="TBL2" s="18"/>
      <c r="TBM2" s="18"/>
      <c r="TBN2" s="18"/>
      <c r="TBO2" s="18"/>
      <c r="TBP2" s="18"/>
      <c r="TBQ2" s="18"/>
      <c r="TBR2" s="18"/>
      <c r="TBS2" s="18"/>
      <c r="TBT2" s="18"/>
      <c r="TBU2" s="18"/>
      <c r="TBV2" s="18"/>
      <c r="TBW2" s="18"/>
      <c r="TBX2" s="18"/>
      <c r="TBY2" s="18"/>
      <c r="TBZ2" s="18"/>
      <c r="TCA2" s="18"/>
      <c r="TCB2" s="18"/>
      <c r="TCC2" s="18"/>
      <c r="TCD2" s="18"/>
      <c r="TCE2" s="18"/>
      <c r="TCF2" s="18"/>
      <c r="TCG2" s="18"/>
      <c r="TCH2" s="18"/>
      <c r="TCI2" s="18"/>
      <c r="TCJ2" s="18"/>
      <c r="TCK2" s="18"/>
      <c r="TCL2" s="18"/>
      <c r="TCM2" s="18"/>
      <c r="TCN2" s="18"/>
      <c r="TCO2" s="18"/>
      <c r="TCP2" s="18"/>
      <c r="TCQ2" s="18"/>
      <c r="TCR2" s="18"/>
      <c r="TCS2" s="18"/>
      <c r="TCT2" s="18"/>
      <c r="TCU2" s="18"/>
      <c r="TCV2" s="18"/>
      <c r="TCW2" s="18"/>
      <c r="TCX2" s="18"/>
      <c r="TCY2" s="18"/>
      <c r="TCZ2" s="18"/>
      <c r="TDA2" s="18"/>
      <c r="TDB2" s="18"/>
      <c r="TDC2" s="18"/>
      <c r="TDD2" s="18"/>
      <c r="TDE2" s="18"/>
      <c r="TDF2" s="18"/>
      <c r="TDG2" s="18"/>
      <c r="TDH2" s="18"/>
      <c r="TDI2" s="18"/>
      <c r="TDJ2" s="18"/>
      <c r="TDK2" s="18"/>
      <c r="TDL2" s="18"/>
      <c r="TDM2" s="18"/>
      <c r="TDN2" s="18"/>
      <c r="TDO2" s="18"/>
      <c r="TDP2" s="18"/>
      <c r="TDQ2" s="18"/>
      <c r="TDR2" s="18"/>
      <c r="TDS2" s="18"/>
      <c r="TDT2" s="18"/>
      <c r="TDU2" s="18"/>
      <c r="TDV2" s="18"/>
      <c r="TDW2" s="18"/>
      <c r="TDX2" s="18"/>
      <c r="TDY2" s="18"/>
      <c r="TDZ2" s="18"/>
      <c r="TEA2" s="18"/>
      <c r="TEB2" s="18"/>
      <c r="TEC2" s="18"/>
      <c r="TED2" s="18"/>
      <c r="TEE2" s="18"/>
      <c r="TEF2" s="18"/>
      <c r="TEG2" s="18"/>
      <c r="TEH2" s="18"/>
      <c r="TEI2" s="18"/>
      <c r="TEJ2" s="18"/>
      <c r="TEK2" s="18"/>
      <c r="TEL2" s="18"/>
      <c r="TEM2" s="18"/>
      <c r="TEN2" s="18"/>
      <c r="TEO2" s="18"/>
      <c r="TEP2" s="18"/>
      <c r="TEQ2" s="18"/>
      <c r="TER2" s="18"/>
      <c r="TES2" s="18"/>
      <c r="TET2" s="18"/>
      <c r="TEU2" s="18"/>
      <c r="TEV2" s="18"/>
      <c r="TEW2" s="18"/>
      <c r="TEX2" s="18"/>
      <c r="TEY2" s="18"/>
      <c r="TEZ2" s="18"/>
      <c r="TFA2" s="18"/>
      <c r="TFB2" s="18"/>
      <c r="TFC2" s="18"/>
      <c r="TFD2" s="18"/>
      <c r="TFE2" s="18"/>
      <c r="TFF2" s="18"/>
      <c r="TFG2" s="18"/>
      <c r="TFH2" s="18"/>
      <c r="TFI2" s="18"/>
      <c r="TFJ2" s="18"/>
      <c r="TFK2" s="18"/>
      <c r="TFL2" s="18"/>
      <c r="TFM2" s="18"/>
      <c r="TFN2" s="18"/>
      <c r="TFO2" s="18"/>
      <c r="TFP2" s="18"/>
      <c r="TFQ2" s="18"/>
      <c r="TFR2" s="18"/>
      <c r="TFS2" s="18"/>
      <c r="TFT2" s="18"/>
      <c r="TFU2" s="18"/>
      <c r="TFV2" s="18"/>
      <c r="TFW2" s="18"/>
      <c r="TFX2" s="18"/>
      <c r="TFY2" s="18"/>
      <c r="TFZ2" s="18"/>
      <c r="TGA2" s="18"/>
      <c r="TGB2" s="18"/>
      <c r="TGC2" s="18"/>
      <c r="TGD2" s="18"/>
      <c r="TGE2" s="18"/>
      <c r="TGF2" s="18"/>
      <c r="TGG2" s="18"/>
      <c r="TGH2" s="18"/>
      <c r="TGI2" s="18"/>
      <c r="TGJ2" s="18"/>
      <c r="TGK2" s="18"/>
      <c r="TGL2" s="18"/>
      <c r="TGM2" s="18"/>
      <c r="TGN2" s="18"/>
      <c r="TGO2" s="18"/>
      <c r="TGP2" s="18"/>
      <c r="TGQ2" s="18"/>
      <c r="TGR2" s="18"/>
      <c r="TGS2" s="18"/>
      <c r="TGT2" s="18"/>
      <c r="TGU2" s="18"/>
      <c r="TGV2" s="18"/>
      <c r="TGW2" s="18"/>
      <c r="TGX2" s="18"/>
      <c r="TGY2" s="18"/>
      <c r="TGZ2" s="18"/>
      <c r="THA2" s="18"/>
      <c r="THB2" s="18"/>
      <c r="THC2" s="18"/>
      <c r="THD2" s="18"/>
      <c r="THE2" s="18"/>
      <c r="THF2" s="18"/>
      <c r="THG2" s="18"/>
      <c r="THH2" s="18"/>
      <c r="THI2" s="18"/>
      <c r="THJ2" s="18"/>
      <c r="THK2" s="18"/>
      <c r="THL2" s="18"/>
      <c r="THM2" s="18"/>
      <c r="THN2" s="18"/>
      <c r="THO2" s="18"/>
      <c r="THP2" s="18"/>
      <c r="THQ2" s="18"/>
      <c r="THR2" s="18"/>
      <c r="THS2" s="18"/>
      <c r="THT2" s="18"/>
      <c r="THU2" s="18"/>
      <c r="THV2" s="18"/>
      <c r="THW2" s="18"/>
      <c r="THX2" s="18"/>
      <c r="THY2" s="18"/>
      <c r="THZ2" s="18"/>
      <c r="TIA2" s="18"/>
      <c r="TIB2" s="18"/>
      <c r="TIC2" s="18"/>
      <c r="TID2" s="18"/>
      <c r="TIE2" s="18"/>
      <c r="TIF2" s="18"/>
      <c r="TIG2" s="18"/>
      <c r="TIH2" s="18"/>
      <c r="TII2" s="18"/>
      <c r="TIJ2" s="18"/>
      <c r="TIK2" s="18"/>
      <c r="TIL2" s="18"/>
      <c r="TIM2" s="18"/>
      <c r="TIN2" s="18"/>
      <c r="TIO2" s="18"/>
      <c r="TIP2" s="18"/>
      <c r="TIQ2" s="18"/>
      <c r="TIR2" s="18"/>
      <c r="TIS2" s="18"/>
      <c r="TIT2" s="18"/>
      <c r="TIU2" s="18"/>
      <c r="TIV2" s="18"/>
      <c r="TIW2" s="18"/>
      <c r="TIX2" s="18"/>
      <c r="TIY2" s="18"/>
      <c r="TIZ2" s="18"/>
      <c r="TJA2" s="18"/>
      <c r="TJB2" s="18"/>
      <c r="TJC2" s="18"/>
      <c r="TJD2" s="18"/>
      <c r="TJE2" s="18"/>
      <c r="TJF2" s="18"/>
      <c r="TJG2" s="18"/>
      <c r="TJH2" s="18"/>
      <c r="TJI2" s="18"/>
      <c r="TJJ2" s="18"/>
      <c r="TJK2" s="18"/>
      <c r="TJL2" s="18"/>
      <c r="TJM2" s="18"/>
      <c r="TJN2" s="18"/>
      <c r="TJO2" s="18"/>
      <c r="TJP2" s="18"/>
      <c r="TJQ2" s="18"/>
      <c r="TJR2" s="18"/>
      <c r="TJS2" s="18"/>
      <c r="TJT2" s="18"/>
      <c r="TJU2" s="18"/>
      <c r="TJV2" s="18"/>
      <c r="TJW2" s="18"/>
      <c r="TJX2" s="18"/>
      <c r="TJY2" s="18"/>
      <c r="TJZ2" s="18"/>
      <c r="TKA2" s="18"/>
      <c r="TKB2" s="18"/>
      <c r="TKC2" s="18"/>
      <c r="TKD2" s="18"/>
      <c r="TKE2" s="18"/>
      <c r="TKF2" s="18"/>
      <c r="TKG2" s="18"/>
      <c r="TKH2" s="18"/>
      <c r="TKI2" s="18"/>
      <c r="TKJ2" s="18"/>
      <c r="TKK2" s="18"/>
      <c r="TKL2" s="18"/>
      <c r="TKM2" s="18"/>
      <c r="TKN2" s="18"/>
      <c r="TKO2" s="18"/>
      <c r="TKP2" s="18"/>
      <c r="TKQ2" s="18"/>
      <c r="TKR2" s="18"/>
      <c r="TKS2" s="18"/>
      <c r="TKT2" s="18"/>
      <c r="TKU2" s="18"/>
      <c r="TKV2" s="18"/>
      <c r="TKW2" s="18"/>
      <c r="TKX2" s="18"/>
      <c r="TKY2" s="18"/>
      <c r="TKZ2" s="18"/>
      <c r="TLA2" s="18"/>
      <c r="TLB2" s="18"/>
      <c r="TLC2" s="18"/>
      <c r="TLD2" s="18"/>
      <c r="TLE2" s="18"/>
      <c r="TLF2" s="18"/>
      <c r="TLG2" s="18"/>
      <c r="TLH2" s="18"/>
      <c r="TLI2" s="18"/>
      <c r="TLJ2" s="18"/>
      <c r="TLK2" s="18"/>
      <c r="TLL2" s="18"/>
      <c r="TLM2" s="18"/>
      <c r="TLN2" s="18"/>
      <c r="TLO2" s="18"/>
      <c r="TLP2" s="18"/>
      <c r="TLQ2" s="18"/>
      <c r="TLR2" s="18"/>
      <c r="TLS2" s="18"/>
      <c r="TLT2" s="18"/>
      <c r="TLU2" s="18"/>
      <c r="TLV2" s="18"/>
      <c r="TLW2" s="18"/>
      <c r="TLX2" s="18"/>
      <c r="TLY2" s="18"/>
      <c r="TLZ2" s="18"/>
      <c r="TMA2" s="18"/>
      <c r="TMB2" s="18"/>
      <c r="TMC2" s="18"/>
      <c r="TMD2" s="18"/>
      <c r="TME2" s="18"/>
      <c r="TMF2" s="18"/>
      <c r="TMG2" s="18"/>
      <c r="TMH2" s="18"/>
      <c r="TMI2" s="18"/>
      <c r="TMJ2" s="18"/>
      <c r="TMK2" s="18"/>
      <c r="TML2" s="18"/>
      <c r="TMM2" s="18"/>
      <c r="TMN2" s="18"/>
      <c r="TMO2" s="18"/>
      <c r="TMP2" s="18"/>
      <c r="TMQ2" s="18"/>
      <c r="TMR2" s="18"/>
      <c r="TMS2" s="18"/>
      <c r="TMT2" s="18"/>
      <c r="TMU2" s="18"/>
      <c r="TMV2" s="18"/>
      <c r="TMW2" s="18"/>
      <c r="TMX2" s="18"/>
      <c r="TMY2" s="18"/>
      <c r="TMZ2" s="18"/>
      <c r="TNA2" s="18"/>
      <c r="TNB2" s="18"/>
      <c r="TNC2" s="18"/>
      <c r="TND2" s="18"/>
      <c r="TNE2" s="18"/>
      <c r="TNF2" s="18"/>
      <c r="TNG2" s="18"/>
      <c r="TNH2" s="18"/>
      <c r="TNI2" s="18"/>
      <c r="TNJ2" s="18"/>
      <c r="TNK2" s="18"/>
      <c r="TNL2" s="18"/>
      <c r="TNM2" s="18"/>
      <c r="TNN2" s="18"/>
      <c r="TNO2" s="18"/>
      <c r="TNP2" s="18"/>
      <c r="TNQ2" s="18"/>
      <c r="TNR2" s="18"/>
      <c r="TNS2" s="18"/>
      <c r="TNT2" s="18"/>
      <c r="TNU2" s="18"/>
      <c r="TNV2" s="18"/>
      <c r="TNW2" s="18"/>
      <c r="TNX2" s="18"/>
      <c r="TNY2" s="18"/>
      <c r="TNZ2" s="18"/>
      <c r="TOA2" s="18"/>
      <c r="TOB2" s="18"/>
      <c r="TOC2" s="18"/>
      <c r="TOD2" s="18"/>
      <c r="TOE2" s="18"/>
      <c r="TOF2" s="18"/>
      <c r="TOG2" s="18"/>
      <c r="TOH2" s="18"/>
      <c r="TOI2" s="18"/>
      <c r="TOJ2" s="18"/>
      <c r="TOK2" s="18"/>
      <c r="TOL2" s="18"/>
      <c r="TOM2" s="18"/>
      <c r="TON2" s="18"/>
      <c r="TOO2" s="18"/>
      <c r="TOP2" s="18"/>
      <c r="TOQ2" s="18"/>
      <c r="TOR2" s="18"/>
      <c r="TOS2" s="18"/>
      <c r="TOT2" s="18"/>
      <c r="TOU2" s="18"/>
      <c r="TOV2" s="18"/>
      <c r="TOW2" s="18"/>
      <c r="TOX2" s="18"/>
      <c r="TOY2" s="18"/>
      <c r="TOZ2" s="18"/>
      <c r="TPA2" s="18"/>
      <c r="TPB2" s="18"/>
      <c r="TPC2" s="18"/>
      <c r="TPD2" s="18"/>
      <c r="TPE2" s="18"/>
      <c r="TPF2" s="18"/>
      <c r="TPG2" s="18"/>
      <c r="TPH2" s="18"/>
      <c r="TPI2" s="18"/>
      <c r="TPJ2" s="18"/>
      <c r="TPK2" s="18"/>
      <c r="TPL2" s="18"/>
      <c r="TPM2" s="18"/>
      <c r="TPN2" s="18"/>
      <c r="TPO2" s="18"/>
      <c r="TPP2" s="18"/>
      <c r="TPQ2" s="18"/>
      <c r="TPR2" s="18"/>
      <c r="TPS2" s="18"/>
      <c r="TPT2" s="18"/>
      <c r="TPU2" s="18"/>
      <c r="TPV2" s="18"/>
      <c r="TPW2" s="18"/>
      <c r="TPX2" s="18"/>
      <c r="TPY2" s="18"/>
      <c r="TPZ2" s="18"/>
      <c r="TQA2" s="18"/>
      <c r="TQB2" s="18"/>
      <c r="TQC2" s="18"/>
      <c r="TQD2" s="18"/>
      <c r="TQE2" s="18"/>
      <c r="TQF2" s="18"/>
      <c r="TQG2" s="18"/>
      <c r="TQH2" s="18"/>
      <c r="TQI2" s="18"/>
      <c r="TQJ2" s="18"/>
      <c r="TQK2" s="18"/>
      <c r="TQL2" s="18"/>
      <c r="TQM2" s="18"/>
      <c r="TQN2" s="18"/>
      <c r="TQO2" s="18"/>
      <c r="TQP2" s="18"/>
      <c r="TQQ2" s="18"/>
      <c r="TQR2" s="18"/>
      <c r="TQS2" s="18"/>
      <c r="TQT2" s="18"/>
      <c r="TQU2" s="18"/>
      <c r="TQV2" s="18"/>
      <c r="TQW2" s="18"/>
      <c r="TQX2" s="18"/>
      <c r="TQY2" s="18"/>
      <c r="TQZ2" s="18"/>
      <c r="TRA2" s="18"/>
      <c r="TRB2" s="18"/>
      <c r="TRC2" s="18"/>
      <c r="TRD2" s="18"/>
      <c r="TRE2" s="18"/>
      <c r="TRF2" s="18"/>
      <c r="TRG2" s="18"/>
      <c r="TRH2" s="18"/>
      <c r="TRI2" s="18"/>
      <c r="TRJ2" s="18"/>
      <c r="TRK2" s="18"/>
      <c r="TRL2" s="18"/>
      <c r="TRM2" s="18"/>
      <c r="TRN2" s="18"/>
      <c r="TRO2" s="18"/>
      <c r="TRP2" s="18"/>
      <c r="TRQ2" s="18"/>
      <c r="TRR2" s="18"/>
      <c r="TRS2" s="18"/>
      <c r="TRT2" s="18"/>
      <c r="TRU2" s="18"/>
      <c r="TRV2" s="18"/>
      <c r="TRW2" s="18"/>
      <c r="TRX2" s="18"/>
      <c r="TRY2" s="18"/>
      <c r="TRZ2" s="18"/>
      <c r="TSA2" s="18"/>
      <c r="TSB2" s="18"/>
      <c r="TSC2" s="18"/>
      <c r="TSD2" s="18"/>
      <c r="TSE2" s="18"/>
      <c r="TSF2" s="18"/>
      <c r="TSG2" s="18"/>
      <c r="TSH2" s="18"/>
      <c r="TSI2" s="18"/>
      <c r="TSJ2" s="18"/>
      <c r="TSK2" s="18"/>
      <c r="TSL2" s="18"/>
      <c r="TSM2" s="18"/>
      <c r="TSN2" s="18"/>
      <c r="TSO2" s="18"/>
      <c r="TSP2" s="18"/>
      <c r="TSQ2" s="18"/>
      <c r="TSR2" s="18"/>
      <c r="TSS2" s="18"/>
      <c r="TST2" s="18"/>
      <c r="TSU2" s="18"/>
      <c r="TSV2" s="18"/>
      <c r="TSW2" s="18"/>
      <c r="TSX2" s="18"/>
      <c r="TSY2" s="18"/>
      <c r="TSZ2" s="18"/>
      <c r="TTA2" s="18"/>
      <c r="TTB2" s="18"/>
      <c r="TTC2" s="18"/>
      <c r="TTD2" s="18"/>
      <c r="TTE2" s="18"/>
      <c r="TTF2" s="18"/>
      <c r="TTG2" s="18"/>
      <c r="TTH2" s="18"/>
      <c r="TTI2" s="18"/>
      <c r="TTJ2" s="18"/>
      <c r="TTK2" s="18"/>
      <c r="TTL2" s="18"/>
      <c r="TTM2" s="18"/>
      <c r="TTN2" s="18"/>
      <c r="TTO2" s="18"/>
      <c r="TTP2" s="18"/>
      <c r="TTQ2" s="18"/>
      <c r="TTR2" s="18"/>
      <c r="TTS2" s="18"/>
      <c r="TTT2" s="18"/>
      <c r="TTU2" s="18"/>
      <c r="TTV2" s="18"/>
      <c r="TTW2" s="18"/>
      <c r="TTX2" s="18"/>
      <c r="TTY2" s="18"/>
      <c r="TTZ2" s="18"/>
      <c r="TUA2" s="18"/>
      <c r="TUB2" s="18"/>
      <c r="TUC2" s="18"/>
      <c r="TUD2" s="18"/>
      <c r="TUE2" s="18"/>
      <c r="TUF2" s="18"/>
      <c r="TUG2" s="18"/>
      <c r="TUH2" s="18"/>
      <c r="TUI2" s="18"/>
      <c r="TUJ2" s="18"/>
      <c r="TUK2" s="18"/>
      <c r="TUL2" s="18"/>
      <c r="TUM2" s="18"/>
      <c r="TUN2" s="18"/>
      <c r="TUO2" s="18"/>
      <c r="TUP2" s="18"/>
      <c r="TUQ2" s="18"/>
      <c r="TUR2" s="18"/>
      <c r="TUS2" s="18"/>
      <c r="TUT2" s="18"/>
      <c r="TUU2" s="18"/>
      <c r="TUV2" s="18"/>
      <c r="TUW2" s="18"/>
      <c r="TUX2" s="18"/>
      <c r="TUY2" s="18"/>
      <c r="TUZ2" s="18"/>
      <c r="TVA2" s="18"/>
      <c r="TVB2" s="18"/>
      <c r="TVC2" s="18"/>
      <c r="TVD2" s="18"/>
      <c r="TVE2" s="18"/>
      <c r="TVF2" s="18"/>
      <c r="TVG2" s="18"/>
      <c r="TVH2" s="18"/>
      <c r="TVI2" s="18"/>
      <c r="TVJ2" s="18"/>
      <c r="TVK2" s="18"/>
      <c r="TVL2" s="18"/>
      <c r="TVM2" s="18"/>
      <c r="TVN2" s="18"/>
      <c r="TVO2" s="18"/>
      <c r="TVP2" s="18"/>
      <c r="TVQ2" s="18"/>
      <c r="TVR2" s="18"/>
      <c r="TVS2" s="18"/>
      <c r="TVT2" s="18"/>
      <c r="TVU2" s="18"/>
      <c r="TVV2" s="18"/>
      <c r="TVW2" s="18"/>
      <c r="TVX2" s="18"/>
      <c r="TVY2" s="18"/>
      <c r="TVZ2" s="18"/>
      <c r="TWA2" s="18"/>
      <c r="TWB2" s="18"/>
      <c r="TWC2" s="18"/>
      <c r="TWD2" s="18"/>
      <c r="TWE2" s="18"/>
      <c r="TWF2" s="18"/>
      <c r="TWG2" s="18"/>
      <c r="TWH2" s="18"/>
      <c r="TWI2" s="18"/>
      <c r="TWJ2" s="18"/>
      <c r="TWK2" s="18"/>
      <c r="TWL2" s="18"/>
      <c r="TWM2" s="18"/>
      <c r="TWN2" s="18"/>
      <c r="TWO2" s="18"/>
      <c r="TWP2" s="18"/>
      <c r="TWQ2" s="18"/>
      <c r="TWR2" s="18"/>
      <c r="TWS2" s="18"/>
      <c r="TWT2" s="18"/>
      <c r="TWU2" s="18"/>
      <c r="TWV2" s="18"/>
      <c r="TWW2" s="18"/>
      <c r="TWX2" s="18"/>
      <c r="TWY2" s="18"/>
      <c r="TWZ2" s="18"/>
      <c r="TXA2" s="18"/>
      <c r="TXB2" s="18"/>
      <c r="TXC2" s="18"/>
      <c r="TXD2" s="18"/>
      <c r="TXE2" s="18"/>
      <c r="TXF2" s="18"/>
      <c r="TXG2" s="18"/>
      <c r="TXH2" s="18"/>
      <c r="TXI2" s="18"/>
      <c r="TXJ2" s="18"/>
      <c r="TXK2" s="18"/>
      <c r="TXL2" s="18"/>
      <c r="TXM2" s="18"/>
      <c r="TXN2" s="18"/>
      <c r="TXO2" s="18"/>
      <c r="TXP2" s="18"/>
      <c r="TXQ2" s="18"/>
      <c r="TXR2" s="18"/>
      <c r="TXS2" s="18"/>
      <c r="TXT2" s="18"/>
      <c r="TXU2" s="18"/>
      <c r="TXV2" s="18"/>
      <c r="TXW2" s="18"/>
      <c r="TXX2" s="18"/>
      <c r="TXY2" s="18"/>
      <c r="TXZ2" s="18"/>
      <c r="TYA2" s="18"/>
      <c r="TYB2" s="18"/>
      <c r="TYC2" s="18"/>
      <c r="TYD2" s="18"/>
      <c r="TYE2" s="18"/>
      <c r="TYF2" s="18"/>
      <c r="TYG2" s="18"/>
      <c r="TYH2" s="18"/>
      <c r="TYI2" s="18"/>
      <c r="TYJ2" s="18"/>
      <c r="TYK2" s="18"/>
      <c r="TYL2" s="18"/>
      <c r="TYM2" s="18"/>
      <c r="TYN2" s="18"/>
      <c r="TYO2" s="18"/>
      <c r="TYP2" s="18"/>
      <c r="TYQ2" s="18"/>
      <c r="TYR2" s="18"/>
      <c r="TYS2" s="18"/>
      <c r="TYT2" s="18"/>
      <c r="TYU2" s="18"/>
      <c r="TYV2" s="18"/>
      <c r="TYW2" s="18"/>
      <c r="TYX2" s="18"/>
      <c r="TYY2" s="18"/>
      <c r="TYZ2" s="18"/>
      <c r="TZA2" s="18"/>
      <c r="TZB2" s="18"/>
      <c r="TZC2" s="18"/>
      <c r="TZD2" s="18"/>
      <c r="TZE2" s="18"/>
      <c r="TZF2" s="18"/>
      <c r="TZG2" s="18"/>
      <c r="TZH2" s="18"/>
      <c r="TZI2" s="18"/>
      <c r="TZJ2" s="18"/>
      <c r="TZK2" s="18"/>
      <c r="TZL2" s="18"/>
      <c r="TZM2" s="18"/>
      <c r="TZN2" s="18"/>
      <c r="TZO2" s="18"/>
      <c r="TZP2" s="18"/>
      <c r="TZQ2" s="18"/>
      <c r="TZR2" s="18"/>
      <c r="TZS2" s="18"/>
      <c r="TZT2" s="18"/>
      <c r="TZU2" s="18"/>
      <c r="TZV2" s="18"/>
      <c r="TZW2" s="18"/>
      <c r="TZX2" s="18"/>
      <c r="TZY2" s="18"/>
      <c r="TZZ2" s="18"/>
      <c r="UAA2" s="18"/>
      <c r="UAB2" s="18"/>
      <c r="UAC2" s="18"/>
      <c r="UAD2" s="18"/>
      <c r="UAE2" s="18"/>
      <c r="UAF2" s="18"/>
      <c r="UAG2" s="18"/>
      <c r="UAH2" s="18"/>
      <c r="UAI2" s="18"/>
      <c r="UAJ2" s="18"/>
      <c r="UAK2" s="18"/>
      <c r="UAL2" s="18"/>
      <c r="UAM2" s="18"/>
      <c r="UAN2" s="18"/>
      <c r="UAO2" s="18"/>
      <c r="UAP2" s="18"/>
      <c r="UAQ2" s="18"/>
      <c r="UAR2" s="18"/>
      <c r="UAS2" s="18"/>
      <c r="UAT2" s="18"/>
      <c r="UAU2" s="18"/>
      <c r="UAV2" s="18"/>
      <c r="UAW2" s="18"/>
      <c r="UAX2" s="18"/>
      <c r="UAY2" s="18"/>
      <c r="UAZ2" s="18"/>
      <c r="UBA2" s="18"/>
      <c r="UBB2" s="18"/>
      <c r="UBC2" s="18"/>
      <c r="UBD2" s="18"/>
      <c r="UBE2" s="18"/>
      <c r="UBF2" s="18"/>
      <c r="UBG2" s="18"/>
      <c r="UBH2" s="18"/>
      <c r="UBI2" s="18"/>
      <c r="UBJ2" s="18"/>
      <c r="UBK2" s="18"/>
      <c r="UBL2" s="18"/>
      <c r="UBM2" s="18"/>
      <c r="UBN2" s="18"/>
      <c r="UBO2" s="18"/>
      <c r="UBP2" s="18"/>
      <c r="UBQ2" s="18"/>
      <c r="UBR2" s="18"/>
      <c r="UBS2" s="18"/>
      <c r="UBT2" s="18"/>
      <c r="UBU2" s="18"/>
      <c r="UBV2" s="18"/>
      <c r="UBW2" s="18"/>
      <c r="UBX2" s="18"/>
      <c r="UBY2" s="18"/>
      <c r="UBZ2" s="18"/>
      <c r="UCA2" s="18"/>
      <c r="UCB2" s="18"/>
      <c r="UCC2" s="18"/>
      <c r="UCD2" s="18"/>
      <c r="UCE2" s="18"/>
      <c r="UCF2" s="18"/>
      <c r="UCG2" s="18"/>
      <c r="UCH2" s="18"/>
      <c r="UCI2" s="18"/>
      <c r="UCJ2" s="18"/>
      <c r="UCK2" s="18"/>
      <c r="UCL2" s="18"/>
      <c r="UCM2" s="18"/>
      <c r="UCN2" s="18"/>
      <c r="UCO2" s="18"/>
      <c r="UCP2" s="18"/>
      <c r="UCQ2" s="18"/>
      <c r="UCR2" s="18"/>
      <c r="UCS2" s="18"/>
      <c r="UCT2" s="18"/>
      <c r="UCU2" s="18"/>
      <c r="UCV2" s="18"/>
      <c r="UCW2" s="18"/>
      <c r="UCX2" s="18"/>
      <c r="UCY2" s="18"/>
      <c r="UCZ2" s="18"/>
      <c r="UDA2" s="18"/>
      <c r="UDB2" s="18"/>
      <c r="UDC2" s="18"/>
      <c r="UDD2" s="18"/>
      <c r="UDE2" s="18"/>
      <c r="UDF2" s="18"/>
      <c r="UDG2" s="18"/>
      <c r="UDH2" s="18"/>
      <c r="UDI2" s="18"/>
      <c r="UDJ2" s="18"/>
      <c r="UDK2" s="18"/>
      <c r="UDL2" s="18"/>
      <c r="UDM2" s="18"/>
      <c r="UDN2" s="18"/>
      <c r="UDO2" s="18"/>
      <c r="UDP2" s="18"/>
      <c r="UDQ2" s="18"/>
      <c r="UDR2" s="18"/>
      <c r="UDS2" s="18"/>
      <c r="UDT2" s="18"/>
      <c r="UDU2" s="18"/>
      <c r="UDV2" s="18"/>
      <c r="UDW2" s="18"/>
      <c r="UDX2" s="18"/>
      <c r="UDY2" s="18"/>
      <c r="UDZ2" s="18"/>
      <c r="UEA2" s="18"/>
      <c r="UEB2" s="18"/>
      <c r="UEC2" s="18"/>
      <c r="UED2" s="18"/>
      <c r="UEE2" s="18"/>
      <c r="UEF2" s="18"/>
      <c r="UEG2" s="18"/>
      <c r="UEH2" s="18"/>
      <c r="UEI2" s="18"/>
      <c r="UEJ2" s="18"/>
      <c r="UEK2" s="18"/>
      <c r="UEL2" s="18"/>
      <c r="UEM2" s="18"/>
      <c r="UEN2" s="18"/>
      <c r="UEO2" s="18"/>
      <c r="UEP2" s="18"/>
      <c r="UEQ2" s="18"/>
      <c r="UER2" s="18"/>
      <c r="UES2" s="18"/>
      <c r="UET2" s="18"/>
      <c r="UEU2" s="18"/>
      <c r="UEV2" s="18"/>
      <c r="UEW2" s="18"/>
      <c r="UEX2" s="18"/>
      <c r="UEY2" s="18"/>
      <c r="UEZ2" s="18"/>
      <c r="UFA2" s="18"/>
      <c r="UFB2" s="18"/>
      <c r="UFC2" s="18"/>
      <c r="UFD2" s="18"/>
      <c r="UFE2" s="18"/>
      <c r="UFF2" s="18"/>
      <c r="UFG2" s="18"/>
      <c r="UFH2" s="18"/>
      <c r="UFI2" s="18"/>
      <c r="UFJ2" s="18"/>
      <c r="UFK2" s="18"/>
      <c r="UFL2" s="18"/>
      <c r="UFM2" s="18"/>
      <c r="UFN2" s="18"/>
      <c r="UFO2" s="18"/>
      <c r="UFP2" s="18"/>
      <c r="UFQ2" s="18"/>
      <c r="UFR2" s="18"/>
      <c r="UFS2" s="18"/>
      <c r="UFT2" s="18"/>
      <c r="UFU2" s="18"/>
      <c r="UFV2" s="18"/>
      <c r="UFW2" s="18"/>
      <c r="UFX2" s="18"/>
      <c r="UFY2" s="18"/>
      <c r="UFZ2" s="18"/>
      <c r="UGA2" s="18"/>
      <c r="UGB2" s="18"/>
      <c r="UGC2" s="18"/>
      <c r="UGD2" s="18"/>
      <c r="UGE2" s="18"/>
      <c r="UGF2" s="18"/>
      <c r="UGG2" s="18"/>
      <c r="UGH2" s="18"/>
      <c r="UGI2" s="18"/>
      <c r="UGJ2" s="18"/>
      <c r="UGK2" s="18"/>
      <c r="UGL2" s="18"/>
      <c r="UGM2" s="18"/>
      <c r="UGN2" s="18"/>
      <c r="UGO2" s="18"/>
      <c r="UGP2" s="18"/>
      <c r="UGQ2" s="18"/>
      <c r="UGR2" s="18"/>
      <c r="UGS2" s="18"/>
      <c r="UGT2" s="18"/>
      <c r="UGU2" s="18"/>
      <c r="UGV2" s="18"/>
      <c r="UGW2" s="18"/>
      <c r="UGX2" s="18"/>
      <c r="UGY2" s="18"/>
      <c r="UGZ2" s="18"/>
      <c r="UHA2" s="18"/>
      <c r="UHB2" s="18"/>
      <c r="UHC2" s="18"/>
      <c r="UHD2" s="18"/>
      <c r="UHE2" s="18"/>
      <c r="UHF2" s="18"/>
      <c r="UHG2" s="18"/>
      <c r="UHH2" s="18"/>
      <c r="UHI2" s="18"/>
      <c r="UHJ2" s="18"/>
      <c r="UHK2" s="18"/>
      <c r="UHL2" s="18"/>
      <c r="UHM2" s="18"/>
      <c r="UHN2" s="18"/>
      <c r="UHO2" s="18"/>
      <c r="UHP2" s="18"/>
      <c r="UHQ2" s="18"/>
      <c r="UHR2" s="18"/>
      <c r="UHS2" s="18"/>
      <c r="UHT2" s="18"/>
      <c r="UHU2" s="18"/>
      <c r="UHV2" s="18"/>
      <c r="UHW2" s="18"/>
      <c r="UHX2" s="18"/>
      <c r="UHY2" s="18"/>
      <c r="UHZ2" s="18"/>
      <c r="UIA2" s="18"/>
      <c r="UIB2" s="18"/>
      <c r="UIC2" s="18"/>
      <c r="UID2" s="18"/>
      <c r="UIE2" s="18"/>
      <c r="UIF2" s="18"/>
      <c r="UIG2" s="18"/>
      <c r="UIH2" s="18"/>
      <c r="UII2" s="18"/>
      <c r="UIJ2" s="18"/>
      <c r="UIK2" s="18"/>
      <c r="UIL2" s="18"/>
      <c r="UIM2" s="18"/>
      <c r="UIN2" s="18"/>
      <c r="UIO2" s="18"/>
      <c r="UIP2" s="18"/>
      <c r="UIQ2" s="18"/>
      <c r="UIR2" s="18"/>
      <c r="UIS2" s="18"/>
      <c r="UIT2" s="18"/>
      <c r="UIU2" s="18"/>
      <c r="UIV2" s="18"/>
      <c r="UIW2" s="18"/>
      <c r="UIX2" s="18"/>
      <c r="UIY2" s="18"/>
      <c r="UIZ2" s="18"/>
      <c r="UJA2" s="18"/>
      <c r="UJB2" s="18"/>
      <c r="UJC2" s="18"/>
      <c r="UJD2" s="18"/>
      <c r="UJE2" s="18"/>
      <c r="UJF2" s="18"/>
      <c r="UJG2" s="18"/>
      <c r="UJH2" s="18"/>
      <c r="UJI2" s="18"/>
      <c r="UJJ2" s="18"/>
      <c r="UJK2" s="18"/>
      <c r="UJL2" s="18"/>
      <c r="UJM2" s="18"/>
      <c r="UJN2" s="18"/>
      <c r="UJO2" s="18"/>
      <c r="UJP2" s="18"/>
      <c r="UJQ2" s="18"/>
      <c r="UJR2" s="18"/>
      <c r="UJS2" s="18"/>
      <c r="UJT2" s="18"/>
      <c r="UJU2" s="18"/>
      <c r="UJV2" s="18"/>
      <c r="UJW2" s="18"/>
      <c r="UJX2" s="18"/>
      <c r="UJY2" s="18"/>
      <c r="UJZ2" s="18"/>
      <c r="UKA2" s="18"/>
      <c r="UKB2" s="18"/>
      <c r="UKC2" s="18"/>
      <c r="UKD2" s="18"/>
      <c r="UKE2" s="18"/>
      <c r="UKF2" s="18"/>
      <c r="UKG2" s="18"/>
      <c r="UKH2" s="18"/>
      <c r="UKI2" s="18"/>
      <c r="UKJ2" s="18"/>
      <c r="UKK2" s="18"/>
      <c r="UKL2" s="18"/>
      <c r="UKM2" s="18"/>
      <c r="UKN2" s="18"/>
      <c r="UKO2" s="18"/>
      <c r="UKP2" s="18"/>
      <c r="UKQ2" s="18"/>
      <c r="UKR2" s="18"/>
      <c r="UKS2" s="18"/>
      <c r="UKT2" s="18"/>
      <c r="UKU2" s="18"/>
      <c r="UKV2" s="18"/>
      <c r="UKW2" s="18"/>
      <c r="UKX2" s="18"/>
      <c r="UKY2" s="18"/>
      <c r="UKZ2" s="18"/>
      <c r="ULA2" s="18"/>
      <c r="ULB2" s="18"/>
      <c r="ULC2" s="18"/>
      <c r="ULD2" s="18"/>
      <c r="ULE2" s="18"/>
      <c r="ULF2" s="18"/>
      <c r="ULG2" s="18"/>
      <c r="ULH2" s="18"/>
      <c r="ULI2" s="18"/>
      <c r="ULJ2" s="18"/>
      <c r="ULK2" s="18"/>
      <c r="ULL2" s="18"/>
      <c r="ULM2" s="18"/>
      <c r="ULN2" s="18"/>
      <c r="ULO2" s="18"/>
      <c r="ULP2" s="18"/>
      <c r="ULQ2" s="18"/>
      <c r="ULR2" s="18"/>
      <c r="ULS2" s="18"/>
      <c r="ULT2" s="18"/>
      <c r="ULU2" s="18"/>
      <c r="ULV2" s="18"/>
      <c r="ULW2" s="18"/>
      <c r="ULX2" s="18"/>
      <c r="ULY2" s="18"/>
      <c r="ULZ2" s="18"/>
      <c r="UMA2" s="18"/>
      <c r="UMB2" s="18"/>
      <c r="UMC2" s="18"/>
      <c r="UMD2" s="18"/>
      <c r="UME2" s="18"/>
      <c r="UMF2" s="18"/>
      <c r="UMG2" s="18"/>
      <c r="UMH2" s="18"/>
      <c r="UMI2" s="18"/>
      <c r="UMJ2" s="18"/>
      <c r="UMK2" s="18"/>
      <c r="UML2" s="18"/>
      <c r="UMM2" s="18"/>
      <c r="UMN2" s="18"/>
      <c r="UMO2" s="18"/>
      <c r="UMP2" s="18"/>
      <c r="UMQ2" s="18"/>
      <c r="UMR2" s="18"/>
      <c r="UMS2" s="18"/>
      <c r="UMT2" s="18"/>
      <c r="UMU2" s="18"/>
      <c r="UMV2" s="18"/>
      <c r="UMW2" s="18"/>
      <c r="UMX2" s="18"/>
      <c r="UMY2" s="18"/>
      <c r="UMZ2" s="18"/>
      <c r="UNA2" s="18"/>
      <c r="UNB2" s="18"/>
      <c r="UNC2" s="18"/>
      <c r="UND2" s="18"/>
      <c r="UNE2" s="18"/>
      <c r="UNF2" s="18"/>
      <c r="UNG2" s="18"/>
      <c r="UNH2" s="18"/>
      <c r="UNI2" s="18"/>
      <c r="UNJ2" s="18"/>
      <c r="UNK2" s="18"/>
      <c r="UNL2" s="18"/>
      <c r="UNM2" s="18"/>
      <c r="UNN2" s="18"/>
      <c r="UNO2" s="18"/>
      <c r="UNP2" s="18"/>
      <c r="UNQ2" s="18"/>
      <c r="UNR2" s="18"/>
      <c r="UNS2" s="18"/>
      <c r="UNT2" s="18"/>
      <c r="UNU2" s="18"/>
      <c r="UNV2" s="18"/>
      <c r="UNW2" s="18"/>
      <c r="UNX2" s="18"/>
      <c r="UNY2" s="18"/>
      <c r="UNZ2" s="18"/>
      <c r="UOA2" s="18"/>
      <c r="UOB2" s="18"/>
      <c r="UOC2" s="18"/>
      <c r="UOD2" s="18"/>
      <c r="UOE2" s="18"/>
      <c r="UOF2" s="18"/>
      <c r="UOG2" s="18"/>
      <c r="UOH2" s="18"/>
      <c r="UOI2" s="18"/>
      <c r="UOJ2" s="18"/>
      <c r="UOK2" s="18"/>
      <c r="UOL2" s="18"/>
      <c r="UOM2" s="18"/>
      <c r="UON2" s="18"/>
      <c r="UOO2" s="18"/>
      <c r="UOP2" s="18"/>
      <c r="UOQ2" s="18"/>
      <c r="UOR2" s="18"/>
      <c r="UOS2" s="18"/>
      <c r="UOT2" s="18"/>
      <c r="UOU2" s="18"/>
      <c r="UOV2" s="18"/>
      <c r="UOW2" s="18"/>
      <c r="UOX2" s="18"/>
      <c r="UOY2" s="18"/>
      <c r="UOZ2" s="18"/>
      <c r="UPA2" s="18"/>
      <c r="UPB2" s="18"/>
      <c r="UPC2" s="18"/>
      <c r="UPD2" s="18"/>
      <c r="UPE2" s="18"/>
      <c r="UPF2" s="18"/>
      <c r="UPG2" s="18"/>
      <c r="UPH2" s="18"/>
      <c r="UPI2" s="18"/>
      <c r="UPJ2" s="18"/>
      <c r="UPK2" s="18"/>
      <c r="UPL2" s="18"/>
      <c r="UPM2" s="18"/>
      <c r="UPN2" s="18"/>
      <c r="UPO2" s="18"/>
      <c r="UPP2" s="18"/>
      <c r="UPQ2" s="18"/>
      <c r="UPR2" s="18"/>
      <c r="UPS2" s="18"/>
      <c r="UPT2" s="18"/>
      <c r="UPU2" s="18"/>
      <c r="UPV2" s="18"/>
      <c r="UPW2" s="18"/>
      <c r="UPX2" s="18"/>
      <c r="UPY2" s="18"/>
      <c r="UPZ2" s="18"/>
      <c r="UQA2" s="18"/>
      <c r="UQB2" s="18"/>
      <c r="UQC2" s="18"/>
      <c r="UQD2" s="18"/>
      <c r="UQE2" s="18"/>
      <c r="UQF2" s="18"/>
      <c r="UQG2" s="18"/>
      <c r="UQH2" s="18"/>
      <c r="UQI2" s="18"/>
      <c r="UQJ2" s="18"/>
      <c r="UQK2" s="18"/>
      <c r="UQL2" s="18"/>
      <c r="UQM2" s="18"/>
      <c r="UQN2" s="18"/>
      <c r="UQO2" s="18"/>
      <c r="UQP2" s="18"/>
      <c r="UQQ2" s="18"/>
      <c r="UQR2" s="18"/>
      <c r="UQS2" s="18"/>
      <c r="UQT2" s="18"/>
      <c r="UQU2" s="18"/>
      <c r="UQV2" s="18"/>
      <c r="UQW2" s="18"/>
      <c r="UQX2" s="18"/>
      <c r="UQY2" s="18"/>
      <c r="UQZ2" s="18"/>
      <c r="URA2" s="18"/>
      <c r="URB2" s="18"/>
      <c r="URC2" s="18"/>
      <c r="URD2" s="18"/>
      <c r="URE2" s="18"/>
      <c r="URF2" s="18"/>
      <c r="URG2" s="18"/>
      <c r="URH2" s="18"/>
      <c r="URI2" s="18"/>
      <c r="URJ2" s="18"/>
      <c r="URK2" s="18"/>
      <c r="URL2" s="18"/>
      <c r="URM2" s="18"/>
      <c r="URN2" s="18"/>
      <c r="URO2" s="18"/>
      <c r="URP2" s="18"/>
      <c r="URQ2" s="18"/>
      <c r="URR2" s="18"/>
      <c r="URS2" s="18"/>
      <c r="URT2" s="18"/>
      <c r="URU2" s="18"/>
      <c r="URV2" s="18"/>
      <c r="URW2" s="18"/>
      <c r="URX2" s="18"/>
      <c r="URY2" s="18"/>
      <c r="URZ2" s="18"/>
      <c r="USA2" s="18"/>
      <c r="USB2" s="18"/>
      <c r="USC2" s="18"/>
      <c r="USD2" s="18"/>
      <c r="USE2" s="18"/>
      <c r="USF2" s="18"/>
      <c r="USG2" s="18"/>
      <c r="USH2" s="18"/>
      <c r="USI2" s="18"/>
      <c r="USJ2" s="18"/>
      <c r="USK2" s="18"/>
      <c r="USL2" s="18"/>
      <c r="USM2" s="18"/>
      <c r="USN2" s="18"/>
      <c r="USO2" s="18"/>
      <c r="USP2" s="18"/>
      <c r="USQ2" s="18"/>
      <c r="USR2" s="18"/>
      <c r="USS2" s="18"/>
      <c r="UST2" s="18"/>
      <c r="USU2" s="18"/>
      <c r="USV2" s="18"/>
      <c r="USW2" s="18"/>
      <c r="USX2" s="18"/>
      <c r="USY2" s="18"/>
      <c r="USZ2" s="18"/>
      <c r="UTA2" s="18"/>
      <c r="UTB2" s="18"/>
      <c r="UTC2" s="18"/>
      <c r="UTD2" s="18"/>
      <c r="UTE2" s="18"/>
      <c r="UTF2" s="18"/>
      <c r="UTG2" s="18"/>
      <c r="UTH2" s="18"/>
      <c r="UTI2" s="18"/>
      <c r="UTJ2" s="18"/>
      <c r="UTK2" s="18"/>
      <c r="UTL2" s="18"/>
      <c r="UTM2" s="18"/>
      <c r="UTN2" s="18"/>
      <c r="UTO2" s="18"/>
      <c r="UTP2" s="18"/>
      <c r="UTQ2" s="18"/>
      <c r="UTR2" s="18"/>
      <c r="UTS2" s="18"/>
      <c r="UTT2" s="18"/>
      <c r="UTU2" s="18"/>
      <c r="UTV2" s="18"/>
      <c r="UTW2" s="18"/>
      <c r="UTX2" s="18"/>
      <c r="UTY2" s="18"/>
      <c r="UTZ2" s="18"/>
      <c r="UUA2" s="18"/>
      <c r="UUB2" s="18"/>
      <c r="UUC2" s="18"/>
      <c r="UUD2" s="18"/>
      <c r="UUE2" s="18"/>
      <c r="UUF2" s="18"/>
      <c r="UUG2" s="18"/>
      <c r="UUH2" s="18"/>
      <c r="UUI2" s="18"/>
      <c r="UUJ2" s="18"/>
      <c r="UUK2" s="18"/>
      <c r="UUL2" s="18"/>
      <c r="UUM2" s="18"/>
      <c r="UUN2" s="18"/>
      <c r="UUO2" s="18"/>
      <c r="UUP2" s="18"/>
      <c r="UUQ2" s="18"/>
      <c r="UUR2" s="18"/>
      <c r="UUS2" s="18"/>
      <c r="UUT2" s="18"/>
      <c r="UUU2" s="18"/>
      <c r="UUV2" s="18"/>
      <c r="UUW2" s="18"/>
      <c r="UUX2" s="18"/>
      <c r="UUY2" s="18"/>
      <c r="UUZ2" s="18"/>
      <c r="UVA2" s="18"/>
      <c r="UVB2" s="18"/>
      <c r="UVC2" s="18"/>
      <c r="UVD2" s="18"/>
      <c r="UVE2" s="18"/>
      <c r="UVF2" s="18"/>
      <c r="UVG2" s="18"/>
      <c r="UVH2" s="18"/>
      <c r="UVI2" s="18"/>
      <c r="UVJ2" s="18"/>
      <c r="UVK2" s="18"/>
      <c r="UVL2" s="18"/>
      <c r="UVM2" s="18"/>
      <c r="UVN2" s="18"/>
      <c r="UVO2" s="18"/>
      <c r="UVP2" s="18"/>
      <c r="UVQ2" s="18"/>
      <c r="UVR2" s="18"/>
      <c r="UVS2" s="18"/>
      <c r="UVT2" s="18"/>
      <c r="UVU2" s="18"/>
      <c r="UVV2" s="18"/>
      <c r="UVW2" s="18"/>
      <c r="UVX2" s="18"/>
      <c r="UVY2" s="18"/>
      <c r="UVZ2" s="18"/>
      <c r="UWA2" s="18"/>
      <c r="UWB2" s="18"/>
      <c r="UWC2" s="18"/>
      <c r="UWD2" s="18"/>
      <c r="UWE2" s="18"/>
      <c r="UWF2" s="18"/>
      <c r="UWG2" s="18"/>
      <c r="UWH2" s="18"/>
      <c r="UWI2" s="18"/>
      <c r="UWJ2" s="18"/>
      <c r="UWK2" s="18"/>
      <c r="UWL2" s="18"/>
      <c r="UWM2" s="18"/>
      <c r="UWN2" s="18"/>
      <c r="UWO2" s="18"/>
      <c r="UWP2" s="18"/>
      <c r="UWQ2" s="18"/>
      <c r="UWR2" s="18"/>
      <c r="UWS2" s="18"/>
      <c r="UWT2" s="18"/>
      <c r="UWU2" s="18"/>
      <c r="UWV2" s="18"/>
      <c r="UWW2" s="18"/>
      <c r="UWX2" s="18"/>
      <c r="UWY2" s="18"/>
      <c r="UWZ2" s="18"/>
      <c r="UXA2" s="18"/>
      <c r="UXB2" s="18"/>
      <c r="UXC2" s="18"/>
      <c r="UXD2" s="18"/>
      <c r="UXE2" s="18"/>
      <c r="UXF2" s="18"/>
      <c r="UXG2" s="18"/>
      <c r="UXH2" s="18"/>
      <c r="UXI2" s="18"/>
      <c r="UXJ2" s="18"/>
      <c r="UXK2" s="18"/>
      <c r="UXL2" s="18"/>
      <c r="UXM2" s="18"/>
      <c r="UXN2" s="18"/>
      <c r="UXO2" s="18"/>
      <c r="UXP2" s="18"/>
      <c r="UXQ2" s="18"/>
      <c r="UXR2" s="18"/>
      <c r="UXS2" s="18"/>
      <c r="UXT2" s="18"/>
      <c r="UXU2" s="18"/>
      <c r="UXV2" s="18"/>
      <c r="UXW2" s="18"/>
      <c r="UXX2" s="18"/>
      <c r="UXY2" s="18"/>
      <c r="UXZ2" s="18"/>
      <c r="UYA2" s="18"/>
      <c r="UYB2" s="18"/>
      <c r="UYC2" s="18"/>
      <c r="UYD2" s="18"/>
      <c r="UYE2" s="18"/>
      <c r="UYF2" s="18"/>
      <c r="UYG2" s="18"/>
      <c r="UYH2" s="18"/>
      <c r="UYI2" s="18"/>
      <c r="UYJ2" s="18"/>
      <c r="UYK2" s="18"/>
      <c r="UYL2" s="18"/>
      <c r="UYM2" s="18"/>
      <c r="UYN2" s="18"/>
      <c r="UYO2" s="18"/>
      <c r="UYP2" s="18"/>
      <c r="UYQ2" s="18"/>
      <c r="UYR2" s="18"/>
      <c r="UYS2" s="18"/>
      <c r="UYT2" s="18"/>
      <c r="UYU2" s="18"/>
      <c r="UYV2" s="18"/>
      <c r="UYW2" s="18"/>
      <c r="UYX2" s="18"/>
      <c r="UYY2" s="18"/>
      <c r="UYZ2" s="18"/>
      <c r="UZA2" s="18"/>
      <c r="UZB2" s="18"/>
      <c r="UZC2" s="18"/>
      <c r="UZD2" s="18"/>
      <c r="UZE2" s="18"/>
      <c r="UZF2" s="18"/>
      <c r="UZG2" s="18"/>
      <c r="UZH2" s="18"/>
      <c r="UZI2" s="18"/>
      <c r="UZJ2" s="18"/>
      <c r="UZK2" s="18"/>
      <c r="UZL2" s="18"/>
      <c r="UZM2" s="18"/>
      <c r="UZN2" s="18"/>
      <c r="UZO2" s="18"/>
      <c r="UZP2" s="18"/>
      <c r="UZQ2" s="18"/>
      <c r="UZR2" s="18"/>
      <c r="UZS2" s="18"/>
      <c r="UZT2" s="18"/>
      <c r="UZU2" s="18"/>
      <c r="UZV2" s="18"/>
      <c r="UZW2" s="18"/>
      <c r="UZX2" s="18"/>
      <c r="UZY2" s="18"/>
      <c r="UZZ2" s="18"/>
      <c r="VAA2" s="18"/>
      <c r="VAB2" s="18"/>
      <c r="VAC2" s="18"/>
      <c r="VAD2" s="18"/>
      <c r="VAE2" s="18"/>
      <c r="VAF2" s="18"/>
      <c r="VAG2" s="18"/>
      <c r="VAH2" s="18"/>
      <c r="VAI2" s="18"/>
      <c r="VAJ2" s="18"/>
      <c r="VAK2" s="18"/>
      <c r="VAL2" s="18"/>
      <c r="VAM2" s="18"/>
      <c r="VAN2" s="18"/>
      <c r="VAO2" s="18"/>
      <c r="VAP2" s="18"/>
      <c r="VAQ2" s="18"/>
      <c r="VAR2" s="18"/>
      <c r="VAS2" s="18"/>
      <c r="VAT2" s="18"/>
      <c r="VAU2" s="18"/>
      <c r="VAV2" s="18"/>
      <c r="VAW2" s="18"/>
      <c r="VAX2" s="18"/>
      <c r="VAY2" s="18"/>
      <c r="VAZ2" s="18"/>
      <c r="VBA2" s="18"/>
      <c r="VBB2" s="18"/>
      <c r="VBC2" s="18"/>
      <c r="VBD2" s="18"/>
      <c r="VBE2" s="18"/>
      <c r="VBF2" s="18"/>
      <c r="VBG2" s="18"/>
      <c r="VBH2" s="18"/>
      <c r="VBI2" s="18"/>
      <c r="VBJ2" s="18"/>
      <c r="VBK2" s="18"/>
      <c r="VBL2" s="18"/>
      <c r="VBM2" s="18"/>
      <c r="VBN2" s="18"/>
      <c r="VBO2" s="18"/>
      <c r="VBP2" s="18"/>
      <c r="VBQ2" s="18"/>
      <c r="VBR2" s="18"/>
      <c r="VBS2" s="18"/>
      <c r="VBT2" s="18"/>
      <c r="VBU2" s="18"/>
      <c r="VBV2" s="18"/>
      <c r="VBW2" s="18"/>
      <c r="VBX2" s="18"/>
      <c r="VBY2" s="18"/>
      <c r="VBZ2" s="18"/>
      <c r="VCA2" s="18"/>
      <c r="VCB2" s="18"/>
      <c r="VCC2" s="18"/>
      <c r="VCD2" s="18"/>
      <c r="VCE2" s="18"/>
      <c r="VCF2" s="18"/>
      <c r="VCG2" s="18"/>
      <c r="VCH2" s="18"/>
      <c r="VCI2" s="18"/>
      <c r="VCJ2" s="18"/>
      <c r="VCK2" s="18"/>
      <c r="VCL2" s="18"/>
      <c r="VCM2" s="18"/>
      <c r="VCN2" s="18"/>
      <c r="VCO2" s="18"/>
      <c r="VCP2" s="18"/>
      <c r="VCQ2" s="18"/>
      <c r="VCR2" s="18"/>
      <c r="VCS2" s="18"/>
      <c r="VCT2" s="18"/>
      <c r="VCU2" s="18"/>
      <c r="VCV2" s="18"/>
      <c r="VCW2" s="18"/>
      <c r="VCX2" s="18"/>
      <c r="VCY2" s="18"/>
      <c r="VCZ2" s="18"/>
      <c r="VDA2" s="18"/>
      <c r="VDB2" s="18"/>
      <c r="VDC2" s="18"/>
      <c r="VDD2" s="18"/>
      <c r="VDE2" s="18"/>
      <c r="VDF2" s="18"/>
      <c r="VDG2" s="18"/>
      <c r="VDH2" s="18"/>
      <c r="VDI2" s="18"/>
      <c r="VDJ2" s="18"/>
      <c r="VDK2" s="18"/>
      <c r="VDL2" s="18"/>
      <c r="VDM2" s="18"/>
      <c r="VDN2" s="18"/>
      <c r="VDO2" s="18"/>
      <c r="VDP2" s="18"/>
      <c r="VDQ2" s="18"/>
      <c r="VDR2" s="18"/>
      <c r="VDS2" s="18"/>
      <c r="VDT2" s="18"/>
      <c r="VDU2" s="18"/>
      <c r="VDV2" s="18"/>
      <c r="VDW2" s="18"/>
      <c r="VDX2" s="18"/>
      <c r="VDY2" s="18"/>
      <c r="VDZ2" s="18"/>
      <c r="VEA2" s="18"/>
      <c r="VEB2" s="18"/>
      <c r="VEC2" s="18"/>
      <c r="VED2" s="18"/>
      <c r="VEE2" s="18"/>
      <c r="VEF2" s="18"/>
      <c r="VEG2" s="18"/>
      <c r="VEH2" s="18"/>
      <c r="VEI2" s="18"/>
      <c r="VEJ2" s="18"/>
      <c r="VEK2" s="18"/>
      <c r="VEL2" s="18"/>
      <c r="VEM2" s="18"/>
      <c r="VEN2" s="18"/>
      <c r="VEO2" s="18"/>
      <c r="VEP2" s="18"/>
      <c r="VEQ2" s="18"/>
      <c r="VER2" s="18"/>
      <c r="VES2" s="18"/>
      <c r="VET2" s="18"/>
      <c r="VEU2" s="18"/>
      <c r="VEV2" s="18"/>
      <c r="VEW2" s="18"/>
      <c r="VEX2" s="18"/>
      <c r="VEY2" s="18"/>
      <c r="VEZ2" s="18"/>
      <c r="VFA2" s="18"/>
      <c r="VFB2" s="18"/>
      <c r="VFC2" s="18"/>
      <c r="VFD2" s="18"/>
      <c r="VFE2" s="18"/>
      <c r="VFF2" s="18"/>
      <c r="VFG2" s="18"/>
      <c r="VFH2" s="18"/>
      <c r="VFI2" s="18"/>
      <c r="VFJ2" s="18"/>
      <c r="VFK2" s="18"/>
      <c r="VFL2" s="18"/>
      <c r="VFM2" s="18"/>
      <c r="VFN2" s="18"/>
      <c r="VFO2" s="18"/>
      <c r="VFP2" s="18"/>
      <c r="VFQ2" s="18"/>
      <c r="VFR2" s="18"/>
      <c r="VFS2" s="18"/>
      <c r="VFT2" s="18"/>
      <c r="VFU2" s="18"/>
      <c r="VFV2" s="18"/>
      <c r="VFW2" s="18"/>
      <c r="VFX2" s="18"/>
      <c r="VFY2" s="18"/>
      <c r="VFZ2" s="18"/>
      <c r="VGA2" s="18"/>
      <c r="VGB2" s="18"/>
      <c r="VGC2" s="18"/>
      <c r="VGD2" s="18"/>
      <c r="VGE2" s="18"/>
      <c r="VGF2" s="18"/>
      <c r="VGG2" s="18"/>
      <c r="VGH2" s="18"/>
      <c r="VGI2" s="18"/>
      <c r="VGJ2" s="18"/>
      <c r="VGK2" s="18"/>
      <c r="VGL2" s="18"/>
      <c r="VGM2" s="18"/>
      <c r="VGN2" s="18"/>
      <c r="VGO2" s="18"/>
      <c r="VGP2" s="18"/>
      <c r="VGQ2" s="18"/>
      <c r="VGR2" s="18"/>
      <c r="VGS2" s="18"/>
      <c r="VGT2" s="18"/>
      <c r="VGU2" s="18"/>
      <c r="VGV2" s="18"/>
      <c r="VGW2" s="18"/>
      <c r="VGX2" s="18"/>
      <c r="VGY2" s="18"/>
      <c r="VGZ2" s="18"/>
      <c r="VHA2" s="18"/>
      <c r="VHB2" s="18"/>
      <c r="VHC2" s="18"/>
      <c r="VHD2" s="18"/>
      <c r="VHE2" s="18"/>
      <c r="VHF2" s="18"/>
      <c r="VHG2" s="18"/>
      <c r="VHH2" s="18"/>
      <c r="VHI2" s="18"/>
      <c r="VHJ2" s="18"/>
      <c r="VHK2" s="18"/>
      <c r="VHL2" s="18"/>
      <c r="VHM2" s="18"/>
      <c r="VHN2" s="18"/>
      <c r="VHO2" s="18"/>
      <c r="VHP2" s="18"/>
      <c r="VHQ2" s="18"/>
      <c r="VHR2" s="18"/>
      <c r="VHS2" s="18"/>
      <c r="VHT2" s="18"/>
      <c r="VHU2" s="18"/>
      <c r="VHV2" s="18"/>
      <c r="VHW2" s="18"/>
      <c r="VHX2" s="18"/>
      <c r="VHY2" s="18"/>
      <c r="VHZ2" s="18"/>
      <c r="VIA2" s="18"/>
      <c r="VIB2" s="18"/>
      <c r="VIC2" s="18"/>
      <c r="VID2" s="18"/>
      <c r="VIE2" s="18"/>
      <c r="VIF2" s="18"/>
      <c r="VIG2" s="18"/>
      <c r="VIH2" s="18"/>
      <c r="VII2" s="18"/>
      <c r="VIJ2" s="18"/>
      <c r="VIK2" s="18"/>
      <c r="VIL2" s="18"/>
      <c r="VIM2" s="18"/>
      <c r="VIN2" s="18"/>
      <c r="VIO2" s="18"/>
      <c r="VIP2" s="18"/>
      <c r="VIQ2" s="18"/>
      <c r="VIR2" s="18"/>
      <c r="VIS2" s="18"/>
      <c r="VIT2" s="18"/>
      <c r="VIU2" s="18"/>
      <c r="VIV2" s="18"/>
      <c r="VIW2" s="18"/>
      <c r="VIX2" s="18"/>
      <c r="VIY2" s="18"/>
      <c r="VIZ2" s="18"/>
      <c r="VJA2" s="18"/>
      <c r="VJB2" s="18"/>
      <c r="VJC2" s="18"/>
      <c r="VJD2" s="18"/>
      <c r="VJE2" s="18"/>
      <c r="VJF2" s="18"/>
      <c r="VJG2" s="18"/>
      <c r="VJH2" s="18"/>
      <c r="VJI2" s="18"/>
      <c r="VJJ2" s="18"/>
      <c r="VJK2" s="18"/>
      <c r="VJL2" s="18"/>
      <c r="VJM2" s="18"/>
      <c r="VJN2" s="18"/>
      <c r="VJO2" s="18"/>
      <c r="VJP2" s="18"/>
      <c r="VJQ2" s="18"/>
      <c r="VJR2" s="18"/>
      <c r="VJS2" s="18"/>
      <c r="VJT2" s="18"/>
      <c r="VJU2" s="18"/>
      <c r="VJV2" s="18"/>
      <c r="VJW2" s="18"/>
      <c r="VJX2" s="18"/>
      <c r="VJY2" s="18"/>
      <c r="VJZ2" s="18"/>
      <c r="VKA2" s="18"/>
      <c r="VKB2" s="18"/>
      <c r="VKC2" s="18"/>
      <c r="VKD2" s="18"/>
      <c r="VKE2" s="18"/>
      <c r="VKF2" s="18"/>
      <c r="VKG2" s="18"/>
      <c r="VKH2" s="18"/>
      <c r="VKI2" s="18"/>
      <c r="VKJ2" s="18"/>
      <c r="VKK2" s="18"/>
      <c r="VKL2" s="18"/>
      <c r="VKM2" s="18"/>
      <c r="VKN2" s="18"/>
      <c r="VKO2" s="18"/>
      <c r="VKP2" s="18"/>
      <c r="VKQ2" s="18"/>
      <c r="VKR2" s="18"/>
      <c r="VKS2" s="18"/>
      <c r="VKT2" s="18"/>
      <c r="VKU2" s="18"/>
      <c r="VKV2" s="18"/>
      <c r="VKW2" s="18"/>
      <c r="VKX2" s="18"/>
      <c r="VKY2" s="18"/>
      <c r="VKZ2" s="18"/>
      <c r="VLA2" s="18"/>
      <c r="VLB2" s="18"/>
      <c r="VLC2" s="18"/>
      <c r="VLD2" s="18"/>
      <c r="VLE2" s="18"/>
      <c r="VLF2" s="18"/>
      <c r="VLG2" s="18"/>
      <c r="VLH2" s="18"/>
      <c r="VLI2" s="18"/>
      <c r="VLJ2" s="18"/>
      <c r="VLK2" s="18"/>
      <c r="VLL2" s="18"/>
      <c r="VLM2" s="18"/>
      <c r="VLN2" s="18"/>
      <c r="VLO2" s="18"/>
      <c r="VLP2" s="18"/>
      <c r="VLQ2" s="18"/>
      <c r="VLR2" s="18"/>
      <c r="VLS2" s="18"/>
      <c r="VLT2" s="18"/>
      <c r="VLU2" s="18"/>
      <c r="VLV2" s="18"/>
      <c r="VLW2" s="18"/>
      <c r="VLX2" s="18"/>
      <c r="VLY2" s="18"/>
      <c r="VLZ2" s="18"/>
      <c r="VMA2" s="18"/>
      <c r="VMB2" s="18"/>
      <c r="VMC2" s="18"/>
      <c r="VMD2" s="18"/>
      <c r="VME2" s="18"/>
      <c r="VMF2" s="18"/>
      <c r="VMG2" s="18"/>
      <c r="VMH2" s="18"/>
      <c r="VMI2" s="18"/>
      <c r="VMJ2" s="18"/>
      <c r="VMK2" s="18"/>
      <c r="VML2" s="18"/>
      <c r="VMM2" s="18"/>
      <c r="VMN2" s="18"/>
      <c r="VMO2" s="18"/>
      <c r="VMP2" s="18"/>
      <c r="VMQ2" s="18"/>
      <c r="VMR2" s="18"/>
      <c r="VMS2" s="18"/>
      <c r="VMT2" s="18"/>
      <c r="VMU2" s="18"/>
      <c r="VMV2" s="18"/>
      <c r="VMW2" s="18"/>
      <c r="VMX2" s="18"/>
      <c r="VMY2" s="18"/>
      <c r="VMZ2" s="18"/>
      <c r="VNA2" s="18"/>
      <c r="VNB2" s="18"/>
      <c r="VNC2" s="18"/>
      <c r="VND2" s="18"/>
      <c r="VNE2" s="18"/>
      <c r="VNF2" s="18"/>
      <c r="VNG2" s="18"/>
      <c r="VNH2" s="18"/>
      <c r="VNI2" s="18"/>
      <c r="VNJ2" s="18"/>
      <c r="VNK2" s="18"/>
      <c r="VNL2" s="18"/>
      <c r="VNM2" s="18"/>
      <c r="VNN2" s="18"/>
      <c r="VNO2" s="18"/>
      <c r="VNP2" s="18"/>
      <c r="VNQ2" s="18"/>
      <c r="VNR2" s="18"/>
      <c r="VNS2" s="18"/>
      <c r="VNT2" s="18"/>
      <c r="VNU2" s="18"/>
      <c r="VNV2" s="18"/>
      <c r="VNW2" s="18"/>
      <c r="VNX2" s="18"/>
      <c r="VNY2" s="18"/>
      <c r="VNZ2" s="18"/>
      <c r="VOA2" s="18"/>
      <c r="VOB2" s="18"/>
      <c r="VOC2" s="18"/>
      <c r="VOD2" s="18"/>
      <c r="VOE2" s="18"/>
      <c r="VOF2" s="18"/>
      <c r="VOG2" s="18"/>
      <c r="VOH2" s="18"/>
      <c r="VOI2" s="18"/>
      <c r="VOJ2" s="18"/>
      <c r="VOK2" s="18"/>
      <c r="VOL2" s="18"/>
      <c r="VOM2" s="18"/>
      <c r="VON2" s="18"/>
      <c r="VOO2" s="18"/>
      <c r="VOP2" s="18"/>
      <c r="VOQ2" s="18"/>
      <c r="VOR2" s="18"/>
      <c r="VOS2" s="18"/>
      <c r="VOT2" s="18"/>
      <c r="VOU2" s="18"/>
      <c r="VOV2" s="18"/>
      <c r="VOW2" s="18"/>
      <c r="VOX2" s="18"/>
      <c r="VOY2" s="18"/>
      <c r="VOZ2" s="18"/>
      <c r="VPA2" s="18"/>
      <c r="VPB2" s="18"/>
      <c r="VPC2" s="18"/>
      <c r="VPD2" s="18"/>
      <c r="VPE2" s="18"/>
      <c r="VPF2" s="18"/>
      <c r="VPG2" s="18"/>
      <c r="VPH2" s="18"/>
      <c r="VPI2" s="18"/>
      <c r="VPJ2" s="18"/>
      <c r="VPK2" s="18"/>
      <c r="VPL2" s="18"/>
      <c r="VPM2" s="18"/>
      <c r="VPN2" s="18"/>
      <c r="VPO2" s="18"/>
      <c r="VPP2" s="18"/>
      <c r="VPQ2" s="18"/>
      <c r="VPR2" s="18"/>
      <c r="VPS2" s="18"/>
      <c r="VPT2" s="18"/>
      <c r="VPU2" s="18"/>
      <c r="VPV2" s="18"/>
      <c r="VPW2" s="18"/>
      <c r="VPX2" s="18"/>
      <c r="VPY2" s="18"/>
      <c r="VPZ2" s="18"/>
      <c r="VQA2" s="18"/>
      <c r="VQB2" s="18"/>
      <c r="VQC2" s="18"/>
      <c r="VQD2" s="18"/>
      <c r="VQE2" s="18"/>
      <c r="VQF2" s="18"/>
      <c r="VQG2" s="18"/>
      <c r="VQH2" s="18"/>
      <c r="VQI2" s="18"/>
      <c r="VQJ2" s="18"/>
      <c r="VQK2" s="18"/>
      <c r="VQL2" s="18"/>
      <c r="VQM2" s="18"/>
      <c r="VQN2" s="18"/>
      <c r="VQO2" s="18"/>
      <c r="VQP2" s="18"/>
      <c r="VQQ2" s="18"/>
      <c r="VQR2" s="18"/>
      <c r="VQS2" s="18"/>
      <c r="VQT2" s="18"/>
      <c r="VQU2" s="18"/>
      <c r="VQV2" s="18"/>
      <c r="VQW2" s="18"/>
      <c r="VQX2" s="18"/>
      <c r="VQY2" s="18"/>
      <c r="VQZ2" s="18"/>
      <c r="VRA2" s="18"/>
      <c r="VRB2" s="18"/>
      <c r="VRC2" s="18"/>
      <c r="VRD2" s="18"/>
      <c r="VRE2" s="18"/>
      <c r="VRF2" s="18"/>
      <c r="VRG2" s="18"/>
      <c r="VRH2" s="18"/>
      <c r="VRI2" s="18"/>
      <c r="VRJ2" s="18"/>
      <c r="VRK2" s="18"/>
      <c r="VRL2" s="18"/>
      <c r="VRM2" s="18"/>
      <c r="VRN2" s="18"/>
      <c r="VRO2" s="18"/>
      <c r="VRP2" s="18"/>
      <c r="VRQ2" s="18"/>
      <c r="VRR2" s="18"/>
      <c r="VRS2" s="18"/>
      <c r="VRT2" s="18"/>
      <c r="VRU2" s="18"/>
      <c r="VRV2" s="18"/>
      <c r="VRW2" s="18"/>
      <c r="VRX2" s="18"/>
      <c r="VRY2" s="18"/>
      <c r="VRZ2" s="18"/>
      <c r="VSA2" s="18"/>
      <c r="VSB2" s="18"/>
      <c r="VSC2" s="18"/>
      <c r="VSD2" s="18"/>
      <c r="VSE2" s="18"/>
      <c r="VSF2" s="18"/>
      <c r="VSG2" s="18"/>
      <c r="VSH2" s="18"/>
      <c r="VSI2" s="18"/>
      <c r="VSJ2" s="18"/>
      <c r="VSK2" s="18"/>
      <c r="VSL2" s="18"/>
      <c r="VSM2" s="18"/>
      <c r="VSN2" s="18"/>
      <c r="VSO2" s="18"/>
      <c r="VSP2" s="18"/>
      <c r="VSQ2" s="18"/>
      <c r="VSR2" s="18"/>
      <c r="VSS2" s="18"/>
      <c r="VST2" s="18"/>
      <c r="VSU2" s="18"/>
      <c r="VSV2" s="18"/>
      <c r="VSW2" s="18"/>
      <c r="VSX2" s="18"/>
      <c r="VSY2" s="18"/>
      <c r="VSZ2" s="18"/>
      <c r="VTA2" s="18"/>
      <c r="VTB2" s="18"/>
      <c r="VTC2" s="18"/>
      <c r="VTD2" s="18"/>
      <c r="VTE2" s="18"/>
      <c r="VTF2" s="18"/>
      <c r="VTG2" s="18"/>
      <c r="VTH2" s="18"/>
      <c r="VTI2" s="18"/>
      <c r="VTJ2" s="18"/>
      <c r="VTK2" s="18"/>
      <c r="VTL2" s="18"/>
      <c r="VTM2" s="18"/>
      <c r="VTN2" s="18"/>
      <c r="VTO2" s="18"/>
      <c r="VTP2" s="18"/>
      <c r="VTQ2" s="18"/>
      <c r="VTR2" s="18"/>
      <c r="VTS2" s="18"/>
      <c r="VTT2" s="18"/>
      <c r="VTU2" s="18"/>
      <c r="VTV2" s="18"/>
      <c r="VTW2" s="18"/>
      <c r="VTX2" s="18"/>
      <c r="VTY2" s="18"/>
      <c r="VTZ2" s="18"/>
      <c r="VUA2" s="18"/>
      <c r="VUB2" s="18"/>
      <c r="VUC2" s="18"/>
      <c r="VUD2" s="18"/>
      <c r="VUE2" s="18"/>
      <c r="VUF2" s="18"/>
      <c r="VUG2" s="18"/>
      <c r="VUH2" s="18"/>
      <c r="VUI2" s="18"/>
      <c r="VUJ2" s="18"/>
      <c r="VUK2" s="18"/>
      <c r="VUL2" s="18"/>
      <c r="VUM2" s="18"/>
      <c r="VUN2" s="18"/>
      <c r="VUO2" s="18"/>
      <c r="VUP2" s="18"/>
      <c r="VUQ2" s="18"/>
      <c r="VUR2" s="18"/>
      <c r="VUS2" s="18"/>
      <c r="VUT2" s="18"/>
      <c r="VUU2" s="18"/>
      <c r="VUV2" s="18"/>
      <c r="VUW2" s="18"/>
      <c r="VUX2" s="18"/>
      <c r="VUY2" s="18"/>
      <c r="VUZ2" s="18"/>
      <c r="VVA2" s="18"/>
      <c r="VVB2" s="18"/>
      <c r="VVC2" s="18"/>
      <c r="VVD2" s="18"/>
      <c r="VVE2" s="18"/>
      <c r="VVF2" s="18"/>
      <c r="VVG2" s="18"/>
      <c r="VVH2" s="18"/>
      <c r="VVI2" s="18"/>
      <c r="VVJ2" s="18"/>
      <c r="VVK2" s="18"/>
      <c r="VVL2" s="18"/>
      <c r="VVM2" s="18"/>
      <c r="VVN2" s="18"/>
      <c r="VVO2" s="18"/>
      <c r="VVP2" s="18"/>
      <c r="VVQ2" s="18"/>
      <c r="VVR2" s="18"/>
      <c r="VVS2" s="18"/>
      <c r="VVT2" s="18"/>
      <c r="VVU2" s="18"/>
      <c r="VVV2" s="18"/>
      <c r="VVW2" s="18"/>
      <c r="VVX2" s="18"/>
      <c r="VVY2" s="18"/>
      <c r="VVZ2" s="18"/>
      <c r="VWA2" s="18"/>
      <c r="VWB2" s="18"/>
      <c r="VWC2" s="18"/>
      <c r="VWD2" s="18"/>
      <c r="VWE2" s="18"/>
      <c r="VWF2" s="18"/>
      <c r="VWG2" s="18"/>
      <c r="VWH2" s="18"/>
      <c r="VWI2" s="18"/>
      <c r="VWJ2" s="18"/>
      <c r="VWK2" s="18"/>
      <c r="VWL2" s="18"/>
      <c r="VWM2" s="18"/>
      <c r="VWN2" s="18"/>
      <c r="VWO2" s="18"/>
      <c r="VWP2" s="18"/>
      <c r="VWQ2" s="18"/>
      <c r="VWR2" s="18"/>
      <c r="VWS2" s="18"/>
      <c r="VWT2" s="18"/>
      <c r="VWU2" s="18"/>
      <c r="VWV2" s="18"/>
      <c r="VWW2" s="18"/>
      <c r="VWX2" s="18"/>
      <c r="VWY2" s="18"/>
      <c r="VWZ2" s="18"/>
      <c r="VXA2" s="18"/>
      <c r="VXB2" s="18"/>
      <c r="VXC2" s="18"/>
      <c r="VXD2" s="18"/>
      <c r="VXE2" s="18"/>
      <c r="VXF2" s="18"/>
      <c r="VXG2" s="18"/>
      <c r="VXH2" s="18"/>
      <c r="VXI2" s="18"/>
      <c r="VXJ2" s="18"/>
      <c r="VXK2" s="18"/>
      <c r="VXL2" s="18"/>
      <c r="VXM2" s="18"/>
      <c r="VXN2" s="18"/>
      <c r="VXO2" s="18"/>
      <c r="VXP2" s="18"/>
      <c r="VXQ2" s="18"/>
      <c r="VXR2" s="18"/>
      <c r="VXS2" s="18"/>
      <c r="VXT2" s="18"/>
      <c r="VXU2" s="18"/>
      <c r="VXV2" s="18"/>
      <c r="VXW2" s="18"/>
      <c r="VXX2" s="18"/>
      <c r="VXY2" s="18"/>
      <c r="VXZ2" s="18"/>
      <c r="VYA2" s="18"/>
      <c r="VYB2" s="18"/>
      <c r="VYC2" s="18"/>
      <c r="VYD2" s="18"/>
      <c r="VYE2" s="18"/>
      <c r="VYF2" s="18"/>
      <c r="VYG2" s="18"/>
      <c r="VYH2" s="18"/>
      <c r="VYI2" s="18"/>
      <c r="VYJ2" s="18"/>
      <c r="VYK2" s="18"/>
      <c r="VYL2" s="18"/>
      <c r="VYM2" s="18"/>
      <c r="VYN2" s="18"/>
      <c r="VYO2" s="18"/>
      <c r="VYP2" s="18"/>
      <c r="VYQ2" s="18"/>
      <c r="VYR2" s="18"/>
      <c r="VYS2" s="18"/>
      <c r="VYT2" s="18"/>
      <c r="VYU2" s="18"/>
      <c r="VYV2" s="18"/>
      <c r="VYW2" s="18"/>
      <c r="VYX2" s="18"/>
      <c r="VYY2" s="18"/>
      <c r="VYZ2" s="18"/>
      <c r="VZA2" s="18"/>
      <c r="VZB2" s="18"/>
      <c r="VZC2" s="18"/>
      <c r="VZD2" s="18"/>
      <c r="VZE2" s="18"/>
      <c r="VZF2" s="18"/>
      <c r="VZG2" s="18"/>
      <c r="VZH2" s="18"/>
      <c r="VZI2" s="18"/>
      <c r="VZJ2" s="18"/>
      <c r="VZK2" s="18"/>
      <c r="VZL2" s="18"/>
      <c r="VZM2" s="18"/>
      <c r="VZN2" s="18"/>
      <c r="VZO2" s="18"/>
      <c r="VZP2" s="18"/>
      <c r="VZQ2" s="18"/>
      <c r="VZR2" s="18"/>
      <c r="VZS2" s="18"/>
      <c r="VZT2" s="18"/>
      <c r="VZU2" s="18"/>
      <c r="VZV2" s="18"/>
      <c r="VZW2" s="18"/>
      <c r="VZX2" s="18"/>
      <c r="VZY2" s="18"/>
      <c r="VZZ2" s="18"/>
      <c r="WAA2" s="18"/>
      <c r="WAB2" s="18"/>
      <c r="WAC2" s="18"/>
      <c r="WAD2" s="18"/>
      <c r="WAE2" s="18"/>
      <c r="WAF2" s="18"/>
      <c r="WAG2" s="18"/>
      <c r="WAH2" s="18"/>
      <c r="WAI2" s="18"/>
      <c r="WAJ2" s="18"/>
      <c r="WAK2" s="18"/>
      <c r="WAL2" s="18"/>
      <c r="WAM2" s="18"/>
      <c r="WAN2" s="18"/>
      <c r="WAO2" s="18"/>
      <c r="WAP2" s="18"/>
      <c r="WAQ2" s="18"/>
      <c r="WAR2" s="18"/>
      <c r="WAS2" s="18"/>
      <c r="WAT2" s="18"/>
      <c r="WAU2" s="18"/>
      <c r="WAV2" s="18"/>
      <c r="WAW2" s="18"/>
      <c r="WAX2" s="18"/>
      <c r="WAY2" s="18"/>
      <c r="WAZ2" s="18"/>
      <c r="WBA2" s="18"/>
      <c r="WBB2" s="18"/>
      <c r="WBC2" s="18"/>
      <c r="WBD2" s="18"/>
      <c r="WBE2" s="18"/>
      <c r="WBF2" s="18"/>
      <c r="WBG2" s="18"/>
      <c r="WBH2" s="18"/>
      <c r="WBI2" s="18"/>
      <c r="WBJ2" s="18"/>
      <c r="WBK2" s="18"/>
      <c r="WBL2" s="18"/>
      <c r="WBM2" s="18"/>
      <c r="WBN2" s="18"/>
      <c r="WBO2" s="18"/>
      <c r="WBP2" s="18"/>
      <c r="WBQ2" s="18"/>
      <c r="WBR2" s="18"/>
      <c r="WBS2" s="18"/>
      <c r="WBT2" s="18"/>
      <c r="WBU2" s="18"/>
      <c r="WBV2" s="18"/>
      <c r="WBW2" s="18"/>
      <c r="WBX2" s="18"/>
      <c r="WBY2" s="18"/>
      <c r="WBZ2" s="18"/>
      <c r="WCA2" s="18"/>
      <c r="WCB2" s="18"/>
      <c r="WCC2" s="18"/>
      <c r="WCD2" s="18"/>
      <c r="WCE2" s="18"/>
      <c r="WCF2" s="18"/>
      <c r="WCG2" s="18"/>
      <c r="WCH2" s="18"/>
      <c r="WCI2" s="18"/>
      <c r="WCJ2" s="18"/>
      <c r="WCK2" s="18"/>
      <c r="WCL2" s="18"/>
      <c r="WCM2" s="18"/>
      <c r="WCN2" s="18"/>
      <c r="WCO2" s="18"/>
      <c r="WCP2" s="18"/>
      <c r="WCQ2" s="18"/>
      <c r="WCR2" s="18"/>
      <c r="WCS2" s="18"/>
      <c r="WCT2" s="18"/>
      <c r="WCU2" s="18"/>
      <c r="WCV2" s="18"/>
      <c r="WCW2" s="18"/>
      <c r="WCX2" s="18"/>
      <c r="WCY2" s="18"/>
      <c r="WCZ2" s="18"/>
      <c r="WDA2" s="18"/>
      <c r="WDB2" s="18"/>
      <c r="WDC2" s="18"/>
      <c r="WDD2" s="18"/>
      <c r="WDE2" s="18"/>
      <c r="WDF2" s="18"/>
      <c r="WDG2" s="18"/>
      <c r="WDH2" s="18"/>
      <c r="WDI2" s="18"/>
      <c r="WDJ2" s="18"/>
      <c r="WDK2" s="18"/>
      <c r="WDL2" s="18"/>
      <c r="WDM2" s="18"/>
      <c r="WDN2" s="18"/>
      <c r="WDO2" s="18"/>
      <c r="WDP2" s="18"/>
      <c r="WDQ2" s="18"/>
      <c r="WDR2" s="18"/>
      <c r="WDS2" s="18"/>
      <c r="WDT2" s="18"/>
      <c r="WDU2" s="18"/>
      <c r="WDV2" s="18"/>
      <c r="WDW2" s="18"/>
      <c r="WDX2" s="18"/>
      <c r="WDY2" s="18"/>
      <c r="WDZ2" s="18"/>
      <c r="WEA2" s="18"/>
      <c r="WEB2" s="18"/>
      <c r="WEC2" s="18"/>
      <c r="WED2" s="18"/>
      <c r="WEE2" s="18"/>
      <c r="WEF2" s="18"/>
      <c r="WEG2" s="18"/>
      <c r="WEH2" s="18"/>
      <c r="WEI2" s="18"/>
      <c r="WEJ2" s="18"/>
      <c r="WEK2" s="18"/>
      <c r="WEL2" s="18"/>
      <c r="WEM2" s="18"/>
      <c r="WEN2" s="18"/>
      <c r="WEO2" s="18"/>
      <c r="WEP2" s="18"/>
      <c r="WEQ2" s="18"/>
      <c r="WER2" s="18"/>
      <c r="WES2" s="18"/>
      <c r="WET2" s="18"/>
      <c r="WEU2" s="18"/>
      <c r="WEV2" s="18"/>
      <c r="WEW2" s="18"/>
      <c r="WEX2" s="18"/>
      <c r="WEY2" s="18"/>
      <c r="WEZ2" s="18"/>
      <c r="WFA2" s="18"/>
      <c r="WFB2" s="18"/>
      <c r="WFC2" s="18"/>
      <c r="WFD2" s="18"/>
      <c r="WFE2" s="18"/>
      <c r="WFF2" s="18"/>
      <c r="WFG2" s="18"/>
      <c r="WFH2" s="18"/>
      <c r="WFI2" s="18"/>
      <c r="WFJ2" s="18"/>
      <c r="WFK2" s="18"/>
      <c r="WFL2" s="18"/>
      <c r="WFM2" s="18"/>
      <c r="WFN2" s="18"/>
      <c r="WFO2" s="18"/>
      <c r="WFP2" s="18"/>
      <c r="WFQ2" s="18"/>
      <c r="WFR2" s="18"/>
      <c r="WFS2" s="18"/>
      <c r="WFT2" s="18"/>
      <c r="WFU2" s="18"/>
      <c r="WFV2" s="18"/>
      <c r="WFW2" s="18"/>
      <c r="WFX2" s="18"/>
      <c r="WFY2" s="18"/>
      <c r="WFZ2" s="18"/>
      <c r="WGA2" s="18"/>
      <c r="WGB2" s="18"/>
      <c r="WGC2" s="18"/>
      <c r="WGD2" s="18"/>
      <c r="WGE2" s="18"/>
      <c r="WGF2" s="18"/>
      <c r="WGG2" s="18"/>
      <c r="WGH2" s="18"/>
      <c r="WGI2" s="18"/>
      <c r="WGJ2" s="18"/>
      <c r="WGK2" s="18"/>
      <c r="WGL2" s="18"/>
      <c r="WGM2" s="18"/>
      <c r="WGN2" s="18"/>
      <c r="WGO2" s="18"/>
      <c r="WGP2" s="18"/>
      <c r="WGQ2" s="18"/>
      <c r="WGR2" s="18"/>
      <c r="WGS2" s="18"/>
      <c r="WGT2" s="18"/>
      <c r="WGU2" s="18"/>
      <c r="WGV2" s="18"/>
      <c r="WGW2" s="18"/>
      <c r="WGX2" s="18"/>
      <c r="WGY2" s="18"/>
      <c r="WGZ2" s="18"/>
      <c r="WHA2" s="18"/>
      <c r="WHB2" s="18"/>
      <c r="WHC2" s="18"/>
      <c r="WHD2" s="18"/>
      <c r="WHE2" s="18"/>
      <c r="WHF2" s="18"/>
      <c r="WHG2" s="18"/>
      <c r="WHH2" s="18"/>
      <c r="WHI2" s="18"/>
      <c r="WHJ2" s="18"/>
      <c r="WHK2" s="18"/>
      <c r="WHL2" s="18"/>
      <c r="WHM2" s="18"/>
      <c r="WHN2" s="18"/>
      <c r="WHO2" s="18"/>
      <c r="WHP2" s="18"/>
      <c r="WHQ2" s="18"/>
      <c r="WHR2" s="18"/>
      <c r="WHS2" s="18"/>
      <c r="WHT2" s="18"/>
      <c r="WHU2" s="18"/>
      <c r="WHV2" s="18"/>
      <c r="WHW2" s="18"/>
      <c r="WHX2" s="18"/>
      <c r="WHY2" s="18"/>
      <c r="WHZ2" s="18"/>
      <c r="WIA2" s="18"/>
      <c r="WIB2" s="18"/>
      <c r="WIC2" s="18"/>
      <c r="WID2" s="18"/>
      <c r="WIE2" s="18"/>
      <c r="WIF2" s="18"/>
      <c r="WIG2" s="18"/>
      <c r="WIH2" s="18"/>
      <c r="WII2" s="18"/>
      <c r="WIJ2" s="18"/>
      <c r="WIK2" s="18"/>
      <c r="WIL2" s="18"/>
      <c r="WIM2" s="18"/>
      <c r="WIN2" s="18"/>
      <c r="WIO2" s="18"/>
      <c r="WIP2" s="18"/>
      <c r="WIQ2" s="18"/>
      <c r="WIR2" s="18"/>
      <c r="WIS2" s="18"/>
      <c r="WIT2" s="18"/>
      <c r="WIU2" s="18"/>
      <c r="WIV2" s="18"/>
      <c r="WIW2" s="18"/>
      <c r="WIX2" s="18"/>
      <c r="WIY2" s="18"/>
      <c r="WIZ2" s="18"/>
      <c r="WJA2" s="18"/>
      <c r="WJB2" s="18"/>
      <c r="WJC2" s="18"/>
      <c r="WJD2" s="18"/>
      <c r="WJE2" s="18"/>
      <c r="WJF2" s="18"/>
      <c r="WJG2" s="18"/>
      <c r="WJH2" s="18"/>
      <c r="WJI2" s="18"/>
      <c r="WJJ2" s="18"/>
      <c r="WJK2" s="18"/>
      <c r="WJL2" s="18"/>
      <c r="WJM2" s="18"/>
      <c r="WJN2" s="18"/>
      <c r="WJO2" s="18"/>
      <c r="WJP2" s="18"/>
      <c r="WJQ2" s="18"/>
      <c r="WJR2" s="18"/>
      <c r="WJS2" s="18"/>
      <c r="WJT2" s="18"/>
      <c r="WJU2" s="18"/>
      <c r="WJV2" s="18"/>
      <c r="WJW2" s="18"/>
      <c r="WJX2" s="18"/>
      <c r="WJY2" s="18"/>
      <c r="WJZ2" s="18"/>
      <c r="WKA2" s="18"/>
      <c r="WKB2" s="18"/>
      <c r="WKC2" s="18"/>
      <c r="WKD2" s="18"/>
      <c r="WKE2" s="18"/>
      <c r="WKF2" s="18"/>
      <c r="WKG2" s="18"/>
      <c r="WKH2" s="18"/>
      <c r="WKI2" s="18"/>
      <c r="WKJ2" s="18"/>
      <c r="WKK2" s="18"/>
      <c r="WKL2" s="18"/>
      <c r="WKM2" s="18"/>
      <c r="WKN2" s="18"/>
      <c r="WKO2" s="18"/>
      <c r="WKP2" s="18"/>
      <c r="WKQ2" s="18"/>
      <c r="WKR2" s="18"/>
      <c r="WKS2" s="18"/>
      <c r="WKT2" s="18"/>
      <c r="WKU2" s="18"/>
      <c r="WKV2" s="18"/>
      <c r="WKW2" s="18"/>
      <c r="WKX2" s="18"/>
      <c r="WKY2" s="18"/>
      <c r="WKZ2" s="18"/>
      <c r="WLA2" s="18"/>
      <c r="WLB2" s="18"/>
      <c r="WLC2" s="18"/>
      <c r="WLD2" s="18"/>
      <c r="WLE2" s="18"/>
      <c r="WLF2" s="18"/>
      <c r="WLG2" s="18"/>
      <c r="WLH2" s="18"/>
      <c r="WLI2" s="18"/>
      <c r="WLJ2" s="18"/>
      <c r="WLK2" s="18"/>
      <c r="WLL2" s="18"/>
      <c r="WLM2" s="18"/>
      <c r="WLN2" s="18"/>
      <c r="WLO2" s="18"/>
      <c r="WLP2" s="18"/>
      <c r="WLQ2" s="18"/>
      <c r="WLR2" s="18"/>
      <c r="WLS2" s="18"/>
      <c r="WLT2" s="18"/>
      <c r="WLU2" s="18"/>
      <c r="WLV2" s="18"/>
      <c r="WLW2" s="18"/>
      <c r="WLX2" s="18"/>
      <c r="WLY2" s="18"/>
      <c r="WLZ2" s="18"/>
      <c r="WMA2" s="18"/>
      <c r="WMB2" s="18"/>
      <c r="WMC2" s="18"/>
      <c r="WMD2" s="18"/>
      <c r="WME2" s="18"/>
      <c r="WMF2" s="18"/>
      <c r="WMG2" s="18"/>
      <c r="WMH2" s="18"/>
      <c r="WMI2" s="18"/>
      <c r="WMJ2" s="18"/>
      <c r="WMK2" s="18"/>
      <c r="WML2" s="18"/>
      <c r="WMM2" s="18"/>
      <c r="WMN2" s="18"/>
      <c r="WMO2" s="18"/>
      <c r="WMP2" s="18"/>
      <c r="WMQ2" s="18"/>
      <c r="WMR2" s="18"/>
      <c r="WMS2" s="18"/>
      <c r="WMT2" s="18"/>
      <c r="WMU2" s="18"/>
      <c r="WMV2" s="18"/>
      <c r="WMW2" s="18"/>
      <c r="WMX2" s="18"/>
      <c r="WMY2" s="18"/>
      <c r="WMZ2" s="18"/>
      <c r="WNA2" s="18"/>
      <c r="WNB2" s="18"/>
      <c r="WNC2" s="18"/>
      <c r="WND2" s="18"/>
      <c r="WNE2" s="18"/>
      <c r="WNF2" s="18"/>
      <c r="WNG2" s="18"/>
      <c r="WNH2" s="18"/>
      <c r="WNI2" s="18"/>
      <c r="WNJ2" s="18"/>
      <c r="WNK2" s="18"/>
      <c r="WNL2" s="18"/>
      <c r="WNM2" s="18"/>
      <c r="WNN2" s="18"/>
      <c r="WNO2" s="18"/>
      <c r="WNP2" s="18"/>
      <c r="WNQ2" s="18"/>
      <c r="WNR2" s="18"/>
      <c r="WNS2" s="18"/>
      <c r="WNT2" s="18"/>
      <c r="WNU2" s="18"/>
      <c r="WNV2" s="18"/>
      <c r="WNW2" s="18"/>
      <c r="WNX2" s="18"/>
      <c r="WNY2" s="18"/>
      <c r="WNZ2" s="18"/>
      <c r="WOA2" s="18"/>
      <c r="WOB2" s="18"/>
      <c r="WOC2" s="18"/>
      <c r="WOD2" s="18"/>
      <c r="WOE2" s="18"/>
      <c r="WOF2" s="18"/>
      <c r="WOG2" s="18"/>
      <c r="WOH2" s="18"/>
      <c r="WOI2" s="18"/>
      <c r="WOJ2" s="18"/>
      <c r="WOK2" s="18"/>
      <c r="WOL2" s="18"/>
      <c r="WOM2" s="18"/>
      <c r="WON2" s="18"/>
      <c r="WOO2" s="18"/>
      <c r="WOP2" s="18"/>
      <c r="WOQ2" s="18"/>
      <c r="WOR2" s="18"/>
      <c r="WOS2" s="18"/>
      <c r="WOT2" s="18"/>
      <c r="WOU2" s="18"/>
      <c r="WOV2" s="18"/>
      <c r="WOW2" s="18"/>
      <c r="WOX2" s="18"/>
      <c r="WOY2" s="18"/>
      <c r="WOZ2" s="18"/>
      <c r="WPA2" s="18"/>
      <c r="WPB2" s="18"/>
      <c r="WPC2" s="18"/>
      <c r="WPD2" s="18"/>
      <c r="WPE2" s="18"/>
      <c r="WPF2" s="18"/>
      <c r="WPG2" s="18"/>
      <c r="WPH2" s="18"/>
      <c r="WPI2" s="18"/>
      <c r="WPJ2" s="18"/>
      <c r="WPK2" s="18"/>
      <c r="WPL2" s="18"/>
      <c r="WPM2" s="18"/>
      <c r="WPN2" s="18"/>
      <c r="WPO2" s="18"/>
      <c r="WPP2" s="18"/>
      <c r="WPQ2" s="18"/>
      <c r="WPR2" s="18"/>
      <c r="WPS2" s="18"/>
      <c r="WPT2" s="18"/>
      <c r="WPU2" s="18"/>
      <c r="WPV2" s="18"/>
      <c r="WPW2" s="18"/>
      <c r="WPX2" s="18"/>
      <c r="WPY2" s="18"/>
      <c r="WPZ2" s="18"/>
      <c r="WQA2" s="18"/>
      <c r="WQB2" s="18"/>
      <c r="WQC2" s="18"/>
      <c r="WQD2" s="18"/>
      <c r="WQE2" s="18"/>
      <c r="WQF2" s="18"/>
      <c r="WQG2" s="18"/>
      <c r="WQH2" s="18"/>
      <c r="WQI2" s="18"/>
      <c r="WQJ2" s="18"/>
      <c r="WQK2" s="18"/>
      <c r="WQL2" s="18"/>
      <c r="WQM2" s="18"/>
      <c r="WQN2" s="18"/>
      <c r="WQO2" s="18"/>
      <c r="WQP2" s="18"/>
      <c r="WQQ2" s="18"/>
      <c r="WQR2" s="18"/>
      <c r="WQS2" s="18"/>
      <c r="WQT2" s="18"/>
      <c r="WQU2" s="18"/>
      <c r="WQV2" s="18"/>
      <c r="WQW2" s="18"/>
      <c r="WQX2" s="18"/>
      <c r="WQY2" s="18"/>
      <c r="WQZ2" s="18"/>
      <c r="WRA2" s="18"/>
      <c r="WRB2" s="18"/>
      <c r="WRC2" s="18"/>
      <c r="WRD2" s="18"/>
      <c r="WRE2" s="18"/>
      <c r="WRF2" s="18"/>
      <c r="WRG2" s="18"/>
      <c r="WRH2" s="18"/>
      <c r="WRI2" s="18"/>
      <c r="WRJ2" s="18"/>
      <c r="WRK2" s="18"/>
      <c r="WRL2" s="18"/>
      <c r="WRM2" s="18"/>
      <c r="WRN2" s="18"/>
      <c r="WRO2" s="18"/>
      <c r="WRP2" s="18"/>
      <c r="WRQ2" s="18"/>
      <c r="WRR2" s="18"/>
      <c r="WRS2" s="18"/>
      <c r="WRT2" s="18"/>
      <c r="WRU2" s="18"/>
      <c r="WRV2" s="18"/>
      <c r="WRW2" s="18"/>
      <c r="WRX2" s="18"/>
      <c r="WRY2" s="18"/>
      <c r="WRZ2" s="18"/>
      <c r="WSA2" s="18"/>
      <c r="WSB2" s="18"/>
      <c r="WSC2" s="18"/>
      <c r="WSD2" s="18"/>
      <c r="WSE2" s="18"/>
      <c r="WSF2" s="18"/>
      <c r="WSG2" s="18"/>
      <c r="WSH2" s="18"/>
      <c r="WSI2" s="18"/>
      <c r="WSJ2" s="18"/>
      <c r="WSK2" s="18"/>
      <c r="WSL2" s="18"/>
      <c r="WSM2" s="18"/>
      <c r="WSN2" s="18"/>
      <c r="WSO2" s="18"/>
      <c r="WSP2" s="18"/>
      <c r="WSQ2" s="18"/>
      <c r="WSR2" s="18"/>
      <c r="WSS2" s="18"/>
      <c r="WST2" s="18"/>
      <c r="WSU2" s="18"/>
      <c r="WSV2" s="18"/>
      <c r="WSW2" s="18"/>
      <c r="WSX2" s="18"/>
      <c r="WSY2" s="18"/>
      <c r="WSZ2" s="18"/>
      <c r="WTA2" s="18"/>
      <c r="WTB2" s="18"/>
      <c r="WTC2" s="18"/>
      <c r="WTD2" s="18"/>
      <c r="WTE2" s="18"/>
      <c r="WTF2" s="18"/>
      <c r="WTG2" s="18"/>
      <c r="WTH2" s="18"/>
      <c r="WTI2" s="18"/>
      <c r="WTJ2" s="18"/>
      <c r="WTK2" s="18"/>
      <c r="WTL2" s="18"/>
      <c r="WTM2" s="18"/>
      <c r="WTN2" s="18"/>
      <c r="WTO2" s="18"/>
      <c r="WTP2" s="18"/>
      <c r="WTQ2" s="18"/>
      <c r="WTR2" s="18"/>
      <c r="WTS2" s="18"/>
      <c r="WTT2" s="18"/>
      <c r="WTU2" s="18"/>
      <c r="WTV2" s="18"/>
      <c r="WTW2" s="18"/>
      <c r="WTX2" s="18"/>
      <c r="WTY2" s="18"/>
      <c r="WTZ2" s="18"/>
      <c r="WUA2" s="18"/>
      <c r="WUB2" s="18"/>
      <c r="WUC2" s="18"/>
      <c r="WUD2" s="18"/>
      <c r="WUE2" s="18"/>
      <c r="WUF2" s="18"/>
      <c r="WUG2" s="18"/>
      <c r="WUH2" s="18"/>
      <c r="WUI2" s="18"/>
      <c r="WUJ2" s="18"/>
      <c r="WUK2" s="18"/>
      <c r="WUL2" s="18"/>
      <c r="WUM2" s="18"/>
      <c r="WUN2" s="18"/>
      <c r="WUO2" s="18"/>
      <c r="WUP2" s="18"/>
      <c r="WUQ2" s="18"/>
      <c r="WUR2" s="18"/>
      <c r="WUS2" s="18"/>
      <c r="WUT2" s="18"/>
      <c r="WUU2" s="18"/>
      <c r="WUV2" s="18"/>
      <c r="WUW2" s="18"/>
      <c r="WUX2" s="18"/>
      <c r="WUY2" s="18"/>
      <c r="WUZ2" s="18"/>
      <c r="WVA2" s="18"/>
      <c r="WVB2" s="18"/>
      <c r="WVC2" s="18"/>
      <c r="WVD2" s="18"/>
      <c r="WVE2" s="18"/>
      <c r="WVF2" s="18"/>
      <c r="WVG2" s="18"/>
      <c r="WVH2" s="18"/>
      <c r="WVI2" s="18"/>
      <c r="WVJ2" s="18"/>
      <c r="WVK2" s="18"/>
      <c r="WVL2" s="18"/>
      <c r="WVM2" s="18"/>
      <c r="WVN2" s="18"/>
      <c r="WVO2" s="18"/>
      <c r="WVP2" s="18"/>
      <c r="WVQ2" s="18"/>
      <c r="WVR2" s="18"/>
      <c r="WVS2" s="18"/>
      <c r="WVT2" s="18"/>
      <c r="WVU2" s="18"/>
      <c r="WVV2" s="18"/>
      <c r="WVW2" s="18"/>
      <c r="WVX2" s="18"/>
      <c r="WVY2" s="18"/>
      <c r="WVZ2" s="18"/>
      <c r="WWA2" s="18"/>
      <c r="WWB2" s="18"/>
      <c r="WWC2" s="18"/>
      <c r="WWD2" s="18"/>
      <c r="WWE2" s="18"/>
      <c r="WWF2" s="18"/>
      <c r="WWG2" s="18"/>
      <c r="WWH2" s="18"/>
      <c r="WWI2" s="18"/>
      <c r="WWJ2" s="18"/>
      <c r="WWK2" s="18"/>
      <c r="WWL2" s="18"/>
      <c r="WWM2" s="18"/>
      <c r="WWN2" s="18"/>
      <c r="WWO2" s="18"/>
      <c r="WWP2" s="18"/>
      <c r="WWQ2" s="18"/>
      <c r="WWR2" s="18"/>
      <c r="WWS2" s="18"/>
      <c r="WWT2" s="18"/>
      <c r="WWU2" s="18"/>
      <c r="WWV2" s="18"/>
      <c r="WWW2" s="18"/>
      <c r="WWX2" s="18"/>
      <c r="WWY2" s="18"/>
      <c r="WWZ2" s="18"/>
      <c r="WXA2" s="18"/>
      <c r="WXB2" s="18"/>
      <c r="WXC2" s="18"/>
      <c r="WXD2" s="18"/>
      <c r="WXE2" s="18"/>
      <c r="WXF2" s="18"/>
      <c r="WXG2" s="18"/>
      <c r="WXH2" s="18"/>
      <c r="WXI2" s="18"/>
      <c r="WXJ2" s="18"/>
      <c r="WXK2" s="18"/>
      <c r="WXL2" s="18"/>
      <c r="WXM2" s="18"/>
      <c r="WXN2" s="18"/>
      <c r="WXO2" s="18"/>
      <c r="WXP2" s="18"/>
      <c r="WXQ2" s="18"/>
      <c r="WXR2" s="18"/>
      <c r="WXS2" s="18"/>
      <c r="WXT2" s="18"/>
      <c r="WXU2" s="18"/>
      <c r="WXV2" s="18"/>
      <c r="WXW2" s="18"/>
      <c r="WXX2" s="18"/>
      <c r="WXY2" s="18"/>
      <c r="WXZ2" s="18"/>
      <c r="WYA2" s="18"/>
      <c r="WYB2" s="18"/>
      <c r="WYC2" s="18"/>
      <c r="WYD2" s="18"/>
      <c r="WYE2" s="18"/>
      <c r="WYF2" s="18"/>
      <c r="WYG2" s="18"/>
      <c r="WYH2" s="18"/>
      <c r="WYI2" s="18"/>
      <c r="WYJ2" s="18"/>
      <c r="WYK2" s="18"/>
      <c r="WYL2" s="18"/>
      <c r="WYM2" s="18"/>
      <c r="WYN2" s="18"/>
      <c r="WYO2" s="18"/>
      <c r="WYP2" s="18"/>
      <c r="WYQ2" s="18"/>
      <c r="WYR2" s="18"/>
      <c r="WYS2" s="18"/>
      <c r="WYT2" s="18"/>
      <c r="WYU2" s="18"/>
      <c r="WYV2" s="18"/>
      <c r="WYW2" s="18"/>
      <c r="WYX2" s="18"/>
      <c r="WYY2" s="18"/>
      <c r="WYZ2" s="18"/>
      <c r="WZA2" s="18"/>
      <c r="WZB2" s="18"/>
      <c r="WZC2" s="18"/>
      <c r="WZD2" s="18"/>
      <c r="WZE2" s="18"/>
      <c r="WZF2" s="18"/>
      <c r="WZG2" s="18"/>
      <c r="WZH2" s="18"/>
      <c r="WZI2" s="18"/>
      <c r="WZJ2" s="18"/>
      <c r="WZK2" s="18"/>
      <c r="WZL2" s="18"/>
      <c r="WZM2" s="18"/>
      <c r="WZN2" s="18"/>
      <c r="WZO2" s="18"/>
      <c r="WZP2" s="18"/>
      <c r="WZQ2" s="18"/>
      <c r="WZR2" s="18"/>
      <c r="WZS2" s="18"/>
      <c r="WZT2" s="18"/>
      <c r="WZU2" s="18"/>
      <c r="WZV2" s="18"/>
      <c r="WZW2" s="18"/>
      <c r="WZX2" s="18"/>
      <c r="WZY2" s="18"/>
      <c r="WZZ2" s="18"/>
      <c r="XAA2" s="18"/>
      <c r="XAB2" s="18"/>
      <c r="XAC2" s="18"/>
      <c r="XAD2" s="18"/>
      <c r="XAE2" s="18"/>
      <c r="XAF2" s="18"/>
      <c r="XAG2" s="18"/>
      <c r="XAH2" s="18"/>
      <c r="XAI2" s="18"/>
      <c r="XAJ2" s="18"/>
      <c r="XAK2" s="18"/>
      <c r="XAL2" s="18"/>
      <c r="XAM2" s="18"/>
      <c r="XAN2" s="18"/>
      <c r="XAO2" s="18"/>
      <c r="XAP2" s="18"/>
      <c r="XAQ2" s="18"/>
      <c r="XAR2" s="18"/>
      <c r="XAS2" s="18"/>
      <c r="XAT2" s="18"/>
      <c r="XAU2" s="18"/>
      <c r="XAV2" s="18"/>
      <c r="XAW2" s="18"/>
      <c r="XAX2" s="18"/>
      <c r="XAY2" s="18"/>
      <c r="XAZ2" s="18"/>
      <c r="XBA2" s="18"/>
      <c r="XBB2" s="18"/>
      <c r="XBC2" s="18"/>
      <c r="XBD2" s="18"/>
      <c r="XBE2" s="18"/>
      <c r="XBF2" s="18"/>
      <c r="XBG2" s="18"/>
      <c r="XBH2" s="18"/>
      <c r="XBI2" s="18"/>
      <c r="XBJ2" s="18"/>
      <c r="XBK2" s="18"/>
      <c r="XBL2" s="18"/>
      <c r="XBM2" s="18"/>
      <c r="XBN2" s="18"/>
      <c r="XBO2" s="18"/>
      <c r="XBP2" s="18"/>
      <c r="XBQ2" s="18"/>
      <c r="XBR2" s="18"/>
      <c r="XBS2" s="18"/>
      <c r="XBT2" s="18"/>
      <c r="XBU2" s="18"/>
      <c r="XBV2" s="18"/>
      <c r="XBW2" s="18"/>
      <c r="XBX2" s="18"/>
      <c r="XBY2" s="18"/>
      <c r="XBZ2" s="18"/>
      <c r="XCA2" s="18"/>
      <c r="XCB2" s="18"/>
      <c r="XCC2" s="18"/>
      <c r="XCD2" s="18"/>
      <c r="XCE2" s="18"/>
      <c r="XCF2" s="18"/>
      <c r="XCG2" s="18"/>
      <c r="XCH2" s="18"/>
      <c r="XCI2" s="18"/>
      <c r="XCJ2" s="18"/>
      <c r="XCK2" s="18"/>
      <c r="XCL2" s="18"/>
      <c r="XCM2" s="18"/>
      <c r="XCN2" s="18"/>
      <c r="XCO2" s="18"/>
      <c r="XCP2" s="18"/>
      <c r="XCQ2" s="18"/>
      <c r="XCR2" s="18"/>
      <c r="XCS2" s="18"/>
      <c r="XCT2" s="18"/>
      <c r="XCU2" s="18"/>
      <c r="XCV2" s="18"/>
      <c r="XCW2" s="18"/>
      <c r="XCX2" s="18"/>
      <c r="XCY2" s="18"/>
      <c r="XCZ2" s="18"/>
      <c r="XDA2" s="18"/>
      <c r="XDB2" s="18"/>
      <c r="XDC2" s="18"/>
      <c r="XDD2" s="18"/>
      <c r="XDE2" s="18"/>
      <c r="XDF2" s="18"/>
      <c r="XDG2" s="18"/>
      <c r="XDH2" s="18"/>
      <c r="XDI2" s="18"/>
      <c r="XDJ2" s="18"/>
      <c r="XDK2" s="18"/>
      <c r="XDL2" s="18"/>
      <c r="XDM2" s="18"/>
      <c r="XDN2" s="18"/>
      <c r="XDO2" s="18"/>
      <c r="XDP2" s="18"/>
      <c r="XDQ2" s="18"/>
      <c r="XDR2" s="18"/>
      <c r="XDS2" s="18"/>
      <c r="XDT2" s="18"/>
      <c r="XDU2" s="18"/>
      <c r="XDV2" s="18"/>
      <c r="XDW2" s="18"/>
      <c r="XDX2" s="18"/>
      <c r="XDY2" s="18"/>
      <c r="XDZ2" s="18"/>
      <c r="XEA2" s="18"/>
      <c r="XEB2" s="18"/>
      <c r="XEC2" s="18"/>
      <c r="XED2" s="18"/>
      <c r="XEE2" s="18"/>
      <c r="XEF2" s="18"/>
      <c r="XEG2" s="18"/>
      <c r="XEH2" s="18"/>
      <c r="XEI2" s="18"/>
      <c r="XEJ2" s="18"/>
      <c r="XEK2" s="18"/>
      <c r="XEL2" s="18"/>
      <c r="XEM2" s="18"/>
      <c r="XEN2" s="18"/>
      <c r="XEO2" s="18"/>
      <c r="XEP2" s="18"/>
      <c r="XEQ2" s="18"/>
      <c r="XER2" s="18"/>
      <c r="XES2" s="18"/>
      <c r="XET2" s="18"/>
      <c r="XEU2" s="18"/>
    </row>
    <row r="3" spans="2:16375" s="2" customFormat="1" x14ac:dyDescent="0.2">
      <c r="B3" s="3" t="str">
        <f>"All units in "  &amp;'Assumptions - General'!$E$27&amp;  " millions unless otherwise stated"</f>
        <v>All units in R$ millions unless otherwise stated</v>
      </c>
      <c r="C3" s="6"/>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row>
    <row r="4" spans="2:16375" ht="16" thickBot="1" x14ac:dyDescent="0.25"/>
    <row r="5" spans="2:16375" x14ac:dyDescent="0.2">
      <c r="B5" s="58"/>
      <c r="C5" s="59" t="s">
        <v>310</v>
      </c>
      <c r="D5" s="60"/>
      <c r="E5" s="60"/>
      <c r="F5" s="60"/>
      <c r="G5" s="61"/>
      <c r="I5" s="58"/>
      <c r="J5" s="59" t="s">
        <v>313</v>
      </c>
      <c r="K5" s="60"/>
      <c r="L5" s="60"/>
      <c r="M5" s="164"/>
      <c r="N5" s="61"/>
    </row>
    <row r="6" spans="2:16375" s="24" customFormat="1" ht="14" x14ac:dyDescent="0.2">
      <c r="B6" s="62"/>
      <c r="G6" s="64"/>
      <c r="I6" s="62"/>
      <c r="M6" s="138" t="s">
        <v>661</v>
      </c>
      <c r="N6" s="64"/>
    </row>
    <row r="7" spans="2:16375" s="24" customFormat="1" ht="14" x14ac:dyDescent="0.2">
      <c r="B7" s="62"/>
      <c r="C7" s="24" t="s">
        <v>435</v>
      </c>
      <c r="F7" s="167">
        <f>IF(Calculations!E21=1,AVERAGE('Charts - Consolidated'!E228:AH228)," ")</f>
        <v>15000</v>
      </c>
      <c r="G7" s="157"/>
      <c r="I7" s="62"/>
      <c r="J7" s="24" t="s">
        <v>48</v>
      </c>
      <c r="M7" s="147">
        <f>IF(Calculations!E21=1,AVERAGE(Calculations!E1464:AH1464)," ")</f>
        <v>56.560653387405857</v>
      </c>
      <c r="N7" s="64"/>
    </row>
    <row r="8" spans="2:16375" s="24" customFormat="1" ht="14" x14ac:dyDescent="0.2">
      <c r="B8" s="62"/>
      <c r="C8" s="24" t="s">
        <v>436</v>
      </c>
      <c r="F8" s="167">
        <f>IF(Calculations!E21=1,AVERAGE('Charts - Consolidated'!E227:AH227)," ")</f>
        <v>55466.666666666664</v>
      </c>
      <c r="G8" s="157"/>
      <c r="I8" s="62"/>
      <c r="J8" s="24" t="s">
        <v>49</v>
      </c>
      <c r="M8" s="147">
        <f>IF(Calculations!E21=1,AVERAGE(Calculations!E1466:AH1466)," ")</f>
        <v>36.5</v>
      </c>
      <c r="N8" s="64"/>
    </row>
    <row r="9" spans="2:16375" s="24" customFormat="1" ht="14" x14ac:dyDescent="0.2">
      <c r="B9" s="62"/>
      <c r="C9" s="24" t="s">
        <v>437</v>
      </c>
      <c r="F9" s="162">
        <f>IF(Calculations!E21=1,AVERAGE('Charts - Infrastructure'!E148:AH148)," ")</f>
        <v>0.56649517149050588</v>
      </c>
      <c r="G9" s="157"/>
      <c r="I9" s="62"/>
      <c r="J9" s="24" t="s">
        <v>273</v>
      </c>
      <c r="M9" s="147">
        <f>IF(Calculations!E21=1,AVERAGE(Calculations!E1468:AH1468)," ")</f>
        <v>83.465431618777714</v>
      </c>
      <c r="N9" s="64"/>
    </row>
    <row r="10" spans="2:16375" s="24" customFormat="1" ht="14" x14ac:dyDescent="0.2">
      <c r="B10" s="62"/>
      <c r="C10" s="24" t="s">
        <v>519</v>
      </c>
      <c r="F10" s="167">
        <f>IF(Calculations!E21=1,IF(Calculations!E19=0,'Results - Freight'!F10+'Results - Passenger'!F10,'Charts - Infrastructure'!E152+'Charts - Infrastructure'!E153)," ")</f>
        <v>113000</v>
      </c>
      <c r="G10" s="157"/>
      <c r="I10" s="62"/>
      <c r="J10" s="24" t="s">
        <v>50</v>
      </c>
      <c r="M10" s="147">
        <f>IF(Calculations!E21=1,AVERAGE(Calculations!E1471:AH1471)," ")</f>
        <v>48.674188488446099</v>
      </c>
      <c r="N10" s="64"/>
    </row>
    <row r="11" spans="2:16375" s="24" customFormat="1" ht="14" x14ac:dyDescent="0.2">
      <c r="B11" s="62"/>
      <c r="C11" s="145" t="s">
        <v>312</v>
      </c>
      <c r="F11" s="170">
        <f>IF(Calculations!E21=1,SUM('Charts - Infrastructure'!E147:AH147)," ")</f>
        <v>1.9469174057293204E-2</v>
      </c>
      <c r="G11" s="157"/>
      <c r="I11" s="62"/>
      <c r="J11" s="24" t="s">
        <v>275</v>
      </c>
      <c r="M11" s="147">
        <f>IF(Calculations!E21=1,AVERAGE(Calculations!E1473:AH1473)," ")</f>
        <v>143.64070344284619</v>
      </c>
      <c r="N11" s="64"/>
    </row>
    <row r="12" spans="2:16375" s="24" customFormat="1" ht="16" thickBot="1" x14ac:dyDescent="0.25">
      <c r="B12" s="66"/>
      <c r="C12" s="68"/>
      <c r="D12" s="68"/>
      <c r="E12" s="68"/>
      <c r="F12" s="163"/>
      <c r="G12" s="158"/>
      <c r="I12" s="249"/>
      <c r="J12" s="250"/>
      <c r="K12" s="250"/>
      <c r="L12" s="250"/>
      <c r="M12" s="250"/>
      <c r="N12" s="251"/>
    </row>
    <row r="13" spans="2:16375" s="24" customFormat="1" thickBot="1" x14ac:dyDescent="0.25">
      <c r="F13" s="138"/>
    </row>
    <row r="14" spans="2:16375" s="24" customFormat="1" x14ac:dyDescent="0.2">
      <c r="B14" s="58"/>
      <c r="C14" s="59" t="s">
        <v>311</v>
      </c>
      <c r="D14" s="60"/>
      <c r="E14" s="60"/>
      <c r="F14" s="164"/>
      <c r="G14" s="61"/>
      <c r="I14" s="58"/>
      <c r="J14" s="59" t="s">
        <v>314</v>
      </c>
      <c r="K14" s="60"/>
      <c r="L14" s="60"/>
      <c r="M14" s="60"/>
      <c r="N14" s="61"/>
    </row>
    <row r="15" spans="2:16375" s="24" customFormat="1" ht="14" x14ac:dyDescent="0.2">
      <c r="B15" s="62"/>
      <c r="F15" s="138"/>
      <c r="G15" s="64"/>
      <c r="I15" s="62"/>
      <c r="L15" s="138"/>
      <c r="M15" s="138"/>
      <c r="N15" s="148"/>
    </row>
    <row r="16" spans="2:16375" s="24" customFormat="1" ht="14" x14ac:dyDescent="0.2">
      <c r="B16" s="62"/>
      <c r="F16" s="138" t="str">
        <f>'Results - Freight'!F16</f>
        <v>Initial (R$)</v>
      </c>
      <c r="G16" s="148" t="s">
        <v>426</v>
      </c>
      <c r="I16" s="62"/>
      <c r="J16" s="146" t="s">
        <v>318</v>
      </c>
      <c r="L16" s="167">
        <f>'Results - Freight'!L19+'Results - Passenger'!L19+'Results - Infrastructure'!L19</f>
        <v>775</v>
      </c>
      <c r="M16" s="24" t="str">
        <f>'Results - Freight'!M19</f>
        <v>R$ millions</v>
      </c>
      <c r="N16" s="527"/>
    </row>
    <row r="17" spans="2:23" s="24" customFormat="1" ht="14" x14ac:dyDescent="0.2">
      <c r="B17" s="62"/>
      <c r="C17" s="24" t="str">
        <f>"Freight tariff/"&amp;IF('Assumptions - Freight'!$E$111=1,"Net ton-km","ton")</f>
        <v>Freight tariff/Net ton-km</v>
      </c>
      <c r="F17" s="247">
        <f>'Results - Freight'!F17</f>
        <v>1</v>
      </c>
      <c r="G17" s="265">
        <f>'Results - Freight'!G17</f>
        <v>2.793849210418764E-2</v>
      </c>
      <c r="I17" s="62"/>
      <c r="J17" s="146" t="s">
        <v>543</v>
      </c>
      <c r="L17" s="167">
        <f>SUM(Calculations!E396:AH396)+SUM(Calculations!E426:AH426)+SUM(Calculations!E456:AH456)+SUM(Calculations!E486:AH486)+SUM(Calculations!E814:AH814)+SUM(Calculations!E844:AH844)+SUM(Calculations!E874:AH874)+SUM(Calculations!E904:AH904)+SUM(Calculations!E1286:AH1286)+SUM(Calculations!E1316:AH1316)+SUM(Calculations!E1346:AH1346)+SUM(Calculations!E1376:AH1376)</f>
        <v>875</v>
      </c>
      <c r="M17" s="407" t="str">
        <f>'Assumptions - General'!$E$27&amp;  " millions"</f>
        <v>R$ millions</v>
      </c>
      <c r="N17" s="528"/>
    </row>
    <row r="18" spans="2:23" s="24" customFormat="1" ht="14" x14ac:dyDescent="0.2">
      <c r="B18" s="62"/>
      <c r="C18" s="24" t="s">
        <v>630</v>
      </c>
      <c r="F18" s="247">
        <f>'Results - Passenger'!F17</f>
        <v>1</v>
      </c>
      <c r="G18" s="265">
        <f>'Results - Passenger'!G17</f>
        <v>3.0000000000000027E-2</v>
      </c>
      <c r="I18" s="62"/>
      <c r="J18" s="145" t="s">
        <v>544</v>
      </c>
      <c r="L18" s="167">
        <f>COUNTA('Results - Freight'!L7:O8)+COUNTA('Results - Passenger'!L7:O8)+COUNTA('Results - Infrastructure'!L7:O8)</f>
        <v>12</v>
      </c>
      <c r="M18" s="407"/>
      <c r="N18" s="408"/>
    </row>
    <row r="19" spans="2:23" s="24" customFormat="1" ht="14" x14ac:dyDescent="0.2">
      <c r="B19" s="62"/>
      <c r="C19" s="24" t="s">
        <v>447</v>
      </c>
      <c r="F19" s="247">
        <f>'Results - Freight'!F18</f>
        <v>0.25</v>
      </c>
      <c r="G19" s="265">
        <f>'Results - Freight'!G18</f>
        <v>3.0000000000000027E-2</v>
      </c>
      <c r="I19" s="62"/>
      <c r="J19" s="24" t="s">
        <v>319</v>
      </c>
      <c r="L19" s="167">
        <f>IF(Calculations!E21=1,Calculations!E1492+Calculations!E1495+Calculations!E1498," ")</f>
        <v>14217.5</v>
      </c>
      <c r="M19" s="24" t="str">
        <f>Calculations!D1492</f>
        <v>R$ millions</v>
      </c>
      <c r="N19" s="408"/>
    </row>
    <row r="20" spans="2:23" s="24" customFormat="1" thickBot="1" x14ac:dyDescent="0.25">
      <c r="B20" s="62"/>
      <c r="C20" s="24" t="s">
        <v>449</v>
      </c>
      <c r="F20" s="247">
        <f>'Results - Freight'!F19</f>
        <v>0.25</v>
      </c>
      <c r="G20" s="265">
        <f>'Results - Freight'!G19</f>
        <v>3.0000000000000027E-2</v>
      </c>
      <c r="I20" s="66"/>
      <c r="J20" s="409"/>
      <c r="K20" s="68"/>
      <c r="L20" s="410"/>
      <c r="M20" s="410"/>
      <c r="N20" s="411"/>
    </row>
    <row r="21" spans="2:23" s="24" customFormat="1" ht="16" thickBot="1" x14ac:dyDescent="0.25">
      <c r="B21" s="62"/>
      <c r="C21" s="24" t="s">
        <v>450</v>
      </c>
      <c r="F21" s="247">
        <f>'Results - Passenger'!F18</f>
        <v>0.25</v>
      </c>
      <c r="G21" s="265">
        <f>'Results - Passenger'!G18</f>
        <v>3.0000000000000027E-2</v>
      </c>
      <c r="I21" s="22"/>
      <c r="J21" s="68"/>
      <c r="K21" s="68"/>
      <c r="L21" s="68"/>
      <c r="M21" s="68"/>
      <c r="N21" s="22"/>
    </row>
    <row r="22" spans="2:23" s="24" customFormat="1" x14ac:dyDescent="0.2">
      <c r="B22" s="62"/>
      <c r="C22" s="24" t="s">
        <v>448</v>
      </c>
      <c r="F22" s="247">
        <f>'Results - Passenger'!F19</f>
        <v>0.25</v>
      </c>
      <c r="G22" s="265">
        <f>'Results - Passenger'!G19</f>
        <v>3.0000000000000027E-2</v>
      </c>
      <c r="I22" s="58"/>
      <c r="J22" s="59" t="s">
        <v>659</v>
      </c>
      <c r="K22" s="60"/>
      <c r="L22" s="60"/>
      <c r="M22" s="60"/>
      <c r="N22" s="61"/>
      <c r="O22" s="22"/>
      <c r="P22" s="22"/>
      <c r="Q22" s="22"/>
      <c r="R22" s="22"/>
      <c r="S22" s="22"/>
      <c r="T22" s="22"/>
      <c r="U22" s="22"/>
      <c r="V22" s="22"/>
      <c r="W22" s="22"/>
    </row>
    <row r="23" spans="2:23" s="24" customFormat="1" x14ac:dyDescent="0.2">
      <c r="B23" s="62"/>
      <c r="C23" s="24" t="s">
        <v>321</v>
      </c>
      <c r="F23" s="248">
        <f>('Assumptions - Freight'!E253+'Assumptions - Freight'!E264+'Assumptions - Passenger'!E202+'Assumptions - Passenger'!E213+'Assumptions - Infrastructure'!E213+'Assumptions - Infrastructure'!E202)*1000000</f>
        <v>110000000</v>
      </c>
      <c r="G23" s="246">
        <f>SUM('Charts - Consolidated'!E174:AH174)</f>
        <v>3.0000000000000027E-2</v>
      </c>
      <c r="I23" s="62"/>
      <c r="N23" s="64"/>
      <c r="O23" s="22"/>
      <c r="P23" s="22"/>
      <c r="Q23" s="22"/>
      <c r="R23" s="22"/>
      <c r="S23" s="22"/>
      <c r="T23" s="22"/>
      <c r="U23" s="22"/>
      <c r="V23" s="22"/>
      <c r="W23" s="22"/>
    </row>
    <row r="24" spans="2:23" s="24" customFormat="1" thickBot="1" x14ac:dyDescent="0.25">
      <c r="B24" s="66"/>
      <c r="C24" s="68"/>
      <c r="D24" s="68"/>
      <c r="E24" s="68"/>
      <c r="F24" s="163"/>
      <c r="G24" s="160"/>
      <c r="I24" s="62"/>
      <c r="J24" s="24" t="str">
        <f>'Results - Freight'!J25</f>
        <v>Land</v>
      </c>
      <c r="M24" s="165">
        <f>'Results - Freight'!M25+'Results - Passenger'!M25+'Results - Infrastructure'!M25</f>
        <v>1160</v>
      </c>
      <c r="N24" s="64" t="str">
        <f>'Results - Freight'!N25</f>
        <v>R$ millions</v>
      </c>
    </row>
    <row r="25" spans="2:23" s="24" customFormat="1" thickBot="1" x14ac:dyDescent="0.25">
      <c r="F25" s="138"/>
      <c r="G25" s="139"/>
      <c r="I25" s="62"/>
      <c r="J25" s="24" t="str">
        <f>'Results - Freight'!J26</f>
        <v>Buildings and structures</v>
      </c>
      <c r="M25" s="165">
        <f>'Results - Freight'!M26+'Results - Passenger'!M26+'Results - Infrastructure'!M26</f>
        <v>1740</v>
      </c>
      <c r="N25" s="64" t="str">
        <f>'Results - Freight'!N26</f>
        <v>R$ millions</v>
      </c>
    </row>
    <row r="26" spans="2:23" s="24" customFormat="1" x14ac:dyDescent="0.2">
      <c r="B26" s="58"/>
      <c r="C26" s="59" t="s">
        <v>323</v>
      </c>
      <c r="D26" s="60"/>
      <c r="E26" s="60"/>
      <c r="F26" s="164"/>
      <c r="G26" s="161"/>
      <c r="I26" s="62"/>
      <c r="J26" s="24" t="str">
        <f>'Results - Freight'!J27</f>
        <v>Track and infrastructure</v>
      </c>
      <c r="M26" s="165">
        <f>'Results - Freight'!M27+'Results - Passenger'!M27+'Results - Infrastructure'!M27</f>
        <v>8540</v>
      </c>
      <c r="N26" s="64" t="str">
        <f>'Results - Freight'!N27</f>
        <v>R$ millions</v>
      </c>
    </row>
    <row r="27" spans="2:23" s="24" customFormat="1" ht="13.5" customHeight="1" x14ac:dyDescent="0.2">
      <c r="B27" s="101"/>
      <c r="C27" s="103"/>
      <c r="D27" s="20"/>
      <c r="E27" s="20"/>
      <c r="F27" s="536" t="str">
        <f>'Results - Freight'!F24</f>
        <v>Initial (R$ millions)</v>
      </c>
      <c r="G27" s="264" t="s">
        <v>427</v>
      </c>
      <c r="I27" s="62"/>
      <c r="J27" s="24" t="str">
        <f>'Results - Freight'!J28</f>
        <v>Locomotives and railway cars</v>
      </c>
      <c r="M27" s="165">
        <f>'Results - Freight'!M28+'Results - Passenger'!M28+'Results - Infrastructure'!M28</f>
        <v>8550</v>
      </c>
      <c r="N27" s="64" t="str">
        <f>'Results - Freight'!N28</f>
        <v>R$ millions</v>
      </c>
    </row>
    <row r="28" spans="2:23" s="24" customFormat="1" x14ac:dyDescent="0.2">
      <c r="B28" s="101"/>
      <c r="C28" s="103"/>
      <c r="D28" s="20"/>
      <c r="E28" s="20"/>
      <c r="F28" s="536"/>
      <c r="G28" s="264"/>
      <c r="I28" s="62"/>
      <c r="J28" s="24" t="str">
        <f>'Results - Freight'!J29</f>
        <v>Machines, equipment and spare parts</v>
      </c>
      <c r="M28" s="165">
        <f>'Results - Freight'!M29+'Results - Passenger'!M29+'Results - Infrastructure'!M29</f>
        <v>2175</v>
      </c>
      <c r="N28" s="64" t="str">
        <f>'Results - Freight'!N29</f>
        <v>R$ millions</v>
      </c>
    </row>
    <row r="29" spans="2:23" s="24" customFormat="1" ht="14" x14ac:dyDescent="0.2">
      <c r="B29" s="62"/>
      <c r="C29" s="24" t="s">
        <v>37</v>
      </c>
      <c r="F29" s="165">
        <f>'Income statement'!E21</f>
        <v>3000</v>
      </c>
      <c r="G29" s="246">
        <f>SUM(Calculations!E1408:AH1408)</f>
        <v>3.7151985714142688E-2</v>
      </c>
      <c r="I29" s="62"/>
      <c r="J29" s="24" t="str">
        <f>'Results - Freight'!J30</f>
        <v>Others</v>
      </c>
      <c r="M29" s="165">
        <f>'Results - Freight'!M30+'Results - Passenger'!M30+'Results - Infrastructure'!M30</f>
        <v>2175</v>
      </c>
      <c r="N29" s="64" t="str">
        <f>'Results - Freight'!N30</f>
        <v>R$ millions</v>
      </c>
    </row>
    <row r="30" spans="2:23" s="24" customFormat="1" ht="14" x14ac:dyDescent="0.2">
      <c r="B30" s="62"/>
      <c r="C30" s="24" t="s">
        <v>422</v>
      </c>
      <c r="F30" s="165">
        <f>'Income statement'!E22</f>
        <v>1500</v>
      </c>
      <c r="G30" s="246">
        <f>SUM(Calculations!E1410:AH1410)</f>
        <v>5.2790844470797404E-2</v>
      </c>
      <c r="I30" s="62"/>
      <c r="J30" s="24" t="s">
        <v>412</v>
      </c>
      <c r="M30" s="165">
        <f>SUM(M24:M29)</f>
        <v>24340</v>
      </c>
      <c r="N30" s="64" t="str">
        <f>'Results - Freight'!N31</f>
        <v>R$ millions</v>
      </c>
    </row>
    <row r="31" spans="2:23" s="24" customFormat="1" thickBot="1" x14ac:dyDescent="0.25">
      <c r="B31" s="62"/>
      <c r="C31" s="24" t="s">
        <v>41</v>
      </c>
      <c r="F31" s="165">
        <f>'Income statement'!E23</f>
        <v>1500</v>
      </c>
      <c r="G31" s="246">
        <f>SUM(Calculations!E1412:AH1412)</f>
        <v>4.7007650557183478E-2</v>
      </c>
      <c r="I31" s="66"/>
      <c r="J31" s="68"/>
      <c r="K31" s="68"/>
      <c r="L31" s="68"/>
      <c r="M31" s="163"/>
      <c r="N31" s="70"/>
    </row>
    <row r="32" spans="2:23" s="24" customFormat="1" ht="14" x14ac:dyDescent="0.2">
      <c r="B32" s="62"/>
      <c r="C32" s="24" t="s">
        <v>218</v>
      </c>
      <c r="F32" s="165">
        <f>'Income statement'!E24</f>
        <v>1500</v>
      </c>
      <c r="G32" s="246">
        <f>SUM(Calculations!E1414:AH1414)</f>
        <v>5.7801836632967118E-2</v>
      </c>
    </row>
    <row r="33" spans="1:42" s="24" customFormat="1" ht="14" x14ac:dyDescent="0.2">
      <c r="B33" s="62"/>
      <c r="C33" s="24" t="s">
        <v>423</v>
      </c>
      <c r="F33" s="165">
        <f>'Income statement'!E25</f>
        <v>1500</v>
      </c>
      <c r="G33" s="246">
        <f>SUM(Calculations!E1416:AH1416)</f>
        <v>3.0000000000000027E-2</v>
      </c>
    </row>
    <row r="34" spans="1:42" s="24" customFormat="1" ht="14" x14ac:dyDescent="0.2">
      <c r="B34" s="62"/>
      <c r="C34" s="24" t="s">
        <v>424</v>
      </c>
      <c r="F34" s="165">
        <f>'Income statement'!E26</f>
        <v>1500</v>
      </c>
      <c r="G34" s="246">
        <f>SUM(Calculations!E1418:AH1418)</f>
        <v>3.0000000000000027E-2</v>
      </c>
    </row>
    <row r="35" spans="1:42" s="24" customFormat="1" ht="14" x14ac:dyDescent="0.2">
      <c r="B35" s="62"/>
      <c r="C35" s="24" t="s">
        <v>425</v>
      </c>
      <c r="F35" s="165">
        <f>IF(Calculations!E21=1,-'Income statement'!E30," ")</f>
        <v>730</v>
      </c>
      <c r="G35" s="246">
        <f>SUM(Calculations!E1433:AH1433)</f>
        <v>3.2699354761008603E-2</v>
      </c>
    </row>
    <row r="36" spans="1:42" s="2" customFormat="1" ht="16" thickBot="1" x14ac:dyDescent="0.25">
      <c r="A36" s="24"/>
      <c r="B36" s="66"/>
      <c r="C36" s="159"/>
      <c r="D36" s="68"/>
      <c r="E36" s="68"/>
      <c r="F36" s="166"/>
      <c r="G36" s="70"/>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row>
    <row r="37" spans="1:42" s="2" customFormat="1" x14ac:dyDescent="0.2">
      <c r="A37" s="24"/>
      <c r="B37" s="24"/>
      <c r="C37" s="145"/>
      <c r="D37" s="24"/>
      <c r="E37" s="24"/>
      <c r="F37" s="45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row>
    <row r="38" spans="1:42" s="18" customFormat="1" x14ac:dyDescent="0.2">
      <c r="A38" s="2"/>
      <c r="B38" s="4" t="str">
        <f>IF('Assumptions - General'!$E$10=1,"SUMMARY OF RESULTS", "CONSOLIDATED SUMMARY OF RESULTS")</f>
        <v>CONSOLIDATED SUMMARY OF RESULTS</v>
      </c>
      <c r="C38" s="2"/>
      <c r="D38" s="2"/>
      <c r="E38" s="2"/>
      <c r="F38" s="2"/>
      <c r="G38" s="2"/>
      <c r="H38" s="2"/>
      <c r="I38" s="2"/>
      <c r="J38" s="2"/>
      <c r="K38" s="2"/>
      <c r="L38" s="2"/>
      <c r="M38" s="2"/>
      <c r="N38" s="2"/>
      <c r="O38" s="2"/>
      <c r="P38" s="2"/>
      <c r="Q38" s="2"/>
      <c r="R38" s="2"/>
    </row>
    <row r="39" spans="1:42" s="18" customFormat="1" x14ac:dyDescent="0.2">
      <c r="A39" s="2"/>
      <c r="B39" s="3" t="str">
        <f>'Assumptions - General'!$E$23</f>
        <v xml:space="preserve">Ruritania Railways </v>
      </c>
      <c r="C39" s="2"/>
      <c r="D39" s="2"/>
      <c r="E39" s="2"/>
      <c r="F39" s="2"/>
      <c r="G39" s="2"/>
      <c r="H39" s="2"/>
      <c r="I39" s="2"/>
      <c r="J39" s="2"/>
      <c r="K39" s="2"/>
      <c r="L39" s="2"/>
      <c r="M39" s="2"/>
      <c r="N39" s="2"/>
      <c r="O39" s="2"/>
      <c r="P39" s="2"/>
      <c r="Q39" s="2"/>
      <c r="R39" s="2"/>
    </row>
    <row r="40" spans="1:42" s="18" customFormat="1" x14ac:dyDescent="0.2">
      <c r="A40" s="2"/>
      <c r="B40" s="3" t="str">
        <f>"All units in "  &amp;'Assumptions - General'!$E$27&amp;  " millions unless otherwise stated"</f>
        <v>All units in R$ millions unless otherwise stated</v>
      </c>
      <c r="C40" s="6"/>
      <c r="D40" s="2"/>
      <c r="E40" s="2"/>
      <c r="F40" s="2"/>
      <c r="G40" s="2"/>
      <c r="H40" s="2"/>
      <c r="I40" s="2"/>
      <c r="J40" s="2"/>
      <c r="K40" s="2"/>
      <c r="L40" s="2"/>
      <c r="M40" s="2"/>
      <c r="N40" s="2"/>
      <c r="O40" s="2"/>
      <c r="P40" s="2"/>
      <c r="Q40" s="2"/>
      <c r="R40" s="2"/>
    </row>
    <row r="41" spans="1:42" s="18" customFormat="1" x14ac:dyDescent="0.2">
      <c r="B41" s="77"/>
      <c r="C41" s="78"/>
    </row>
    <row r="42" spans="1:42" s="18" customFormat="1" x14ac:dyDescent="0.2">
      <c r="A42" s="1"/>
      <c r="B42" s="1"/>
      <c r="C42" s="1"/>
      <c r="D42" s="1"/>
      <c r="E42" s="1"/>
      <c r="F42" s="1"/>
      <c r="G42" s="1"/>
      <c r="H42" s="1"/>
      <c r="I42" s="1"/>
      <c r="J42" s="142" t="s">
        <v>297</v>
      </c>
      <c r="K42" s="270">
        <f>IF(Calculations!E21=1,SUM('Charts - Consolidated'!E153:AH153)," ")</f>
        <v>2.1092856717537467E-2</v>
      </c>
      <c r="L42" s="1"/>
      <c r="M42" s="1"/>
      <c r="N42" s="1"/>
      <c r="O42" s="1"/>
      <c r="P42" s="1"/>
      <c r="Q42" s="1"/>
      <c r="R42" s="1"/>
    </row>
    <row r="43" spans="1:42" s="18" customFormat="1" x14ac:dyDescent="0.2">
      <c r="A43" s="1"/>
      <c r="B43" s="1"/>
      <c r="C43" s="1"/>
      <c r="D43" s="1"/>
      <c r="E43" s="1"/>
      <c r="F43" s="1"/>
      <c r="G43" s="1"/>
      <c r="H43" s="1"/>
      <c r="I43" s="1"/>
      <c r="J43" s="1"/>
      <c r="K43" s="1"/>
      <c r="L43" s="1"/>
      <c r="M43" s="1"/>
      <c r="N43" s="1"/>
      <c r="O43" s="1"/>
      <c r="P43" s="1"/>
      <c r="Q43" s="1"/>
      <c r="R43" s="1"/>
    </row>
    <row r="44" spans="1:42" s="18" customFormat="1" x14ac:dyDescent="0.2">
      <c r="A44" s="1"/>
      <c r="B44" s="1"/>
      <c r="C44" s="1"/>
      <c r="D44" s="1"/>
      <c r="E44" s="1"/>
      <c r="F44" s="1"/>
      <c r="G44" s="1"/>
      <c r="H44" s="1"/>
      <c r="I44" s="1"/>
      <c r="J44" s="1"/>
      <c r="K44" s="1"/>
      <c r="L44" s="1"/>
      <c r="M44" s="1"/>
      <c r="N44" s="1"/>
      <c r="O44" s="1"/>
      <c r="P44" s="1"/>
      <c r="Q44" s="1"/>
      <c r="R44" s="1"/>
    </row>
    <row r="45" spans="1:42" s="18" customFormat="1" x14ac:dyDescent="0.2">
      <c r="A45" s="1"/>
      <c r="B45" s="1"/>
      <c r="C45" s="1"/>
      <c r="D45" s="1"/>
      <c r="E45" s="1"/>
      <c r="F45" s="1"/>
      <c r="G45" s="1"/>
      <c r="H45" s="1"/>
      <c r="I45" s="1"/>
      <c r="J45" s="1"/>
      <c r="K45" s="1"/>
      <c r="L45" s="1"/>
      <c r="M45" s="1"/>
      <c r="N45" s="1"/>
      <c r="O45" s="1"/>
      <c r="P45" s="1"/>
      <c r="Q45" s="1"/>
      <c r="R45" s="1"/>
    </row>
    <row r="46" spans="1:42" s="18" customFormat="1" x14ac:dyDescent="0.2">
      <c r="A46" s="1"/>
      <c r="B46" s="1"/>
      <c r="C46" s="1"/>
      <c r="D46" s="1"/>
      <c r="E46" s="1"/>
      <c r="F46" s="1"/>
      <c r="G46" s="1"/>
      <c r="H46" s="1"/>
      <c r="I46" s="1"/>
      <c r="J46" s="1"/>
      <c r="K46" s="1"/>
      <c r="L46" s="1"/>
      <c r="M46" s="1"/>
      <c r="N46" s="1"/>
      <c r="O46" s="1"/>
      <c r="P46" s="1"/>
      <c r="Q46" s="1"/>
      <c r="R46" s="1"/>
    </row>
    <row r="47" spans="1:42" s="18" customFormat="1" x14ac:dyDescent="0.2">
      <c r="A47" s="1"/>
      <c r="B47" s="1"/>
      <c r="C47" s="1"/>
      <c r="D47" s="1"/>
      <c r="E47" s="1"/>
      <c r="F47" s="1"/>
      <c r="G47" s="1"/>
      <c r="H47" s="1"/>
      <c r="I47" s="1"/>
      <c r="J47" s="1"/>
      <c r="K47" s="1"/>
      <c r="L47" s="1"/>
      <c r="M47" s="1"/>
      <c r="N47" s="1"/>
      <c r="O47" s="1"/>
      <c r="P47" s="1"/>
      <c r="Q47" s="1"/>
      <c r="R47" s="1"/>
    </row>
    <row r="48" spans="1:42" s="18" customFormat="1" x14ac:dyDescent="0.2">
      <c r="A48" s="1"/>
      <c r="B48" s="1"/>
      <c r="C48" s="1"/>
      <c r="D48" s="1"/>
      <c r="E48" s="1"/>
      <c r="F48" s="1"/>
      <c r="G48" s="1"/>
      <c r="H48" s="1"/>
      <c r="I48" s="1"/>
      <c r="J48" s="1"/>
      <c r="K48" s="1"/>
      <c r="L48" s="1"/>
      <c r="M48" s="1"/>
      <c r="N48" s="1"/>
      <c r="O48" s="1"/>
      <c r="P48" s="1"/>
      <c r="Q48" s="1"/>
      <c r="R48" s="1"/>
    </row>
    <row r="49" spans="1:18" s="18" customFormat="1" x14ac:dyDescent="0.2">
      <c r="A49" s="1"/>
      <c r="B49" s="1"/>
      <c r="C49" s="1"/>
      <c r="D49" s="1"/>
      <c r="E49" s="1"/>
      <c r="F49" s="1"/>
      <c r="G49" s="1"/>
      <c r="H49" s="1"/>
      <c r="I49" s="1"/>
      <c r="J49" s="1"/>
      <c r="K49" s="1"/>
      <c r="L49" s="1"/>
      <c r="M49" s="1"/>
      <c r="N49" s="1"/>
      <c r="O49" s="1"/>
      <c r="P49" s="1"/>
      <c r="Q49" s="1"/>
      <c r="R49" s="1"/>
    </row>
    <row r="50" spans="1:18" s="18" customFormat="1" x14ac:dyDescent="0.2">
      <c r="A50" s="1"/>
      <c r="B50" s="1"/>
      <c r="C50" s="1"/>
      <c r="D50" s="1"/>
      <c r="E50" s="1"/>
      <c r="F50" s="1"/>
      <c r="G50" s="1"/>
      <c r="H50" s="1"/>
      <c r="I50" s="1"/>
      <c r="J50" s="1"/>
      <c r="K50" s="1"/>
      <c r="L50" s="1"/>
      <c r="M50" s="1"/>
      <c r="N50" s="1"/>
      <c r="O50" s="1"/>
      <c r="P50" s="1"/>
      <c r="Q50" s="1"/>
      <c r="R50" s="1"/>
    </row>
    <row r="51" spans="1:18" s="18" customFormat="1" x14ac:dyDescent="0.2">
      <c r="A51" s="1"/>
      <c r="B51" s="1"/>
      <c r="C51" s="1"/>
      <c r="D51" s="1"/>
      <c r="E51" s="1"/>
      <c r="F51" s="1"/>
      <c r="G51" s="1"/>
      <c r="H51" s="1"/>
      <c r="I51" s="1"/>
      <c r="J51" s="1"/>
      <c r="K51" s="1"/>
      <c r="L51" s="1"/>
      <c r="M51" s="1"/>
      <c r="N51" s="1"/>
      <c r="O51" s="1"/>
      <c r="P51" s="1"/>
      <c r="Q51" s="1"/>
      <c r="R51" s="1"/>
    </row>
    <row r="52" spans="1:18" s="18" customFormat="1" x14ac:dyDescent="0.2">
      <c r="A52" s="1"/>
      <c r="B52" s="1"/>
      <c r="C52" s="1"/>
      <c r="D52" s="1"/>
      <c r="E52" s="1"/>
      <c r="F52" s="1"/>
      <c r="G52" s="1"/>
      <c r="H52" s="1"/>
      <c r="I52" s="1"/>
      <c r="J52" s="1"/>
      <c r="K52" s="1"/>
      <c r="L52" s="1"/>
      <c r="M52" s="1"/>
      <c r="N52" s="1"/>
      <c r="O52" s="1"/>
      <c r="P52" s="1"/>
      <c r="Q52" s="1"/>
      <c r="R52" s="1"/>
    </row>
    <row r="53" spans="1:18" s="18" customFormat="1" x14ac:dyDescent="0.2">
      <c r="A53" s="1"/>
      <c r="B53" s="1"/>
      <c r="C53" s="1"/>
      <c r="D53" s="1"/>
      <c r="E53" s="1"/>
      <c r="F53" s="1"/>
      <c r="G53" s="1"/>
      <c r="H53" s="1"/>
      <c r="I53" s="1"/>
      <c r="J53" s="1"/>
      <c r="K53" s="1"/>
      <c r="L53" s="1"/>
      <c r="M53" s="1"/>
      <c r="N53" s="1"/>
      <c r="O53" s="1"/>
      <c r="P53" s="1"/>
      <c r="Q53" s="1"/>
      <c r="R53" s="1"/>
    </row>
    <row r="54" spans="1:18" s="18" customFormat="1" ht="16" thickBot="1" x14ac:dyDescent="0.25">
      <c r="A54" s="1"/>
      <c r="B54" s="1"/>
      <c r="C54" s="1"/>
      <c r="D54" s="1"/>
      <c r="E54" s="1"/>
      <c r="F54" s="1"/>
      <c r="G54" s="1"/>
      <c r="H54" s="1"/>
      <c r="I54" s="1"/>
      <c r="J54" s="1"/>
      <c r="K54" s="1"/>
      <c r="L54" s="1"/>
      <c r="M54" s="1"/>
      <c r="N54" s="1"/>
      <c r="O54" s="1"/>
      <c r="P54" s="1"/>
      <c r="Q54" s="1"/>
      <c r="R54" s="1"/>
    </row>
    <row r="55" spans="1:18" s="18" customFormat="1" x14ac:dyDescent="0.2">
      <c r="A55" s="1"/>
      <c r="B55" s="1"/>
      <c r="C55" s="1"/>
      <c r="D55" s="1"/>
      <c r="E55" s="1"/>
      <c r="F55" s="1"/>
      <c r="G55" s="1"/>
      <c r="H55" s="1"/>
      <c r="I55" s="1"/>
      <c r="J55" s="58"/>
      <c r="K55" s="59" t="s">
        <v>203</v>
      </c>
      <c r="L55" s="60"/>
      <c r="M55" s="60"/>
      <c r="N55" s="60"/>
      <c r="O55" s="60"/>
      <c r="P55" s="60"/>
      <c r="Q55" s="60"/>
      <c r="R55" s="61"/>
    </row>
    <row r="56" spans="1:18" s="18" customFormat="1" ht="16" thickBot="1" x14ac:dyDescent="0.25">
      <c r="A56" s="1"/>
      <c r="B56" s="1"/>
      <c r="C56" s="1"/>
      <c r="D56" s="1"/>
      <c r="E56" s="1"/>
      <c r="F56" s="1"/>
      <c r="G56" s="1"/>
      <c r="H56" s="1"/>
      <c r="I56" s="1"/>
      <c r="J56" s="75"/>
      <c r="K56" s="22"/>
      <c r="L56" s="22"/>
      <c r="M56" s="22"/>
      <c r="N56" s="71"/>
      <c r="O56" s="529" t="str">
        <f>B39</f>
        <v xml:space="preserve">Ruritania Railways </v>
      </c>
      <c r="P56" s="529"/>
      <c r="Q56" s="530" t="str">
        <f>'Assumptions - Consolidated'!E18</f>
        <v>EU railways</v>
      </c>
      <c r="R56" s="531"/>
    </row>
    <row r="57" spans="1:18" s="18" customFormat="1" x14ac:dyDescent="0.2">
      <c r="A57" s="1"/>
      <c r="B57" s="58"/>
      <c r="C57" s="59" t="s">
        <v>166</v>
      </c>
      <c r="D57" s="60"/>
      <c r="E57" s="60"/>
      <c r="F57" s="60"/>
      <c r="G57" s="60"/>
      <c r="H57" s="61"/>
      <c r="I57" s="1"/>
      <c r="J57" s="75"/>
      <c r="K57" s="22"/>
      <c r="L57" s="22"/>
      <c r="M57" s="22"/>
      <c r="N57" s="71"/>
      <c r="O57" s="529"/>
      <c r="P57" s="529"/>
      <c r="Q57" s="532"/>
      <c r="R57" s="531"/>
    </row>
    <row r="58" spans="1:18" s="18" customFormat="1" x14ac:dyDescent="0.2">
      <c r="A58" s="1"/>
      <c r="B58" s="101"/>
      <c r="C58" s="17"/>
      <c r="G58" s="72" t="s">
        <v>162</v>
      </c>
      <c r="H58" s="102"/>
      <c r="I58" s="1"/>
      <c r="J58" s="62"/>
      <c r="K58" s="139" t="s">
        <v>298</v>
      </c>
      <c r="L58" s="140"/>
      <c r="M58" s="140"/>
      <c r="N58" s="139"/>
      <c r="O58" s="533">
        <f>IF(Calculations!E21=1,K42," ")</f>
        <v>2.1092856717537467E-2</v>
      </c>
      <c r="P58" s="534"/>
      <c r="Q58" s="1"/>
      <c r="R58" s="135"/>
    </row>
    <row r="59" spans="1:18" s="18" customFormat="1" x14ac:dyDescent="0.2">
      <c r="A59" s="1"/>
      <c r="B59" s="101"/>
      <c r="C59" s="519" t="s">
        <v>212</v>
      </c>
      <c r="D59" s="24" t="s">
        <v>172</v>
      </c>
      <c r="F59" s="104">
        <f>MIN('Charts - Consolidated'!E140:AH140)</f>
        <v>0.87306732421554956</v>
      </c>
      <c r="G59" s="63">
        <f>INDEX(Calculations!E$6:AH$6,MATCH('Results - Consolidated'!F59,'Charts - Consolidated'!$E$140:$AH$140,0))</f>
        <v>42004</v>
      </c>
      <c r="H59" s="102"/>
      <c r="I59" s="1"/>
      <c r="J59" s="62"/>
      <c r="K59" s="139" t="s">
        <v>204</v>
      </c>
      <c r="L59" s="140"/>
      <c r="M59" s="140"/>
      <c r="N59" s="139"/>
      <c r="O59" s="524">
        <f>IF(Calculations!E21=1,AVERAGE('Charts - Consolidated'!F218:AI218)," ")</f>
        <v>2.9226420641071926</v>
      </c>
      <c r="P59" s="524"/>
      <c r="Q59" s="525">
        <f>'Assumptions - Consolidated'!E19</f>
        <v>1</v>
      </c>
      <c r="R59" s="526"/>
    </row>
    <row r="60" spans="1:18" s="18" customFormat="1" x14ac:dyDescent="0.2">
      <c r="A60" s="1"/>
      <c r="B60" s="101"/>
      <c r="C60" s="535"/>
      <c r="D60" s="24" t="s">
        <v>164</v>
      </c>
      <c r="F60" s="104">
        <f>MAX('Charts - Consolidated'!E140:AH140)</f>
        <v>0.8942090291902749</v>
      </c>
      <c r="G60" s="63">
        <f>INDEX(Calculations!E$6:AH$6,MATCH('Results - Consolidated'!F60,'Charts - Consolidated'!$E$140:$AH$140,0))</f>
        <v>51135</v>
      </c>
      <c r="H60" s="102"/>
      <c r="I60" s="1"/>
      <c r="J60" s="62"/>
      <c r="K60" s="139" t="s">
        <v>205</v>
      </c>
      <c r="L60" s="140"/>
      <c r="M60" s="140"/>
      <c r="N60" s="139"/>
      <c r="O60" s="524">
        <f>IF(Calculations!E21=1,AVERAGE('Charts - Consolidated'!F232:AI232)," ")</f>
        <v>10.894252873563218</v>
      </c>
      <c r="P60" s="524"/>
      <c r="Q60" s="525">
        <f>'Assumptions - Consolidated'!E20</f>
        <v>1</v>
      </c>
      <c r="R60" s="526"/>
    </row>
    <row r="61" spans="1:18" s="18" customFormat="1" ht="16" thickBot="1" x14ac:dyDescent="0.25">
      <c r="A61" s="1"/>
      <c r="B61" s="101"/>
      <c r="C61" s="103"/>
      <c r="D61" s="24" t="s">
        <v>165</v>
      </c>
      <c r="F61" s="104">
        <f>IF(Calculations!E21=1,AVERAGE('Charts - Consolidated'!E140:AH140)," ")</f>
        <v>0.88507914573925706</v>
      </c>
      <c r="G61" s="63"/>
      <c r="H61" s="102"/>
      <c r="I61" s="1"/>
      <c r="J61" s="66"/>
      <c r="K61" s="171" t="s">
        <v>196</v>
      </c>
      <c r="L61" s="172"/>
      <c r="M61" s="172"/>
      <c r="N61" s="171"/>
      <c r="O61" s="521">
        <f>IF(Calculations!E21=1,AVERAGE('Charts - Consolidated'!F225:AI225)," ")</f>
        <v>3.7183908045977003</v>
      </c>
      <c r="P61" s="521"/>
      <c r="Q61" s="522">
        <f>'Assumptions - Consolidated'!E21</f>
        <v>1</v>
      </c>
      <c r="R61" s="523"/>
    </row>
    <row r="62" spans="1:18" s="18" customFormat="1" x14ac:dyDescent="0.2">
      <c r="A62" s="1"/>
      <c r="B62" s="101"/>
      <c r="C62" s="103"/>
      <c r="F62" s="105"/>
      <c r="H62" s="102"/>
      <c r="I62" s="1"/>
      <c r="J62" s="1"/>
      <c r="K62" s="1"/>
      <c r="L62" s="1"/>
      <c r="M62" s="1"/>
      <c r="N62" s="1"/>
      <c r="O62" s="1"/>
      <c r="P62" s="1"/>
      <c r="Q62" s="1"/>
      <c r="R62" s="1"/>
    </row>
    <row r="63" spans="1:18" s="18" customFormat="1" ht="30" x14ac:dyDescent="0.2">
      <c r="A63" s="1"/>
      <c r="B63" s="101"/>
      <c r="C63" s="258" t="s">
        <v>213</v>
      </c>
      <c r="D63" s="24" t="s">
        <v>172</v>
      </c>
      <c r="F63" s="104">
        <f>MIN(Calculations!E1449:AH1449)</f>
        <v>0.56452939246550815</v>
      </c>
      <c r="G63" s="63">
        <f>IF(Calculations!E21=1,INDEX(Calculations!E$6:AH$6,MATCH('Results - Consolidated'!F89,Calculations!E$1449:AH$1449,0))," ")</f>
        <v>40908</v>
      </c>
      <c r="H63" s="102"/>
      <c r="I63" s="1"/>
      <c r="J63" s="1"/>
      <c r="K63" s="1"/>
      <c r="L63" s="1"/>
      <c r="M63" s="1"/>
      <c r="N63" s="1"/>
      <c r="O63" s="1"/>
      <c r="P63" s="1"/>
      <c r="Q63" s="1"/>
      <c r="R63" s="1"/>
    </row>
    <row r="64" spans="1:18" s="18" customFormat="1" x14ac:dyDescent="0.2">
      <c r="A64" s="1"/>
      <c r="B64" s="101"/>
      <c r="C64" s="259"/>
      <c r="D64" s="24" t="s">
        <v>164</v>
      </c>
      <c r="F64" s="104">
        <f>MAX(Calculations!E1449:AH1449)</f>
        <v>0.69279021973532318</v>
      </c>
      <c r="G64" s="63">
        <f>IF(Calculations!E21=1,INDEX(Calculations!E$6:AH$6,MATCH('Results - Consolidated'!F90,Calculations!E$1449:AH$1449,0))," ")</f>
        <v>51135</v>
      </c>
      <c r="H64" s="102"/>
      <c r="I64" s="1"/>
      <c r="J64" s="1"/>
      <c r="K64" s="1"/>
      <c r="L64" s="1"/>
      <c r="M64" s="1"/>
      <c r="N64" s="1"/>
      <c r="O64" s="1"/>
      <c r="P64" s="1"/>
      <c r="Q64" s="1"/>
      <c r="R64" s="1"/>
    </row>
    <row r="65" spans="1:18" s="18" customFormat="1" x14ac:dyDescent="0.2">
      <c r="A65" s="1"/>
      <c r="B65" s="101"/>
      <c r="C65" s="17"/>
      <c r="D65" s="24" t="s">
        <v>165</v>
      </c>
      <c r="F65" s="104">
        <f>IF(Calculations!E21=1,AVERAGE(Calculations!E1449:AH1449)," ")</f>
        <v>0.63372094675527335</v>
      </c>
      <c r="H65" s="102"/>
      <c r="I65" s="1"/>
      <c r="J65" s="1"/>
      <c r="K65" s="1"/>
      <c r="L65" s="1"/>
      <c r="M65" s="1"/>
      <c r="N65" s="1"/>
      <c r="O65" s="1"/>
      <c r="P65" s="1"/>
      <c r="Q65" s="1"/>
      <c r="R65" s="1"/>
    </row>
    <row r="66" spans="1:18" s="18" customFormat="1" x14ac:dyDescent="0.2">
      <c r="A66" s="1"/>
      <c r="B66" s="62"/>
      <c r="C66" s="24"/>
      <c r="D66" s="24"/>
      <c r="E66" s="24"/>
      <c r="F66" s="24"/>
      <c r="G66" s="24"/>
      <c r="H66" s="64"/>
      <c r="I66" s="1"/>
      <c r="J66" s="1"/>
      <c r="K66" s="1"/>
      <c r="L66" s="1"/>
      <c r="M66" s="1"/>
      <c r="N66" s="1"/>
      <c r="O66" s="1"/>
      <c r="P66" s="1"/>
      <c r="Q66" s="1"/>
      <c r="R66" s="1"/>
    </row>
    <row r="67" spans="1:18" s="18" customFormat="1" x14ac:dyDescent="0.2">
      <c r="A67" s="1"/>
      <c r="B67" s="62"/>
      <c r="C67" s="26" t="s">
        <v>173</v>
      </c>
      <c r="D67" s="24" t="s">
        <v>172</v>
      </c>
      <c r="E67" s="24"/>
      <c r="F67" s="237">
        <f>MIN('Charts - Consolidated'!F196:AH196)</f>
        <v>176.2146605255374</v>
      </c>
      <c r="G67" s="63">
        <f>INDEX(Calculations!F$6:AH$6,MATCH('Results - Consolidated'!F67,'Charts - Consolidated'!F196:AH196,0))</f>
        <v>46387</v>
      </c>
      <c r="H67" s="64"/>
      <c r="I67" s="1"/>
      <c r="J67" s="1"/>
      <c r="K67" s="1"/>
      <c r="L67" s="1"/>
      <c r="M67" s="1"/>
      <c r="N67" s="1"/>
      <c r="O67" s="1"/>
      <c r="P67" s="1"/>
      <c r="Q67" s="1"/>
      <c r="R67" s="1"/>
    </row>
    <row r="68" spans="1:18" s="18" customFormat="1" x14ac:dyDescent="0.2">
      <c r="A68" s="1"/>
      <c r="B68" s="62"/>
      <c r="C68" s="24"/>
      <c r="D68" s="24" t="s">
        <v>164</v>
      </c>
      <c r="E68" s="24"/>
      <c r="F68" s="238">
        <f>MAX('Charts - Consolidated'!F196:AH196)</f>
        <v>237227.77046402689</v>
      </c>
      <c r="G68" s="63">
        <f>INDEX(Calculations!F$6:AH$6,MATCH('Results - Consolidated'!F68,'Charts - Consolidated'!F196:AH196,0))</f>
        <v>51135</v>
      </c>
      <c r="H68" s="64"/>
      <c r="I68" s="1"/>
      <c r="J68" s="1"/>
      <c r="K68" s="1"/>
      <c r="L68" s="1"/>
      <c r="M68" s="1"/>
      <c r="N68" s="1"/>
      <c r="O68" s="1"/>
      <c r="P68" s="1"/>
      <c r="Q68" s="1"/>
      <c r="R68" s="1"/>
    </row>
    <row r="69" spans="1:18" s="18" customFormat="1" x14ac:dyDescent="0.2">
      <c r="A69" s="1"/>
      <c r="B69" s="62"/>
      <c r="C69" s="24"/>
      <c r="D69" s="24" t="s">
        <v>165</v>
      </c>
      <c r="E69" s="24"/>
      <c r="F69" s="238">
        <f>IF(Calculations!E21=1,AVERAGE('Charts - Consolidated'!F196:AH196)," ")</f>
        <v>38504.629308816875</v>
      </c>
      <c r="G69" s="24"/>
      <c r="H69" s="64"/>
      <c r="I69" s="1"/>
      <c r="J69" s="1"/>
      <c r="K69" s="1"/>
      <c r="L69" s="1"/>
      <c r="M69" s="1"/>
      <c r="N69" s="1"/>
      <c r="O69" s="1"/>
      <c r="P69" s="1"/>
      <c r="Q69" s="1"/>
      <c r="R69" s="1"/>
    </row>
    <row r="70" spans="1:18" s="18" customFormat="1" x14ac:dyDescent="0.2">
      <c r="A70" s="1"/>
      <c r="B70" s="62"/>
      <c r="C70" s="24"/>
      <c r="D70" s="24"/>
      <c r="E70" s="24"/>
      <c r="F70" s="65"/>
      <c r="G70" s="24"/>
      <c r="H70" s="64"/>
      <c r="I70" s="1"/>
      <c r="J70" s="1"/>
      <c r="K70" s="1"/>
      <c r="L70" s="1"/>
      <c r="M70" s="1"/>
      <c r="N70" s="1"/>
      <c r="O70" s="1"/>
      <c r="P70" s="1"/>
      <c r="Q70" s="1"/>
      <c r="R70" s="1"/>
    </row>
    <row r="71" spans="1:18" s="18" customFormat="1" x14ac:dyDescent="0.2">
      <c r="A71" s="1"/>
      <c r="B71" s="62"/>
      <c r="C71" s="519" t="s">
        <v>191</v>
      </c>
      <c r="D71" s="24" t="s">
        <v>172</v>
      </c>
      <c r="E71" s="24"/>
      <c r="F71" s="83">
        <f>MIN('Charts - Consolidated'!E214:AH214)</f>
        <v>0.10359974848018143</v>
      </c>
      <c r="G71" s="63">
        <f>INDEX(Calculations!E$6:AH$6,MATCH('Results - Consolidated'!F71,'Charts - Consolidated'!$E$214:$AH$214,0))</f>
        <v>51135</v>
      </c>
      <c r="H71" s="64"/>
      <c r="I71" s="1"/>
      <c r="J71" s="1"/>
      <c r="K71" s="1"/>
      <c r="L71" s="1"/>
      <c r="M71" s="1"/>
      <c r="N71" s="1"/>
      <c r="O71" s="1"/>
      <c r="P71" s="1"/>
      <c r="Q71" s="1"/>
      <c r="R71" s="1"/>
    </row>
    <row r="72" spans="1:18" s="18" customFormat="1" x14ac:dyDescent="0.2">
      <c r="A72" s="1"/>
      <c r="B72" s="62"/>
      <c r="C72" s="520"/>
      <c r="D72" s="24" t="s">
        <v>164</v>
      </c>
      <c r="E72" s="24"/>
      <c r="F72" s="83">
        <f>MAX('Charts - Consolidated'!E214:AH214)</f>
        <v>0.12462959254991496</v>
      </c>
      <c r="G72" s="63">
        <f>INDEX(Calculations!E$6:AH$6,MATCH('Results - Consolidated'!F72,'Charts - Consolidated'!$E$214:$AH$214,0))</f>
        <v>42004</v>
      </c>
      <c r="H72" s="64"/>
      <c r="I72" s="1"/>
      <c r="J72" s="1"/>
      <c r="K72" s="1"/>
      <c r="L72" s="1"/>
      <c r="M72" s="1"/>
      <c r="N72" s="1"/>
      <c r="O72" s="1"/>
      <c r="P72" s="1"/>
      <c r="Q72" s="1"/>
      <c r="R72" s="1"/>
    </row>
    <row r="73" spans="1:18" s="18" customFormat="1" x14ac:dyDescent="0.2">
      <c r="A73" s="1"/>
      <c r="B73" s="62"/>
      <c r="C73" s="24"/>
      <c r="D73" s="24" t="s">
        <v>165</v>
      </c>
      <c r="E73" s="24"/>
      <c r="F73" s="83">
        <f>IF(Calculations!E21=1,AVERAGE('Charts - Consolidated'!E214:AH214)," ")</f>
        <v>0.11252021125730538</v>
      </c>
      <c r="G73" s="63"/>
      <c r="H73" s="64"/>
      <c r="I73" s="1"/>
      <c r="J73" s="1"/>
      <c r="K73" s="1"/>
      <c r="L73" s="1"/>
      <c r="M73" s="1"/>
      <c r="N73" s="1"/>
      <c r="O73" s="1"/>
      <c r="P73" s="1"/>
      <c r="Q73" s="1"/>
      <c r="R73" s="1"/>
    </row>
    <row r="74" spans="1:18" s="18" customFormat="1" x14ac:dyDescent="0.2">
      <c r="A74" s="1"/>
      <c r="B74" s="134"/>
      <c r="C74" s="1"/>
      <c r="D74" s="1"/>
      <c r="E74" s="1"/>
      <c r="F74" s="1"/>
      <c r="G74" s="1"/>
      <c r="H74" s="135"/>
      <c r="I74" s="1"/>
      <c r="J74" s="1"/>
      <c r="K74" s="1"/>
      <c r="L74" s="1"/>
      <c r="M74" s="1"/>
      <c r="N74" s="1"/>
      <c r="O74" s="1"/>
      <c r="P74" s="1"/>
      <c r="Q74" s="1"/>
      <c r="R74" s="1"/>
    </row>
    <row r="75" spans="1:18" s="18" customFormat="1" x14ac:dyDescent="0.2">
      <c r="A75" s="1"/>
      <c r="B75" s="134"/>
      <c r="C75" s="519" t="s">
        <v>178</v>
      </c>
      <c r="D75" s="24" t="s">
        <v>172</v>
      </c>
      <c r="E75" s="24"/>
      <c r="F75" s="107">
        <f>MIN('Charts - Consolidated'!E203:AH203)</f>
        <v>7.6663511146667087</v>
      </c>
      <c r="G75" s="63">
        <f>INDEX(Calculations!E$6:AH$6,MATCH(F75,'Charts - Consolidated'!E203:AH203,0))</f>
        <v>40543</v>
      </c>
      <c r="H75" s="135"/>
      <c r="I75" s="1"/>
      <c r="J75" s="1"/>
      <c r="K75" s="1"/>
      <c r="L75" s="1"/>
      <c r="M75" s="1"/>
      <c r="N75" s="1"/>
      <c r="O75" s="1"/>
      <c r="P75" s="1"/>
      <c r="Q75" s="1"/>
      <c r="R75" s="1"/>
    </row>
    <row r="76" spans="1:18" s="18" customFormat="1" x14ac:dyDescent="0.2">
      <c r="A76" s="1"/>
      <c r="B76" s="134"/>
      <c r="C76" s="520"/>
      <c r="D76" s="24" t="s">
        <v>164</v>
      </c>
      <c r="E76" s="24"/>
      <c r="F76" s="107">
        <f>MAX('Charts - Consolidated'!E203:AH203)</f>
        <v>209.07661785685139</v>
      </c>
      <c r="G76" s="63">
        <f>INDEX(Calculations!E$6:AH$6,MATCH(F76,'Charts - Consolidated'!E203:AH203,0))</f>
        <v>51135</v>
      </c>
      <c r="H76" s="135"/>
      <c r="I76" s="1"/>
      <c r="J76" s="1"/>
      <c r="K76" s="1"/>
      <c r="L76" s="1"/>
      <c r="M76" s="1"/>
      <c r="N76" s="1"/>
      <c r="O76" s="1"/>
      <c r="P76" s="1"/>
      <c r="Q76" s="1"/>
      <c r="R76" s="1"/>
    </row>
    <row r="77" spans="1:18" s="18" customFormat="1" ht="16" thickBot="1" x14ac:dyDescent="0.25">
      <c r="A77" s="1"/>
      <c r="B77" s="136"/>
      <c r="C77" s="68"/>
      <c r="D77" s="68" t="s">
        <v>165</v>
      </c>
      <c r="E77" s="68"/>
      <c r="F77" s="109">
        <f>IF(Calculations!E21=1,AVERAGE('Charts - Consolidated'!E203:AH203)," ")</f>
        <v>113.15178016917399</v>
      </c>
      <c r="G77" s="68"/>
      <c r="H77" s="137"/>
      <c r="I77" s="1"/>
      <c r="J77" s="1"/>
      <c r="K77" s="1"/>
      <c r="L77" s="1"/>
      <c r="M77" s="1"/>
      <c r="N77" s="1"/>
      <c r="O77" s="1"/>
      <c r="P77" s="1"/>
      <c r="Q77" s="1"/>
      <c r="R77" s="1"/>
    </row>
    <row r="78" spans="1:18" s="18" customFormat="1" x14ac:dyDescent="0.2">
      <c r="A78" s="1"/>
      <c r="B78" s="1"/>
      <c r="C78" s="1"/>
      <c r="D78" s="1"/>
      <c r="E78" s="1"/>
      <c r="F78" s="1"/>
      <c r="G78" s="1"/>
      <c r="H78" s="1"/>
      <c r="I78" s="1"/>
      <c r="J78" s="1"/>
      <c r="K78" s="1"/>
      <c r="L78" s="1"/>
      <c r="M78" s="1"/>
      <c r="N78" s="1"/>
      <c r="O78" s="1"/>
      <c r="P78" s="1"/>
      <c r="Q78" s="1"/>
      <c r="R78" s="1"/>
    </row>
    <row r="79" spans="1:18" s="18" customFormat="1" x14ac:dyDescent="0.2">
      <c r="A79" s="2"/>
      <c r="B79" s="4" t="str">
        <f>IF('Assumptions - General'!$E$10=1,"RATIOS", "CONSOLIDATED RATIOS")</f>
        <v>CONSOLIDATED RATIOS</v>
      </c>
      <c r="C79" s="2"/>
      <c r="D79" s="2"/>
      <c r="E79" s="2"/>
      <c r="F79" s="2"/>
      <c r="G79" s="2"/>
      <c r="H79" s="2"/>
      <c r="I79" s="2"/>
      <c r="J79" s="2"/>
      <c r="K79" s="2"/>
      <c r="L79" s="2"/>
      <c r="M79" s="2"/>
      <c r="N79" s="2"/>
      <c r="O79" s="2"/>
      <c r="P79" s="2"/>
      <c r="Q79" s="2"/>
      <c r="R79" s="2"/>
    </row>
    <row r="80" spans="1:18" s="18" customFormat="1" x14ac:dyDescent="0.2">
      <c r="A80" s="2"/>
      <c r="B80" s="3" t="str">
        <f>'Assumptions - General'!$E$23</f>
        <v xml:space="preserve">Ruritania Railways </v>
      </c>
      <c r="C80" s="2"/>
      <c r="D80" s="2"/>
      <c r="E80" s="2"/>
      <c r="F80" s="2"/>
      <c r="G80" s="2"/>
      <c r="H80" s="2"/>
      <c r="I80" s="2"/>
      <c r="J80" s="2"/>
      <c r="K80" s="2"/>
      <c r="L80" s="2"/>
      <c r="M80" s="2"/>
      <c r="N80" s="2"/>
      <c r="O80" s="2"/>
      <c r="P80" s="2"/>
      <c r="Q80" s="2"/>
      <c r="R80" s="2"/>
    </row>
    <row r="81" spans="1:18" s="18" customFormat="1" x14ac:dyDescent="0.2">
      <c r="A81" s="2"/>
      <c r="B81" s="3" t="str">
        <f>"All units in "  &amp;'Assumptions - General'!$E$27&amp;  " millions unless otherwise stated"</f>
        <v>All units in R$ millions unless otherwise stated</v>
      </c>
      <c r="C81" s="6"/>
      <c r="D81" s="2"/>
      <c r="E81" s="2"/>
      <c r="F81" s="2"/>
      <c r="G81" s="2"/>
      <c r="H81" s="2"/>
      <c r="I81" s="2"/>
      <c r="J81" s="2"/>
      <c r="K81" s="2"/>
      <c r="L81" s="2"/>
      <c r="M81" s="2"/>
      <c r="N81" s="2"/>
      <c r="O81" s="2"/>
      <c r="P81" s="2"/>
      <c r="Q81" s="2"/>
      <c r="R81" s="2"/>
    </row>
    <row r="82" spans="1:18" s="278" customFormat="1" ht="16" thickBot="1" x14ac:dyDescent="0.25">
      <c r="A82" s="22"/>
      <c r="B82" s="22"/>
      <c r="C82" s="22"/>
      <c r="D82" s="22"/>
      <c r="E82" s="22"/>
      <c r="F82" s="22"/>
      <c r="G82" s="22"/>
      <c r="H82" s="22"/>
      <c r="I82" s="22"/>
      <c r="J82" s="22"/>
      <c r="K82" s="22"/>
      <c r="L82" s="22"/>
      <c r="M82" s="22"/>
      <c r="N82" s="22"/>
      <c r="O82" s="22"/>
      <c r="P82" s="22"/>
    </row>
    <row r="83" spans="1:18" s="278" customFormat="1" x14ac:dyDescent="0.2">
      <c r="A83" s="22"/>
      <c r="B83" s="58"/>
      <c r="C83" s="59" t="s">
        <v>324</v>
      </c>
      <c r="D83" s="60"/>
      <c r="E83" s="60"/>
      <c r="F83" s="60"/>
      <c r="G83" s="60"/>
      <c r="H83" s="61"/>
      <c r="I83" s="22"/>
      <c r="J83" s="58"/>
      <c r="K83" s="59"/>
      <c r="L83" s="60"/>
      <c r="M83" s="60"/>
      <c r="N83" s="60"/>
      <c r="O83" s="60"/>
      <c r="P83" s="61"/>
    </row>
    <row r="84" spans="1:18" s="277" customFormat="1" x14ac:dyDescent="0.2">
      <c r="A84" s="24"/>
      <c r="B84" s="101"/>
      <c r="C84" s="17"/>
      <c r="D84" s="18"/>
      <c r="E84" s="18"/>
      <c r="F84" s="18"/>
      <c r="G84" s="72" t="s">
        <v>162</v>
      </c>
      <c r="H84" s="102"/>
      <c r="I84" s="24"/>
      <c r="J84" s="62"/>
      <c r="K84" s="24"/>
      <c r="L84" s="24"/>
      <c r="M84" s="24"/>
      <c r="N84" s="24"/>
      <c r="O84" s="72" t="s">
        <v>162</v>
      </c>
      <c r="P84" s="64"/>
    </row>
    <row r="85" spans="1:18" s="277" customFormat="1" x14ac:dyDescent="0.2">
      <c r="A85" s="24"/>
      <c r="B85" s="101"/>
      <c r="C85" s="519" t="s">
        <v>212</v>
      </c>
      <c r="D85" s="24" t="s">
        <v>172</v>
      </c>
      <c r="E85" s="18"/>
      <c r="F85" s="104">
        <f>MIN('Charts - Consolidated'!E140:AH140)</f>
        <v>0.87306732421554956</v>
      </c>
      <c r="G85" s="63">
        <f>IF(Calculations!E21=1,INDEX(Calculations!E$6:AH$6,MATCH('Results - Consolidated'!F85,'Charts - Consolidated'!$E$140:$AH$140,0))," ")</f>
        <v>42004</v>
      </c>
      <c r="H85" s="102"/>
      <c r="I85" s="24"/>
      <c r="J85" s="62"/>
      <c r="K85" s="519" t="s">
        <v>190</v>
      </c>
      <c r="L85" s="24" t="s">
        <v>172</v>
      </c>
      <c r="M85" s="24"/>
      <c r="N85" s="83">
        <f>MIN('Charts - Consolidated'!E213:AH213)</f>
        <v>0.10579097080972498</v>
      </c>
      <c r="O85" s="63">
        <f>INDEX(Calculations!E$6:AH$6,MATCH('Results - Consolidated'!N85,'Charts - Consolidated'!$E$213:$AH$213,0))</f>
        <v>51135</v>
      </c>
      <c r="P85" s="64"/>
    </row>
    <row r="86" spans="1:18" s="277" customFormat="1" x14ac:dyDescent="0.2">
      <c r="A86" s="24"/>
      <c r="B86" s="101"/>
      <c r="C86" s="520"/>
      <c r="D86" s="24" t="s">
        <v>164</v>
      </c>
      <c r="E86" s="18"/>
      <c r="F86" s="104">
        <f>MAX('Charts - Consolidated'!E140:AH140)</f>
        <v>0.8942090291902749</v>
      </c>
      <c r="G86" s="63">
        <f>IF(Calculations!E21=1,INDEX(Calculations!E$6:AH$6,MATCH('Results - Consolidated'!F86,'Charts - Consolidated'!$E$140:$AH$140,0))," ")</f>
        <v>51135</v>
      </c>
      <c r="H86" s="102"/>
      <c r="I86" s="24"/>
      <c r="J86" s="62"/>
      <c r="K86" s="520"/>
      <c r="L86" s="24" t="s">
        <v>164</v>
      </c>
      <c r="M86" s="24"/>
      <c r="N86" s="83">
        <f>MAX('Charts - Consolidated'!E213:AH213)</f>
        <v>0.1269326757844505</v>
      </c>
      <c r="O86" s="63">
        <f>INDEX(Calculations!E$6:AH$6,MATCH('Results - Consolidated'!N86,'Charts - Consolidated'!$E$213:$AH$213,0))</f>
        <v>42004</v>
      </c>
      <c r="P86" s="64"/>
    </row>
    <row r="87" spans="1:18" s="277" customFormat="1" x14ac:dyDescent="0.2">
      <c r="A87" s="24"/>
      <c r="B87" s="101"/>
      <c r="C87" s="103"/>
      <c r="D87" s="24" t="s">
        <v>165</v>
      </c>
      <c r="E87" s="18"/>
      <c r="F87" s="104">
        <f>IF(Calculations!E21=1,AVERAGE('Charts - Consolidated'!E140:AH140)," ")</f>
        <v>0.88507914573925706</v>
      </c>
      <c r="G87" s="63"/>
      <c r="H87" s="102"/>
      <c r="I87" s="24"/>
      <c r="J87" s="62"/>
      <c r="K87" s="24"/>
      <c r="L87" s="24" t="s">
        <v>165</v>
      </c>
      <c r="M87" s="24"/>
      <c r="N87" s="83">
        <f>IF(Calculations!E21=1,AVERAGE('Charts - Consolidated'!E213:AH213)," ")</f>
        <v>0.11492085426074282</v>
      </c>
      <c r="O87" s="63"/>
      <c r="P87" s="64"/>
    </row>
    <row r="88" spans="1:18" s="277" customFormat="1" x14ac:dyDescent="0.2">
      <c r="A88" s="24"/>
      <c r="B88" s="101"/>
      <c r="C88" s="103"/>
      <c r="D88" s="18"/>
      <c r="E88" s="18"/>
      <c r="F88" s="105"/>
      <c r="G88" s="18"/>
      <c r="H88" s="102"/>
      <c r="I88" s="24"/>
      <c r="J88" s="62"/>
      <c r="K88" s="24"/>
      <c r="L88" s="24"/>
      <c r="M88" s="24"/>
      <c r="N88" s="65"/>
      <c r="O88" s="24"/>
      <c r="P88" s="64"/>
    </row>
    <row r="89" spans="1:18" s="277" customFormat="1" x14ac:dyDescent="0.2">
      <c r="A89" s="24"/>
      <c r="B89" s="101"/>
      <c r="C89" s="519" t="s">
        <v>213</v>
      </c>
      <c r="D89" s="24" t="s">
        <v>172</v>
      </c>
      <c r="E89" s="18"/>
      <c r="F89" s="104">
        <f>MIN(Calculations!E1449:AH1449)</f>
        <v>0.56452939246550815</v>
      </c>
      <c r="G89" s="63">
        <f>IF(Calculations!E21=1,INDEX(Calculations!E$6:AH$6,MATCH('Results - Consolidated'!F89,Calculations!E$1449:AH$1449,0))," ")</f>
        <v>40908</v>
      </c>
      <c r="H89" s="102"/>
      <c r="I89" s="24"/>
      <c r="J89" s="62"/>
      <c r="K89" s="519" t="s">
        <v>191</v>
      </c>
      <c r="L89" s="24" t="s">
        <v>172</v>
      </c>
      <c r="M89" s="24"/>
      <c r="N89" s="83">
        <f>MIN('Charts - Consolidated'!E214:AH214)</f>
        <v>0.10359974848018143</v>
      </c>
      <c r="O89" s="63">
        <f>INDEX(Calculations!E$6:AH$6,MATCH('Results - Consolidated'!N89,'Charts - Consolidated'!$E$214:$AH$214,0))</f>
        <v>51135</v>
      </c>
      <c r="P89" s="64"/>
    </row>
    <row r="90" spans="1:18" s="277" customFormat="1" x14ac:dyDescent="0.2">
      <c r="A90" s="24"/>
      <c r="B90" s="101"/>
      <c r="C90" s="520"/>
      <c r="D90" s="24" t="s">
        <v>164</v>
      </c>
      <c r="E90" s="18"/>
      <c r="F90" s="104">
        <f>MAX(Calculations!E1449:AH1449)</f>
        <v>0.69279021973532318</v>
      </c>
      <c r="G90" s="63">
        <f>IF(Calculations!E21=1,INDEX(Calculations!E$6:AH$6,MATCH('Results - Consolidated'!F90,Calculations!E$1449:AH$1449,0))," ")</f>
        <v>51135</v>
      </c>
      <c r="H90" s="102"/>
      <c r="I90" s="24"/>
      <c r="J90" s="62"/>
      <c r="K90" s="520"/>
      <c r="L90" s="24" t="s">
        <v>164</v>
      </c>
      <c r="M90" s="24"/>
      <c r="N90" s="83">
        <f>MAX('Charts - Consolidated'!E214:AH214)</f>
        <v>0.12462959254991496</v>
      </c>
      <c r="O90" s="63">
        <f>INDEX(Calculations!E$6:AH$6,MATCH('Results - Consolidated'!N90,'Charts - Consolidated'!$E$214:$AH$214,0))</f>
        <v>42004</v>
      </c>
      <c r="P90" s="64"/>
    </row>
    <row r="91" spans="1:18" s="277" customFormat="1" x14ac:dyDescent="0.2">
      <c r="A91" s="24"/>
      <c r="B91" s="101"/>
      <c r="C91" s="17"/>
      <c r="D91" s="24" t="s">
        <v>165</v>
      </c>
      <c r="E91" s="18"/>
      <c r="F91" s="104">
        <f>IF(Calculations!E21=1,AVERAGE(Calculations!E1449:AH1449)," ")</f>
        <v>0.63372094675527335</v>
      </c>
      <c r="G91" s="18"/>
      <c r="H91" s="102"/>
      <c r="I91" s="24"/>
      <c r="J91" s="62"/>
      <c r="K91" s="24"/>
      <c r="L91" s="24" t="s">
        <v>165</v>
      </c>
      <c r="M91" s="24"/>
      <c r="N91" s="83">
        <f>IF(Calculations!E21=1,AVERAGE('Charts - Consolidated'!E214:AH214)," ")</f>
        <v>0.11252021125730538</v>
      </c>
      <c r="O91" s="63"/>
      <c r="P91" s="64"/>
    </row>
    <row r="92" spans="1:18" s="277" customFormat="1" ht="14" x14ac:dyDescent="0.2">
      <c r="A92" s="24"/>
      <c r="B92" s="62"/>
      <c r="C92" s="24"/>
      <c r="D92" s="24"/>
      <c r="E92" s="24"/>
      <c r="F92" s="24"/>
      <c r="G92" s="24"/>
      <c r="H92" s="64"/>
      <c r="I92" s="24"/>
      <c r="J92" s="62"/>
      <c r="K92" s="24"/>
      <c r="L92" s="24"/>
      <c r="M92" s="24"/>
      <c r="N92" s="83"/>
      <c r="O92" s="63"/>
      <c r="P92" s="64"/>
    </row>
    <row r="93" spans="1:18" s="277" customFormat="1" ht="14" x14ac:dyDescent="0.2">
      <c r="A93" s="24"/>
      <c r="B93" s="62"/>
      <c r="C93" s="26" t="s">
        <v>171</v>
      </c>
      <c r="D93" s="24" t="s">
        <v>172</v>
      </c>
      <c r="E93" s="24"/>
      <c r="F93" s="73">
        <f>MIN(Calculations!E1451:AH1451)</f>
        <v>0.21450064563372759</v>
      </c>
      <c r="G93" s="63">
        <f>IF(Calculations!E21=1,INDEX(Calculations!E$6:AH$6,MATCH('Results - Consolidated'!F93,Calculations!E$1451:AH$1451,0))," ")</f>
        <v>51135</v>
      </c>
      <c r="H93" s="64"/>
      <c r="I93" s="24"/>
      <c r="J93" s="62"/>
      <c r="K93" s="519" t="s">
        <v>178</v>
      </c>
      <c r="L93" s="24" t="s">
        <v>172</v>
      </c>
      <c r="M93" s="24"/>
      <c r="N93" s="107">
        <f>MIN('Charts - Consolidated'!E203:AH203)</f>
        <v>7.6663511146667087</v>
      </c>
      <c r="O93" s="63">
        <f>INDEX(Calculations!E$6:AH$6,MATCH('Results - Consolidated'!N93,'Charts - Consolidated'!E203:AH203,0))</f>
        <v>40543</v>
      </c>
      <c r="P93" s="64"/>
    </row>
    <row r="94" spans="1:18" s="277" customFormat="1" ht="14" x14ac:dyDescent="0.2">
      <c r="A94" s="24"/>
      <c r="B94" s="62"/>
      <c r="C94" s="26"/>
      <c r="D94" s="24" t="s">
        <v>164</v>
      </c>
      <c r="E94" s="24"/>
      <c r="F94" s="73">
        <f>MAX(Calculations!E1451:AH1451)</f>
        <v>3.4558009495340252</v>
      </c>
      <c r="G94" s="63">
        <f>IF(Calculations!E21=1,INDEX(Calculations!E$6:AH$6,MATCH('Results - Consolidated'!F94,Calculations!E$1451:AH$1451,0))," ")</f>
        <v>40543</v>
      </c>
      <c r="H94" s="64"/>
      <c r="I94" s="24"/>
      <c r="J94" s="62"/>
      <c r="K94" s="520"/>
      <c r="L94" s="24" t="s">
        <v>164</v>
      </c>
      <c r="M94" s="24"/>
      <c r="N94" s="107">
        <f>MAX('Charts - Consolidated'!E203:AH203)</f>
        <v>209.07661785685139</v>
      </c>
      <c r="O94" s="63">
        <f>INDEX(Calculations!E$6:AH$6,MATCH('Results - Consolidated'!N94,'Charts - Consolidated'!E203:AH203,0))</f>
        <v>51135</v>
      </c>
      <c r="P94" s="64"/>
    </row>
    <row r="95" spans="1:18" s="277" customFormat="1" ht="14" x14ac:dyDescent="0.2">
      <c r="A95" s="24"/>
      <c r="B95" s="62"/>
      <c r="C95" s="26"/>
      <c r="D95" s="24" t="s">
        <v>165</v>
      </c>
      <c r="E95" s="24"/>
      <c r="F95" s="73">
        <f>IF(Calculations!E21=1,AVERAGE(Calculations!E1451:AH1451)," ")</f>
        <v>0.58211909921463978</v>
      </c>
      <c r="G95" s="63"/>
      <c r="H95" s="64"/>
      <c r="I95" s="24"/>
      <c r="J95" s="62"/>
      <c r="K95" s="24"/>
      <c r="L95" s="24" t="s">
        <v>165</v>
      </c>
      <c r="M95" s="24"/>
      <c r="N95" s="107">
        <f>IF(Calculations!E21=1,AVERAGE('Charts - Consolidated'!E203:AH203)," ")</f>
        <v>113.15178016917399</v>
      </c>
      <c r="O95" s="24"/>
      <c r="P95" s="64"/>
    </row>
    <row r="96" spans="1:18" s="277" customFormat="1" ht="14" x14ac:dyDescent="0.2">
      <c r="A96" s="24"/>
      <c r="B96" s="62"/>
      <c r="C96" s="26"/>
      <c r="D96" s="24"/>
      <c r="E96" s="24"/>
      <c r="F96" s="26"/>
      <c r="G96" s="24"/>
      <c r="H96" s="64"/>
      <c r="I96" s="24"/>
      <c r="J96" s="62"/>
      <c r="K96" s="24"/>
      <c r="L96" s="24"/>
      <c r="M96" s="24"/>
      <c r="N96" s="108"/>
      <c r="O96" s="24"/>
      <c r="P96" s="64"/>
    </row>
    <row r="97" spans="1:17" s="277" customFormat="1" ht="14" x14ac:dyDescent="0.2">
      <c r="A97" s="24"/>
      <c r="B97" s="62"/>
      <c r="C97" s="26" t="s">
        <v>174</v>
      </c>
      <c r="D97" s="24" t="s">
        <v>172</v>
      </c>
      <c r="E97" s="24"/>
      <c r="F97" s="73">
        <f>MIN(Calculations!E1453:AH1453)</f>
        <v>0.21345080856653142</v>
      </c>
      <c r="G97" s="63">
        <f>IF(Calculations!E21=1,INDEX(Calculations!E$6:AH$6,MATCH('Results - Consolidated'!F97,Calculations!E$1453:AH$1453,0))," ")</f>
        <v>51135</v>
      </c>
      <c r="H97" s="64"/>
      <c r="I97" s="24"/>
      <c r="J97" s="62"/>
      <c r="K97" s="26" t="s">
        <v>216</v>
      </c>
      <c r="L97" s="24" t="s">
        <v>172</v>
      </c>
      <c r="M97" s="24"/>
      <c r="N97" s="107">
        <f>MIN('Charts - Consolidated'!E204:AH204)</f>
        <v>0.17162886371165093</v>
      </c>
      <c r="O97" s="63">
        <f>INDEX(Calculations!E$6:AH$6,MATCH('Results - Consolidated'!N97,'Charts - Consolidated'!E204:AH204,0))</f>
        <v>40543</v>
      </c>
      <c r="P97" s="64"/>
    </row>
    <row r="98" spans="1:17" s="277" customFormat="1" ht="14" x14ac:dyDescent="0.2">
      <c r="A98" s="24"/>
      <c r="B98" s="62"/>
      <c r="C98" s="26"/>
      <c r="D98" s="24" t="s">
        <v>164</v>
      </c>
      <c r="E98" s="24"/>
      <c r="F98" s="73">
        <f>MAX(Calculations!E1453:AH1453)</f>
        <v>2.9367307682837125</v>
      </c>
      <c r="G98" s="63">
        <f>IF(Calculations!E21=1,INDEX(Calculations!E$6:AH$6,MATCH('Results - Consolidated'!F98,Calculations!E$1453:AH$1453,0))," ")</f>
        <v>40543</v>
      </c>
      <c r="H98" s="64"/>
      <c r="I98" s="24"/>
      <c r="J98" s="62"/>
      <c r="K98" s="24"/>
      <c r="L98" s="24" t="s">
        <v>164</v>
      </c>
      <c r="M98" s="24"/>
      <c r="N98" s="107">
        <f>MAX('Charts - Consolidated'!E204:AH204)</f>
        <v>198.60687399222053</v>
      </c>
      <c r="O98" s="63">
        <f>INDEX(Calculations!E$6:AH$6,MATCH('Results - Consolidated'!N98,'Charts - Consolidated'!E204:AH204,0))</f>
        <v>51135</v>
      </c>
      <c r="P98" s="64"/>
    </row>
    <row r="99" spans="1:17" s="277" customFormat="1" ht="14" x14ac:dyDescent="0.2">
      <c r="A99" s="24"/>
      <c r="B99" s="62"/>
      <c r="C99" s="26"/>
      <c r="D99" s="24" t="s">
        <v>165</v>
      </c>
      <c r="E99" s="24"/>
      <c r="F99" s="73">
        <f>IF(Calculations!E21=1,AVERAGE(Calculations!E1453:AH1453)," ")</f>
        <v>0.54728924729592365</v>
      </c>
      <c r="G99" s="24"/>
      <c r="H99" s="64"/>
      <c r="I99" s="24"/>
      <c r="J99" s="62"/>
      <c r="K99" s="24"/>
      <c r="L99" s="24" t="s">
        <v>165</v>
      </c>
      <c r="M99" s="24"/>
      <c r="N99" s="107">
        <f>IF(Calculations!E21=1,AVERAGE('Charts - Consolidated'!E204:AH204)," ")</f>
        <v>104.21564066601442</v>
      </c>
      <c r="O99" s="24"/>
      <c r="P99" s="64"/>
    </row>
    <row r="100" spans="1:17" s="277" customFormat="1" thickBot="1" x14ac:dyDescent="0.25">
      <c r="A100" s="24"/>
      <c r="B100" s="62"/>
      <c r="C100" s="26"/>
      <c r="D100" s="24"/>
      <c r="E100" s="24"/>
      <c r="F100" s="26"/>
      <c r="G100" s="24"/>
      <c r="H100" s="64"/>
      <c r="I100" s="24"/>
      <c r="J100" s="66"/>
      <c r="K100" s="68"/>
      <c r="L100" s="68"/>
      <c r="M100" s="68"/>
      <c r="N100" s="68"/>
      <c r="O100" s="67"/>
      <c r="P100" s="70"/>
    </row>
    <row r="101" spans="1:17" s="277" customFormat="1" thickBot="1" x14ac:dyDescent="0.25">
      <c r="A101" s="24"/>
      <c r="B101" s="62"/>
      <c r="C101" s="26" t="s">
        <v>173</v>
      </c>
      <c r="D101" s="24" t="s">
        <v>172</v>
      </c>
      <c r="E101" s="24"/>
      <c r="F101" s="74">
        <f>MIN('Charts - Consolidated'!F196:AH196)</f>
        <v>176.2146605255374</v>
      </c>
      <c r="G101" s="63">
        <f>INDEX(Calculations!F$6:AH$6,MATCH('Results - Consolidated'!F101,'Charts - Consolidated'!F196:AH196,0))</f>
        <v>46387</v>
      </c>
      <c r="H101" s="64"/>
      <c r="I101" s="24"/>
      <c r="J101" s="24"/>
      <c r="K101" s="24"/>
      <c r="L101" s="24"/>
      <c r="M101" s="24"/>
      <c r="N101" s="24"/>
      <c r="O101" s="24"/>
      <c r="P101" s="24"/>
    </row>
    <row r="102" spans="1:17" s="277" customFormat="1" x14ac:dyDescent="0.2">
      <c r="A102" s="24"/>
      <c r="B102" s="62"/>
      <c r="C102" s="24"/>
      <c r="D102" s="24" t="s">
        <v>164</v>
      </c>
      <c r="E102" s="24"/>
      <c r="F102" s="65">
        <f>MAX('Charts - Consolidated'!F196:AH196)</f>
        <v>237227.77046402689</v>
      </c>
      <c r="G102" s="63">
        <f>INDEX(Calculations!F$6:AH$6,MATCH('Results - Consolidated'!F102,'Charts - Consolidated'!F196:AH196,0))</f>
        <v>51135</v>
      </c>
      <c r="H102" s="64"/>
      <c r="I102" s="24"/>
      <c r="J102" s="58"/>
      <c r="K102" s="59" t="s">
        <v>202</v>
      </c>
      <c r="L102" s="60"/>
      <c r="M102" s="60"/>
      <c r="N102" s="60"/>
      <c r="O102" s="60"/>
      <c r="P102" s="61"/>
    </row>
    <row r="103" spans="1:17" s="277" customFormat="1" x14ac:dyDescent="0.2">
      <c r="A103" s="24"/>
      <c r="B103" s="62"/>
      <c r="C103" s="24"/>
      <c r="D103" s="24" t="s">
        <v>165</v>
      </c>
      <c r="E103" s="24"/>
      <c r="F103" s="65">
        <f>IF(Calculations!E21=1,AVERAGE('Charts - Consolidated'!F196:AH196)," ")</f>
        <v>38504.629308816875</v>
      </c>
      <c r="G103" s="24"/>
      <c r="H103" s="64"/>
      <c r="I103" s="24"/>
      <c r="J103" s="75"/>
      <c r="K103" s="24"/>
      <c r="L103" s="24"/>
      <c r="M103" s="24"/>
      <c r="N103" s="24"/>
      <c r="O103" s="72"/>
      <c r="P103" s="76"/>
    </row>
    <row r="104" spans="1:17" s="277" customFormat="1" x14ac:dyDescent="0.2">
      <c r="A104" s="24"/>
      <c r="B104" s="62"/>
      <c r="C104" s="24"/>
      <c r="D104" s="24"/>
      <c r="E104" s="24"/>
      <c r="F104" s="65"/>
      <c r="G104" s="24"/>
      <c r="H104" s="64"/>
      <c r="I104" s="24"/>
      <c r="J104" s="75"/>
      <c r="K104" s="24" t="s">
        <v>200</v>
      </c>
      <c r="L104" s="24"/>
      <c r="M104" s="24"/>
      <c r="N104" s="24"/>
      <c r="O104" s="85" t="str">
        <f>IF(ROUND(SUM('Balance sheet'!E22:AH22),0)=ROUND(SUM('Balance sheet'!E43:AH43),0),"YES","NO")</f>
        <v>YES</v>
      </c>
      <c r="P104" s="76"/>
      <c r="Q104" s="414" t="str">
        <f>IF(O104="NO","&lt;&lt;&lt;&lt; WARNING"," ")</f>
        <v xml:space="preserve"> </v>
      </c>
    </row>
    <row r="105" spans="1:17" s="277" customFormat="1" x14ac:dyDescent="0.2">
      <c r="A105" s="24"/>
      <c r="B105" s="62"/>
      <c r="C105" s="26" t="s">
        <v>215</v>
      </c>
      <c r="D105" s="24" t="s">
        <v>172</v>
      </c>
      <c r="E105" s="24"/>
      <c r="F105" s="84">
        <f>MIN('Charts - Consolidated'!$E$197:$AH$197)</f>
        <v>4.3522592053847986E-5</v>
      </c>
      <c r="G105" s="63">
        <f>INDEX(Calculations!E$6:AH$6,MATCH('Results - Consolidated'!F105,'Charts - Consolidated'!$E$197:$AH$197,0))</f>
        <v>51135</v>
      </c>
      <c r="H105" s="64"/>
      <c r="I105" s="24"/>
      <c r="J105" s="75"/>
      <c r="K105" s="24" t="s">
        <v>201</v>
      </c>
      <c r="L105" s="24"/>
      <c r="M105" s="24"/>
      <c r="N105" s="24"/>
      <c r="O105" s="85" t="str">
        <f>IF(PRODUCT('Balance sheet'!E45:AH45)=1,"YES","NO")</f>
        <v>YES</v>
      </c>
      <c r="P105" s="76"/>
      <c r="Q105" s="414" t="str">
        <f>IF(O105="NO","&lt;&lt;&lt;&lt; WARNING"," ")</f>
        <v xml:space="preserve"> </v>
      </c>
    </row>
    <row r="106" spans="1:17" s="277" customFormat="1" x14ac:dyDescent="0.2">
      <c r="A106" s="24"/>
      <c r="B106" s="62"/>
      <c r="C106" s="24"/>
      <c r="D106" s="24" t="s">
        <v>164</v>
      </c>
      <c r="E106" s="24"/>
      <c r="F106" s="84">
        <f>MAX('Charts - Consolidated'!$E$197:$AH$197)</f>
        <v>5.292772991032179E-2</v>
      </c>
      <c r="G106" s="63">
        <f>INDEX(Calculations!E$6:AH$6,MATCH('Results - Consolidated'!F106,'Charts - Consolidated'!$E$197:$AH$197,0))</f>
        <v>40543</v>
      </c>
      <c r="H106" s="64"/>
      <c r="I106" s="24"/>
      <c r="J106" s="75"/>
      <c r="K106" s="24" t="s">
        <v>207</v>
      </c>
      <c r="L106" s="24"/>
      <c r="M106" s="24"/>
      <c r="N106" s="24"/>
      <c r="O106" s="85" t="str">
        <f>IF(ROUND(SUM('Cash flow statement'!F45:AH45),0)-ROUND(SUM('Balance sheet'!F44:AH44),0)=0,"YES","NO")</f>
        <v>YES</v>
      </c>
      <c r="P106" s="76"/>
      <c r="Q106" s="414" t="str">
        <f>IF(O106="NO","&lt;&lt;&lt;&lt; WARNING"," ")</f>
        <v xml:space="preserve"> </v>
      </c>
    </row>
    <row r="107" spans="1:17" s="277" customFormat="1" thickBot="1" x14ac:dyDescent="0.25">
      <c r="A107" s="24"/>
      <c r="B107" s="62"/>
      <c r="C107" s="24"/>
      <c r="D107" s="24" t="s">
        <v>165</v>
      </c>
      <c r="E107" s="24"/>
      <c r="F107" s="106">
        <f>IF(Calculations!E21=1,AVERAGE('Charts - Consolidated'!$E$197:$AH$197)," ")</f>
        <v>5.7446635209963447E-3</v>
      </c>
      <c r="G107" s="63"/>
      <c r="H107" s="64"/>
      <c r="I107" s="24"/>
      <c r="J107" s="66"/>
      <c r="K107" s="68"/>
      <c r="L107" s="68"/>
      <c r="M107" s="68"/>
      <c r="N107" s="68"/>
      <c r="O107" s="68"/>
      <c r="P107" s="70"/>
      <c r="Q107" s="414"/>
    </row>
    <row r="108" spans="1:17" s="277" customFormat="1" thickBot="1" x14ac:dyDescent="0.25">
      <c r="A108" s="24"/>
      <c r="B108" s="66"/>
      <c r="C108" s="68"/>
      <c r="D108" s="68"/>
      <c r="E108" s="68"/>
      <c r="F108" s="69"/>
      <c r="G108" s="68"/>
      <c r="H108" s="70"/>
      <c r="I108" s="24"/>
      <c r="J108" s="24"/>
      <c r="K108" s="24"/>
      <c r="L108" s="24"/>
      <c r="M108" s="24"/>
      <c r="N108" s="24"/>
      <c r="O108" s="24"/>
      <c r="P108" s="24"/>
    </row>
    <row r="109" spans="1:17" s="277" customFormat="1" x14ac:dyDescent="0.2">
      <c r="A109" s="24"/>
      <c r="B109" s="24"/>
      <c r="C109" s="24"/>
      <c r="D109" s="24"/>
      <c r="E109" s="24"/>
      <c r="F109" s="24"/>
      <c r="G109" s="24"/>
      <c r="H109" s="24"/>
      <c r="I109" s="24"/>
      <c r="J109" s="22"/>
      <c r="K109" s="22"/>
      <c r="L109" s="22"/>
      <c r="M109" s="22"/>
      <c r="N109" s="22"/>
      <c r="O109" s="22"/>
      <c r="P109" s="22"/>
    </row>
  </sheetData>
  <mergeCells count="19">
    <mergeCell ref="N16:N17"/>
    <mergeCell ref="O56:P57"/>
    <mergeCell ref="Q56:R57"/>
    <mergeCell ref="O58:P58"/>
    <mergeCell ref="C59:C60"/>
    <mergeCell ref="O59:P59"/>
    <mergeCell ref="Q59:R59"/>
    <mergeCell ref="F27:F28"/>
    <mergeCell ref="Q61:R61"/>
    <mergeCell ref="O60:P60"/>
    <mergeCell ref="Q60:R60"/>
    <mergeCell ref="C85:C86"/>
    <mergeCell ref="K85:K86"/>
    <mergeCell ref="K93:K94"/>
    <mergeCell ref="C75:C76"/>
    <mergeCell ref="C71:C72"/>
    <mergeCell ref="C89:C90"/>
    <mergeCell ref="O61:P61"/>
    <mergeCell ref="K89:K90"/>
  </mergeCells>
  <conditionalFormatting sqref="O104">
    <cfRule type="iconSet" priority="2">
      <iconSet iconSet="3Symbols">
        <cfvo type="percent" val="0"/>
        <cfvo type="percent" val="33"/>
        <cfvo type="percent" val="67"/>
      </iconSet>
    </cfRule>
  </conditionalFormatting>
  <conditionalFormatting sqref="P104">
    <cfRule type="iconSet" priority="1">
      <iconSet iconSet="3Symbols">
        <cfvo type="percent" val="0"/>
        <cfvo type="percent" val="33"/>
        <cfvo type="percent" val="67"/>
      </iconSet>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AP114"/>
  <sheetViews>
    <sheetView zoomScale="75" zoomScaleNormal="75" workbookViewId="0">
      <selection activeCell="T1" sqref="T1:XFD1048576"/>
    </sheetView>
  </sheetViews>
  <sheetFormatPr baseColWidth="10" defaultColWidth="0" defaultRowHeight="15" x14ac:dyDescent="0.2"/>
  <cols>
    <col min="1" max="4" width="9.1640625" style="22" customWidth="1"/>
    <col min="5" max="5" width="15.5" style="22" customWidth="1"/>
    <col min="6" max="6" width="11.5" style="22" bestFit="1" customWidth="1"/>
    <col min="7" max="7" width="10.6640625" style="22" bestFit="1" customWidth="1"/>
    <col min="8" max="8" width="3.83203125" style="22" customWidth="1"/>
    <col min="9" max="9" width="10.6640625" style="22" bestFit="1" customWidth="1"/>
    <col min="10" max="11" width="9.1640625" style="22" customWidth="1"/>
    <col min="12" max="12" width="13.6640625" style="22" bestFit="1" customWidth="1"/>
    <col min="13" max="13" width="15.83203125" style="22" bestFit="1" customWidth="1"/>
    <col min="14" max="14" width="15" style="22" bestFit="1" customWidth="1"/>
    <col min="15" max="15" width="12.5" style="22" bestFit="1" customWidth="1"/>
    <col min="16" max="16" width="4.83203125" style="22" customWidth="1"/>
    <col min="17" max="17" width="3.5" style="22" customWidth="1"/>
    <col min="18" max="18" width="2.5" style="22" customWidth="1"/>
    <col min="19" max="19" width="9.1640625" style="22" customWidth="1"/>
    <col min="20" max="16384" width="9.1640625" style="22" hidden="1"/>
  </cols>
  <sheetData>
    <row r="1" spans="1:42" s="278" customFormat="1" x14ac:dyDescent="0.2">
      <c r="A1" s="320"/>
      <c r="B1" s="319" t="s">
        <v>309</v>
      </c>
      <c r="C1" s="320"/>
      <c r="D1" s="320"/>
      <c r="E1" s="320"/>
      <c r="F1" s="328" t="s">
        <v>12</v>
      </c>
      <c r="G1" s="329">
        <f>'Assumptions - General'!E28</f>
        <v>40179</v>
      </c>
      <c r="H1" s="330" t="s">
        <v>432</v>
      </c>
      <c r="I1" s="329">
        <f>'Assumptions - General'!E29</f>
        <v>51135</v>
      </c>
      <c r="J1" s="320"/>
      <c r="K1" s="320"/>
      <c r="L1" s="320"/>
      <c r="M1" s="320"/>
      <c r="N1" s="320"/>
      <c r="O1" s="320"/>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row>
    <row r="2" spans="1:42" s="278" customFormat="1" x14ac:dyDescent="0.2">
      <c r="A2" s="320"/>
      <c r="B2" s="331" t="str">
        <f>'Assumptions - General'!$E$24</f>
        <v>Ruritania Freight Rail Company</v>
      </c>
      <c r="C2" s="320"/>
      <c r="D2" s="320"/>
      <c r="E2" s="320"/>
      <c r="F2" s="320"/>
      <c r="G2" s="320"/>
      <c r="H2" s="320"/>
      <c r="I2" s="320"/>
      <c r="J2" s="320"/>
      <c r="K2" s="320"/>
      <c r="L2" s="320"/>
      <c r="M2" s="320"/>
      <c r="N2" s="320"/>
      <c r="O2" s="320"/>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row>
    <row r="3" spans="1:42" s="277" customFormat="1" x14ac:dyDescent="0.2">
      <c r="A3" s="320"/>
      <c r="B3" s="321" t="str">
        <f>"All units in "  &amp;'Assumptions - General'!$E$27&amp;  " millions unless otherwise stated"</f>
        <v>All units in R$ millions unless otherwise stated</v>
      </c>
      <c r="C3" s="322"/>
      <c r="D3" s="320"/>
      <c r="E3" s="320"/>
      <c r="F3" s="320"/>
      <c r="G3" s="320"/>
      <c r="H3" s="320"/>
      <c r="I3" s="320"/>
      <c r="J3" s="320"/>
      <c r="K3" s="320"/>
      <c r="L3" s="320"/>
      <c r="M3" s="320"/>
      <c r="N3" s="320"/>
      <c r="O3" s="320"/>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row>
    <row r="4" spans="1:42" s="277" customFormat="1" ht="16" thickBot="1" x14ac:dyDescent="0.25">
      <c r="A4" s="22"/>
      <c r="B4" s="22"/>
      <c r="C4" s="22"/>
      <c r="D4" s="22"/>
      <c r="E4" s="22"/>
      <c r="F4" s="22"/>
      <c r="G4" s="22"/>
      <c r="H4" s="22"/>
      <c r="I4" s="22"/>
      <c r="J4" s="22"/>
      <c r="K4" s="22"/>
      <c r="L4" s="22"/>
      <c r="M4" s="22"/>
      <c r="N4" s="22"/>
      <c r="O4" s="22"/>
      <c r="P4" s="278"/>
      <c r="Q4" s="278"/>
      <c r="R4" s="278"/>
      <c r="S4" s="278"/>
      <c r="T4" s="278"/>
      <c r="U4" s="278"/>
      <c r="V4" s="278"/>
      <c r="W4" s="278"/>
      <c r="X4" s="278"/>
      <c r="Y4" s="278"/>
      <c r="Z4" s="278"/>
      <c r="AA4" s="278"/>
      <c r="AB4" s="278"/>
      <c r="AC4" s="278"/>
      <c r="AD4" s="278"/>
      <c r="AE4" s="278"/>
      <c r="AF4" s="278"/>
      <c r="AG4" s="278"/>
      <c r="AH4" s="278"/>
      <c r="AI4" s="278"/>
      <c r="AJ4" s="278"/>
      <c r="AK4" s="278"/>
      <c r="AL4" s="278"/>
      <c r="AM4" s="278"/>
      <c r="AN4" s="278"/>
      <c r="AO4" s="278"/>
      <c r="AP4" s="278"/>
    </row>
    <row r="5" spans="1:42" s="277" customFormat="1" x14ac:dyDescent="0.2">
      <c r="A5" s="22"/>
      <c r="B5" s="344"/>
      <c r="C5" s="345" t="s">
        <v>310</v>
      </c>
      <c r="D5" s="346"/>
      <c r="E5" s="346"/>
      <c r="F5" s="346"/>
      <c r="G5" s="347"/>
      <c r="H5" s="22"/>
      <c r="I5" s="344"/>
      <c r="J5" s="345" t="s">
        <v>314</v>
      </c>
      <c r="K5" s="346"/>
      <c r="L5" s="346"/>
      <c r="M5" s="346"/>
      <c r="N5" s="346"/>
      <c r="O5" s="347"/>
      <c r="P5" s="18"/>
      <c r="Q5" s="18"/>
      <c r="R5" s="18"/>
      <c r="S5" s="18"/>
      <c r="T5" s="18"/>
      <c r="U5" s="18"/>
      <c r="V5" s="18"/>
      <c r="W5" s="18"/>
      <c r="X5" s="278"/>
      <c r="Y5" s="278"/>
      <c r="Z5" s="278"/>
      <c r="AA5" s="278"/>
      <c r="AB5" s="278"/>
      <c r="AC5" s="278"/>
      <c r="AD5" s="278"/>
      <c r="AE5" s="278"/>
      <c r="AF5" s="278"/>
      <c r="AG5" s="278"/>
      <c r="AH5" s="278"/>
      <c r="AI5" s="278"/>
      <c r="AJ5" s="278"/>
      <c r="AK5" s="278"/>
      <c r="AL5" s="278"/>
      <c r="AM5" s="278"/>
      <c r="AN5" s="278"/>
      <c r="AO5" s="278"/>
      <c r="AP5" s="278"/>
    </row>
    <row r="6" spans="1:42" s="277" customFormat="1" ht="14" x14ac:dyDescent="0.2">
      <c r="A6" s="24"/>
      <c r="B6" s="62"/>
      <c r="C6" s="24"/>
      <c r="D6" s="24"/>
      <c r="E6" s="24"/>
      <c r="F6" s="24"/>
      <c r="G6" s="64"/>
      <c r="H6" s="24"/>
      <c r="I6" s="62"/>
      <c r="J6" s="24"/>
      <c r="K6" s="24"/>
      <c r="L6" s="156"/>
      <c r="M6" s="156"/>
      <c r="N6" s="156"/>
      <c r="O6" s="273"/>
      <c r="P6" s="279"/>
      <c r="Q6" s="279"/>
      <c r="R6" s="279"/>
      <c r="S6" s="279"/>
      <c r="T6" s="279"/>
      <c r="U6" s="279"/>
      <c r="V6" s="279"/>
      <c r="W6" s="279"/>
    </row>
    <row r="7" spans="1:42" s="277" customFormat="1" ht="14" x14ac:dyDescent="0.2">
      <c r="A7" s="24"/>
      <c r="B7" s="62"/>
      <c r="C7" s="24" t="s">
        <v>435</v>
      </c>
      <c r="D7" s="24"/>
      <c r="E7" s="24"/>
      <c r="F7" s="167">
        <f>IF(Calculations!E16=1,AVERAGE('Charts - Freight'!E251:AH251),0)</f>
        <v>15000</v>
      </c>
      <c r="G7" s="157"/>
      <c r="H7" s="24"/>
      <c r="I7" s="62"/>
      <c r="J7" s="118" t="s">
        <v>400</v>
      </c>
      <c r="K7" s="155"/>
      <c r="L7" s="543" t="str">
        <f>IF('Assumptions - Freight'!E488&gt;0,'Assumptions - Freight'!$E$484," ")</f>
        <v>Local bank</v>
      </c>
      <c r="M7" s="543" t="str">
        <f>IF('Assumptions - Freight'!$E$506&gt;0,'Assumptions - Freight'!$E$502," ")</f>
        <v>International bank</v>
      </c>
      <c r="N7" s="543" t="str">
        <f>IF('Assumptions - Freight'!E524&gt;0,'Assumptions - Freight'!$E$520," ")</f>
        <v>Multilateral bank</v>
      </c>
      <c r="O7" s="545" t="str">
        <f>IF('Assumptions - Freight'!E542&gt;0,'Assumptions - Freight'!$E$538," ")</f>
        <v>Regional bank</v>
      </c>
      <c r="P7" s="541"/>
      <c r="Q7" s="541"/>
      <c r="R7" s="541"/>
      <c r="S7" s="541"/>
      <c r="T7" s="541"/>
      <c r="U7" s="541"/>
      <c r="V7" s="541"/>
      <c r="W7" s="541"/>
    </row>
    <row r="8" spans="1:42" s="277" customFormat="1" ht="14" x14ac:dyDescent="0.2">
      <c r="A8" s="24"/>
      <c r="B8" s="62"/>
      <c r="C8" s="24" t="s">
        <v>436</v>
      </c>
      <c r="D8" s="24"/>
      <c r="E8" s="24"/>
      <c r="F8" s="167">
        <f>IF(Calculations!E16=1,AVERAGE('Charts - Freight'!E250:AH250),0)</f>
        <v>19433.333333333332</v>
      </c>
      <c r="G8" s="157"/>
      <c r="H8" s="24"/>
      <c r="I8" s="62"/>
      <c r="J8" s="117"/>
      <c r="K8" s="155"/>
      <c r="L8" s="544"/>
      <c r="M8" s="544"/>
      <c r="N8" s="544"/>
      <c r="O8" s="546"/>
      <c r="P8" s="542"/>
      <c r="Q8" s="542"/>
      <c r="R8" s="542"/>
      <c r="S8" s="542"/>
      <c r="T8" s="542"/>
      <c r="U8" s="542"/>
      <c r="V8" s="542"/>
      <c r="W8" s="542"/>
    </row>
    <row r="9" spans="1:42" s="277" customFormat="1" ht="14" x14ac:dyDescent="0.2">
      <c r="A9" s="24"/>
      <c r="B9" s="62"/>
      <c r="C9" s="24" t="s">
        <v>437</v>
      </c>
      <c r="D9" s="24"/>
      <c r="E9" s="24"/>
      <c r="F9" s="162">
        <f>IF(Calculations!E16=1,AVERAGE('Charts - Freight'!E155:AH155),0)</f>
        <v>0.64500000000000013</v>
      </c>
      <c r="G9" s="157"/>
      <c r="H9" s="24"/>
      <c r="I9" s="62"/>
      <c r="J9" s="8" t="s">
        <v>66</v>
      </c>
      <c r="K9" s="154"/>
      <c r="L9" s="150">
        <f>IF('Assumptions - Freight'!$E$488&gt;0,'Assumptions - Freight'!$E$485," ")</f>
        <v>3</v>
      </c>
      <c r="M9" s="150">
        <f>IF('Assumptions - Freight'!$E$506&gt;0,'Assumptions - Freight'!$E$503," ")</f>
        <v>3</v>
      </c>
      <c r="N9" s="150">
        <f>IF('Assumptions - Freight'!E524&gt;0,'Assumptions - Freight'!$E$521," ")</f>
        <v>3</v>
      </c>
      <c r="O9" s="274">
        <f>IF('Assumptions - Freight'!E542&gt;0,'Assumptions - Freight'!$E$539," ")</f>
        <v>3</v>
      </c>
      <c r="P9" s="280"/>
      <c r="Q9" s="280"/>
      <c r="R9" s="280"/>
      <c r="S9" s="280"/>
      <c r="T9" s="280"/>
      <c r="U9" s="280"/>
      <c r="V9" s="280"/>
      <c r="W9" s="280"/>
    </row>
    <row r="10" spans="1:42" s="277" customFormat="1" ht="14" x14ac:dyDescent="0.2">
      <c r="A10" s="24"/>
      <c r="B10" s="62"/>
      <c r="C10" s="24" t="s">
        <v>514</v>
      </c>
      <c r="D10" s="24"/>
      <c r="E10" s="24"/>
      <c r="F10" s="167">
        <f>IF('Assumptions - Freight'!E111=1,SUM(Calculations!E134:E143),SUM(Calculations!E145:E154))</f>
        <v>41000</v>
      </c>
      <c r="G10" s="157"/>
      <c r="H10" s="24"/>
      <c r="I10" s="62"/>
      <c r="J10" s="8" t="s">
        <v>315</v>
      </c>
      <c r="K10" s="154"/>
      <c r="L10" s="149" t="str">
        <f>IF('Assumptions - Freight'!$E$488&gt;0,'Assumptions - Freight'!$E$488&amp;" "&amp; 'Assumptions - Freight'!$D$488," ")</f>
        <v>50 USD millions</v>
      </c>
      <c r="M10" s="149" t="str">
        <f>IF('Assumptions - Freight'!$E$506&gt;0,'Assumptions - Freight'!$E$506&amp;" "&amp; 'Assumptions - Freight'!$D$506," ")</f>
        <v>50 EUR millions</v>
      </c>
      <c r="N10" s="149" t="str">
        <f>IF('Assumptions - Freight'!E524&gt;0,'Assumptions - Freight'!$E$524&amp;" "&amp; 'Assumptions - Freight'!$D$524," ")</f>
        <v>50 R$ millions</v>
      </c>
      <c r="O10" s="283" t="str">
        <f>IF('Assumptions - Freight'!E542&gt;0, 'Assumptions - Freight'!$E$542&amp;" "&amp; 'Assumptions - Freight'!$D$542," ")</f>
        <v>50 EUR millions</v>
      </c>
      <c r="P10" s="279"/>
      <c r="Q10" s="279"/>
      <c r="R10" s="279"/>
      <c r="S10" s="279"/>
      <c r="T10" s="279"/>
      <c r="U10" s="279"/>
      <c r="V10" s="279"/>
      <c r="W10" s="279"/>
    </row>
    <row r="11" spans="1:42" s="277" customFormat="1" ht="14" x14ac:dyDescent="0.2">
      <c r="A11" s="24"/>
      <c r="B11" s="62"/>
      <c r="C11" s="145" t="s">
        <v>312</v>
      </c>
      <c r="D11" s="24"/>
      <c r="E11" s="24"/>
      <c r="F11" s="170">
        <f>IF(Calculations!E16=1,SUM('Charts - Freight'!E169:AH169),0)</f>
        <v>3.2151722025077767E-3</v>
      </c>
      <c r="G11" s="157"/>
      <c r="H11" s="24"/>
      <c r="I11" s="62"/>
      <c r="J11" s="8" t="s">
        <v>316</v>
      </c>
      <c r="K11" s="154"/>
      <c r="L11" s="149" t="str">
        <f>IF('Assumptions - Freight'!$E$488&gt;0,IF('Assumptions - Freight'!$E$490=1,"Fixed","Variable")," ")</f>
        <v>Fixed</v>
      </c>
      <c r="M11" s="149" t="str">
        <f>IF('Assumptions - Freight'!$E$506&gt;0,IF('Assumptions - Freight'!$E$508=1,"Fixed","Variable")," ")</f>
        <v>Variable</v>
      </c>
      <c r="N11" s="149" t="str">
        <f>IF('Assumptions - Freight'!E524&gt;0,IF('Assumptions - Freight'!$E$526=1,"Fixed","Variable")," ")</f>
        <v>Fixed</v>
      </c>
      <c r="O11" s="283" t="str">
        <f>IF('Assumptions - Freight'!E542&gt;0,IF('Assumptions - Freight'!$E$544=1,"Fixed","Variable")," ")</f>
        <v>Fixed</v>
      </c>
      <c r="P11" s="279"/>
      <c r="Q11" s="279"/>
      <c r="R11" s="279"/>
      <c r="S11" s="279"/>
      <c r="T11" s="279"/>
      <c r="U11" s="279"/>
      <c r="V11" s="279"/>
      <c r="W11" s="279"/>
    </row>
    <row r="12" spans="1:42" s="277" customFormat="1" thickBot="1" x14ac:dyDescent="0.25">
      <c r="A12" s="24"/>
      <c r="B12" s="66"/>
      <c r="C12" s="68"/>
      <c r="D12" s="68"/>
      <c r="E12" s="68"/>
      <c r="F12" s="163"/>
      <c r="G12" s="158"/>
      <c r="H12" s="24"/>
      <c r="I12" s="62"/>
      <c r="J12" s="8" t="s">
        <v>317</v>
      </c>
      <c r="K12" s="154"/>
      <c r="L12" s="151">
        <f>IF('Assumptions - Freight'!$E$488&gt;0,IF('Results - Freight'!L11="Fixed",'Assumptions - Freight'!$E$492,'Assumptions - Freight'!$E$493)," ")</f>
        <v>0.05</v>
      </c>
      <c r="M12" s="151">
        <f>IF('Assumptions - Freight'!$E$506&gt;0,IF('Results - Freight'!M11="Fixed",'Assumptions - Freight'!$E$510,'Assumptions - Freight'!$E$511)," ")</f>
        <v>0.02</v>
      </c>
      <c r="N12" s="151">
        <f>IF('Assumptions - Freight'!E524&gt;0,IF('Results - Freight'!N11="Fixed",'Assumptions - Freight'!$E$528,'Assumptions - Freight'!$E$529)," ")</f>
        <v>0.02</v>
      </c>
      <c r="O12" s="284">
        <f>IF('Assumptions - Freight'!E542&gt;0,IF('Results - Freight'!O11="Fixed",'Assumptions - Freight'!$E$546,'Assumptions - Freight'!$E$547)," ")</f>
        <v>0.05</v>
      </c>
      <c r="P12" s="281"/>
      <c r="Q12" s="281"/>
      <c r="R12" s="281"/>
      <c r="S12" s="281"/>
      <c r="T12" s="281"/>
      <c r="U12" s="281"/>
      <c r="V12" s="281"/>
      <c r="W12" s="281"/>
    </row>
    <row r="13" spans="1:42" s="277" customFormat="1" thickBot="1" x14ac:dyDescent="0.25">
      <c r="A13" s="24"/>
      <c r="B13" s="24"/>
      <c r="C13" s="24"/>
      <c r="D13" s="24"/>
      <c r="E13" s="24"/>
      <c r="F13" s="138"/>
      <c r="G13" s="24"/>
      <c r="H13" s="24"/>
      <c r="I13" s="62"/>
      <c r="J13" s="8" t="s">
        <v>54</v>
      </c>
      <c r="K13" s="154"/>
      <c r="L13" s="149">
        <f>IF('Assumptions - Freight'!$E$488&gt;0,'Assumptions - Freight'!$E$494," ")</f>
        <v>15</v>
      </c>
      <c r="M13" s="149">
        <f>IF('Assumptions - Freight'!$E$506&gt;0,'Assumptions - Freight'!$E$512," ")</f>
        <v>15</v>
      </c>
      <c r="N13" s="149">
        <f>IF('Assumptions - Freight'!E524&gt;0,'Assumptions - Freight'!E530," ")</f>
        <v>15</v>
      </c>
      <c r="O13" s="283">
        <f>IF('Assumptions - Freight'!E542&gt;0,'Assumptions - Freight'!$E$548," ")</f>
        <v>15</v>
      </c>
      <c r="P13" s="279"/>
      <c r="Q13" s="279"/>
      <c r="R13" s="279"/>
      <c r="S13" s="279"/>
      <c r="T13" s="279"/>
      <c r="U13" s="279"/>
      <c r="V13" s="279"/>
      <c r="W13" s="279"/>
    </row>
    <row r="14" spans="1:42" s="277" customFormat="1" x14ac:dyDescent="0.2">
      <c r="A14" s="24"/>
      <c r="B14" s="344"/>
      <c r="C14" s="345" t="s">
        <v>311</v>
      </c>
      <c r="D14" s="346"/>
      <c r="E14" s="346"/>
      <c r="F14" s="357"/>
      <c r="G14" s="347"/>
      <c r="H14" s="24"/>
      <c r="I14" s="62"/>
      <c r="J14" s="8" t="s">
        <v>57</v>
      </c>
      <c r="K14" s="154"/>
      <c r="L14" s="149">
        <f>IF('Assumptions - Freight'!$E$488&gt;0,'Assumptions - Freight'!$E$495," ")</f>
        <v>5</v>
      </c>
      <c r="M14" s="149">
        <f>IF('Assumptions - Freight'!$E$506&gt;0,'Assumptions - Freight'!$E$513," ")</f>
        <v>5</v>
      </c>
      <c r="N14" s="149">
        <f>IF('Assumptions - Freight'!E524&gt;0,'Assumptions - Freight'!E531," ")</f>
        <v>5</v>
      </c>
      <c r="O14" s="283">
        <f>IF('Assumptions - Freight'!E542&gt;0,'Assumptions - Freight'!$E$549," ")</f>
        <v>1</v>
      </c>
      <c r="P14" s="279"/>
      <c r="Q14" s="279"/>
      <c r="R14" s="279"/>
      <c r="S14" s="279"/>
      <c r="T14" s="279"/>
      <c r="U14" s="279"/>
      <c r="V14" s="279"/>
      <c r="W14" s="279"/>
    </row>
    <row r="15" spans="1:42" s="277" customFormat="1" ht="14" x14ac:dyDescent="0.2">
      <c r="A15" s="24"/>
      <c r="B15" s="62"/>
      <c r="C15" s="24"/>
      <c r="D15" s="24"/>
      <c r="E15" s="24"/>
      <c r="F15" s="138"/>
      <c r="G15" s="64"/>
      <c r="H15" s="24"/>
      <c r="I15" s="62"/>
      <c r="J15" s="8" t="s">
        <v>282</v>
      </c>
      <c r="K15" s="154"/>
      <c r="L15" s="149" t="str">
        <f>IF('Assumptions - Freight'!$E$488&gt;0,IF('Assumptions - Freight'!$E$496=1,"Bullet",IF('Assumptions - Freight'!$E$496=2,"Equal installment","Fixed annuity"))," ")</f>
        <v>Bullet</v>
      </c>
      <c r="M15" s="149" t="str">
        <f>IF('Assumptions - Freight'!$E$506&gt;0,IF('Assumptions - Freight'!$E$514=1,"Bullet",IF('Assumptions - Freight'!$E$514=2,"Equal installment","Fixed annuity"))," ")</f>
        <v>Bullet</v>
      </c>
      <c r="N15" s="149" t="str">
        <f>IF('Assumptions - Freight'!E524&gt;0,IF('Assumptions - Freight'!E532=1,"Bullet",IF('Assumptions - Freight'!E532=2,"Equal installment","Fixed annuity"))," ")</f>
        <v>Fixed annuity</v>
      </c>
      <c r="O15" s="283" t="str">
        <f>IF('Assumptions - Freight'!E542&gt;0,IF('Assumptions - Freight'!$E$550=1,"Bullet",IF('Assumptions - Freight'!$E$550=2,"Equal installment","Fixed annuity"))," ")</f>
        <v>Bullet</v>
      </c>
      <c r="P15" s="279"/>
      <c r="Q15" s="279"/>
      <c r="R15" s="279"/>
      <c r="S15" s="279"/>
      <c r="T15" s="279"/>
      <c r="U15" s="279"/>
      <c r="V15" s="279"/>
      <c r="W15" s="279"/>
    </row>
    <row r="16" spans="1:42" s="277" customFormat="1" ht="14" x14ac:dyDescent="0.2">
      <c r="A16" s="24"/>
      <c r="B16" s="62"/>
      <c r="C16" s="24"/>
      <c r="D16" s="24"/>
      <c r="E16" s="24"/>
      <c r="F16" s="138" t="str">
        <f>"Initial ("&amp;'Assumptions - General'!$E$27&amp;")"</f>
        <v>Initial (R$)</v>
      </c>
      <c r="G16" s="148" t="s">
        <v>426</v>
      </c>
      <c r="H16" s="24"/>
      <c r="I16" s="62"/>
      <c r="J16" s="8" t="s">
        <v>53</v>
      </c>
      <c r="K16" s="154"/>
      <c r="L16" s="152">
        <f>IF('Assumptions - Freight'!$E$488&gt;0,'Assumptions - Freight'!$E$498," ")</f>
        <v>2.5000000000000001E-3</v>
      </c>
      <c r="M16" s="152">
        <f>IF('Assumptions - Freight'!$E$506&gt;0,'Assumptions - Freight'!$E$516," ")</f>
        <v>2.5000000000000001E-3</v>
      </c>
      <c r="N16" s="152">
        <f>IF('Assumptions - Freight'!E524&gt;0,'Assumptions - Freight'!E534," ")</f>
        <v>2.5000000000000001E-3</v>
      </c>
      <c r="O16" s="275">
        <f>IF('Assumptions - Freight'!E542&gt;0,'Assumptions - Freight'!$E$552," ")</f>
        <v>2.5000000000000001E-3</v>
      </c>
      <c r="P16" s="282"/>
      <c r="Q16" s="282"/>
      <c r="R16" s="282"/>
      <c r="S16" s="282"/>
      <c r="T16" s="282"/>
      <c r="U16" s="282"/>
      <c r="V16" s="282"/>
      <c r="W16" s="282"/>
    </row>
    <row r="17" spans="1:23" s="277" customFormat="1" ht="14" x14ac:dyDescent="0.2">
      <c r="A17" s="24"/>
      <c r="B17" s="62"/>
      <c r="C17" s="24" t="str">
        <f>"Tariff/"&amp;IF('Assumptions - Freight'!$E$111=1,"Net ton-km","ton")</f>
        <v>Tariff/Net ton-km</v>
      </c>
      <c r="D17" s="24"/>
      <c r="E17" s="24"/>
      <c r="F17" s="247">
        <f>('Assumptions - Freight'!E146+'Assumptions - Freight'!E151+'Assumptions - Freight'!E156+'Assumptions - Freight'!E161+'Assumptions - Freight'!E166+'Assumptions - Freight'!E171+'Assumptions - Freight'!E176+'Assumptions - Freight'!E181+'Assumptions - Freight'!E186+'Assumptions - Freight'!E191)/10</f>
        <v>1</v>
      </c>
      <c r="G17" s="246">
        <f>IF(Calculations!E16=1,SUM('Charts - Freight'!E183:AH183),0)</f>
        <v>2.793849210418764E-2</v>
      </c>
      <c r="H17" s="24"/>
      <c r="I17" s="62"/>
      <c r="J17" s="8" t="s">
        <v>55</v>
      </c>
      <c r="K17" s="154"/>
      <c r="L17" s="153">
        <f>IF('Assumptions - Freight'!$E$488&gt;0,'Assumptions - Freight'!$E$499," ")</f>
        <v>0</v>
      </c>
      <c r="M17" s="153">
        <f>IF('Assumptions - Freight'!$E$506&gt;0,'Assumptions - Freight'!$E$517," ")</f>
        <v>0</v>
      </c>
      <c r="N17" s="153">
        <f>IF('Assumptions - Freight'!E524&gt;0,'Assumptions - Freight'!E535," ")</f>
        <v>0</v>
      </c>
      <c r="O17" s="276">
        <f>IF('Assumptions - Freight'!E542&gt;0,'Assumptions - Freight'!$E$553," ")</f>
        <v>0</v>
      </c>
      <c r="P17" s="282"/>
      <c r="Q17" s="282"/>
      <c r="R17" s="282"/>
      <c r="S17" s="282"/>
      <c r="T17" s="282"/>
      <c r="U17" s="282"/>
      <c r="V17" s="282"/>
      <c r="W17" s="282"/>
    </row>
    <row r="18" spans="1:23" s="277" customFormat="1" ht="14" x14ac:dyDescent="0.2">
      <c r="A18" s="24"/>
      <c r="B18" s="62"/>
      <c r="C18" s="24" t="s">
        <v>428</v>
      </c>
      <c r="D18" s="24"/>
      <c r="E18" s="24"/>
      <c r="F18" s="138">
        <f>'Assumptions - Freight'!E282</f>
        <v>0.25</v>
      </c>
      <c r="G18" s="246">
        <f>SUM('Charts - Freight'!E191:AH191)</f>
        <v>3.0000000000000027E-2</v>
      </c>
      <c r="H18" s="24"/>
      <c r="I18" s="62"/>
      <c r="J18" s="24"/>
      <c r="K18" s="24"/>
      <c r="L18" s="24"/>
      <c r="M18" s="24"/>
      <c r="N18" s="24"/>
      <c r="O18" s="64"/>
    </row>
    <row r="19" spans="1:23" s="277" customFormat="1" ht="14" x14ac:dyDescent="0.2">
      <c r="A19" s="24"/>
      <c r="B19" s="62"/>
      <c r="C19" s="24" t="s">
        <v>429</v>
      </c>
      <c r="D19" s="24"/>
      <c r="E19" s="24"/>
      <c r="F19" s="138">
        <f>'Assumptions - Freight'!E283</f>
        <v>0.25</v>
      </c>
      <c r="G19" s="246">
        <f>SUM('Charts - Freight'!E192:AH192)</f>
        <v>3.0000000000000027E-2</v>
      </c>
      <c r="H19" s="24"/>
      <c r="I19" s="62"/>
      <c r="J19" s="146" t="s">
        <v>318</v>
      </c>
      <c r="K19" s="24"/>
      <c r="L19" s="167">
        <f>Calculations!E336+Calculations!E352+Calculations!E368</f>
        <v>300</v>
      </c>
      <c r="M19" s="24" t="str">
        <f>Calculations!D336</f>
        <v>R$ millions</v>
      </c>
      <c r="N19" s="24"/>
      <c r="O19" s="64"/>
    </row>
    <row r="20" spans="1:23" s="277" customFormat="1" ht="14" x14ac:dyDescent="0.2">
      <c r="A20" s="24"/>
      <c r="B20" s="62"/>
      <c r="C20" s="24" t="s">
        <v>321</v>
      </c>
      <c r="D20" s="24"/>
      <c r="E20" s="24"/>
      <c r="F20" s="248">
        <f>('Assumptions - Freight'!E253+'Assumptions - Freight'!E264)*1000000</f>
        <v>20000000</v>
      </c>
      <c r="G20" s="246">
        <f>SUM('Charts - Freight'!E198:AH198)</f>
        <v>3.0000000000000027E-2</v>
      </c>
      <c r="H20" s="24"/>
      <c r="I20" s="62"/>
      <c r="J20" s="24" t="s">
        <v>319</v>
      </c>
      <c r="K20" s="24"/>
      <c r="L20" s="167">
        <f>Calculations!E497+Calculations!E500+Calculations!E503</f>
        <v>3990</v>
      </c>
      <c r="M20" s="24" t="str">
        <f>'Assumptions - Freight'!D564</f>
        <v>R$ millions</v>
      </c>
      <c r="N20" s="24"/>
      <c r="O20" s="64"/>
    </row>
    <row r="21" spans="1:23" s="277" customFormat="1" thickBot="1" x14ac:dyDescent="0.25">
      <c r="A21" s="24"/>
      <c r="B21" s="66"/>
      <c r="C21" s="68"/>
      <c r="D21" s="68"/>
      <c r="E21" s="68"/>
      <c r="F21" s="163"/>
      <c r="G21" s="160"/>
      <c r="H21" s="24"/>
      <c r="I21" s="66"/>
      <c r="J21" s="68"/>
      <c r="K21" s="68"/>
      <c r="L21" s="68"/>
      <c r="M21" s="68"/>
      <c r="N21" s="68"/>
      <c r="O21" s="70"/>
    </row>
    <row r="22" spans="1:23" s="277" customFormat="1" ht="16" thickBot="1" x14ac:dyDescent="0.25">
      <c r="A22" s="24"/>
      <c r="B22" s="24"/>
      <c r="C22" s="24"/>
      <c r="D22" s="24"/>
      <c r="E22" s="24"/>
      <c r="F22" s="138"/>
      <c r="G22" s="139"/>
      <c r="H22" s="24"/>
      <c r="I22" s="22"/>
      <c r="J22" s="22"/>
      <c r="K22" s="22"/>
      <c r="L22" s="22"/>
      <c r="M22" s="22"/>
      <c r="N22" s="22"/>
      <c r="O22" s="22"/>
      <c r="P22" s="278"/>
      <c r="Q22" s="278"/>
      <c r="R22" s="278"/>
      <c r="S22" s="278"/>
      <c r="T22" s="278"/>
      <c r="U22" s="278"/>
      <c r="V22" s="278"/>
      <c r="W22" s="278"/>
    </row>
    <row r="23" spans="1:23" s="277" customFormat="1" x14ac:dyDescent="0.2">
      <c r="A23" s="24"/>
      <c r="B23" s="344"/>
      <c r="C23" s="345" t="s">
        <v>323</v>
      </c>
      <c r="D23" s="346"/>
      <c r="E23" s="346"/>
      <c r="F23" s="357"/>
      <c r="G23" s="358"/>
      <c r="H23" s="24"/>
      <c r="I23" s="344"/>
      <c r="J23" s="345" t="s">
        <v>659</v>
      </c>
      <c r="K23" s="346"/>
      <c r="L23" s="346"/>
      <c r="M23" s="346"/>
      <c r="N23" s="346"/>
      <c r="O23" s="75"/>
      <c r="P23" s="278"/>
      <c r="Q23" s="278"/>
      <c r="R23" s="278"/>
      <c r="S23" s="278"/>
      <c r="T23" s="278"/>
      <c r="U23" s="278"/>
      <c r="V23" s="278"/>
      <c r="W23" s="278"/>
    </row>
    <row r="24" spans="1:23" s="277" customFormat="1" ht="30" x14ac:dyDescent="0.2">
      <c r="A24" s="24"/>
      <c r="B24" s="101"/>
      <c r="C24" s="17"/>
      <c r="D24" s="18"/>
      <c r="E24" s="18"/>
      <c r="F24" s="263" t="str">
        <f>"Initial ("&amp;'Assumptions - Freight'!D302&amp;")"</f>
        <v>Initial (R$ millions)</v>
      </c>
      <c r="G24" s="264" t="s">
        <v>427</v>
      </c>
      <c r="H24" s="24"/>
      <c r="I24" s="62"/>
      <c r="J24" s="24"/>
      <c r="K24" s="24"/>
      <c r="L24" s="24"/>
      <c r="M24" s="24"/>
      <c r="N24" s="24"/>
      <c r="O24" s="62"/>
    </row>
    <row r="25" spans="1:23" s="277" customFormat="1" ht="14" x14ac:dyDescent="0.2">
      <c r="A25" s="24"/>
      <c r="B25" s="62"/>
      <c r="C25" s="24" t="s">
        <v>37</v>
      </c>
      <c r="D25" s="24"/>
      <c r="E25" s="24"/>
      <c r="F25" s="165">
        <f>'Assumptions - Freight'!E302</f>
        <v>1000</v>
      </c>
      <c r="G25" s="246">
        <f>SUM(Calculations!E261:AH261)</f>
        <v>4.0268521633557652E-2</v>
      </c>
      <c r="H25" s="24"/>
      <c r="I25" s="62"/>
      <c r="J25" s="24" t="str">
        <f>'Assumptions - Freight'!E26</f>
        <v>Land</v>
      </c>
      <c r="K25" s="24"/>
      <c r="L25" s="24"/>
      <c r="M25" s="147">
        <f>SUM(Calculations!F37:AH37)</f>
        <v>290</v>
      </c>
      <c r="N25" s="24" t="str">
        <f>'Assumptions - Freight'!D40</f>
        <v>R$ millions</v>
      </c>
      <c r="O25" s="62"/>
    </row>
    <row r="26" spans="1:23" s="277" customFormat="1" ht="14" x14ac:dyDescent="0.2">
      <c r="A26" s="24"/>
      <c r="B26" s="62"/>
      <c r="C26" s="24" t="s">
        <v>422</v>
      </c>
      <c r="D26" s="24"/>
      <c r="E26" s="24"/>
      <c r="F26" s="165">
        <f>'Assumptions - Freight'!E312</f>
        <v>500</v>
      </c>
      <c r="G26" s="246">
        <f>SUM(Calculations!E263:AH263)</f>
        <v>3.3311627368582952E-2</v>
      </c>
      <c r="H26" s="24"/>
      <c r="I26" s="62"/>
      <c r="J26" s="24" t="str">
        <f>'Assumptions - Freight'!E27</f>
        <v>Buildings and structures</v>
      </c>
      <c r="K26" s="24"/>
      <c r="L26" s="24"/>
      <c r="M26" s="147">
        <f>SUM(Calculations!F53:AH53)</f>
        <v>580</v>
      </c>
      <c r="N26" s="24" t="str">
        <f>'Assumptions - Freight'!D41</f>
        <v>R$ millions</v>
      </c>
      <c r="O26" s="62"/>
    </row>
    <row r="27" spans="1:23" s="277" customFormat="1" ht="14" x14ac:dyDescent="0.2">
      <c r="A27" s="24"/>
      <c r="B27" s="62"/>
      <c r="C27" s="24" t="s">
        <v>41</v>
      </c>
      <c r="D27" s="24"/>
      <c r="E27" s="24"/>
      <c r="F27" s="165">
        <f>'Assumptions - Freight'!E321</f>
        <v>500</v>
      </c>
      <c r="G27" s="246">
        <f>SUM(Calculations!E265:AH265)</f>
        <v>2.8590835562203321E-3</v>
      </c>
      <c r="H27" s="24"/>
      <c r="I27" s="62"/>
      <c r="J27" s="24" t="str">
        <f>'Assumptions - Freight'!E28</f>
        <v>Track and infrastructure</v>
      </c>
      <c r="K27" s="24"/>
      <c r="L27" s="24"/>
      <c r="M27" s="147">
        <f>SUM(Calculations!F69:AH69)</f>
        <v>2820</v>
      </c>
      <c r="N27" s="24" t="str">
        <f>'Assumptions - Freight'!D42</f>
        <v>R$ millions</v>
      </c>
      <c r="O27" s="62"/>
    </row>
    <row r="28" spans="1:23" s="277" customFormat="1" ht="14" x14ac:dyDescent="0.2">
      <c r="A28" s="24"/>
      <c r="B28" s="62"/>
      <c r="C28" s="24" t="s">
        <v>218</v>
      </c>
      <c r="D28" s="24"/>
      <c r="E28" s="24"/>
      <c r="F28" s="165">
        <f>'Assumptions - Freight'!E330</f>
        <v>500</v>
      </c>
      <c r="G28" s="246">
        <f>SUM(Calculations!E267:AH267)</f>
        <v>4.9739551717467911E-2</v>
      </c>
      <c r="H28" s="24"/>
      <c r="I28" s="62"/>
      <c r="J28" s="24" t="str">
        <f>'Assumptions - Freight'!E29</f>
        <v>Locomotives and railway cars</v>
      </c>
      <c r="K28" s="24"/>
      <c r="L28" s="24"/>
      <c r="M28" s="147">
        <f>SUM(Calculations!F85:AH85)</f>
        <v>2825</v>
      </c>
      <c r="N28" s="24" t="str">
        <f>'Assumptions - Freight'!D43</f>
        <v>R$ millions</v>
      </c>
      <c r="O28" s="62"/>
    </row>
    <row r="29" spans="1:23" s="277" customFormat="1" ht="14" x14ac:dyDescent="0.2">
      <c r="A29" s="24"/>
      <c r="B29" s="62"/>
      <c r="C29" s="24" t="s">
        <v>423</v>
      </c>
      <c r="D29" s="24"/>
      <c r="E29" s="24"/>
      <c r="F29" s="165">
        <f>'Assumptions - Freight'!E339</f>
        <v>500</v>
      </c>
      <c r="G29" s="246">
        <f>SUM(Calculations!E269:AH269)</f>
        <v>3.0000000000000027E-2</v>
      </c>
      <c r="H29" s="24"/>
      <c r="I29" s="62"/>
      <c r="J29" s="24" t="str">
        <f>'Assumptions - Freight'!E30</f>
        <v>Machines, equipment and spare parts</v>
      </c>
      <c r="K29" s="24"/>
      <c r="L29" s="24"/>
      <c r="M29" s="147">
        <f>SUM(Calculations!F101:AH101)</f>
        <v>725</v>
      </c>
      <c r="N29" s="24" t="str">
        <f>'Assumptions - Freight'!D44</f>
        <v>R$ millions</v>
      </c>
      <c r="O29" s="62"/>
    </row>
    <row r="30" spans="1:23" s="277" customFormat="1" ht="14" x14ac:dyDescent="0.2">
      <c r="A30" s="24"/>
      <c r="B30" s="62"/>
      <c r="C30" s="24" t="s">
        <v>424</v>
      </c>
      <c r="D30" s="24"/>
      <c r="E30" s="24"/>
      <c r="F30" s="165">
        <f>'Assumptions - Freight'!E349</f>
        <v>500</v>
      </c>
      <c r="G30" s="246">
        <f>SUM(Calculations!E271:AH271)</f>
        <v>3.0000000000000027E-2</v>
      </c>
      <c r="H30" s="24"/>
      <c r="I30" s="62"/>
      <c r="J30" s="24" t="str">
        <f>'Assumptions - Freight'!E31</f>
        <v>Others</v>
      </c>
      <c r="K30" s="24"/>
      <c r="L30" s="24"/>
      <c r="M30" s="147">
        <f>SUM(Calculations!F117:AH117)</f>
        <v>725</v>
      </c>
      <c r="N30" s="24" t="str">
        <f>'Assumptions - Freight'!D45</f>
        <v>R$ millions</v>
      </c>
      <c r="O30" s="62"/>
    </row>
    <row r="31" spans="1:23" s="277" customFormat="1" ht="14" x14ac:dyDescent="0.2">
      <c r="A31" s="24"/>
      <c r="B31" s="62"/>
      <c r="C31" s="24" t="s">
        <v>425</v>
      </c>
      <c r="D31" s="24"/>
      <c r="E31" s="24"/>
      <c r="F31" s="165">
        <f>'Assumptions - Freight'!E371+'Assumptions - Freight'!E380+'Assumptions - Freight'!E389</f>
        <v>300</v>
      </c>
      <c r="G31" s="246">
        <f>SUM(Calculations!E279:AH279)</f>
        <v>3.0000000000000027E-2</v>
      </c>
      <c r="H31" s="24"/>
      <c r="I31" s="62"/>
      <c r="J31" s="24" t="s">
        <v>412</v>
      </c>
      <c r="K31" s="24"/>
      <c r="L31" s="24"/>
      <c r="M31" s="167">
        <f>SUM(M25:M30)</f>
        <v>7965</v>
      </c>
      <c r="N31" s="64" t="str">
        <f>N30</f>
        <v>R$ millions</v>
      </c>
      <c r="O31" s="62"/>
    </row>
    <row r="32" spans="1:23" s="277" customFormat="1" thickBot="1" x14ac:dyDescent="0.25">
      <c r="A32" s="24"/>
      <c r="B32" s="66"/>
      <c r="C32" s="159"/>
      <c r="D32" s="68"/>
      <c r="E32" s="68"/>
      <c r="F32" s="166"/>
      <c r="G32" s="70"/>
      <c r="H32" s="24"/>
      <c r="I32" s="66"/>
      <c r="J32" s="68"/>
      <c r="K32" s="68"/>
      <c r="L32" s="68"/>
      <c r="M32" s="163"/>
      <c r="N32" s="70"/>
      <c r="O32" s="24"/>
    </row>
    <row r="33" spans="1:42" s="277" customFormat="1" thickBot="1" x14ac:dyDescent="0.25">
      <c r="A33" s="24"/>
      <c r="B33" s="24"/>
      <c r="C33" s="24"/>
      <c r="D33" s="24"/>
      <c r="E33" s="24"/>
      <c r="F33" s="24"/>
      <c r="G33" s="24"/>
      <c r="H33" s="24"/>
      <c r="I33" s="24"/>
      <c r="J33" s="24"/>
      <c r="K33" s="24"/>
      <c r="L33" s="24"/>
      <c r="M33" s="24"/>
      <c r="N33" s="24"/>
      <c r="O33" s="24"/>
    </row>
    <row r="34" spans="1:42" s="277" customFormat="1" x14ac:dyDescent="0.2">
      <c r="A34" s="24"/>
      <c r="B34" s="344"/>
      <c r="C34" s="345" t="s">
        <v>313</v>
      </c>
      <c r="D34" s="346"/>
      <c r="E34" s="346"/>
      <c r="F34" s="357"/>
      <c r="G34" s="347"/>
      <c r="H34" s="24"/>
      <c r="I34" s="24"/>
      <c r="J34" s="24"/>
      <c r="K34" s="24"/>
      <c r="L34" s="24"/>
      <c r="M34" s="24"/>
      <c r="N34" s="24"/>
      <c r="O34" s="24"/>
    </row>
    <row r="35" spans="1:42" s="277" customFormat="1" ht="14" x14ac:dyDescent="0.2">
      <c r="A35" s="24"/>
      <c r="B35" s="62"/>
      <c r="C35" s="24"/>
      <c r="D35" s="24"/>
      <c r="E35" s="24"/>
      <c r="F35" s="138" t="s">
        <v>660</v>
      </c>
      <c r="G35" s="64"/>
      <c r="H35" s="24"/>
      <c r="I35" s="24"/>
      <c r="J35" s="24"/>
      <c r="K35" s="24"/>
      <c r="L35" s="24"/>
      <c r="M35" s="24"/>
      <c r="N35" s="24"/>
      <c r="O35" s="24"/>
    </row>
    <row r="36" spans="1:42" s="277" customFormat="1" ht="14" x14ac:dyDescent="0.2">
      <c r="A36" s="24"/>
      <c r="B36" s="62"/>
      <c r="C36" s="24" t="s">
        <v>48</v>
      </c>
      <c r="D36" s="24"/>
      <c r="E36" s="24"/>
      <c r="F36" s="147">
        <f>IF(Calculations!E16=1,AVERAGE('Assumptions - Freight'!E413:AH413)," ")</f>
        <v>44.501341136308227</v>
      </c>
      <c r="G36" s="64"/>
      <c r="H36" s="24"/>
      <c r="I36" s="24"/>
      <c r="J36" s="24"/>
      <c r="K36" s="24"/>
      <c r="L36" s="24"/>
      <c r="M36" s="24"/>
      <c r="N36" s="24"/>
      <c r="O36" s="24"/>
    </row>
    <row r="37" spans="1:42" s="277" customFormat="1" ht="14" x14ac:dyDescent="0.2">
      <c r="A37" s="24"/>
      <c r="B37" s="62"/>
      <c r="C37" s="24" t="s">
        <v>49</v>
      </c>
      <c r="D37" s="24"/>
      <c r="E37" s="24"/>
      <c r="F37" s="147">
        <f>IF(Calculations!E16=1,AVERAGE('Assumptions - Freight'!E417:AH417)," ")</f>
        <v>36.5</v>
      </c>
      <c r="G37" s="64"/>
      <c r="H37" s="24"/>
      <c r="I37" s="24"/>
      <c r="J37" s="24"/>
      <c r="K37" s="24"/>
      <c r="L37" s="24"/>
      <c r="M37" s="24"/>
      <c r="N37" s="24"/>
      <c r="O37" s="24"/>
    </row>
    <row r="38" spans="1:42" s="277" customFormat="1" ht="14" x14ac:dyDescent="0.2">
      <c r="A38" s="24"/>
      <c r="B38" s="62"/>
      <c r="C38" s="24" t="s">
        <v>273</v>
      </c>
      <c r="D38" s="24"/>
      <c r="E38" s="24"/>
      <c r="F38" s="147">
        <f>IF(Calculations!E16=1,AVERAGE('Assumptions - Freight'!E421:AH421)," ")</f>
        <v>50.694444444444422</v>
      </c>
      <c r="G38" s="64"/>
      <c r="H38" s="24"/>
      <c r="I38" s="24"/>
      <c r="J38" s="24"/>
      <c r="K38" s="24"/>
      <c r="L38" s="24"/>
      <c r="M38" s="24"/>
      <c r="N38" s="24"/>
      <c r="O38" s="24"/>
    </row>
    <row r="39" spans="1:42" s="277" customFormat="1" ht="14" x14ac:dyDescent="0.2">
      <c r="A39" s="24"/>
      <c r="B39" s="62"/>
      <c r="C39" s="24" t="s">
        <v>50</v>
      </c>
      <c r="D39" s="24"/>
      <c r="E39" s="24"/>
      <c r="F39" s="147">
        <f>IF(Calculations!E16=1,AVERAGE('Assumptions - Freight'!E425:AH425)," ")</f>
        <v>45.334575376494307</v>
      </c>
      <c r="G39" s="64"/>
      <c r="H39" s="24"/>
      <c r="I39" s="24"/>
      <c r="J39" s="24"/>
      <c r="K39" s="24"/>
      <c r="L39" s="24"/>
      <c r="M39" s="24"/>
      <c r="N39" s="24"/>
      <c r="O39" s="24"/>
    </row>
    <row r="40" spans="1:42" s="277" customFormat="1" ht="14" x14ac:dyDescent="0.2">
      <c r="A40" s="24"/>
      <c r="B40" s="62"/>
      <c r="C40" s="24" t="s">
        <v>275</v>
      </c>
      <c r="D40" s="24"/>
      <c r="E40" s="24"/>
      <c r="F40" s="147">
        <f>IF(Calculations!E16=1,AVERAGE('Assumptions - Freight'!E429:AH429)," ")</f>
        <v>121.66666666666661</v>
      </c>
      <c r="G40" s="64"/>
      <c r="H40" s="24"/>
      <c r="I40" s="24"/>
      <c r="J40" s="24"/>
      <c r="K40" s="24"/>
      <c r="L40" s="24"/>
      <c r="M40" s="24"/>
      <c r="N40" s="24"/>
      <c r="O40" s="24"/>
    </row>
    <row r="41" spans="1:42" s="18" customFormat="1" ht="16" thickBot="1" x14ac:dyDescent="0.25">
      <c r="A41" s="24"/>
      <c r="B41" s="249"/>
      <c r="C41" s="250"/>
      <c r="D41" s="250"/>
      <c r="E41" s="250"/>
      <c r="F41" s="250"/>
      <c r="G41" s="251"/>
      <c r="H41" s="24"/>
      <c r="I41" s="24"/>
      <c r="J41" s="24"/>
      <c r="K41" s="24"/>
      <c r="L41" s="24"/>
      <c r="M41" s="24"/>
      <c r="N41" s="24"/>
      <c r="O41" s="24"/>
      <c r="P41" s="277"/>
      <c r="Q41" s="277"/>
      <c r="R41" s="277"/>
      <c r="S41" s="277"/>
      <c r="T41" s="277"/>
      <c r="U41" s="277"/>
      <c r="V41" s="277"/>
      <c r="W41" s="277"/>
      <c r="X41" s="277"/>
      <c r="Y41" s="277"/>
      <c r="Z41" s="277"/>
      <c r="AA41" s="277"/>
      <c r="AB41" s="277"/>
      <c r="AC41" s="277"/>
      <c r="AD41" s="277"/>
      <c r="AE41" s="277"/>
      <c r="AF41" s="277"/>
      <c r="AG41" s="277"/>
      <c r="AH41" s="277"/>
      <c r="AI41" s="277"/>
      <c r="AJ41" s="277"/>
      <c r="AK41" s="277"/>
      <c r="AL41" s="277"/>
      <c r="AM41" s="277"/>
      <c r="AN41" s="277"/>
      <c r="AO41" s="277"/>
      <c r="AP41" s="277"/>
    </row>
    <row r="42" spans="1:42" s="18" customFormat="1" x14ac:dyDescent="0.2">
      <c r="A42" s="24"/>
      <c r="B42" s="22"/>
      <c r="C42" s="22"/>
      <c r="D42" s="22"/>
      <c r="E42" s="22"/>
      <c r="F42" s="22"/>
      <c r="G42" s="22"/>
      <c r="H42" s="24"/>
      <c r="I42" s="24"/>
      <c r="J42" s="24"/>
      <c r="K42" s="24"/>
      <c r="L42" s="24"/>
      <c r="M42" s="24"/>
      <c r="N42" s="24"/>
      <c r="O42" s="24"/>
      <c r="P42" s="277"/>
      <c r="Q42" s="277"/>
      <c r="R42" s="277"/>
      <c r="S42" s="277"/>
      <c r="T42" s="277"/>
      <c r="U42" s="277"/>
      <c r="V42" s="277"/>
      <c r="W42" s="277"/>
      <c r="X42" s="277"/>
      <c r="Y42" s="277"/>
      <c r="Z42" s="277"/>
      <c r="AA42" s="277"/>
      <c r="AB42" s="277"/>
      <c r="AC42" s="277"/>
      <c r="AD42" s="277"/>
      <c r="AE42" s="277"/>
      <c r="AF42" s="277"/>
      <c r="AG42" s="277"/>
      <c r="AH42" s="277"/>
      <c r="AI42" s="277"/>
      <c r="AJ42" s="277"/>
      <c r="AK42" s="277"/>
      <c r="AL42" s="277"/>
      <c r="AM42" s="277"/>
      <c r="AN42" s="277"/>
      <c r="AO42" s="277"/>
      <c r="AP42" s="277"/>
    </row>
    <row r="43" spans="1:42" s="18" customFormat="1" x14ac:dyDescent="0.2">
      <c r="A43" s="320"/>
      <c r="B43" s="319" t="s">
        <v>299</v>
      </c>
      <c r="C43" s="320"/>
      <c r="D43" s="320"/>
      <c r="E43" s="320"/>
      <c r="F43" s="320"/>
      <c r="G43" s="320"/>
      <c r="H43" s="320"/>
      <c r="I43" s="320"/>
      <c r="J43" s="320"/>
      <c r="K43" s="320"/>
      <c r="L43" s="320"/>
      <c r="M43" s="320"/>
      <c r="N43" s="320"/>
      <c r="O43" s="320"/>
      <c r="P43" s="320"/>
      <c r="Q43" s="320"/>
      <c r="R43" s="320"/>
    </row>
    <row r="44" spans="1:42" s="18" customFormat="1" x14ac:dyDescent="0.2">
      <c r="A44" s="320"/>
      <c r="B44" s="321" t="str">
        <f>'Assumptions - General'!$E$24</f>
        <v>Ruritania Freight Rail Company</v>
      </c>
      <c r="C44" s="320"/>
      <c r="D44" s="320"/>
      <c r="E44" s="320"/>
      <c r="F44" s="320"/>
      <c r="G44" s="320"/>
      <c r="H44" s="320"/>
      <c r="I44" s="320"/>
      <c r="J44" s="320"/>
      <c r="K44" s="320"/>
      <c r="L44" s="320"/>
      <c r="M44" s="320"/>
      <c r="N44" s="320"/>
      <c r="O44" s="320"/>
      <c r="P44" s="320"/>
      <c r="Q44" s="320"/>
      <c r="R44" s="320"/>
    </row>
    <row r="45" spans="1:42" s="18" customFormat="1" x14ac:dyDescent="0.2">
      <c r="A45" s="320"/>
      <c r="B45" s="321" t="str">
        <f>"All units in "  &amp;'Assumptions - General'!$E$27&amp;  " millions unless otherwise stated"</f>
        <v>All units in R$ millions unless otherwise stated</v>
      </c>
      <c r="C45" s="322"/>
      <c r="D45" s="320"/>
      <c r="E45" s="320"/>
      <c r="F45" s="320"/>
      <c r="G45" s="320"/>
      <c r="H45" s="320"/>
      <c r="I45" s="320"/>
      <c r="J45" s="320"/>
      <c r="K45" s="320"/>
      <c r="L45" s="320"/>
      <c r="M45" s="320"/>
      <c r="N45" s="320"/>
      <c r="O45" s="320"/>
      <c r="P45" s="320"/>
      <c r="Q45" s="320"/>
      <c r="R45" s="320"/>
    </row>
    <row r="46" spans="1:42" s="18" customFormat="1" x14ac:dyDescent="0.2">
      <c r="B46" s="77"/>
      <c r="C46" s="78"/>
    </row>
    <row r="47" spans="1:42" s="18" customFormat="1" x14ac:dyDescent="0.2">
      <c r="A47" s="1"/>
      <c r="B47" s="1"/>
      <c r="C47" s="1"/>
      <c r="D47" s="1"/>
      <c r="E47" s="1"/>
      <c r="F47" s="1"/>
      <c r="G47" s="1"/>
      <c r="H47" s="1"/>
      <c r="I47" s="1"/>
      <c r="J47" s="142" t="s">
        <v>297</v>
      </c>
      <c r="K47" s="141">
        <f>IF(Calculations!E16=1,SUM('Charts - Freight'!E154:AH154)," ")</f>
        <v>3.2151722025077767E-3</v>
      </c>
      <c r="L47" s="1"/>
      <c r="M47" s="1"/>
      <c r="N47" s="1"/>
      <c r="O47" s="1"/>
      <c r="P47" s="1"/>
      <c r="Q47" s="1"/>
      <c r="R47" s="1"/>
    </row>
    <row r="48" spans="1:42" s="18" customFormat="1" x14ac:dyDescent="0.2">
      <c r="A48" s="1"/>
      <c r="B48" s="1"/>
      <c r="C48" s="1"/>
      <c r="D48" s="1"/>
      <c r="E48" s="1"/>
      <c r="F48" s="1"/>
      <c r="G48" s="1"/>
      <c r="H48" s="1"/>
      <c r="I48" s="1"/>
      <c r="J48" s="1"/>
      <c r="K48" s="1"/>
      <c r="L48" s="1"/>
      <c r="M48" s="1"/>
      <c r="N48" s="1"/>
      <c r="O48" s="1"/>
      <c r="P48" s="1"/>
      <c r="Q48" s="1"/>
      <c r="R48" s="1"/>
    </row>
    <row r="49" spans="1:18" s="18" customFormat="1" x14ac:dyDescent="0.2">
      <c r="A49" s="1"/>
      <c r="B49" s="1"/>
      <c r="C49" s="1"/>
      <c r="D49" s="1"/>
      <c r="E49" s="1"/>
      <c r="F49" s="1"/>
      <c r="G49" s="1"/>
      <c r="H49" s="1"/>
      <c r="I49" s="1"/>
      <c r="J49" s="1"/>
      <c r="K49" s="1"/>
      <c r="L49" s="1"/>
      <c r="M49" s="1"/>
      <c r="N49" s="1"/>
      <c r="O49" s="1"/>
      <c r="P49" s="1"/>
      <c r="Q49" s="1"/>
      <c r="R49" s="1"/>
    </row>
    <row r="50" spans="1:18" s="18" customFormat="1" x14ac:dyDescent="0.2">
      <c r="A50" s="1"/>
      <c r="B50" s="1"/>
      <c r="C50" s="1"/>
      <c r="D50" s="1"/>
      <c r="E50" s="1"/>
      <c r="F50" s="1"/>
      <c r="G50" s="1"/>
      <c r="H50" s="1"/>
      <c r="I50" s="1"/>
      <c r="J50" s="1"/>
      <c r="K50" s="1"/>
      <c r="L50" s="1"/>
      <c r="M50" s="1"/>
      <c r="N50" s="1"/>
      <c r="O50" s="1"/>
      <c r="P50" s="1"/>
      <c r="Q50" s="1"/>
      <c r="R50" s="1"/>
    </row>
    <row r="51" spans="1:18" s="18" customFormat="1" x14ac:dyDescent="0.2">
      <c r="A51" s="1"/>
      <c r="B51" s="1"/>
      <c r="C51" s="1"/>
      <c r="D51" s="1"/>
      <c r="E51" s="1"/>
      <c r="F51" s="1"/>
      <c r="G51" s="1"/>
      <c r="H51" s="1"/>
      <c r="I51" s="1"/>
      <c r="J51" s="1"/>
      <c r="K51" s="1"/>
      <c r="L51" s="1"/>
      <c r="M51" s="1"/>
      <c r="N51" s="1"/>
      <c r="O51" s="1"/>
      <c r="P51" s="1"/>
      <c r="Q51" s="1"/>
      <c r="R51" s="1"/>
    </row>
    <row r="52" spans="1:18" s="18" customFormat="1" x14ac:dyDescent="0.2">
      <c r="A52" s="1"/>
      <c r="B52" s="1"/>
      <c r="C52" s="1"/>
      <c r="D52" s="1"/>
      <c r="E52" s="1"/>
      <c r="F52" s="1"/>
      <c r="G52" s="1"/>
      <c r="H52" s="1"/>
      <c r="I52" s="1"/>
      <c r="J52" s="1"/>
      <c r="K52" s="1"/>
      <c r="L52" s="1"/>
      <c r="M52" s="1"/>
      <c r="N52" s="1"/>
      <c r="O52" s="1"/>
      <c r="P52" s="1"/>
      <c r="Q52" s="1"/>
      <c r="R52" s="1"/>
    </row>
    <row r="53" spans="1:18" s="18" customFormat="1" x14ac:dyDescent="0.2">
      <c r="A53" s="1"/>
      <c r="B53" s="1"/>
      <c r="C53" s="1"/>
      <c r="D53" s="1"/>
      <c r="E53" s="1"/>
      <c r="F53" s="1"/>
      <c r="G53" s="1"/>
      <c r="H53" s="1"/>
      <c r="I53" s="1"/>
      <c r="J53" s="1"/>
      <c r="K53" s="1"/>
      <c r="L53" s="1"/>
      <c r="M53" s="1"/>
      <c r="N53" s="1"/>
      <c r="O53" s="1"/>
      <c r="P53" s="1"/>
      <c r="Q53" s="1"/>
      <c r="R53" s="1"/>
    </row>
    <row r="54" spans="1:18" s="18" customFormat="1" x14ac:dyDescent="0.2">
      <c r="A54" s="1"/>
      <c r="B54" s="1"/>
      <c r="C54" s="1"/>
      <c r="D54" s="1"/>
      <c r="E54" s="1"/>
      <c r="F54" s="1"/>
      <c r="G54" s="1"/>
      <c r="H54" s="1"/>
      <c r="I54" s="1"/>
      <c r="J54" s="1"/>
      <c r="K54" s="1"/>
      <c r="L54" s="1"/>
      <c r="M54" s="1"/>
      <c r="N54" s="1"/>
      <c r="O54" s="1"/>
      <c r="P54" s="1"/>
      <c r="Q54" s="1"/>
      <c r="R54" s="1"/>
    </row>
    <row r="55" spans="1:18" s="18" customFormat="1" x14ac:dyDescent="0.2">
      <c r="A55" s="1"/>
      <c r="B55" s="1"/>
      <c r="C55" s="1"/>
      <c r="D55" s="1"/>
      <c r="E55" s="1"/>
      <c r="F55" s="1"/>
      <c r="G55" s="1"/>
      <c r="H55" s="1"/>
      <c r="I55" s="1"/>
      <c r="J55" s="1"/>
      <c r="K55" s="1"/>
      <c r="L55" s="1"/>
      <c r="M55" s="1"/>
      <c r="N55" s="1"/>
      <c r="O55" s="1"/>
      <c r="P55" s="1"/>
      <c r="Q55" s="1"/>
      <c r="R55" s="1"/>
    </row>
    <row r="56" spans="1:18" s="18" customFormat="1" x14ac:dyDescent="0.2">
      <c r="A56" s="1"/>
      <c r="B56" s="1"/>
      <c r="C56" s="1"/>
      <c r="D56" s="1"/>
      <c r="E56" s="1"/>
      <c r="F56" s="1"/>
      <c r="G56" s="1"/>
      <c r="H56" s="1"/>
      <c r="I56" s="1"/>
      <c r="J56" s="1"/>
      <c r="K56" s="1"/>
      <c r="L56" s="1"/>
      <c r="M56" s="1"/>
      <c r="N56" s="1"/>
      <c r="O56" s="1"/>
      <c r="P56" s="1"/>
      <c r="Q56" s="1"/>
      <c r="R56" s="1"/>
    </row>
    <row r="57" spans="1:18" s="18" customFormat="1" x14ac:dyDescent="0.2">
      <c r="A57" s="1"/>
      <c r="B57" s="1"/>
      <c r="C57" s="1"/>
      <c r="D57" s="1"/>
      <c r="E57" s="1"/>
      <c r="F57" s="1"/>
      <c r="G57" s="1"/>
      <c r="H57" s="1"/>
      <c r="I57" s="1"/>
      <c r="J57" s="1"/>
      <c r="K57" s="1"/>
      <c r="L57" s="1"/>
      <c r="M57" s="1"/>
      <c r="N57" s="1"/>
      <c r="O57" s="1"/>
      <c r="P57" s="1"/>
      <c r="Q57" s="1"/>
      <c r="R57" s="1"/>
    </row>
    <row r="58" spans="1:18" s="18" customFormat="1" x14ac:dyDescent="0.2">
      <c r="A58" s="1"/>
      <c r="B58" s="1"/>
      <c r="C58" s="1"/>
      <c r="D58" s="1"/>
      <c r="E58" s="1"/>
      <c r="F58" s="1"/>
      <c r="G58" s="1"/>
      <c r="H58" s="1"/>
      <c r="I58" s="1"/>
      <c r="J58" s="1"/>
      <c r="K58" s="1"/>
      <c r="L58" s="1"/>
      <c r="M58" s="1"/>
      <c r="N58" s="1"/>
      <c r="O58" s="1"/>
      <c r="P58" s="1"/>
      <c r="Q58" s="1"/>
      <c r="R58" s="1"/>
    </row>
    <row r="59" spans="1:18" s="18" customFormat="1" ht="16" thickBot="1" x14ac:dyDescent="0.25">
      <c r="A59" s="1"/>
      <c r="B59" s="1"/>
      <c r="C59" s="1"/>
      <c r="D59" s="1"/>
      <c r="E59" s="1"/>
      <c r="F59" s="1"/>
      <c r="G59" s="1"/>
      <c r="H59" s="1"/>
      <c r="I59" s="1"/>
      <c r="J59" s="1"/>
      <c r="K59" s="1"/>
      <c r="L59" s="1"/>
      <c r="M59" s="1"/>
      <c r="N59" s="1"/>
      <c r="O59" s="1"/>
      <c r="P59" s="1"/>
      <c r="Q59" s="1"/>
      <c r="R59" s="1"/>
    </row>
    <row r="60" spans="1:18" s="18" customFormat="1" x14ac:dyDescent="0.2">
      <c r="A60" s="1"/>
      <c r="B60" s="1"/>
      <c r="C60" s="1"/>
      <c r="D60" s="1"/>
      <c r="E60" s="1"/>
      <c r="F60" s="1"/>
      <c r="G60" s="1"/>
      <c r="H60" s="1"/>
      <c r="I60" s="1"/>
      <c r="J60" s="344"/>
      <c r="K60" s="345" t="s">
        <v>203</v>
      </c>
      <c r="L60" s="346"/>
      <c r="M60" s="346"/>
      <c r="N60" s="346"/>
      <c r="O60" s="346"/>
      <c r="P60" s="346"/>
      <c r="Q60" s="346"/>
      <c r="R60" s="347"/>
    </row>
    <row r="61" spans="1:18" s="18" customFormat="1" ht="16" thickBot="1" x14ac:dyDescent="0.25">
      <c r="A61" s="1"/>
      <c r="B61" s="1"/>
      <c r="C61" s="1"/>
      <c r="D61" s="1"/>
      <c r="E61" s="1"/>
      <c r="F61" s="1"/>
      <c r="G61" s="1"/>
      <c r="H61" s="1"/>
      <c r="I61" s="1"/>
      <c r="J61" s="75"/>
      <c r="K61" s="22"/>
      <c r="L61" s="22"/>
      <c r="M61" s="22"/>
      <c r="N61" s="71"/>
      <c r="O61" s="529" t="str">
        <f>B44</f>
        <v>Ruritania Freight Rail Company</v>
      </c>
      <c r="P61" s="529"/>
      <c r="Q61" s="530" t="str">
        <f>'Assumptions - Freight'!E19</f>
        <v>EU railways</v>
      </c>
      <c r="R61" s="538"/>
    </row>
    <row r="62" spans="1:18" s="18" customFormat="1" x14ac:dyDescent="0.2">
      <c r="A62" s="1"/>
      <c r="B62" s="344"/>
      <c r="C62" s="345" t="s">
        <v>166</v>
      </c>
      <c r="D62" s="346"/>
      <c r="E62" s="346"/>
      <c r="F62" s="346"/>
      <c r="G62" s="346"/>
      <c r="H62" s="347"/>
      <c r="I62" s="1"/>
      <c r="J62" s="75"/>
      <c r="K62" s="22"/>
      <c r="L62" s="22"/>
      <c r="M62" s="22"/>
      <c r="N62" s="71"/>
      <c r="O62" s="529"/>
      <c r="P62" s="529"/>
      <c r="Q62" s="529"/>
      <c r="R62" s="538"/>
    </row>
    <row r="63" spans="1:18" s="18" customFormat="1" x14ac:dyDescent="0.2">
      <c r="A63" s="1"/>
      <c r="B63" s="101"/>
      <c r="C63" s="17"/>
      <c r="G63" s="72" t="s">
        <v>162</v>
      </c>
      <c r="H63" s="102"/>
      <c r="I63" s="1"/>
      <c r="J63" s="62"/>
      <c r="K63" s="139" t="s">
        <v>298</v>
      </c>
      <c r="L63" s="140"/>
      <c r="M63" s="140"/>
      <c r="N63" s="139"/>
      <c r="O63" s="533">
        <f>IF(Calculations!E16=1,K47," ")</f>
        <v>3.2151722025077767E-3</v>
      </c>
      <c r="P63" s="539"/>
      <c r="Q63" s="1"/>
      <c r="R63" s="135"/>
    </row>
    <row r="64" spans="1:18" s="18" customFormat="1" x14ac:dyDescent="0.2">
      <c r="A64" s="1"/>
      <c r="B64" s="101"/>
      <c r="C64" s="519" t="s">
        <v>212</v>
      </c>
      <c r="D64" s="24" t="s">
        <v>172</v>
      </c>
      <c r="F64" s="104">
        <f ca="1">IF(Calculations!E16=1,MIN('Charts - Freight'!E140:AH140)," ")</f>
        <v>0.58012541064199863</v>
      </c>
      <c r="G64" s="63">
        <f ca="1">INDEX(Calculations!E$6:AH$6,MATCH('Results - Freight'!F64,'Charts - Freight'!$E$140:$AH$140,0))</f>
        <v>51135</v>
      </c>
      <c r="H64" s="102"/>
      <c r="I64" s="1"/>
      <c r="J64" s="62"/>
      <c r="K64" s="139" t="s">
        <v>204</v>
      </c>
      <c r="L64" s="140"/>
      <c r="M64" s="140"/>
      <c r="N64" s="139"/>
      <c r="O64" s="524">
        <f>IF(Calculations!E16=1,AVERAGE('Charts - Freight'!E241:AH241)," ")</f>
        <v>2.2762962962962963</v>
      </c>
      <c r="P64" s="524"/>
      <c r="Q64" s="525">
        <f>'Assumptions - Freight'!E20</f>
        <v>1</v>
      </c>
      <c r="R64" s="526"/>
    </row>
    <row r="65" spans="1:18" s="18" customFormat="1" x14ac:dyDescent="0.2">
      <c r="A65" s="1"/>
      <c r="B65" s="101"/>
      <c r="C65" s="540"/>
      <c r="D65" s="24" t="s">
        <v>164</v>
      </c>
      <c r="F65" s="104">
        <f ca="1">IF(Calculations!E16=1,MAX('Charts - Freight'!E140:AH140)," ")</f>
        <v>0.61089564463287727</v>
      </c>
      <c r="G65" s="63">
        <f ca="1">INDEX(Calculations!E$6:AH$6,MATCH('Results - Freight'!F65,'Charts - Freight'!$E$140:$AH$140,0))</f>
        <v>40543</v>
      </c>
      <c r="H65" s="102"/>
      <c r="I65" s="1"/>
      <c r="J65" s="62"/>
      <c r="K65" s="139" t="s">
        <v>205</v>
      </c>
      <c r="L65" s="140"/>
      <c r="M65" s="140"/>
      <c r="N65" s="139"/>
      <c r="O65" s="524">
        <f>IF(Calculations!E16=1,AVERAGE('Charts - Freight'!E255:AH255)," ")</f>
        <v>2.9355555555555553</v>
      </c>
      <c r="P65" s="524"/>
      <c r="Q65" s="525">
        <f>'Assumptions - Freight'!E21</f>
        <v>1</v>
      </c>
      <c r="R65" s="526"/>
    </row>
    <row r="66" spans="1:18" s="18" customFormat="1" ht="16" thickBot="1" x14ac:dyDescent="0.25">
      <c r="A66" s="1"/>
      <c r="B66" s="101"/>
      <c r="C66" s="103"/>
      <c r="D66" s="24" t="s">
        <v>165</v>
      </c>
      <c r="F66" s="104">
        <f ca="1">IF(Calculations!E16=1,AVERAGE('Charts - Freight'!E140:AH140)," ")</f>
        <v>0.59253491809373982</v>
      </c>
      <c r="G66" s="63"/>
      <c r="H66" s="102"/>
      <c r="I66" s="1"/>
      <c r="J66" s="66"/>
      <c r="K66" s="171" t="s">
        <v>196</v>
      </c>
      <c r="L66" s="172"/>
      <c r="M66" s="172"/>
      <c r="N66" s="171"/>
      <c r="O66" s="521">
        <f>IF(Calculations!E16=1,AVERAGE('Charts - Freight'!E248:AH248)," ")</f>
        <v>1.2955555555555556</v>
      </c>
      <c r="P66" s="521"/>
      <c r="Q66" s="522">
        <f>'Assumptions - Freight'!E22</f>
        <v>1</v>
      </c>
      <c r="R66" s="523"/>
    </row>
    <row r="67" spans="1:18" s="18" customFormat="1" x14ac:dyDescent="0.2">
      <c r="A67" s="1"/>
      <c r="B67" s="101"/>
      <c r="C67" s="103"/>
      <c r="F67" s="105"/>
      <c r="H67" s="102"/>
      <c r="I67" s="1"/>
      <c r="J67" s="1"/>
      <c r="K67" s="1"/>
      <c r="L67" s="1"/>
      <c r="M67" s="1"/>
      <c r="N67" s="1"/>
      <c r="O67" s="1"/>
      <c r="P67" s="1"/>
      <c r="Q67" s="1"/>
      <c r="R67" s="1"/>
    </row>
    <row r="68" spans="1:18" s="18" customFormat="1" ht="30" x14ac:dyDescent="0.2">
      <c r="A68" s="1"/>
      <c r="B68" s="101"/>
      <c r="C68" s="258" t="s">
        <v>213</v>
      </c>
      <c r="D68" s="24" t="s">
        <v>172</v>
      </c>
      <c r="F68" s="104">
        <f>IF(Calculations!E16=1,MIN(Calculations!E295:AH295)," ")</f>
        <v>0.39405858638522451</v>
      </c>
      <c r="G68" s="63">
        <f>IF(Calculations!E16=1,INDEX(Calculations!E$6:AH$6,MATCH('Results - Freight'!F68,Calculations!E$295:AH$295,0))," ")</f>
        <v>40908</v>
      </c>
      <c r="H68" s="102"/>
      <c r="I68" s="1"/>
      <c r="J68" s="1"/>
      <c r="K68" s="1"/>
      <c r="L68" s="1"/>
      <c r="M68" s="1"/>
      <c r="N68" s="1"/>
      <c r="O68" s="1"/>
      <c r="P68" s="1"/>
      <c r="Q68" s="1"/>
      <c r="R68" s="1"/>
    </row>
    <row r="69" spans="1:18" s="18" customFormat="1" x14ac:dyDescent="0.2">
      <c r="A69" s="1"/>
      <c r="B69" s="101"/>
      <c r="C69" s="299"/>
      <c r="D69" s="24" t="s">
        <v>164</v>
      </c>
      <c r="F69" s="104">
        <f>IF(Calculations!E16=1,MAX(Calculations!E295:AH295)," ")</f>
        <v>0.47277888809985302</v>
      </c>
      <c r="G69" s="63">
        <f>IF(Calculations!E16=1,INDEX(Calculations!E$6:AH$6,MATCH('Results - Freight'!F69,Calculations!E$295:AH$295,0))," ")</f>
        <v>51135</v>
      </c>
      <c r="H69" s="102"/>
      <c r="I69" s="1"/>
      <c r="J69" s="1"/>
      <c r="K69" s="1"/>
      <c r="L69" s="1"/>
      <c r="M69" s="1"/>
      <c r="N69" s="1"/>
      <c r="O69" s="1"/>
      <c r="P69" s="1"/>
      <c r="Q69" s="1"/>
      <c r="R69" s="1"/>
    </row>
    <row r="70" spans="1:18" s="18" customFormat="1" x14ac:dyDescent="0.2">
      <c r="A70" s="1"/>
      <c r="B70" s="101"/>
      <c r="C70" s="17"/>
      <c r="D70" s="24" t="s">
        <v>165</v>
      </c>
      <c r="F70" s="104">
        <f>IF(Calculations!E16=1,AVERAGE(Calculations!E295:AH295)," ")</f>
        <v>0.43392267401688378</v>
      </c>
      <c r="H70" s="102"/>
      <c r="I70" s="1"/>
      <c r="J70" s="1"/>
      <c r="K70" s="1"/>
      <c r="L70" s="1"/>
      <c r="M70" s="1"/>
      <c r="N70" s="1"/>
      <c r="O70" s="1"/>
      <c r="P70" s="1"/>
      <c r="Q70" s="1"/>
      <c r="R70" s="1"/>
    </row>
    <row r="71" spans="1:18" s="18" customFormat="1" x14ac:dyDescent="0.2">
      <c r="A71" s="1"/>
      <c r="B71" s="62"/>
      <c r="C71" s="24"/>
      <c r="D71" s="24"/>
      <c r="E71" s="24"/>
      <c r="F71" s="24"/>
      <c r="G71" s="24"/>
      <c r="H71" s="64"/>
      <c r="I71" s="1"/>
      <c r="J71" s="1"/>
      <c r="K71" s="1"/>
      <c r="L71" s="1"/>
      <c r="M71" s="1"/>
      <c r="N71" s="1"/>
      <c r="O71" s="1"/>
      <c r="P71" s="1"/>
      <c r="Q71" s="1"/>
      <c r="R71" s="1"/>
    </row>
    <row r="72" spans="1:18" s="18" customFormat="1" x14ac:dyDescent="0.2">
      <c r="A72" s="1"/>
      <c r="B72" s="62"/>
      <c r="C72" s="26" t="s">
        <v>173</v>
      </c>
      <c r="D72" s="24" t="s">
        <v>172</v>
      </c>
      <c r="E72" s="24"/>
      <c r="F72" s="237">
        <f>IF(Calculations!E16=1,MIN('Charts - Freight'!F220:AH220)," ")</f>
        <v>70.62400014287671</v>
      </c>
      <c r="G72" s="63">
        <f>INDEX(Calculations!F$6:AH$6,MATCH('Results - Freight'!F72,'Charts - Freight'!F220:AH220,0))</f>
        <v>46387</v>
      </c>
      <c r="H72" s="64"/>
      <c r="I72" s="1"/>
      <c r="J72" s="1"/>
      <c r="K72" s="1"/>
      <c r="L72" s="1"/>
      <c r="M72" s="1"/>
      <c r="N72" s="1"/>
      <c r="O72" s="1"/>
      <c r="P72" s="1"/>
      <c r="Q72" s="1"/>
      <c r="R72" s="1"/>
    </row>
    <row r="73" spans="1:18" s="18" customFormat="1" x14ac:dyDescent="0.2">
      <c r="A73" s="1"/>
      <c r="B73" s="62"/>
      <c r="C73" s="24"/>
      <c r="D73" s="24" t="s">
        <v>164</v>
      </c>
      <c r="E73" s="24"/>
      <c r="F73" s="238">
        <f>IF(Calculations!E16=1,MAX('Charts - Freight'!F220:AH220)," ")</f>
        <v>47629.011089983949</v>
      </c>
      <c r="G73" s="63">
        <f>INDEX(Calculations!F$6:AH$6,MATCH('Results - Freight'!F73,'Charts - Freight'!F220:AH220,0))</f>
        <v>51135</v>
      </c>
      <c r="H73" s="64"/>
      <c r="I73" s="1"/>
      <c r="J73" s="1"/>
      <c r="K73" s="1"/>
      <c r="L73" s="1"/>
      <c r="M73" s="1"/>
      <c r="N73" s="1"/>
      <c r="O73" s="1"/>
      <c r="P73" s="1"/>
      <c r="Q73" s="1"/>
      <c r="R73" s="1"/>
    </row>
    <row r="74" spans="1:18" s="18" customFormat="1" x14ac:dyDescent="0.2">
      <c r="A74" s="1"/>
      <c r="B74" s="62"/>
      <c r="C74" s="24"/>
      <c r="D74" s="24" t="s">
        <v>165</v>
      </c>
      <c r="E74" s="24"/>
      <c r="F74" s="238">
        <f>IF(Calculations!E16=1,AVERAGE('Charts - Freight'!F220:AH220)," ")</f>
        <v>17980.707466601667</v>
      </c>
      <c r="G74" s="24"/>
      <c r="H74" s="64"/>
      <c r="I74" s="1"/>
      <c r="J74" s="1"/>
      <c r="K74" s="1"/>
      <c r="L74" s="1"/>
      <c r="M74" s="1"/>
      <c r="N74" s="1"/>
      <c r="O74" s="1"/>
      <c r="P74" s="1"/>
      <c r="Q74" s="1"/>
      <c r="R74" s="1"/>
    </row>
    <row r="75" spans="1:18" s="18" customFormat="1" x14ac:dyDescent="0.2">
      <c r="A75" s="1"/>
      <c r="B75" s="62"/>
      <c r="C75" s="24"/>
      <c r="D75" s="24"/>
      <c r="E75" s="24"/>
      <c r="F75" s="65"/>
      <c r="G75" s="24"/>
      <c r="H75" s="64"/>
      <c r="I75" s="1"/>
      <c r="J75" s="1"/>
      <c r="K75" s="1"/>
      <c r="L75" s="1"/>
      <c r="M75" s="1"/>
      <c r="N75" s="1"/>
      <c r="O75" s="1"/>
      <c r="P75" s="1"/>
      <c r="Q75" s="1"/>
      <c r="R75" s="1"/>
    </row>
    <row r="76" spans="1:18" s="18" customFormat="1" x14ac:dyDescent="0.2">
      <c r="A76" s="1"/>
      <c r="B76" s="62"/>
      <c r="C76" s="519" t="s">
        <v>191</v>
      </c>
      <c r="D76" s="24" t="s">
        <v>172</v>
      </c>
      <c r="E76" s="24"/>
      <c r="F76" s="83">
        <f>IF(Calculations!E16=1,MIN('Charts - Freight'!E237:AH237)," ")</f>
        <v>0.38789988437078438</v>
      </c>
      <c r="G76" s="63">
        <f>INDEX(Calculations!E$6:AH$6,MATCH('Results - Freight'!F76,'Charts - Freight'!$E$237:$AH$237,0))</f>
        <v>40543</v>
      </c>
      <c r="H76" s="64"/>
      <c r="I76" s="1"/>
      <c r="J76" s="1"/>
      <c r="K76" s="1"/>
      <c r="L76" s="1"/>
      <c r="M76" s="1"/>
      <c r="N76" s="1"/>
      <c r="O76" s="1"/>
      <c r="P76" s="1"/>
      <c r="Q76" s="1"/>
      <c r="R76" s="1"/>
    </row>
    <row r="77" spans="1:18" s="18" customFormat="1" x14ac:dyDescent="0.2">
      <c r="A77" s="1"/>
      <c r="B77" s="62"/>
      <c r="C77" s="537"/>
      <c r="D77" s="24" t="s">
        <v>164</v>
      </c>
      <c r="E77" s="24"/>
      <c r="F77" s="83">
        <f>IF(Calculations!E16=1,MAX('Charts - Freight'!E237:AH237)," ")</f>
        <v>0.41724443219780727</v>
      </c>
      <c r="G77" s="63">
        <f>INDEX(Calculations!E$6:AH$6,MATCH('Results - Freight'!F77,'Charts - Freight'!$E$237:$AH$237,0))</f>
        <v>51135</v>
      </c>
      <c r="H77" s="64"/>
      <c r="I77" s="1"/>
      <c r="J77" s="1"/>
      <c r="K77" s="1"/>
      <c r="L77" s="1"/>
      <c r="M77" s="1"/>
      <c r="N77" s="1"/>
      <c r="O77" s="1"/>
      <c r="P77" s="1"/>
      <c r="Q77" s="1"/>
      <c r="R77" s="1"/>
    </row>
    <row r="78" spans="1:18" s="18" customFormat="1" x14ac:dyDescent="0.2">
      <c r="A78" s="1"/>
      <c r="B78" s="62"/>
      <c r="C78" s="24"/>
      <c r="D78" s="24" t="s">
        <v>165</v>
      </c>
      <c r="E78" s="24"/>
      <c r="F78" s="83">
        <f>IF(Calculations!E16=1,AVERAGE('Charts - Freight'!E237:AH237)," ")</f>
        <v>0.4052368874556832</v>
      </c>
      <c r="G78" s="63"/>
      <c r="H78" s="64"/>
      <c r="I78" s="1"/>
      <c r="J78" s="1"/>
      <c r="K78" s="1"/>
      <c r="L78" s="1"/>
      <c r="M78" s="1"/>
      <c r="N78" s="1"/>
      <c r="O78" s="1"/>
      <c r="P78" s="1"/>
      <c r="Q78" s="1"/>
      <c r="R78" s="1"/>
    </row>
    <row r="79" spans="1:18" s="18" customFormat="1" x14ac:dyDescent="0.2">
      <c r="A79" s="1"/>
      <c r="B79" s="134"/>
      <c r="C79" s="1"/>
      <c r="D79" s="1"/>
      <c r="E79" s="1"/>
      <c r="F79" s="1"/>
      <c r="G79" s="1"/>
      <c r="H79" s="135"/>
      <c r="I79" s="1"/>
      <c r="J79" s="1"/>
      <c r="K79" s="1"/>
      <c r="L79" s="1"/>
      <c r="M79" s="1"/>
      <c r="N79" s="1"/>
      <c r="O79" s="1"/>
      <c r="P79" s="1"/>
      <c r="Q79" s="1"/>
      <c r="R79" s="1"/>
    </row>
    <row r="80" spans="1:18" s="18" customFormat="1" x14ac:dyDescent="0.2">
      <c r="A80" s="1"/>
      <c r="B80" s="134"/>
      <c r="C80" s="519" t="s">
        <v>178</v>
      </c>
      <c r="D80" s="24" t="s">
        <v>172</v>
      </c>
      <c r="E80" s="24"/>
      <c r="F80" s="107">
        <f>IF(Calculations!E16=1,MIN(Calculations!E312:AH312)," ")</f>
        <v>2.5029515938606846</v>
      </c>
      <c r="G80" s="63">
        <f>IF(Calculations!E16=1,INDEX(Calculations!E$6:AH$6,MATCH(F80,Calculations!E$312:AH$312,0))," ")</f>
        <v>40543</v>
      </c>
      <c r="H80" s="135"/>
      <c r="I80" s="1"/>
      <c r="J80" s="1"/>
      <c r="K80" s="1"/>
      <c r="L80" s="1"/>
      <c r="M80" s="1"/>
      <c r="N80" s="1"/>
      <c r="O80" s="1"/>
      <c r="P80" s="1"/>
      <c r="Q80" s="1"/>
      <c r="R80" s="1"/>
    </row>
    <row r="81" spans="1:18" s="18" customFormat="1" x14ac:dyDescent="0.2">
      <c r="A81" s="1"/>
      <c r="B81" s="134"/>
      <c r="C81" s="537"/>
      <c r="D81" s="24" t="s">
        <v>164</v>
      </c>
      <c r="E81" s="24"/>
      <c r="F81" s="107">
        <f>IF(Calculations!E16=1,MAX(Calculations!E312:AH312)," ")</f>
        <v>50.788862078906561</v>
      </c>
      <c r="G81" s="63">
        <f>IF(Calculations!E16=1,INDEX(Calculations!E$6:AH$6,MATCH(F81,Calculations!E$312:AH$312,0))," ")</f>
        <v>51135</v>
      </c>
      <c r="H81" s="135"/>
      <c r="I81" s="1"/>
      <c r="J81" s="1"/>
      <c r="K81" s="1"/>
      <c r="L81" s="1"/>
      <c r="M81" s="1"/>
      <c r="N81" s="1"/>
      <c r="O81" s="1"/>
      <c r="P81" s="1"/>
      <c r="Q81" s="1"/>
      <c r="R81" s="1"/>
    </row>
    <row r="82" spans="1:18" s="18" customFormat="1" ht="16" thickBot="1" x14ac:dyDescent="0.25">
      <c r="A82" s="1"/>
      <c r="B82" s="136"/>
      <c r="C82" s="68"/>
      <c r="D82" s="68" t="s">
        <v>165</v>
      </c>
      <c r="E82" s="68"/>
      <c r="F82" s="109">
        <f>IF(Calculations!E16=1,AVERAGE(Calculations!E312:AH312)," ")</f>
        <v>28.634072609151008</v>
      </c>
      <c r="G82" s="68"/>
      <c r="H82" s="137"/>
      <c r="I82" s="1"/>
      <c r="J82" s="1"/>
      <c r="K82" s="1"/>
      <c r="L82" s="1"/>
      <c r="M82" s="1"/>
      <c r="N82" s="1"/>
      <c r="O82" s="1"/>
      <c r="P82" s="1"/>
      <c r="Q82" s="1"/>
      <c r="R82" s="1"/>
    </row>
    <row r="83" spans="1:18" s="18" customFormat="1" x14ac:dyDescent="0.2">
      <c r="A83" s="1"/>
      <c r="B83" s="1"/>
      <c r="C83" s="1"/>
      <c r="D83" s="1"/>
      <c r="E83" s="1"/>
      <c r="F83" s="1"/>
      <c r="G83" s="1"/>
      <c r="H83" s="1"/>
      <c r="I83" s="1"/>
      <c r="J83" s="1"/>
      <c r="K83" s="1"/>
      <c r="L83" s="1"/>
      <c r="M83" s="1"/>
      <c r="N83" s="1"/>
      <c r="O83" s="1"/>
      <c r="P83" s="1"/>
      <c r="Q83" s="1"/>
      <c r="R83" s="1"/>
    </row>
    <row r="84" spans="1:18" s="18" customFormat="1" x14ac:dyDescent="0.2">
      <c r="A84" s="320"/>
      <c r="B84" s="319" t="s">
        <v>324</v>
      </c>
      <c r="C84" s="320"/>
      <c r="D84" s="320"/>
      <c r="E84" s="320"/>
      <c r="F84" s="320"/>
      <c r="G84" s="320"/>
      <c r="H84" s="320"/>
      <c r="I84" s="320"/>
      <c r="J84" s="320"/>
      <c r="K84" s="320"/>
      <c r="L84" s="320"/>
      <c r="M84" s="320"/>
      <c r="N84" s="320"/>
      <c r="O84" s="320"/>
      <c r="P84" s="320"/>
    </row>
    <row r="85" spans="1:18" s="18" customFormat="1" x14ac:dyDescent="0.2">
      <c r="A85" s="320"/>
      <c r="B85" s="321" t="str">
        <f>'Assumptions - General'!$E$24</f>
        <v>Ruritania Freight Rail Company</v>
      </c>
      <c r="C85" s="320"/>
      <c r="D85" s="320"/>
      <c r="E85" s="320"/>
      <c r="F85" s="320"/>
      <c r="G85" s="320"/>
      <c r="H85" s="320"/>
      <c r="I85" s="320"/>
      <c r="J85" s="320"/>
      <c r="K85" s="320"/>
      <c r="L85" s="320"/>
      <c r="M85" s="320"/>
      <c r="N85" s="320"/>
      <c r="O85" s="320"/>
      <c r="P85" s="320"/>
    </row>
    <row r="86" spans="1:18" s="18" customFormat="1" x14ac:dyDescent="0.2">
      <c r="A86" s="320"/>
      <c r="B86" s="321" t="str">
        <f>"All units in "  &amp;'Assumptions - General'!$E$27&amp;  " millions unless otherwise stated"</f>
        <v>All units in R$ millions unless otherwise stated</v>
      </c>
      <c r="C86" s="322"/>
      <c r="D86" s="320"/>
      <c r="E86" s="320"/>
      <c r="F86" s="320"/>
      <c r="G86" s="320"/>
      <c r="H86" s="320"/>
      <c r="I86" s="320"/>
      <c r="J86" s="320"/>
      <c r="K86" s="320"/>
      <c r="L86" s="320"/>
      <c r="M86" s="320"/>
      <c r="N86" s="320"/>
      <c r="O86" s="320"/>
      <c r="P86" s="320"/>
    </row>
    <row r="87" spans="1:18" s="278" customFormat="1" ht="16" thickBot="1" x14ac:dyDescent="0.25">
      <c r="A87" s="22"/>
      <c r="B87" s="22"/>
      <c r="C87" s="22"/>
      <c r="D87" s="22"/>
      <c r="E87" s="22"/>
      <c r="F87" s="22"/>
      <c r="G87" s="22"/>
      <c r="H87" s="22"/>
      <c r="I87" s="22"/>
      <c r="J87" s="22"/>
      <c r="K87" s="22"/>
      <c r="L87" s="22"/>
      <c r="M87" s="22"/>
      <c r="N87" s="22"/>
      <c r="O87" s="22"/>
      <c r="P87" s="22"/>
    </row>
    <row r="88" spans="1:18" s="278" customFormat="1" x14ac:dyDescent="0.2">
      <c r="A88" s="22"/>
      <c r="B88" s="344"/>
      <c r="C88" s="345" t="s">
        <v>324</v>
      </c>
      <c r="D88" s="346"/>
      <c r="E88" s="346"/>
      <c r="F88" s="346"/>
      <c r="G88" s="346"/>
      <c r="H88" s="347"/>
      <c r="I88" s="22"/>
      <c r="J88" s="344"/>
      <c r="K88" s="345"/>
      <c r="L88" s="346"/>
      <c r="M88" s="346"/>
      <c r="N88" s="346"/>
      <c r="O88" s="346"/>
      <c r="P88" s="347"/>
    </row>
    <row r="89" spans="1:18" s="277" customFormat="1" x14ac:dyDescent="0.2">
      <c r="A89" s="24"/>
      <c r="B89" s="101"/>
      <c r="C89" s="17"/>
      <c r="D89" s="18"/>
      <c r="E89" s="18"/>
      <c r="F89" s="18"/>
      <c r="G89" s="72" t="s">
        <v>162</v>
      </c>
      <c r="H89" s="102"/>
      <c r="I89" s="24"/>
      <c r="J89" s="62"/>
      <c r="K89" s="24"/>
      <c r="L89" s="24"/>
      <c r="M89" s="24"/>
      <c r="N89" s="24"/>
      <c r="O89" s="72" t="s">
        <v>162</v>
      </c>
      <c r="P89" s="64"/>
    </row>
    <row r="90" spans="1:18" s="277" customFormat="1" x14ac:dyDescent="0.2">
      <c r="A90" s="24"/>
      <c r="B90" s="101"/>
      <c r="C90" s="519" t="s">
        <v>212</v>
      </c>
      <c r="D90" s="24" t="s">
        <v>172</v>
      </c>
      <c r="E90" s="18"/>
      <c r="F90" s="104">
        <f ca="1">IF(Calculations!E16=1,MIN('Charts - Freight'!E140:AH140)," ")</f>
        <v>0.58012541064199863</v>
      </c>
      <c r="G90" s="63">
        <f ca="1">INDEX(Calculations!E$6:AH$6,MATCH('Results - Freight'!F90,'Charts - Freight'!$E$140:$AH$140,0))</f>
        <v>51135</v>
      </c>
      <c r="H90" s="102"/>
      <c r="I90" s="24"/>
      <c r="J90" s="62"/>
      <c r="K90" s="519" t="s">
        <v>190</v>
      </c>
      <c r="L90" s="24" t="s">
        <v>172</v>
      </c>
      <c r="M90" s="24"/>
      <c r="N90" s="83">
        <f>MIN('Charts - Freight'!E236:AH236)</f>
        <v>0.38910435536712279</v>
      </c>
      <c r="O90" s="63">
        <f>INDEX(Calculations!E$6:AH$6,MATCH('Results - Freight'!N90,'Charts - Freight'!$E$236:$AH$236,0))</f>
        <v>40543</v>
      </c>
      <c r="P90" s="64"/>
    </row>
    <row r="91" spans="1:18" s="277" customFormat="1" x14ac:dyDescent="0.2">
      <c r="A91" s="24"/>
      <c r="B91" s="101"/>
      <c r="C91" s="537"/>
      <c r="D91" s="24" t="s">
        <v>164</v>
      </c>
      <c r="E91" s="18"/>
      <c r="F91" s="104">
        <f ca="1">IF(Calculations!E16=1,MAX('Charts - Freight'!E140:AH140)," ")</f>
        <v>0.61089564463287727</v>
      </c>
      <c r="G91" s="63">
        <f ca="1">INDEX(Calculations!E$6:AH$6,MATCH('Results - Freight'!F91,'Charts - Freight'!$E$140:$AH$140,0))</f>
        <v>40543</v>
      </c>
      <c r="H91" s="102"/>
      <c r="I91" s="24"/>
      <c r="J91" s="62"/>
      <c r="K91" s="537"/>
      <c r="L91" s="24" t="s">
        <v>164</v>
      </c>
      <c r="M91" s="24"/>
      <c r="N91" s="83">
        <f>MAX('Charts - Freight'!E236:AH236)</f>
        <v>0.41987458935800137</v>
      </c>
      <c r="O91" s="63">
        <f>INDEX(Calculations!E$6:AH$6,MATCH('Results - Freight'!N91,'Charts - Freight'!$E$236:$AH$236,0))</f>
        <v>51135</v>
      </c>
      <c r="P91" s="64"/>
    </row>
    <row r="92" spans="1:18" s="277" customFormat="1" x14ac:dyDescent="0.2">
      <c r="A92" s="24"/>
      <c r="B92" s="101"/>
      <c r="C92" s="103"/>
      <c r="D92" s="24" t="s">
        <v>165</v>
      </c>
      <c r="E92" s="18"/>
      <c r="F92" s="104">
        <f ca="1">IF(Calculations!E16=1,AVERAGE('Charts - Freight'!E140:AH140)," ")</f>
        <v>0.59253491809373982</v>
      </c>
      <c r="G92" s="63"/>
      <c r="H92" s="102"/>
      <c r="I92" s="24"/>
      <c r="J92" s="62"/>
      <c r="K92" s="24"/>
      <c r="L92" s="24" t="s">
        <v>165</v>
      </c>
      <c r="M92" s="24"/>
      <c r="N92" s="83">
        <f>IF(Calculations!E16=1,AVERAGE('Charts - Freight'!E236:AH236)," ")</f>
        <v>0.4074650819062603</v>
      </c>
      <c r="O92" s="63"/>
      <c r="P92" s="64"/>
    </row>
    <row r="93" spans="1:18" s="277" customFormat="1" x14ac:dyDescent="0.2">
      <c r="A93" s="24"/>
      <c r="B93" s="101"/>
      <c r="C93" s="103"/>
      <c r="D93" s="18"/>
      <c r="E93" s="18"/>
      <c r="F93" s="105"/>
      <c r="G93" s="18"/>
      <c r="H93" s="102"/>
      <c r="I93" s="24"/>
      <c r="J93" s="62"/>
      <c r="K93" s="24"/>
      <c r="L93" s="24"/>
      <c r="M93" s="24"/>
      <c r="N93" s="65"/>
      <c r="O93" s="24"/>
      <c r="P93" s="64"/>
    </row>
    <row r="94" spans="1:18" s="277" customFormat="1" x14ac:dyDescent="0.2">
      <c r="A94" s="24"/>
      <c r="B94" s="101"/>
      <c r="C94" s="519" t="s">
        <v>213</v>
      </c>
      <c r="D94" s="24" t="s">
        <v>172</v>
      </c>
      <c r="E94" s="18"/>
      <c r="F94" s="104">
        <f>MIN(Calculations!E295:AH295)</f>
        <v>0.39405858638522451</v>
      </c>
      <c r="G94" s="63">
        <f>IF(Calculations!E16=1,INDEX(Calculations!E$6:AH$6,MATCH('Results - Freight'!F94,Calculations!E$295:AH$295,0))," ")</f>
        <v>40908</v>
      </c>
      <c r="H94" s="102"/>
      <c r="I94" s="24"/>
      <c r="J94" s="62"/>
      <c r="K94" s="519" t="s">
        <v>191</v>
      </c>
      <c r="L94" s="24" t="s">
        <v>172</v>
      </c>
      <c r="M94" s="24"/>
      <c r="N94" s="83">
        <f>MIN('Charts - Freight'!E237:AH237)</f>
        <v>0.38789988437078438</v>
      </c>
      <c r="O94" s="63">
        <f>INDEX(Calculations!E$6:AH$6,MATCH('Results - Freight'!N94,'Charts - Freight'!$E$237:$AH$237,0))</f>
        <v>40543</v>
      </c>
      <c r="P94" s="64"/>
    </row>
    <row r="95" spans="1:18" s="277" customFormat="1" x14ac:dyDescent="0.2">
      <c r="A95" s="24"/>
      <c r="B95" s="101"/>
      <c r="C95" s="537"/>
      <c r="D95" s="24" t="s">
        <v>164</v>
      </c>
      <c r="E95" s="18"/>
      <c r="F95" s="104">
        <f>MAX(Calculations!E295:AH295)</f>
        <v>0.47277888809985302</v>
      </c>
      <c r="G95" s="63">
        <f>IF(Calculations!E16=1,INDEX(Calculations!E$6:AH$6,MATCH('Results - Freight'!F95,Calculations!E$295:AH$295,0))," ")</f>
        <v>51135</v>
      </c>
      <c r="H95" s="102"/>
      <c r="I95" s="24"/>
      <c r="J95" s="62"/>
      <c r="K95" s="537"/>
      <c r="L95" s="24" t="s">
        <v>164</v>
      </c>
      <c r="M95" s="24"/>
      <c r="N95" s="83">
        <f>MAX('Charts - Freight'!E237:AH237)</f>
        <v>0.41724443219780727</v>
      </c>
      <c r="O95" s="63">
        <f>INDEX(Calculations!E$6:AH$6,MATCH('Results - Freight'!N95,'Charts - Freight'!$E$237:$AH$237,0))</f>
        <v>51135</v>
      </c>
      <c r="P95" s="64"/>
    </row>
    <row r="96" spans="1:18" s="277" customFormat="1" x14ac:dyDescent="0.2">
      <c r="A96" s="24"/>
      <c r="B96" s="101"/>
      <c r="C96" s="17"/>
      <c r="D96" s="24" t="s">
        <v>165</v>
      </c>
      <c r="E96" s="18"/>
      <c r="F96" s="104">
        <f>IF(Calculations!E16=1,AVERAGE(Calculations!E295:AH295)," ")</f>
        <v>0.43392267401688378</v>
      </c>
      <c r="G96" s="18"/>
      <c r="H96" s="102"/>
      <c r="I96" s="24"/>
      <c r="J96" s="62"/>
      <c r="K96" s="24"/>
      <c r="L96" s="24" t="s">
        <v>165</v>
      </c>
      <c r="M96" s="24"/>
      <c r="N96" s="83">
        <f>IF(Calculations!E16=1,AVERAGE('Charts - Freight'!E237:AH237)," ")</f>
        <v>0.4052368874556832</v>
      </c>
      <c r="O96" s="63"/>
      <c r="P96" s="64"/>
    </row>
    <row r="97" spans="1:17" s="277" customFormat="1" ht="14" x14ac:dyDescent="0.2">
      <c r="A97" s="24"/>
      <c r="B97" s="62"/>
      <c r="C97" s="24"/>
      <c r="D97" s="24"/>
      <c r="E97" s="24"/>
      <c r="F97" s="24"/>
      <c r="G97" s="24"/>
      <c r="H97" s="64"/>
      <c r="I97" s="24"/>
      <c r="J97" s="62"/>
      <c r="K97" s="24"/>
      <c r="L97" s="24"/>
      <c r="M97" s="24"/>
      <c r="N97" s="83"/>
      <c r="O97" s="63"/>
      <c r="P97" s="64"/>
    </row>
    <row r="98" spans="1:17" s="277" customFormat="1" ht="14" x14ac:dyDescent="0.2">
      <c r="A98" s="24"/>
      <c r="B98" s="62"/>
      <c r="C98" s="26" t="s">
        <v>171</v>
      </c>
      <c r="D98" s="24" t="s">
        <v>172</v>
      </c>
      <c r="E98" s="24"/>
      <c r="F98" s="73">
        <f>MIN(Calculations!E297:AH297)</f>
        <v>0.17756499065886577</v>
      </c>
      <c r="G98" s="63">
        <f>IF(Calculations!E16=1,INDEX(Calculations!E$6:AH$6,MATCH('Results - Freight'!F98,Calculations!E$297:AH$297,0))," ")</f>
        <v>51135</v>
      </c>
      <c r="H98" s="64"/>
      <c r="I98" s="24"/>
      <c r="J98" s="62"/>
      <c r="K98" s="519" t="s">
        <v>178</v>
      </c>
      <c r="L98" s="24" t="s">
        <v>172</v>
      </c>
      <c r="M98" s="24"/>
      <c r="N98" s="107">
        <f>MIN(Calculations!E312:AH312)</f>
        <v>2.5029515938606846</v>
      </c>
      <c r="O98" s="63">
        <f>IF(Calculations!E16=1,INDEX(Calculations!E$6:AH$6,MATCH('Results - Freight'!N98,Calculations!E$312:AH$312,0))," ")</f>
        <v>40543</v>
      </c>
      <c r="P98" s="64"/>
    </row>
    <row r="99" spans="1:17" s="277" customFormat="1" ht="14" x14ac:dyDescent="0.2">
      <c r="A99" s="24"/>
      <c r="B99" s="62"/>
      <c r="C99" s="26"/>
      <c r="D99" s="24" t="s">
        <v>164</v>
      </c>
      <c r="E99" s="24"/>
      <c r="F99" s="73">
        <f>MAX(Calculations!E297:AH297)</f>
        <v>4.1157706766917297</v>
      </c>
      <c r="G99" s="63">
        <f>IF(Calculations!E16=1,INDEX(Calculations!E$6:AH$6,MATCH('Results - Freight'!F99,Calculations!E$297:AH$297,0))," ")</f>
        <v>40543</v>
      </c>
      <c r="H99" s="64"/>
      <c r="I99" s="24"/>
      <c r="J99" s="62"/>
      <c r="K99" s="537"/>
      <c r="L99" s="24" t="s">
        <v>164</v>
      </c>
      <c r="M99" s="24"/>
      <c r="N99" s="107">
        <f>MAX(Calculations!E312:AH312)</f>
        <v>50.788862078906561</v>
      </c>
      <c r="O99" s="63">
        <f>IF(Calculations!E16=1,INDEX(Calculations!E$6:AH$6,MATCH('Results - Freight'!N99,Calculations!E$312:AH$312,0))," ")</f>
        <v>51135</v>
      </c>
      <c r="P99" s="64"/>
    </row>
    <row r="100" spans="1:17" s="277" customFormat="1" ht="14" x14ac:dyDescent="0.2">
      <c r="A100" s="24"/>
      <c r="B100" s="62"/>
      <c r="C100" s="26"/>
      <c r="D100" s="24" t="s">
        <v>165</v>
      </c>
      <c r="E100" s="24"/>
      <c r="F100" s="73">
        <f>IF(Calculations!E16=1,AVERAGE(Calculations!E297:AH297)," ")</f>
        <v>0.59143022573006654</v>
      </c>
      <c r="G100" s="63"/>
      <c r="H100" s="64"/>
      <c r="I100" s="24"/>
      <c r="J100" s="62"/>
      <c r="K100" s="24"/>
      <c r="L100" s="24" t="s">
        <v>165</v>
      </c>
      <c r="M100" s="24"/>
      <c r="N100" s="107">
        <f>IF(Calculations!E16=1,AVERAGE(Calculations!E312:AH312)," ")</f>
        <v>28.634072609151008</v>
      </c>
      <c r="O100" s="24"/>
      <c r="P100" s="64"/>
    </row>
    <row r="101" spans="1:17" s="277" customFormat="1" ht="14" x14ac:dyDescent="0.2">
      <c r="A101" s="24"/>
      <c r="B101" s="62"/>
      <c r="C101" s="26"/>
      <c r="D101" s="24"/>
      <c r="E101" s="24"/>
      <c r="F101" s="26"/>
      <c r="G101" s="24"/>
      <c r="H101" s="64"/>
      <c r="I101" s="24"/>
      <c r="J101" s="62"/>
      <c r="K101" s="24"/>
      <c r="L101" s="24"/>
      <c r="M101" s="24"/>
      <c r="N101" s="108"/>
      <c r="O101" s="24"/>
      <c r="P101" s="64"/>
    </row>
    <row r="102" spans="1:17" s="277" customFormat="1" ht="14" x14ac:dyDescent="0.2">
      <c r="A102" s="24"/>
      <c r="B102" s="62"/>
      <c r="C102" s="26" t="s">
        <v>174</v>
      </c>
      <c r="D102" s="24" t="s">
        <v>172</v>
      </c>
      <c r="E102" s="24"/>
      <c r="F102" s="73">
        <f>MIN(Calculations!E299:AH299)</f>
        <v>0.17403066723385494</v>
      </c>
      <c r="G102" s="63">
        <f>IF(Calculations!E16=1,INDEX(Calculations!E$6:AH$6,MATCH('Results - Freight'!F102,Calculations!E$299:AH$299,0))," ")</f>
        <v>51135</v>
      </c>
      <c r="H102" s="64"/>
      <c r="I102" s="24"/>
      <c r="J102" s="62"/>
      <c r="K102" s="26" t="s">
        <v>216</v>
      </c>
      <c r="L102" s="24" t="s">
        <v>172</v>
      </c>
      <c r="M102" s="24"/>
      <c r="N102" s="107">
        <f>MIN(Calculations!$E$313:$AH$313)</f>
        <v>4.7225501770956316E-2</v>
      </c>
      <c r="O102" s="63">
        <f>IF(Calculations!E16=1,INDEX(Calculations!E$6:AH$6,MATCH('Results - Freight'!N102,Calculations!E$313:AH$313,0))," ")</f>
        <v>40543</v>
      </c>
      <c r="P102" s="64"/>
    </row>
    <row r="103" spans="1:17" s="277" customFormat="1" ht="14" x14ac:dyDescent="0.2">
      <c r="A103" s="24"/>
      <c r="B103" s="62"/>
      <c r="C103" s="26"/>
      <c r="D103" s="24" t="s">
        <v>164</v>
      </c>
      <c r="E103" s="24"/>
      <c r="F103" s="73">
        <f>MAX(Calculations!E299:AH299)</f>
        <v>2.5619227769110768</v>
      </c>
      <c r="G103" s="63">
        <f>IF(Calculations!E16=1,INDEX(Calculations!E$6:AH$6,MATCH('Results - Freight'!F103,Calculations!E$299:AH$299,0))," ")</f>
        <v>40543</v>
      </c>
      <c r="H103" s="64"/>
      <c r="I103" s="24"/>
      <c r="J103" s="62"/>
      <c r="K103" s="24"/>
      <c r="L103" s="24" t="s">
        <v>164</v>
      </c>
      <c r="M103" s="24"/>
      <c r="N103" s="107">
        <f>MAX(Calculations!$E$313:$AH$313)</f>
        <v>48.489861133234037</v>
      </c>
      <c r="O103" s="63">
        <f>IF(Calculations!E16=1,INDEX(Calculations!E$6:AH$6,MATCH('Results - Freight'!N103,Calculations!E$313:AH$313,0))," ")</f>
        <v>51135</v>
      </c>
      <c r="P103" s="64"/>
    </row>
    <row r="104" spans="1:17" s="277" customFormat="1" ht="14" x14ac:dyDescent="0.2">
      <c r="A104" s="24"/>
      <c r="B104" s="62"/>
      <c r="C104" s="26"/>
      <c r="D104" s="24" t="s">
        <v>165</v>
      </c>
      <c r="E104" s="24"/>
      <c r="F104" s="73">
        <f>IF(Calculations!E16=1,AVERAGE(Calculations!E299:AH299)," ")</f>
        <v>0.48763783877562772</v>
      </c>
      <c r="G104" s="24"/>
      <c r="H104" s="64"/>
      <c r="I104" s="24"/>
      <c r="J104" s="62"/>
      <c r="K104" s="24"/>
      <c r="L104" s="24" t="s">
        <v>165</v>
      </c>
      <c r="M104" s="24"/>
      <c r="N104" s="107">
        <f>IF(Calculations!E16=1,AVERAGE(Calculations!$E$313:$AH$313)," ")</f>
        <v>26.279777550252614</v>
      </c>
      <c r="O104" s="24"/>
      <c r="P104" s="64"/>
    </row>
    <row r="105" spans="1:17" s="277" customFormat="1" thickBot="1" x14ac:dyDescent="0.25">
      <c r="A105" s="24"/>
      <c r="B105" s="62"/>
      <c r="C105" s="26"/>
      <c r="D105" s="24"/>
      <c r="E105" s="24"/>
      <c r="F105" s="26"/>
      <c r="G105" s="24"/>
      <c r="H105" s="64"/>
      <c r="I105" s="24"/>
      <c r="J105" s="66"/>
      <c r="K105" s="68"/>
      <c r="L105" s="68"/>
      <c r="M105" s="68"/>
      <c r="N105" s="68"/>
      <c r="O105" s="67"/>
      <c r="P105" s="70"/>
    </row>
    <row r="106" spans="1:17" s="277" customFormat="1" thickBot="1" x14ac:dyDescent="0.25">
      <c r="A106" s="24"/>
      <c r="B106" s="62"/>
      <c r="C106" s="26" t="s">
        <v>173</v>
      </c>
      <c r="D106" s="24" t="s">
        <v>172</v>
      </c>
      <c r="E106" s="24"/>
      <c r="F106" s="74">
        <f>MIN('Charts - Freight'!F220:AH220)</f>
        <v>70.62400014287671</v>
      </c>
      <c r="G106" s="63">
        <f>INDEX(Calculations!F$6:AH$6,MATCH('Results - Freight'!F106,'Charts - Freight'!F220:AH220,0))</f>
        <v>46387</v>
      </c>
      <c r="H106" s="64"/>
      <c r="I106" s="24"/>
      <c r="J106" s="24"/>
      <c r="K106" s="24"/>
      <c r="L106" s="24"/>
      <c r="M106" s="24"/>
      <c r="N106" s="24"/>
      <c r="O106" s="24"/>
      <c r="P106" s="24"/>
    </row>
    <row r="107" spans="1:17" s="277" customFormat="1" x14ac:dyDescent="0.2">
      <c r="A107" s="24"/>
      <c r="B107" s="62"/>
      <c r="C107" s="24"/>
      <c r="D107" s="24" t="s">
        <v>164</v>
      </c>
      <c r="E107" s="24"/>
      <c r="F107" s="65">
        <f>MAX('Charts - Freight'!F220:AH220)</f>
        <v>47629.011089983949</v>
      </c>
      <c r="G107" s="63">
        <f>INDEX(Calculations!F$6:AH$6,MATCH('Results - Freight'!F107,'Charts - Freight'!F220:AH220,0))</f>
        <v>51135</v>
      </c>
      <c r="H107" s="64"/>
      <c r="I107" s="24"/>
      <c r="J107" s="344"/>
      <c r="K107" s="345" t="s">
        <v>202</v>
      </c>
      <c r="L107" s="346"/>
      <c r="M107" s="346"/>
      <c r="N107" s="346"/>
      <c r="O107" s="346"/>
      <c r="P107" s="347"/>
    </row>
    <row r="108" spans="1:17" s="277" customFormat="1" x14ac:dyDescent="0.2">
      <c r="A108" s="24"/>
      <c r="B108" s="62"/>
      <c r="C108" s="24"/>
      <c r="D108" s="24" t="s">
        <v>165</v>
      </c>
      <c r="E108" s="24"/>
      <c r="F108" s="65">
        <f>IF(Calculations!E16=1,AVERAGE('Charts - Freight'!F220:AH220)," ")</f>
        <v>17980.707466601667</v>
      </c>
      <c r="G108" s="24"/>
      <c r="H108" s="64"/>
      <c r="I108" s="24"/>
      <c r="J108" s="75"/>
      <c r="K108" s="24"/>
      <c r="L108" s="24"/>
      <c r="M108" s="24"/>
      <c r="N108" s="24"/>
      <c r="O108" s="72"/>
      <c r="P108" s="76"/>
    </row>
    <row r="109" spans="1:17" s="277" customFormat="1" x14ac:dyDescent="0.2">
      <c r="A109" s="24"/>
      <c r="B109" s="62"/>
      <c r="C109" s="24"/>
      <c r="D109" s="24"/>
      <c r="E109" s="24"/>
      <c r="F109" s="65"/>
      <c r="G109" s="24"/>
      <c r="H109" s="64"/>
      <c r="I109" s="24"/>
      <c r="J109" s="75"/>
      <c r="K109" s="24" t="s">
        <v>200</v>
      </c>
      <c r="L109" s="24"/>
      <c r="M109" s="24"/>
      <c r="N109" s="24"/>
      <c r="O109" s="85" t="str">
        <f>IF(ROUND(SUM('Balance sheet'!E67:AH67),0)=ROUND(SUM('Balance sheet'!E88:AH88),0),"YES","NO")</f>
        <v>YES</v>
      </c>
      <c r="P109" s="76"/>
      <c r="Q109" s="414" t="str">
        <f>IF(O109="NO","&lt;&lt;&lt;&lt; WARNING"," ")</f>
        <v xml:space="preserve"> </v>
      </c>
    </row>
    <row r="110" spans="1:17" s="277" customFormat="1" x14ac:dyDescent="0.2">
      <c r="A110" s="24"/>
      <c r="B110" s="62"/>
      <c r="C110" s="26" t="s">
        <v>215</v>
      </c>
      <c r="D110" s="24" t="s">
        <v>172</v>
      </c>
      <c r="E110" s="24"/>
      <c r="F110" s="84">
        <f>MIN('Charts - Freight'!$E$221:$AH$221)</f>
        <v>1.817855903200511E-4</v>
      </c>
      <c r="G110" s="63">
        <f>INDEX(Calculations!E$6:AH$6,MATCH('Results - Freight'!F110,'Charts - Freight'!$E$221:$AH$221,0))</f>
        <v>51135</v>
      </c>
      <c r="H110" s="64"/>
      <c r="I110" s="24"/>
      <c r="J110" s="75"/>
      <c r="K110" s="24" t="s">
        <v>201</v>
      </c>
      <c r="L110" s="24"/>
      <c r="M110" s="24"/>
      <c r="N110" s="24"/>
      <c r="O110" s="85" t="str">
        <f>IF(PRODUCT(Calculations!E322:AH322)=1,"YES","NO")</f>
        <v>YES</v>
      </c>
      <c r="P110" s="76"/>
      <c r="Q110" s="414" t="str">
        <f>IF(O110="NO","&lt;&lt;&lt;&lt; WARNING"," ")</f>
        <v xml:space="preserve"> </v>
      </c>
    </row>
    <row r="111" spans="1:17" s="277" customFormat="1" x14ac:dyDescent="0.2">
      <c r="A111" s="24"/>
      <c r="B111" s="62"/>
      <c r="C111" s="24"/>
      <c r="D111" s="24" t="s">
        <v>164</v>
      </c>
      <c r="E111" s="24"/>
      <c r="F111" s="84">
        <f>MAX('Charts - Freight'!$E$221:$AH$221)</f>
        <v>7.5187969924812026E-2</v>
      </c>
      <c r="G111" s="63">
        <f>INDEX(Calculations!E$6:AH$6,MATCH('Results - Freight'!F111,'Charts - Freight'!$E$221:$AH$221,0))</f>
        <v>40543</v>
      </c>
      <c r="H111" s="64"/>
      <c r="I111" s="24"/>
      <c r="J111" s="75"/>
      <c r="K111" s="24" t="s">
        <v>207</v>
      </c>
      <c r="L111" s="24"/>
      <c r="M111" s="24"/>
      <c r="N111" s="24"/>
      <c r="O111" s="85" t="str">
        <f>IF(ROUND(SUM('Cash flow statement'!F90:AH90),0)-ROUND(SUM('Balance sheet'!F89:AH89),0)=0,"YES","NO")</f>
        <v>YES</v>
      </c>
      <c r="P111" s="76"/>
      <c r="Q111" s="414" t="str">
        <f>IF(O111="NO","&lt;&lt;&lt;&lt; WARNING"," ")</f>
        <v xml:space="preserve"> </v>
      </c>
    </row>
    <row r="112" spans="1:17" s="277" customFormat="1" thickBot="1" x14ac:dyDescent="0.25">
      <c r="A112" s="24"/>
      <c r="B112" s="62"/>
      <c r="C112" s="24"/>
      <c r="D112" s="24" t="s">
        <v>165</v>
      </c>
      <c r="E112" s="24"/>
      <c r="F112" s="106">
        <f>IF(Calculations!E16=1,AVERAGE('Charts - Freight'!$E$221:$AH$221)," ")</f>
        <v>9.0290278097817176E-3</v>
      </c>
      <c r="G112" s="63"/>
      <c r="H112" s="64"/>
      <c r="I112" s="24"/>
      <c r="J112" s="66"/>
      <c r="K112" s="68"/>
      <c r="L112" s="68"/>
      <c r="M112" s="68"/>
      <c r="N112" s="68"/>
      <c r="O112" s="68"/>
      <c r="P112" s="70"/>
      <c r="Q112" s="414"/>
    </row>
    <row r="113" spans="1:16" s="277" customFormat="1" thickBot="1" x14ac:dyDescent="0.25">
      <c r="A113" s="24"/>
      <c r="B113" s="66"/>
      <c r="C113" s="68"/>
      <c r="D113" s="68"/>
      <c r="E113" s="68"/>
      <c r="F113" s="69"/>
      <c r="G113" s="68"/>
      <c r="H113" s="70"/>
      <c r="I113" s="24"/>
      <c r="J113" s="24"/>
      <c r="K113" s="24"/>
      <c r="L113" s="24"/>
      <c r="M113" s="24"/>
      <c r="N113" s="24"/>
      <c r="O113" s="24"/>
      <c r="P113" s="24"/>
    </row>
    <row r="114" spans="1:16" s="277" customFormat="1" x14ac:dyDescent="0.2">
      <c r="A114" s="24"/>
      <c r="B114" s="24"/>
      <c r="C114" s="24"/>
      <c r="D114" s="24"/>
      <c r="E114" s="24"/>
      <c r="F114" s="24"/>
      <c r="G114" s="24"/>
      <c r="H114" s="24"/>
      <c r="I114" s="24"/>
      <c r="J114" s="22"/>
      <c r="K114" s="22"/>
      <c r="L114" s="22"/>
      <c r="M114" s="22"/>
      <c r="N114" s="22"/>
      <c r="O114" s="22"/>
      <c r="P114" s="22"/>
    </row>
  </sheetData>
  <mergeCells count="29">
    <mergeCell ref="V7:V8"/>
    <mergeCell ref="W7:W8"/>
    <mergeCell ref="L7:L8"/>
    <mergeCell ref="M7:M8"/>
    <mergeCell ref="N7:N8"/>
    <mergeCell ref="O7:O8"/>
    <mergeCell ref="P7:P8"/>
    <mergeCell ref="U7:U8"/>
    <mergeCell ref="Q7:Q8"/>
    <mergeCell ref="R7:R8"/>
    <mergeCell ref="S7:S8"/>
    <mergeCell ref="T7:T8"/>
    <mergeCell ref="C64:C65"/>
    <mergeCell ref="O65:P65"/>
    <mergeCell ref="Q64:R64"/>
    <mergeCell ref="Q66:R66"/>
    <mergeCell ref="Q65:R65"/>
    <mergeCell ref="O61:P62"/>
    <mergeCell ref="Q61:R62"/>
    <mergeCell ref="O63:P63"/>
    <mergeCell ref="O64:P64"/>
    <mergeCell ref="O66:P66"/>
    <mergeCell ref="K98:K99"/>
    <mergeCell ref="C80:C81"/>
    <mergeCell ref="C76:C77"/>
    <mergeCell ref="C90:C91"/>
    <mergeCell ref="C94:C95"/>
    <mergeCell ref="K90:K91"/>
    <mergeCell ref="K94:K95"/>
  </mergeCells>
  <conditionalFormatting sqref="O109">
    <cfRule type="iconSet" priority="2">
      <iconSet iconSet="3Symbols">
        <cfvo type="percent" val="0"/>
        <cfvo type="percent" val="33"/>
        <cfvo type="percent" val="67"/>
      </iconSet>
    </cfRule>
  </conditionalFormatting>
  <conditionalFormatting sqref="P109">
    <cfRule type="iconSet" priority="1">
      <iconSet iconSet="3Symbols">
        <cfvo type="percent" val="0"/>
        <cfvo type="percent" val="33"/>
        <cfvo type="percent" val="67"/>
      </iconSet>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AP115"/>
  <sheetViews>
    <sheetView topLeftCell="A13" zoomScale="75" zoomScaleNormal="75" workbookViewId="0">
      <selection activeCell="P30" sqref="P30"/>
    </sheetView>
  </sheetViews>
  <sheetFormatPr baseColWidth="10" defaultColWidth="0" defaultRowHeight="15" x14ac:dyDescent="0.2"/>
  <cols>
    <col min="1" max="5" width="9.1640625" style="22" customWidth="1"/>
    <col min="6" max="6" width="11.5" style="22" bestFit="1" customWidth="1"/>
    <col min="7" max="7" width="10.6640625" style="22" bestFit="1" customWidth="1"/>
    <col min="8" max="8" width="5.5" style="22" customWidth="1"/>
    <col min="9" max="9" width="10.6640625" style="22" bestFit="1" customWidth="1"/>
    <col min="10" max="11" width="9.1640625" style="22" customWidth="1"/>
    <col min="12" max="12" width="13.6640625" style="22" bestFit="1" customWidth="1"/>
    <col min="13" max="13" width="15.83203125" style="22" bestFit="1" customWidth="1"/>
    <col min="14" max="14" width="15" style="22" bestFit="1" customWidth="1"/>
    <col min="15" max="15" width="13.5" style="22" bestFit="1" customWidth="1"/>
    <col min="16" max="16" width="4.33203125" style="22" customWidth="1"/>
    <col min="17" max="17" width="3.6640625" style="22" customWidth="1"/>
    <col min="18" max="18" width="4.1640625" style="22" customWidth="1"/>
    <col min="19" max="19" width="9.1640625" style="22" customWidth="1"/>
    <col min="20" max="16384" width="9.1640625" style="22" hidden="1"/>
  </cols>
  <sheetData>
    <row r="1" spans="1:42" s="18" customFormat="1" x14ac:dyDescent="0.2">
      <c r="A1" s="324"/>
      <c r="B1" s="323" t="s">
        <v>309</v>
      </c>
      <c r="C1" s="324"/>
      <c r="D1" s="324"/>
      <c r="E1" s="324"/>
      <c r="F1" s="333" t="s">
        <v>12</v>
      </c>
      <c r="G1" s="334">
        <f>'Assumptions - General'!$E$28</f>
        <v>40179</v>
      </c>
      <c r="H1" s="335" t="s">
        <v>432</v>
      </c>
      <c r="I1" s="455">
        <f>'Assumptions - General'!$E$29</f>
        <v>51135</v>
      </c>
      <c r="J1" s="324"/>
      <c r="K1" s="324"/>
      <c r="L1" s="324"/>
      <c r="M1" s="324"/>
      <c r="N1" s="324"/>
      <c r="O1" s="324"/>
    </row>
    <row r="2" spans="1:42" s="18" customFormat="1" x14ac:dyDescent="0.2">
      <c r="A2" s="324"/>
      <c r="B2" s="336" t="str">
        <f>'Assumptions - General'!$E$25</f>
        <v>Ruritania Passenger Rail Company</v>
      </c>
      <c r="C2" s="324"/>
      <c r="D2" s="324"/>
      <c r="E2" s="324"/>
      <c r="F2" s="324"/>
      <c r="G2" s="324"/>
      <c r="H2" s="324"/>
      <c r="I2" s="324"/>
      <c r="J2" s="324"/>
      <c r="K2" s="324"/>
      <c r="L2" s="324"/>
      <c r="M2" s="324"/>
      <c r="N2" s="324"/>
      <c r="O2" s="324"/>
    </row>
    <row r="3" spans="1:42" s="20" customFormat="1" x14ac:dyDescent="0.2">
      <c r="A3" s="324"/>
      <c r="B3" s="325" t="str">
        <f>"All units in "  &amp;'Assumptions - General'!$E$27&amp;  " millions unless otherwise stated"</f>
        <v>All units in R$ millions unless otherwise stated</v>
      </c>
      <c r="C3" s="326"/>
      <c r="D3" s="324"/>
      <c r="E3" s="324"/>
      <c r="F3" s="324"/>
      <c r="G3" s="324"/>
      <c r="H3" s="324"/>
      <c r="I3" s="324"/>
      <c r="J3" s="324"/>
      <c r="K3" s="324"/>
      <c r="L3" s="324"/>
      <c r="M3" s="324"/>
      <c r="N3" s="324"/>
      <c r="O3" s="324"/>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row>
    <row r="4" spans="1:42" s="20" customFormat="1" ht="16" thickBot="1" x14ac:dyDescent="0.25">
      <c r="A4" s="22"/>
      <c r="B4" s="22"/>
      <c r="C4" s="22"/>
      <c r="D4" s="22"/>
      <c r="E4" s="22"/>
      <c r="F4" s="22"/>
      <c r="G4" s="22"/>
      <c r="H4" s="22"/>
      <c r="I4" s="22"/>
      <c r="J4" s="22"/>
      <c r="K4" s="22"/>
      <c r="L4" s="22"/>
      <c r="M4" s="22"/>
      <c r="N4" s="22"/>
      <c r="O4" s="22"/>
      <c r="P4" s="278"/>
      <c r="Q4" s="278"/>
      <c r="R4" s="18"/>
      <c r="S4" s="18"/>
      <c r="T4" s="18"/>
      <c r="U4" s="18"/>
      <c r="V4" s="18"/>
      <c r="W4" s="18"/>
      <c r="X4" s="18"/>
      <c r="Y4" s="18"/>
      <c r="Z4" s="18"/>
      <c r="AA4" s="18"/>
      <c r="AB4" s="18"/>
      <c r="AC4" s="18"/>
      <c r="AD4" s="18"/>
      <c r="AE4" s="18"/>
      <c r="AF4" s="18"/>
      <c r="AG4" s="18"/>
      <c r="AH4" s="18"/>
      <c r="AI4" s="18"/>
      <c r="AJ4" s="18"/>
      <c r="AK4" s="18"/>
      <c r="AL4" s="18"/>
      <c r="AM4" s="18"/>
      <c r="AN4" s="18"/>
      <c r="AO4" s="18"/>
      <c r="AP4" s="18"/>
    </row>
    <row r="5" spans="1:42" s="20" customFormat="1" x14ac:dyDescent="0.2">
      <c r="A5" s="22"/>
      <c r="B5" s="348"/>
      <c r="C5" s="349" t="s">
        <v>310</v>
      </c>
      <c r="D5" s="350"/>
      <c r="E5" s="350"/>
      <c r="F5" s="350"/>
      <c r="G5" s="351"/>
      <c r="H5" s="22"/>
      <c r="I5" s="348"/>
      <c r="J5" s="349" t="s">
        <v>314</v>
      </c>
      <c r="K5" s="350"/>
      <c r="L5" s="350"/>
      <c r="M5" s="350"/>
      <c r="N5" s="350"/>
      <c r="O5" s="351"/>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row>
    <row r="6" spans="1:42" s="20" customFormat="1" ht="14" x14ac:dyDescent="0.2">
      <c r="A6" s="24"/>
      <c r="B6" s="62"/>
      <c r="C6" s="24"/>
      <c r="D6" s="24"/>
      <c r="E6" s="24"/>
      <c r="F6" s="24"/>
      <c r="G6" s="64"/>
      <c r="H6" s="24"/>
      <c r="I6" s="62"/>
      <c r="J6" s="24"/>
      <c r="K6" s="24"/>
      <c r="L6" s="156"/>
      <c r="M6" s="156"/>
      <c r="N6" s="156"/>
      <c r="O6" s="273"/>
      <c r="P6" s="279"/>
      <c r="Q6" s="279"/>
      <c r="R6" s="182"/>
      <c r="S6" s="182"/>
      <c r="T6" s="182"/>
      <c r="U6" s="182"/>
      <c r="V6" s="182"/>
      <c r="W6" s="182"/>
    </row>
    <row r="7" spans="1:42" s="20" customFormat="1" ht="14" x14ac:dyDescent="0.2">
      <c r="A7" s="24"/>
      <c r="B7" s="62"/>
      <c r="C7" s="24" t="s">
        <v>435</v>
      </c>
      <c r="D7" s="24"/>
      <c r="E7" s="24"/>
      <c r="F7" s="167">
        <f>IF(OR(Calculations!E17=1,Calculations!E18=1),AVERAGE('Charts - Passenger'!E237:AH237),0)</f>
        <v>15000</v>
      </c>
      <c r="G7" s="157"/>
      <c r="H7" s="24"/>
      <c r="I7" s="62"/>
      <c r="J7" s="118" t="s">
        <v>400</v>
      </c>
      <c r="K7" s="155"/>
      <c r="L7" s="543" t="str">
        <f>IF('Assumptions - Passenger'!E437&gt;0,'Assumptions - Passenger'!$E$433," ")</f>
        <v>Local bank</v>
      </c>
      <c r="M7" s="543" t="str">
        <f>IF('Assumptions - Passenger'!$E$455&gt;0,'Assumptions - Passenger'!$E$451," ")</f>
        <v>International bank</v>
      </c>
      <c r="N7" s="549" t="str">
        <f>IF('Assumptions - Passenger'!E473&gt;0,'Assumptions - Passenger'!$E$469," ")</f>
        <v>Multilateral bank</v>
      </c>
      <c r="O7" s="545" t="str">
        <f>IF('Assumptions - Passenger'!E491&gt;0,'Assumptions - Passenger'!E487," ")</f>
        <v>Regional bank</v>
      </c>
      <c r="P7" s="541"/>
      <c r="Q7" s="541"/>
      <c r="R7" s="547"/>
      <c r="S7" s="547"/>
      <c r="T7" s="547"/>
      <c r="U7" s="547"/>
      <c r="V7" s="547"/>
      <c r="W7" s="547"/>
    </row>
    <row r="8" spans="1:42" s="20" customFormat="1" ht="14" x14ac:dyDescent="0.2">
      <c r="A8" s="24"/>
      <c r="B8" s="62"/>
      <c r="C8" s="24" t="s">
        <v>436</v>
      </c>
      <c r="D8" s="24"/>
      <c r="E8" s="24"/>
      <c r="F8" s="167">
        <f>IF(OR(Calculations!E17=1,Calculations!E18=1),AVERAGE('Charts - Passenger'!E236:AH236),0)</f>
        <v>15000</v>
      </c>
      <c r="G8" s="157"/>
      <c r="H8" s="24"/>
      <c r="I8" s="62"/>
      <c r="J8" s="117"/>
      <c r="K8" s="155"/>
      <c r="L8" s="544"/>
      <c r="M8" s="544"/>
      <c r="N8" s="550"/>
      <c r="O8" s="546"/>
      <c r="P8" s="542"/>
      <c r="Q8" s="542"/>
      <c r="R8" s="548"/>
      <c r="S8" s="548"/>
      <c r="T8" s="548"/>
      <c r="U8" s="548"/>
      <c r="V8" s="548"/>
      <c r="W8" s="548"/>
    </row>
    <row r="9" spans="1:42" s="20" customFormat="1" ht="14" x14ac:dyDescent="0.2">
      <c r="A9" s="24"/>
      <c r="B9" s="62"/>
      <c r="C9" s="24" t="s">
        <v>437</v>
      </c>
      <c r="D9" s="24"/>
      <c r="E9" s="24"/>
      <c r="F9" s="162">
        <f>IF(OR(Calculations!E17=1,Calculations!E18=1),AVERAGE('Charts - Passenger'!E149:AH149),0)</f>
        <v>0.5</v>
      </c>
      <c r="G9" s="157"/>
      <c r="H9" s="24"/>
      <c r="I9" s="62"/>
      <c r="J9" s="8" t="s">
        <v>66</v>
      </c>
      <c r="K9" s="154"/>
      <c r="L9" s="150">
        <f>IF('Assumptions - Passenger'!$E$437&gt;0,'Assumptions - Passenger'!$E$434," ")</f>
        <v>3</v>
      </c>
      <c r="M9" s="150">
        <f>IF('Assumptions - Passenger'!$E$455&gt;0,'Assumptions - Passenger'!$E$452," ")</f>
        <v>3</v>
      </c>
      <c r="N9" s="150">
        <f>IF('Assumptions - Passenger'!E473&gt;0,'Assumptions - Passenger'!$E$470," ")</f>
        <v>3</v>
      </c>
      <c r="O9" s="274">
        <f>IF('Assumptions - Passenger'!E491&gt;0,'Assumptions - Passenger'!$E$488," ")</f>
        <v>3</v>
      </c>
      <c r="P9" s="280"/>
      <c r="Q9" s="280"/>
      <c r="R9" s="193"/>
      <c r="S9" s="193"/>
      <c r="T9" s="193"/>
      <c r="U9" s="193"/>
      <c r="V9" s="193"/>
      <c r="W9" s="193"/>
    </row>
    <row r="10" spans="1:42" s="20" customFormat="1" ht="14" x14ac:dyDescent="0.2">
      <c r="A10" s="24"/>
      <c r="B10" s="62"/>
      <c r="C10" s="24" t="s">
        <v>518</v>
      </c>
      <c r="D10" s="24"/>
      <c r="E10" s="24"/>
      <c r="F10" s="167">
        <f>IF(OR(Calculations!E17=1,Calculations!E18=1),SUM(Calculations!E619:E621),0)</f>
        <v>24000</v>
      </c>
      <c r="G10" s="157"/>
      <c r="H10" s="24"/>
      <c r="I10" s="62"/>
      <c r="J10" s="8" t="s">
        <v>315</v>
      </c>
      <c r="K10" s="154"/>
      <c r="L10" s="149" t="str">
        <f>IF('Assumptions - Passenger'!$E$437&gt;0,'Assumptions - Passenger'!$E$437&amp;" "&amp; 'Assumptions - Passenger'!$D$437," ")</f>
        <v>50 R$ millions</v>
      </c>
      <c r="M10" s="149" t="str">
        <f>IF('Assumptions - Passenger'!$E$455&gt;0,'Assumptions - Passenger'!$E$455&amp;" "&amp; 'Assumptions - Passenger'!$D$455," ")</f>
        <v>50 R$ millions</v>
      </c>
      <c r="N10" s="149" t="str">
        <f>IF('Assumptions - Passenger'!E473&gt;0,'Assumptions - Passenger'!$E$473&amp;" "&amp; 'Assumptions - Passenger'!$D$473," ")</f>
        <v>50 R$ millions</v>
      </c>
      <c r="O10" s="283" t="str">
        <f>IF('Assumptions - Passenger'!E491&gt;0, 'Assumptions - Passenger'!$E$491&amp;" "&amp; 'Assumptions - Passenger'!$D$491," ")</f>
        <v>50 R$ millions</v>
      </c>
      <c r="P10" s="279"/>
      <c r="Q10" s="279"/>
      <c r="R10" s="182"/>
      <c r="S10" s="182"/>
      <c r="T10" s="182"/>
      <c r="U10" s="182"/>
      <c r="V10" s="182"/>
      <c r="W10" s="182"/>
    </row>
    <row r="11" spans="1:42" s="20" customFormat="1" ht="14" x14ac:dyDescent="0.2">
      <c r="A11" s="24"/>
      <c r="B11" s="62"/>
      <c r="C11" s="145" t="s">
        <v>312</v>
      </c>
      <c r="D11" s="24"/>
      <c r="E11" s="24"/>
      <c r="F11" s="170">
        <f>IF(OR(Calculations!E17=1,Calculations!E18=1),SUM('Charts - Passenger'!E163:AH163),0)</f>
        <v>3.6301076626834794E-2</v>
      </c>
      <c r="G11" s="157"/>
      <c r="H11" s="24"/>
      <c r="I11" s="62"/>
      <c r="J11" s="8" t="s">
        <v>316</v>
      </c>
      <c r="K11" s="154"/>
      <c r="L11" s="149" t="str">
        <f>IF('Assumptions - Passenger'!$E$437&gt;0,IF('Assumptions - Passenger'!$E$439=1,"Fixed","Variable")," ")</f>
        <v>Fixed</v>
      </c>
      <c r="M11" s="149" t="str">
        <f>IF('Assumptions - Passenger'!$E$455&gt;0,IF('Assumptions - Passenger'!$E$457=1,"Fixed","Variable")," ")</f>
        <v>Variable</v>
      </c>
      <c r="N11" s="149" t="str">
        <f>IF('Assumptions - Passenger'!E473&gt;0,IF('Assumptions - Passenger'!$E$475=1,"Fixed","Variable")," ")</f>
        <v>Fixed</v>
      </c>
      <c r="O11" s="283" t="str">
        <f>IF('Assumptions - Passenger'!E491&gt;0,IF('Assumptions - Passenger'!$E$493=1,"Fixed","Variable")," ")</f>
        <v>Fixed</v>
      </c>
      <c r="P11" s="279"/>
      <c r="Q11" s="279"/>
      <c r="R11" s="182"/>
      <c r="S11" s="182"/>
      <c r="T11" s="182"/>
      <c r="U11" s="182"/>
      <c r="V11" s="182"/>
      <c r="W11" s="182"/>
    </row>
    <row r="12" spans="1:42" s="20" customFormat="1" thickBot="1" x14ac:dyDescent="0.25">
      <c r="A12" s="24"/>
      <c r="B12" s="66"/>
      <c r="C12" s="68"/>
      <c r="D12" s="68"/>
      <c r="E12" s="68"/>
      <c r="F12" s="163"/>
      <c r="G12" s="158"/>
      <c r="H12" s="24"/>
      <c r="I12" s="62"/>
      <c r="J12" s="8" t="s">
        <v>317</v>
      </c>
      <c r="K12" s="154"/>
      <c r="L12" s="151">
        <f>IF('Assumptions - Passenger'!$E$437&gt;0,IF('Results - Passenger'!L11="Fixed",'Assumptions - Passenger'!$E$441,'Assumptions - Passenger'!$E$442)," ")</f>
        <v>0.05</v>
      </c>
      <c r="M12" s="151">
        <f>IF('Assumptions - Passenger'!$E$455&gt;0,IF('Results - Passenger'!M11="Fixed",'Assumptions - Passenger'!$E$459,'Assumptions - Passenger'!$E$460)," ")</f>
        <v>0.02</v>
      </c>
      <c r="N12" s="151">
        <f>IF('Assumptions - Passenger'!E473&gt;0,IF('Results - Passenger'!N11="Fixed",'Assumptions - Passenger'!$E$477,'Assumptions - Passenger'!$E$478)," ")</f>
        <v>0.05</v>
      </c>
      <c r="O12" s="284">
        <f>IF('Assumptions - Passenger'!E491&gt;0,IF('Results - Passenger'!O11="Fixed",'Assumptions - Passenger'!$E$495,'Assumptions - Passenger'!$E$496)," ")</f>
        <v>0.05</v>
      </c>
      <c r="P12" s="281"/>
      <c r="Q12" s="281"/>
      <c r="R12" s="285"/>
      <c r="S12" s="285"/>
      <c r="T12" s="285"/>
      <c r="U12" s="285"/>
      <c r="V12" s="285"/>
      <c r="W12" s="285"/>
    </row>
    <row r="13" spans="1:42" s="20" customFormat="1" thickBot="1" x14ac:dyDescent="0.25">
      <c r="A13" s="24"/>
      <c r="B13" s="24"/>
      <c r="C13" s="24"/>
      <c r="D13" s="24"/>
      <c r="E13" s="24"/>
      <c r="F13" s="138"/>
      <c r="G13" s="24"/>
      <c r="H13" s="24"/>
      <c r="I13" s="62"/>
      <c r="J13" s="8" t="s">
        <v>54</v>
      </c>
      <c r="K13" s="154"/>
      <c r="L13" s="149">
        <f>IF('Assumptions - Passenger'!$E$437&gt;0,'Assumptions - Passenger'!$E$443," ")</f>
        <v>15</v>
      </c>
      <c r="M13" s="149">
        <f>IF('Assumptions - Passenger'!$E$455&gt;0,'Assumptions - Passenger'!$E$461," ")</f>
        <v>15</v>
      </c>
      <c r="N13" s="149">
        <f>IF('Assumptions - Passenger'!E473&gt;0,'Assumptions - Passenger'!$E$479," ")</f>
        <v>25</v>
      </c>
      <c r="O13" s="283">
        <f>IF('Assumptions - Passenger'!E491&gt;0,'Assumptions - Passenger'!$E$497," ")</f>
        <v>15</v>
      </c>
      <c r="P13" s="279"/>
      <c r="Q13" s="279"/>
      <c r="R13" s="182"/>
      <c r="S13" s="182"/>
      <c r="T13" s="182"/>
      <c r="U13" s="182"/>
      <c r="V13" s="182"/>
      <c r="W13" s="182"/>
    </row>
    <row r="14" spans="1:42" s="20" customFormat="1" x14ac:dyDescent="0.2">
      <c r="A14" s="24"/>
      <c r="B14" s="348"/>
      <c r="C14" s="349" t="s">
        <v>629</v>
      </c>
      <c r="D14" s="350"/>
      <c r="E14" s="350"/>
      <c r="F14" s="359"/>
      <c r="G14" s="351"/>
      <c r="H14" s="24"/>
      <c r="I14" s="62"/>
      <c r="J14" s="8" t="s">
        <v>57</v>
      </c>
      <c r="K14" s="154"/>
      <c r="L14" s="149">
        <f>IF('Assumptions - Passenger'!$E$437&gt;0,'Assumptions - Passenger'!$E$444," ")</f>
        <v>5</v>
      </c>
      <c r="M14" s="149">
        <f>IF('Assumptions - Passenger'!$E$455&gt;0,'Assumptions - Passenger'!$E$462," ")</f>
        <v>5</v>
      </c>
      <c r="N14" s="149">
        <f>IF('Assumptions - Passenger'!E473&gt;0,'Assumptions - Passenger'!$E$480," ")</f>
        <v>5</v>
      </c>
      <c r="O14" s="283">
        <f>IF('Assumptions - Passenger'!E491&gt;0,'Assumptions - Passenger'!$E$498," ")</f>
        <v>5</v>
      </c>
      <c r="P14" s="279"/>
      <c r="Q14" s="279"/>
      <c r="R14" s="182"/>
      <c r="S14" s="182"/>
      <c r="T14" s="182"/>
      <c r="U14" s="182"/>
      <c r="V14" s="182"/>
      <c r="W14" s="182"/>
    </row>
    <row r="15" spans="1:42" s="20" customFormat="1" ht="14" x14ac:dyDescent="0.2">
      <c r="A15" s="24"/>
      <c r="B15" s="62"/>
      <c r="C15" s="24"/>
      <c r="D15" s="24"/>
      <c r="E15" s="24"/>
      <c r="F15" s="138"/>
      <c r="G15" s="64"/>
      <c r="H15" s="24"/>
      <c r="I15" s="62"/>
      <c r="J15" s="8" t="s">
        <v>282</v>
      </c>
      <c r="K15" s="154"/>
      <c r="L15" s="149" t="str">
        <f>IF('Assumptions - Passenger'!$E$437&gt;0,IF('Assumptions - Passenger'!$E$445=1,"Bullet",IF('Assumptions - Passenger'!$E$445=2,"Equal installment","Fixed annuity"))," ")</f>
        <v>Fixed annuity</v>
      </c>
      <c r="M15" s="149" t="str">
        <f>IF('Assumptions - Passenger'!$E$455&gt;0,IF('Assumptions - Passenger'!$E$463=1,"Bullet",IF('Assumptions - Passenger'!$E$463=2,"Equal installment","Fixed annuity"))," ")</f>
        <v>Fixed annuity</v>
      </c>
      <c r="N15" s="149" t="str">
        <f>IF('Assumptions - Passenger'!E473&gt;0,IF('Assumptions - Passenger'!$E$481=1,"Bullet",IF('Assumptions - Passenger'!$E$481=2,"Equal installment","Fixed annuity"))," ")</f>
        <v>Bullet</v>
      </c>
      <c r="O15" s="283" t="str">
        <f>IF('Assumptions - Passenger'!E491&gt;0,IF('Assumptions - Passenger'!$E$499=1,"Bullet",IF('Assumptions - Passenger'!$E$499=2,"Equal installment","Fixed annuity"))," ")</f>
        <v>Bullet</v>
      </c>
      <c r="P15" s="279"/>
      <c r="Q15" s="279"/>
      <c r="R15" s="182"/>
      <c r="S15" s="182"/>
      <c r="T15" s="182"/>
      <c r="U15" s="182"/>
      <c r="V15" s="182"/>
      <c r="W15" s="182"/>
    </row>
    <row r="16" spans="1:42" s="20" customFormat="1" ht="14" x14ac:dyDescent="0.2">
      <c r="A16" s="24"/>
      <c r="B16" s="62"/>
      <c r="C16" s="24"/>
      <c r="D16" s="24"/>
      <c r="E16" s="24"/>
      <c r="F16" s="138" t="str">
        <f>"Initial ("&amp;'Assumptions - General'!$E$27&amp;")"</f>
        <v>Initial (R$)</v>
      </c>
      <c r="G16" s="148" t="s">
        <v>426</v>
      </c>
      <c r="H16" s="24"/>
      <c r="I16" s="62"/>
      <c r="J16" s="8" t="s">
        <v>53</v>
      </c>
      <c r="K16" s="154"/>
      <c r="L16" s="152">
        <f>IF('Assumptions - Passenger'!$E$437&gt;0,'Assumptions - Passenger'!$E$447," ")</f>
        <v>2.5000000000000001E-3</v>
      </c>
      <c r="M16" s="152">
        <f>IF('Assumptions - Passenger'!$E$455&gt;0,'Assumptions - Passenger'!$E$465," ")</f>
        <v>2.5000000000000001E-3</v>
      </c>
      <c r="N16" s="152">
        <f>IF('Assumptions - Passenger'!E473&gt;0,'Assumptions - Passenger'!$E$483," ")</f>
        <v>2.5000000000000001E-3</v>
      </c>
      <c r="O16" s="275">
        <f>IF('Assumptions - Passenger'!E491&gt;0,'Assumptions - Passenger'!$E$501," ")</f>
        <v>2.5000000000000001E-3</v>
      </c>
      <c r="P16" s="282"/>
      <c r="Q16" s="282"/>
      <c r="R16" s="203"/>
      <c r="S16" s="203"/>
      <c r="T16" s="203"/>
      <c r="U16" s="203"/>
      <c r="V16" s="203"/>
      <c r="W16" s="203"/>
    </row>
    <row r="17" spans="1:23" s="20" customFormat="1" ht="14" x14ac:dyDescent="0.2">
      <c r="A17" s="24"/>
      <c r="B17" s="62"/>
      <c r="C17" s="24" t="str">
        <f>"Fare/Passenger-km"</f>
        <v>Fare/Passenger-km</v>
      </c>
      <c r="D17" s="24"/>
      <c r="E17" s="24"/>
      <c r="F17" s="247">
        <f>(Calculations!E651+Calculations!E653+Calculations!E655)/3</f>
        <v>1</v>
      </c>
      <c r="G17" s="246">
        <f>IF(OR(Calculations!E17=1,Calculations!E18=1),SUM('Charts - Passenger'!E170:AH170),0)</f>
        <v>3.0000000000000027E-2</v>
      </c>
      <c r="H17" s="24"/>
      <c r="I17" s="62"/>
      <c r="J17" s="8" t="s">
        <v>55</v>
      </c>
      <c r="K17" s="154"/>
      <c r="L17" s="153">
        <f>IF('Assumptions - Passenger'!$E$437&gt;0,'Assumptions - Passenger'!$E$448," ")</f>
        <v>0</v>
      </c>
      <c r="M17" s="153">
        <f>IF('Assumptions - Passenger'!$E$455&gt;0,'Assumptions - Passenger'!$E$466," ")</f>
        <v>0</v>
      </c>
      <c r="N17" s="153">
        <f>IF('Assumptions - Passenger'!E473&gt;0,'Assumptions - Passenger'!$E$484," ")</f>
        <v>0</v>
      </c>
      <c r="O17" s="276">
        <f>IF('Assumptions - Passenger'!E491&gt;0,'Assumptions - Passenger'!$E$502," ")</f>
        <v>0</v>
      </c>
      <c r="P17" s="282"/>
      <c r="Q17" s="282"/>
      <c r="R17" s="203"/>
      <c r="S17" s="203"/>
      <c r="T17" s="203"/>
      <c r="U17" s="203"/>
      <c r="V17" s="203"/>
      <c r="W17" s="203"/>
    </row>
    <row r="18" spans="1:23" s="20" customFormat="1" ht="14" x14ac:dyDescent="0.2">
      <c r="A18" s="24"/>
      <c r="B18" s="62"/>
      <c r="C18" s="24" t="s">
        <v>428</v>
      </c>
      <c r="D18" s="24"/>
      <c r="E18" s="24"/>
      <c r="F18" s="138">
        <f>'Assumptions - Passenger'!E231</f>
        <v>0.25</v>
      </c>
      <c r="G18" s="246">
        <f>SUM('Charts - Passenger'!E178:AH178)</f>
        <v>3.0000000000000027E-2</v>
      </c>
      <c r="H18" s="24"/>
      <c r="I18" s="62"/>
      <c r="J18" s="24"/>
      <c r="K18" s="24"/>
      <c r="L18" s="24"/>
      <c r="M18" s="24"/>
      <c r="N18" s="24"/>
      <c r="O18" s="64"/>
      <c r="P18" s="277"/>
      <c r="Q18" s="277"/>
    </row>
    <row r="19" spans="1:23" s="20" customFormat="1" ht="14" x14ac:dyDescent="0.2">
      <c r="A19" s="24"/>
      <c r="B19" s="62"/>
      <c r="C19" s="24" t="s">
        <v>429</v>
      </c>
      <c r="D19" s="24"/>
      <c r="E19" s="24"/>
      <c r="F19" s="138">
        <f>'Assumptions - Passenger'!E232</f>
        <v>0.25</v>
      </c>
      <c r="G19" s="246">
        <f>SUM('Charts - Passenger'!E179:AH179)</f>
        <v>3.0000000000000027E-2</v>
      </c>
      <c r="H19" s="24"/>
      <c r="I19" s="62"/>
      <c r="J19" s="146" t="s">
        <v>318</v>
      </c>
      <c r="K19" s="24"/>
      <c r="L19" s="167">
        <f>Calculations!E754+Calculations!E770+Calculations!E786</f>
        <v>250</v>
      </c>
      <c r="M19" s="24" t="str">
        <f>Calculations!D754</f>
        <v>R$ millions</v>
      </c>
      <c r="N19" s="24"/>
      <c r="O19" s="64"/>
      <c r="P19" s="277"/>
      <c r="Q19" s="277"/>
    </row>
    <row r="20" spans="1:23" s="20" customFormat="1" ht="14" x14ac:dyDescent="0.2">
      <c r="A20" s="24"/>
      <c r="B20" s="62"/>
      <c r="C20" s="24" t="s">
        <v>321</v>
      </c>
      <c r="D20" s="24"/>
      <c r="E20" s="24"/>
      <c r="F20" s="248">
        <f>('Assumptions - Passenger'!E202+'Assumptions - Passenger'!E213)*1000000</f>
        <v>25000000</v>
      </c>
      <c r="G20" s="246">
        <f>SUM('Charts - Passenger'!E185:AH185)</f>
        <v>3.0000000000000027E-2</v>
      </c>
      <c r="H20" s="24"/>
      <c r="I20" s="62"/>
      <c r="J20" s="24" t="s">
        <v>319</v>
      </c>
      <c r="K20" s="24"/>
      <c r="L20" s="167">
        <f>Calculations!E915+Calculations!E918+Calculations!E921</f>
        <v>4640</v>
      </c>
      <c r="M20" s="24" t="str">
        <f>M19</f>
        <v>R$ millions</v>
      </c>
      <c r="N20" s="24"/>
      <c r="O20" s="64"/>
      <c r="P20" s="277"/>
      <c r="Q20" s="277"/>
    </row>
    <row r="21" spans="1:23" s="20" customFormat="1" thickBot="1" x14ac:dyDescent="0.25">
      <c r="A21" s="24"/>
      <c r="B21" s="66"/>
      <c r="C21" s="68"/>
      <c r="D21" s="68"/>
      <c r="E21" s="68"/>
      <c r="F21" s="163"/>
      <c r="G21" s="160"/>
      <c r="H21" s="24"/>
      <c r="I21" s="66"/>
      <c r="J21" s="68"/>
      <c r="K21" s="68"/>
      <c r="L21" s="68"/>
      <c r="M21" s="68"/>
      <c r="N21" s="68"/>
      <c r="O21" s="70"/>
      <c r="P21" s="277"/>
      <c r="Q21" s="277"/>
    </row>
    <row r="22" spans="1:23" s="20" customFormat="1" ht="16" thickBot="1" x14ac:dyDescent="0.25">
      <c r="A22" s="24"/>
      <c r="B22" s="24"/>
      <c r="C22" s="24"/>
      <c r="D22" s="24"/>
      <c r="E22" s="24"/>
      <c r="F22" s="138"/>
      <c r="G22" s="139"/>
      <c r="H22" s="24"/>
      <c r="I22" s="22"/>
      <c r="J22" s="22"/>
      <c r="K22" s="22"/>
      <c r="L22" s="22"/>
      <c r="M22" s="22"/>
      <c r="N22" s="22"/>
      <c r="O22" s="22"/>
      <c r="P22" s="278"/>
      <c r="Q22" s="278"/>
      <c r="R22" s="18"/>
      <c r="S22" s="18"/>
      <c r="T22" s="18"/>
      <c r="U22" s="18"/>
      <c r="V22" s="18"/>
      <c r="W22" s="18"/>
    </row>
    <row r="23" spans="1:23" s="20" customFormat="1" x14ac:dyDescent="0.2">
      <c r="A23" s="24"/>
      <c r="B23" s="348"/>
      <c r="C23" s="349" t="s">
        <v>323</v>
      </c>
      <c r="D23" s="350"/>
      <c r="E23" s="350"/>
      <c r="F23" s="359"/>
      <c r="G23" s="360"/>
      <c r="H23" s="24"/>
      <c r="I23" s="348"/>
      <c r="J23" s="349" t="s">
        <v>659</v>
      </c>
      <c r="K23" s="350"/>
      <c r="L23" s="350"/>
      <c r="M23" s="350"/>
      <c r="N23" s="350"/>
      <c r="O23" s="75"/>
      <c r="P23" s="278"/>
      <c r="Q23" s="278"/>
      <c r="R23" s="18"/>
      <c r="S23" s="18"/>
      <c r="T23" s="18"/>
      <c r="U23" s="18"/>
      <c r="V23" s="18"/>
      <c r="W23" s="18"/>
    </row>
    <row r="24" spans="1:23" s="20" customFormat="1" ht="30" x14ac:dyDescent="0.2">
      <c r="A24" s="24"/>
      <c r="B24" s="101"/>
      <c r="C24" s="103"/>
      <c r="F24" s="263" t="str">
        <f>"Initial ("&amp;'Assumptions - Passenger'!D251&amp;")"</f>
        <v>Initial (R$ millions)</v>
      </c>
      <c r="G24" s="264" t="s">
        <v>427</v>
      </c>
      <c r="H24" s="24"/>
      <c r="I24" s="62"/>
      <c r="J24" s="24"/>
      <c r="K24" s="24"/>
      <c r="L24" s="24"/>
      <c r="M24" s="24"/>
      <c r="N24" s="24"/>
      <c r="O24" s="62"/>
      <c r="P24" s="277"/>
      <c r="Q24" s="277"/>
    </row>
    <row r="25" spans="1:23" s="20" customFormat="1" ht="14" x14ac:dyDescent="0.2">
      <c r="A25" s="24"/>
      <c r="B25" s="62"/>
      <c r="C25" s="24" t="s">
        <v>37</v>
      </c>
      <c r="D25" s="24"/>
      <c r="E25" s="24"/>
      <c r="F25" s="165">
        <f>'Assumptions - Passenger'!E251</f>
        <v>1000</v>
      </c>
      <c r="G25" s="246">
        <f>SUM(Calculations!E679:AH679)</f>
        <v>3.0000000000000027E-2</v>
      </c>
      <c r="H25" s="24"/>
      <c r="I25" s="62"/>
      <c r="J25" s="24" t="str">
        <f>'Assumptions - Passenger'!E26</f>
        <v>Land</v>
      </c>
      <c r="K25" s="24"/>
      <c r="L25" s="24"/>
      <c r="M25" s="165">
        <f>SUM(Calculations!F522:AH522)</f>
        <v>290</v>
      </c>
      <c r="N25" s="24" t="str">
        <f>'Assumptions - Passenger'!D33</f>
        <v>R$ millions</v>
      </c>
      <c r="O25" s="62"/>
      <c r="P25" s="277"/>
      <c r="Q25" s="277"/>
    </row>
    <row r="26" spans="1:23" s="20" customFormat="1" ht="14" x14ac:dyDescent="0.2">
      <c r="A26" s="24"/>
      <c r="B26" s="62"/>
      <c r="C26" s="24" t="s">
        <v>422</v>
      </c>
      <c r="D26" s="24"/>
      <c r="E26" s="24"/>
      <c r="F26" s="165">
        <f>'Assumptions - Passenger'!E261</f>
        <v>500</v>
      </c>
      <c r="G26" s="246">
        <f>SUM(Calculations!E681:AH681)</f>
        <v>6.7390108925639902E-2</v>
      </c>
      <c r="H26" s="24"/>
      <c r="I26" s="62"/>
      <c r="J26" s="24" t="str">
        <f>'Assumptions - Passenger'!E27</f>
        <v>Buildings and structures</v>
      </c>
      <c r="K26" s="24"/>
      <c r="L26" s="24"/>
      <c r="M26" s="165">
        <f>SUM(Calculations!F538:AH538)</f>
        <v>580</v>
      </c>
      <c r="N26" s="24" t="str">
        <f>'Assumptions - Passenger'!D34</f>
        <v>R$ millions</v>
      </c>
      <c r="O26" s="62"/>
      <c r="P26" s="277"/>
      <c r="Q26" s="277"/>
    </row>
    <row r="27" spans="1:23" s="20" customFormat="1" ht="14" x14ac:dyDescent="0.2">
      <c r="A27" s="24"/>
      <c r="B27" s="62"/>
      <c r="C27" s="24" t="s">
        <v>41</v>
      </c>
      <c r="D27" s="24"/>
      <c r="E27" s="24"/>
      <c r="F27" s="165">
        <f>'Assumptions - Passenger'!E270</f>
        <v>500</v>
      </c>
      <c r="G27" s="246">
        <f>SUM(Calculations!E683:AH683)</f>
        <v>6.7390108925639902E-2</v>
      </c>
      <c r="H27" s="24"/>
      <c r="I27" s="62"/>
      <c r="J27" s="24" t="str">
        <f>'Assumptions - Passenger'!E28</f>
        <v>Track and infrastructure</v>
      </c>
      <c r="K27" s="24"/>
      <c r="L27" s="24"/>
      <c r="M27" s="165">
        <f>SUM(Calculations!F554:AH554)</f>
        <v>2900</v>
      </c>
      <c r="N27" s="24" t="str">
        <f>'Assumptions - Passenger'!D35</f>
        <v>R$ millions</v>
      </c>
      <c r="O27" s="62"/>
      <c r="P27" s="277"/>
      <c r="Q27" s="277"/>
    </row>
    <row r="28" spans="1:23" s="20" customFormat="1" ht="14" x14ac:dyDescent="0.2">
      <c r="A28" s="24"/>
      <c r="B28" s="62"/>
      <c r="C28" s="24" t="s">
        <v>218</v>
      </c>
      <c r="D28" s="24"/>
      <c r="E28" s="24"/>
      <c r="F28" s="165">
        <f>'Assumptions - Passenger'!E279</f>
        <v>500</v>
      </c>
      <c r="G28" s="246">
        <f>SUM(Calculations!E685:AH685)</f>
        <v>6.7390108925639902E-2</v>
      </c>
      <c r="H28" s="24"/>
      <c r="I28" s="62"/>
      <c r="J28" s="24" t="str">
        <f>'Assumptions - Passenger'!E29</f>
        <v>Locomotives and railway cars</v>
      </c>
      <c r="K28" s="24"/>
      <c r="L28" s="24"/>
      <c r="M28" s="165">
        <f>SUM(Calculations!F570:AH570)</f>
        <v>2900</v>
      </c>
      <c r="N28" s="24" t="str">
        <f>'Assumptions - Passenger'!D36</f>
        <v>R$ millions</v>
      </c>
      <c r="O28" s="62"/>
      <c r="P28" s="277"/>
      <c r="Q28" s="277"/>
    </row>
    <row r="29" spans="1:23" s="20" customFormat="1" ht="14" x14ac:dyDescent="0.2">
      <c r="A29" s="24"/>
      <c r="B29" s="62"/>
      <c r="C29" s="24" t="s">
        <v>423</v>
      </c>
      <c r="D29" s="24"/>
      <c r="E29" s="24"/>
      <c r="F29" s="165">
        <f>'Assumptions - Passenger'!E288</f>
        <v>500</v>
      </c>
      <c r="G29" s="246">
        <f>SUM(Calculations!E687:AH687)</f>
        <v>3.0000000000000027E-2</v>
      </c>
      <c r="H29" s="24"/>
      <c r="I29" s="62"/>
      <c r="J29" s="24" t="str">
        <f>'Assumptions - Passenger'!E30</f>
        <v>Machines, equipment and spare parts</v>
      </c>
      <c r="K29" s="24"/>
      <c r="L29" s="24"/>
      <c r="M29" s="165">
        <f>SUM(Calculations!F586:AH586)</f>
        <v>725</v>
      </c>
      <c r="N29" s="24" t="str">
        <f>'Assumptions - Passenger'!D37</f>
        <v>R$ millions</v>
      </c>
      <c r="O29" s="62"/>
      <c r="P29" s="277"/>
      <c r="Q29" s="277"/>
    </row>
    <row r="30" spans="1:23" s="20" customFormat="1" ht="14" x14ac:dyDescent="0.2">
      <c r="A30" s="24"/>
      <c r="B30" s="62"/>
      <c r="C30" s="24" t="s">
        <v>424</v>
      </c>
      <c r="D30" s="24"/>
      <c r="E30" s="24"/>
      <c r="F30" s="165">
        <f>'Assumptions - Passenger'!E298</f>
        <v>500</v>
      </c>
      <c r="G30" s="246">
        <f>SUM(Calculations!E689:AH689)</f>
        <v>3.0000000000000027E-2</v>
      </c>
      <c r="H30" s="24"/>
      <c r="I30" s="62"/>
      <c r="J30" s="24" t="str">
        <f>'Assumptions - Passenger'!E31</f>
        <v>Others</v>
      </c>
      <c r="K30" s="24"/>
      <c r="L30" s="24"/>
      <c r="M30" s="165">
        <f>SUM(Calculations!F602:AH602)</f>
        <v>725</v>
      </c>
      <c r="N30" s="24" t="str">
        <f>'Assumptions - Passenger'!D38</f>
        <v>R$ millions</v>
      </c>
      <c r="O30" s="62"/>
      <c r="P30" s="277"/>
      <c r="Q30" s="277"/>
    </row>
    <row r="31" spans="1:23" s="20" customFormat="1" ht="14" x14ac:dyDescent="0.2">
      <c r="A31" s="24"/>
      <c r="B31" s="62"/>
      <c r="C31" s="277" t="s">
        <v>425</v>
      </c>
      <c r="D31" s="277"/>
      <c r="E31" s="277"/>
      <c r="F31" s="502">
        <f>'Assumptions - Passenger'!E320+'Assumptions - Passenger'!E329+'Assumptions - Passenger'!E338</f>
        <v>300</v>
      </c>
      <c r="G31" s="503">
        <f>SUM(Calculations!E697:AH697)</f>
        <v>3.0000000000000027E-2</v>
      </c>
      <c r="H31" s="24"/>
      <c r="I31" s="62"/>
      <c r="J31" s="24" t="s">
        <v>412</v>
      </c>
      <c r="K31" s="24"/>
      <c r="L31" s="24"/>
      <c r="M31" s="167">
        <f>SUM(M25:M30)</f>
        <v>8120</v>
      </c>
      <c r="N31" s="64" t="str">
        <f>N30</f>
        <v>R$ millions</v>
      </c>
      <c r="O31" s="62"/>
      <c r="P31" s="277"/>
      <c r="Q31" s="277"/>
    </row>
    <row r="32" spans="1:23" s="277" customFormat="1" thickBot="1" x14ac:dyDescent="0.25">
      <c r="A32" s="24"/>
      <c r="B32" s="66"/>
      <c r="C32" s="159"/>
      <c r="D32" s="68"/>
      <c r="E32" s="68"/>
      <c r="F32" s="166"/>
      <c r="G32" s="70"/>
      <c r="H32" s="24"/>
      <c r="I32" s="66"/>
      <c r="J32" s="68"/>
      <c r="K32" s="68"/>
      <c r="L32" s="68"/>
      <c r="M32" s="163"/>
      <c r="N32" s="70"/>
      <c r="O32" s="24"/>
    </row>
    <row r="33" spans="1:42" s="277" customFormat="1" thickBot="1" x14ac:dyDescent="0.25">
      <c r="A33" s="24"/>
      <c r="B33" s="24"/>
      <c r="C33" s="24"/>
      <c r="D33" s="24"/>
      <c r="E33" s="24"/>
      <c r="F33" s="24"/>
      <c r="G33" s="24"/>
      <c r="H33" s="24"/>
      <c r="I33" s="24"/>
      <c r="J33" s="24"/>
      <c r="K33" s="24"/>
      <c r="L33" s="24"/>
      <c r="M33" s="24"/>
      <c r="N33" s="24"/>
      <c r="O33" s="24"/>
    </row>
    <row r="34" spans="1:42" s="277" customFormat="1" x14ac:dyDescent="0.2">
      <c r="A34" s="24"/>
      <c r="B34" s="348"/>
      <c r="C34" s="349" t="s">
        <v>313</v>
      </c>
      <c r="D34" s="350"/>
      <c r="E34" s="350"/>
      <c r="F34" s="359"/>
      <c r="G34" s="351"/>
      <c r="H34" s="24"/>
      <c r="I34" s="24"/>
      <c r="J34" s="24"/>
      <c r="K34" s="24"/>
      <c r="L34" s="24"/>
      <c r="M34" s="24"/>
      <c r="N34" s="24"/>
      <c r="O34" s="24"/>
    </row>
    <row r="35" spans="1:42" s="277" customFormat="1" ht="14" x14ac:dyDescent="0.2">
      <c r="A35" s="24"/>
      <c r="B35" s="62"/>
      <c r="C35" s="24"/>
      <c r="D35" s="24"/>
      <c r="E35" s="24"/>
      <c r="F35" s="138" t="s">
        <v>661</v>
      </c>
      <c r="G35" s="64"/>
      <c r="H35" s="24"/>
      <c r="I35" s="24"/>
      <c r="J35" s="24"/>
      <c r="K35" s="24"/>
      <c r="L35" s="24"/>
      <c r="M35" s="24"/>
      <c r="N35" s="24"/>
      <c r="O35" s="24"/>
    </row>
    <row r="36" spans="1:42" s="277" customFormat="1" ht="14" x14ac:dyDescent="0.2">
      <c r="A36" s="24"/>
      <c r="B36" s="62"/>
      <c r="C36" s="24" t="s">
        <v>48</v>
      </c>
      <c r="D36" s="24"/>
      <c r="E36" s="24"/>
      <c r="F36" s="147">
        <f>IF(Calculations!E17=1,AVERAGE('Assumptions - Passenger'!E362:AH362)," ")</f>
        <v>76.009995835068779</v>
      </c>
      <c r="G36" s="64"/>
      <c r="H36" s="24"/>
      <c r="I36" s="24"/>
      <c r="J36" s="24"/>
      <c r="K36" s="24"/>
      <c r="L36" s="24"/>
      <c r="M36" s="24"/>
      <c r="N36" s="24"/>
      <c r="O36" s="24"/>
    </row>
    <row r="37" spans="1:42" s="277" customFormat="1" ht="14" x14ac:dyDescent="0.2">
      <c r="A37" s="24"/>
      <c r="B37" s="62"/>
      <c r="C37" s="24" t="s">
        <v>49</v>
      </c>
      <c r="D37" s="24"/>
      <c r="E37" s="24"/>
      <c r="F37" s="147">
        <f>IF(Calculations!E17=1,AVERAGE('Assumptions - Passenger'!E366:AH366)," ")</f>
        <v>36.5</v>
      </c>
      <c r="G37" s="64"/>
      <c r="H37" s="24"/>
      <c r="I37" s="24"/>
      <c r="J37" s="24"/>
      <c r="K37" s="24"/>
      <c r="L37" s="24"/>
      <c r="M37" s="24"/>
      <c r="N37" s="24"/>
      <c r="O37" s="24"/>
    </row>
    <row r="38" spans="1:42" s="277" customFormat="1" ht="14" x14ac:dyDescent="0.2">
      <c r="A38" s="24"/>
      <c r="B38" s="62"/>
      <c r="C38" s="24" t="s">
        <v>273</v>
      </c>
      <c r="D38" s="24"/>
      <c r="E38" s="24"/>
      <c r="F38" s="147">
        <f>IF(Calculations!E17=1,AVERAGE('Assumptions - Passenger'!E370:AH370)," ")</f>
        <v>52.142857142857125</v>
      </c>
      <c r="G38" s="64"/>
      <c r="H38" s="24"/>
      <c r="I38" s="24"/>
      <c r="J38" s="24"/>
      <c r="K38" s="24"/>
      <c r="L38" s="24"/>
      <c r="M38" s="24"/>
      <c r="N38" s="24"/>
      <c r="O38" s="24"/>
    </row>
    <row r="39" spans="1:42" s="277" customFormat="1" ht="14" x14ac:dyDescent="0.2">
      <c r="A39" s="24"/>
      <c r="B39" s="62"/>
      <c r="C39" s="24" t="s">
        <v>50</v>
      </c>
      <c r="D39" s="24"/>
      <c r="E39" s="24"/>
      <c r="F39" s="147">
        <f>IF(Calculations!E17=1,AVERAGE('Assumptions - Passenger'!E374:AH374)," ")</f>
        <v>44.923076923076913</v>
      </c>
      <c r="G39" s="64"/>
      <c r="H39" s="24"/>
      <c r="I39" s="24"/>
      <c r="J39" s="24"/>
      <c r="K39" s="24"/>
      <c r="L39" s="24"/>
      <c r="M39" s="24"/>
      <c r="N39" s="24"/>
      <c r="O39" s="24"/>
    </row>
    <row r="40" spans="1:42" s="277" customFormat="1" ht="14" x14ac:dyDescent="0.2">
      <c r="A40" s="24"/>
      <c r="B40" s="62"/>
      <c r="C40" s="24" t="s">
        <v>275</v>
      </c>
      <c r="D40" s="24"/>
      <c r="E40" s="24"/>
      <c r="F40" s="147">
        <f>IF(Calculations!E17=1,AVERAGE('Assumptions - Passenger'!E378:AH378)," ")</f>
        <v>121.66666666666661</v>
      </c>
      <c r="G40" s="64"/>
      <c r="H40" s="24"/>
      <c r="I40" s="24"/>
      <c r="J40" s="24"/>
      <c r="K40" s="24"/>
      <c r="L40" s="24"/>
      <c r="M40" s="24"/>
      <c r="N40" s="24"/>
      <c r="O40" s="24"/>
    </row>
    <row r="41" spans="1:42" s="18" customFormat="1" ht="16" thickBot="1" x14ac:dyDescent="0.25">
      <c r="A41" s="24"/>
      <c r="B41" s="249"/>
      <c r="C41" s="250"/>
      <c r="D41" s="250"/>
      <c r="E41" s="250"/>
      <c r="F41" s="250"/>
      <c r="G41" s="251"/>
      <c r="H41" s="24"/>
      <c r="I41" s="24"/>
      <c r="J41" s="24"/>
      <c r="K41" s="24"/>
      <c r="L41" s="24"/>
      <c r="M41" s="24"/>
      <c r="N41" s="24"/>
      <c r="O41" s="24"/>
      <c r="P41" s="277"/>
      <c r="Q41" s="277"/>
      <c r="R41" s="277"/>
      <c r="S41" s="277"/>
      <c r="T41" s="277"/>
      <c r="U41" s="277"/>
      <c r="V41" s="277"/>
      <c r="W41" s="277"/>
      <c r="X41" s="277"/>
      <c r="Y41" s="277"/>
      <c r="Z41" s="277"/>
      <c r="AA41" s="277"/>
      <c r="AB41" s="277"/>
      <c r="AC41" s="277"/>
      <c r="AD41" s="277"/>
      <c r="AE41" s="277"/>
      <c r="AF41" s="277"/>
      <c r="AG41" s="277"/>
      <c r="AH41" s="277"/>
      <c r="AI41" s="277"/>
      <c r="AJ41" s="277"/>
      <c r="AK41" s="277"/>
      <c r="AL41" s="277"/>
      <c r="AM41" s="277"/>
      <c r="AN41" s="277"/>
      <c r="AO41" s="277"/>
      <c r="AP41" s="277"/>
    </row>
    <row r="42" spans="1:42" s="18" customFormat="1" x14ac:dyDescent="0.2">
      <c r="A42" s="24"/>
      <c r="B42" s="22"/>
      <c r="C42" s="22"/>
      <c r="D42" s="22"/>
      <c r="E42" s="22"/>
      <c r="F42" s="22"/>
      <c r="G42" s="22"/>
      <c r="H42" s="24"/>
      <c r="I42" s="24"/>
      <c r="J42" s="24"/>
      <c r="K42" s="24"/>
      <c r="L42" s="24"/>
      <c r="M42" s="24"/>
      <c r="N42" s="24"/>
      <c r="O42" s="24"/>
      <c r="P42" s="277"/>
      <c r="Q42" s="277"/>
      <c r="R42" s="277"/>
      <c r="S42" s="277"/>
      <c r="T42" s="277"/>
      <c r="U42" s="277"/>
      <c r="V42" s="277"/>
      <c r="W42" s="277"/>
      <c r="X42" s="277"/>
      <c r="Y42" s="277"/>
      <c r="Z42" s="277"/>
      <c r="AA42" s="277"/>
      <c r="AB42" s="277"/>
      <c r="AC42" s="277"/>
      <c r="AD42" s="277"/>
      <c r="AE42" s="277"/>
      <c r="AF42" s="277"/>
      <c r="AG42" s="277"/>
      <c r="AH42" s="277"/>
      <c r="AI42" s="277"/>
      <c r="AJ42" s="277"/>
      <c r="AK42" s="277"/>
      <c r="AL42" s="277"/>
      <c r="AM42" s="277"/>
      <c r="AN42" s="277"/>
      <c r="AO42" s="277"/>
      <c r="AP42" s="277"/>
    </row>
    <row r="43" spans="1:42" s="18" customFormat="1" x14ac:dyDescent="0.2">
      <c r="A43" s="324"/>
      <c r="B43" s="323" t="s">
        <v>299</v>
      </c>
      <c r="C43" s="324"/>
      <c r="D43" s="324"/>
      <c r="E43" s="324"/>
      <c r="F43" s="324"/>
      <c r="G43" s="324"/>
      <c r="H43" s="324"/>
      <c r="I43" s="324"/>
      <c r="J43" s="324"/>
      <c r="K43" s="324"/>
      <c r="L43" s="324"/>
      <c r="M43" s="324"/>
      <c r="N43" s="324"/>
      <c r="O43" s="324"/>
      <c r="P43" s="324"/>
      <c r="Q43" s="324"/>
      <c r="R43" s="324"/>
    </row>
    <row r="44" spans="1:42" s="18" customFormat="1" x14ac:dyDescent="0.2">
      <c r="A44" s="324"/>
      <c r="B44" s="325" t="str">
        <f>'Assumptions - General'!$E$25</f>
        <v>Ruritania Passenger Rail Company</v>
      </c>
      <c r="C44" s="324"/>
      <c r="D44" s="324"/>
      <c r="E44" s="324"/>
      <c r="F44" s="324"/>
      <c r="G44" s="324"/>
      <c r="H44" s="324"/>
      <c r="I44" s="324"/>
      <c r="J44" s="324"/>
      <c r="K44" s="324"/>
      <c r="L44" s="324"/>
      <c r="M44" s="324"/>
      <c r="N44" s="324"/>
      <c r="O44" s="324"/>
      <c r="P44" s="324"/>
      <c r="Q44" s="324"/>
      <c r="R44" s="324"/>
    </row>
    <row r="45" spans="1:42" s="18" customFormat="1" x14ac:dyDescent="0.2">
      <c r="A45" s="324"/>
      <c r="B45" s="325" t="str">
        <f>"All units in "  &amp;'Assumptions - General'!$E$27&amp;  " millions unless otherwise stated"</f>
        <v>All units in R$ millions unless otherwise stated</v>
      </c>
      <c r="C45" s="326"/>
      <c r="D45" s="324"/>
      <c r="E45" s="324"/>
      <c r="F45" s="324"/>
      <c r="G45" s="324"/>
      <c r="H45" s="324"/>
      <c r="I45" s="324"/>
      <c r="J45" s="324"/>
      <c r="K45" s="324"/>
      <c r="L45" s="324"/>
      <c r="M45" s="324"/>
      <c r="N45" s="324"/>
      <c r="O45" s="324"/>
      <c r="P45" s="324"/>
      <c r="Q45" s="324"/>
      <c r="R45" s="324"/>
    </row>
    <row r="46" spans="1:42" s="18" customFormat="1" x14ac:dyDescent="0.2">
      <c r="B46" s="77"/>
      <c r="C46" s="78"/>
    </row>
    <row r="47" spans="1:42" s="18" customFormat="1" x14ac:dyDescent="0.2">
      <c r="A47" s="1"/>
      <c r="B47" s="1"/>
      <c r="C47" s="1"/>
      <c r="D47" s="1"/>
      <c r="E47" s="1"/>
      <c r="F47" s="1"/>
      <c r="G47" s="1"/>
      <c r="H47" s="1"/>
      <c r="I47" s="1"/>
      <c r="J47" s="142" t="s">
        <v>297</v>
      </c>
      <c r="K47" s="141">
        <f>IF(Calculations!E17=1,SUM('Charts - Passenger'!E163:AH163)," ")</f>
        <v>3.6301076626834794E-2</v>
      </c>
      <c r="L47" s="1"/>
      <c r="M47" s="1"/>
      <c r="N47" s="1"/>
      <c r="O47" s="1"/>
      <c r="P47" s="1"/>
      <c r="Q47" s="1"/>
      <c r="R47" s="1"/>
    </row>
    <row r="48" spans="1:42" s="18" customFormat="1" x14ac:dyDescent="0.2">
      <c r="A48" s="1"/>
      <c r="B48" s="1"/>
      <c r="C48" s="1"/>
      <c r="D48" s="1"/>
      <c r="E48" s="1"/>
      <c r="F48" s="1"/>
      <c r="G48" s="1"/>
      <c r="H48" s="1"/>
      <c r="I48" s="1"/>
      <c r="J48" s="1"/>
      <c r="K48" s="1"/>
      <c r="L48" s="1"/>
      <c r="M48" s="1"/>
      <c r="N48" s="1"/>
      <c r="O48" s="1"/>
      <c r="P48" s="1"/>
      <c r="Q48" s="1"/>
      <c r="R48" s="1"/>
    </row>
    <row r="49" spans="1:18" s="18" customFormat="1" x14ac:dyDescent="0.2">
      <c r="A49" s="1"/>
      <c r="B49" s="1"/>
      <c r="C49" s="1"/>
      <c r="D49" s="1"/>
      <c r="E49" s="1"/>
      <c r="F49" s="1"/>
      <c r="G49" s="1"/>
      <c r="H49" s="1"/>
      <c r="I49" s="1"/>
      <c r="J49" s="1"/>
      <c r="K49" s="1"/>
      <c r="L49" s="1"/>
      <c r="M49" s="1"/>
      <c r="N49" s="1"/>
      <c r="O49" s="1"/>
      <c r="P49" s="1"/>
      <c r="Q49" s="1"/>
      <c r="R49" s="1"/>
    </row>
    <row r="50" spans="1:18" s="18" customFormat="1" x14ac:dyDescent="0.2">
      <c r="A50" s="1"/>
      <c r="B50" s="1"/>
      <c r="C50" s="1"/>
      <c r="D50" s="1"/>
      <c r="E50" s="1"/>
      <c r="F50" s="1"/>
      <c r="G50" s="1"/>
      <c r="H50" s="1"/>
      <c r="I50" s="1"/>
      <c r="J50" s="1"/>
      <c r="K50" s="1"/>
      <c r="L50" s="1"/>
      <c r="M50" s="1"/>
      <c r="N50" s="1"/>
      <c r="O50" s="1"/>
      <c r="P50" s="1"/>
      <c r="Q50" s="1"/>
      <c r="R50" s="1"/>
    </row>
    <row r="51" spans="1:18" s="18" customFormat="1" x14ac:dyDescent="0.2">
      <c r="A51" s="1"/>
      <c r="B51" s="1"/>
      <c r="C51" s="1"/>
      <c r="D51" s="1"/>
      <c r="E51" s="1"/>
      <c r="F51" s="1"/>
      <c r="G51" s="1"/>
      <c r="H51" s="1"/>
      <c r="I51" s="1"/>
      <c r="J51" s="1"/>
      <c r="K51" s="1"/>
      <c r="L51" s="1"/>
      <c r="M51" s="1"/>
      <c r="N51" s="1"/>
      <c r="O51" s="1"/>
      <c r="P51" s="1"/>
      <c r="Q51" s="1"/>
      <c r="R51" s="1"/>
    </row>
    <row r="52" spans="1:18" s="18" customFormat="1" x14ac:dyDescent="0.2">
      <c r="A52" s="1"/>
      <c r="B52" s="1"/>
      <c r="C52" s="1"/>
      <c r="D52" s="1"/>
      <c r="E52" s="1"/>
      <c r="F52" s="1"/>
      <c r="G52" s="1"/>
      <c r="H52" s="1"/>
      <c r="I52" s="1"/>
      <c r="J52" s="1"/>
      <c r="K52" s="1"/>
      <c r="L52" s="1"/>
      <c r="M52" s="1"/>
      <c r="N52" s="1"/>
      <c r="O52" s="1"/>
      <c r="P52" s="1"/>
      <c r="Q52" s="1"/>
      <c r="R52" s="1"/>
    </row>
    <row r="53" spans="1:18" s="18" customFormat="1" x14ac:dyDescent="0.2">
      <c r="A53" s="1"/>
      <c r="B53" s="1"/>
      <c r="C53" s="1"/>
      <c r="D53" s="1"/>
      <c r="E53" s="1"/>
      <c r="F53" s="1"/>
      <c r="G53" s="1"/>
      <c r="H53" s="1"/>
      <c r="I53" s="1"/>
      <c r="J53" s="1"/>
      <c r="K53" s="1"/>
      <c r="L53" s="1"/>
      <c r="M53" s="1"/>
      <c r="N53" s="1"/>
      <c r="O53" s="1"/>
      <c r="P53" s="1"/>
      <c r="Q53" s="1"/>
      <c r="R53" s="1"/>
    </row>
    <row r="54" spans="1:18" s="18" customFormat="1" x14ac:dyDescent="0.2">
      <c r="A54" s="1"/>
      <c r="B54" s="1"/>
      <c r="C54" s="1"/>
      <c r="D54" s="1"/>
      <c r="E54" s="1"/>
      <c r="F54" s="1"/>
      <c r="G54" s="1"/>
      <c r="H54" s="1"/>
      <c r="I54" s="1"/>
      <c r="J54" s="1"/>
      <c r="K54" s="1"/>
      <c r="L54" s="1"/>
      <c r="M54" s="1"/>
      <c r="N54" s="1"/>
      <c r="O54" s="1"/>
      <c r="P54" s="1"/>
      <c r="Q54" s="1"/>
      <c r="R54" s="1"/>
    </row>
    <row r="55" spans="1:18" s="18" customFormat="1" x14ac:dyDescent="0.2">
      <c r="A55" s="1"/>
      <c r="B55" s="1"/>
      <c r="C55" s="1"/>
      <c r="D55" s="1"/>
      <c r="E55" s="1"/>
      <c r="F55" s="1"/>
      <c r="G55" s="1"/>
      <c r="H55" s="1"/>
      <c r="I55" s="1"/>
      <c r="J55" s="1"/>
      <c r="K55" s="1"/>
      <c r="L55" s="1"/>
      <c r="M55" s="1"/>
      <c r="N55" s="1"/>
      <c r="O55" s="1"/>
      <c r="P55" s="1"/>
      <c r="Q55" s="1"/>
      <c r="R55" s="1"/>
    </row>
    <row r="56" spans="1:18" s="18" customFormat="1" x14ac:dyDescent="0.2">
      <c r="A56" s="1"/>
      <c r="B56" s="1"/>
      <c r="C56" s="1"/>
      <c r="D56" s="1"/>
      <c r="E56" s="1"/>
      <c r="F56" s="1"/>
      <c r="G56" s="1"/>
      <c r="H56" s="1"/>
      <c r="I56" s="1"/>
      <c r="J56" s="1"/>
      <c r="K56" s="1"/>
      <c r="L56" s="1"/>
      <c r="M56" s="1"/>
      <c r="N56" s="1"/>
      <c r="O56" s="1"/>
      <c r="P56" s="1"/>
      <c r="Q56" s="1"/>
      <c r="R56" s="1"/>
    </row>
    <row r="57" spans="1:18" s="18" customFormat="1" x14ac:dyDescent="0.2">
      <c r="A57" s="1"/>
      <c r="B57" s="1"/>
      <c r="C57" s="1"/>
      <c r="D57" s="1"/>
      <c r="E57" s="1"/>
      <c r="F57" s="1"/>
      <c r="G57" s="1"/>
      <c r="H57" s="1"/>
      <c r="I57" s="1"/>
      <c r="J57" s="1"/>
      <c r="K57" s="1"/>
      <c r="L57" s="1"/>
      <c r="M57" s="1"/>
      <c r="N57" s="1"/>
      <c r="O57" s="1"/>
      <c r="P57" s="1"/>
      <c r="Q57" s="1"/>
      <c r="R57" s="1"/>
    </row>
    <row r="58" spans="1:18" s="18" customFormat="1" x14ac:dyDescent="0.2">
      <c r="A58" s="1"/>
      <c r="B58" s="1"/>
      <c r="C58" s="1"/>
      <c r="D58" s="1"/>
      <c r="E58" s="1"/>
      <c r="F58" s="1"/>
      <c r="G58" s="1"/>
      <c r="H58" s="1"/>
      <c r="I58" s="1"/>
      <c r="J58" s="1"/>
      <c r="K58" s="1"/>
      <c r="L58" s="1"/>
      <c r="M58" s="1"/>
      <c r="N58" s="1"/>
      <c r="O58" s="1"/>
      <c r="P58" s="1"/>
      <c r="Q58" s="1"/>
      <c r="R58" s="1"/>
    </row>
    <row r="59" spans="1:18" s="18" customFormat="1" ht="16" thickBot="1" x14ac:dyDescent="0.25">
      <c r="A59" s="1"/>
      <c r="B59" s="1"/>
      <c r="C59" s="1"/>
      <c r="D59" s="1"/>
      <c r="E59" s="1"/>
      <c r="F59" s="1"/>
      <c r="G59" s="1"/>
      <c r="H59" s="1"/>
      <c r="I59" s="1"/>
      <c r="J59" s="1"/>
      <c r="K59" s="1"/>
      <c r="L59" s="1"/>
      <c r="M59" s="1"/>
      <c r="N59" s="1"/>
      <c r="O59" s="1"/>
      <c r="P59" s="1"/>
      <c r="Q59" s="1"/>
      <c r="R59" s="1"/>
    </row>
    <row r="60" spans="1:18" s="18" customFormat="1" x14ac:dyDescent="0.2">
      <c r="A60" s="1"/>
      <c r="B60" s="1"/>
      <c r="C60" s="1"/>
      <c r="D60" s="1"/>
      <c r="E60" s="1"/>
      <c r="F60" s="1"/>
      <c r="G60" s="1"/>
      <c r="H60" s="1"/>
      <c r="I60" s="1"/>
      <c r="J60" s="348"/>
      <c r="K60" s="349" t="s">
        <v>203</v>
      </c>
      <c r="L60" s="350"/>
      <c r="M60" s="350"/>
      <c r="N60" s="350"/>
      <c r="O60" s="350"/>
      <c r="P60" s="350"/>
      <c r="Q60" s="350"/>
      <c r="R60" s="351"/>
    </row>
    <row r="61" spans="1:18" s="18" customFormat="1" ht="16" thickBot="1" x14ac:dyDescent="0.25">
      <c r="A61" s="1"/>
      <c r="B61" s="1"/>
      <c r="C61" s="1"/>
      <c r="D61" s="1"/>
      <c r="E61" s="1"/>
      <c r="F61" s="1"/>
      <c r="G61" s="1"/>
      <c r="H61" s="1"/>
      <c r="I61" s="1"/>
      <c r="J61" s="75"/>
      <c r="K61" s="22"/>
      <c r="L61" s="22"/>
      <c r="M61" s="22"/>
      <c r="N61" s="71"/>
      <c r="O61" s="529" t="str">
        <f>B44</f>
        <v>Ruritania Passenger Rail Company</v>
      </c>
      <c r="P61" s="529"/>
      <c r="Q61" s="530" t="str">
        <f>'Assumptions - Passenger'!E19</f>
        <v>EU railways</v>
      </c>
      <c r="R61" s="538"/>
    </row>
    <row r="62" spans="1:18" s="18" customFormat="1" x14ac:dyDescent="0.2">
      <c r="A62" s="1"/>
      <c r="B62" s="348"/>
      <c r="C62" s="349" t="s">
        <v>166</v>
      </c>
      <c r="D62" s="350"/>
      <c r="E62" s="350"/>
      <c r="F62" s="350"/>
      <c r="G62" s="350"/>
      <c r="H62" s="351"/>
      <c r="I62" s="1"/>
      <c r="J62" s="75"/>
      <c r="K62" s="22"/>
      <c r="L62" s="22"/>
      <c r="M62" s="22"/>
      <c r="N62" s="71"/>
      <c r="O62" s="529"/>
      <c r="P62" s="529"/>
      <c r="Q62" s="529"/>
      <c r="R62" s="538"/>
    </row>
    <row r="63" spans="1:18" s="18" customFormat="1" x14ac:dyDescent="0.2">
      <c r="A63" s="1"/>
      <c r="B63" s="101"/>
      <c r="C63" s="17"/>
      <c r="G63" s="72" t="s">
        <v>162</v>
      </c>
      <c r="H63" s="102"/>
      <c r="I63" s="1"/>
      <c r="J63" s="62"/>
      <c r="K63" s="139" t="s">
        <v>298</v>
      </c>
      <c r="L63" s="140"/>
      <c r="M63" s="140"/>
      <c r="N63" s="139"/>
      <c r="O63" s="533">
        <f>IF(OR(Calculations!E17=1,Calculations!E18=1),K47," ")</f>
        <v>3.6301076626834794E-2</v>
      </c>
      <c r="P63" s="539"/>
      <c r="Q63" s="1"/>
      <c r="R63" s="135"/>
    </row>
    <row r="64" spans="1:18" s="18" customFormat="1" x14ac:dyDescent="0.2">
      <c r="A64" s="1"/>
      <c r="B64" s="101"/>
      <c r="C64" s="519" t="s">
        <v>212</v>
      </c>
      <c r="D64" s="24" t="s">
        <v>172</v>
      </c>
      <c r="F64" s="104">
        <f>MIN('Charts - Passenger'!E141:AH141)</f>
        <v>0.53410574412532641</v>
      </c>
      <c r="G64" s="63">
        <f>INDEX(Calculations!E$6:AH$6,MATCH('Results - Passenger'!F64,'Charts - Passenger'!$E$141:$AH$141,0))</f>
        <v>40543</v>
      </c>
      <c r="H64" s="102"/>
      <c r="I64" s="1"/>
      <c r="J64" s="62"/>
      <c r="K64" s="139" t="s">
        <v>204</v>
      </c>
      <c r="L64" s="140"/>
      <c r="M64" s="140"/>
      <c r="N64" s="139"/>
      <c r="O64" s="524">
        <f>IF(OR(Calculations!E17=1,Calculations!E18=1),AVERAGE('Charts - Passenger'!E227:AH227)," ")</f>
        <v>3.0433333333333334</v>
      </c>
      <c r="P64" s="524"/>
      <c r="Q64" s="525">
        <f>'Assumptions - Passenger'!E20</f>
        <v>1</v>
      </c>
      <c r="R64" s="526"/>
    </row>
    <row r="65" spans="1:18" s="18" customFormat="1" x14ac:dyDescent="0.2">
      <c r="A65" s="1"/>
      <c r="B65" s="101"/>
      <c r="C65" s="540"/>
      <c r="D65" s="24" t="s">
        <v>164</v>
      </c>
      <c r="F65" s="104">
        <f>MAX('Charts - Passenger'!E141:AH141)</f>
        <v>0.58999786432366519</v>
      </c>
      <c r="G65" s="63">
        <f>INDEX(Calculations!E$6:AH$6,MATCH('Results - Passenger'!F65,'Charts - Passenger'!$E$141:$AH$141,0))</f>
        <v>51135</v>
      </c>
      <c r="H65" s="102"/>
      <c r="I65" s="1"/>
      <c r="J65" s="62"/>
      <c r="K65" s="139" t="s">
        <v>205</v>
      </c>
      <c r="L65" s="140"/>
      <c r="M65" s="140"/>
      <c r="N65" s="139"/>
      <c r="O65" s="524">
        <f>IF(OR(Calculations!E17=1,Calculations!E18=1),AVERAGE('Charts - Passenger'!E241:AH241)," ")</f>
        <v>3.0433333333333334</v>
      </c>
      <c r="P65" s="524"/>
      <c r="Q65" s="525">
        <f>'Assumptions - Passenger'!E21</f>
        <v>1</v>
      </c>
      <c r="R65" s="526"/>
    </row>
    <row r="66" spans="1:18" s="18" customFormat="1" ht="16" thickBot="1" x14ac:dyDescent="0.25">
      <c r="A66" s="1"/>
      <c r="B66" s="101"/>
      <c r="C66" s="103"/>
      <c r="D66" s="24" t="s">
        <v>165</v>
      </c>
      <c r="F66" s="104">
        <f>IF(Calculations!E17=1,AVERAGE('Charts - Passenger'!E141:AH141)," ")</f>
        <v>0.57022272640235128</v>
      </c>
      <c r="G66" s="63"/>
      <c r="H66" s="102"/>
      <c r="I66" s="1"/>
      <c r="J66" s="66"/>
      <c r="K66" s="171" t="s">
        <v>196</v>
      </c>
      <c r="L66" s="172"/>
      <c r="M66" s="172"/>
      <c r="N66" s="171"/>
      <c r="O66" s="521">
        <f>IF(OR(Calculations!E17=1,Calculations!E18=1),AVERAGE('Charts - Passenger'!E234:AH234)," ")</f>
        <v>1</v>
      </c>
      <c r="P66" s="521"/>
      <c r="Q66" s="522">
        <f>'Assumptions - Passenger'!E22</f>
        <v>1</v>
      </c>
      <c r="R66" s="523"/>
    </row>
    <row r="67" spans="1:18" s="18" customFormat="1" x14ac:dyDescent="0.2">
      <c r="A67" s="1"/>
      <c r="B67" s="101"/>
      <c r="C67" s="103"/>
      <c r="F67" s="105"/>
      <c r="H67" s="102"/>
      <c r="I67" s="1"/>
      <c r="J67" s="1"/>
      <c r="K67" s="1"/>
      <c r="L67" s="1"/>
      <c r="M67" s="1"/>
      <c r="N67" s="1"/>
      <c r="O67" s="1"/>
      <c r="P67" s="1"/>
      <c r="Q67" s="1"/>
      <c r="R67" s="1"/>
    </row>
    <row r="68" spans="1:18" s="18" customFormat="1" ht="30" x14ac:dyDescent="0.2">
      <c r="A68" s="1"/>
      <c r="B68" s="101"/>
      <c r="C68" s="258" t="s">
        <v>213</v>
      </c>
      <c r="D68" s="24" t="s">
        <v>172</v>
      </c>
      <c r="F68" s="104">
        <f>MIN(Calculations!E713:AH713)</f>
        <v>0.37066130874673625</v>
      </c>
      <c r="G68" s="63">
        <f>IF(Calculations!E17=1,INDEX(Calculations!E$6:AH$6,MATCH('Results - Passenger'!F68,Calculations!E$713:AH$713,0))," ")</f>
        <v>40543</v>
      </c>
      <c r="H68" s="102"/>
      <c r="I68" s="1"/>
      <c r="J68" s="1"/>
      <c r="K68" s="1"/>
      <c r="L68" s="1"/>
      <c r="M68" s="1"/>
      <c r="N68" s="1"/>
      <c r="O68" s="1"/>
      <c r="P68" s="1"/>
      <c r="Q68" s="1"/>
      <c r="R68" s="1"/>
    </row>
    <row r="69" spans="1:18" s="18" customFormat="1" x14ac:dyDescent="0.2">
      <c r="A69" s="1"/>
      <c r="B69" s="101"/>
      <c r="C69" s="299"/>
      <c r="D69" s="24" t="s">
        <v>164</v>
      </c>
      <c r="F69" s="104">
        <f>MAX(Calculations!E713:AH713)</f>
        <v>0.54839502816119412</v>
      </c>
      <c r="G69" s="63">
        <f>IF(Calculations!E17=1,INDEX(Calculations!E$6:AH$6,MATCH('Results - Passenger'!F69,Calculations!E$713:AH$713,0))," ")</f>
        <v>51135</v>
      </c>
      <c r="H69" s="102"/>
      <c r="I69" s="1"/>
      <c r="J69" s="1"/>
      <c r="K69" s="1"/>
      <c r="L69" s="1"/>
      <c r="M69" s="1"/>
      <c r="N69" s="1"/>
      <c r="O69" s="1"/>
      <c r="P69" s="1"/>
      <c r="Q69" s="1"/>
      <c r="R69" s="1"/>
    </row>
    <row r="70" spans="1:18" s="18" customFormat="1" x14ac:dyDescent="0.2">
      <c r="A70" s="1"/>
      <c r="B70" s="101"/>
      <c r="C70" s="17"/>
      <c r="D70" s="24" t="s">
        <v>165</v>
      </c>
      <c r="F70" s="104">
        <f>IF(Calculations!E17=1,AVERAGE(Calculations!E713:AH713)," ")</f>
        <v>0.46920568286064068</v>
      </c>
      <c r="H70" s="102"/>
      <c r="I70" s="1"/>
      <c r="J70" s="1"/>
      <c r="K70" s="1"/>
      <c r="L70" s="1"/>
      <c r="M70" s="1"/>
      <c r="N70" s="1"/>
      <c r="O70" s="1"/>
      <c r="P70" s="1"/>
      <c r="Q70" s="1"/>
      <c r="R70" s="1"/>
    </row>
    <row r="71" spans="1:18" s="18" customFormat="1" x14ac:dyDescent="0.2">
      <c r="A71" s="1"/>
      <c r="B71" s="62"/>
      <c r="C71" s="24"/>
      <c r="D71" s="24"/>
      <c r="E71" s="24"/>
      <c r="F71" s="24"/>
      <c r="G71" s="24"/>
      <c r="H71" s="64"/>
      <c r="I71" s="1"/>
      <c r="J71" s="1"/>
      <c r="K71" s="1"/>
      <c r="L71" s="1"/>
      <c r="M71" s="1"/>
      <c r="N71" s="1"/>
      <c r="O71" s="1"/>
      <c r="P71" s="1"/>
      <c r="Q71" s="1"/>
      <c r="R71" s="1"/>
    </row>
    <row r="72" spans="1:18" s="18" customFormat="1" x14ac:dyDescent="0.2">
      <c r="A72" s="1"/>
      <c r="B72" s="62"/>
      <c r="C72" s="26" t="s">
        <v>173</v>
      </c>
      <c r="D72" s="24" t="s">
        <v>172</v>
      </c>
      <c r="E72" s="24"/>
      <c r="F72" s="237">
        <f>MIN('Charts - Passenger'!F206:AH206)</f>
        <v>245.83630985110116</v>
      </c>
      <c r="G72" s="63">
        <f>INDEX(Calculations!F$6:AH$6,MATCH('Results - Passenger'!F72,'Charts - Passenger'!F206:AH206,0))</f>
        <v>41274</v>
      </c>
      <c r="H72" s="64"/>
      <c r="I72" s="1"/>
      <c r="J72" s="1"/>
      <c r="K72" s="1"/>
      <c r="L72" s="1"/>
      <c r="M72" s="1"/>
      <c r="N72" s="1"/>
      <c r="O72" s="1"/>
      <c r="P72" s="1"/>
      <c r="Q72" s="1"/>
      <c r="R72" s="1"/>
    </row>
    <row r="73" spans="1:18" s="18" customFormat="1" x14ac:dyDescent="0.2">
      <c r="A73" s="1"/>
      <c r="B73" s="62"/>
      <c r="C73" s="24"/>
      <c r="D73" s="24" t="s">
        <v>164</v>
      </c>
      <c r="E73" s="24"/>
      <c r="F73" s="238">
        <f>MAX('Charts - Passenger'!F206:AH206)</f>
        <v>27032.483564613642</v>
      </c>
      <c r="G73" s="63">
        <f>INDEX(Calculations!F$6:AH$6,MATCH('Results - Passenger'!F73,'Charts - Passenger'!F206:AH206,0))</f>
        <v>49674</v>
      </c>
      <c r="H73" s="64"/>
      <c r="I73" s="1"/>
      <c r="J73" s="1"/>
      <c r="K73" s="1"/>
      <c r="L73" s="1"/>
      <c r="M73" s="1"/>
      <c r="N73" s="1"/>
      <c r="O73" s="1"/>
      <c r="P73" s="1"/>
      <c r="Q73" s="1"/>
      <c r="R73" s="1"/>
    </row>
    <row r="74" spans="1:18" s="18" customFormat="1" x14ac:dyDescent="0.2">
      <c r="A74" s="1"/>
      <c r="B74" s="62"/>
      <c r="C74" s="24"/>
      <c r="D74" s="24" t="s">
        <v>165</v>
      </c>
      <c r="E74" s="24"/>
      <c r="F74" s="238">
        <f>IF(Calculations!E17=1,AVERAGE('Charts - Passenger'!F206:AH206)," ")</f>
        <v>7830.3882736608566</v>
      </c>
      <c r="G74" s="24"/>
      <c r="H74" s="64"/>
      <c r="I74" s="1"/>
      <c r="J74" s="1"/>
      <c r="K74" s="1"/>
      <c r="L74" s="1"/>
      <c r="M74" s="1"/>
      <c r="N74" s="1"/>
      <c r="O74" s="1"/>
      <c r="P74" s="1"/>
      <c r="Q74" s="1"/>
      <c r="R74" s="1"/>
    </row>
    <row r="75" spans="1:18" s="18" customFormat="1" x14ac:dyDescent="0.2">
      <c r="A75" s="1"/>
      <c r="B75" s="62"/>
      <c r="C75" s="24"/>
      <c r="D75" s="24"/>
      <c r="E75" s="24"/>
      <c r="F75" s="65"/>
      <c r="G75" s="24"/>
      <c r="H75" s="64"/>
      <c r="I75" s="1"/>
      <c r="J75" s="1"/>
      <c r="K75" s="1"/>
      <c r="L75" s="1"/>
      <c r="M75" s="1"/>
      <c r="N75" s="1"/>
      <c r="O75" s="1"/>
      <c r="P75" s="1"/>
      <c r="Q75" s="1"/>
      <c r="R75" s="1"/>
    </row>
    <row r="76" spans="1:18" s="18" customFormat="1" x14ac:dyDescent="0.2">
      <c r="A76" s="1"/>
      <c r="B76" s="62"/>
      <c r="C76" s="519" t="s">
        <v>191</v>
      </c>
      <c r="D76" s="24" t="s">
        <v>172</v>
      </c>
      <c r="E76" s="24"/>
      <c r="F76" s="83">
        <f>MIN('Charts - Passenger'!E223:AH223)</f>
        <v>0.40879617709557331</v>
      </c>
      <c r="G76" s="63">
        <f>INDEX(Calculations!E$6:AH$6,MATCH('Results - Passenger'!F76,'Charts - Passenger'!$E$223:$AH$223,0))</f>
        <v>51135</v>
      </c>
      <c r="H76" s="64"/>
      <c r="I76" s="1"/>
      <c r="J76" s="1"/>
      <c r="K76" s="1"/>
      <c r="L76" s="1"/>
      <c r="M76" s="1"/>
      <c r="N76" s="1"/>
      <c r="O76" s="1"/>
      <c r="P76" s="1"/>
      <c r="Q76" s="1"/>
      <c r="R76" s="1"/>
    </row>
    <row r="77" spans="1:18" s="18" customFormat="1" x14ac:dyDescent="0.2">
      <c r="A77" s="1"/>
      <c r="B77" s="62"/>
      <c r="C77" s="537"/>
      <c r="D77" s="24" t="s">
        <v>164</v>
      </c>
      <c r="E77" s="24"/>
      <c r="F77" s="83">
        <f>MAX('Charts - Passenger'!E223:AH223)</f>
        <v>0.46405842036553524</v>
      </c>
      <c r="G77" s="63">
        <f>INDEX(Calculations!E$6:AH$6,MATCH('Results - Passenger'!F77,'Charts - Passenger'!$E$223:$AH$223,0))</f>
        <v>40543</v>
      </c>
      <c r="H77" s="64"/>
      <c r="I77" s="1"/>
      <c r="J77" s="1"/>
      <c r="K77" s="1"/>
      <c r="L77" s="1"/>
      <c r="M77" s="1"/>
      <c r="N77" s="1"/>
      <c r="O77" s="1"/>
      <c r="P77" s="1"/>
      <c r="Q77" s="1"/>
      <c r="R77" s="1"/>
    </row>
    <row r="78" spans="1:18" s="18" customFormat="1" x14ac:dyDescent="0.2">
      <c r="A78" s="1"/>
      <c r="B78" s="62"/>
      <c r="C78" s="24"/>
      <c r="D78" s="24" t="s">
        <v>165</v>
      </c>
      <c r="E78" s="24"/>
      <c r="F78" s="83">
        <f>IF(Calculations!E17=1,AVERAGE('Charts - Passenger'!E223:AH223)," ")</f>
        <v>0.42817366544435048</v>
      </c>
      <c r="G78" s="63"/>
      <c r="H78" s="64"/>
      <c r="I78" s="1"/>
      <c r="J78" s="1"/>
      <c r="K78" s="1"/>
      <c r="L78" s="1"/>
      <c r="M78" s="1"/>
      <c r="N78" s="1"/>
      <c r="O78" s="1"/>
      <c r="P78" s="1"/>
      <c r="Q78" s="1"/>
      <c r="R78" s="1"/>
    </row>
    <row r="79" spans="1:18" s="18" customFormat="1" x14ac:dyDescent="0.2">
      <c r="A79" s="1"/>
      <c r="B79" s="134"/>
      <c r="C79" s="1"/>
      <c r="D79" s="1"/>
      <c r="E79" s="1"/>
      <c r="F79" s="1"/>
      <c r="G79" s="1"/>
      <c r="H79" s="135"/>
      <c r="I79" s="1"/>
      <c r="J79" s="1"/>
      <c r="K79" s="1"/>
      <c r="L79" s="1"/>
      <c r="M79" s="1"/>
      <c r="N79" s="1"/>
      <c r="O79" s="1"/>
      <c r="P79" s="1"/>
      <c r="Q79" s="1"/>
      <c r="R79" s="1"/>
    </row>
    <row r="80" spans="1:18" s="18" customFormat="1" x14ac:dyDescent="0.2">
      <c r="A80" s="1"/>
      <c r="B80" s="134"/>
      <c r="C80" s="519" t="s">
        <v>178</v>
      </c>
      <c r="D80" s="24" t="s">
        <v>172</v>
      </c>
      <c r="E80" s="24"/>
      <c r="F80" s="107">
        <f>MIN(Calculations!E730:AH730)</f>
        <v>3.486842105263158</v>
      </c>
      <c r="G80" s="63">
        <f>IF(Calculations!E17=1,INDEX(Calculations!E$6:AH$6,MATCH(F80,Calculations!E$730:AH$730,0))," ")</f>
        <v>40543</v>
      </c>
      <c r="H80" s="135"/>
      <c r="I80" s="1"/>
      <c r="J80" s="1"/>
      <c r="K80" s="1"/>
      <c r="L80" s="1"/>
      <c r="M80" s="1"/>
      <c r="N80" s="1"/>
      <c r="O80" s="1"/>
      <c r="P80" s="1"/>
      <c r="Q80" s="1"/>
      <c r="R80" s="1"/>
    </row>
    <row r="81" spans="1:18" s="18" customFormat="1" x14ac:dyDescent="0.2">
      <c r="A81" s="1"/>
      <c r="B81" s="134"/>
      <c r="C81" s="537"/>
      <c r="D81" s="24" t="s">
        <v>164</v>
      </c>
      <c r="E81" s="24"/>
      <c r="F81" s="107">
        <f>MAX(Calculations!E730:AH730)</f>
        <v>72.30948594620871</v>
      </c>
      <c r="G81" s="63">
        <f>IF(Calculations!E17=1,INDEX(Calculations!E$6:AH$6,MATCH(F81,Calculations!E$730:AH$730,0))," ")</f>
        <v>51135</v>
      </c>
      <c r="H81" s="135"/>
      <c r="I81" s="1"/>
      <c r="J81" s="1"/>
      <c r="K81" s="1"/>
      <c r="L81" s="1"/>
      <c r="M81" s="1"/>
      <c r="N81" s="1"/>
      <c r="O81" s="1"/>
      <c r="P81" s="1"/>
      <c r="Q81" s="1"/>
      <c r="R81" s="1"/>
    </row>
    <row r="82" spans="1:18" s="18" customFormat="1" ht="16" thickBot="1" x14ac:dyDescent="0.25">
      <c r="A82" s="1"/>
      <c r="B82" s="136"/>
      <c r="C82" s="68"/>
      <c r="D82" s="68" t="s">
        <v>165</v>
      </c>
      <c r="E82" s="68"/>
      <c r="F82" s="109">
        <f>IF(Calculations!E17=1,AVERAGE(Calculations!E730:AH730)," ")</f>
        <v>39.824087523334825</v>
      </c>
      <c r="G82" s="68"/>
      <c r="H82" s="137"/>
      <c r="I82" s="1"/>
      <c r="J82" s="1"/>
      <c r="K82" s="1"/>
      <c r="L82" s="1"/>
      <c r="M82" s="1"/>
      <c r="N82" s="1"/>
      <c r="O82" s="1"/>
      <c r="P82" s="1"/>
      <c r="Q82" s="1"/>
      <c r="R82" s="1"/>
    </row>
    <row r="83" spans="1:18" s="18" customFormat="1" x14ac:dyDescent="0.2">
      <c r="A83" s="1"/>
      <c r="B83" s="1"/>
      <c r="C83" s="1"/>
      <c r="D83" s="1"/>
      <c r="E83" s="1"/>
      <c r="F83" s="1"/>
      <c r="G83" s="1"/>
      <c r="H83" s="1"/>
      <c r="I83" s="1"/>
      <c r="J83" s="1"/>
      <c r="K83" s="1"/>
      <c r="L83" s="1"/>
      <c r="M83" s="1"/>
      <c r="N83" s="1"/>
      <c r="O83" s="1"/>
      <c r="P83" s="1"/>
      <c r="Q83" s="1"/>
      <c r="R83" s="1"/>
    </row>
    <row r="84" spans="1:18" s="18" customFormat="1" x14ac:dyDescent="0.2">
      <c r="A84" s="324"/>
      <c r="B84" s="323" t="s">
        <v>324</v>
      </c>
      <c r="C84" s="324"/>
      <c r="D84" s="324"/>
      <c r="E84" s="324"/>
      <c r="F84" s="324"/>
      <c r="G84" s="324"/>
      <c r="H84" s="324"/>
      <c r="I84" s="324"/>
      <c r="J84" s="324"/>
      <c r="K84" s="324"/>
      <c r="L84" s="324"/>
      <c r="M84" s="324"/>
      <c r="N84" s="324"/>
      <c r="O84" s="324"/>
      <c r="P84" s="324"/>
      <c r="Q84" s="324"/>
      <c r="R84" s="324"/>
    </row>
    <row r="85" spans="1:18" s="18" customFormat="1" x14ac:dyDescent="0.2">
      <c r="A85" s="324"/>
      <c r="B85" s="325" t="str">
        <f>'Assumptions - General'!$E$25</f>
        <v>Ruritania Passenger Rail Company</v>
      </c>
      <c r="C85" s="324"/>
      <c r="D85" s="324"/>
      <c r="E85" s="324"/>
      <c r="F85" s="324"/>
      <c r="G85" s="324"/>
      <c r="H85" s="324"/>
      <c r="I85" s="324"/>
      <c r="J85" s="324"/>
      <c r="K85" s="324"/>
      <c r="L85" s="324"/>
      <c r="M85" s="324"/>
      <c r="N85" s="324"/>
      <c r="O85" s="324"/>
      <c r="P85" s="324"/>
      <c r="Q85" s="324"/>
      <c r="R85" s="324"/>
    </row>
    <row r="86" spans="1:18" s="18" customFormat="1" x14ac:dyDescent="0.2">
      <c r="A86" s="324"/>
      <c r="B86" s="325" t="str">
        <f>"All units in "  &amp;'Assumptions - General'!$E$27&amp;  " millions unless otherwise stated"</f>
        <v>All units in R$ millions unless otherwise stated</v>
      </c>
      <c r="C86" s="326"/>
      <c r="D86" s="324"/>
      <c r="E86" s="324"/>
      <c r="F86" s="324"/>
      <c r="G86" s="324"/>
      <c r="H86" s="324"/>
      <c r="I86" s="324"/>
      <c r="J86" s="324"/>
      <c r="K86" s="324"/>
      <c r="L86" s="324"/>
      <c r="M86" s="324"/>
      <c r="N86" s="324"/>
      <c r="O86" s="324"/>
      <c r="P86" s="324"/>
      <c r="Q86" s="324"/>
      <c r="R86" s="324"/>
    </row>
    <row r="87" spans="1:18" s="278" customFormat="1" ht="16" thickBot="1" x14ac:dyDescent="0.25">
      <c r="A87" s="22"/>
      <c r="B87" s="22"/>
      <c r="C87" s="22"/>
      <c r="D87" s="22"/>
      <c r="E87" s="22"/>
      <c r="F87" s="22"/>
      <c r="G87" s="22"/>
      <c r="H87" s="22"/>
      <c r="I87" s="22"/>
      <c r="J87" s="22"/>
      <c r="K87" s="22"/>
      <c r="L87" s="22"/>
      <c r="M87" s="22"/>
      <c r="N87" s="22"/>
      <c r="O87" s="22"/>
      <c r="P87" s="22"/>
    </row>
    <row r="88" spans="1:18" s="278" customFormat="1" x14ac:dyDescent="0.2">
      <c r="A88" s="22"/>
      <c r="B88" s="348"/>
      <c r="C88" s="349" t="s">
        <v>324</v>
      </c>
      <c r="D88" s="350"/>
      <c r="E88" s="350"/>
      <c r="F88" s="350"/>
      <c r="G88" s="350"/>
      <c r="H88" s="351"/>
      <c r="I88" s="22"/>
      <c r="J88" s="348"/>
      <c r="K88" s="349"/>
      <c r="L88" s="350"/>
      <c r="M88" s="350"/>
      <c r="N88" s="350"/>
      <c r="O88" s="350"/>
      <c r="P88" s="351"/>
    </row>
    <row r="89" spans="1:18" s="277" customFormat="1" x14ac:dyDescent="0.2">
      <c r="A89" s="24"/>
      <c r="B89" s="101"/>
      <c r="C89" s="17"/>
      <c r="D89" s="18"/>
      <c r="E89" s="18"/>
      <c r="F89" s="18"/>
      <c r="G89" s="72" t="s">
        <v>162</v>
      </c>
      <c r="H89" s="102"/>
      <c r="I89" s="24"/>
      <c r="J89" s="62"/>
      <c r="K89" s="24"/>
      <c r="L89" s="24"/>
      <c r="M89" s="24"/>
      <c r="N89" s="24"/>
      <c r="O89" s="72" t="s">
        <v>162</v>
      </c>
      <c r="P89" s="64"/>
    </row>
    <row r="90" spans="1:18" s="277" customFormat="1" x14ac:dyDescent="0.2">
      <c r="A90" s="24"/>
      <c r="B90" s="101"/>
      <c r="C90" s="519" t="s">
        <v>212</v>
      </c>
      <c r="D90" s="24" t="s">
        <v>172</v>
      </c>
      <c r="E90" s="18"/>
      <c r="F90" s="104">
        <f>MIN('Charts - Passenger'!E141:AH141)</f>
        <v>0.53410574412532641</v>
      </c>
      <c r="G90" s="63">
        <f>INDEX(Calculations!E$6:AH$6,MATCH('Results - Passenger'!F90,'Charts - Passenger'!$E$141:$AH$141,0))</f>
        <v>40543</v>
      </c>
      <c r="H90" s="102"/>
      <c r="I90" s="24"/>
      <c r="J90" s="62"/>
      <c r="K90" s="519" t="s">
        <v>190</v>
      </c>
      <c r="L90" s="24" t="s">
        <v>172</v>
      </c>
      <c r="M90" s="24"/>
      <c r="N90" s="83">
        <f>MIN('Charts - Passenger'!E222:AH222)</f>
        <v>0.41000213567633476</v>
      </c>
      <c r="O90" s="63">
        <f>INDEX(Calculations!E$6:AH$6,MATCH('Results - Passenger'!N90,'Charts - Passenger'!$E$222:$AH$222,0))</f>
        <v>51135</v>
      </c>
      <c r="P90" s="64"/>
    </row>
    <row r="91" spans="1:18" s="277" customFormat="1" x14ac:dyDescent="0.2">
      <c r="A91" s="24"/>
      <c r="B91" s="101"/>
      <c r="C91" s="537"/>
      <c r="D91" s="24" t="s">
        <v>164</v>
      </c>
      <c r="E91" s="18"/>
      <c r="F91" s="104">
        <f>MAX('Charts - Passenger'!E141:AH141)</f>
        <v>0.58999786432366519</v>
      </c>
      <c r="G91" s="63">
        <f>INDEX(Calculations!E$6:AH$6,MATCH('Results - Passenger'!F91,'Charts - Passenger'!$E$141:$AH$141,0))</f>
        <v>51135</v>
      </c>
      <c r="H91" s="102"/>
      <c r="I91" s="24"/>
      <c r="J91" s="62"/>
      <c r="K91" s="537"/>
      <c r="L91" s="24" t="s">
        <v>164</v>
      </c>
      <c r="M91" s="24"/>
      <c r="N91" s="83">
        <f>MAX('Charts - Passenger'!E222:AH222)</f>
        <v>0.46589425587467365</v>
      </c>
      <c r="O91" s="63">
        <f>INDEX(Calculations!E$6:AH$6,MATCH('Results - Passenger'!N91,'Charts - Passenger'!$E$222:$AH$222,0))</f>
        <v>40543</v>
      </c>
      <c r="P91" s="64"/>
    </row>
    <row r="92" spans="1:18" s="277" customFormat="1" x14ac:dyDescent="0.2">
      <c r="A92" s="24"/>
      <c r="B92" s="101"/>
      <c r="C92" s="103"/>
      <c r="D92" s="24" t="s">
        <v>165</v>
      </c>
      <c r="E92" s="18"/>
      <c r="F92" s="104">
        <f>IF(Calculations!E17=1,AVERAGE('Charts - Passenger'!E141:AH141)," ")</f>
        <v>0.57022272640235128</v>
      </c>
      <c r="G92" s="63"/>
      <c r="H92" s="102"/>
      <c r="I92" s="24"/>
      <c r="J92" s="62"/>
      <c r="K92" s="24"/>
      <c r="L92" s="24" t="s">
        <v>165</v>
      </c>
      <c r="M92" s="24"/>
      <c r="N92" s="83">
        <f>IF(Calculations!E17=1,AVERAGE('Charts - Passenger'!E222:AH222)," ")</f>
        <v>0.42977727359764872</v>
      </c>
      <c r="O92" s="63"/>
      <c r="P92" s="64"/>
    </row>
    <row r="93" spans="1:18" s="277" customFormat="1" x14ac:dyDescent="0.2">
      <c r="A93" s="24"/>
      <c r="B93" s="101"/>
      <c r="C93" s="103"/>
      <c r="D93" s="18"/>
      <c r="E93" s="18"/>
      <c r="F93" s="105"/>
      <c r="G93" s="18"/>
      <c r="H93" s="102"/>
      <c r="I93" s="24"/>
      <c r="J93" s="62"/>
      <c r="K93" s="24"/>
      <c r="L93" s="24"/>
      <c r="M93" s="24"/>
      <c r="N93" s="65"/>
      <c r="O93" s="24"/>
      <c r="P93" s="64"/>
    </row>
    <row r="94" spans="1:18" s="277" customFormat="1" x14ac:dyDescent="0.2">
      <c r="A94" s="24"/>
      <c r="B94" s="101"/>
      <c r="C94" s="519" t="s">
        <v>213</v>
      </c>
      <c r="D94" s="24" t="s">
        <v>172</v>
      </c>
      <c r="E94" s="18"/>
      <c r="F94" s="104">
        <f>MIN(Calculations!E713:AH713)</f>
        <v>0.37066130874673625</v>
      </c>
      <c r="G94" s="63">
        <f>IF(Calculations!E17=1,INDEX(Calculations!E$6:AH$6,MATCH('Results - Passenger'!F94,Calculations!E$713:AH$713,0))," ")</f>
        <v>40543</v>
      </c>
      <c r="H94" s="102"/>
      <c r="I94" s="24"/>
      <c r="J94" s="62"/>
      <c r="K94" s="519" t="s">
        <v>191</v>
      </c>
      <c r="L94" s="24" t="s">
        <v>172</v>
      </c>
      <c r="M94" s="24"/>
      <c r="N94" s="83">
        <f>MIN('Charts - Passenger'!E223:AH223)</f>
        <v>0.40879617709557331</v>
      </c>
      <c r="O94" s="63">
        <f>IF(Calculations!E17=1,INDEX(Calculations!E$6:AH$6,MATCH('Results - Passenger'!N94,'Charts - Passenger'!$E$223:$AH$223,0))," ")</f>
        <v>51135</v>
      </c>
      <c r="P94" s="64"/>
    </row>
    <row r="95" spans="1:18" s="277" customFormat="1" x14ac:dyDescent="0.2">
      <c r="A95" s="24"/>
      <c r="B95" s="101"/>
      <c r="C95" s="537"/>
      <c r="D95" s="24" t="s">
        <v>164</v>
      </c>
      <c r="E95" s="18"/>
      <c r="F95" s="104">
        <f>MAX(Calculations!E713:AH713)</f>
        <v>0.54839502816119412</v>
      </c>
      <c r="G95" s="63">
        <f>IF(Calculations!E17=1,INDEX(Calculations!E$6:AH$6,MATCH('Results - Passenger'!F95,Calculations!E$713:AH$713,0))," ")</f>
        <v>51135</v>
      </c>
      <c r="H95" s="102"/>
      <c r="I95" s="24"/>
      <c r="J95" s="62"/>
      <c r="K95" s="537"/>
      <c r="L95" s="24" t="s">
        <v>164</v>
      </c>
      <c r="M95" s="24"/>
      <c r="N95" s="83">
        <f>MAX('Charts - Passenger'!E223:AH223)</f>
        <v>0.46405842036553524</v>
      </c>
      <c r="O95" s="63">
        <f>IF(Calculations!E17=1,INDEX(Calculations!E$6:AH$6,MATCH('Results - Passenger'!N95,'Charts - Passenger'!$E$223:$AH$223,0))," ")</f>
        <v>40543</v>
      </c>
      <c r="P95" s="64"/>
    </row>
    <row r="96" spans="1:18" s="277" customFormat="1" x14ac:dyDescent="0.2">
      <c r="A96" s="24"/>
      <c r="B96" s="101"/>
      <c r="C96" s="17"/>
      <c r="D96" s="24" t="s">
        <v>165</v>
      </c>
      <c r="E96" s="18"/>
      <c r="F96" s="104">
        <f>IF(Calculations!E17=1,AVERAGE(Calculations!E713:AH713)," ")</f>
        <v>0.46920568286064068</v>
      </c>
      <c r="G96" s="18"/>
      <c r="H96" s="102"/>
      <c r="I96" s="24"/>
      <c r="J96" s="62"/>
      <c r="K96" s="24"/>
      <c r="L96" s="24" t="s">
        <v>165</v>
      </c>
      <c r="M96" s="24"/>
      <c r="N96" s="83">
        <f>IF(Calculations!E17=1,AVERAGE('Charts - Passenger'!E223:AH223)," ")</f>
        <v>0.42817366544435048</v>
      </c>
      <c r="O96" s="63"/>
      <c r="P96" s="64"/>
    </row>
    <row r="97" spans="1:17" s="277" customFormat="1" ht="14" x14ac:dyDescent="0.2">
      <c r="A97" s="24"/>
      <c r="B97" s="62"/>
      <c r="C97" s="24"/>
      <c r="D97" s="24"/>
      <c r="E97" s="24"/>
      <c r="F97" s="24"/>
      <c r="G97" s="24"/>
      <c r="H97" s="64"/>
      <c r="I97" s="24"/>
      <c r="J97" s="62"/>
      <c r="K97" s="24"/>
      <c r="L97" s="24"/>
      <c r="M97" s="24"/>
      <c r="N97" s="83"/>
      <c r="O97" s="63"/>
      <c r="P97" s="64"/>
    </row>
    <row r="98" spans="1:17" s="277" customFormat="1" ht="14" x14ac:dyDescent="0.2">
      <c r="A98" s="24"/>
      <c r="B98" s="62"/>
      <c r="C98" s="26" t="s">
        <v>171</v>
      </c>
      <c r="D98" s="24" t="s">
        <v>172</v>
      </c>
      <c r="E98" s="24"/>
      <c r="F98" s="73">
        <f>MIN(Calculations!E715:AH715)</f>
        <v>0.15295941682412614</v>
      </c>
      <c r="G98" s="63">
        <f>IF(Calculations!E17=1,INDEX(Calculations!E$6:AH$6,MATCH('Results - Passenger'!F98,Calculations!E$715:AH$715,0))," ")</f>
        <v>51135</v>
      </c>
      <c r="H98" s="64"/>
      <c r="I98" s="24"/>
      <c r="J98" s="62"/>
      <c r="K98" s="519" t="s">
        <v>178</v>
      </c>
      <c r="L98" s="24" t="s">
        <v>172</v>
      </c>
      <c r="M98" s="24"/>
      <c r="N98" s="107">
        <f>MIN(Calculations!E730:AH730)</f>
        <v>3.486842105263158</v>
      </c>
      <c r="O98" s="63">
        <f>IF(Calculations!E17=1,INDEX(Calculations!E$6:AH$6,MATCH('Results - Passenger'!N98,Calculations!E$730:AH$730,0))," ")</f>
        <v>40543</v>
      </c>
      <c r="P98" s="64"/>
    </row>
    <row r="99" spans="1:17" s="277" customFormat="1" ht="14" x14ac:dyDescent="0.2">
      <c r="A99" s="24"/>
      <c r="B99" s="62"/>
      <c r="C99" s="26"/>
      <c r="D99" s="24" t="s">
        <v>164</v>
      </c>
      <c r="E99" s="24"/>
      <c r="F99" s="73">
        <f>MAX(Calculations!E715:AH715)</f>
        <v>1.958114224137931</v>
      </c>
      <c r="G99" s="63">
        <f>IF(Calculations!E17=1,INDEX(Calculations!E$6:AH$6,MATCH('Results - Passenger'!F99,Calculations!E$715:AH$715,0))," ")</f>
        <v>40543</v>
      </c>
      <c r="H99" s="64"/>
      <c r="I99" s="24"/>
      <c r="J99" s="62"/>
      <c r="K99" s="537"/>
      <c r="L99" s="24" t="s">
        <v>164</v>
      </c>
      <c r="M99" s="24"/>
      <c r="N99" s="107">
        <f>MAX(Calculations!E730:AH730)</f>
        <v>72.30948594620871</v>
      </c>
      <c r="O99" s="63">
        <f>IF(Calculations!E17=1,INDEX(Calculations!E$6:AH$6,MATCH('Results - Passenger'!N99,Calculations!E$730:AH$730,0))," ")</f>
        <v>51135</v>
      </c>
      <c r="P99" s="64"/>
    </row>
    <row r="100" spans="1:17" s="277" customFormat="1" ht="14" x14ac:dyDescent="0.2">
      <c r="A100" s="24"/>
      <c r="B100" s="62"/>
      <c r="C100" s="26"/>
      <c r="D100" s="24" t="s">
        <v>165</v>
      </c>
      <c r="E100" s="24"/>
      <c r="F100" s="73">
        <f>IF(Calculations!E17=1,AVERAGE(Calculations!E715:AH715)," ")</f>
        <v>0.37398303012160905</v>
      </c>
      <c r="G100" s="63"/>
      <c r="H100" s="64"/>
      <c r="I100" s="24"/>
      <c r="J100" s="62"/>
      <c r="K100" s="24"/>
      <c r="L100" s="24" t="s">
        <v>165</v>
      </c>
      <c r="M100" s="24"/>
      <c r="N100" s="107">
        <f>IF(Calculations!E17=1,AVERAGE(Calculations!E730:AH730)," ")</f>
        <v>39.824087523334825</v>
      </c>
      <c r="O100" s="24"/>
      <c r="P100" s="64"/>
    </row>
    <row r="101" spans="1:17" s="277" customFormat="1" ht="14" x14ac:dyDescent="0.2">
      <c r="A101" s="24"/>
      <c r="B101" s="62"/>
      <c r="C101" s="26"/>
      <c r="D101" s="24"/>
      <c r="E101" s="24"/>
      <c r="F101" s="26"/>
      <c r="G101" s="24"/>
      <c r="H101" s="64"/>
      <c r="I101" s="24"/>
      <c r="J101" s="62"/>
      <c r="K101" s="24"/>
      <c r="L101" s="24"/>
      <c r="M101" s="24"/>
      <c r="N101" s="108"/>
      <c r="O101" s="24"/>
      <c r="P101" s="64"/>
    </row>
    <row r="102" spans="1:17" s="277" customFormat="1" ht="14" x14ac:dyDescent="0.2">
      <c r="A102" s="24"/>
      <c r="B102" s="62"/>
      <c r="C102" s="26" t="s">
        <v>174</v>
      </c>
      <c r="D102" s="24" t="s">
        <v>172</v>
      </c>
      <c r="E102" s="24"/>
      <c r="F102" s="73">
        <f>MIN(Calculations!E717:AH717)</f>
        <v>0.15082799028417254</v>
      </c>
      <c r="G102" s="63">
        <f>IF(Calculations!E17=1,INDEX(Calculations!E$6:AH$6,MATCH('Results - Passenger'!F102,Calculations!E$717:AH$717,0))," ")</f>
        <v>51135</v>
      </c>
      <c r="H102" s="64"/>
      <c r="I102" s="24"/>
      <c r="J102" s="62"/>
      <c r="K102" s="519" t="s">
        <v>216</v>
      </c>
      <c r="L102" s="24" t="s">
        <v>172</v>
      </c>
      <c r="M102" s="24"/>
      <c r="N102" s="107">
        <f>MIN(Calculations!$E$731:$AH$731)</f>
        <v>6.5789473684210523E-2</v>
      </c>
      <c r="O102" s="63">
        <f>IF(Calculations!E17=1,INDEX(Calculations!E$6:AH$6,MATCH('Results - Passenger'!N102,Calculations!E$731:AH$731,0))," ")</f>
        <v>40543</v>
      </c>
      <c r="P102" s="64"/>
    </row>
    <row r="103" spans="1:17" s="277" customFormat="1" ht="14" x14ac:dyDescent="0.2">
      <c r="A103" s="24"/>
      <c r="B103" s="62"/>
      <c r="C103" s="26"/>
      <c r="D103" s="24" t="s">
        <v>164</v>
      </c>
      <c r="E103" s="24"/>
      <c r="F103" s="73">
        <f>MAX(Calculations!E717:AH717)</f>
        <v>1.417418096723869</v>
      </c>
      <c r="G103" s="63">
        <f>IF(Calculations!E17=1,INDEX(Calculations!E$6:AH$6,MATCH('Results - Passenger'!F103,Calculations!E$717:AH$717,0))," ")</f>
        <v>40543</v>
      </c>
      <c r="H103" s="64"/>
      <c r="I103" s="24"/>
      <c r="J103" s="62"/>
      <c r="K103" s="537"/>
      <c r="L103" s="24" t="s">
        <v>164</v>
      </c>
      <c r="M103" s="24"/>
      <c r="N103" s="107">
        <f>MAX(Calculations!$E$731:$AH$731)</f>
        <v>68.206892979574732</v>
      </c>
      <c r="O103" s="63">
        <f>IF(Calculations!E17=1,INDEX(Calculations!E$6:AH$6,MATCH('Results - Passenger'!N103,Calculations!E$731:AH$731,0))," ")</f>
        <v>51135</v>
      </c>
      <c r="P103" s="64"/>
    </row>
    <row r="104" spans="1:17" s="277" customFormat="1" ht="14" x14ac:dyDescent="0.2">
      <c r="A104" s="24"/>
      <c r="B104" s="62"/>
      <c r="C104" s="26"/>
      <c r="D104" s="24" t="s">
        <v>165</v>
      </c>
      <c r="E104" s="24"/>
      <c r="F104" s="73">
        <f>IF(Calculations!E17=1,AVERAGE(Calculations!E717:AH717)," ")</f>
        <v>0.33337773925872294</v>
      </c>
      <c r="G104" s="24"/>
      <c r="H104" s="64"/>
      <c r="I104" s="24"/>
      <c r="J104" s="62"/>
      <c r="K104" s="24"/>
      <c r="L104" s="24" t="s">
        <v>165</v>
      </c>
      <c r="M104" s="24"/>
      <c r="N104" s="107">
        <f>IF(Calculations!E17=1,AVERAGE(Calculations!$E$731:$AH$731)," ")</f>
        <v>35.980497430199584</v>
      </c>
      <c r="O104" s="24"/>
      <c r="P104" s="64"/>
    </row>
    <row r="105" spans="1:17" s="277" customFormat="1" thickBot="1" x14ac:dyDescent="0.25">
      <c r="A105" s="24"/>
      <c r="B105" s="62"/>
      <c r="C105" s="26"/>
      <c r="D105" s="24"/>
      <c r="E105" s="24"/>
      <c r="F105" s="26"/>
      <c r="G105" s="24"/>
      <c r="H105" s="64"/>
      <c r="I105" s="24"/>
      <c r="J105" s="66"/>
      <c r="K105" s="68"/>
      <c r="L105" s="68"/>
      <c r="M105" s="68"/>
      <c r="N105" s="68"/>
      <c r="O105" s="67"/>
      <c r="P105" s="70"/>
    </row>
    <row r="106" spans="1:17" s="277" customFormat="1" thickBot="1" x14ac:dyDescent="0.25">
      <c r="A106" s="24"/>
      <c r="B106" s="62"/>
      <c r="C106" s="26" t="s">
        <v>173</v>
      </c>
      <c r="D106" s="24" t="s">
        <v>172</v>
      </c>
      <c r="E106" s="24"/>
      <c r="F106" s="74">
        <f>MIN('Charts - Passenger'!F206:AH206)</f>
        <v>245.83630985110116</v>
      </c>
      <c r="G106" s="63">
        <f>INDEX(Calculations!F$6:AH$6,MATCH('Results - Passenger'!F106,'Charts - Passenger'!F206:AH206,0))</f>
        <v>41274</v>
      </c>
      <c r="H106" s="64"/>
      <c r="I106" s="24"/>
      <c r="J106" s="24"/>
      <c r="K106" s="24"/>
      <c r="L106" s="24"/>
      <c r="M106" s="24"/>
      <c r="N106" s="24"/>
      <c r="O106" s="24"/>
      <c r="P106" s="24"/>
    </row>
    <row r="107" spans="1:17" s="277" customFormat="1" x14ac:dyDescent="0.2">
      <c r="A107" s="24"/>
      <c r="B107" s="62"/>
      <c r="C107" s="24"/>
      <c r="D107" s="24" t="s">
        <v>164</v>
      </c>
      <c r="E107" s="24"/>
      <c r="F107" s="65">
        <f>MAX('Charts - Passenger'!F206:AH206)</f>
        <v>27032.483564613642</v>
      </c>
      <c r="G107" s="63">
        <f>INDEX(Calculations!F$6:AH$6,MATCH('Results - Passenger'!F107,'Charts - Passenger'!F206:AH206,0))</f>
        <v>49674</v>
      </c>
      <c r="H107" s="64"/>
      <c r="I107" s="24"/>
      <c r="J107" s="348"/>
      <c r="K107" s="349" t="s">
        <v>202</v>
      </c>
      <c r="L107" s="350"/>
      <c r="M107" s="350"/>
      <c r="N107" s="350"/>
      <c r="O107" s="350"/>
      <c r="P107" s="351"/>
    </row>
    <row r="108" spans="1:17" s="277" customFormat="1" x14ac:dyDescent="0.2">
      <c r="A108" s="24"/>
      <c r="B108" s="62"/>
      <c r="C108" s="24"/>
      <c r="D108" s="24" t="s">
        <v>165</v>
      </c>
      <c r="E108" s="24"/>
      <c r="F108" s="65">
        <f>IF(Calculations!E17=1,AVERAGE('Charts - Passenger'!F206:AH206)," ")</f>
        <v>7830.3882736608566</v>
      </c>
      <c r="G108" s="24"/>
      <c r="H108" s="64"/>
      <c r="I108" s="24"/>
      <c r="J108" s="75"/>
      <c r="K108" s="24"/>
      <c r="L108" s="24"/>
      <c r="M108" s="24"/>
      <c r="N108" s="24"/>
      <c r="O108" s="72"/>
      <c r="P108" s="76"/>
    </row>
    <row r="109" spans="1:17" s="277" customFormat="1" x14ac:dyDescent="0.2">
      <c r="A109" s="24"/>
      <c r="B109" s="62"/>
      <c r="C109" s="24"/>
      <c r="D109" s="24"/>
      <c r="E109" s="24"/>
      <c r="F109" s="65"/>
      <c r="G109" s="24"/>
      <c r="H109" s="64"/>
      <c r="I109" s="24"/>
      <c r="J109" s="75"/>
      <c r="K109" s="24" t="s">
        <v>200</v>
      </c>
      <c r="L109" s="24"/>
      <c r="M109" s="24"/>
      <c r="N109" s="24"/>
      <c r="O109" s="85" t="str">
        <f>IF(ROUND(SUM('Balance sheet'!E112:AH112),0)=ROUND(SUM('Balance sheet'!E133:AH133),0),"YES","NO")</f>
        <v>YES</v>
      </c>
      <c r="P109" s="76"/>
      <c r="Q109" s="414" t="str">
        <f>IF(O109="NO","&lt;&lt;&lt;&lt; WARNING"," ")</f>
        <v xml:space="preserve"> </v>
      </c>
    </row>
    <row r="110" spans="1:17" s="277" customFormat="1" x14ac:dyDescent="0.2">
      <c r="A110" s="24"/>
      <c r="B110" s="62"/>
      <c r="C110" s="26" t="s">
        <v>215</v>
      </c>
      <c r="D110" s="24" t="s">
        <v>172</v>
      </c>
      <c r="E110" s="24"/>
      <c r="F110" s="84">
        <f>MIN('Charts - Passenger'!$E$207:$AH$207)</f>
        <v>0</v>
      </c>
      <c r="G110" s="63">
        <f>INDEX(Calculations!E$6:AH$6,MATCH('Results - Passenger'!F110,'Charts - Passenger'!$E$207:$AH$207,0))</f>
        <v>50040</v>
      </c>
      <c r="H110" s="64"/>
      <c r="I110" s="24"/>
      <c r="J110" s="75"/>
      <c r="K110" s="24" t="s">
        <v>201</v>
      </c>
      <c r="L110" s="24"/>
      <c r="M110" s="24"/>
      <c r="N110" s="24"/>
      <c r="O110" s="85" t="str">
        <f>IF(PRODUCT(Calculations!E740:AH740)=1,"YES","NO")</f>
        <v>YES</v>
      </c>
      <c r="P110" s="76"/>
      <c r="Q110" s="414" t="str">
        <f>IF(O110="NO","&lt;&lt;&lt;&lt; WARNING"," ")</f>
        <v xml:space="preserve"> </v>
      </c>
    </row>
    <row r="111" spans="1:17" s="277" customFormat="1" x14ac:dyDescent="0.2">
      <c r="A111" s="24"/>
      <c r="B111" s="62"/>
      <c r="C111" s="24"/>
      <c r="D111" s="24" t="s">
        <v>164</v>
      </c>
      <c r="E111" s="24"/>
      <c r="F111" s="84">
        <f>MAX('Charts - Passenger'!$E$207:$AH$207)</f>
        <v>5.3879310344827583E-2</v>
      </c>
      <c r="G111" s="63">
        <f>INDEX(Calculations!E$6:AH$6,MATCH('Results - Passenger'!F111,'Charts - Passenger'!$E$207:$AH$207,0))</f>
        <v>40543</v>
      </c>
      <c r="H111" s="64"/>
      <c r="I111" s="24"/>
      <c r="J111" s="75"/>
      <c r="K111" s="24" t="s">
        <v>207</v>
      </c>
      <c r="L111" s="24"/>
      <c r="M111" s="24"/>
      <c r="N111" s="24"/>
      <c r="O111" s="85" t="str">
        <f>IF(ROUND(SUM('Cash flow statement'!F135:AH135),0)-ROUND(SUM('Balance sheet'!F134:AH134),0)=0,"YES","NO")</f>
        <v>YES</v>
      </c>
      <c r="P111" s="76"/>
      <c r="Q111" s="414" t="str">
        <f>IF(O111="NO","&lt;&lt;&lt;&lt; WARNING"," ")</f>
        <v xml:space="preserve"> </v>
      </c>
    </row>
    <row r="112" spans="1:17" s="277" customFormat="1" thickBot="1" x14ac:dyDescent="0.25">
      <c r="A112" s="24"/>
      <c r="B112" s="62"/>
      <c r="C112" s="24"/>
      <c r="D112" s="24" t="s">
        <v>165</v>
      </c>
      <c r="E112" s="24"/>
      <c r="F112" s="106">
        <f>IF(Calculations!E17=1,AVERAGE('Charts - Passenger'!$E$207:$AH$207)," ")</f>
        <v>4.9455797555062611E-3</v>
      </c>
      <c r="G112" s="63"/>
      <c r="H112" s="64"/>
      <c r="I112" s="24"/>
      <c r="J112" s="66"/>
      <c r="K112" s="68"/>
      <c r="L112" s="68"/>
      <c r="M112" s="68"/>
      <c r="N112" s="68"/>
      <c r="O112" s="68"/>
      <c r="P112" s="70"/>
      <c r="Q112" s="414"/>
    </row>
    <row r="113" spans="1:16" s="277" customFormat="1" thickBot="1" x14ac:dyDescent="0.25">
      <c r="A113" s="24"/>
      <c r="B113" s="66"/>
      <c r="C113" s="68"/>
      <c r="D113" s="68"/>
      <c r="E113" s="68"/>
      <c r="F113" s="69"/>
      <c r="G113" s="68"/>
      <c r="H113" s="70"/>
      <c r="I113" s="24"/>
      <c r="J113" s="24"/>
      <c r="K113" s="24"/>
      <c r="L113" s="24"/>
      <c r="M113" s="24"/>
      <c r="N113" s="24"/>
      <c r="O113" s="24"/>
      <c r="P113" s="24"/>
    </row>
    <row r="114" spans="1:16" s="277" customFormat="1" x14ac:dyDescent="0.2">
      <c r="A114" s="24"/>
      <c r="B114" s="24"/>
      <c r="C114" s="24"/>
      <c r="D114" s="24"/>
      <c r="E114" s="24"/>
      <c r="F114" s="24"/>
      <c r="G114" s="24"/>
      <c r="H114" s="24"/>
      <c r="I114" s="24"/>
      <c r="J114" s="22"/>
      <c r="K114" s="22"/>
      <c r="L114" s="22"/>
      <c r="M114" s="22"/>
      <c r="N114" s="22"/>
      <c r="O114" s="22"/>
      <c r="P114" s="22"/>
    </row>
    <row r="115" spans="1:16" s="277" customFormat="1" x14ac:dyDescent="0.2">
      <c r="A115" s="24"/>
      <c r="B115" s="24"/>
      <c r="C115" s="24"/>
      <c r="D115" s="24"/>
      <c r="E115" s="24"/>
      <c r="F115" s="24"/>
      <c r="G115" s="24"/>
      <c r="H115" s="24"/>
      <c r="I115" s="24"/>
      <c r="J115" s="22"/>
      <c r="K115" s="22"/>
      <c r="L115" s="22"/>
      <c r="M115" s="22"/>
      <c r="N115" s="22"/>
      <c r="O115" s="22"/>
      <c r="P115" s="22"/>
    </row>
  </sheetData>
  <mergeCells count="30">
    <mergeCell ref="K102:K103"/>
    <mergeCell ref="Q7:Q8"/>
    <mergeCell ref="R7:R8"/>
    <mergeCell ref="O61:P62"/>
    <mergeCell ref="Q61:R62"/>
    <mergeCell ref="O63:P63"/>
    <mergeCell ref="K94:K95"/>
    <mergeCell ref="K98:K99"/>
    <mergeCell ref="V7:V8"/>
    <mergeCell ref="W7:W8"/>
    <mergeCell ref="L7:L8"/>
    <mergeCell ref="M7:M8"/>
    <mergeCell ref="N7:N8"/>
    <mergeCell ref="O7:O8"/>
    <mergeCell ref="P7:P8"/>
    <mergeCell ref="U7:U8"/>
    <mergeCell ref="S7:S8"/>
    <mergeCell ref="T7:T8"/>
    <mergeCell ref="C90:C91"/>
    <mergeCell ref="C94:C95"/>
    <mergeCell ref="C64:C65"/>
    <mergeCell ref="O64:P64"/>
    <mergeCell ref="Q64:R64"/>
    <mergeCell ref="O65:P65"/>
    <mergeCell ref="Q65:R65"/>
    <mergeCell ref="K90:K91"/>
    <mergeCell ref="O66:P66"/>
    <mergeCell ref="Q66:R66"/>
    <mergeCell ref="C80:C81"/>
    <mergeCell ref="C76:C77"/>
  </mergeCells>
  <conditionalFormatting sqref="O109">
    <cfRule type="iconSet" priority="2">
      <iconSet iconSet="3Symbols">
        <cfvo type="percent" val="0"/>
        <cfvo type="percent" val="33"/>
        <cfvo type="percent" val="67"/>
      </iconSet>
    </cfRule>
  </conditionalFormatting>
  <conditionalFormatting sqref="P109">
    <cfRule type="iconSet" priority="1">
      <iconSet iconSet="3Symbols">
        <cfvo type="percent" val="0"/>
        <cfvo type="percent" val="33"/>
        <cfvo type="percent" val="67"/>
      </iconSet>
    </cfRule>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AP117"/>
  <sheetViews>
    <sheetView zoomScale="75" zoomScaleNormal="75" workbookViewId="0">
      <selection activeCell="T1" sqref="T1:XFD1048576"/>
    </sheetView>
  </sheetViews>
  <sheetFormatPr baseColWidth="10" defaultColWidth="0" defaultRowHeight="15" x14ac:dyDescent="0.2"/>
  <cols>
    <col min="1" max="5" width="9.1640625" style="22" customWidth="1"/>
    <col min="6" max="6" width="11.6640625" style="22" bestFit="1" customWidth="1"/>
    <col min="7" max="7" width="10.83203125" style="22" bestFit="1" customWidth="1"/>
    <col min="8" max="8" width="4.6640625" style="22" customWidth="1"/>
    <col min="9" max="9" width="12" style="22" bestFit="1" customWidth="1"/>
    <col min="10" max="11" width="9.1640625" style="22" customWidth="1"/>
    <col min="12" max="12" width="15.1640625" style="22" bestFit="1" customWidth="1"/>
    <col min="13" max="13" width="16" style="22" bestFit="1" customWidth="1"/>
    <col min="14" max="14" width="15.1640625" style="22" bestFit="1" customWidth="1"/>
    <col min="15" max="15" width="14" style="22" customWidth="1"/>
    <col min="16" max="16" width="4.5" style="22" customWidth="1"/>
    <col min="17" max="18" width="3.5" style="22" customWidth="1"/>
    <col min="19" max="19" width="9.1640625" style="22" customWidth="1"/>
    <col min="20" max="16384" width="9.1640625" style="22" hidden="1"/>
  </cols>
  <sheetData>
    <row r="1" spans="1:42" s="278" customFormat="1" x14ac:dyDescent="0.2">
      <c r="A1" s="316"/>
      <c r="B1" s="315" t="s">
        <v>309</v>
      </c>
      <c r="C1" s="316"/>
      <c r="D1" s="316"/>
      <c r="E1" s="316"/>
      <c r="F1" s="338" t="s">
        <v>12</v>
      </c>
      <c r="G1" s="339">
        <f>'Assumptions - General'!$E$28</f>
        <v>40179</v>
      </c>
      <c r="H1" s="340" t="s">
        <v>432</v>
      </c>
      <c r="I1" s="339">
        <f>'Assumptions - General'!$E$29</f>
        <v>51135</v>
      </c>
      <c r="J1" s="316"/>
      <c r="K1" s="316"/>
      <c r="L1" s="316"/>
      <c r="M1" s="316"/>
      <c r="N1" s="316"/>
      <c r="O1" s="316"/>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row>
    <row r="2" spans="1:42" s="278" customFormat="1" x14ac:dyDescent="0.2">
      <c r="A2" s="316"/>
      <c r="B2" s="341" t="str">
        <f>'Assumptions - General'!$E$26</f>
        <v>Ruritania Railway Infrastructure Company</v>
      </c>
      <c r="C2" s="316"/>
      <c r="D2" s="316"/>
      <c r="E2" s="316"/>
      <c r="F2" s="316"/>
      <c r="G2" s="316"/>
      <c r="H2" s="316"/>
      <c r="I2" s="316"/>
      <c r="J2" s="316"/>
      <c r="K2" s="316"/>
      <c r="L2" s="316"/>
      <c r="M2" s="316"/>
      <c r="N2" s="316"/>
      <c r="O2" s="316"/>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row>
    <row r="3" spans="1:42" s="277" customFormat="1" x14ac:dyDescent="0.2">
      <c r="A3" s="316"/>
      <c r="B3" s="317" t="str">
        <f>"All units in "  &amp;'Assumptions - General'!$E$27&amp;  " millions unless otherwise stated"</f>
        <v>All units in R$ millions unless otherwise stated</v>
      </c>
      <c r="C3" s="318"/>
      <c r="D3" s="316"/>
      <c r="E3" s="316"/>
      <c r="F3" s="316"/>
      <c r="G3" s="316"/>
      <c r="H3" s="316"/>
      <c r="I3" s="316"/>
      <c r="J3" s="316"/>
      <c r="K3" s="316"/>
      <c r="L3" s="316"/>
      <c r="M3" s="316"/>
      <c r="N3" s="316"/>
      <c r="O3" s="316"/>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row>
    <row r="4" spans="1:42" s="277" customFormat="1" ht="16" thickBot="1" x14ac:dyDescent="0.25">
      <c r="A4" s="22"/>
      <c r="B4" s="22"/>
      <c r="C4" s="22"/>
      <c r="D4" s="22"/>
      <c r="E4" s="22"/>
      <c r="F4" s="22"/>
      <c r="G4" s="22"/>
      <c r="H4" s="22"/>
      <c r="I4" s="22"/>
      <c r="J4" s="22"/>
      <c r="K4" s="22"/>
      <c r="L4" s="22"/>
      <c r="M4" s="22"/>
      <c r="N4" s="22"/>
      <c r="O4" s="22"/>
      <c r="P4" s="278"/>
      <c r="Q4" s="278"/>
      <c r="R4" s="278"/>
      <c r="S4" s="278"/>
      <c r="T4" s="278"/>
      <c r="U4" s="278"/>
      <c r="V4" s="278"/>
      <c r="W4" s="278"/>
      <c r="X4" s="278"/>
      <c r="Y4" s="278"/>
      <c r="Z4" s="278"/>
      <c r="AA4" s="278"/>
      <c r="AB4" s="278"/>
      <c r="AC4" s="278"/>
      <c r="AD4" s="278"/>
      <c r="AE4" s="278"/>
      <c r="AF4" s="278"/>
      <c r="AG4" s="278"/>
      <c r="AH4" s="278"/>
      <c r="AI4" s="278"/>
      <c r="AJ4" s="278"/>
      <c r="AK4" s="278"/>
      <c r="AL4" s="278"/>
      <c r="AM4" s="278"/>
      <c r="AN4" s="278"/>
      <c r="AO4" s="278"/>
      <c r="AP4" s="278"/>
    </row>
    <row r="5" spans="1:42" s="277" customFormat="1" x14ac:dyDescent="0.2">
      <c r="A5" s="22"/>
      <c r="B5" s="352"/>
      <c r="C5" s="353" t="s">
        <v>310</v>
      </c>
      <c r="D5" s="354"/>
      <c r="E5" s="354"/>
      <c r="F5" s="354"/>
      <c r="G5" s="355"/>
      <c r="H5" s="22"/>
      <c r="I5" s="352"/>
      <c r="J5" s="353" t="s">
        <v>314</v>
      </c>
      <c r="K5" s="354"/>
      <c r="L5" s="354"/>
      <c r="M5" s="354"/>
      <c r="N5" s="354"/>
      <c r="O5" s="355"/>
      <c r="P5" s="18"/>
      <c r="Q5" s="18"/>
      <c r="R5" s="18"/>
      <c r="S5" s="18"/>
      <c r="T5" s="18"/>
      <c r="U5" s="18"/>
      <c r="V5" s="18"/>
      <c r="W5" s="18"/>
      <c r="X5" s="278"/>
      <c r="Y5" s="278"/>
      <c r="Z5" s="278"/>
      <c r="AA5" s="278"/>
      <c r="AB5" s="278"/>
      <c r="AC5" s="278"/>
      <c r="AD5" s="278"/>
      <c r="AE5" s="278"/>
      <c r="AF5" s="278"/>
      <c r="AG5" s="278"/>
      <c r="AH5" s="278"/>
      <c r="AI5" s="278"/>
      <c r="AJ5" s="278"/>
      <c r="AK5" s="278"/>
      <c r="AL5" s="278"/>
      <c r="AM5" s="278"/>
      <c r="AN5" s="278"/>
      <c r="AO5" s="278"/>
      <c r="AP5" s="278"/>
    </row>
    <row r="6" spans="1:42" s="277" customFormat="1" ht="14" x14ac:dyDescent="0.2">
      <c r="A6" s="24"/>
      <c r="B6" s="62"/>
      <c r="C6" s="24"/>
      <c r="D6" s="24"/>
      <c r="E6" s="24"/>
      <c r="F6" s="24"/>
      <c r="G6" s="64"/>
      <c r="H6" s="24"/>
      <c r="I6" s="62"/>
      <c r="J6" s="24"/>
      <c r="K6" s="24"/>
      <c r="L6" s="156"/>
      <c r="M6" s="156"/>
      <c r="N6" s="156"/>
      <c r="O6" s="273"/>
      <c r="P6" s="279"/>
      <c r="Q6" s="279"/>
      <c r="R6" s="279"/>
      <c r="S6" s="279"/>
      <c r="T6" s="279"/>
      <c r="U6" s="279"/>
      <c r="V6" s="279"/>
      <c r="W6" s="279"/>
    </row>
    <row r="7" spans="1:42" s="277" customFormat="1" ht="14" x14ac:dyDescent="0.2">
      <c r="A7" s="24"/>
      <c r="B7" s="62"/>
      <c r="C7" s="24" t="s">
        <v>435</v>
      </c>
      <c r="D7" s="24"/>
      <c r="E7" s="24"/>
      <c r="F7" s="167">
        <f>IF(Calculations!E19=1,AVERAGE('Charts - Infrastructure'!E228:AH228),0)</f>
        <v>15000</v>
      </c>
      <c r="G7" s="157"/>
      <c r="H7" s="24"/>
      <c r="I7" s="62"/>
      <c r="J7" s="118" t="s">
        <v>400</v>
      </c>
      <c r="K7" s="155"/>
      <c r="L7" s="543" t="str">
        <f>IF('Assumptions - Infrastructure'!E423&gt;0,'Assumptions - Infrastructure'!$E$419," ")</f>
        <v>Local bank</v>
      </c>
      <c r="M7" s="543" t="str">
        <f>IF('Assumptions - Infrastructure'!$E$441&gt;0,'Assumptions - Infrastructure'!$E$437," ")</f>
        <v>International bank</v>
      </c>
      <c r="N7" s="543" t="str">
        <f>IF('Assumptions - Infrastructure'!E459&gt;0,'Assumptions - Infrastructure'!$E$455," ")</f>
        <v>Multilateral bank</v>
      </c>
      <c r="O7" s="545" t="str">
        <f>IF('Assumptions - Infrastructure'!E477&gt;0,'Assumptions - Infrastructure'!$E$473," ")</f>
        <v>Regional bank</v>
      </c>
      <c r="P7" s="541"/>
      <c r="Q7" s="541"/>
      <c r="R7" s="541"/>
      <c r="S7" s="541"/>
      <c r="T7" s="541"/>
      <c r="U7" s="541"/>
      <c r="V7" s="541"/>
      <c r="W7" s="541"/>
    </row>
    <row r="8" spans="1:42" s="277" customFormat="1" ht="14" x14ac:dyDescent="0.2">
      <c r="A8" s="24"/>
      <c r="B8" s="62"/>
      <c r="C8" s="24" t="s">
        <v>436</v>
      </c>
      <c r="D8" s="24"/>
      <c r="E8" s="24"/>
      <c r="F8" s="167">
        <f>IF(OR(Calculations!E19=1,Calculations!E20=1),AVERAGE('Charts - Infrastructure'!E227:AH227),0)</f>
        <v>19533.333333333332</v>
      </c>
      <c r="G8" s="157"/>
      <c r="H8" s="24"/>
      <c r="I8" s="62"/>
      <c r="J8" s="117"/>
      <c r="K8" s="155"/>
      <c r="L8" s="544"/>
      <c r="M8" s="544"/>
      <c r="N8" s="544"/>
      <c r="O8" s="546"/>
      <c r="P8" s="542"/>
      <c r="Q8" s="542"/>
      <c r="R8" s="542"/>
      <c r="S8" s="542"/>
      <c r="T8" s="542"/>
      <c r="U8" s="542"/>
      <c r="V8" s="542"/>
      <c r="W8" s="542"/>
    </row>
    <row r="9" spans="1:42" s="277" customFormat="1" ht="14" x14ac:dyDescent="0.2">
      <c r="A9" s="24"/>
      <c r="B9" s="62"/>
      <c r="C9" s="24" t="s">
        <v>437</v>
      </c>
      <c r="D9" s="24"/>
      <c r="E9" s="24"/>
      <c r="F9" s="162">
        <f>IF(OR(Calculations!E19=1,Calculations!E20=1),AVERAGE('Charts - Infrastructure'!E148:AH148),0)</f>
        <v>0.56649517149050588</v>
      </c>
      <c r="G9" s="157"/>
      <c r="H9" s="24"/>
      <c r="I9" s="62"/>
      <c r="J9" s="8" t="s">
        <v>66</v>
      </c>
      <c r="K9" s="154"/>
      <c r="L9" s="150">
        <f>IF('Assumptions - Infrastructure'!$E$423&gt;0,'Assumptions - Infrastructure'!$E$420," ")</f>
        <v>3</v>
      </c>
      <c r="M9" s="150">
        <f>IF('Assumptions - Infrastructure'!$E$441&gt;0,'Assumptions - Infrastructure'!$E$438," ")</f>
        <v>3</v>
      </c>
      <c r="N9" s="150">
        <f>IF('Assumptions - Infrastructure'!E459&gt;0,'Assumptions - Infrastructure'!$E$456," ")</f>
        <v>3</v>
      </c>
      <c r="O9" s="274">
        <f>IF('Assumptions - Infrastructure'!E477&gt;0,'Assumptions - Infrastructure'!$E$474," ")</f>
        <v>3</v>
      </c>
      <c r="P9" s="280"/>
      <c r="Q9" s="280"/>
      <c r="R9" s="280"/>
      <c r="S9" s="280"/>
      <c r="T9" s="280"/>
      <c r="U9" s="280"/>
      <c r="V9" s="280"/>
      <c r="W9" s="280"/>
    </row>
    <row r="10" spans="1:42" s="277" customFormat="1" ht="14" x14ac:dyDescent="0.2">
      <c r="A10" s="24"/>
      <c r="B10" s="62"/>
      <c r="C10" s="24" t="s">
        <v>320</v>
      </c>
      <c r="D10" s="24"/>
      <c r="E10" s="24"/>
      <c r="F10" s="167">
        <f>IF(OR(Calculations!E19=1,Calculations!E20=1),'Charts - Infrastructure'!E145+'Charts - Infrastructure'!E146,0)</f>
        <v>160000</v>
      </c>
      <c r="G10" s="157"/>
      <c r="H10" s="24"/>
      <c r="I10" s="62"/>
      <c r="J10" s="8" t="s">
        <v>315</v>
      </c>
      <c r="K10" s="154"/>
      <c r="L10" s="149" t="str">
        <f>IF('Assumptions - Infrastructure'!$E$423&gt;0,'Assumptions - Infrastructure'!$E$423&amp;" "&amp; 'Assumptions - Infrastructure'!$D$423," ")</f>
        <v>50 R$ millions</v>
      </c>
      <c r="M10" s="149" t="str">
        <f>IF('Assumptions - Infrastructure'!$E$441&gt;0,'Assumptions - Infrastructure'!$E$441&amp;" "&amp; 'Assumptions - Infrastructure'!$D$441," ")</f>
        <v>50 R$ millions</v>
      </c>
      <c r="N10" s="149" t="str">
        <f>IF('Assumptions - Infrastructure'!E459&gt;0,'Assumptions - Infrastructure'!E459&amp;" "&amp; 'Assumptions - Infrastructure'!$D$459," ")</f>
        <v>50 R$ millions</v>
      </c>
      <c r="O10" s="283" t="str">
        <f>IF('Assumptions - Infrastructure'!E477&gt;0, 'Assumptions - Infrastructure'!E477&amp;" "&amp; 'Assumptions - Infrastructure'!$D$477," ")</f>
        <v>50 R$ millions</v>
      </c>
      <c r="P10" s="279"/>
      <c r="Q10" s="279"/>
      <c r="R10" s="279"/>
      <c r="S10" s="279"/>
      <c r="T10" s="279"/>
      <c r="U10" s="279"/>
      <c r="V10" s="279"/>
      <c r="W10" s="279"/>
    </row>
    <row r="11" spans="1:42" s="277" customFormat="1" ht="14" x14ac:dyDescent="0.2">
      <c r="A11" s="24"/>
      <c r="B11" s="62"/>
      <c r="C11" s="145" t="s">
        <v>312</v>
      </c>
      <c r="D11" s="24"/>
      <c r="E11" s="24"/>
      <c r="F11" s="170">
        <f>IF(Calculations!E19=1,SUM('Charts - Infrastructure'!E147:AH147),0)</f>
        <v>1.9469174057293204E-2</v>
      </c>
      <c r="G11" s="157"/>
      <c r="H11" s="24"/>
      <c r="I11" s="62"/>
      <c r="J11" s="8" t="s">
        <v>316</v>
      </c>
      <c r="K11" s="154"/>
      <c r="L11" s="149" t="str">
        <f>IF('Assumptions - Infrastructure'!$E$423&gt;0,IF('Assumptions - Infrastructure'!$E$425=1,"Fixed","Variable")," ")</f>
        <v>Fixed</v>
      </c>
      <c r="M11" s="149" t="str">
        <f>IF('Assumptions - Infrastructure'!$E$441&gt;0,IF('Assumptions - Infrastructure'!$E$443=1,"Fixed","Variable")," ")</f>
        <v>Variable</v>
      </c>
      <c r="N11" s="149" t="str">
        <f>IF('Assumptions - Infrastructure'!E459&gt;0,IF('Assumptions - Infrastructure'!$E$461=1,"Fixed","Variable")," ")</f>
        <v>Variable</v>
      </c>
      <c r="O11" s="283" t="str">
        <f>IF('Assumptions - Infrastructure'!E477&gt;0,IF('Assumptions - Infrastructure'!$E$479=1,"Fixed","Variable")," ")</f>
        <v>Fixed</v>
      </c>
      <c r="P11" s="279"/>
      <c r="Q11" s="279"/>
      <c r="R11" s="279"/>
      <c r="S11" s="279"/>
      <c r="T11" s="279"/>
      <c r="U11" s="279"/>
      <c r="V11" s="279"/>
      <c r="W11" s="279"/>
    </row>
    <row r="12" spans="1:42" s="277" customFormat="1" thickBot="1" x14ac:dyDescent="0.25">
      <c r="A12" s="24"/>
      <c r="B12" s="66"/>
      <c r="C12" s="68"/>
      <c r="D12" s="68"/>
      <c r="E12" s="68"/>
      <c r="F12" s="163"/>
      <c r="G12" s="158"/>
      <c r="H12" s="24"/>
      <c r="I12" s="62"/>
      <c r="J12" s="8" t="s">
        <v>317</v>
      </c>
      <c r="K12" s="154"/>
      <c r="L12" s="151">
        <f>IF('Assumptions - Infrastructure'!$E$423&gt;0,IF('Results - Infrastructure'!L11="Fixed",'Assumptions - Infrastructure'!$E$427,'Assumptions - Infrastructure'!$E$428)," ")</f>
        <v>0.05</v>
      </c>
      <c r="M12" s="151">
        <f>IF('Assumptions - Infrastructure'!$E$441&gt;0,IF('Results - Infrastructure'!M11="Fixed",'Assumptions - Infrastructure'!$E$445,'Assumptions - Infrastructure'!$E$446)," ")</f>
        <v>0.02</v>
      </c>
      <c r="N12" s="151">
        <f>IF('Assumptions - Infrastructure'!E459&gt;0,IF('Results - Infrastructure'!N11="Fixed",'Assumptions - Infrastructure'!$E$463,'Assumptions - Infrastructure'!$E$464)," ")</f>
        <v>0.02</v>
      </c>
      <c r="O12" s="284">
        <f>IF('Assumptions - Infrastructure'!E477&gt;0,IF('Results - Infrastructure'!O11="Fixed",'Assumptions - Infrastructure'!$E$481,'Assumptions - Infrastructure'!$E$482)," ")</f>
        <v>0.05</v>
      </c>
      <c r="P12" s="281"/>
      <c r="Q12" s="281"/>
      <c r="R12" s="281"/>
      <c r="S12" s="281"/>
      <c r="T12" s="281"/>
      <c r="U12" s="281"/>
      <c r="V12" s="281"/>
      <c r="W12" s="281"/>
    </row>
    <row r="13" spans="1:42" s="277" customFormat="1" thickBot="1" x14ac:dyDescent="0.25">
      <c r="A13" s="24"/>
      <c r="B13" s="24"/>
      <c r="C13" s="24"/>
      <c r="D13" s="24"/>
      <c r="E13" s="24"/>
      <c r="F13" s="138"/>
      <c r="G13" s="24"/>
      <c r="H13" s="24"/>
      <c r="I13" s="62"/>
      <c r="J13" s="8" t="s">
        <v>54</v>
      </c>
      <c r="K13" s="154"/>
      <c r="L13" s="149">
        <f>IF('Assumptions - Infrastructure'!$E$423&gt;0,'Assumptions - Infrastructure'!$E$429," ")</f>
        <v>15</v>
      </c>
      <c r="M13" s="149">
        <f>IF('Assumptions - Infrastructure'!$E$441&gt;0,'Assumptions - Infrastructure'!$E$447," ")</f>
        <v>15</v>
      </c>
      <c r="N13" s="149">
        <f>IF('Assumptions - Infrastructure'!E459&gt;0,'Assumptions - Infrastructure'!$E$465," ")</f>
        <v>15</v>
      </c>
      <c r="O13" s="283">
        <f>IF('Assumptions - Infrastructure'!E477&gt;0,'Assumptions - Infrastructure'!$E$483," ")</f>
        <v>15</v>
      </c>
      <c r="P13" s="279"/>
      <c r="Q13" s="279"/>
      <c r="R13" s="279"/>
      <c r="S13" s="279"/>
      <c r="T13" s="279"/>
      <c r="U13" s="279"/>
      <c r="V13" s="279"/>
      <c r="W13" s="279"/>
    </row>
    <row r="14" spans="1:42" s="277" customFormat="1" x14ac:dyDescent="0.2">
      <c r="A14" s="24"/>
      <c r="B14" s="352"/>
      <c r="C14" s="353" t="s">
        <v>311</v>
      </c>
      <c r="D14" s="354"/>
      <c r="E14" s="354"/>
      <c r="F14" s="361"/>
      <c r="G14" s="355"/>
      <c r="H14" s="24"/>
      <c r="I14" s="62"/>
      <c r="J14" s="8" t="s">
        <v>57</v>
      </c>
      <c r="K14" s="154"/>
      <c r="L14" s="149">
        <f>IF('Assumptions - Infrastructure'!$E$423&gt;0,'Assumptions - Infrastructure'!$E$430," ")</f>
        <v>5</v>
      </c>
      <c r="M14" s="149">
        <f>IF('Assumptions - Infrastructure'!$E$441&gt;0,'Assumptions - Infrastructure'!$E$448," ")</f>
        <v>5</v>
      </c>
      <c r="N14" s="149">
        <f>IF('Assumptions - Infrastructure'!E459&gt;0,'Assumptions - Infrastructure'!$E$466," ")</f>
        <v>5</v>
      </c>
      <c r="O14" s="283">
        <f>IF('Assumptions - Infrastructure'!E477&gt;0,'Assumptions - Infrastructure'!$E$484," ")</f>
        <v>5</v>
      </c>
      <c r="P14" s="279"/>
      <c r="Q14" s="279"/>
      <c r="R14" s="279"/>
      <c r="S14" s="279"/>
      <c r="T14" s="279"/>
      <c r="U14" s="279"/>
      <c r="V14" s="279"/>
      <c r="W14" s="279"/>
    </row>
    <row r="15" spans="1:42" s="277" customFormat="1" ht="14" x14ac:dyDescent="0.2">
      <c r="A15" s="24"/>
      <c r="B15" s="62"/>
      <c r="C15" s="24"/>
      <c r="D15" s="24"/>
      <c r="E15" s="24"/>
      <c r="F15" s="138"/>
      <c r="G15" s="64"/>
      <c r="H15" s="24"/>
      <c r="I15" s="62"/>
      <c r="J15" s="8" t="s">
        <v>282</v>
      </c>
      <c r="K15" s="154"/>
      <c r="L15" s="149" t="str">
        <f>IF('Assumptions - Infrastructure'!$E$423&gt;0,IF('Assumptions - Infrastructure'!$E$431=1,"Bullet",IF('Assumptions - Infrastructure'!$E$431=2,"Equal installment","Fixed annuity"))," ")</f>
        <v>Bullet</v>
      </c>
      <c r="M15" s="149" t="str">
        <f>IF('Assumptions - Infrastructure'!$E$441&gt;0,IF('Assumptions - Infrastructure'!$E$449=1,"Bullet",IF('Assumptions - Infrastructure'!$E$449=2,"Equal installment","Fixed annuity"))," ")</f>
        <v>Bullet</v>
      </c>
      <c r="N15" s="149" t="str">
        <f>IF('Assumptions - Infrastructure'!E459&gt;0,IF('Assumptions - Infrastructure'!$E$467=1,"Bullet",IF('Assumptions - Infrastructure'!$E$467=2,"Equal installment","Fixed annuity"))," ")</f>
        <v>Bullet</v>
      </c>
      <c r="O15" s="283" t="str">
        <f>IF('Assumptions - Infrastructure'!E477&gt;0,IF('Assumptions - Infrastructure'!$E$485=1,"Bullet",IF('Assumptions - Infrastructure'!$E$485=2,"Equal installment","Fixed annuity"))," ")</f>
        <v>Bullet</v>
      </c>
      <c r="P15" s="279"/>
      <c r="Q15" s="279"/>
      <c r="R15" s="279"/>
      <c r="S15" s="279"/>
      <c r="T15" s="279"/>
      <c r="U15" s="279"/>
      <c r="V15" s="279"/>
      <c r="W15" s="279"/>
    </row>
    <row r="16" spans="1:42" s="277" customFormat="1" ht="14" x14ac:dyDescent="0.2">
      <c r="A16" s="24"/>
      <c r="B16" s="62"/>
      <c r="C16" s="24"/>
      <c r="D16" s="24"/>
      <c r="E16" s="24"/>
      <c r="F16" s="138" t="str">
        <f>"Initial ("&amp;'Assumptions - General'!$E$27&amp;")"</f>
        <v>Initial (R$)</v>
      </c>
      <c r="G16" s="148" t="s">
        <v>426</v>
      </c>
      <c r="H16" s="24"/>
      <c r="I16" s="62"/>
      <c r="J16" s="8" t="s">
        <v>53</v>
      </c>
      <c r="K16" s="154"/>
      <c r="L16" s="152">
        <f>IF('Assumptions - Infrastructure'!$E$423&gt;0,'Assumptions - Infrastructure'!$E$433," ")</f>
        <v>2.5000000000000001E-3</v>
      </c>
      <c r="M16" s="152">
        <f>IF('Assumptions - Infrastructure'!$E$441&gt;0,'Assumptions - Infrastructure'!$E$451," ")</f>
        <v>2.5000000000000001E-3</v>
      </c>
      <c r="N16" s="152">
        <f>IF('Assumptions - Infrastructure'!E459&gt;0,'Assumptions - Infrastructure'!$E$469," ")</f>
        <v>2.5000000000000001E-3</v>
      </c>
      <c r="O16" s="275">
        <f>IF('Assumptions - Infrastructure'!E477&gt;0,'Assumptions - Infrastructure'!$E$487," ")</f>
        <v>2.5000000000000001E-3</v>
      </c>
      <c r="P16" s="282"/>
      <c r="Q16" s="282"/>
      <c r="R16" s="282"/>
      <c r="S16" s="282"/>
      <c r="T16" s="282"/>
      <c r="U16" s="282"/>
      <c r="V16" s="282"/>
      <c r="W16" s="282"/>
    </row>
    <row r="17" spans="1:23" s="277" customFormat="1" ht="14" x14ac:dyDescent="0.2">
      <c r="A17" s="24"/>
      <c r="B17" s="62"/>
      <c r="C17" s="24" t="s">
        <v>447</v>
      </c>
      <c r="D17" s="24"/>
      <c r="E17" s="24"/>
      <c r="F17" s="138">
        <f>'Assumptions - Freight'!E282</f>
        <v>0.25</v>
      </c>
      <c r="G17" s="246">
        <f>SUM('Charts - Freight'!E191:AH191)</f>
        <v>3.0000000000000027E-2</v>
      </c>
      <c r="H17" s="24"/>
      <c r="I17" s="62"/>
      <c r="J17" s="8" t="s">
        <v>55</v>
      </c>
      <c r="K17" s="154"/>
      <c r="L17" s="153">
        <f>IF('Assumptions - Infrastructure'!$E$423&gt;0,'Assumptions - Infrastructure'!$E$434," ")</f>
        <v>0</v>
      </c>
      <c r="M17" s="153">
        <f>IF('Assumptions - Infrastructure'!$E$441&gt;0,'Assumptions - Infrastructure'!$E$452," ")</f>
        <v>0</v>
      </c>
      <c r="N17" s="153">
        <f>IF('Assumptions - Infrastructure'!E459&gt;0,'Assumptions - Infrastructure'!$E$470," ")</f>
        <v>0</v>
      </c>
      <c r="O17" s="276">
        <f>IF('Assumptions - Infrastructure'!E477&gt;0,'Assumptions - Infrastructure'!$E$488," ")</f>
        <v>0</v>
      </c>
      <c r="P17" s="282"/>
      <c r="Q17" s="282"/>
      <c r="R17" s="282"/>
      <c r="S17" s="282"/>
      <c r="T17" s="282"/>
      <c r="U17" s="282"/>
      <c r="V17" s="282"/>
      <c r="W17" s="282"/>
    </row>
    <row r="18" spans="1:23" s="277" customFormat="1" ht="14" x14ac:dyDescent="0.2">
      <c r="A18" s="24"/>
      <c r="B18" s="62"/>
      <c r="C18" s="24" t="s">
        <v>449</v>
      </c>
      <c r="D18" s="24"/>
      <c r="E18" s="24"/>
      <c r="F18" s="138">
        <f>'Assumptions - Freight'!E283</f>
        <v>0.25</v>
      </c>
      <c r="G18" s="246">
        <f>SUM('Charts - Freight'!E192:AH192)</f>
        <v>3.0000000000000027E-2</v>
      </c>
      <c r="H18" s="24"/>
      <c r="I18" s="62"/>
      <c r="J18" s="24"/>
      <c r="K18" s="24"/>
      <c r="L18" s="24"/>
      <c r="M18" s="24"/>
      <c r="N18" s="24"/>
      <c r="O18" s="64"/>
    </row>
    <row r="19" spans="1:23" s="277" customFormat="1" ht="14" x14ac:dyDescent="0.2">
      <c r="A19" s="24"/>
      <c r="B19" s="62"/>
      <c r="C19" s="24" t="s">
        <v>450</v>
      </c>
      <c r="D19" s="24"/>
      <c r="E19" s="24"/>
      <c r="F19" s="138">
        <f>'Assumptions - Passenger'!E231</f>
        <v>0.25</v>
      </c>
      <c r="G19" s="246">
        <f>SUM('Charts - Passenger'!E178:AH178)</f>
        <v>3.0000000000000027E-2</v>
      </c>
      <c r="H19" s="24"/>
      <c r="I19" s="62"/>
      <c r="J19" s="146" t="s">
        <v>318</v>
      </c>
      <c r="K19" s="24"/>
      <c r="L19" s="167">
        <f>Calculations!E1226+Calculations!E1242+Calculations!E1258</f>
        <v>225</v>
      </c>
      <c r="M19" s="24" t="str">
        <f>'Assumptions - Freight'!D564</f>
        <v>R$ millions</v>
      </c>
      <c r="N19" s="24"/>
      <c r="O19" s="64"/>
    </row>
    <row r="20" spans="1:23" s="277" customFormat="1" ht="14" x14ac:dyDescent="0.2">
      <c r="A20" s="24"/>
      <c r="B20" s="62"/>
      <c r="C20" s="24" t="s">
        <v>448</v>
      </c>
      <c r="D20" s="24"/>
      <c r="E20" s="24"/>
      <c r="F20" s="138">
        <f>'Assumptions - Passenger'!E232</f>
        <v>0.25</v>
      </c>
      <c r="G20" s="246">
        <f>SUM('Charts - Passenger'!E179:AH179)</f>
        <v>3.0000000000000027E-2</v>
      </c>
      <c r="H20" s="24"/>
      <c r="I20" s="62"/>
      <c r="J20" s="24" t="s">
        <v>319</v>
      </c>
      <c r="K20" s="24"/>
      <c r="L20" s="167">
        <f>Calculations!E1387+Calculations!E1390+Calculations!E1393</f>
        <v>5587.5</v>
      </c>
      <c r="M20" s="24" t="str">
        <f>'Assumptions - Passenger'!D491</f>
        <v>R$ millions</v>
      </c>
      <c r="N20" s="24"/>
      <c r="O20" s="64"/>
    </row>
    <row r="21" spans="1:23" s="277" customFormat="1" thickBot="1" x14ac:dyDescent="0.25">
      <c r="A21" s="24"/>
      <c r="B21" s="62"/>
      <c r="C21" s="24" t="s">
        <v>321</v>
      </c>
      <c r="D21" s="24"/>
      <c r="E21" s="24"/>
      <c r="F21" s="248">
        <f>('Assumptions - Infrastructure'!E202+'Assumptions - Infrastructure'!E213)*1000000</f>
        <v>65000000</v>
      </c>
      <c r="G21" s="246">
        <f>SUM('Charts - Infrastructure'!E176:AH176)</f>
        <v>3.0000000000000027E-2</v>
      </c>
      <c r="H21" s="24"/>
      <c r="I21" s="66"/>
      <c r="J21" s="68"/>
      <c r="K21" s="68"/>
      <c r="L21" s="68"/>
      <c r="M21" s="68"/>
      <c r="N21" s="68"/>
      <c r="O21" s="70"/>
    </row>
    <row r="22" spans="1:23" s="277" customFormat="1" ht="16" thickBot="1" x14ac:dyDescent="0.25">
      <c r="A22" s="24"/>
      <c r="B22" s="66"/>
      <c r="C22" s="68"/>
      <c r="D22" s="68"/>
      <c r="E22" s="68"/>
      <c r="F22" s="163"/>
      <c r="G22" s="160"/>
      <c r="H22" s="24"/>
      <c r="I22" s="22"/>
      <c r="J22" s="22"/>
      <c r="K22" s="22"/>
      <c r="L22" s="22"/>
      <c r="M22" s="22"/>
      <c r="N22" s="22"/>
      <c r="O22" s="22"/>
      <c r="P22" s="278"/>
      <c r="Q22" s="278"/>
      <c r="R22" s="278"/>
      <c r="S22" s="278"/>
      <c r="T22" s="278"/>
      <c r="U22" s="278"/>
      <c r="V22" s="278"/>
      <c r="W22" s="278"/>
    </row>
    <row r="23" spans="1:23" s="277" customFormat="1" ht="16" thickBot="1" x14ac:dyDescent="0.25">
      <c r="A23" s="24"/>
      <c r="B23" s="24"/>
      <c r="C23" s="24"/>
      <c r="D23" s="24"/>
      <c r="E23" s="24"/>
      <c r="F23" s="138"/>
      <c r="G23" s="139"/>
      <c r="H23" s="24"/>
      <c r="I23" s="352"/>
      <c r="J23" s="353" t="s">
        <v>659</v>
      </c>
      <c r="K23" s="354"/>
      <c r="L23" s="354"/>
      <c r="M23" s="354"/>
      <c r="N23" s="354"/>
      <c r="O23" s="75"/>
      <c r="P23" s="278"/>
      <c r="Q23" s="278"/>
      <c r="R23" s="278"/>
      <c r="S23" s="278"/>
      <c r="T23" s="278"/>
      <c r="U23" s="278"/>
      <c r="V23" s="278"/>
      <c r="W23" s="278"/>
    </row>
    <row r="24" spans="1:23" s="277" customFormat="1" x14ac:dyDescent="0.2">
      <c r="A24" s="24"/>
      <c r="B24" s="352"/>
      <c r="C24" s="353" t="s">
        <v>323</v>
      </c>
      <c r="D24" s="354"/>
      <c r="E24" s="354"/>
      <c r="F24" s="361"/>
      <c r="G24" s="362"/>
      <c r="H24" s="24"/>
      <c r="I24" s="62"/>
      <c r="J24" s="24"/>
      <c r="K24" s="24"/>
      <c r="L24" s="24"/>
      <c r="M24" s="24"/>
      <c r="N24" s="24"/>
      <c r="O24" s="62"/>
    </row>
    <row r="25" spans="1:23" s="277" customFormat="1" x14ac:dyDescent="0.2">
      <c r="A25" s="24"/>
      <c r="B25" s="101"/>
      <c r="C25" s="24"/>
      <c r="D25" s="24"/>
      <c r="E25" s="24"/>
      <c r="F25" s="24"/>
      <c r="G25" s="64"/>
      <c r="H25" s="24"/>
      <c r="I25" s="62"/>
      <c r="J25" s="24" t="str">
        <f>'Assumptions - Infrastructure'!E30</f>
        <v>Land</v>
      </c>
      <c r="K25" s="24"/>
      <c r="L25" s="24"/>
      <c r="M25" s="165">
        <f>SUM(Calculations!F940:AH940)</f>
        <v>580</v>
      </c>
      <c r="N25" s="24" t="str">
        <f>'Assumptions - Infrastructure'!D37</f>
        <v>R$ millions</v>
      </c>
      <c r="O25" s="62"/>
    </row>
    <row r="26" spans="1:23" s="277" customFormat="1" ht="15" customHeight="1" x14ac:dyDescent="0.2">
      <c r="A26" s="24"/>
      <c r="B26" s="62"/>
      <c r="C26" s="103"/>
      <c r="D26" s="20"/>
      <c r="E26" s="20"/>
      <c r="F26" s="551" t="str">
        <f>"Initial ("&amp;'Assumptions - Infrastructure'!D237&amp;")"</f>
        <v>Initial (R$ millions)</v>
      </c>
      <c r="G26" s="264" t="s">
        <v>427</v>
      </c>
      <c r="H26" s="24"/>
      <c r="I26" s="62"/>
      <c r="J26" s="24" t="str">
        <f>'Assumptions - Infrastructure'!E31</f>
        <v>Buildings and structures</v>
      </c>
      <c r="K26" s="24"/>
      <c r="L26" s="24"/>
      <c r="M26" s="165">
        <f>SUM(Calculations!F956:AH956)</f>
        <v>580</v>
      </c>
      <c r="N26" s="24" t="str">
        <f>'Assumptions - Infrastructure'!D38</f>
        <v>R$ millions</v>
      </c>
      <c r="O26" s="62"/>
    </row>
    <row r="27" spans="1:23" s="277" customFormat="1" ht="14" x14ac:dyDescent="0.2">
      <c r="A27" s="24"/>
      <c r="B27" s="62"/>
      <c r="C27" s="103"/>
      <c r="D27" s="20"/>
      <c r="E27" s="20"/>
      <c r="F27" s="551"/>
      <c r="G27" s="264"/>
      <c r="H27" s="24"/>
      <c r="I27" s="62"/>
      <c r="J27" s="24" t="str">
        <f>'Assumptions - Infrastructure'!E32</f>
        <v>Track and infrastructure</v>
      </c>
      <c r="K27" s="24"/>
      <c r="L27" s="24"/>
      <c r="M27" s="165">
        <f>SUM(Calculations!F972:AH972)</f>
        <v>2820</v>
      </c>
      <c r="N27" s="24" t="str">
        <f>'Assumptions - Infrastructure'!D39</f>
        <v>R$ millions</v>
      </c>
      <c r="O27" s="62"/>
    </row>
    <row r="28" spans="1:23" s="277" customFormat="1" ht="14" x14ac:dyDescent="0.2">
      <c r="A28" s="24"/>
      <c r="B28" s="62"/>
      <c r="C28" s="24" t="s">
        <v>37</v>
      </c>
      <c r="D28" s="24"/>
      <c r="E28" s="24"/>
      <c r="F28" s="165">
        <f>'Assumptions - Infrastructure'!E237</f>
        <v>1000</v>
      </c>
      <c r="G28" s="246">
        <f>SUM(Calculations!E1148:AH1148)</f>
        <v>4.0268521633557652E-2</v>
      </c>
      <c r="H28" s="24"/>
      <c r="I28" s="62"/>
      <c r="J28" s="24" t="str">
        <f>'Assumptions - Infrastructure'!E33</f>
        <v>Locomotives and railway cars</v>
      </c>
      <c r="K28" s="24"/>
      <c r="L28" s="24"/>
      <c r="M28" s="165">
        <f>SUM(Calculations!F988:AH988)</f>
        <v>2825</v>
      </c>
      <c r="N28" s="24" t="str">
        <f>'Assumptions - Infrastructure'!D40</f>
        <v>R$ millions</v>
      </c>
      <c r="O28" s="62"/>
    </row>
    <row r="29" spans="1:23" s="277" customFormat="1" ht="14" x14ac:dyDescent="0.2">
      <c r="A29" s="24"/>
      <c r="B29" s="62"/>
      <c r="C29" s="24" t="s">
        <v>422</v>
      </c>
      <c r="D29" s="24"/>
      <c r="E29" s="24"/>
      <c r="F29" s="165">
        <f>'Assumptions - Infrastructure'!E247</f>
        <v>500</v>
      </c>
      <c r="G29" s="246">
        <f>SUM(Calculations!E1150:AH1150)</f>
        <v>5.0053249279012002E-2</v>
      </c>
      <c r="H29" s="24"/>
      <c r="I29" s="62"/>
      <c r="J29" s="24" t="str">
        <f>'Assumptions - Infrastructure'!E34</f>
        <v>Machines, equipment and spare parts</v>
      </c>
      <c r="K29" s="24"/>
      <c r="L29" s="24"/>
      <c r="M29" s="165">
        <f>SUM(Calculations!F1004:AH1004)</f>
        <v>725</v>
      </c>
      <c r="N29" s="24" t="str">
        <f>'Assumptions - Infrastructure'!D41</f>
        <v>R$ millions</v>
      </c>
      <c r="O29" s="62"/>
    </row>
    <row r="30" spans="1:23" s="277" customFormat="1" ht="14" x14ac:dyDescent="0.2">
      <c r="A30" s="24"/>
      <c r="B30" s="62"/>
      <c r="C30" s="24" t="s">
        <v>41</v>
      </c>
      <c r="D30" s="24"/>
      <c r="E30" s="24"/>
      <c r="F30" s="165">
        <f>'Assumptions - Infrastructure'!E256</f>
        <v>500</v>
      </c>
      <c r="G30" s="246">
        <f>SUM(Calculations!E1152:AH1152)</f>
        <v>4.5690908257106866E-2</v>
      </c>
      <c r="H30" s="24"/>
      <c r="I30" s="62"/>
      <c r="J30" s="24" t="str">
        <f>'Assumptions - Infrastructure'!E35</f>
        <v>Others</v>
      </c>
      <c r="K30" s="24"/>
      <c r="L30" s="24"/>
      <c r="M30" s="165">
        <f>SUM(Calculations!F1020:AH1020)</f>
        <v>725</v>
      </c>
      <c r="N30" s="24" t="str">
        <f>'Assumptions - Infrastructure'!D42</f>
        <v>R$ millions</v>
      </c>
      <c r="O30" s="62"/>
    </row>
    <row r="31" spans="1:23" s="277" customFormat="1" ht="14" x14ac:dyDescent="0.2">
      <c r="A31" s="24"/>
      <c r="B31" s="62"/>
      <c r="C31" s="24" t="s">
        <v>218</v>
      </c>
      <c r="D31" s="24"/>
      <c r="E31" s="24"/>
      <c r="F31" s="165">
        <f>'Assumptions - Infrastructure'!E265</f>
        <v>500</v>
      </c>
      <c r="G31" s="246">
        <f>SUM(Calculations!E1154:AH1154)</f>
        <v>5.3960568691034272E-2</v>
      </c>
      <c r="H31" s="24"/>
      <c r="I31" s="62"/>
      <c r="J31" s="24" t="s">
        <v>412</v>
      </c>
      <c r="K31" s="24"/>
      <c r="L31" s="24"/>
      <c r="M31" s="167">
        <f>SUM(M25:M30)</f>
        <v>8255</v>
      </c>
      <c r="N31" s="64" t="str">
        <f>N30</f>
        <v>R$ millions</v>
      </c>
      <c r="O31" s="62"/>
    </row>
    <row r="32" spans="1:23" s="277" customFormat="1" thickBot="1" x14ac:dyDescent="0.25">
      <c r="A32" s="24"/>
      <c r="B32" s="62"/>
      <c r="C32" s="24" t="s">
        <v>423</v>
      </c>
      <c r="D32" s="24"/>
      <c r="E32" s="24"/>
      <c r="F32" s="165">
        <f>'Assumptions - Infrastructure'!E274</f>
        <v>500</v>
      </c>
      <c r="G32" s="246">
        <f>SUM(Calculations!E1156:AH1156)</f>
        <v>3.0000000000000027E-2</v>
      </c>
      <c r="H32" s="24"/>
      <c r="I32" s="66"/>
      <c r="J32" s="68"/>
      <c r="K32" s="68"/>
      <c r="L32" s="68"/>
      <c r="M32" s="163"/>
      <c r="N32" s="70"/>
      <c r="O32" s="24"/>
    </row>
    <row r="33" spans="1:18" s="277" customFormat="1" ht="14" x14ac:dyDescent="0.2">
      <c r="A33" s="24"/>
      <c r="B33" s="62"/>
      <c r="C33" s="24" t="s">
        <v>424</v>
      </c>
      <c r="D33" s="24"/>
      <c r="E33" s="24"/>
      <c r="F33" s="165">
        <f>'Assumptions - Infrastructure'!E284</f>
        <v>500</v>
      </c>
      <c r="G33" s="246">
        <f>SUM(Calculations!E1158:AH1158)</f>
        <v>3.0000000000000027E-2</v>
      </c>
      <c r="H33" s="24"/>
      <c r="I33" s="24"/>
      <c r="J33" s="24"/>
      <c r="K33" s="24"/>
      <c r="L33" s="24"/>
      <c r="M33" s="24"/>
      <c r="N33" s="24"/>
      <c r="O33" s="24"/>
    </row>
    <row r="34" spans="1:18" s="277" customFormat="1" ht="14" x14ac:dyDescent="0.2">
      <c r="A34" s="24"/>
      <c r="B34" s="62"/>
      <c r="C34" s="24" t="s">
        <v>425</v>
      </c>
      <c r="D34" s="24"/>
      <c r="E34" s="24"/>
      <c r="F34" s="165">
        <f>'Assumptions - Infrastructure'!E306+'Assumptions - Infrastructure'!E315+'Assumptions - Infrastructure'!E324</f>
        <v>750</v>
      </c>
      <c r="G34" s="246">
        <f>IF(Calculations!E19=1,SUM(Calculations!E1166:AH1166)," ")</f>
        <v>3.0000000000000027E-2</v>
      </c>
      <c r="H34" s="24"/>
      <c r="I34" s="24"/>
      <c r="J34" s="24"/>
      <c r="K34" s="24"/>
      <c r="L34" s="24"/>
      <c r="M34" s="24"/>
      <c r="N34" s="24"/>
      <c r="O34" s="24"/>
    </row>
    <row r="35" spans="1:18" s="277" customFormat="1" thickBot="1" x14ac:dyDescent="0.25">
      <c r="A35" s="24"/>
      <c r="B35" s="66"/>
      <c r="C35" s="159"/>
      <c r="D35" s="68"/>
      <c r="E35" s="68"/>
      <c r="F35" s="166"/>
      <c r="G35" s="70"/>
      <c r="H35" s="24"/>
      <c r="I35" s="24"/>
      <c r="J35" s="24"/>
      <c r="K35" s="24"/>
      <c r="L35" s="24"/>
      <c r="M35" s="24"/>
      <c r="N35" s="24"/>
      <c r="O35" s="24"/>
    </row>
    <row r="36" spans="1:18" s="277" customFormat="1" thickBot="1" x14ac:dyDescent="0.25">
      <c r="A36" s="24"/>
      <c r="B36" s="24"/>
      <c r="C36" s="24"/>
      <c r="D36" s="24"/>
      <c r="E36" s="24"/>
      <c r="F36" s="24"/>
      <c r="G36" s="24"/>
      <c r="H36" s="24"/>
      <c r="I36" s="24"/>
      <c r="J36" s="24"/>
      <c r="K36" s="24"/>
      <c r="L36" s="24"/>
      <c r="M36" s="24"/>
      <c r="N36" s="24"/>
      <c r="O36" s="24"/>
    </row>
    <row r="37" spans="1:18" s="277" customFormat="1" x14ac:dyDescent="0.2">
      <c r="A37" s="24"/>
      <c r="B37" s="352"/>
      <c r="C37" s="353" t="s">
        <v>313</v>
      </c>
      <c r="D37" s="354"/>
      <c r="E37" s="354"/>
      <c r="F37" s="361"/>
      <c r="G37" s="355"/>
      <c r="H37" s="24"/>
      <c r="I37" s="24"/>
      <c r="J37" s="24"/>
      <c r="K37" s="24"/>
      <c r="L37" s="24"/>
      <c r="M37" s="24"/>
      <c r="N37" s="24"/>
      <c r="O37" s="24"/>
    </row>
    <row r="38" spans="1:18" s="277" customFormat="1" ht="14" x14ac:dyDescent="0.2">
      <c r="A38" s="24"/>
      <c r="B38" s="62"/>
      <c r="C38" s="24"/>
      <c r="D38" s="24"/>
      <c r="E38" s="24"/>
      <c r="F38" s="138" t="s">
        <v>661</v>
      </c>
      <c r="G38" s="64"/>
      <c r="H38" s="24"/>
      <c r="I38" s="24"/>
      <c r="J38" s="24"/>
      <c r="K38" s="24"/>
      <c r="L38" s="24"/>
      <c r="M38" s="24"/>
      <c r="N38" s="24"/>
      <c r="O38" s="24"/>
    </row>
    <row r="39" spans="1:18" s="277" customFormat="1" ht="14" x14ac:dyDescent="0.2">
      <c r="A39" s="24"/>
      <c r="B39" s="62"/>
      <c r="C39" s="24" t="s">
        <v>48</v>
      </c>
      <c r="D39" s="24"/>
      <c r="E39" s="24"/>
      <c r="F39" s="147">
        <f>IF(Calculations!E19=1,AVERAGE('Assumptions - Infrastructure'!E348:AH348)," ")</f>
        <v>44.552944766554759</v>
      </c>
      <c r="G39" s="64"/>
      <c r="H39" s="24"/>
      <c r="I39" s="24"/>
      <c r="J39" s="24"/>
      <c r="K39" s="24"/>
      <c r="L39" s="24"/>
      <c r="M39" s="24"/>
      <c r="N39" s="24"/>
      <c r="O39" s="24"/>
    </row>
    <row r="40" spans="1:18" s="277" customFormat="1" ht="14" x14ac:dyDescent="0.2">
      <c r="A40" s="24"/>
      <c r="B40" s="62"/>
      <c r="C40" s="24" t="s">
        <v>49</v>
      </c>
      <c r="D40" s="24"/>
      <c r="E40" s="24"/>
      <c r="F40" s="147">
        <f>IF(Calculations!E19=1,AVERAGE('Assumptions - Infrastructure'!E352:AH352)," ")</f>
        <v>36.5</v>
      </c>
      <c r="G40" s="64"/>
      <c r="H40" s="24"/>
      <c r="I40" s="24"/>
      <c r="J40" s="24"/>
      <c r="K40" s="24"/>
      <c r="L40" s="24"/>
      <c r="M40" s="24"/>
      <c r="N40" s="24"/>
      <c r="O40" s="24"/>
    </row>
    <row r="41" spans="1:18" s="277" customFormat="1" ht="14" x14ac:dyDescent="0.2">
      <c r="A41" s="24"/>
      <c r="B41" s="62"/>
      <c r="C41" s="24" t="s">
        <v>273</v>
      </c>
      <c r="D41" s="24"/>
      <c r="E41" s="24"/>
      <c r="F41" s="147">
        <f>IF(Calculations!E19=1,AVERAGE('Assumptions - Infrastructure'!E356:AH356)," ")</f>
        <v>52.142857142857125</v>
      </c>
      <c r="G41" s="64"/>
      <c r="H41" s="24"/>
      <c r="I41" s="24"/>
      <c r="J41" s="24"/>
      <c r="K41" s="24"/>
      <c r="L41" s="24"/>
      <c r="M41" s="24"/>
      <c r="N41" s="24"/>
      <c r="O41" s="24"/>
    </row>
    <row r="42" spans="1:18" s="277" customFormat="1" ht="14" x14ac:dyDescent="0.2">
      <c r="A42" s="24"/>
      <c r="B42" s="62"/>
      <c r="C42" s="24" t="s">
        <v>50</v>
      </c>
      <c r="D42" s="24"/>
      <c r="E42" s="24"/>
      <c r="F42" s="147">
        <f>IF(Calculations!E19=1,AVERAGE('Assumptions - Infrastructure'!E360:AH360)," ")</f>
        <v>52.142857142857125</v>
      </c>
      <c r="G42" s="64"/>
      <c r="H42" s="24"/>
      <c r="I42" s="24"/>
      <c r="J42" s="24"/>
      <c r="K42" s="24"/>
      <c r="L42" s="24"/>
      <c r="M42" s="24"/>
      <c r="N42" s="24"/>
      <c r="O42" s="24"/>
    </row>
    <row r="43" spans="1:18" s="277" customFormat="1" ht="14" x14ac:dyDescent="0.2">
      <c r="A43" s="24"/>
      <c r="B43" s="62"/>
      <c r="C43" s="24" t="s">
        <v>275</v>
      </c>
      <c r="D43" s="24"/>
      <c r="E43" s="24"/>
      <c r="F43" s="147">
        <f>IF(Calculations!E19=1,AVERAGE('Assumptions - Infrastructure'!E364:AH364)," ")</f>
        <v>48.666666666666671</v>
      </c>
      <c r="G43" s="64"/>
      <c r="H43" s="24"/>
      <c r="I43" s="24"/>
      <c r="J43" s="24"/>
      <c r="K43" s="24"/>
      <c r="L43" s="24"/>
      <c r="M43" s="24"/>
      <c r="N43" s="24"/>
      <c r="O43" s="24"/>
    </row>
    <row r="44" spans="1:18" s="277" customFormat="1" ht="16" thickBot="1" x14ac:dyDescent="0.25">
      <c r="A44" s="24"/>
      <c r="B44" s="249"/>
      <c r="C44" s="250"/>
      <c r="D44" s="250"/>
      <c r="E44" s="250"/>
      <c r="F44" s="250"/>
      <c r="G44" s="251"/>
      <c r="H44" s="24"/>
      <c r="I44" s="24"/>
      <c r="J44" s="24"/>
      <c r="K44" s="24"/>
      <c r="L44" s="24"/>
      <c r="M44" s="24"/>
      <c r="N44" s="24"/>
      <c r="O44" s="24"/>
    </row>
    <row r="45" spans="1:18" s="277" customFormat="1" x14ac:dyDescent="0.2">
      <c r="A45" s="24"/>
      <c r="B45" s="22"/>
      <c r="C45" s="22"/>
      <c r="D45" s="22"/>
      <c r="E45" s="22"/>
      <c r="F45" s="22"/>
      <c r="G45" s="22"/>
      <c r="H45" s="24"/>
      <c r="I45" s="24"/>
      <c r="J45" s="24"/>
      <c r="K45" s="24"/>
      <c r="L45" s="24"/>
      <c r="M45" s="24"/>
      <c r="N45" s="24"/>
      <c r="O45" s="24"/>
    </row>
    <row r="46" spans="1:18" s="18" customFormat="1" x14ac:dyDescent="0.2">
      <c r="A46" s="316"/>
      <c r="B46" s="315" t="s">
        <v>299</v>
      </c>
      <c r="C46" s="316"/>
      <c r="D46" s="316"/>
      <c r="E46" s="316"/>
      <c r="F46" s="316"/>
      <c r="G46" s="316"/>
      <c r="H46" s="316"/>
      <c r="I46" s="316"/>
      <c r="J46" s="316"/>
      <c r="K46" s="316"/>
      <c r="L46" s="316"/>
      <c r="M46" s="316"/>
      <c r="N46" s="316"/>
      <c r="O46" s="316"/>
      <c r="P46" s="316"/>
      <c r="Q46" s="316"/>
      <c r="R46" s="316"/>
    </row>
    <row r="47" spans="1:18" s="18" customFormat="1" x14ac:dyDescent="0.2">
      <c r="A47" s="316"/>
      <c r="B47" s="317" t="str">
        <f>'Assumptions - General'!$E$26</f>
        <v>Ruritania Railway Infrastructure Company</v>
      </c>
      <c r="C47" s="316"/>
      <c r="D47" s="316"/>
      <c r="E47" s="316"/>
      <c r="F47" s="316"/>
      <c r="G47" s="316"/>
      <c r="H47" s="316"/>
      <c r="I47" s="316"/>
      <c r="J47" s="316"/>
      <c r="K47" s="316"/>
      <c r="L47" s="316"/>
      <c r="M47" s="316"/>
      <c r="N47" s="316"/>
      <c r="O47" s="316"/>
      <c r="P47" s="316"/>
      <c r="Q47" s="316"/>
      <c r="R47" s="316"/>
    </row>
    <row r="48" spans="1:18" s="18" customFormat="1" x14ac:dyDescent="0.2">
      <c r="A48" s="316"/>
      <c r="B48" s="317" t="str">
        <f>"All units in "  &amp;'Assumptions - General'!$E$27&amp;  " millions unless otherwise stated"</f>
        <v>All units in R$ millions unless otherwise stated</v>
      </c>
      <c r="C48" s="318"/>
      <c r="D48" s="316"/>
      <c r="E48" s="316"/>
      <c r="F48" s="316"/>
      <c r="G48" s="316"/>
      <c r="H48" s="316"/>
      <c r="I48" s="316"/>
      <c r="J48" s="316"/>
      <c r="K48" s="316"/>
      <c r="L48" s="316"/>
      <c r="M48" s="316"/>
      <c r="N48" s="316"/>
      <c r="O48" s="316"/>
      <c r="P48" s="316"/>
      <c r="Q48" s="316"/>
      <c r="R48" s="316"/>
    </row>
    <row r="49" spans="1:18" s="18" customFormat="1" x14ac:dyDescent="0.2">
      <c r="B49" s="77"/>
      <c r="C49" s="78"/>
    </row>
    <row r="50" spans="1:18" s="18" customFormat="1" x14ac:dyDescent="0.2">
      <c r="A50" s="1"/>
      <c r="B50" s="1"/>
      <c r="C50" s="1"/>
      <c r="D50" s="1"/>
      <c r="E50" s="1"/>
      <c r="F50" s="1"/>
      <c r="G50" s="1"/>
      <c r="H50" s="1"/>
      <c r="I50" s="1"/>
      <c r="J50" s="142" t="s">
        <v>297</v>
      </c>
      <c r="K50" s="141">
        <f>IF(Calculations!E19=1,SUM('Charts - Infrastructure'!E147:AH147)," ")</f>
        <v>1.9469174057293204E-2</v>
      </c>
      <c r="L50" s="1"/>
      <c r="M50" s="1"/>
      <c r="N50" s="1"/>
      <c r="O50" s="1"/>
      <c r="P50" s="1"/>
      <c r="Q50" s="1"/>
      <c r="R50" s="1"/>
    </row>
    <row r="51" spans="1:18" s="18" customFormat="1" x14ac:dyDescent="0.2">
      <c r="A51" s="1"/>
      <c r="B51" s="1"/>
      <c r="C51" s="1"/>
      <c r="D51" s="1"/>
      <c r="E51" s="1"/>
      <c r="F51" s="1"/>
      <c r="G51" s="1"/>
      <c r="H51" s="1"/>
      <c r="I51" s="1"/>
      <c r="J51" s="1"/>
      <c r="K51" s="1"/>
      <c r="L51" s="1"/>
      <c r="M51" s="1"/>
      <c r="N51" s="1"/>
      <c r="O51" s="1"/>
      <c r="P51" s="1"/>
      <c r="Q51" s="1"/>
      <c r="R51" s="1"/>
    </row>
    <row r="52" spans="1:18" s="18" customFormat="1" x14ac:dyDescent="0.2">
      <c r="A52" s="192"/>
      <c r="B52" s="1"/>
      <c r="C52" s="1"/>
      <c r="D52" s="1"/>
      <c r="E52" s="1"/>
      <c r="F52" s="1"/>
      <c r="G52" s="1"/>
      <c r="H52" s="1"/>
      <c r="I52" s="1"/>
      <c r="J52" s="1"/>
      <c r="K52" s="1"/>
      <c r="L52" s="1"/>
      <c r="M52" s="1"/>
      <c r="N52" s="1"/>
      <c r="O52" s="1"/>
      <c r="P52" s="1"/>
      <c r="Q52" s="1"/>
      <c r="R52" s="1"/>
    </row>
    <row r="53" spans="1:18" s="18" customFormat="1" x14ac:dyDescent="0.2">
      <c r="A53" s="1"/>
      <c r="B53" s="1"/>
      <c r="C53" s="1"/>
      <c r="D53" s="1"/>
      <c r="E53" s="1"/>
      <c r="F53" s="1"/>
      <c r="G53" s="1"/>
      <c r="H53" s="1"/>
      <c r="I53" s="1"/>
      <c r="J53" s="1"/>
      <c r="K53" s="1"/>
      <c r="L53" s="1"/>
      <c r="M53" s="1"/>
      <c r="N53" s="1"/>
      <c r="O53" s="1"/>
      <c r="P53" s="1"/>
      <c r="Q53" s="1"/>
      <c r="R53" s="1"/>
    </row>
    <row r="54" spans="1:18" s="18" customFormat="1" x14ac:dyDescent="0.2">
      <c r="A54" s="1"/>
      <c r="B54" s="1"/>
      <c r="C54" s="1"/>
      <c r="D54" s="1"/>
      <c r="E54" s="1"/>
      <c r="F54" s="1"/>
      <c r="G54" s="1"/>
      <c r="H54" s="1"/>
      <c r="I54" s="1"/>
      <c r="J54" s="1"/>
      <c r="K54" s="1"/>
      <c r="L54" s="1"/>
      <c r="M54" s="1"/>
      <c r="N54" s="1"/>
      <c r="O54" s="1"/>
      <c r="P54" s="1"/>
      <c r="Q54" s="1"/>
      <c r="R54" s="1"/>
    </row>
    <row r="55" spans="1:18" s="18" customFormat="1" x14ac:dyDescent="0.2">
      <c r="A55" s="1"/>
      <c r="B55" s="1"/>
      <c r="C55" s="1"/>
      <c r="D55" s="1"/>
      <c r="E55" s="1"/>
      <c r="F55" s="1"/>
      <c r="G55" s="1"/>
      <c r="H55" s="1"/>
      <c r="I55" s="1"/>
      <c r="J55" s="1"/>
      <c r="K55" s="1"/>
      <c r="L55" s="1"/>
      <c r="M55" s="1"/>
      <c r="N55" s="1"/>
      <c r="O55" s="1"/>
      <c r="P55" s="1"/>
      <c r="Q55" s="1"/>
      <c r="R55" s="1"/>
    </row>
    <row r="56" spans="1:18" s="18" customFormat="1" x14ac:dyDescent="0.2">
      <c r="A56" s="1"/>
      <c r="B56" s="1"/>
      <c r="C56" s="1"/>
      <c r="D56" s="1"/>
      <c r="E56" s="1"/>
      <c r="F56" s="1"/>
      <c r="G56" s="1"/>
      <c r="H56" s="1"/>
      <c r="I56" s="1"/>
      <c r="J56" s="1"/>
      <c r="K56" s="1"/>
      <c r="L56" s="1"/>
      <c r="M56" s="1"/>
      <c r="N56" s="1"/>
      <c r="O56" s="1"/>
      <c r="P56" s="1"/>
      <c r="Q56" s="1"/>
      <c r="R56" s="1"/>
    </row>
    <row r="57" spans="1:18" s="18" customFormat="1" x14ac:dyDescent="0.2">
      <c r="A57" s="1"/>
      <c r="B57" s="1"/>
      <c r="C57" s="1"/>
      <c r="D57" s="1"/>
      <c r="E57" s="1"/>
      <c r="F57" s="1"/>
      <c r="G57" s="1"/>
      <c r="H57" s="1"/>
      <c r="I57" s="1"/>
      <c r="J57" s="1"/>
      <c r="K57" s="1"/>
      <c r="L57" s="1"/>
      <c r="M57" s="1"/>
      <c r="N57" s="1"/>
      <c r="O57" s="1"/>
      <c r="P57" s="1"/>
      <c r="Q57" s="1"/>
      <c r="R57" s="1"/>
    </row>
    <row r="58" spans="1:18" s="18" customFormat="1" x14ac:dyDescent="0.2">
      <c r="A58" s="1"/>
      <c r="B58" s="1"/>
      <c r="C58" s="1"/>
      <c r="D58" s="1"/>
      <c r="E58" s="1"/>
      <c r="F58" s="1"/>
      <c r="G58" s="1"/>
      <c r="H58" s="1"/>
      <c r="I58" s="1"/>
      <c r="J58" s="1"/>
      <c r="K58" s="1"/>
      <c r="L58" s="1"/>
      <c r="M58" s="1"/>
      <c r="N58" s="1"/>
      <c r="O58" s="1"/>
      <c r="P58" s="1"/>
      <c r="Q58" s="1"/>
      <c r="R58" s="1"/>
    </row>
    <row r="59" spans="1:18" s="18" customFormat="1" x14ac:dyDescent="0.2">
      <c r="A59" s="1"/>
      <c r="B59" s="1"/>
      <c r="C59" s="1"/>
      <c r="D59" s="1"/>
      <c r="E59" s="1"/>
      <c r="F59" s="1"/>
      <c r="G59" s="1"/>
      <c r="H59" s="1"/>
      <c r="I59" s="1"/>
      <c r="J59" s="1"/>
      <c r="K59" s="1"/>
      <c r="L59" s="1"/>
      <c r="M59" s="1"/>
      <c r="N59" s="1"/>
      <c r="O59" s="1"/>
      <c r="P59" s="1"/>
      <c r="Q59" s="1"/>
      <c r="R59" s="1"/>
    </row>
    <row r="60" spans="1:18" s="18" customFormat="1" x14ac:dyDescent="0.2">
      <c r="A60" s="1"/>
      <c r="B60" s="1"/>
      <c r="C60" s="1"/>
      <c r="D60" s="1"/>
      <c r="E60" s="1"/>
      <c r="F60" s="1"/>
      <c r="G60" s="1"/>
      <c r="H60" s="1"/>
      <c r="I60" s="1"/>
      <c r="J60" s="1"/>
      <c r="K60" s="1"/>
      <c r="L60" s="1"/>
      <c r="M60" s="1"/>
      <c r="N60" s="1"/>
      <c r="O60" s="1"/>
      <c r="P60" s="1"/>
      <c r="Q60" s="1"/>
      <c r="R60" s="1"/>
    </row>
    <row r="61" spans="1:18" s="18" customFormat="1" x14ac:dyDescent="0.2">
      <c r="A61" s="1"/>
      <c r="B61" s="1"/>
      <c r="C61" s="1"/>
      <c r="D61" s="1"/>
      <c r="E61" s="1"/>
      <c r="F61" s="1"/>
      <c r="G61" s="1"/>
      <c r="H61" s="1"/>
      <c r="I61" s="1"/>
      <c r="J61" s="1"/>
      <c r="K61" s="1"/>
      <c r="L61" s="1"/>
      <c r="M61" s="1"/>
      <c r="N61" s="1"/>
      <c r="O61" s="1"/>
      <c r="P61" s="1"/>
      <c r="Q61" s="1"/>
      <c r="R61" s="1"/>
    </row>
    <row r="62" spans="1:18" s="18" customFormat="1" ht="16" thickBot="1" x14ac:dyDescent="0.25">
      <c r="A62" s="1"/>
      <c r="B62" s="1"/>
      <c r="C62" s="1"/>
      <c r="D62" s="1"/>
      <c r="E62" s="1"/>
      <c r="F62" s="1"/>
      <c r="G62" s="1"/>
      <c r="H62" s="1"/>
      <c r="I62" s="1"/>
      <c r="J62" s="1"/>
      <c r="K62" s="1"/>
      <c r="L62" s="1"/>
      <c r="M62" s="1"/>
      <c r="N62" s="1"/>
      <c r="O62" s="1"/>
      <c r="P62" s="1"/>
      <c r="Q62" s="1"/>
      <c r="R62" s="1"/>
    </row>
    <row r="63" spans="1:18" s="18" customFormat="1" x14ac:dyDescent="0.2">
      <c r="A63" s="1"/>
      <c r="B63" s="1"/>
      <c r="C63" s="1"/>
      <c r="D63" s="1"/>
      <c r="E63" s="1"/>
      <c r="F63" s="1"/>
      <c r="G63" s="1"/>
      <c r="H63" s="1"/>
      <c r="I63" s="1"/>
      <c r="J63" s="352"/>
      <c r="K63" s="353" t="s">
        <v>203</v>
      </c>
      <c r="L63" s="354"/>
      <c r="M63" s="354"/>
      <c r="N63" s="354"/>
      <c r="O63" s="354"/>
      <c r="P63" s="354"/>
      <c r="Q63" s="354"/>
      <c r="R63" s="355"/>
    </row>
    <row r="64" spans="1:18" s="18" customFormat="1" ht="16" thickBot="1" x14ac:dyDescent="0.25">
      <c r="A64" s="1"/>
      <c r="B64" s="1"/>
      <c r="C64" s="1"/>
      <c r="D64" s="1"/>
      <c r="E64" s="1"/>
      <c r="F64" s="1"/>
      <c r="G64" s="1"/>
      <c r="H64" s="1"/>
      <c r="I64" s="1"/>
      <c r="J64" s="75"/>
      <c r="K64" s="22"/>
      <c r="L64" s="22"/>
      <c r="M64" s="22"/>
      <c r="N64" s="71"/>
      <c r="O64" s="529" t="str">
        <f>B47</f>
        <v>Ruritania Railway Infrastructure Company</v>
      </c>
      <c r="P64" s="529"/>
      <c r="Q64" s="530" t="str">
        <f>'Assumptions - Infrastructure'!E23</f>
        <v>EU railways</v>
      </c>
      <c r="R64" s="538"/>
    </row>
    <row r="65" spans="1:18" s="18" customFormat="1" x14ac:dyDescent="0.2">
      <c r="A65" s="1"/>
      <c r="B65" s="352"/>
      <c r="C65" s="353" t="s">
        <v>166</v>
      </c>
      <c r="D65" s="354"/>
      <c r="E65" s="354"/>
      <c r="F65" s="354"/>
      <c r="G65" s="354"/>
      <c r="H65" s="355"/>
      <c r="I65" s="1"/>
      <c r="J65" s="75"/>
      <c r="K65" s="22"/>
      <c r="L65" s="22"/>
      <c r="M65" s="22"/>
      <c r="N65" s="71"/>
      <c r="O65" s="529"/>
      <c r="P65" s="529"/>
      <c r="Q65" s="529"/>
      <c r="R65" s="538"/>
    </row>
    <row r="66" spans="1:18" s="18" customFormat="1" x14ac:dyDescent="0.2">
      <c r="A66" s="1"/>
      <c r="B66" s="101"/>
      <c r="C66" s="17"/>
      <c r="G66" s="72" t="s">
        <v>162</v>
      </c>
      <c r="H66" s="102"/>
      <c r="I66" s="1"/>
      <c r="J66" s="62"/>
      <c r="K66" s="139" t="s">
        <v>298</v>
      </c>
      <c r="L66" s="140"/>
      <c r="M66" s="140"/>
      <c r="N66" s="139"/>
      <c r="O66" s="533">
        <f>IF(OR(Calculations!E19=1,Calculations!E20=1),K50," ")</f>
        <v>1.9469174057293204E-2</v>
      </c>
      <c r="P66" s="539"/>
      <c r="Q66" s="1"/>
      <c r="R66" s="135"/>
    </row>
    <row r="67" spans="1:18" s="18" customFormat="1" x14ac:dyDescent="0.2">
      <c r="A67" s="1"/>
      <c r="B67" s="101"/>
      <c r="C67" s="519" t="s">
        <v>212</v>
      </c>
      <c r="D67" s="24" t="s">
        <v>172</v>
      </c>
      <c r="F67" s="104">
        <f>MIN('Charts - Infrastructure'!E140:AH140)</f>
        <v>0.90988036494570768</v>
      </c>
      <c r="G67" s="63">
        <f>INDEX(Calculations!E$6:AH$6,MATCH('Results - Infrastructure'!F67,'Charts - Infrastructure'!$E$140:$AH$140,0))</f>
        <v>42004</v>
      </c>
      <c r="H67" s="102"/>
      <c r="I67" s="1"/>
      <c r="J67" s="62"/>
      <c r="K67" s="139" t="s">
        <v>204</v>
      </c>
      <c r="L67" s="140"/>
      <c r="M67" s="140"/>
      <c r="N67" s="139"/>
      <c r="O67" s="524">
        <f>IF(OR(Calculations!E19=1,Calculations!E20=1),AVERAGE('Charts - Infrastructure'!E218:AH218)," ")</f>
        <v>8.2530364923747275</v>
      </c>
      <c r="P67" s="524"/>
      <c r="Q67" s="525">
        <f>'Assumptions - Infrastructure'!E24</f>
        <v>1</v>
      </c>
      <c r="R67" s="526"/>
    </row>
    <row r="68" spans="1:18" s="18" customFormat="1" x14ac:dyDescent="0.2">
      <c r="A68" s="1"/>
      <c r="B68" s="101"/>
      <c r="C68" s="540"/>
      <c r="D68" s="24" t="s">
        <v>164</v>
      </c>
      <c r="F68" s="104">
        <f>MAX('Charts - Infrastructure'!E140:AH140)</f>
        <v>0.92857103967261889</v>
      </c>
      <c r="G68" s="63">
        <f>INDEX(Calculations!E$6:AH$6,MATCH('Results - Infrastructure'!F68,'Charts - Infrastructure'!$E$140:$AH$140,0))</f>
        <v>51135</v>
      </c>
      <c r="H68" s="102"/>
      <c r="I68" s="1"/>
      <c r="J68" s="62"/>
      <c r="K68" s="139" t="s">
        <v>205</v>
      </c>
      <c r="L68" s="140"/>
      <c r="M68" s="140"/>
      <c r="N68" s="139"/>
      <c r="O68" s="524">
        <f>IF(OR(Calculations!E19=1,Calculations!E20=1),AVERAGE('Charts - Infrastructure'!E232:AH232)," ")</f>
        <v>10.782222222222222</v>
      </c>
      <c r="P68" s="524"/>
      <c r="Q68" s="525">
        <f>'Assumptions - Infrastructure'!E25</f>
        <v>1</v>
      </c>
      <c r="R68" s="526"/>
    </row>
    <row r="69" spans="1:18" s="18" customFormat="1" ht="16" thickBot="1" x14ac:dyDescent="0.25">
      <c r="A69" s="1"/>
      <c r="B69" s="101"/>
      <c r="C69" s="103"/>
      <c r="D69" s="24" t="s">
        <v>165</v>
      </c>
      <c r="F69" s="104">
        <f>IF(Calculations!E19=1,AVERAGE('Charts - Infrastructure'!E140:AH140)," ")</f>
        <v>0.92007582542658117</v>
      </c>
      <c r="G69" s="63"/>
      <c r="H69" s="102"/>
      <c r="I69" s="1"/>
      <c r="J69" s="66"/>
      <c r="K69" s="171" t="s">
        <v>196</v>
      </c>
      <c r="L69" s="172"/>
      <c r="M69" s="172"/>
      <c r="N69" s="171"/>
      <c r="O69" s="521">
        <f>IF(OR(Calculations!E19=1,Calculations!E20=1),AVERAGE('Charts - Infrastructure'!E225:AH225)," ")</f>
        <v>1.3022222222222224</v>
      </c>
      <c r="P69" s="521"/>
      <c r="Q69" s="522">
        <f>'Assumptions - Infrastructure'!E26</f>
        <v>1</v>
      </c>
      <c r="R69" s="523"/>
    </row>
    <row r="70" spans="1:18" s="18" customFormat="1" x14ac:dyDescent="0.2">
      <c r="A70" s="1"/>
      <c r="B70" s="101"/>
      <c r="C70" s="103"/>
      <c r="F70" s="105"/>
      <c r="H70" s="102"/>
      <c r="I70" s="1"/>
      <c r="J70" s="1"/>
      <c r="K70" s="1"/>
      <c r="L70" s="1"/>
      <c r="M70" s="1"/>
      <c r="N70" s="1"/>
      <c r="O70" s="1"/>
      <c r="P70" s="1"/>
      <c r="Q70" s="1"/>
      <c r="R70" s="1"/>
    </row>
    <row r="71" spans="1:18" s="18" customFormat="1" ht="30" x14ac:dyDescent="0.2">
      <c r="A71" s="1"/>
      <c r="B71" s="101"/>
      <c r="C71" s="258" t="s">
        <v>213</v>
      </c>
      <c r="D71" s="24" t="s">
        <v>172</v>
      </c>
      <c r="F71" s="104">
        <f>MIN(Calculations!E1182:AH1182)</f>
        <v>0.63019502829106899</v>
      </c>
      <c r="G71" s="63">
        <f>IF(Calculations!E19=1,INDEX(Calculations!E$6:AH$6,MATCH('Results - Infrastructure'!F71,Calculations!E$1182:AH$1182,0))," ")</f>
        <v>40908</v>
      </c>
      <c r="H71" s="102"/>
      <c r="I71" s="1"/>
      <c r="J71" s="1"/>
      <c r="K71" s="1"/>
      <c r="L71" s="1"/>
      <c r="M71" s="1"/>
      <c r="N71" s="1"/>
      <c r="O71" s="1"/>
      <c r="P71" s="1"/>
      <c r="Q71" s="1"/>
      <c r="R71" s="1"/>
    </row>
    <row r="72" spans="1:18" s="18" customFormat="1" x14ac:dyDescent="0.2">
      <c r="A72" s="1"/>
      <c r="B72" s="101"/>
      <c r="C72" s="299"/>
      <c r="D72" s="24" t="s">
        <v>164</v>
      </c>
      <c r="F72" s="104">
        <f>MAX(Calculations!E1182:AH1182)</f>
        <v>0.78682649105432079</v>
      </c>
      <c r="G72" s="63">
        <f>IF(Calculations!E19=1,INDEX(Calculations!E$6:AH$6,MATCH('Results - Infrastructure'!F72,Calculations!E$1182:AH$1182,0))," ")</f>
        <v>51135</v>
      </c>
      <c r="H72" s="102"/>
      <c r="I72" s="1"/>
      <c r="J72" s="1"/>
      <c r="K72" s="1"/>
      <c r="L72" s="1"/>
      <c r="M72" s="1"/>
      <c r="N72" s="1"/>
      <c r="O72" s="1"/>
      <c r="P72" s="1"/>
      <c r="Q72" s="1"/>
      <c r="R72" s="1"/>
    </row>
    <row r="73" spans="1:18" s="18" customFormat="1" x14ac:dyDescent="0.2">
      <c r="A73" s="1"/>
      <c r="B73" s="101"/>
      <c r="C73" s="17"/>
      <c r="D73" s="24" t="s">
        <v>165</v>
      </c>
      <c r="F73" s="104">
        <f>IF(Calculations!E19=1,AVERAGE(Calculations!E1182:AH1182)," ")</f>
        <v>0.71385439457894562</v>
      </c>
      <c r="H73" s="102"/>
      <c r="I73" s="1"/>
      <c r="J73" s="1"/>
      <c r="K73" s="1"/>
      <c r="L73" s="1"/>
      <c r="M73" s="1"/>
      <c r="N73" s="1"/>
      <c r="O73" s="1"/>
      <c r="P73" s="1"/>
      <c r="Q73" s="1"/>
      <c r="R73" s="1"/>
    </row>
    <row r="74" spans="1:18" s="18" customFormat="1" x14ac:dyDescent="0.2">
      <c r="A74" s="1"/>
      <c r="B74" s="62"/>
      <c r="C74" s="24"/>
      <c r="D74" s="24"/>
      <c r="E74" s="24"/>
      <c r="F74" s="24"/>
      <c r="G74" s="24"/>
      <c r="H74" s="64"/>
      <c r="I74" s="1"/>
      <c r="J74" s="1"/>
      <c r="K74" s="1"/>
      <c r="L74" s="1"/>
      <c r="M74" s="1"/>
      <c r="N74" s="1"/>
      <c r="O74" s="1"/>
      <c r="P74" s="1"/>
      <c r="Q74" s="1"/>
      <c r="R74" s="1"/>
    </row>
    <row r="75" spans="1:18" s="18" customFormat="1" x14ac:dyDescent="0.2">
      <c r="A75" s="1"/>
      <c r="B75" s="62"/>
      <c r="C75" s="26" t="s">
        <v>173</v>
      </c>
      <c r="D75" s="24" t="s">
        <v>172</v>
      </c>
      <c r="E75" s="24"/>
      <c r="F75" s="237">
        <f>MIN('Charts - Infrastructure'!F197:AH197)</f>
        <v>333.1690781968789</v>
      </c>
      <c r="G75" s="63">
        <f>INDEX(Calculations!F$6:AH$6,MATCH('Results - Infrastructure'!F75,'Charts - Infrastructure'!F197:AH197,0))</f>
        <v>46387</v>
      </c>
      <c r="H75" s="64"/>
      <c r="I75" s="1"/>
      <c r="J75" s="1"/>
      <c r="K75" s="1"/>
      <c r="L75" s="1"/>
      <c r="M75" s="1"/>
      <c r="N75" s="1"/>
      <c r="O75" s="1"/>
      <c r="P75" s="1"/>
      <c r="Q75" s="1"/>
      <c r="R75" s="1"/>
    </row>
    <row r="76" spans="1:18" s="18" customFormat="1" x14ac:dyDescent="0.2">
      <c r="A76" s="1"/>
      <c r="B76" s="62"/>
      <c r="C76" s="24"/>
      <c r="D76" s="24" t="s">
        <v>164</v>
      </c>
      <c r="E76" s="24"/>
      <c r="F76" s="238">
        <f>MAX('Charts - Infrastructure'!F197:AH197)</f>
        <v>5424.3398035230693</v>
      </c>
      <c r="G76" s="63">
        <f>INDEX(Calculations!F$6:AH$6,MATCH('Results - Infrastructure'!F76,'Charts - Infrastructure'!F197:AH197,0))</f>
        <v>46022</v>
      </c>
      <c r="H76" s="64"/>
      <c r="I76" s="1"/>
      <c r="J76" s="1"/>
      <c r="K76" s="1"/>
      <c r="L76" s="1"/>
      <c r="M76" s="1"/>
      <c r="N76" s="1"/>
      <c r="O76" s="1"/>
      <c r="P76" s="1"/>
      <c r="Q76" s="1"/>
      <c r="R76" s="1"/>
    </row>
    <row r="77" spans="1:18" s="18" customFormat="1" x14ac:dyDescent="0.2">
      <c r="A77" s="1"/>
      <c r="B77" s="62"/>
      <c r="C77" s="24"/>
      <c r="D77" s="24" t="s">
        <v>165</v>
      </c>
      <c r="E77" s="24"/>
      <c r="F77" s="238">
        <f>IF(Calculations!E19=1,AVERAGE('Charts - Infrastructure'!F197:AH197)," ")</f>
        <v>2395.2894918550851</v>
      </c>
      <c r="G77" s="24"/>
      <c r="H77" s="64"/>
      <c r="I77" s="1"/>
      <c r="J77" s="1"/>
      <c r="K77" s="1"/>
      <c r="L77" s="1"/>
      <c r="M77" s="1"/>
      <c r="N77" s="1"/>
      <c r="O77" s="1"/>
      <c r="P77" s="1"/>
      <c r="Q77" s="1"/>
      <c r="R77" s="1"/>
    </row>
    <row r="78" spans="1:18" s="18" customFormat="1" x14ac:dyDescent="0.2">
      <c r="A78" s="1"/>
      <c r="B78" s="62"/>
      <c r="C78" s="24"/>
      <c r="D78" s="24"/>
      <c r="E78" s="24"/>
      <c r="F78" s="65"/>
      <c r="G78" s="24"/>
      <c r="H78" s="64"/>
      <c r="I78" s="1"/>
      <c r="J78" s="1"/>
      <c r="K78" s="1"/>
      <c r="L78" s="1"/>
      <c r="M78" s="1"/>
      <c r="N78" s="1"/>
      <c r="O78" s="1"/>
      <c r="P78" s="1"/>
      <c r="Q78" s="1"/>
      <c r="R78" s="1"/>
    </row>
    <row r="79" spans="1:18" s="18" customFormat="1" x14ac:dyDescent="0.2">
      <c r="A79" s="1"/>
      <c r="B79" s="62"/>
      <c r="C79" s="519" t="s">
        <v>191</v>
      </c>
      <c r="D79" s="24" t="s">
        <v>172</v>
      </c>
      <c r="E79" s="24"/>
      <c r="F79" s="83">
        <f>MIN('Charts - Infrastructure'!E214:AH214)</f>
        <v>6.9650230398639948E-2</v>
      </c>
      <c r="G79" s="63">
        <f>INDEX(Calculations!E$6:AH$6,MATCH('Results - Infrastructure'!F79,'Charts - Infrastructure'!$E$214:$AH$214,0))</f>
        <v>51135</v>
      </c>
      <c r="H79" s="64"/>
      <c r="I79" s="1"/>
      <c r="J79" s="1"/>
      <c r="K79" s="1"/>
      <c r="L79" s="1"/>
      <c r="M79" s="1"/>
      <c r="N79" s="1"/>
      <c r="O79" s="1"/>
      <c r="P79" s="1"/>
      <c r="Q79" s="1"/>
      <c r="R79" s="1"/>
    </row>
    <row r="80" spans="1:18" s="18" customFormat="1" x14ac:dyDescent="0.2">
      <c r="A80" s="1"/>
      <c r="B80" s="62"/>
      <c r="C80" s="537"/>
      <c r="D80" s="24" t="s">
        <v>164</v>
      </c>
      <c r="E80" s="24"/>
      <c r="F80" s="83">
        <f>MAX('Charts - Infrastructure'!E214:AH214)</f>
        <v>8.8342624827758467E-2</v>
      </c>
      <c r="G80" s="63">
        <f>INDEX(Calculations!E$6:AH$6,MATCH('Results - Infrastructure'!F80,'Charts - Infrastructure'!$E$214:$AH$214,0))</f>
        <v>42004</v>
      </c>
      <c r="H80" s="64"/>
      <c r="I80" s="1"/>
      <c r="J80" s="1"/>
      <c r="K80" s="1"/>
      <c r="L80" s="1"/>
      <c r="M80" s="1"/>
      <c r="N80" s="1"/>
      <c r="O80" s="1"/>
      <c r="P80" s="1"/>
      <c r="Q80" s="1"/>
      <c r="R80" s="1"/>
    </row>
    <row r="81" spans="1:18" s="18" customFormat="1" x14ac:dyDescent="0.2">
      <c r="A81" s="1"/>
      <c r="B81" s="62"/>
      <c r="C81" s="24"/>
      <c r="D81" s="24" t="s">
        <v>165</v>
      </c>
      <c r="E81" s="24"/>
      <c r="F81" s="83">
        <f>IF(Calculations!E19=1,AVERAGE('Charts - Infrastructure'!E214:AH214)," ")</f>
        <v>7.7892143268697603E-2</v>
      </c>
      <c r="G81" s="63"/>
      <c r="H81" s="64"/>
      <c r="I81" s="1"/>
      <c r="J81" s="1"/>
      <c r="K81" s="1"/>
      <c r="L81" s="1"/>
      <c r="M81" s="1"/>
      <c r="N81" s="1"/>
      <c r="O81" s="1"/>
      <c r="P81" s="1"/>
      <c r="Q81" s="1"/>
      <c r="R81" s="1"/>
    </row>
    <row r="82" spans="1:18" s="18" customFormat="1" x14ac:dyDescent="0.2">
      <c r="A82" s="1"/>
      <c r="B82" s="134"/>
      <c r="C82" s="1"/>
      <c r="D82" s="1"/>
      <c r="E82" s="1"/>
      <c r="F82" s="1"/>
      <c r="G82" s="1"/>
      <c r="H82" s="135"/>
      <c r="I82" s="1"/>
      <c r="J82" s="1"/>
      <c r="K82" s="1"/>
      <c r="L82" s="1"/>
      <c r="M82" s="1"/>
      <c r="N82" s="1"/>
      <c r="O82" s="1"/>
      <c r="P82" s="1"/>
      <c r="Q82" s="1"/>
      <c r="R82" s="1"/>
    </row>
    <row r="83" spans="1:18" s="18" customFormat="1" x14ac:dyDescent="0.2">
      <c r="A83" s="1"/>
      <c r="B83" s="134"/>
      <c r="C83" s="519" t="s">
        <v>178</v>
      </c>
      <c r="D83" s="24" t="s">
        <v>172</v>
      </c>
      <c r="E83" s="24"/>
      <c r="F83" s="107">
        <f>MIN(Calculations!E1202:AH1202)</f>
        <v>8.6885245901639347</v>
      </c>
      <c r="G83" s="63">
        <f>IF(Calculations!E19=1,INDEX(Calculations!E$6:AH$6,MATCH(F83,Calculations!E$1202:AH$1202,0))," ")</f>
        <v>40543</v>
      </c>
      <c r="H83" s="135"/>
      <c r="I83" s="1"/>
      <c r="J83" s="1"/>
      <c r="K83" s="1"/>
      <c r="L83" s="1"/>
      <c r="M83" s="1"/>
      <c r="N83" s="1"/>
      <c r="O83" s="1"/>
      <c r="P83" s="1"/>
      <c r="Q83" s="1"/>
      <c r="R83" s="1"/>
    </row>
    <row r="84" spans="1:18" s="18" customFormat="1" x14ac:dyDescent="0.2">
      <c r="A84" s="1"/>
      <c r="B84" s="134"/>
      <c r="C84" s="537"/>
      <c r="D84" s="24" t="s">
        <v>164</v>
      </c>
      <c r="E84" s="24"/>
      <c r="F84" s="107">
        <f>MAX(Calculations!E1202:AH1202)</f>
        <v>329.90314330695384</v>
      </c>
      <c r="G84" s="63">
        <f>IF(Calculations!E19=1,INDEX(Calculations!E$6:AH$6,MATCH(F84,Calculations!E$1202:AH$1202,0))," ")</f>
        <v>51135</v>
      </c>
      <c r="H84" s="135"/>
      <c r="I84" s="1"/>
      <c r="J84" s="1"/>
      <c r="K84" s="1"/>
      <c r="L84" s="1"/>
      <c r="M84" s="1"/>
      <c r="N84" s="1"/>
      <c r="O84" s="1"/>
      <c r="P84" s="1"/>
      <c r="Q84" s="1"/>
      <c r="R84" s="1"/>
    </row>
    <row r="85" spans="1:18" s="18" customFormat="1" ht="16" thickBot="1" x14ac:dyDescent="0.25">
      <c r="A85" s="1"/>
      <c r="B85" s="136"/>
      <c r="C85" s="68"/>
      <c r="D85" s="68" t="s">
        <v>165</v>
      </c>
      <c r="E85" s="68"/>
      <c r="F85" s="109">
        <f>IF(Calculations!E19=1,AVERAGE(Calculations!E1202:AH1202)," ")</f>
        <v>173.04571038979637</v>
      </c>
      <c r="G85" s="68"/>
      <c r="H85" s="137"/>
      <c r="I85" s="1"/>
      <c r="J85" s="1"/>
      <c r="K85" s="1"/>
      <c r="L85" s="1"/>
      <c r="M85" s="1"/>
      <c r="N85" s="1"/>
      <c r="O85" s="1"/>
      <c r="P85" s="1"/>
      <c r="Q85" s="1"/>
      <c r="R85" s="1"/>
    </row>
    <row r="86" spans="1:18" s="18" customFormat="1" x14ac:dyDescent="0.2">
      <c r="A86" s="1"/>
      <c r="B86" s="1"/>
      <c r="C86" s="1"/>
      <c r="D86" s="1"/>
      <c r="E86" s="1"/>
      <c r="F86" s="1"/>
      <c r="G86" s="1"/>
      <c r="H86" s="1"/>
      <c r="I86" s="1"/>
      <c r="J86" s="1"/>
      <c r="K86" s="1"/>
      <c r="L86" s="1"/>
      <c r="M86" s="1"/>
      <c r="N86" s="1"/>
      <c r="O86" s="1"/>
      <c r="P86" s="1"/>
      <c r="Q86" s="1"/>
      <c r="R86" s="1"/>
    </row>
    <row r="87" spans="1:18" s="18" customFormat="1" x14ac:dyDescent="0.2">
      <c r="A87" s="316"/>
      <c r="B87" s="315" t="s">
        <v>324</v>
      </c>
      <c r="C87" s="316"/>
      <c r="D87" s="316"/>
      <c r="E87" s="316"/>
      <c r="F87" s="316"/>
      <c r="G87" s="316"/>
      <c r="H87" s="316"/>
      <c r="I87" s="316"/>
      <c r="J87" s="316"/>
      <c r="K87" s="316"/>
      <c r="L87" s="316"/>
      <c r="M87" s="316"/>
      <c r="N87" s="316"/>
      <c r="O87" s="316"/>
      <c r="P87" s="316"/>
    </row>
    <row r="88" spans="1:18" s="18" customFormat="1" x14ac:dyDescent="0.2">
      <c r="A88" s="316"/>
      <c r="B88" s="317" t="str">
        <f>'Assumptions - General'!$E$26</f>
        <v>Ruritania Railway Infrastructure Company</v>
      </c>
      <c r="C88" s="316"/>
      <c r="D88" s="316"/>
      <c r="E88" s="316"/>
      <c r="F88" s="316"/>
      <c r="G88" s="316"/>
      <c r="H88" s="316"/>
      <c r="I88" s="316"/>
      <c r="J88" s="316"/>
      <c r="K88" s="316"/>
      <c r="L88" s="316"/>
      <c r="M88" s="316"/>
      <c r="N88" s="316"/>
      <c r="O88" s="316"/>
      <c r="P88" s="316"/>
    </row>
    <row r="89" spans="1:18" s="18" customFormat="1" x14ac:dyDescent="0.2">
      <c r="A89" s="316"/>
      <c r="B89" s="317" t="str">
        <f>"All units in "  &amp;'Assumptions - General'!$E$27&amp;  " millions unless otherwise stated"</f>
        <v>All units in R$ millions unless otherwise stated</v>
      </c>
      <c r="C89" s="318"/>
      <c r="D89" s="316"/>
      <c r="E89" s="316"/>
      <c r="F89" s="316"/>
      <c r="G89" s="316"/>
      <c r="H89" s="316"/>
      <c r="I89" s="316"/>
      <c r="J89" s="316"/>
      <c r="K89" s="316"/>
      <c r="L89" s="316"/>
      <c r="M89" s="316"/>
      <c r="N89" s="316"/>
      <c r="O89" s="316"/>
      <c r="P89" s="316"/>
    </row>
    <row r="90" spans="1:18" s="278" customFormat="1" ht="16" thickBot="1" x14ac:dyDescent="0.25">
      <c r="A90" s="22"/>
      <c r="B90" s="22"/>
      <c r="C90" s="22"/>
      <c r="D90" s="22"/>
      <c r="E90" s="22"/>
      <c r="F90" s="22"/>
      <c r="G90" s="22"/>
      <c r="H90" s="22"/>
      <c r="I90" s="22"/>
      <c r="J90" s="22"/>
      <c r="K90" s="22"/>
      <c r="L90" s="22"/>
      <c r="M90" s="22"/>
      <c r="N90" s="22"/>
      <c r="O90" s="22"/>
      <c r="P90" s="22"/>
    </row>
    <row r="91" spans="1:18" s="278" customFormat="1" x14ac:dyDescent="0.2">
      <c r="A91" s="22"/>
      <c r="B91" s="352"/>
      <c r="C91" s="353" t="s">
        <v>324</v>
      </c>
      <c r="D91" s="354"/>
      <c r="E91" s="354"/>
      <c r="F91" s="354"/>
      <c r="G91" s="354"/>
      <c r="H91" s="355"/>
      <c r="I91" s="22"/>
      <c r="J91" s="352"/>
      <c r="K91" s="353"/>
      <c r="L91" s="354"/>
      <c r="M91" s="354"/>
      <c r="N91" s="354"/>
      <c r="O91" s="354"/>
      <c r="P91" s="355"/>
    </row>
    <row r="92" spans="1:18" s="277" customFormat="1" x14ac:dyDescent="0.2">
      <c r="A92" s="24"/>
      <c r="B92" s="101"/>
      <c r="C92" s="17"/>
      <c r="D92" s="18"/>
      <c r="E92" s="18"/>
      <c r="F92" s="18"/>
      <c r="G92" s="72" t="s">
        <v>162</v>
      </c>
      <c r="H92" s="102"/>
      <c r="I92" s="24"/>
      <c r="J92" s="62"/>
      <c r="K92" s="24"/>
      <c r="L92" s="24"/>
      <c r="M92" s="24"/>
      <c r="N92" s="24"/>
      <c r="O92" s="72" t="s">
        <v>162</v>
      </c>
      <c r="P92" s="64"/>
    </row>
    <row r="93" spans="1:18" s="277" customFormat="1" x14ac:dyDescent="0.2">
      <c r="A93" s="24"/>
      <c r="B93" s="101"/>
      <c r="C93" s="519" t="s">
        <v>212</v>
      </c>
      <c r="D93" s="24" t="s">
        <v>172</v>
      </c>
      <c r="E93" s="18"/>
      <c r="F93" s="104">
        <f>MIN('Charts - Infrastructure'!E140:AH140)</f>
        <v>0.90988036494570768</v>
      </c>
      <c r="G93" s="63">
        <f>INDEX(Calculations!E$6:AH$6,MATCH('Results - Infrastructure'!F93,'Charts - Infrastructure'!$E$140:$AH$140,0))</f>
        <v>42004</v>
      </c>
      <c r="H93" s="102"/>
      <c r="I93" s="24"/>
      <c r="J93" s="62"/>
      <c r="K93" s="519" t="s">
        <v>190</v>
      </c>
      <c r="L93" s="24" t="s">
        <v>172</v>
      </c>
      <c r="M93" s="24"/>
      <c r="N93" s="83">
        <f>MIN('Charts - Infrastructure'!E213:AH213)</f>
        <v>7.1428960327381025E-2</v>
      </c>
      <c r="O93" s="63">
        <f>INDEX(Calculations!E$6:AH$6,MATCH('Results - Infrastructure'!N93,'Charts - Infrastructure'!$E$213:$AH$213,0))</f>
        <v>51135</v>
      </c>
      <c r="P93" s="64"/>
    </row>
    <row r="94" spans="1:18" s="277" customFormat="1" x14ac:dyDescent="0.2">
      <c r="A94" s="24"/>
      <c r="B94" s="101"/>
      <c r="C94" s="537"/>
      <c r="D94" s="24" t="s">
        <v>164</v>
      </c>
      <c r="E94" s="18"/>
      <c r="F94" s="104">
        <f>MAX('Charts - Infrastructure'!E140:AH140)</f>
        <v>0.92857103967261889</v>
      </c>
      <c r="G94" s="63">
        <f>INDEX(Calculations!E$6:AH$6,MATCH('Results - Infrastructure'!F94,'Charts - Infrastructure'!$E$140:$AH$140,0))</f>
        <v>51135</v>
      </c>
      <c r="H94" s="102"/>
      <c r="I94" s="24"/>
      <c r="J94" s="62"/>
      <c r="K94" s="537"/>
      <c r="L94" s="24" t="s">
        <v>164</v>
      </c>
      <c r="M94" s="24"/>
      <c r="N94" s="83">
        <f>MAX('Charts - Infrastructure'!E213:AH213)</f>
        <v>9.0119635054292449E-2</v>
      </c>
      <c r="O94" s="63">
        <f>INDEX(Calculations!E$6:AH$6,MATCH('Results - Infrastructure'!N94,'Charts - Infrastructure'!$E$213:$AH$213,0))</f>
        <v>42004</v>
      </c>
      <c r="P94" s="64"/>
    </row>
    <row r="95" spans="1:18" s="277" customFormat="1" x14ac:dyDescent="0.2">
      <c r="A95" s="24"/>
      <c r="B95" s="101"/>
      <c r="C95" s="103"/>
      <c r="D95" s="24" t="s">
        <v>165</v>
      </c>
      <c r="E95" s="18"/>
      <c r="F95" s="104">
        <f>IF(Calculations!E19=1,AVERAGE('Charts - Infrastructure'!E140:AH140)," ")</f>
        <v>0.92007582542658117</v>
      </c>
      <c r="G95" s="63"/>
      <c r="H95" s="102"/>
      <c r="I95" s="24"/>
      <c r="J95" s="62"/>
      <c r="K95" s="24"/>
      <c r="L95" s="24" t="s">
        <v>165</v>
      </c>
      <c r="M95" s="24"/>
      <c r="N95" s="83">
        <f>IF(Calculations!E19=1,AVERAGE('Charts - Infrastructure'!E213:AH213)," ")</f>
        <v>7.9924174573418771E-2</v>
      </c>
      <c r="O95" s="63"/>
      <c r="P95" s="64"/>
    </row>
    <row r="96" spans="1:18" s="277" customFormat="1" x14ac:dyDescent="0.2">
      <c r="A96" s="24"/>
      <c r="B96" s="101"/>
      <c r="C96" s="103"/>
      <c r="D96" s="18"/>
      <c r="E96" s="18"/>
      <c r="F96" s="105"/>
      <c r="G96" s="18"/>
      <c r="H96" s="102"/>
      <c r="I96" s="24"/>
      <c r="J96" s="62"/>
      <c r="K96" s="24"/>
      <c r="L96" s="24"/>
      <c r="M96" s="24"/>
      <c r="N96" s="65"/>
      <c r="O96" s="24"/>
      <c r="P96" s="64"/>
    </row>
    <row r="97" spans="1:17" s="277" customFormat="1" x14ac:dyDescent="0.2">
      <c r="A97" s="24"/>
      <c r="B97" s="101"/>
      <c r="C97" s="519" t="s">
        <v>213</v>
      </c>
      <c r="D97" s="24" t="s">
        <v>172</v>
      </c>
      <c r="E97" s="18"/>
      <c r="F97" s="104">
        <f>MIN(Calculations!E1182:AH1182)</f>
        <v>0.63019502829106899</v>
      </c>
      <c r="G97" s="63">
        <f>IF(Calculations!E19=1,INDEX(Calculations!E$6:AH$6,MATCH('Results - Infrastructure'!F97,Calculations!E$1182:AH$1182,0))," ")</f>
        <v>40908</v>
      </c>
      <c r="H97" s="102"/>
      <c r="I97" s="24"/>
      <c r="J97" s="62"/>
      <c r="K97" s="519" t="s">
        <v>191</v>
      </c>
      <c r="L97" s="24" t="s">
        <v>172</v>
      </c>
      <c r="M97" s="24"/>
      <c r="N97" s="83">
        <f>MIN('Charts - Infrastructure'!E214:AH214)</f>
        <v>6.9650230398639948E-2</v>
      </c>
      <c r="O97" s="63">
        <f>INDEX(Calculations!E$6:AH$6,MATCH('Results - Infrastructure'!N97,'Charts - Infrastructure'!$E$214:$AH$214,0))</f>
        <v>51135</v>
      </c>
      <c r="P97" s="64"/>
    </row>
    <row r="98" spans="1:17" s="277" customFormat="1" x14ac:dyDescent="0.2">
      <c r="A98" s="24"/>
      <c r="B98" s="101"/>
      <c r="C98" s="537"/>
      <c r="D98" s="24" t="s">
        <v>164</v>
      </c>
      <c r="E98" s="18"/>
      <c r="F98" s="104">
        <f>MAX(Calculations!E1182:AH1182)</f>
        <v>0.78682649105432079</v>
      </c>
      <c r="G98" s="63">
        <f>IF(Calculations!E19=1,INDEX(Calculations!E$6:AH$6,MATCH('Results - Infrastructure'!F98,Calculations!E$1182:AH$1182,0))," ")</f>
        <v>51135</v>
      </c>
      <c r="H98" s="102"/>
      <c r="I98" s="24"/>
      <c r="J98" s="62"/>
      <c r="K98" s="537"/>
      <c r="L98" s="24" t="s">
        <v>164</v>
      </c>
      <c r="M98" s="24"/>
      <c r="N98" s="83">
        <f>MAX('Charts - Infrastructure'!E214:AH214)</f>
        <v>8.8342624827758467E-2</v>
      </c>
      <c r="O98" s="63">
        <f>INDEX(Calculations!E$6:AH$6,MATCH('Results - Infrastructure'!N98,'Charts - Infrastructure'!$E$214:$AH$214,0))</f>
        <v>42004</v>
      </c>
      <c r="P98" s="64"/>
    </row>
    <row r="99" spans="1:17" s="277" customFormat="1" x14ac:dyDescent="0.2">
      <c r="A99" s="24"/>
      <c r="B99" s="101"/>
      <c r="C99" s="17"/>
      <c r="D99" s="24" t="s">
        <v>165</v>
      </c>
      <c r="E99" s="18"/>
      <c r="F99" s="104">
        <f>IF(Calculations!E19=1,AVERAGE(Calculations!E1182:AH1182)," ")</f>
        <v>0.71385439457894562</v>
      </c>
      <c r="G99" s="18"/>
      <c r="H99" s="102"/>
      <c r="I99" s="24"/>
      <c r="J99" s="62"/>
      <c r="K99" s="24"/>
      <c r="L99" s="24" t="s">
        <v>165</v>
      </c>
      <c r="M99" s="24"/>
      <c r="N99" s="83">
        <f>IF(Calculations!E19=1,AVERAGE('Charts - Infrastructure'!E214:AH214)," ")</f>
        <v>7.7892143268697603E-2</v>
      </c>
      <c r="O99" s="63"/>
      <c r="P99" s="64"/>
    </row>
    <row r="100" spans="1:17" s="277" customFormat="1" ht="14" x14ac:dyDescent="0.2">
      <c r="A100" s="24"/>
      <c r="B100" s="62"/>
      <c r="C100" s="24"/>
      <c r="D100" s="24"/>
      <c r="E100" s="24"/>
      <c r="F100" s="24"/>
      <c r="G100" s="24"/>
      <c r="H100" s="64"/>
      <c r="I100" s="24"/>
      <c r="J100" s="62"/>
      <c r="K100" s="24"/>
      <c r="L100" s="24"/>
      <c r="M100" s="24"/>
      <c r="N100" s="83"/>
      <c r="O100" s="63"/>
      <c r="P100" s="64"/>
    </row>
    <row r="101" spans="1:17" s="277" customFormat="1" ht="14" x14ac:dyDescent="0.2">
      <c r="A101" s="24"/>
      <c r="B101" s="62"/>
      <c r="C101" s="26" t="s">
        <v>171</v>
      </c>
      <c r="D101" s="24" t="s">
        <v>172</v>
      </c>
      <c r="E101" s="24"/>
      <c r="F101" s="73">
        <f>MIN(Calculations!E1184:AH1184)</f>
        <v>0.21663866528351428</v>
      </c>
      <c r="G101" s="63">
        <f>IF(Calculations!E19=1,INDEX(Calculations!E$6:AH$6,MATCH('Results - Infrastructure'!F101,Calculations!E$1184:AH$1184,0))," ")</f>
        <v>51135</v>
      </c>
      <c r="H101" s="64"/>
      <c r="I101" s="24"/>
      <c r="J101" s="62"/>
      <c r="K101" s="519" t="s">
        <v>178</v>
      </c>
      <c r="L101" s="24" t="s">
        <v>172</v>
      </c>
      <c r="M101" s="24"/>
      <c r="N101" s="107">
        <f>MIN(Calculations!E1202:AH1202)</f>
        <v>8.6885245901639347</v>
      </c>
      <c r="O101" s="63">
        <f>IF(Calculations!E19=1,INDEX(Calculations!E$6:AH$6,MATCH('Results - Infrastructure'!N101,Calculations!E$1202:AH$1202,0))," ")</f>
        <v>40543</v>
      </c>
      <c r="P101" s="64"/>
    </row>
    <row r="102" spans="1:17" s="277" customFormat="1" ht="14" x14ac:dyDescent="0.2">
      <c r="A102" s="24"/>
      <c r="B102" s="62"/>
      <c r="C102" s="26"/>
      <c r="D102" s="24" t="s">
        <v>164</v>
      </c>
      <c r="E102" s="24"/>
      <c r="F102" s="73">
        <f>MAX(Calculations!E1184:AH1184)</f>
        <v>4.678568232662192</v>
      </c>
      <c r="G102" s="63">
        <f>IF(Calculations!E19=1,INDEX(Calculations!E$6:AH$6,MATCH('Results - Infrastructure'!F102,Calculations!E$1184:AH$1184,0))," ")</f>
        <v>40543</v>
      </c>
      <c r="H102" s="64"/>
      <c r="I102" s="24"/>
      <c r="J102" s="62"/>
      <c r="K102" s="537"/>
      <c r="L102" s="24" t="s">
        <v>164</v>
      </c>
      <c r="M102" s="24"/>
      <c r="N102" s="107">
        <f>MAX(Calculations!E1202:AH1202)</f>
        <v>329.90314330695384</v>
      </c>
      <c r="O102" s="63">
        <f>IF(Calculations!E19=1,INDEX(Calculations!E$6:AH$6,MATCH('Results - Infrastructure'!N102,Calculations!E$1202:AH$1202,0))," ")</f>
        <v>51135</v>
      </c>
      <c r="P102" s="64"/>
    </row>
    <row r="103" spans="1:17" s="277" customFormat="1" ht="14" x14ac:dyDescent="0.2">
      <c r="A103" s="24"/>
      <c r="B103" s="62"/>
      <c r="C103" s="26"/>
      <c r="D103" s="24" t="s">
        <v>165</v>
      </c>
      <c r="E103" s="24"/>
      <c r="F103" s="73">
        <f>IF(Calculations!E19=1,AVERAGE(Calculations!E1184:AH1184)," ")</f>
        <v>0.65950287318472467</v>
      </c>
      <c r="G103" s="63"/>
      <c r="H103" s="64"/>
      <c r="I103" s="24"/>
      <c r="J103" s="62"/>
      <c r="K103" s="24"/>
      <c r="L103" s="24" t="s">
        <v>165</v>
      </c>
      <c r="M103" s="24"/>
      <c r="N103" s="107">
        <f>IF(Calculations!E19=1,AVERAGE(Calculations!E1202:AH1202)," ")</f>
        <v>173.04571038979637</v>
      </c>
      <c r="O103" s="24"/>
      <c r="P103" s="64"/>
    </row>
    <row r="104" spans="1:17" s="277" customFormat="1" ht="14" x14ac:dyDescent="0.2">
      <c r="A104" s="24"/>
      <c r="B104" s="62"/>
      <c r="C104" s="26"/>
      <c r="D104" s="24"/>
      <c r="E104" s="24"/>
      <c r="F104" s="26"/>
      <c r="G104" s="24"/>
      <c r="H104" s="64"/>
      <c r="I104" s="24"/>
      <c r="J104" s="62"/>
      <c r="K104" s="24"/>
      <c r="L104" s="24"/>
      <c r="M104" s="24"/>
      <c r="N104" s="108"/>
      <c r="O104" s="24"/>
      <c r="P104" s="64"/>
    </row>
    <row r="105" spans="1:17" s="277" customFormat="1" ht="14" x14ac:dyDescent="0.2">
      <c r="A105" s="24"/>
      <c r="B105" s="62"/>
      <c r="C105" s="26" t="s">
        <v>174</v>
      </c>
      <c r="D105" s="24" t="s">
        <v>172</v>
      </c>
      <c r="E105" s="24"/>
      <c r="F105" s="73">
        <f>MIN(Calculations!E1186:AH1186)</f>
        <v>0.21596823819398936</v>
      </c>
      <c r="G105" s="63">
        <f>IF(Calculations!E19=1,INDEX(Calculations!E$6:AH$6,MATCH('Results - Infrastructure'!F105,Calculations!E$1186:AH$1186,0))," ")</f>
        <v>51135</v>
      </c>
      <c r="H105" s="64"/>
      <c r="I105" s="24"/>
      <c r="J105" s="62"/>
      <c r="K105" s="26" t="s">
        <v>216</v>
      </c>
      <c r="L105" s="24" t="s">
        <v>172</v>
      </c>
      <c r="M105" s="24"/>
      <c r="N105" s="107">
        <f>MIN(Calculations!$E$1203:$AH$1203)</f>
        <v>0.16393442622950818</v>
      </c>
      <c r="O105" s="63">
        <f>IF(Calculations!E19=1,INDEX(Calculations!E$6:AH$6,MATCH('Results - Infrastructure'!N105,Calculations!E$1203:AH$1203,0))," ")</f>
        <v>40543</v>
      </c>
      <c r="P105" s="64"/>
    </row>
    <row r="106" spans="1:17" s="277" customFormat="1" ht="14" x14ac:dyDescent="0.2">
      <c r="A106" s="24"/>
      <c r="B106" s="62"/>
      <c r="C106" s="26"/>
      <c r="D106" s="24" t="s">
        <v>164</v>
      </c>
      <c r="E106" s="24"/>
      <c r="F106" s="73">
        <f>MAX(Calculations!E1186:AH1186)</f>
        <v>4.0782371294851796</v>
      </c>
      <c r="G106" s="63">
        <f>IF(Calculations!E19=1,INDEX(Calculations!E$6:AH$6,MATCH('Results - Infrastructure'!F106,Calculations!E$1186:AH$1186,0))," ")</f>
        <v>40543</v>
      </c>
      <c r="H106" s="64"/>
      <c r="I106" s="24"/>
      <c r="J106" s="62"/>
      <c r="K106" s="24"/>
      <c r="L106" s="24" t="s">
        <v>164</v>
      </c>
      <c r="M106" s="24"/>
      <c r="N106" s="107">
        <f>MAX(Calculations!$E$1203:$AH$1203)</f>
        <v>318.91020927585384</v>
      </c>
      <c r="O106" s="63">
        <f>IF(Calculations!E19=1,INDEX(Calculations!E$6:AH$6,MATCH('Results - Infrastructure'!N106,Calculations!E$1203:AH$1203,0))," ")</f>
        <v>51135</v>
      </c>
      <c r="P106" s="64"/>
    </row>
    <row r="107" spans="1:17" s="277" customFormat="1" ht="14" x14ac:dyDescent="0.2">
      <c r="A107" s="24"/>
      <c r="B107" s="62"/>
      <c r="C107" s="26"/>
      <c r="D107" s="24" t="s">
        <v>165</v>
      </c>
      <c r="E107" s="24"/>
      <c r="F107" s="73">
        <f>IF(Calculations!E19=1,AVERAGE(Calculations!E1186:AH1186)," ")</f>
        <v>0.62523128274880291</v>
      </c>
      <c r="G107" s="24"/>
      <c r="H107" s="64"/>
      <c r="I107" s="24"/>
      <c r="J107" s="62"/>
      <c r="K107" s="24"/>
      <c r="L107" s="24" t="s">
        <v>165</v>
      </c>
      <c r="M107" s="24"/>
      <c r="N107" s="107">
        <f>IF(Calculations!E19=1,AVERAGE(Calculations!$E$1203:$AH$1203)," ")</f>
        <v>163.42988931728769</v>
      </c>
      <c r="O107" s="24"/>
      <c r="P107" s="64"/>
    </row>
    <row r="108" spans="1:17" s="277" customFormat="1" thickBot="1" x14ac:dyDescent="0.25">
      <c r="A108" s="24"/>
      <c r="B108" s="62"/>
      <c r="C108" s="26"/>
      <c r="D108" s="24"/>
      <c r="E108" s="24"/>
      <c r="F108" s="26"/>
      <c r="G108" s="24"/>
      <c r="H108" s="64"/>
      <c r="I108" s="24"/>
      <c r="J108" s="66"/>
      <c r="K108" s="68"/>
      <c r="L108" s="68"/>
      <c r="M108" s="68"/>
      <c r="N108" s="68"/>
      <c r="O108" s="67"/>
      <c r="P108" s="70"/>
    </row>
    <row r="109" spans="1:17" s="277" customFormat="1" thickBot="1" x14ac:dyDescent="0.25">
      <c r="A109" s="24"/>
      <c r="B109" s="62"/>
      <c r="C109" s="26" t="s">
        <v>173</v>
      </c>
      <c r="D109" s="24" t="s">
        <v>172</v>
      </c>
      <c r="E109" s="24"/>
      <c r="F109" s="74">
        <f>MIN('Charts - Infrastructure'!F197:AH197)</f>
        <v>333.1690781968789</v>
      </c>
      <c r="G109" s="63">
        <f>INDEX(Calculations!F$6:AH$6,MATCH('Results - Infrastructure'!F109,'Charts - Infrastructure'!F197:AH197,0))</f>
        <v>46387</v>
      </c>
      <c r="H109" s="64"/>
      <c r="I109" s="24"/>
      <c r="J109" s="24"/>
      <c r="K109" s="24"/>
      <c r="L109" s="24"/>
      <c r="M109" s="24"/>
      <c r="N109" s="24"/>
      <c r="O109" s="24"/>
      <c r="P109" s="24"/>
    </row>
    <row r="110" spans="1:17" s="277" customFormat="1" x14ac:dyDescent="0.2">
      <c r="A110" s="24"/>
      <c r="B110" s="62"/>
      <c r="C110" s="24"/>
      <c r="D110" s="24" t="s">
        <v>164</v>
      </c>
      <c r="E110" s="24"/>
      <c r="F110" s="74">
        <f>MAX('Charts - Infrastructure'!F197:AH197)</f>
        <v>5424.3398035230693</v>
      </c>
      <c r="G110" s="63">
        <f>INDEX(Calculations!F$6:AH$6,MATCH('Results - Infrastructure'!F110,'Charts - Infrastructure'!F197:AH197,0))</f>
        <v>46022</v>
      </c>
      <c r="H110" s="64"/>
      <c r="I110" s="24"/>
      <c r="J110" s="352"/>
      <c r="K110" s="353" t="s">
        <v>202</v>
      </c>
      <c r="L110" s="354"/>
      <c r="M110" s="354"/>
      <c r="N110" s="354"/>
      <c r="O110" s="354"/>
      <c r="P110" s="355"/>
    </row>
    <row r="111" spans="1:17" s="277" customFormat="1" x14ac:dyDescent="0.2">
      <c r="A111" s="24"/>
      <c r="B111" s="62"/>
      <c r="C111" s="24"/>
      <c r="D111" s="24" t="s">
        <v>165</v>
      </c>
      <c r="E111" s="24"/>
      <c r="F111" s="74">
        <f>IF(Calculations!E19=1,AVERAGE('Charts - Infrastructure'!F197:AH197)," ")</f>
        <v>2395.2894918550851</v>
      </c>
      <c r="G111" s="24"/>
      <c r="H111" s="64"/>
      <c r="I111" s="24"/>
      <c r="J111" s="75"/>
      <c r="K111" s="24"/>
      <c r="L111" s="24"/>
      <c r="M111" s="24"/>
      <c r="N111" s="24"/>
      <c r="O111" s="72"/>
      <c r="P111" s="76"/>
    </row>
    <row r="112" spans="1:17" s="277" customFormat="1" x14ac:dyDescent="0.2">
      <c r="A112" s="24"/>
      <c r="B112" s="62"/>
      <c r="C112" s="24"/>
      <c r="D112" s="24"/>
      <c r="E112" s="24"/>
      <c r="F112" s="65"/>
      <c r="G112" s="24"/>
      <c r="H112" s="64"/>
      <c r="I112" s="24"/>
      <c r="J112" s="75"/>
      <c r="K112" s="24" t="s">
        <v>200</v>
      </c>
      <c r="L112" s="24"/>
      <c r="M112" s="24"/>
      <c r="N112" s="24"/>
      <c r="O112" s="85" t="str">
        <f>IF(ROUND(SUM('Balance sheet'!E157:AH157),0)=ROUND(SUM('Balance sheet'!E178:AH178),0),"YES","NO")</f>
        <v>YES</v>
      </c>
      <c r="P112" s="76"/>
      <c r="Q112" s="414" t="str">
        <f>IF(O112="NO","&lt;&lt;&lt;&lt; WARNING"," ")</f>
        <v xml:space="preserve"> </v>
      </c>
    </row>
    <row r="113" spans="1:17" s="277" customFormat="1" x14ac:dyDescent="0.2">
      <c r="A113" s="24"/>
      <c r="B113" s="62"/>
      <c r="C113" s="26" t="s">
        <v>215</v>
      </c>
      <c r="D113" s="24" t="s">
        <v>172</v>
      </c>
      <c r="E113" s="24"/>
      <c r="F113" s="84">
        <f>MIN('Charts - Infrastructure'!$E$198:$AH$198)</f>
        <v>0</v>
      </c>
      <c r="G113" s="63">
        <f>INDEX(Calculations!E$6:AH$6,MATCH('Results - Infrastructure'!F113,'Charts - Infrastructure'!$E$198:$AH$198,0))</f>
        <v>46387</v>
      </c>
      <c r="H113" s="64"/>
      <c r="I113" s="24"/>
      <c r="J113" s="75"/>
      <c r="K113" s="24" t="s">
        <v>201</v>
      </c>
      <c r="L113" s="24"/>
      <c r="M113" s="24"/>
      <c r="N113" s="24"/>
      <c r="O113" s="85" t="str">
        <f>IF(PRODUCT(Calculations!E1212:AH1212)=1,"YES","NO")</f>
        <v>YES</v>
      </c>
      <c r="P113" s="76"/>
      <c r="Q113" s="414" t="str">
        <f>IF(O113="NO","&lt;&lt;&lt;&lt; WARNING"," ")</f>
        <v xml:space="preserve"> </v>
      </c>
    </row>
    <row r="114" spans="1:17" s="277" customFormat="1" x14ac:dyDescent="0.2">
      <c r="A114" s="24"/>
      <c r="B114" s="62"/>
      <c r="C114" s="24"/>
      <c r="D114" s="24" t="s">
        <v>164</v>
      </c>
      <c r="E114" s="24"/>
      <c r="F114" s="84">
        <f>MAX('Charts - Infrastructure'!$E$198:$AH$198)</f>
        <v>3.6241610738255034E-2</v>
      </c>
      <c r="G114" s="63">
        <f>INDEX(Calculations!E$6:AH$6,MATCH('Results - Infrastructure'!F114,'Charts - Infrastructure'!$E$198:$AH$198,0))</f>
        <v>40543</v>
      </c>
      <c r="H114" s="64"/>
      <c r="I114" s="24"/>
      <c r="J114" s="75"/>
      <c r="K114" s="24" t="s">
        <v>207</v>
      </c>
      <c r="L114" s="24"/>
      <c r="M114" s="24"/>
      <c r="N114" s="24"/>
      <c r="O114" s="85" t="str">
        <f>IF(ROUND(SUM('Cash flow statement'!F180:AH180),0)-ROUND(SUM('Balance sheet'!F179:AH179),0)=0,"YES","NO")</f>
        <v>YES</v>
      </c>
      <c r="P114" s="76"/>
      <c r="Q114" s="414" t="str">
        <f>IF(O114="NO","&lt;&lt;&lt;&lt; WARNING"," ")</f>
        <v xml:space="preserve"> </v>
      </c>
    </row>
    <row r="115" spans="1:17" s="277" customFormat="1" thickBot="1" x14ac:dyDescent="0.25">
      <c r="A115" s="24"/>
      <c r="B115" s="62"/>
      <c r="C115" s="24"/>
      <c r="D115" s="24" t="s">
        <v>165</v>
      </c>
      <c r="E115" s="24"/>
      <c r="F115" s="106">
        <f>IF(Calculations!E19=1,AVERAGE('Charts - Infrastructure'!$E$198:$AH$198)," ")</f>
        <v>3.1552392993618476E-3</v>
      </c>
      <c r="G115" s="63"/>
      <c r="H115" s="64"/>
      <c r="I115" s="24"/>
      <c r="J115" s="66"/>
      <c r="K115" s="68"/>
      <c r="L115" s="68"/>
      <c r="M115" s="68"/>
      <c r="N115" s="68"/>
      <c r="O115" s="68"/>
      <c r="P115" s="70"/>
      <c r="Q115" s="414"/>
    </row>
    <row r="116" spans="1:17" s="277" customFormat="1" thickBot="1" x14ac:dyDescent="0.25">
      <c r="A116" s="24"/>
      <c r="B116" s="66"/>
      <c r="C116" s="68"/>
      <c r="D116" s="68"/>
      <c r="E116" s="68"/>
      <c r="F116" s="69"/>
      <c r="G116" s="68"/>
      <c r="H116" s="70"/>
      <c r="I116" s="24"/>
      <c r="J116" s="24"/>
      <c r="K116" s="24"/>
      <c r="L116" s="24"/>
      <c r="M116" s="24"/>
      <c r="N116" s="24"/>
      <c r="O116" s="24"/>
      <c r="P116" s="24"/>
    </row>
    <row r="117" spans="1:17" s="277" customFormat="1" x14ac:dyDescent="0.2">
      <c r="A117" s="24"/>
      <c r="B117" s="24"/>
      <c r="C117" s="24"/>
      <c r="D117" s="24"/>
      <c r="E117" s="24"/>
      <c r="F117" s="24"/>
      <c r="G117" s="24"/>
      <c r="H117" s="24"/>
      <c r="I117" s="24"/>
      <c r="J117" s="22"/>
      <c r="K117" s="22"/>
      <c r="L117" s="22"/>
      <c r="M117" s="22"/>
      <c r="N117" s="22"/>
      <c r="O117" s="22"/>
      <c r="P117" s="22"/>
    </row>
  </sheetData>
  <mergeCells count="30">
    <mergeCell ref="W7:W8"/>
    <mergeCell ref="F26:F27"/>
    <mergeCell ref="V7:V8"/>
    <mergeCell ref="L7:L8"/>
    <mergeCell ref="M7:M8"/>
    <mergeCell ref="N7:N8"/>
    <mergeCell ref="O7:O8"/>
    <mergeCell ref="T7:T8"/>
    <mergeCell ref="U7:U8"/>
    <mergeCell ref="Q7:Q8"/>
    <mergeCell ref="R7:R8"/>
    <mergeCell ref="S7:S8"/>
    <mergeCell ref="P7:P8"/>
    <mergeCell ref="O64:P65"/>
    <mergeCell ref="Q64:R65"/>
    <mergeCell ref="O66:P66"/>
    <mergeCell ref="O68:P68"/>
    <mergeCell ref="Q68:R68"/>
    <mergeCell ref="C67:C68"/>
    <mergeCell ref="O67:P67"/>
    <mergeCell ref="Q67:R67"/>
    <mergeCell ref="O69:P69"/>
    <mergeCell ref="Q69:R69"/>
    <mergeCell ref="K101:K102"/>
    <mergeCell ref="C83:C84"/>
    <mergeCell ref="C79:C80"/>
    <mergeCell ref="C97:C98"/>
    <mergeCell ref="C93:C94"/>
    <mergeCell ref="K93:K94"/>
    <mergeCell ref="K97:K98"/>
  </mergeCells>
  <conditionalFormatting sqref="O112">
    <cfRule type="iconSet" priority="2">
      <iconSet iconSet="3Symbols">
        <cfvo type="percent" val="0"/>
        <cfvo type="percent" val="33"/>
        <cfvo type="percent" val="67"/>
      </iconSet>
    </cfRule>
  </conditionalFormatting>
  <conditionalFormatting sqref="P112">
    <cfRule type="iconSet" priority="1">
      <iconSet iconSet="3Symbols">
        <cfvo type="percent" val="0"/>
        <cfvo type="percent" val="33"/>
        <cfvo type="percent" val="67"/>
      </iconSet>
    </cfRule>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O31"/>
  <sheetViews>
    <sheetView zoomScale="75" zoomScaleNormal="75" workbookViewId="0">
      <selection activeCell="P1" sqref="P1:XFD1048576"/>
    </sheetView>
  </sheetViews>
  <sheetFormatPr baseColWidth="10" defaultColWidth="0" defaultRowHeight="15" x14ac:dyDescent="0.2"/>
  <cols>
    <col min="1" max="1" width="9.1640625" style="22" customWidth="1"/>
    <col min="2" max="2" width="20.5" style="22" customWidth="1"/>
    <col min="3" max="3" width="3.5" style="22" customWidth="1"/>
    <col min="4" max="4" width="14" style="22" customWidth="1"/>
    <col min="5" max="5" width="13.6640625" style="22" customWidth="1"/>
    <col min="6" max="7" width="14.33203125" style="22" customWidth="1"/>
    <col min="8" max="8" width="13.33203125" style="22" customWidth="1"/>
    <col min="9" max="9" width="14" style="22" customWidth="1"/>
    <col min="10" max="10" width="13.33203125" style="22" customWidth="1"/>
    <col min="11" max="12" width="12.5" style="22" customWidth="1"/>
    <col min="13" max="13" width="14.6640625" style="22" customWidth="1"/>
    <col min="14" max="14" width="7.5" style="278" customWidth="1"/>
    <col min="15" max="15" width="18.6640625" style="278" customWidth="1"/>
    <col min="16" max="16384" width="9.1640625" style="278" hidden="1"/>
  </cols>
  <sheetData>
    <row r="1" spans="1:13" s="18" customFormat="1" x14ac:dyDescent="0.2">
      <c r="A1" s="2"/>
      <c r="B1" s="4" t="s">
        <v>421</v>
      </c>
      <c r="C1" s="2"/>
      <c r="D1" s="2"/>
      <c r="E1" s="2"/>
      <c r="F1" s="2"/>
      <c r="G1" s="2"/>
      <c r="H1" s="2"/>
      <c r="I1" s="2"/>
      <c r="J1" s="2"/>
      <c r="K1" s="2"/>
      <c r="L1" s="2"/>
      <c r="M1" s="2"/>
    </row>
    <row r="2" spans="1:13" s="18" customFormat="1" x14ac:dyDescent="0.2">
      <c r="A2" s="2"/>
      <c r="B2" s="3" t="str">
        <f>'Assumptions - General'!$E$23</f>
        <v xml:space="preserve">Ruritania Railways </v>
      </c>
      <c r="C2" s="2"/>
      <c r="D2" s="2"/>
      <c r="E2" s="2"/>
      <c r="F2" s="3" t="s">
        <v>420</v>
      </c>
      <c r="G2" s="2"/>
      <c r="H2" s="2"/>
      <c r="I2" s="2"/>
      <c r="J2" s="2"/>
      <c r="K2" s="2"/>
      <c r="L2" s="2"/>
      <c r="M2" s="2"/>
    </row>
    <row r="3" spans="1:13" s="18" customFormat="1" x14ac:dyDescent="0.2">
      <c r="A3" s="2"/>
      <c r="B3" s="3" t="str">
        <f>"All units in "  &amp;'Assumptions - General'!$E$27&amp;  " millions unless otherwise stated"</f>
        <v>All units in R$ millions unless otherwise stated</v>
      </c>
      <c r="C3" s="6"/>
      <c r="D3" s="2"/>
      <c r="E3" s="2"/>
      <c r="F3" s="196">
        <v>2</v>
      </c>
      <c r="G3" s="2"/>
      <c r="H3" s="2"/>
      <c r="I3" s="2"/>
      <c r="J3" s="2"/>
      <c r="K3" s="2"/>
      <c r="L3" s="2"/>
      <c r="M3" s="2"/>
    </row>
    <row r="4" spans="1:13" x14ac:dyDescent="0.2">
      <c r="A4" s="306" t="s">
        <v>33</v>
      </c>
    </row>
    <row r="5" spans="1:13" x14ac:dyDescent="0.2">
      <c r="A5" s="306" t="s">
        <v>211</v>
      </c>
    </row>
    <row r="19" spans="1:14" ht="16" thickBot="1" x14ac:dyDescent="0.25"/>
    <row r="20" spans="1:14" x14ac:dyDescent="0.2">
      <c r="B20" s="558" t="s">
        <v>462</v>
      </c>
      <c r="D20" s="296">
        <v>2</v>
      </c>
      <c r="E20" s="297">
        <v>2</v>
      </c>
      <c r="F20" s="297">
        <v>2</v>
      </c>
      <c r="G20" s="297">
        <v>2</v>
      </c>
      <c r="H20" s="297">
        <v>2</v>
      </c>
      <c r="I20" s="298">
        <v>2</v>
      </c>
    </row>
    <row r="21" spans="1:14" s="416" customFormat="1" ht="21" x14ac:dyDescent="0.2">
      <c r="A21" s="131"/>
      <c r="B21" s="559"/>
      <c r="C21" s="131"/>
      <c r="D21" s="289" t="s">
        <v>467</v>
      </c>
      <c r="E21" s="290" t="s">
        <v>468</v>
      </c>
      <c r="F21" s="290" t="s">
        <v>466</v>
      </c>
      <c r="G21" s="290" t="s">
        <v>469</v>
      </c>
      <c r="H21" s="290" t="s">
        <v>465</v>
      </c>
      <c r="I21" s="291" t="s">
        <v>464</v>
      </c>
      <c r="J21" s="131"/>
      <c r="K21" s="286" t="str">
        <f>IF(AND(K23=" ",K24=" ",K25=" ")," ","WARNINGS")</f>
        <v xml:space="preserve"> </v>
      </c>
      <c r="L21" s="131"/>
      <c r="M21" s="312"/>
      <c r="N21" s="415"/>
    </row>
    <row r="22" spans="1:14" x14ac:dyDescent="0.2">
      <c r="D22" s="300"/>
      <c r="E22" s="301"/>
      <c r="F22" s="302" t="s">
        <v>33</v>
      </c>
      <c r="G22" s="302"/>
      <c r="H22" s="303"/>
      <c r="I22" s="304"/>
      <c r="N22" s="417"/>
    </row>
    <row r="23" spans="1:14" x14ac:dyDescent="0.2">
      <c r="B23" s="235"/>
      <c r="D23" s="305"/>
      <c r="E23" s="303"/>
      <c r="F23" s="302" t="s">
        <v>211</v>
      </c>
      <c r="G23" s="302"/>
      <c r="H23" s="303"/>
      <c r="I23" s="304"/>
      <c r="K23" s="22" t="str">
        <f>IF('Results - Consolidated'!F101&lt;'Assumptions - Consolidated'!E93,"Low DSCR, below" &amp; 'Assumptions - Consolidated'!E93," ")</f>
        <v xml:space="preserve"> </v>
      </c>
      <c r="N23" s="417"/>
    </row>
    <row r="24" spans="1:14" x14ac:dyDescent="0.2">
      <c r="D24" s="305"/>
      <c r="E24" s="303"/>
      <c r="F24" s="303"/>
      <c r="G24" s="303"/>
      <c r="H24" s="303"/>
      <c r="I24" s="304"/>
      <c r="K24" s="22" t="str">
        <f>IF('Results - Consolidated'!F93&lt;10%, "Low equity return (&lt;10%)", " ")</f>
        <v xml:space="preserve"> </v>
      </c>
    </row>
    <row r="25" spans="1:14" ht="16" thickBot="1" x14ac:dyDescent="0.25">
      <c r="D25" s="292">
        <f>IF(AND(F3=1,D20=1),D30/10,1)</f>
        <v>1</v>
      </c>
      <c r="E25" s="293">
        <f>IF(Calculations!E21=1,IF(AND(F3=1,E20=1),E30/1000,AVERAGE('Results - Passenger'!G17,'Results - Freight'!G17))," ")</f>
        <v>2.8969246052093833E-2</v>
      </c>
      <c r="F25" s="294">
        <f>IF(AND(F3=1,F20=1),F30/10,1)</f>
        <v>1</v>
      </c>
      <c r="G25" s="293">
        <f>IF(AND(F3=1,G20=1),G30/1000, 'Results - Consolidated'!F11)</f>
        <v>1.9469174057293204E-2</v>
      </c>
      <c r="H25" s="294">
        <f>IF(AND(F3=1,H20=1),H30/100,1)</f>
        <v>1</v>
      </c>
      <c r="I25" s="295">
        <f>IF(AND(F3=1,I20=1),I30/100,1)</f>
        <v>1</v>
      </c>
      <c r="K25" s="22" t="str">
        <f>IF('Results - Consolidated'!O105="NO", "Cash balance below zero", " ")</f>
        <v xml:space="preserve"> </v>
      </c>
    </row>
    <row r="26" spans="1:14" s="416" customFormat="1" x14ac:dyDescent="0.2">
      <c r="A26" s="131"/>
      <c r="B26" s="540" t="s">
        <v>511</v>
      </c>
      <c r="C26" s="131"/>
      <c r="D26" s="554">
        <f>AVERAGE(Calculations!E211,Calculations!E213,Calculations!E215,Calculations!E217,Calculations!E219,Calculations!E221,Calculations!E223,Calculations!E225,Calculations!E227,Calculations!E229,Calculations!E651,Calculations!E653,Calculations!E655)</f>
        <v>1</v>
      </c>
      <c r="E26" s="556">
        <f>IF(AND(Calculations!E21=1,OR('Results - Passenger'!G17=0,'Results - Freight'!G17=0)),('Results - Passenger'!G17+'Results - Freight'!G17),AVERAGE('Results - Passenger'!G17,'Results - Freight'!G17))</f>
        <v>2.8969246052093833E-2</v>
      </c>
      <c r="F26" s="552" t="str">
        <f>'Results - Consolidated'!F10&amp;" (traffic units)"</f>
        <v>113000 (traffic units)</v>
      </c>
      <c r="G26" s="556">
        <f>'Results - Consolidated'!F11</f>
        <v>1.9469174057293204E-2</v>
      </c>
      <c r="H26" s="552">
        <f>'Results - Consolidated'!F8</f>
        <v>55466.666666666664</v>
      </c>
      <c r="I26" s="552" t="str">
        <f>'Results - Consolidated'!M30&amp;" ("&amp;'Results - Consolidated'!N30&amp;")"</f>
        <v>24340 (R$ millions)</v>
      </c>
      <c r="J26" s="131"/>
      <c r="K26" s="131"/>
      <c r="L26" s="131"/>
      <c r="M26" s="131"/>
    </row>
    <row r="27" spans="1:14" ht="16" thickBot="1" x14ac:dyDescent="0.25">
      <c r="B27" s="535"/>
      <c r="D27" s="555"/>
      <c r="E27" s="557"/>
      <c r="F27" s="553"/>
      <c r="G27" s="557"/>
      <c r="H27" s="553"/>
      <c r="I27" s="553"/>
      <c r="J27" s="236">
        <v>1000</v>
      </c>
      <c r="K27" s="236">
        <v>20</v>
      </c>
      <c r="L27" s="236">
        <v>432</v>
      </c>
      <c r="M27" s="236">
        <v>7300</v>
      </c>
      <c r="N27" s="418"/>
    </row>
    <row r="28" spans="1:14" s="416" customFormat="1" x14ac:dyDescent="0.2">
      <c r="A28" s="131"/>
      <c r="B28" s="540" t="s">
        <v>463</v>
      </c>
      <c r="C28" s="131"/>
      <c r="D28" s="554">
        <v>1</v>
      </c>
      <c r="E28" s="556">
        <v>2.889652886202021E-2</v>
      </c>
      <c r="F28" s="552" t="s">
        <v>520</v>
      </c>
      <c r="G28" s="556">
        <v>3.2000000000000028E-2</v>
      </c>
      <c r="H28" s="552" t="s">
        <v>537</v>
      </c>
      <c r="I28" s="552">
        <v>16335</v>
      </c>
      <c r="J28" s="131"/>
      <c r="K28" s="131"/>
      <c r="L28" s="131"/>
      <c r="M28" s="131"/>
    </row>
    <row r="29" spans="1:14" ht="16" thickBot="1" x14ac:dyDescent="0.25">
      <c r="B29" s="535"/>
      <c r="D29" s="555"/>
      <c r="E29" s="557"/>
      <c r="F29" s="553"/>
      <c r="G29" s="557"/>
      <c r="H29" s="553"/>
      <c r="I29" s="553"/>
      <c r="J29" s="236">
        <v>1000</v>
      </c>
      <c r="K29" s="236">
        <v>20</v>
      </c>
      <c r="L29" s="236">
        <v>432</v>
      </c>
      <c r="M29" s="236">
        <v>7300</v>
      </c>
      <c r="N29" s="418"/>
    </row>
    <row r="30" spans="1:14" x14ac:dyDescent="0.2">
      <c r="D30" s="236">
        <v>12</v>
      </c>
      <c r="E30" s="236">
        <v>25</v>
      </c>
      <c r="F30" s="236">
        <v>13</v>
      </c>
      <c r="G30" s="236">
        <v>10</v>
      </c>
      <c r="H30" s="236">
        <v>100</v>
      </c>
      <c r="I30" s="236">
        <v>100</v>
      </c>
      <c r="J30" s="235"/>
      <c r="K30" s="235"/>
      <c r="L30" s="235"/>
    </row>
    <row r="31" spans="1:14" x14ac:dyDescent="0.2">
      <c r="E31" s="235"/>
      <c r="F31" s="235"/>
      <c r="G31" s="235"/>
      <c r="H31" s="235"/>
      <c r="I31" s="235"/>
      <c r="J31" s="235"/>
      <c r="K31" s="235"/>
      <c r="L31" s="235"/>
    </row>
  </sheetData>
  <mergeCells count="15">
    <mergeCell ref="G26:G27"/>
    <mergeCell ref="H26:H27"/>
    <mergeCell ref="I26:I27"/>
    <mergeCell ref="B20:B21"/>
    <mergeCell ref="B26:B27"/>
    <mergeCell ref="D26:D27"/>
    <mergeCell ref="E26:E27"/>
    <mergeCell ref="F26:F27"/>
    <mergeCell ref="H28:H29"/>
    <mergeCell ref="I28:I29"/>
    <mergeCell ref="B28:B29"/>
    <mergeCell ref="D28:D29"/>
    <mergeCell ref="E28:E29"/>
    <mergeCell ref="F28:F29"/>
    <mergeCell ref="G28:G29"/>
  </mergeCells>
  <pageMargins left="0.7" right="0.7" top="0.75" bottom="0.75" header="0.3" footer="0.3"/>
  <pageSetup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Spinner 8">
              <controlPr defaultSize="0" autoPict="0">
                <anchor moveWithCells="1" sizeWithCells="1">
                  <from>
                    <xdr:col>5</xdr:col>
                    <xdr:colOff>533400</xdr:colOff>
                    <xdr:row>0</xdr:row>
                    <xdr:rowOff>0</xdr:rowOff>
                  </from>
                  <to>
                    <xdr:col>5</xdr:col>
                    <xdr:colOff>736600</xdr:colOff>
                    <xdr:row>0</xdr:row>
                    <xdr:rowOff>0</xdr:rowOff>
                  </to>
                </anchor>
              </controlPr>
            </control>
          </mc:Choice>
        </mc:AlternateContent>
        <mc:AlternateContent xmlns:mc="http://schemas.openxmlformats.org/markup-compatibility/2006">
          <mc:Choice Requires="x14">
            <control shapeId="10250" r:id="rId5" name="Spinner 10">
              <controlPr defaultSize="0" autoPict="0">
                <anchor moveWithCells="1" sizeWithCells="1">
                  <from>
                    <xdr:col>11</xdr:col>
                    <xdr:colOff>482600</xdr:colOff>
                    <xdr:row>0</xdr:row>
                    <xdr:rowOff>0</xdr:rowOff>
                  </from>
                  <to>
                    <xdr:col>11</xdr:col>
                    <xdr:colOff>685800</xdr:colOff>
                    <xdr:row>0</xdr:row>
                    <xdr:rowOff>0</xdr:rowOff>
                  </to>
                </anchor>
              </controlPr>
            </control>
          </mc:Choice>
        </mc:AlternateContent>
        <mc:AlternateContent xmlns:mc="http://schemas.openxmlformats.org/markup-compatibility/2006">
          <mc:Choice Requires="x14">
            <control shapeId="10251" r:id="rId6" name="Spinner 11">
              <controlPr defaultSize="0" autoPict="0">
                <anchor moveWithCells="1" sizeWithCells="1">
                  <from>
                    <xdr:col>12</xdr:col>
                    <xdr:colOff>571500</xdr:colOff>
                    <xdr:row>0</xdr:row>
                    <xdr:rowOff>0</xdr:rowOff>
                  </from>
                  <to>
                    <xdr:col>12</xdr:col>
                    <xdr:colOff>774700</xdr:colOff>
                    <xdr:row>0</xdr:row>
                    <xdr:rowOff>0</xdr:rowOff>
                  </to>
                </anchor>
              </controlPr>
            </control>
          </mc:Choice>
        </mc:AlternateContent>
        <mc:AlternateContent xmlns:mc="http://schemas.openxmlformats.org/markup-compatibility/2006">
          <mc:Choice Requires="x14">
            <control shapeId="10252" r:id="rId7" name="Spinner 12">
              <controlPr defaultSize="0" autoPict="0">
                <anchor moveWithCells="1" sizeWithCells="1">
                  <from>
                    <xdr:col>7</xdr:col>
                    <xdr:colOff>457200</xdr:colOff>
                    <xdr:row>0</xdr:row>
                    <xdr:rowOff>0</xdr:rowOff>
                  </from>
                  <to>
                    <xdr:col>7</xdr:col>
                    <xdr:colOff>660400</xdr:colOff>
                    <xdr:row>0</xdr:row>
                    <xdr:rowOff>0</xdr:rowOff>
                  </to>
                </anchor>
              </controlPr>
            </control>
          </mc:Choice>
        </mc:AlternateContent>
        <mc:AlternateContent xmlns:mc="http://schemas.openxmlformats.org/markup-compatibility/2006">
          <mc:Choice Requires="x14">
            <control shapeId="10253" r:id="rId8" name="Spinner 13">
              <controlPr defaultSize="0" autoPict="0">
                <anchor moveWithCells="1" sizeWithCells="1">
                  <from>
                    <xdr:col>3</xdr:col>
                    <xdr:colOff>609600</xdr:colOff>
                    <xdr:row>0</xdr:row>
                    <xdr:rowOff>0</xdr:rowOff>
                  </from>
                  <to>
                    <xdr:col>3</xdr:col>
                    <xdr:colOff>812800</xdr:colOff>
                    <xdr:row>0</xdr:row>
                    <xdr:rowOff>0</xdr:rowOff>
                  </to>
                </anchor>
              </controlPr>
            </control>
          </mc:Choice>
        </mc:AlternateContent>
        <mc:AlternateContent xmlns:mc="http://schemas.openxmlformats.org/markup-compatibility/2006">
          <mc:Choice Requires="x14">
            <control shapeId="10270" r:id="rId9" name="Spinner 30">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0271" r:id="rId10" name="Spinner 31">
              <controlPr defaultSize="0" autoPict="0">
                <anchor moveWithCells="1" sizeWithCells="1">
                  <from>
                    <xdr:col>6</xdr:col>
                    <xdr:colOff>520700</xdr:colOff>
                    <xdr:row>0</xdr:row>
                    <xdr:rowOff>0</xdr:rowOff>
                  </from>
                  <to>
                    <xdr:col>6</xdr:col>
                    <xdr:colOff>723900</xdr:colOff>
                    <xdr:row>0</xdr:row>
                    <xdr:rowOff>0</xdr:rowOff>
                  </to>
                </anchor>
              </controlPr>
            </control>
          </mc:Choice>
        </mc:AlternateContent>
        <mc:AlternateContent xmlns:mc="http://schemas.openxmlformats.org/markup-compatibility/2006">
          <mc:Choice Requires="x14">
            <control shapeId="10273" r:id="rId11" name="Spinner 33">
              <controlPr defaultSize="0" autoPict="0">
                <anchor moveWithCells="1" sizeWithCells="1">
                  <from>
                    <xdr:col>10</xdr:col>
                    <xdr:colOff>457200</xdr:colOff>
                    <xdr:row>0</xdr:row>
                    <xdr:rowOff>0</xdr:rowOff>
                  </from>
                  <to>
                    <xdr:col>10</xdr:col>
                    <xdr:colOff>660400</xdr:colOff>
                    <xdr:row>0</xdr:row>
                    <xdr:rowOff>0</xdr:rowOff>
                  </to>
                </anchor>
              </controlPr>
            </control>
          </mc:Choice>
        </mc:AlternateContent>
        <mc:AlternateContent xmlns:mc="http://schemas.openxmlformats.org/markup-compatibility/2006">
          <mc:Choice Requires="x14">
            <control shapeId="10274" r:id="rId12" name="Spinner 34">
              <controlPr defaultSize="0" autoPict="0">
                <anchor moveWithCells="1" sizeWithCells="1">
                  <from>
                    <xdr:col>8</xdr:col>
                    <xdr:colOff>533400</xdr:colOff>
                    <xdr:row>0</xdr:row>
                    <xdr:rowOff>0</xdr:rowOff>
                  </from>
                  <to>
                    <xdr:col>8</xdr:col>
                    <xdr:colOff>736600</xdr:colOff>
                    <xdr:row>0</xdr:row>
                    <xdr:rowOff>0</xdr:rowOff>
                  </to>
                </anchor>
              </controlPr>
            </control>
          </mc:Choice>
        </mc:AlternateContent>
        <mc:AlternateContent xmlns:mc="http://schemas.openxmlformats.org/markup-compatibility/2006">
          <mc:Choice Requires="x14">
            <control shapeId="10275" r:id="rId13" name="Spinner 35">
              <controlPr defaultSize="0" autoPict="0">
                <anchor moveWithCells="1" sizeWithCells="1">
                  <from>
                    <xdr:col>9</xdr:col>
                    <xdr:colOff>495300</xdr:colOff>
                    <xdr:row>0</xdr:row>
                    <xdr:rowOff>0</xdr:rowOff>
                  </from>
                  <to>
                    <xdr:col>9</xdr:col>
                    <xdr:colOff>698500</xdr:colOff>
                    <xdr:row>0</xdr:row>
                    <xdr:rowOff>0</xdr:rowOff>
                  </to>
                </anchor>
              </controlPr>
            </control>
          </mc:Choice>
        </mc:AlternateContent>
        <mc:AlternateContent xmlns:mc="http://schemas.openxmlformats.org/markup-compatibility/2006">
          <mc:Choice Requires="x14">
            <control shapeId="10288" r:id="rId14" name="Spinner 48">
              <controlPr defaultSize="0" autoPict="0">
                <anchor moveWithCells="1" sizeWithCells="1">
                  <from>
                    <xdr:col>5</xdr:col>
                    <xdr:colOff>533400</xdr:colOff>
                    <xdr:row>46</xdr:row>
                    <xdr:rowOff>0</xdr:rowOff>
                  </from>
                  <to>
                    <xdr:col>5</xdr:col>
                    <xdr:colOff>736600</xdr:colOff>
                    <xdr:row>46</xdr:row>
                    <xdr:rowOff>0</xdr:rowOff>
                  </to>
                </anchor>
              </controlPr>
            </control>
          </mc:Choice>
        </mc:AlternateContent>
        <mc:AlternateContent xmlns:mc="http://schemas.openxmlformats.org/markup-compatibility/2006">
          <mc:Choice Requires="x14">
            <control shapeId="10289" r:id="rId15" name="Spinner 49">
              <controlPr defaultSize="0" autoPict="0">
                <anchor moveWithCells="1" sizeWithCells="1">
                  <from>
                    <xdr:col>11</xdr:col>
                    <xdr:colOff>482600</xdr:colOff>
                    <xdr:row>46</xdr:row>
                    <xdr:rowOff>0</xdr:rowOff>
                  </from>
                  <to>
                    <xdr:col>11</xdr:col>
                    <xdr:colOff>685800</xdr:colOff>
                    <xdr:row>46</xdr:row>
                    <xdr:rowOff>0</xdr:rowOff>
                  </to>
                </anchor>
              </controlPr>
            </control>
          </mc:Choice>
        </mc:AlternateContent>
        <mc:AlternateContent xmlns:mc="http://schemas.openxmlformats.org/markup-compatibility/2006">
          <mc:Choice Requires="x14">
            <control shapeId="10290" r:id="rId16" name="Spinner 50">
              <controlPr defaultSize="0" autoPict="0">
                <anchor moveWithCells="1" sizeWithCells="1">
                  <from>
                    <xdr:col>12</xdr:col>
                    <xdr:colOff>571500</xdr:colOff>
                    <xdr:row>46</xdr:row>
                    <xdr:rowOff>0</xdr:rowOff>
                  </from>
                  <to>
                    <xdr:col>12</xdr:col>
                    <xdr:colOff>774700</xdr:colOff>
                    <xdr:row>46</xdr:row>
                    <xdr:rowOff>0</xdr:rowOff>
                  </to>
                </anchor>
              </controlPr>
            </control>
          </mc:Choice>
        </mc:AlternateContent>
        <mc:AlternateContent xmlns:mc="http://schemas.openxmlformats.org/markup-compatibility/2006">
          <mc:Choice Requires="x14">
            <control shapeId="10291" r:id="rId17" name="Spinner 51">
              <controlPr defaultSize="0" autoPict="0">
                <anchor moveWithCells="1" sizeWithCells="1">
                  <from>
                    <xdr:col>7</xdr:col>
                    <xdr:colOff>457200</xdr:colOff>
                    <xdr:row>46</xdr:row>
                    <xdr:rowOff>0</xdr:rowOff>
                  </from>
                  <to>
                    <xdr:col>7</xdr:col>
                    <xdr:colOff>660400</xdr:colOff>
                    <xdr:row>46</xdr:row>
                    <xdr:rowOff>0</xdr:rowOff>
                  </to>
                </anchor>
              </controlPr>
            </control>
          </mc:Choice>
        </mc:AlternateContent>
        <mc:AlternateContent xmlns:mc="http://schemas.openxmlformats.org/markup-compatibility/2006">
          <mc:Choice Requires="x14">
            <control shapeId="10292" r:id="rId18" name="Spinner 52">
              <controlPr defaultSize="0" autoPict="0">
                <anchor moveWithCells="1" sizeWithCells="1">
                  <from>
                    <xdr:col>3</xdr:col>
                    <xdr:colOff>609600</xdr:colOff>
                    <xdr:row>46</xdr:row>
                    <xdr:rowOff>0</xdr:rowOff>
                  </from>
                  <to>
                    <xdr:col>3</xdr:col>
                    <xdr:colOff>812800</xdr:colOff>
                    <xdr:row>46</xdr:row>
                    <xdr:rowOff>0</xdr:rowOff>
                  </to>
                </anchor>
              </controlPr>
            </control>
          </mc:Choice>
        </mc:AlternateContent>
        <mc:AlternateContent xmlns:mc="http://schemas.openxmlformats.org/markup-compatibility/2006">
          <mc:Choice Requires="x14">
            <control shapeId="10293" r:id="rId19" name="Spinner 53">
              <controlPr defaultSize="0" autoPict="0">
                <anchor moveWithCells="1" sizeWithCells="1">
                  <from>
                    <xdr:col>4</xdr:col>
                    <xdr:colOff>508000</xdr:colOff>
                    <xdr:row>46</xdr:row>
                    <xdr:rowOff>0</xdr:rowOff>
                  </from>
                  <to>
                    <xdr:col>4</xdr:col>
                    <xdr:colOff>711200</xdr:colOff>
                    <xdr:row>46</xdr:row>
                    <xdr:rowOff>0</xdr:rowOff>
                  </to>
                </anchor>
              </controlPr>
            </control>
          </mc:Choice>
        </mc:AlternateContent>
        <mc:AlternateContent xmlns:mc="http://schemas.openxmlformats.org/markup-compatibility/2006">
          <mc:Choice Requires="x14">
            <control shapeId="10294" r:id="rId20" name="Spinner 54">
              <controlPr defaultSize="0" autoPict="0">
                <anchor moveWithCells="1" sizeWithCells="1">
                  <from>
                    <xdr:col>6</xdr:col>
                    <xdr:colOff>520700</xdr:colOff>
                    <xdr:row>46</xdr:row>
                    <xdr:rowOff>0</xdr:rowOff>
                  </from>
                  <to>
                    <xdr:col>6</xdr:col>
                    <xdr:colOff>723900</xdr:colOff>
                    <xdr:row>46</xdr:row>
                    <xdr:rowOff>0</xdr:rowOff>
                  </to>
                </anchor>
              </controlPr>
            </control>
          </mc:Choice>
        </mc:AlternateContent>
        <mc:AlternateContent xmlns:mc="http://schemas.openxmlformats.org/markup-compatibility/2006">
          <mc:Choice Requires="x14">
            <control shapeId="10295" r:id="rId21" name="Spinner 55">
              <controlPr defaultSize="0" autoPict="0">
                <anchor moveWithCells="1" sizeWithCells="1">
                  <from>
                    <xdr:col>10</xdr:col>
                    <xdr:colOff>457200</xdr:colOff>
                    <xdr:row>46</xdr:row>
                    <xdr:rowOff>0</xdr:rowOff>
                  </from>
                  <to>
                    <xdr:col>10</xdr:col>
                    <xdr:colOff>660400</xdr:colOff>
                    <xdr:row>46</xdr:row>
                    <xdr:rowOff>0</xdr:rowOff>
                  </to>
                </anchor>
              </controlPr>
            </control>
          </mc:Choice>
        </mc:AlternateContent>
        <mc:AlternateContent xmlns:mc="http://schemas.openxmlformats.org/markup-compatibility/2006">
          <mc:Choice Requires="x14">
            <control shapeId="10296" r:id="rId22" name="Spinner 56">
              <controlPr defaultSize="0" autoPict="0">
                <anchor moveWithCells="1" sizeWithCells="1">
                  <from>
                    <xdr:col>8</xdr:col>
                    <xdr:colOff>533400</xdr:colOff>
                    <xdr:row>46</xdr:row>
                    <xdr:rowOff>0</xdr:rowOff>
                  </from>
                  <to>
                    <xdr:col>8</xdr:col>
                    <xdr:colOff>736600</xdr:colOff>
                    <xdr:row>46</xdr:row>
                    <xdr:rowOff>0</xdr:rowOff>
                  </to>
                </anchor>
              </controlPr>
            </control>
          </mc:Choice>
        </mc:AlternateContent>
        <mc:AlternateContent xmlns:mc="http://schemas.openxmlformats.org/markup-compatibility/2006">
          <mc:Choice Requires="x14">
            <control shapeId="10297" r:id="rId23" name="Spinner 57">
              <controlPr defaultSize="0" autoPict="0">
                <anchor moveWithCells="1" sizeWithCells="1">
                  <from>
                    <xdr:col>9</xdr:col>
                    <xdr:colOff>495300</xdr:colOff>
                    <xdr:row>46</xdr:row>
                    <xdr:rowOff>0</xdr:rowOff>
                  </from>
                  <to>
                    <xdr:col>9</xdr:col>
                    <xdr:colOff>698500</xdr:colOff>
                    <xdr:row>46</xdr:row>
                    <xdr:rowOff>0</xdr:rowOff>
                  </to>
                </anchor>
              </controlPr>
            </control>
          </mc:Choice>
        </mc:AlternateContent>
        <mc:AlternateContent xmlns:mc="http://schemas.openxmlformats.org/markup-compatibility/2006">
          <mc:Choice Requires="x14">
            <control shapeId="10299" r:id="rId24" name="Spinner 59">
              <controlPr defaultSize="0" autoPict="0">
                <anchor moveWithCells="1" sizeWithCells="1">
                  <from>
                    <xdr:col>5</xdr:col>
                    <xdr:colOff>533400</xdr:colOff>
                    <xdr:row>0</xdr:row>
                    <xdr:rowOff>0</xdr:rowOff>
                  </from>
                  <to>
                    <xdr:col>5</xdr:col>
                    <xdr:colOff>736600</xdr:colOff>
                    <xdr:row>0</xdr:row>
                    <xdr:rowOff>0</xdr:rowOff>
                  </to>
                </anchor>
              </controlPr>
            </control>
          </mc:Choice>
        </mc:AlternateContent>
        <mc:AlternateContent xmlns:mc="http://schemas.openxmlformats.org/markup-compatibility/2006">
          <mc:Choice Requires="x14">
            <control shapeId="10300" r:id="rId25" name="Spinner 60">
              <controlPr defaultSize="0" autoPict="0">
                <anchor moveWithCells="1" sizeWithCells="1">
                  <from>
                    <xdr:col>11</xdr:col>
                    <xdr:colOff>482600</xdr:colOff>
                    <xdr:row>0</xdr:row>
                    <xdr:rowOff>0</xdr:rowOff>
                  </from>
                  <to>
                    <xdr:col>11</xdr:col>
                    <xdr:colOff>685800</xdr:colOff>
                    <xdr:row>0</xdr:row>
                    <xdr:rowOff>0</xdr:rowOff>
                  </to>
                </anchor>
              </controlPr>
            </control>
          </mc:Choice>
        </mc:AlternateContent>
        <mc:AlternateContent xmlns:mc="http://schemas.openxmlformats.org/markup-compatibility/2006">
          <mc:Choice Requires="x14">
            <control shapeId="10301" r:id="rId26" name="Spinner 61">
              <controlPr defaultSize="0" autoPict="0">
                <anchor moveWithCells="1" sizeWithCells="1">
                  <from>
                    <xdr:col>12</xdr:col>
                    <xdr:colOff>571500</xdr:colOff>
                    <xdr:row>0</xdr:row>
                    <xdr:rowOff>0</xdr:rowOff>
                  </from>
                  <to>
                    <xdr:col>12</xdr:col>
                    <xdr:colOff>774700</xdr:colOff>
                    <xdr:row>0</xdr:row>
                    <xdr:rowOff>0</xdr:rowOff>
                  </to>
                </anchor>
              </controlPr>
            </control>
          </mc:Choice>
        </mc:AlternateContent>
        <mc:AlternateContent xmlns:mc="http://schemas.openxmlformats.org/markup-compatibility/2006">
          <mc:Choice Requires="x14">
            <control shapeId="10302" r:id="rId27" name="Spinner 62">
              <controlPr defaultSize="0" autoPict="0">
                <anchor moveWithCells="1" sizeWithCells="1">
                  <from>
                    <xdr:col>7</xdr:col>
                    <xdr:colOff>457200</xdr:colOff>
                    <xdr:row>0</xdr:row>
                    <xdr:rowOff>0</xdr:rowOff>
                  </from>
                  <to>
                    <xdr:col>7</xdr:col>
                    <xdr:colOff>660400</xdr:colOff>
                    <xdr:row>0</xdr:row>
                    <xdr:rowOff>0</xdr:rowOff>
                  </to>
                </anchor>
              </controlPr>
            </control>
          </mc:Choice>
        </mc:AlternateContent>
        <mc:AlternateContent xmlns:mc="http://schemas.openxmlformats.org/markup-compatibility/2006">
          <mc:Choice Requires="x14">
            <control shapeId="10303" r:id="rId28" name="Spinner 63">
              <controlPr defaultSize="0" autoPict="0">
                <anchor moveWithCells="1" sizeWithCells="1">
                  <from>
                    <xdr:col>3</xdr:col>
                    <xdr:colOff>609600</xdr:colOff>
                    <xdr:row>0</xdr:row>
                    <xdr:rowOff>0</xdr:rowOff>
                  </from>
                  <to>
                    <xdr:col>3</xdr:col>
                    <xdr:colOff>812800</xdr:colOff>
                    <xdr:row>0</xdr:row>
                    <xdr:rowOff>0</xdr:rowOff>
                  </to>
                </anchor>
              </controlPr>
            </control>
          </mc:Choice>
        </mc:AlternateContent>
        <mc:AlternateContent xmlns:mc="http://schemas.openxmlformats.org/markup-compatibility/2006">
          <mc:Choice Requires="x14">
            <control shapeId="10304" r:id="rId29" name="Spinner 64">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0305" r:id="rId30" name="Spinner 65">
              <controlPr defaultSize="0" autoPict="0">
                <anchor moveWithCells="1" sizeWithCells="1">
                  <from>
                    <xdr:col>6</xdr:col>
                    <xdr:colOff>520700</xdr:colOff>
                    <xdr:row>0</xdr:row>
                    <xdr:rowOff>0</xdr:rowOff>
                  </from>
                  <to>
                    <xdr:col>6</xdr:col>
                    <xdr:colOff>723900</xdr:colOff>
                    <xdr:row>0</xdr:row>
                    <xdr:rowOff>0</xdr:rowOff>
                  </to>
                </anchor>
              </controlPr>
            </control>
          </mc:Choice>
        </mc:AlternateContent>
        <mc:AlternateContent xmlns:mc="http://schemas.openxmlformats.org/markup-compatibility/2006">
          <mc:Choice Requires="x14">
            <control shapeId="10306" r:id="rId31" name="Spinner 66">
              <controlPr defaultSize="0" autoPict="0">
                <anchor moveWithCells="1" sizeWithCells="1">
                  <from>
                    <xdr:col>10</xdr:col>
                    <xdr:colOff>457200</xdr:colOff>
                    <xdr:row>0</xdr:row>
                    <xdr:rowOff>0</xdr:rowOff>
                  </from>
                  <to>
                    <xdr:col>10</xdr:col>
                    <xdr:colOff>660400</xdr:colOff>
                    <xdr:row>0</xdr:row>
                    <xdr:rowOff>0</xdr:rowOff>
                  </to>
                </anchor>
              </controlPr>
            </control>
          </mc:Choice>
        </mc:AlternateContent>
        <mc:AlternateContent xmlns:mc="http://schemas.openxmlformats.org/markup-compatibility/2006">
          <mc:Choice Requires="x14">
            <control shapeId="10307" r:id="rId32" name="Spinner 67">
              <controlPr defaultSize="0" autoPict="0">
                <anchor moveWithCells="1" sizeWithCells="1">
                  <from>
                    <xdr:col>8</xdr:col>
                    <xdr:colOff>533400</xdr:colOff>
                    <xdr:row>0</xdr:row>
                    <xdr:rowOff>0</xdr:rowOff>
                  </from>
                  <to>
                    <xdr:col>8</xdr:col>
                    <xdr:colOff>736600</xdr:colOff>
                    <xdr:row>0</xdr:row>
                    <xdr:rowOff>0</xdr:rowOff>
                  </to>
                </anchor>
              </controlPr>
            </control>
          </mc:Choice>
        </mc:AlternateContent>
        <mc:AlternateContent xmlns:mc="http://schemas.openxmlformats.org/markup-compatibility/2006">
          <mc:Choice Requires="x14">
            <control shapeId="10308" r:id="rId33" name="Spinner 68">
              <controlPr defaultSize="0" autoPict="0">
                <anchor moveWithCells="1" sizeWithCells="1">
                  <from>
                    <xdr:col>9</xdr:col>
                    <xdr:colOff>495300</xdr:colOff>
                    <xdr:row>0</xdr:row>
                    <xdr:rowOff>0</xdr:rowOff>
                  </from>
                  <to>
                    <xdr:col>9</xdr:col>
                    <xdr:colOff>698500</xdr:colOff>
                    <xdr:row>0</xdr:row>
                    <xdr:rowOff>0</xdr:rowOff>
                  </to>
                </anchor>
              </controlPr>
            </control>
          </mc:Choice>
        </mc:AlternateContent>
        <mc:AlternateContent xmlns:mc="http://schemas.openxmlformats.org/markup-compatibility/2006">
          <mc:Choice Requires="x14">
            <control shapeId="10399" r:id="rId34" name="Drop Down 159">
              <controlPr defaultSize="0" autoLine="0" autoPict="0">
                <anchor moveWithCells="1">
                  <from>
                    <xdr:col>5</xdr:col>
                    <xdr:colOff>127000</xdr:colOff>
                    <xdr:row>1</xdr:row>
                    <xdr:rowOff>228600</xdr:rowOff>
                  </from>
                  <to>
                    <xdr:col>5</xdr:col>
                    <xdr:colOff>876300</xdr:colOff>
                    <xdr:row>3</xdr:row>
                    <xdr:rowOff>0</xdr:rowOff>
                  </to>
                </anchor>
              </controlPr>
            </control>
          </mc:Choice>
        </mc:AlternateContent>
        <mc:AlternateContent xmlns:mc="http://schemas.openxmlformats.org/markup-compatibility/2006">
          <mc:Choice Requires="x14">
            <control shapeId="10400" r:id="rId35" name="Spinner 160">
              <controlPr defaultSize="0" autoPict="0">
                <anchor moveWithCells="1" sizeWithCells="1">
                  <from>
                    <xdr:col>7</xdr:col>
                    <xdr:colOff>482600</xdr:colOff>
                    <xdr:row>21</xdr:row>
                    <xdr:rowOff>76200</xdr:rowOff>
                  </from>
                  <to>
                    <xdr:col>7</xdr:col>
                    <xdr:colOff>685800</xdr:colOff>
                    <xdr:row>23</xdr:row>
                    <xdr:rowOff>101600</xdr:rowOff>
                  </to>
                </anchor>
              </controlPr>
            </control>
          </mc:Choice>
        </mc:AlternateContent>
        <mc:AlternateContent xmlns:mc="http://schemas.openxmlformats.org/markup-compatibility/2006">
          <mc:Choice Requires="x14">
            <control shapeId="10401" r:id="rId36" name="Spinner 161">
              <controlPr defaultSize="0" autoPict="0">
                <anchor moveWithCells="1" sizeWithCells="1">
                  <from>
                    <xdr:col>8</xdr:col>
                    <xdr:colOff>520700</xdr:colOff>
                    <xdr:row>21</xdr:row>
                    <xdr:rowOff>63500</xdr:rowOff>
                  </from>
                  <to>
                    <xdr:col>8</xdr:col>
                    <xdr:colOff>723900</xdr:colOff>
                    <xdr:row>23</xdr:row>
                    <xdr:rowOff>88900</xdr:rowOff>
                  </to>
                </anchor>
              </controlPr>
            </control>
          </mc:Choice>
        </mc:AlternateContent>
        <mc:AlternateContent xmlns:mc="http://schemas.openxmlformats.org/markup-compatibility/2006">
          <mc:Choice Requires="x14">
            <control shapeId="10402" r:id="rId37" name="Spinner 162">
              <controlPr defaultSize="0" autoPict="0">
                <anchor moveWithCells="1" sizeWithCells="1">
                  <from>
                    <xdr:col>5</xdr:col>
                    <xdr:colOff>533400</xdr:colOff>
                    <xdr:row>21</xdr:row>
                    <xdr:rowOff>63500</xdr:rowOff>
                  </from>
                  <to>
                    <xdr:col>5</xdr:col>
                    <xdr:colOff>736600</xdr:colOff>
                    <xdr:row>23</xdr:row>
                    <xdr:rowOff>88900</xdr:rowOff>
                  </to>
                </anchor>
              </controlPr>
            </control>
          </mc:Choice>
        </mc:AlternateContent>
        <mc:AlternateContent xmlns:mc="http://schemas.openxmlformats.org/markup-compatibility/2006">
          <mc:Choice Requires="x14">
            <control shapeId="10403" r:id="rId38" name="Spinner 163">
              <controlPr defaultSize="0" autoPict="0">
                <anchor moveWithCells="1" sizeWithCells="1">
                  <from>
                    <xdr:col>3</xdr:col>
                    <xdr:colOff>533400</xdr:colOff>
                    <xdr:row>21</xdr:row>
                    <xdr:rowOff>50800</xdr:rowOff>
                  </from>
                  <to>
                    <xdr:col>3</xdr:col>
                    <xdr:colOff>736600</xdr:colOff>
                    <xdr:row>23</xdr:row>
                    <xdr:rowOff>101600</xdr:rowOff>
                  </to>
                </anchor>
              </controlPr>
            </control>
          </mc:Choice>
        </mc:AlternateContent>
        <mc:AlternateContent xmlns:mc="http://schemas.openxmlformats.org/markup-compatibility/2006">
          <mc:Choice Requires="x14">
            <control shapeId="10404" r:id="rId39" name="Spinner 164">
              <controlPr defaultSize="0" autoPict="0">
                <anchor moveWithCells="1" sizeWithCells="1">
                  <from>
                    <xdr:col>4</xdr:col>
                    <xdr:colOff>508000</xdr:colOff>
                    <xdr:row>21</xdr:row>
                    <xdr:rowOff>25400</xdr:rowOff>
                  </from>
                  <to>
                    <xdr:col>4</xdr:col>
                    <xdr:colOff>711200</xdr:colOff>
                    <xdr:row>23</xdr:row>
                    <xdr:rowOff>76200</xdr:rowOff>
                  </to>
                </anchor>
              </controlPr>
            </control>
          </mc:Choice>
        </mc:AlternateContent>
        <mc:AlternateContent xmlns:mc="http://schemas.openxmlformats.org/markup-compatibility/2006">
          <mc:Choice Requires="x14">
            <control shapeId="10405" r:id="rId40" name="Spinner 165">
              <controlPr defaultSize="0" autoPict="0">
                <anchor moveWithCells="1" sizeWithCells="1">
                  <from>
                    <xdr:col>6</xdr:col>
                    <xdr:colOff>533400</xdr:colOff>
                    <xdr:row>21</xdr:row>
                    <xdr:rowOff>50800</xdr:rowOff>
                  </from>
                  <to>
                    <xdr:col>6</xdr:col>
                    <xdr:colOff>736600</xdr:colOff>
                    <xdr:row>23</xdr:row>
                    <xdr:rowOff>101600</xdr:rowOff>
                  </to>
                </anchor>
              </controlPr>
            </control>
          </mc:Choice>
        </mc:AlternateContent>
        <mc:AlternateContent xmlns:mc="http://schemas.openxmlformats.org/markup-compatibility/2006">
          <mc:Choice Requires="x14">
            <control shapeId="10406" r:id="rId41" name="Drop Down 166">
              <controlPr defaultSize="0" autoLine="0" autoPict="0">
                <anchor moveWithCells="1">
                  <from>
                    <xdr:col>3</xdr:col>
                    <xdr:colOff>114300</xdr:colOff>
                    <xdr:row>19</xdr:row>
                    <xdr:rowOff>25400</xdr:rowOff>
                  </from>
                  <to>
                    <xdr:col>3</xdr:col>
                    <xdr:colOff>863600</xdr:colOff>
                    <xdr:row>20</xdr:row>
                    <xdr:rowOff>50800</xdr:rowOff>
                  </to>
                </anchor>
              </controlPr>
            </control>
          </mc:Choice>
        </mc:AlternateContent>
        <mc:AlternateContent xmlns:mc="http://schemas.openxmlformats.org/markup-compatibility/2006">
          <mc:Choice Requires="x14">
            <control shapeId="10407" r:id="rId42" name="Drop Down 167">
              <controlPr defaultSize="0" autoLine="0" autoPict="0">
                <anchor moveWithCells="1">
                  <from>
                    <xdr:col>4</xdr:col>
                    <xdr:colOff>114300</xdr:colOff>
                    <xdr:row>19</xdr:row>
                    <xdr:rowOff>25400</xdr:rowOff>
                  </from>
                  <to>
                    <xdr:col>4</xdr:col>
                    <xdr:colOff>863600</xdr:colOff>
                    <xdr:row>20</xdr:row>
                    <xdr:rowOff>50800</xdr:rowOff>
                  </to>
                </anchor>
              </controlPr>
            </control>
          </mc:Choice>
        </mc:AlternateContent>
        <mc:AlternateContent xmlns:mc="http://schemas.openxmlformats.org/markup-compatibility/2006">
          <mc:Choice Requires="x14">
            <control shapeId="10408" r:id="rId43" name="Drop Down 168">
              <controlPr defaultSize="0" autoLine="0" autoPict="0">
                <anchor moveWithCells="1">
                  <from>
                    <xdr:col>5</xdr:col>
                    <xdr:colOff>114300</xdr:colOff>
                    <xdr:row>19</xdr:row>
                    <xdr:rowOff>25400</xdr:rowOff>
                  </from>
                  <to>
                    <xdr:col>5</xdr:col>
                    <xdr:colOff>863600</xdr:colOff>
                    <xdr:row>20</xdr:row>
                    <xdr:rowOff>50800</xdr:rowOff>
                  </to>
                </anchor>
              </controlPr>
            </control>
          </mc:Choice>
        </mc:AlternateContent>
        <mc:AlternateContent xmlns:mc="http://schemas.openxmlformats.org/markup-compatibility/2006">
          <mc:Choice Requires="x14">
            <control shapeId="10409" r:id="rId44" name="Drop Down 169">
              <controlPr defaultSize="0" autoLine="0" autoPict="0">
                <anchor moveWithCells="1">
                  <from>
                    <xdr:col>6</xdr:col>
                    <xdr:colOff>114300</xdr:colOff>
                    <xdr:row>19</xdr:row>
                    <xdr:rowOff>25400</xdr:rowOff>
                  </from>
                  <to>
                    <xdr:col>6</xdr:col>
                    <xdr:colOff>863600</xdr:colOff>
                    <xdr:row>20</xdr:row>
                    <xdr:rowOff>50800</xdr:rowOff>
                  </to>
                </anchor>
              </controlPr>
            </control>
          </mc:Choice>
        </mc:AlternateContent>
        <mc:AlternateContent xmlns:mc="http://schemas.openxmlformats.org/markup-compatibility/2006">
          <mc:Choice Requires="x14">
            <control shapeId="10410" r:id="rId45" name="Drop Down 170">
              <controlPr defaultSize="0" autoLine="0" autoPict="0">
                <anchor moveWithCells="1">
                  <from>
                    <xdr:col>7</xdr:col>
                    <xdr:colOff>114300</xdr:colOff>
                    <xdr:row>19</xdr:row>
                    <xdr:rowOff>25400</xdr:rowOff>
                  </from>
                  <to>
                    <xdr:col>7</xdr:col>
                    <xdr:colOff>863600</xdr:colOff>
                    <xdr:row>20</xdr:row>
                    <xdr:rowOff>50800</xdr:rowOff>
                  </to>
                </anchor>
              </controlPr>
            </control>
          </mc:Choice>
        </mc:AlternateContent>
        <mc:AlternateContent xmlns:mc="http://schemas.openxmlformats.org/markup-compatibility/2006">
          <mc:Choice Requires="x14">
            <control shapeId="10411" r:id="rId46" name="Drop Down 171">
              <controlPr defaultSize="0" autoLine="0" autoPict="0">
                <anchor moveWithCells="1">
                  <from>
                    <xdr:col>8</xdr:col>
                    <xdr:colOff>114300</xdr:colOff>
                    <xdr:row>19</xdr:row>
                    <xdr:rowOff>25400</xdr:rowOff>
                  </from>
                  <to>
                    <xdr:col>8</xdr:col>
                    <xdr:colOff>863600</xdr:colOff>
                    <xdr:row>20</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O62"/>
  <sheetViews>
    <sheetView zoomScale="75" zoomScaleNormal="75" workbookViewId="0">
      <selection activeCell="N26" sqref="N26"/>
    </sheetView>
  </sheetViews>
  <sheetFormatPr baseColWidth="10" defaultColWidth="0" defaultRowHeight="15" x14ac:dyDescent="0.2"/>
  <cols>
    <col min="1" max="1" width="9.1640625" style="22" customWidth="1"/>
    <col min="2" max="2" width="20.5" style="22" customWidth="1"/>
    <col min="3" max="3" width="3.5" style="22" customWidth="1"/>
    <col min="4" max="4" width="14" style="22" customWidth="1"/>
    <col min="5" max="5" width="13.6640625" style="22" customWidth="1"/>
    <col min="6" max="7" width="14.33203125" style="22" customWidth="1"/>
    <col min="8" max="8" width="13.33203125" style="22" customWidth="1"/>
    <col min="9" max="9" width="14" style="22" customWidth="1"/>
    <col min="10" max="10" width="13.33203125" style="22" customWidth="1"/>
    <col min="11" max="12" width="12.5" style="22" customWidth="1"/>
    <col min="13" max="13" width="14.6640625" style="22" customWidth="1"/>
    <col min="14" max="14" width="7.5" style="278" customWidth="1"/>
    <col min="15" max="15" width="18.6640625" style="278" customWidth="1"/>
    <col min="16" max="16384" width="9.1640625" style="278" hidden="1"/>
  </cols>
  <sheetData>
    <row r="1" spans="1:13" s="18" customFormat="1" x14ac:dyDescent="0.2">
      <c r="A1" s="320"/>
      <c r="B1" s="319" t="s">
        <v>421</v>
      </c>
      <c r="C1" s="320"/>
      <c r="D1" s="320"/>
      <c r="E1" s="320"/>
      <c r="F1" s="320"/>
      <c r="G1" s="320"/>
      <c r="H1" s="320"/>
      <c r="I1" s="320"/>
      <c r="J1" s="320"/>
      <c r="K1" s="320"/>
      <c r="L1" s="320"/>
      <c r="M1" s="320"/>
    </row>
    <row r="2" spans="1:13" s="18" customFormat="1" x14ac:dyDescent="0.2">
      <c r="A2" s="320"/>
      <c r="B2" s="321" t="str">
        <f>'Assumptions - General'!$E$24</f>
        <v>Ruritania Freight Rail Company</v>
      </c>
      <c r="C2" s="320"/>
      <c r="D2" s="320"/>
      <c r="E2" s="320"/>
      <c r="F2" s="321" t="s">
        <v>420</v>
      </c>
      <c r="G2" s="320"/>
      <c r="H2" s="320"/>
      <c r="I2" s="320"/>
      <c r="J2" s="320"/>
      <c r="K2" s="320"/>
      <c r="L2" s="320"/>
      <c r="M2" s="320"/>
    </row>
    <row r="3" spans="1:13" s="18" customFormat="1" ht="19.5" customHeight="1" x14ac:dyDescent="0.2">
      <c r="A3" s="320"/>
      <c r="B3" s="321" t="str">
        <f>"All units in "  &amp;'Assumptions - General'!$E$27&amp;  " millions unless otherwise stated"</f>
        <v>All units in R$ millions unless otherwise stated</v>
      </c>
      <c r="C3" s="322"/>
      <c r="D3" s="320"/>
      <c r="E3" s="320"/>
      <c r="F3" s="327">
        <v>2</v>
      </c>
      <c r="G3" s="320"/>
      <c r="H3" s="320"/>
      <c r="I3" s="320"/>
      <c r="J3" s="320"/>
      <c r="K3" s="320"/>
      <c r="L3" s="320"/>
      <c r="M3" s="320"/>
    </row>
    <row r="4" spans="1:13" x14ac:dyDescent="0.2">
      <c r="A4" s="306" t="s">
        <v>33</v>
      </c>
    </row>
    <row r="5" spans="1:13" x14ac:dyDescent="0.2">
      <c r="A5" s="306" t="s">
        <v>211</v>
      </c>
    </row>
    <row r="19" spans="1:14" ht="16" thickBot="1" x14ac:dyDescent="0.25"/>
    <row r="20" spans="1:14" x14ac:dyDescent="0.2">
      <c r="B20" s="558" t="s">
        <v>462</v>
      </c>
      <c r="D20" s="368">
        <v>2</v>
      </c>
      <c r="E20" s="369">
        <v>2</v>
      </c>
      <c r="F20" s="369">
        <v>2</v>
      </c>
      <c r="G20" s="369">
        <v>2</v>
      </c>
      <c r="H20" s="369">
        <v>2</v>
      </c>
      <c r="I20" s="370">
        <v>2</v>
      </c>
    </row>
    <row r="21" spans="1:14" s="416" customFormat="1" ht="21" x14ac:dyDescent="0.2">
      <c r="A21" s="131"/>
      <c r="B21" s="559"/>
      <c r="C21" s="131"/>
      <c r="D21" s="371" t="s">
        <v>467</v>
      </c>
      <c r="E21" s="290" t="s">
        <v>468</v>
      </c>
      <c r="F21" s="290" t="s">
        <v>466</v>
      </c>
      <c r="G21" s="290" t="s">
        <v>469</v>
      </c>
      <c r="H21" s="290" t="s">
        <v>465</v>
      </c>
      <c r="I21" s="372" t="s">
        <v>464</v>
      </c>
      <c r="J21" s="131"/>
      <c r="K21" s="286" t="str">
        <f>IF(AND(K23=" ",K24=" ",K25=" ")," ","WARNINGS")</f>
        <v xml:space="preserve"> </v>
      </c>
      <c r="L21" s="131"/>
      <c r="M21" s="131"/>
    </row>
    <row r="22" spans="1:14" x14ac:dyDescent="0.2">
      <c r="D22" s="373"/>
      <c r="E22" s="301"/>
      <c r="F22" s="302" t="s">
        <v>33</v>
      </c>
      <c r="G22" s="302"/>
      <c r="H22" s="303"/>
      <c r="I22" s="374"/>
    </row>
    <row r="23" spans="1:14" x14ac:dyDescent="0.2">
      <c r="B23" s="235"/>
      <c r="D23" s="375"/>
      <c r="E23" s="303"/>
      <c r="F23" s="302" t="s">
        <v>211</v>
      </c>
      <c r="G23" s="302"/>
      <c r="H23" s="303"/>
      <c r="I23" s="374"/>
      <c r="K23" s="22" t="str">
        <f>IF('Results - Freight'!F106&lt;'Assumptions - Freight'!E406,"Low DSCR, below" &amp; 'Assumptions - Freight'!E406," ")</f>
        <v xml:space="preserve"> </v>
      </c>
    </row>
    <row r="24" spans="1:14" x14ac:dyDescent="0.2">
      <c r="D24" s="375"/>
      <c r="E24" s="303"/>
      <c r="F24" s="303"/>
      <c r="G24" s="303"/>
      <c r="H24" s="303"/>
      <c r="I24" s="374"/>
      <c r="K24" s="22" t="str">
        <f>IF('Results - Freight'!F98&lt;10%, "Low equity return (&lt;10%)", " ")</f>
        <v xml:space="preserve"> </v>
      </c>
    </row>
    <row r="25" spans="1:14" ht="16" thickBot="1" x14ac:dyDescent="0.25">
      <c r="D25" s="376">
        <f>IF(AND(F3=1,D20=1),D30/10,1)</f>
        <v>1</v>
      </c>
      <c r="E25" s="377">
        <f>IF(AND(F3=1,E20=1),E30/1000,'Results - Freight'!G17)</f>
        <v>2.793849210418764E-2</v>
      </c>
      <c r="F25" s="378">
        <f>IF(AND(F3=1,F20=1),F30/10,1)</f>
        <v>1</v>
      </c>
      <c r="G25" s="377">
        <f>IF(AND(F3=1,G20=1),G30/1000,'Results - Freight'!F11)</f>
        <v>3.2151722025077767E-3</v>
      </c>
      <c r="H25" s="378">
        <f>IF(AND(F3=1,H20=1),H30/100,1)</f>
        <v>1</v>
      </c>
      <c r="I25" s="379">
        <f>IF(AND(F3=1,I20=1),I30/100,1)</f>
        <v>1</v>
      </c>
      <c r="K25" s="22" t="str">
        <f>IF('Results - Freight'!O110="NO", "Cash balance below zero", " ")</f>
        <v xml:space="preserve"> </v>
      </c>
    </row>
    <row r="26" spans="1:14" s="416" customFormat="1" ht="16" thickBot="1" x14ac:dyDescent="0.25">
      <c r="A26" s="131"/>
      <c r="B26" s="540" t="s">
        <v>511</v>
      </c>
      <c r="C26" s="131"/>
      <c r="D26" s="562" t="str">
        <f>'Results - Freight'!F17&amp;" ("&amp;'Assumptions - Freight'!D146&amp;")"</f>
        <v>1 (R$/Ton-km)</v>
      </c>
      <c r="E26" s="564">
        <f>'Results - Freight'!G17</f>
        <v>2.793849210418764E-2</v>
      </c>
      <c r="F26" s="560" t="str">
        <f>'Results - Freight'!F10&amp;" (net ton-km)"</f>
        <v>41000 (net ton-km)</v>
      </c>
      <c r="G26" s="564">
        <f>'Results - Freight'!F11</f>
        <v>3.2151722025077767E-3</v>
      </c>
      <c r="H26" s="560">
        <f>'Results - Freight'!F8</f>
        <v>19433.333333333332</v>
      </c>
      <c r="I26" s="560" t="str">
        <f>'Results - Freight'!M31&amp;" ("&amp;'Results - Freight'!N31&amp;")"</f>
        <v>7965 (R$ millions)</v>
      </c>
      <c r="J26" s="131"/>
      <c r="K26" s="131"/>
      <c r="L26" s="131"/>
      <c r="M26" s="131"/>
    </row>
    <row r="27" spans="1:14" ht="16" thickBot="1" x14ac:dyDescent="0.25">
      <c r="B27" s="535"/>
      <c r="D27" s="563"/>
      <c r="E27" s="565"/>
      <c r="F27" s="561"/>
      <c r="G27" s="565"/>
      <c r="H27" s="561"/>
      <c r="I27" s="561"/>
      <c r="J27" s="236">
        <v>1000</v>
      </c>
      <c r="K27" s="236">
        <v>20</v>
      </c>
      <c r="L27" s="236">
        <v>432</v>
      </c>
      <c r="M27" s="236">
        <v>7300</v>
      </c>
      <c r="N27" s="418"/>
    </row>
    <row r="28" spans="1:14" s="416" customFormat="1" ht="16" thickBot="1" x14ac:dyDescent="0.25">
      <c r="A28" s="131"/>
      <c r="B28" s="540" t="s">
        <v>463</v>
      </c>
      <c r="C28" s="131"/>
      <c r="D28" s="562">
        <v>1</v>
      </c>
      <c r="E28" s="564">
        <v>2.78631545317094E-2</v>
      </c>
      <c r="F28" s="560" t="s">
        <v>533</v>
      </c>
      <c r="G28" s="564">
        <v>4.0697429917289085E-3</v>
      </c>
      <c r="H28" s="560" t="s">
        <v>536</v>
      </c>
      <c r="I28" s="560">
        <v>7965</v>
      </c>
      <c r="J28" s="131"/>
      <c r="K28" s="131"/>
      <c r="L28" s="131"/>
      <c r="M28" s="131"/>
    </row>
    <row r="29" spans="1:14" ht="16" thickBot="1" x14ac:dyDescent="0.25">
      <c r="B29" s="535"/>
      <c r="D29" s="563"/>
      <c r="E29" s="565"/>
      <c r="F29" s="561"/>
      <c r="G29" s="565"/>
      <c r="H29" s="561"/>
      <c r="I29" s="561"/>
      <c r="J29" s="236">
        <v>1000</v>
      </c>
      <c r="K29" s="236">
        <v>20</v>
      </c>
      <c r="L29" s="236">
        <v>432</v>
      </c>
      <c r="M29" s="236">
        <v>7300</v>
      </c>
      <c r="N29" s="418"/>
    </row>
    <row r="30" spans="1:14" x14ac:dyDescent="0.2">
      <c r="D30" s="236">
        <v>10</v>
      </c>
      <c r="E30" s="236">
        <v>10</v>
      </c>
      <c r="F30" s="236">
        <v>10</v>
      </c>
      <c r="G30" s="236">
        <v>10</v>
      </c>
      <c r="H30" s="236">
        <v>100</v>
      </c>
      <c r="I30" s="236">
        <v>100</v>
      </c>
      <c r="J30" s="235"/>
      <c r="K30" s="235"/>
      <c r="L30" s="235"/>
    </row>
    <row r="31" spans="1:14" x14ac:dyDescent="0.2">
      <c r="E31" s="235"/>
      <c r="F31" s="235"/>
      <c r="G31" s="235"/>
      <c r="H31" s="235"/>
      <c r="I31" s="235"/>
      <c r="J31" s="235"/>
      <c r="K31" s="235"/>
      <c r="L31" s="235"/>
    </row>
    <row r="61" spans="5:12" x14ac:dyDescent="0.2">
      <c r="E61" s="235"/>
      <c r="F61" s="235"/>
      <c r="G61" s="235"/>
      <c r="H61" s="235"/>
      <c r="I61" s="235"/>
      <c r="J61" s="235"/>
      <c r="K61" s="235"/>
      <c r="L61" s="235"/>
    </row>
    <row r="62" spans="5:12" x14ac:dyDescent="0.2">
      <c r="E62" s="235"/>
      <c r="F62" s="235"/>
      <c r="G62" s="235"/>
      <c r="H62" s="235"/>
      <c r="I62" s="235"/>
      <c r="J62" s="235"/>
      <c r="K62" s="235"/>
      <c r="L62" s="235"/>
    </row>
  </sheetData>
  <mergeCells count="15">
    <mergeCell ref="B20:B21"/>
    <mergeCell ref="B26:B27"/>
    <mergeCell ref="D26:D27"/>
    <mergeCell ref="E26:E27"/>
    <mergeCell ref="F26:F27"/>
    <mergeCell ref="H26:H27"/>
    <mergeCell ref="I26:I27"/>
    <mergeCell ref="B28:B29"/>
    <mergeCell ref="D28:D29"/>
    <mergeCell ref="E28:E29"/>
    <mergeCell ref="F28:F29"/>
    <mergeCell ref="G28:G29"/>
    <mergeCell ref="H28:H29"/>
    <mergeCell ref="I28:I29"/>
    <mergeCell ref="G26:G27"/>
  </mergeCells>
  <pageMargins left="0.7" right="0.7" top="0.75" bottom="0.75" header="0.3" footer="0.3"/>
  <pageSetup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Spinner 1">
              <controlPr defaultSize="0" autoPict="0">
                <anchor moveWithCells="1" sizeWithCells="1">
                  <from>
                    <xdr:col>5</xdr:col>
                    <xdr:colOff>533400</xdr:colOff>
                    <xdr:row>60</xdr:row>
                    <xdr:rowOff>0</xdr:rowOff>
                  </from>
                  <to>
                    <xdr:col>5</xdr:col>
                    <xdr:colOff>736600</xdr:colOff>
                    <xdr:row>60</xdr:row>
                    <xdr:rowOff>0</xdr:rowOff>
                  </to>
                </anchor>
              </controlPr>
            </control>
          </mc:Choice>
        </mc:AlternateContent>
        <mc:AlternateContent xmlns:mc="http://schemas.openxmlformats.org/markup-compatibility/2006">
          <mc:Choice Requires="x14">
            <control shapeId="18434" r:id="rId5" name="Spinner 2">
              <controlPr defaultSize="0" autoPict="0">
                <anchor moveWithCells="1" sizeWithCells="1">
                  <from>
                    <xdr:col>11</xdr:col>
                    <xdr:colOff>482600</xdr:colOff>
                    <xdr:row>60</xdr:row>
                    <xdr:rowOff>0</xdr:rowOff>
                  </from>
                  <to>
                    <xdr:col>11</xdr:col>
                    <xdr:colOff>685800</xdr:colOff>
                    <xdr:row>60</xdr:row>
                    <xdr:rowOff>0</xdr:rowOff>
                  </to>
                </anchor>
              </controlPr>
            </control>
          </mc:Choice>
        </mc:AlternateContent>
        <mc:AlternateContent xmlns:mc="http://schemas.openxmlformats.org/markup-compatibility/2006">
          <mc:Choice Requires="x14">
            <control shapeId="18435" r:id="rId6" name="Spinner 3">
              <controlPr defaultSize="0" autoPict="0">
                <anchor moveWithCells="1" sizeWithCells="1">
                  <from>
                    <xdr:col>12</xdr:col>
                    <xdr:colOff>571500</xdr:colOff>
                    <xdr:row>60</xdr:row>
                    <xdr:rowOff>0</xdr:rowOff>
                  </from>
                  <to>
                    <xdr:col>12</xdr:col>
                    <xdr:colOff>774700</xdr:colOff>
                    <xdr:row>60</xdr:row>
                    <xdr:rowOff>0</xdr:rowOff>
                  </to>
                </anchor>
              </controlPr>
            </control>
          </mc:Choice>
        </mc:AlternateContent>
        <mc:AlternateContent xmlns:mc="http://schemas.openxmlformats.org/markup-compatibility/2006">
          <mc:Choice Requires="x14">
            <control shapeId="18436" r:id="rId7" name="Spinner 4">
              <controlPr defaultSize="0" autoPict="0">
                <anchor moveWithCells="1" sizeWithCells="1">
                  <from>
                    <xdr:col>7</xdr:col>
                    <xdr:colOff>457200</xdr:colOff>
                    <xdr:row>60</xdr:row>
                    <xdr:rowOff>0</xdr:rowOff>
                  </from>
                  <to>
                    <xdr:col>7</xdr:col>
                    <xdr:colOff>660400</xdr:colOff>
                    <xdr:row>60</xdr:row>
                    <xdr:rowOff>0</xdr:rowOff>
                  </to>
                </anchor>
              </controlPr>
            </control>
          </mc:Choice>
        </mc:AlternateContent>
        <mc:AlternateContent xmlns:mc="http://schemas.openxmlformats.org/markup-compatibility/2006">
          <mc:Choice Requires="x14">
            <control shapeId="18437" r:id="rId8" name="Spinner 5">
              <controlPr defaultSize="0" autoPict="0">
                <anchor moveWithCells="1" sizeWithCells="1">
                  <from>
                    <xdr:col>3</xdr:col>
                    <xdr:colOff>609600</xdr:colOff>
                    <xdr:row>60</xdr:row>
                    <xdr:rowOff>0</xdr:rowOff>
                  </from>
                  <to>
                    <xdr:col>3</xdr:col>
                    <xdr:colOff>812800</xdr:colOff>
                    <xdr:row>60</xdr:row>
                    <xdr:rowOff>0</xdr:rowOff>
                  </to>
                </anchor>
              </controlPr>
            </control>
          </mc:Choice>
        </mc:AlternateContent>
        <mc:AlternateContent xmlns:mc="http://schemas.openxmlformats.org/markup-compatibility/2006">
          <mc:Choice Requires="x14">
            <control shapeId="18438" r:id="rId9" name="Spinner 6">
              <controlPr defaultSize="0" autoPict="0">
                <anchor moveWithCells="1" sizeWithCells="1">
                  <from>
                    <xdr:col>4</xdr:col>
                    <xdr:colOff>508000</xdr:colOff>
                    <xdr:row>60</xdr:row>
                    <xdr:rowOff>0</xdr:rowOff>
                  </from>
                  <to>
                    <xdr:col>4</xdr:col>
                    <xdr:colOff>711200</xdr:colOff>
                    <xdr:row>60</xdr:row>
                    <xdr:rowOff>0</xdr:rowOff>
                  </to>
                </anchor>
              </controlPr>
            </control>
          </mc:Choice>
        </mc:AlternateContent>
        <mc:AlternateContent xmlns:mc="http://schemas.openxmlformats.org/markup-compatibility/2006">
          <mc:Choice Requires="x14">
            <control shapeId="18439" r:id="rId10" name="Spinner 7">
              <controlPr defaultSize="0" autoPict="0">
                <anchor moveWithCells="1" sizeWithCells="1">
                  <from>
                    <xdr:col>6</xdr:col>
                    <xdr:colOff>520700</xdr:colOff>
                    <xdr:row>60</xdr:row>
                    <xdr:rowOff>0</xdr:rowOff>
                  </from>
                  <to>
                    <xdr:col>6</xdr:col>
                    <xdr:colOff>723900</xdr:colOff>
                    <xdr:row>60</xdr:row>
                    <xdr:rowOff>0</xdr:rowOff>
                  </to>
                </anchor>
              </controlPr>
            </control>
          </mc:Choice>
        </mc:AlternateContent>
        <mc:AlternateContent xmlns:mc="http://schemas.openxmlformats.org/markup-compatibility/2006">
          <mc:Choice Requires="x14">
            <control shapeId="18440" r:id="rId11" name="Spinner 8">
              <controlPr defaultSize="0" autoPict="0">
                <anchor moveWithCells="1" sizeWithCells="1">
                  <from>
                    <xdr:col>10</xdr:col>
                    <xdr:colOff>457200</xdr:colOff>
                    <xdr:row>60</xdr:row>
                    <xdr:rowOff>0</xdr:rowOff>
                  </from>
                  <to>
                    <xdr:col>10</xdr:col>
                    <xdr:colOff>660400</xdr:colOff>
                    <xdr:row>60</xdr:row>
                    <xdr:rowOff>0</xdr:rowOff>
                  </to>
                </anchor>
              </controlPr>
            </control>
          </mc:Choice>
        </mc:AlternateContent>
        <mc:AlternateContent xmlns:mc="http://schemas.openxmlformats.org/markup-compatibility/2006">
          <mc:Choice Requires="x14">
            <control shapeId="18441" r:id="rId12" name="Spinner 9">
              <controlPr defaultSize="0" autoPict="0">
                <anchor moveWithCells="1" sizeWithCells="1">
                  <from>
                    <xdr:col>8</xdr:col>
                    <xdr:colOff>533400</xdr:colOff>
                    <xdr:row>60</xdr:row>
                    <xdr:rowOff>0</xdr:rowOff>
                  </from>
                  <to>
                    <xdr:col>8</xdr:col>
                    <xdr:colOff>736600</xdr:colOff>
                    <xdr:row>60</xdr:row>
                    <xdr:rowOff>0</xdr:rowOff>
                  </to>
                </anchor>
              </controlPr>
            </control>
          </mc:Choice>
        </mc:AlternateContent>
        <mc:AlternateContent xmlns:mc="http://schemas.openxmlformats.org/markup-compatibility/2006">
          <mc:Choice Requires="x14">
            <control shapeId="18442" r:id="rId13" name="Spinner 10">
              <controlPr defaultSize="0" autoPict="0">
                <anchor moveWithCells="1" sizeWithCells="1">
                  <from>
                    <xdr:col>9</xdr:col>
                    <xdr:colOff>495300</xdr:colOff>
                    <xdr:row>60</xdr:row>
                    <xdr:rowOff>0</xdr:rowOff>
                  </from>
                  <to>
                    <xdr:col>9</xdr:col>
                    <xdr:colOff>698500</xdr:colOff>
                    <xdr:row>60</xdr:row>
                    <xdr:rowOff>0</xdr:rowOff>
                  </to>
                </anchor>
              </controlPr>
            </control>
          </mc:Choice>
        </mc:AlternateContent>
        <mc:AlternateContent xmlns:mc="http://schemas.openxmlformats.org/markup-compatibility/2006">
          <mc:Choice Requires="x14">
            <control shapeId="18444" r:id="rId14" name="Spinner 12">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8445" r:id="rId15" name="Spinner 13">
              <controlPr defaultSize="0" autoPict="0">
                <anchor moveWithCells="1" sizeWithCells="1">
                  <from>
                    <xdr:col>8</xdr:col>
                    <xdr:colOff>520700</xdr:colOff>
                    <xdr:row>0</xdr:row>
                    <xdr:rowOff>0</xdr:rowOff>
                  </from>
                  <to>
                    <xdr:col>8</xdr:col>
                    <xdr:colOff>723900</xdr:colOff>
                    <xdr:row>0</xdr:row>
                    <xdr:rowOff>0</xdr:rowOff>
                  </to>
                </anchor>
              </controlPr>
            </control>
          </mc:Choice>
        </mc:AlternateContent>
        <mc:AlternateContent xmlns:mc="http://schemas.openxmlformats.org/markup-compatibility/2006">
          <mc:Choice Requires="x14">
            <control shapeId="18446" r:id="rId16" name="Spinner 14">
              <controlPr defaultSize="0" autoPict="0">
                <anchor moveWithCells="1" sizeWithCells="1">
                  <from>
                    <xdr:col>5</xdr:col>
                    <xdr:colOff>533400</xdr:colOff>
                    <xdr:row>0</xdr:row>
                    <xdr:rowOff>0</xdr:rowOff>
                  </from>
                  <to>
                    <xdr:col>5</xdr:col>
                    <xdr:colOff>736600</xdr:colOff>
                    <xdr:row>0</xdr:row>
                    <xdr:rowOff>0</xdr:rowOff>
                  </to>
                </anchor>
              </controlPr>
            </control>
          </mc:Choice>
        </mc:AlternateContent>
        <mc:AlternateContent xmlns:mc="http://schemas.openxmlformats.org/markup-compatibility/2006">
          <mc:Choice Requires="x14">
            <control shapeId="18447" r:id="rId17" name="Spinner 15">
              <controlPr defaultSize="0" autoPict="0">
                <anchor moveWithCells="1" sizeWithCells="1">
                  <from>
                    <xdr:col>3</xdr:col>
                    <xdr:colOff>533400</xdr:colOff>
                    <xdr:row>0</xdr:row>
                    <xdr:rowOff>0</xdr:rowOff>
                  </from>
                  <to>
                    <xdr:col>3</xdr:col>
                    <xdr:colOff>736600</xdr:colOff>
                    <xdr:row>0</xdr:row>
                    <xdr:rowOff>0</xdr:rowOff>
                  </to>
                </anchor>
              </controlPr>
            </control>
          </mc:Choice>
        </mc:AlternateContent>
        <mc:AlternateContent xmlns:mc="http://schemas.openxmlformats.org/markup-compatibility/2006">
          <mc:Choice Requires="x14">
            <control shapeId="18448" r:id="rId18" name="Spinner 16">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8449" r:id="rId19" name="Spinner 17">
              <controlPr defaultSize="0" autoPict="0">
                <anchor moveWithCells="1" sizeWithCells="1">
                  <from>
                    <xdr:col>6</xdr:col>
                    <xdr:colOff>533400</xdr:colOff>
                    <xdr:row>0</xdr:row>
                    <xdr:rowOff>0</xdr:rowOff>
                  </from>
                  <to>
                    <xdr:col>6</xdr:col>
                    <xdr:colOff>736600</xdr:colOff>
                    <xdr:row>0</xdr:row>
                    <xdr:rowOff>0</xdr:rowOff>
                  </to>
                </anchor>
              </controlPr>
            </control>
          </mc:Choice>
        </mc:AlternateContent>
        <mc:AlternateContent xmlns:mc="http://schemas.openxmlformats.org/markup-compatibility/2006">
          <mc:Choice Requires="x14">
            <control shapeId="18457" r:id="rId20" name="Spinner 25">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8458" r:id="rId21" name="Spinner 26">
              <controlPr defaultSize="0" autoPict="0">
                <anchor moveWithCells="1" sizeWithCells="1">
                  <from>
                    <xdr:col>8</xdr:col>
                    <xdr:colOff>533400</xdr:colOff>
                    <xdr:row>0</xdr:row>
                    <xdr:rowOff>0</xdr:rowOff>
                  </from>
                  <to>
                    <xdr:col>8</xdr:col>
                    <xdr:colOff>736600</xdr:colOff>
                    <xdr:row>0</xdr:row>
                    <xdr:rowOff>0</xdr:rowOff>
                  </to>
                </anchor>
              </controlPr>
            </control>
          </mc:Choice>
        </mc:AlternateContent>
        <mc:AlternateContent xmlns:mc="http://schemas.openxmlformats.org/markup-compatibility/2006">
          <mc:Choice Requires="x14">
            <control shapeId="18459" r:id="rId22" name="Spinner 27">
              <controlPr defaultSize="0" autoPict="0">
                <anchor moveWithCells="1" sizeWithCells="1">
                  <from>
                    <xdr:col>5</xdr:col>
                    <xdr:colOff>546100</xdr:colOff>
                    <xdr:row>0</xdr:row>
                    <xdr:rowOff>0</xdr:rowOff>
                  </from>
                  <to>
                    <xdr:col>5</xdr:col>
                    <xdr:colOff>749300</xdr:colOff>
                    <xdr:row>0</xdr:row>
                    <xdr:rowOff>0</xdr:rowOff>
                  </to>
                </anchor>
              </controlPr>
            </control>
          </mc:Choice>
        </mc:AlternateContent>
        <mc:AlternateContent xmlns:mc="http://schemas.openxmlformats.org/markup-compatibility/2006">
          <mc:Choice Requires="x14">
            <control shapeId="18460" r:id="rId23" name="Spinner 28">
              <controlPr defaultSize="0" autoPict="0">
                <anchor moveWithCells="1" sizeWithCells="1">
                  <from>
                    <xdr:col>3</xdr:col>
                    <xdr:colOff>546100</xdr:colOff>
                    <xdr:row>0</xdr:row>
                    <xdr:rowOff>0</xdr:rowOff>
                  </from>
                  <to>
                    <xdr:col>3</xdr:col>
                    <xdr:colOff>749300</xdr:colOff>
                    <xdr:row>0</xdr:row>
                    <xdr:rowOff>0</xdr:rowOff>
                  </to>
                </anchor>
              </controlPr>
            </control>
          </mc:Choice>
        </mc:AlternateContent>
        <mc:AlternateContent xmlns:mc="http://schemas.openxmlformats.org/markup-compatibility/2006">
          <mc:Choice Requires="x14">
            <control shapeId="18461" r:id="rId24" name="Spinner 29">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8462" r:id="rId25" name="Spinner 30">
              <controlPr defaultSize="0" autoPict="0">
                <anchor moveWithCells="1" sizeWithCells="1">
                  <from>
                    <xdr:col>6</xdr:col>
                    <xdr:colOff>508000</xdr:colOff>
                    <xdr:row>0</xdr:row>
                    <xdr:rowOff>0</xdr:rowOff>
                  </from>
                  <to>
                    <xdr:col>6</xdr:col>
                    <xdr:colOff>711200</xdr:colOff>
                    <xdr:row>0</xdr:row>
                    <xdr:rowOff>0</xdr:rowOff>
                  </to>
                </anchor>
              </controlPr>
            </control>
          </mc:Choice>
        </mc:AlternateContent>
        <mc:AlternateContent xmlns:mc="http://schemas.openxmlformats.org/markup-compatibility/2006">
          <mc:Choice Requires="x14">
            <control shapeId="18470" r:id="rId26" name="Spinner 38">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8471" r:id="rId27" name="Spinner 39">
              <controlPr defaultSize="0" autoPict="0">
                <anchor moveWithCells="1" sizeWithCells="1">
                  <from>
                    <xdr:col>8</xdr:col>
                    <xdr:colOff>520700</xdr:colOff>
                    <xdr:row>0</xdr:row>
                    <xdr:rowOff>0</xdr:rowOff>
                  </from>
                  <to>
                    <xdr:col>8</xdr:col>
                    <xdr:colOff>723900</xdr:colOff>
                    <xdr:row>0</xdr:row>
                    <xdr:rowOff>0</xdr:rowOff>
                  </to>
                </anchor>
              </controlPr>
            </control>
          </mc:Choice>
        </mc:AlternateContent>
        <mc:AlternateContent xmlns:mc="http://schemas.openxmlformats.org/markup-compatibility/2006">
          <mc:Choice Requires="x14">
            <control shapeId="18472" r:id="rId28" name="Spinner 40">
              <controlPr defaultSize="0" autoPict="0">
                <anchor moveWithCells="1" sizeWithCells="1">
                  <from>
                    <xdr:col>5</xdr:col>
                    <xdr:colOff>533400</xdr:colOff>
                    <xdr:row>0</xdr:row>
                    <xdr:rowOff>0</xdr:rowOff>
                  </from>
                  <to>
                    <xdr:col>5</xdr:col>
                    <xdr:colOff>736600</xdr:colOff>
                    <xdr:row>0</xdr:row>
                    <xdr:rowOff>0</xdr:rowOff>
                  </to>
                </anchor>
              </controlPr>
            </control>
          </mc:Choice>
        </mc:AlternateContent>
        <mc:AlternateContent xmlns:mc="http://schemas.openxmlformats.org/markup-compatibility/2006">
          <mc:Choice Requires="x14">
            <control shapeId="18473" r:id="rId29" name="Spinner 41">
              <controlPr defaultSize="0" autoPict="0">
                <anchor moveWithCells="1" sizeWithCells="1">
                  <from>
                    <xdr:col>3</xdr:col>
                    <xdr:colOff>533400</xdr:colOff>
                    <xdr:row>0</xdr:row>
                    <xdr:rowOff>0</xdr:rowOff>
                  </from>
                  <to>
                    <xdr:col>3</xdr:col>
                    <xdr:colOff>736600</xdr:colOff>
                    <xdr:row>0</xdr:row>
                    <xdr:rowOff>0</xdr:rowOff>
                  </to>
                </anchor>
              </controlPr>
            </control>
          </mc:Choice>
        </mc:AlternateContent>
        <mc:AlternateContent xmlns:mc="http://schemas.openxmlformats.org/markup-compatibility/2006">
          <mc:Choice Requires="x14">
            <control shapeId="18474" r:id="rId30" name="Spinner 42">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8475" r:id="rId31" name="Spinner 43">
              <controlPr defaultSize="0" autoPict="0">
                <anchor moveWithCells="1" sizeWithCells="1">
                  <from>
                    <xdr:col>6</xdr:col>
                    <xdr:colOff>533400</xdr:colOff>
                    <xdr:row>0</xdr:row>
                    <xdr:rowOff>0</xdr:rowOff>
                  </from>
                  <to>
                    <xdr:col>6</xdr:col>
                    <xdr:colOff>736600</xdr:colOff>
                    <xdr:row>0</xdr:row>
                    <xdr:rowOff>0</xdr:rowOff>
                  </to>
                </anchor>
              </controlPr>
            </control>
          </mc:Choice>
        </mc:AlternateContent>
        <mc:AlternateContent xmlns:mc="http://schemas.openxmlformats.org/markup-compatibility/2006">
          <mc:Choice Requires="x14">
            <control shapeId="18482" r:id="rId32" name="Drop Down 50">
              <controlPr defaultSize="0" autoLine="0" autoPict="0">
                <anchor moveWithCells="1">
                  <from>
                    <xdr:col>5</xdr:col>
                    <xdr:colOff>114300</xdr:colOff>
                    <xdr:row>2</xdr:row>
                    <xdr:rowOff>25400</xdr:rowOff>
                  </from>
                  <to>
                    <xdr:col>5</xdr:col>
                    <xdr:colOff>863600</xdr:colOff>
                    <xdr:row>2</xdr:row>
                    <xdr:rowOff>304800</xdr:rowOff>
                  </to>
                </anchor>
              </controlPr>
            </control>
          </mc:Choice>
        </mc:AlternateContent>
        <mc:AlternateContent xmlns:mc="http://schemas.openxmlformats.org/markup-compatibility/2006">
          <mc:Choice Requires="x14">
            <control shapeId="18483" r:id="rId33" name="Spinner 51">
              <controlPr defaultSize="0" autoPict="0">
                <anchor moveWithCells="1" sizeWithCells="1">
                  <from>
                    <xdr:col>7</xdr:col>
                    <xdr:colOff>482600</xdr:colOff>
                    <xdr:row>21</xdr:row>
                    <xdr:rowOff>76200</xdr:rowOff>
                  </from>
                  <to>
                    <xdr:col>7</xdr:col>
                    <xdr:colOff>685800</xdr:colOff>
                    <xdr:row>23</xdr:row>
                    <xdr:rowOff>101600</xdr:rowOff>
                  </to>
                </anchor>
              </controlPr>
            </control>
          </mc:Choice>
        </mc:AlternateContent>
        <mc:AlternateContent xmlns:mc="http://schemas.openxmlformats.org/markup-compatibility/2006">
          <mc:Choice Requires="x14">
            <control shapeId="18484" r:id="rId34" name="Spinner 52">
              <controlPr defaultSize="0" autoPict="0">
                <anchor moveWithCells="1" sizeWithCells="1">
                  <from>
                    <xdr:col>8</xdr:col>
                    <xdr:colOff>520700</xdr:colOff>
                    <xdr:row>21</xdr:row>
                    <xdr:rowOff>63500</xdr:rowOff>
                  </from>
                  <to>
                    <xdr:col>8</xdr:col>
                    <xdr:colOff>723900</xdr:colOff>
                    <xdr:row>23</xdr:row>
                    <xdr:rowOff>88900</xdr:rowOff>
                  </to>
                </anchor>
              </controlPr>
            </control>
          </mc:Choice>
        </mc:AlternateContent>
        <mc:AlternateContent xmlns:mc="http://schemas.openxmlformats.org/markup-compatibility/2006">
          <mc:Choice Requires="x14">
            <control shapeId="18485" r:id="rId35" name="Spinner 53">
              <controlPr defaultSize="0" autoPict="0">
                <anchor moveWithCells="1" sizeWithCells="1">
                  <from>
                    <xdr:col>5</xdr:col>
                    <xdr:colOff>533400</xdr:colOff>
                    <xdr:row>21</xdr:row>
                    <xdr:rowOff>63500</xdr:rowOff>
                  </from>
                  <to>
                    <xdr:col>5</xdr:col>
                    <xdr:colOff>736600</xdr:colOff>
                    <xdr:row>23</xdr:row>
                    <xdr:rowOff>88900</xdr:rowOff>
                  </to>
                </anchor>
              </controlPr>
            </control>
          </mc:Choice>
        </mc:AlternateContent>
        <mc:AlternateContent xmlns:mc="http://schemas.openxmlformats.org/markup-compatibility/2006">
          <mc:Choice Requires="x14">
            <control shapeId="18486" r:id="rId36" name="Spinner 54">
              <controlPr defaultSize="0" autoPict="0">
                <anchor moveWithCells="1" sizeWithCells="1">
                  <from>
                    <xdr:col>3</xdr:col>
                    <xdr:colOff>533400</xdr:colOff>
                    <xdr:row>21</xdr:row>
                    <xdr:rowOff>50800</xdr:rowOff>
                  </from>
                  <to>
                    <xdr:col>3</xdr:col>
                    <xdr:colOff>736600</xdr:colOff>
                    <xdr:row>23</xdr:row>
                    <xdr:rowOff>101600</xdr:rowOff>
                  </to>
                </anchor>
              </controlPr>
            </control>
          </mc:Choice>
        </mc:AlternateContent>
        <mc:AlternateContent xmlns:mc="http://schemas.openxmlformats.org/markup-compatibility/2006">
          <mc:Choice Requires="x14">
            <control shapeId="18487" r:id="rId37" name="Spinner 55">
              <controlPr defaultSize="0" autoPict="0">
                <anchor moveWithCells="1" sizeWithCells="1">
                  <from>
                    <xdr:col>4</xdr:col>
                    <xdr:colOff>508000</xdr:colOff>
                    <xdr:row>21</xdr:row>
                    <xdr:rowOff>25400</xdr:rowOff>
                  </from>
                  <to>
                    <xdr:col>4</xdr:col>
                    <xdr:colOff>711200</xdr:colOff>
                    <xdr:row>23</xdr:row>
                    <xdr:rowOff>76200</xdr:rowOff>
                  </to>
                </anchor>
              </controlPr>
            </control>
          </mc:Choice>
        </mc:AlternateContent>
        <mc:AlternateContent xmlns:mc="http://schemas.openxmlformats.org/markup-compatibility/2006">
          <mc:Choice Requires="x14">
            <control shapeId="18488" r:id="rId38" name="Spinner 56">
              <controlPr defaultSize="0" autoPict="0">
                <anchor moveWithCells="1" sizeWithCells="1">
                  <from>
                    <xdr:col>6</xdr:col>
                    <xdr:colOff>533400</xdr:colOff>
                    <xdr:row>21</xdr:row>
                    <xdr:rowOff>50800</xdr:rowOff>
                  </from>
                  <to>
                    <xdr:col>6</xdr:col>
                    <xdr:colOff>736600</xdr:colOff>
                    <xdr:row>23</xdr:row>
                    <xdr:rowOff>101600</xdr:rowOff>
                  </to>
                </anchor>
              </controlPr>
            </control>
          </mc:Choice>
        </mc:AlternateContent>
        <mc:AlternateContent xmlns:mc="http://schemas.openxmlformats.org/markup-compatibility/2006">
          <mc:Choice Requires="x14">
            <control shapeId="18489" r:id="rId39" name="Drop Down 57">
              <controlPr defaultSize="0" autoLine="0" autoPict="0">
                <anchor moveWithCells="1">
                  <from>
                    <xdr:col>3</xdr:col>
                    <xdr:colOff>114300</xdr:colOff>
                    <xdr:row>19</xdr:row>
                    <xdr:rowOff>25400</xdr:rowOff>
                  </from>
                  <to>
                    <xdr:col>3</xdr:col>
                    <xdr:colOff>863600</xdr:colOff>
                    <xdr:row>20</xdr:row>
                    <xdr:rowOff>50800</xdr:rowOff>
                  </to>
                </anchor>
              </controlPr>
            </control>
          </mc:Choice>
        </mc:AlternateContent>
        <mc:AlternateContent xmlns:mc="http://schemas.openxmlformats.org/markup-compatibility/2006">
          <mc:Choice Requires="x14">
            <control shapeId="18490" r:id="rId40" name="Drop Down 58">
              <controlPr defaultSize="0" autoLine="0" autoPict="0">
                <anchor moveWithCells="1">
                  <from>
                    <xdr:col>4</xdr:col>
                    <xdr:colOff>114300</xdr:colOff>
                    <xdr:row>19</xdr:row>
                    <xdr:rowOff>25400</xdr:rowOff>
                  </from>
                  <to>
                    <xdr:col>4</xdr:col>
                    <xdr:colOff>863600</xdr:colOff>
                    <xdr:row>20</xdr:row>
                    <xdr:rowOff>50800</xdr:rowOff>
                  </to>
                </anchor>
              </controlPr>
            </control>
          </mc:Choice>
        </mc:AlternateContent>
        <mc:AlternateContent xmlns:mc="http://schemas.openxmlformats.org/markup-compatibility/2006">
          <mc:Choice Requires="x14">
            <control shapeId="18491" r:id="rId41" name="Drop Down 59">
              <controlPr defaultSize="0" autoLine="0" autoPict="0">
                <anchor moveWithCells="1">
                  <from>
                    <xdr:col>5</xdr:col>
                    <xdr:colOff>114300</xdr:colOff>
                    <xdr:row>19</xdr:row>
                    <xdr:rowOff>25400</xdr:rowOff>
                  </from>
                  <to>
                    <xdr:col>5</xdr:col>
                    <xdr:colOff>863600</xdr:colOff>
                    <xdr:row>20</xdr:row>
                    <xdr:rowOff>50800</xdr:rowOff>
                  </to>
                </anchor>
              </controlPr>
            </control>
          </mc:Choice>
        </mc:AlternateContent>
        <mc:AlternateContent xmlns:mc="http://schemas.openxmlformats.org/markup-compatibility/2006">
          <mc:Choice Requires="x14">
            <control shapeId="18492" r:id="rId42" name="Drop Down 60">
              <controlPr defaultSize="0" autoLine="0" autoPict="0">
                <anchor moveWithCells="1">
                  <from>
                    <xdr:col>6</xdr:col>
                    <xdr:colOff>114300</xdr:colOff>
                    <xdr:row>19</xdr:row>
                    <xdr:rowOff>25400</xdr:rowOff>
                  </from>
                  <to>
                    <xdr:col>6</xdr:col>
                    <xdr:colOff>863600</xdr:colOff>
                    <xdr:row>20</xdr:row>
                    <xdr:rowOff>50800</xdr:rowOff>
                  </to>
                </anchor>
              </controlPr>
            </control>
          </mc:Choice>
        </mc:AlternateContent>
        <mc:AlternateContent xmlns:mc="http://schemas.openxmlformats.org/markup-compatibility/2006">
          <mc:Choice Requires="x14">
            <control shapeId="18493" r:id="rId43" name="Drop Down 61">
              <controlPr defaultSize="0" autoLine="0" autoPict="0">
                <anchor moveWithCells="1">
                  <from>
                    <xdr:col>7</xdr:col>
                    <xdr:colOff>114300</xdr:colOff>
                    <xdr:row>19</xdr:row>
                    <xdr:rowOff>25400</xdr:rowOff>
                  </from>
                  <to>
                    <xdr:col>7</xdr:col>
                    <xdr:colOff>863600</xdr:colOff>
                    <xdr:row>20</xdr:row>
                    <xdr:rowOff>50800</xdr:rowOff>
                  </to>
                </anchor>
              </controlPr>
            </control>
          </mc:Choice>
        </mc:AlternateContent>
        <mc:AlternateContent xmlns:mc="http://schemas.openxmlformats.org/markup-compatibility/2006">
          <mc:Choice Requires="x14">
            <control shapeId="18494" r:id="rId44" name="Drop Down 62">
              <controlPr defaultSize="0" autoLine="0" autoPict="0">
                <anchor moveWithCells="1">
                  <from>
                    <xdr:col>8</xdr:col>
                    <xdr:colOff>114300</xdr:colOff>
                    <xdr:row>19</xdr:row>
                    <xdr:rowOff>25400</xdr:rowOff>
                  </from>
                  <to>
                    <xdr:col>8</xdr:col>
                    <xdr:colOff>863600</xdr:colOff>
                    <xdr:row>20</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O50"/>
  <sheetViews>
    <sheetView zoomScale="75" zoomScaleNormal="75" workbookViewId="0">
      <selection activeCell="P1" sqref="P1:XFD1048576"/>
    </sheetView>
  </sheetViews>
  <sheetFormatPr baseColWidth="10" defaultColWidth="0" defaultRowHeight="15" x14ac:dyDescent="0.2"/>
  <cols>
    <col min="1" max="1" width="9.1640625" style="22" customWidth="1"/>
    <col min="2" max="2" width="20.5" style="22" customWidth="1"/>
    <col min="3" max="3" width="3.5" style="22" customWidth="1"/>
    <col min="4" max="4" width="14" style="22" customWidth="1"/>
    <col min="5" max="5" width="13.6640625" style="22" customWidth="1"/>
    <col min="6" max="7" width="14.33203125" style="22" customWidth="1"/>
    <col min="8" max="8" width="13.33203125" style="22" customWidth="1"/>
    <col min="9" max="9" width="14" style="22" customWidth="1"/>
    <col min="10" max="10" width="13.33203125" style="22" customWidth="1"/>
    <col min="11" max="12" width="12.5" style="22" customWidth="1"/>
    <col min="13" max="13" width="14.6640625" style="22" customWidth="1"/>
    <col min="14" max="14" width="7.5" style="278" customWidth="1"/>
    <col min="15" max="15" width="18.6640625" style="278" customWidth="1"/>
    <col min="16" max="16384" width="9.1640625" style="278" hidden="1"/>
  </cols>
  <sheetData>
    <row r="1" spans="1:13" s="18" customFormat="1" x14ac:dyDescent="0.2">
      <c r="A1" s="324"/>
      <c r="B1" s="323" t="s">
        <v>421</v>
      </c>
      <c r="C1" s="324"/>
      <c r="D1" s="324"/>
      <c r="E1" s="324"/>
      <c r="F1" s="324"/>
      <c r="G1" s="324"/>
      <c r="H1" s="324"/>
      <c r="I1" s="324"/>
      <c r="J1" s="324"/>
      <c r="K1" s="324"/>
      <c r="L1" s="324"/>
      <c r="M1" s="324"/>
    </row>
    <row r="2" spans="1:13" s="18" customFormat="1" x14ac:dyDescent="0.2">
      <c r="A2" s="324"/>
      <c r="B2" s="325" t="str">
        <f>'Assumptions - General'!$E$25</f>
        <v>Ruritania Passenger Rail Company</v>
      </c>
      <c r="C2" s="324"/>
      <c r="D2" s="324"/>
      <c r="E2" s="324"/>
      <c r="F2" s="325" t="s">
        <v>420</v>
      </c>
      <c r="G2" s="324"/>
      <c r="H2" s="324"/>
      <c r="I2" s="324"/>
      <c r="J2" s="324"/>
      <c r="K2" s="324"/>
      <c r="L2" s="324"/>
      <c r="M2" s="324"/>
    </row>
    <row r="3" spans="1:13" s="18" customFormat="1" ht="18" customHeight="1" x14ac:dyDescent="0.2">
      <c r="A3" s="324"/>
      <c r="B3" s="325" t="str">
        <f>"All units in "  &amp;'Assumptions - General'!$E$27&amp;  " millions unless otherwise stated"</f>
        <v>All units in R$ millions unless otherwise stated</v>
      </c>
      <c r="C3" s="326"/>
      <c r="D3" s="324"/>
      <c r="E3" s="324"/>
      <c r="F3" s="332">
        <v>2</v>
      </c>
      <c r="G3" s="324"/>
      <c r="H3" s="324"/>
      <c r="I3" s="324"/>
      <c r="J3" s="324"/>
      <c r="K3" s="324"/>
      <c r="L3" s="324"/>
      <c r="M3" s="324"/>
    </row>
    <row r="4" spans="1:13" x14ac:dyDescent="0.2">
      <c r="A4" s="306" t="s">
        <v>540</v>
      </c>
    </row>
    <row r="5" spans="1:13" x14ac:dyDescent="0.2">
      <c r="A5" s="306" t="s">
        <v>211</v>
      </c>
    </row>
    <row r="19" spans="1:14" ht="16" thickBot="1" x14ac:dyDescent="0.25"/>
    <row r="20" spans="1:14" x14ac:dyDescent="0.2">
      <c r="B20" s="558" t="s">
        <v>462</v>
      </c>
      <c r="C20" s="24"/>
      <c r="D20" s="380">
        <v>2</v>
      </c>
      <c r="E20" s="381">
        <v>2</v>
      </c>
      <c r="F20" s="381">
        <v>2</v>
      </c>
      <c r="G20" s="381">
        <v>2</v>
      </c>
      <c r="H20" s="381">
        <v>2</v>
      </c>
      <c r="I20" s="382">
        <v>1</v>
      </c>
    </row>
    <row r="21" spans="1:14" s="416" customFormat="1" ht="21" x14ac:dyDescent="0.2">
      <c r="A21" s="131"/>
      <c r="B21" s="559"/>
      <c r="C21" s="299"/>
      <c r="D21" s="383" t="s">
        <v>631</v>
      </c>
      <c r="E21" s="290" t="s">
        <v>632</v>
      </c>
      <c r="F21" s="290" t="s">
        <v>466</v>
      </c>
      <c r="G21" s="290" t="s">
        <v>469</v>
      </c>
      <c r="H21" s="290" t="s">
        <v>465</v>
      </c>
      <c r="I21" s="384" t="s">
        <v>464</v>
      </c>
      <c r="J21" s="131"/>
      <c r="K21" s="286" t="str">
        <f>IF(AND(K23=" ",K24=" ",K25=" ")," ","WARNINGS")</f>
        <v xml:space="preserve"> </v>
      </c>
      <c r="L21" s="131"/>
      <c r="M21" s="131"/>
    </row>
    <row r="22" spans="1:14" x14ac:dyDescent="0.2">
      <c r="C22" s="24"/>
      <c r="D22" s="385"/>
      <c r="E22" s="301"/>
      <c r="F22" s="302" t="s">
        <v>33</v>
      </c>
      <c r="G22" s="302"/>
      <c r="H22" s="303"/>
      <c r="I22" s="386"/>
    </row>
    <row r="23" spans="1:14" x14ac:dyDescent="0.2">
      <c r="B23" s="235"/>
      <c r="C23" s="24"/>
      <c r="D23" s="387"/>
      <c r="E23" s="303"/>
      <c r="F23" s="302" t="s">
        <v>211</v>
      </c>
      <c r="G23" s="302"/>
      <c r="H23" s="303"/>
      <c r="I23" s="386"/>
      <c r="K23" s="22" t="str">
        <f>IF('Results - Passenger'!F106&lt;'Assumptions - Passenger'!E355,"Low DSCR, below" &amp; 'Assumptions - Passenger'!E355," ")</f>
        <v xml:space="preserve"> </v>
      </c>
    </row>
    <row r="24" spans="1:14" x14ac:dyDescent="0.2">
      <c r="C24" s="24"/>
      <c r="D24" s="387"/>
      <c r="E24" s="303"/>
      <c r="F24" s="303"/>
      <c r="G24" s="303"/>
      <c r="H24" s="303"/>
      <c r="I24" s="386"/>
      <c r="K24" s="22" t="str">
        <f>IF('Results - Passenger'!F98&lt;10%, "Low equity return (&lt;10%)", " ")</f>
        <v xml:space="preserve"> </v>
      </c>
    </row>
    <row r="25" spans="1:14" ht="16" thickBot="1" x14ac:dyDescent="0.25">
      <c r="C25" s="24"/>
      <c r="D25" s="388">
        <f>IF(AND(F3=1,D20=1),D30/10,1)</f>
        <v>1</v>
      </c>
      <c r="E25" s="389">
        <f>IF(AND(F3=1,E20=1),E30/1000,'Results - Passenger'!G17)</f>
        <v>3.0000000000000027E-2</v>
      </c>
      <c r="F25" s="390">
        <f>IF(AND(F3=1,F20=1),F30/10,1)</f>
        <v>1</v>
      </c>
      <c r="G25" s="389">
        <f>IF(AND(F3=1,G20=1),G30/1000, 'Results - Passenger'!F12)</f>
        <v>0</v>
      </c>
      <c r="H25" s="390">
        <f>IF(AND(F3=1,H20=1),H30/100,1)</f>
        <v>1</v>
      </c>
      <c r="I25" s="391">
        <f>IF(AND(F3=1,I20=1),I30/100,1)</f>
        <v>1</v>
      </c>
      <c r="K25" s="22" t="str">
        <f>IF('Results - Passenger'!O110="NO", "Cash balance below zero", " ")</f>
        <v xml:space="preserve"> </v>
      </c>
    </row>
    <row r="26" spans="1:14" s="416" customFormat="1" ht="16" thickBot="1" x14ac:dyDescent="0.25">
      <c r="A26" s="131"/>
      <c r="B26" s="540" t="s">
        <v>511</v>
      </c>
      <c r="C26" s="299"/>
      <c r="D26" s="568" t="str">
        <f>'Results - Passenger'!F17&amp;" ("&amp;'Assumptions - Passenger'!D137&amp;")"</f>
        <v>1 (R$/Passenger-km)</v>
      </c>
      <c r="E26" s="570">
        <f>'Results - Passenger'!G17</f>
        <v>3.0000000000000027E-2</v>
      </c>
      <c r="F26" s="566" t="str">
        <f>'Results - Passenger'!F10&amp; " (passenger-km)"</f>
        <v>24000 (passenger-km)</v>
      </c>
      <c r="G26" s="570">
        <f>'Results - Passenger'!F11</f>
        <v>3.6301076626834794E-2</v>
      </c>
      <c r="H26" s="566" t="str">
        <f>'Results - Passenger'!F8&amp;" (staff count)"</f>
        <v>15000 (staff count)</v>
      </c>
      <c r="I26" s="566" t="str">
        <f>'Results - Passenger'!M31&amp;" ("&amp;'Results - Passenger'!N31&amp;")"</f>
        <v>8120 (R$ millions)</v>
      </c>
      <c r="J26" s="131"/>
      <c r="K26" s="131"/>
      <c r="L26" s="131"/>
      <c r="M26" s="131"/>
    </row>
    <row r="27" spans="1:14" ht="16" thickBot="1" x14ac:dyDescent="0.25">
      <c r="B27" s="535"/>
      <c r="C27" s="24"/>
      <c r="D27" s="569"/>
      <c r="E27" s="571"/>
      <c r="F27" s="567"/>
      <c r="G27" s="571"/>
      <c r="H27" s="567"/>
      <c r="I27" s="567"/>
      <c r="J27" s="236">
        <v>1000</v>
      </c>
      <c r="K27" s="236">
        <v>20</v>
      </c>
      <c r="L27" s="236">
        <v>432</v>
      </c>
      <c r="M27" s="236">
        <v>7300</v>
      </c>
      <c r="N27" s="418"/>
    </row>
    <row r="28" spans="1:14" s="416" customFormat="1" ht="16" thickBot="1" x14ac:dyDescent="0.25">
      <c r="A28" s="131"/>
      <c r="B28" s="540" t="s">
        <v>463</v>
      </c>
      <c r="C28" s="299"/>
      <c r="D28" s="568">
        <v>1</v>
      </c>
      <c r="E28" s="570">
        <v>3.0000000000000027E-2</v>
      </c>
      <c r="F28" s="566" t="s">
        <v>534</v>
      </c>
      <c r="G28" s="570">
        <v>3.6301076626834794E-2</v>
      </c>
      <c r="H28" s="566">
        <v>15000</v>
      </c>
      <c r="I28" s="566">
        <v>7965</v>
      </c>
      <c r="J28" s="131"/>
      <c r="K28" s="131"/>
      <c r="L28" s="131"/>
      <c r="M28" s="131"/>
    </row>
    <row r="29" spans="1:14" ht="16" thickBot="1" x14ac:dyDescent="0.25">
      <c r="B29" s="535"/>
      <c r="C29" s="24"/>
      <c r="D29" s="569"/>
      <c r="E29" s="571"/>
      <c r="F29" s="567"/>
      <c r="G29" s="571"/>
      <c r="H29" s="567"/>
      <c r="I29" s="567"/>
      <c r="J29" s="236">
        <v>1000</v>
      </c>
      <c r="K29" s="236">
        <v>20</v>
      </c>
      <c r="L29" s="236">
        <v>432</v>
      </c>
      <c r="M29" s="236">
        <v>7300</v>
      </c>
      <c r="N29" s="418"/>
    </row>
    <row r="30" spans="1:14" x14ac:dyDescent="0.2">
      <c r="D30" s="236">
        <v>10</v>
      </c>
      <c r="E30" s="236">
        <v>10</v>
      </c>
      <c r="F30" s="236">
        <v>10</v>
      </c>
      <c r="G30" s="236">
        <v>10</v>
      </c>
      <c r="H30" s="236">
        <v>100</v>
      </c>
      <c r="I30" s="236">
        <v>100</v>
      </c>
      <c r="J30" s="235"/>
      <c r="K30" s="235"/>
      <c r="L30" s="235"/>
    </row>
    <row r="31" spans="1:14" x14ac:dyDescent="0.2">
      <c r="E31" s="235"/>
      <c r="F31" s="235"/>
      <c r="G31" s="235"/>
      <c r="H31" s="235"/>
      <c r="I31" s="235"/>
      <c r="J31" s="235"/>
      <c r="K31" s="235"/>
      <c r="L31" s="235"/>
    </row>
    <row r="49" spans="5:12" x14ac:dyDescent="0.2">
      <c r="E49" s="235"/>
      <c r="F49" s="235"/>
      <c r="G49" s="235"/>
      <c r="H49" s="235"/>
      <c r="I49" s="235"/>
      <c r="J49" s="235"/>
      <c r="K49" s="235"/>
      <c r="L49" s="235"/>
    </row>
    <row r="50" spans="5:12" x14ac:dyDescent="0.2">
      <c r="E50" s="235"/>
      <c r="F50" s="235"/>
      <c r="G50" s="235"/>
      <c r="H50" s="235"/>
      <c r="I50" s="235"/>
      <c r="J50" s="235"/>
      <c r="K50" s="235"/>
      <c r="L50" s="235"/>
    </row>
  </sheetData>
  <mergeCells count="15">
    <mergeCell ref="B20:B21"/>
    <mergeCell ref="B26:B27"/>
    <mergeCell ref="D26:D27"/>
    <mergeCell ref="E26:E27"/>
    <mergeCell ref="F26:F27"/>
    <mergeCell ref="H26:H27"/>
    <mergeCell ref="I26:I27"/>
    <mergeCell ref="B28:B29"/>
    <mergeCell ref="D28:D29"/>
    <mergeCell ref="E28:E29"/>
    <mergeCell ref="F28:F29"/>
    <mergeCell ref="G28:G29"/>
    <mergeCell ref="H28:H29"/>
    <mergeCell ref="I28:I29"/>
    <mergeCell ref="G26:G27"/>
  </mergeCells>
  <pageMargins left="0.7" right="0.7" top="0.75" bottom="0.75" header="0.3" footer="0.3"/>
  <pageSetup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Spinner 1">
              <controlPr defaultSize="0" autoPict="0">
                <anchor moveWithCells="1" sizeWithCells="1">
                  <from>
                    <xdr:col>5</xdr:col>
                    <xdr:colOff>533400</xdr:colOff>
                    <xdr:row>48</xdr:row>
                    <xdr:rowOff>0</xdr:rowOff>
                  </from>
                  <to>
                    <xdr:col>5</xdr:col>
                    <xdr:colOff>736600</xdr:colOff>
                    <xdr:row>48</xdr:row>
                    <xdr:rowOff>0</xdr:rowOff>
                  </to>
                </anchor>
              </controlPr>
            </control>
          </mc:Choice>
        </mc:AlternateContent>
        <mc:AlternateContent xmlns:mc="http://schemas.openxmlformats.org/markup-compatibility/2006">
          <mc:Choice Requires="x14">
            <control shapeId="16386" r:id="rId5" name="Spinner 2">
              <controlPr defaultSize="0" autoPict="0">
                <anchor moveWithCells="1" sizeWithCells="1">
                  <from>
                    <xdr:col>11</xdr:col>
                    <xdr:colOff>482600</xdr:colOff>
                    <xdr:row>48</xdr:row>
                    <xdr:rowOff>0</xdr:rowOff>
                  </from>
                  <to>
                    <xdr:col>11</xdr:col>
                    <xdr:colOff>685800</xdr:colOff>
                    <xdr:row>48</xdr:row>
                    <xdr:rowOff>0</xdr:rowOff>
                  </to>
                </anchor>
              </controlPr>
            </control>
          </mc:Choice>
        </mc:AlternateContent>
        <mc:AlternateContent xmlns:mc="http://schemas.openxmlformats.org/markup-compatibility/2006">
          <mc:Choice Requires="x14">
            <control shapeId="16387" r:id="rId6" name="Spinner 3">
              <controlPr defaultSize="0" autoPict="0">
                <anchor moveWithCells="1" sizeWithCells="1">
                  <from>
                    <xdr:col>12</xdr:col>
                    <xdr:colOff>571500</xdr:colOff>
                    <xdr:row>48</xdr:row>
                    <xdr:rowOff>0</xdr:rowOff>
                  </from>
                  <to>
                    <xdr:col>12</xdr:col>
                    <xdr:colOff>774700</xdr:colOff>
                    <xdr:row>48</xdr:row>
                    <xdr:rowOff>0</xdr:rowOff>
                  </to>
                </anchor>
              </controlPr>
            </control>
          </mc:Choice>
        </mc:AlternateContent>
        <mc:AlternateContent xmlns:mc="http://schemas.openxmlformats.org/markup-compatibility/2006">
          <mc:Choice Requires="x14">
            <control shapeId="16388" r:id="rId7" name="Spinner 4">
              <controlPr defaultSize="0" autoPict="0">
                <anchor moveWithCells="1" sizeWithCells="1">
                  <from>
                    <xdr:col>7</xdr:col>
                    <xdr:colOff>457200</xdr:colOff>
                    <xdr:row>48</xdr:row>
                    <xdr:rowOff>0</xdr:rowOff>
                  </from>
                  <to>
                    <xdr:col>7</xdr:col>
                    <xdr:colOff>660400</xdr:colOff>
                    <xdr:row>48</xdr:row>
                    <xdr:rowOff>0</xdr:rowOff>
                  </to>
                </anchor>
              </controlPr>
            </control>
          </mc:Choice>
        </mc:AlternateContent>
        <mc:AlternateContent xmlns:mc="http://schemas.openxmlformats.org/markup-compatibility/2006">
          <mc:Choice Requires="x14">
            <control shapeId="16389" r:id="rId8" name="Spinner 5">
              <controlPr defaultSize="0" autoPict="0">
                <anchor moveWithCells="1" sizeWithCells="1">
                  <from>
                    <xdr:col>3</xdr:col>
                    <xdr:colOff>609600</xdr:colOff>
                    <xdr:row>48</xdr:row>
                    <xdr:rowOff>0</xdr:rowOff>
                  </from>
                  <to>
                    <xdr:col>3</xdr:col>
                    <xdr:colOff>812800</xdr:colOff>
                    <xdr:row>48</xdr:row>
                    <xdr:rowOff>0</xdr:rowOff>
                  </to>
                </anchor>
              </controlPr>
            </control>
          </mc:Choice>
        </mc:AlternateContent>
        <mc:AlternateContent xmlns:mc="http://schemas.openxmlformats.org/markup-compatibility/2006">
          <mc:Choice Requires="x14">
            <control shapeId="16390" r:id="rId9" name="Spinner 6">
              <controlPr defaultSize="0" autoPict="0">
                <anchor moveWithCells="1" sizeWithCells="1">
                  <from>
                    <xdr:col>4</xdr:col>
                    <xdr:colOff>508000</xdr:colOff>
                    <xdr:row>48</xdr:row>
                    <xdr:rowOff>0</xdr:rowOff>
                  </from>
                  <to>
                    <xdr:col>4</xdr:col>
                    <xdr:colOff>711200</xdr:colOff>
                    <xdr:row>48</xdr:row>
                    <xdr:rowOff>0</xdr:rowOff>
                  </to>
                </anchor>
              </controlPr>
            </control>
          </mc:Choice>
        </mc:AlternateContent>
        <mc:AlternateContent xmlns:mc="http://schemas.openxmlformats.org/markup-compatibility/2006">
          <mc:Choice Requires="x14">
            <control shapeId="16391" r:id="rId10" name="Spinner 7">
              <controlPr defaultSize="0" autoPict="0">
                <anchor moveWithCells="1" sizeWithCells="1">
                  <from>
                    <xdr:col>6</xdr:col>
                    <xdr:colOff>520700</xdr:colOff>
                    <xdr:row>48</xdr:row>
                    <xdr:rowOff>0</xdr:rowOff>
                  </from>
                  <to>
                    <xdr:col>6</xdr:col>
                    <xdr:colOff>723900</xdr:colOff>
                    <xdr:row>48</xdr:row>
                    <xdr:rowOff>0</xdr:rowOff>
                  </to>
                </anchor>
              </controlPr>
            </control>
          </mc:Choice>
        </mc:AlternateContent>
        <mc:AlternateContent xmlns:mc="http://schemas.openxmlformats.org/markup-compatibility/2006">
          <mc:Choice Requires="x14">
            <control shapeId="16392" r:id="rId11" name="Spinner 8">
              <controlPr defaultSize="0" autoPict="0">
                <anchor moveWithCells="1" sizeWithCells="1">
                  <from>
                    <xdr:col>10</xdr:col>
                    <xdr:colOff>457200</xdr:colOff>
                    <xdr:row>48</xdr:row>
                    <xdr:rowOff>0</xdr:rowOff>
                  </from>
                  <to>
                    <xdr:col>10</xdr:col>
                    <xdr:colOff>660400</xdr:colOff>
                    <xdr:row>48</xdr:row>
                    <xdr:rowOff>0</xdr:rowOff>
                  </to>
                </anchor>
              </controlPr>
            </control>
          </mc:Choice>
        </mc:AlternateContent>
        <mc:AlternateContent xmlns:mc="http://schemas.openxmlformats.org/markup-compatibility/2006">
          <mc:Choice Requires="x14">
            <control shapeId="16393" r:id="rId12" name="Spinner 9">
              <controlPr defaultSize="0" autoPict="0">
                <anchor moveWithCells="1" sizeWithCells="1">
                  <from>
                    <xdr:col>8</xdr:col>
                    <xdr:colOff>533400</xdr:colOff>
                    <xdr:row>48</xdr:row>
                    <xdr:rowOff>0</xdr:rowOff>
                  </from>
                  <to>
                    <xdr:col>8</xdr:col>
                    <xdr:colOff>736600</xdr:colOff>
                    <xdr:row>48</xdr:row>
                    <xdr:rowOff>0</xdr:rowOff>
                  </to>
                </anchor>
              </controlPr>
            </control>
          </mc:Choice>
        </mc:AlternateContent>
        <mc:AlternateContent xmlns:mc="http://schemas.openxmlformats.org/markup-compatibility/2006">
          <mc:Choice Requires="x14">
            <control shapeId="16394" r:id="rId13" name="Spinner 10">
              <controlPr defaultSize="0" autoPict="0">
                <anchor moveWithCells="1" sizeWithCells="1">
                  <from>
                    <xdr:col>9</xdr:col>
                    <xdr:colOff>495300</xdr:colOff>
                    <xdr:row>48</xdr:row>
                    <xdr:rowOff>0</xdr:rowOff>
                  </from>
                  <to>
                    <xdr:col>9</xdr:col>
                    <xdr:colOff>698500</xdr:colOff>
                    <xdr:row>48</xdr:row>
                    <xdr:rowOff>0</xdr:rowOff>
                  </to>
                </anchor>
              </controlPr>
            </control>
          </mc:Choice>
        </mc:AlternateContent>
        <mc:AlternateContent xmlns:mc="http://schemas.openxmlformats.org/markup-compatibility/2006">
          <mc:Choice Requires="x14">
            <control shapeId="16396" r:id="rId14" name="Spinner 12">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6397" r:id="rId15" name="Spinner 13">
              <controlPr defaultSize="0" autoPict="0">
                <anchor moveWithCells="1" sizeWithCells="1">
                  <from>
                    <xdr:col>8</xdr:col>
                    <xdr:colOff>520700</xdr:colOff>
                    <xdr:row>0</xdr:row>
                    <xdr:rowOff>0</xdr:rowOff>
                  </from>
                  <to>
                    <xdr:col>8</xdr:col>
                    <xdr:colOff>723900</xdr:colOff>
                    <xdr:row>0</xdr:row>
                    <xdr:rowOff>0</xdr:rowOff>
                  </to>
                </anchor>
              </controlPr>
            </control>
          </mc:Choice>
        </mc:AlternateContent>
        <mc:AlternateContent xmlns:mc="http://schemas.openxmlformats.org/markup-compatibility/2006">
          <mc:Choice Requires="x14">
            <control shapeId="16398" r:id="rId16" name="Spinner 14">
              <controlPr defaultSize="0" autoPict="0">
                <anchor moveWithCells="1" sizeWithCells="1">
                  <from>
                    <xdr:col>5</xdr:col>
                    <xdr:colOff>533400</xdr:colOff>
                    <xdr:row>0</xdr:row>
                    <xdr:rowOff>0</xdr:rowOff>
                  </from>
                  <to>
                    <xdr:col>5</xdr:col>
                    <xdr:colOff>736600</xdr:colOff>
                    <xdr:row>0</xdr:row>
                    <xdr:rowOff>0</xdr:rowOff>
                  </to>
                </anchor>
              </controlPr>
            </control>
          </mc:Choice>
        </mc:AlternateContent>
        <mc:AlternateContent xmlns:mc="http://schemas.openxmlformats.org/markup-compatibility/2006">
          <mc:Choice Requires="x14">
            <control shapeId="16399" r:id="rId17" name="Spinner 15">
              <controlPr defaultSize="0" autoPict="0">
                <anchor moveWithCells="1" sizeWithCells="1">
                  <from>
                    <xdr:col>3</xdr:col>
                    <xdr:colOff>533400</xdr:colOff>
                    <xdr:row>0</xdr:row>
                    <xdr:rowOff>0</xdr:rowOff>
                  </from>
                  <to>
                    <xdr:col>3</xdr:col>
                    <xdr:colOff>736600</xdr:colOff>
                    <xdr:row>0</xdr:row>
                    <xdr:rowOff>0</xdr:rowOff>
                  </to>
                </anchor>
              </controlPr>
            </control>
          </mc:Choice>
        </mc:AlternateContent>
        <mc:AlternateContent xmlns:mc="http://schemas.openxmlformats.org/markup-compatibility/2006">
          <mc:Choice Requires="x14">
            <control shapeId="16400" r:id="rId18" name="Spinner 16">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6401" r:id="rId19" name="Spinner 17">
              <controlPr defaultSize="0" autoPict="0">
                <anchor moveWithCells="1" sizeWithCells="1">
                  <from>
                    <xdr:col>6</xdr:col>
                    <xdr:colOff>533400</xdr:colOff>
                    <xdr:row>0</xdr:row>
                    <xdr:rowOff>0</xdr:rowOff>
                  </from>
                  <to>
                    <xdr:col>6</xdr:col>
                    <xdr:colOff>736600</xdr:colOff>
                    <xdr:row>0</xdr:row>
                    <xdr:rowOff>0</xdr:rowOff>
                  </to>
                </anchor>
              </controlPr>
            </control>
          </mc:Choice>
        </mc:AlternateContent>
        <mc:AlternateContent xmlns:mc="http://schemas.openxmlformats.org/markup-compatibility/2006">
          <mc:Choice Requires="x14">
            <control shapeId="16409" r:id="rId20" name="Spinner 25">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6410" r:id="rId21" name="Spinner 26">
              <controlPr defaultSize="0" autoPict="0">
                <anchor moveWithCells="1" sizeWithCells="1">
                  <from>
                    <xdr:col>8</xdr:col>
                    <xdr:colOff>533400</xdr:colOff>
                    <xdr:row>0</xdr:row>
                    <xdr:rowOff>0</xdr:rowOff>
                  </from>
                  <to>
                    <xdr:col>8</xdr:col>
                    <xdr:colOff>736600</xdr:colOff>
                    <xdr:row>0</xdr:row>
                    <xdr:rowOff>0</xdr:rowOff>
                  </to>
                </anchor>
              </controlPr>
            </control>
          </mc:Choice>
        </mc:AlternateContent>
        <mc:AlternateContent xmlns:mc="http://schemas.openxmlformats.org/markup-compatibility/2006">
          <mc:Choice Requires="x14">
            <control shapeId="16411" r:id="rId22" name="Spinner 27">
              <controlPr defaultSize="0" autoPict="0">
                <anchor moveWithCells="1" sizeWithCells="1">
                  <from>
                    <xdr:col>5</xdr:col>
                    <xdr:colOff>546100</xdr:colOff>
                    <xdr:row>0</xdr:row>
                    <xdr:rowOff>0</xdr:rowOff>
                  </from>
                  <to>
                    <xdr:col>5</xdr:col>
                    <xdr:colOff>749300</xdr:colOff>
                    <xdr:row>0</xdr:row>
                    <xdr:rowOff>0</xdr:rowOff>
                  </to>
                </anchor>
              </controlPr>
            </control>
          </mc:Choice>
        </mc:AlternateContent>
        <mc:AlternateContent xmlns:mc="http://schemas.openxmlformats.org/markup-compatibility/2006">
          <mc:Choice Requires="x14">
            <control shapeId="16412" r:id="rId23" name="Spinner 28">
              <controlPr defaultSize="0" autoPict="0">
                <anchor moveWithCells="1" sizeWithCells="1">
                  <from>
                    <xdr:col>3</xdr:col>
                    <xdr:colOff>546100</xdr:colOff>
                    <xdr:row>0</xdr:row>
                    <xdr:rowOff>0</xdr:rowOff>
                  </from>
                  <to>
                    <xdr:col>3</xdr:col>
                    <xdr:colOff>749300</xdr:colOff>
                    <xdr:row>0</xdr:row>
                    <xdr:rowOff>0</xdr:rowOff>
                  </to>
                </anchor>
              </controlPr>
            </control>
          </mc:Choice>
        </mc:AlternateContent>
        <mc:AlternateContent xmlns:mc="http://schemas.openxmlformats.org/markup-compatibility/2006">
          <mc:Choice Requires="x14">
            <control shapeId="16413" r:id="rId24" name="Spinner 29">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6414" r:id="rId25" name="Spinner 30">
              <controlPr defaultSize="0" autoPict="0">
                <anchor moveWithCells="1" sizeWithCells="1">
                  <from>
                    <xdr:col>6</xdr:col>
                    <xdr:colOff>508000</xdr:colOff>
                    <xdr:row>0</xdr:row>
                    <xdr:rowOff>0</xdr:rowOff>
                  </from>
                  <to>
                    <xdr:col>6</xdr:col>
                    <xdr:colOff>711200</xdr:colOff>
                    <xdr:row>0</xdr:row>
                    <xdr:rowOff>0</xdr:rowOff>
                  </to>
                </anchor>
              </controlPr>
            </control>
          </mc:Choice>
        </mc:AlternateContent>
        <mc:AlternateContent xmlns:mc="http://schemas.openxmlformats.org/markup-compatibility/2006">
          <mc:Choice Requires="x14">
            <control shapeId="16422" r:id="rId26" name="Spinner 38">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6423" r:id="rId27" name="Spinner 39">
              <controlPr defaultSize="0" autoPict="0">
                <anchor moveWithCells="1" sizeWithCells="1">
                  <from>
                    <xdr:col>8</xdr:col>
                    <xdr:colOff>533400</xdr:colOff>
                    <xdr:row>0</xdr:row>
                    <xdr:rowOff>0</xdr:rowOff>
                  </from>
                  <to>
                    <xdr:col>8</xdr:col>
                    <xdr:colOff>736600</xdr:colOff>
                    <xdr:row>0</xdr:row>
                    <xdr:rowOff>0</xdr:rowOff>
                  </to>
                </anchor>
              </controlPr>
            </control>
          </mc:Choice>
        </mc:AlternateContent>
        <mc:AlternateContent xmlns:mc="http://schemas.openxmlformats.org/markup-compatibility/2006">
          <mc:Choice Requires="x14">
            <control shapeId="16424" r:id="rId28" name="Spinner 40">
              <controlPr defaultSize="0" autoPict="0">
                <anchor moveWithCells="1" sizeWithCells="1">
                  <from>
                    <xdr:col>5</xdr:col>
                    <xdr:colOff>546100</xdr:colOff>
                    <xdr:row>0</xdr:row>
                    <xdr:rowOff>0</xdr:rowOff>
                  </from>
                  <to>
                    <xdr:col>5</xdr:col>
                    <xdr:colOff>749300</xdr:colOff>
                    <xdr:row>0</xdr:row>
                    <xdr:rowOff>0</xdr:rowOff>
                  </to>
                </anchor>
              </controlPr>
            </control>
          </mc:Choice>
        </mc:AlternateContent>
        <mc:AlternateContent xmlns:mc="http://schemas.openxmlformats.org/markup-compatibility/2006">
          <mc:Choice Requires="x14">
            <control shapeId="16425" r:id="rId29" name="Spinner 41">
              <controlPr defaultSize="0" autoPict="0">
                <anchor moveWithCells="1" sizeWithCells="1">
                  <from>
                    <xdr:col>3</xdr:col>
                    <xdr:colOff>546100</xdr:colOff>
                    <xdr:row>0</xdr:row>
                    <xdr:rowOff>0</xdr:rowOff>
                  </from>
                  <to>
                    <xdr:col>3</xdr:col>
                    <xdr:colOff>749300</xdr:colOff>
                    <xdr:row>0</xdr:row>
                    <xdr:rowOff>0</xdr:rowOff>
                  </to>
                </anchor>
              </controlPr>
            </control>
          </mc:Choice>
        </mc:AlternateContent>
        <mc:AlternateContent xmlns:mc="http://schemas.openxmlformats.org/markup-compatibility/2006">
          <mc:Choice Requires="x14">
            <control shapeId="16426" r:id="rId30" name="Spinner 42">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6427" r:id="rId31" name="Spinner 43">
              <controlPr defaultSize="0" autoPict="0">
                <anchor moveWithCells="1" sizeWithCells="1">
                  <from>
                    <xdr:col>6</xdr:col>
                    <xdr:colOff>508000</xdr:colOff>
                    <xdr:row>0</xdr:row>
                    <xdr:rowOff>0</xdr:rowOff>
                  </from>
                  <to>
                    <xdr:col>6</xdr:col>
                    <xdr:colOff>711200</xdr:colOff>
                    <xdr:row>0</xdr:row>
                    <xdr:rowOff>0</xdr:rowOff>
                  </to>
                </anchor>
              </controlPr>
            </control>
          </mc:Choice>
        </mc:AlternateContent>
        <mc:AlternateContent xmlns:mc="http://schemas.openxmlformats.org/markup-compatibility/2006">
          <mc:Choice Requires="x14">
            <control shapeId="16435" r:id="rId32" name="Spinner 51">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6436" r:id="rId33" name="Spinner 52">
              <controlPr defaultSize="0" autoPict="0">
                <anchor moveWithCells="1" sizeWithCells="1">
                  <from>
                    <xdr:col>8</xdr:col>
                    <xdr:colOff>520700</xdr:colOff>
                    <xdr:row>0</xdr:row>
                    <xdr:rowOff>0</xdr:rowOff>
                  </from>
                  <to>
                    <xdr:col>8</xdr:col>
                    <xdr:colOff>723900</xdr:colOff>
                    <xdr:row>0</xdr:row>
                    <xdr:rowOff>0</xdr:rowOff>
                  </to>
                </anchor>
              </controlPr>
            </control>
          </mc:Choice>
        </mc:AlternateContent>
        <mc:AlternateContent xmlns:mc="http://schemas.openxmlformats.org/markup-compatibility/2006">
          <mc:Choice Requires="x14">
            <control shapeId="16437" r:id="rId34" name="Spinner 53">
              <controlPr defaultSize="0" autoPict="0">
                <anchor moveWithCells="1" sizeWithCells="1">
                  <from>
                    <xdr:col>5</xdr:col>
                    <xdr:colOff>533400</xdr:colOff>
                    <xdr:row>0</xdr:row>
                    <xdr:rowOff>0</xdr:rowOff>
                  </from>
                  <to>
                    <xdr:col>5</xdr:col>
                    <xdr:colOff>736600</xdr:colOff>
                    <xdr:row>0</xdr:row>
                    <xdr:rowOff>0</xdr:rowOff>
                  </to>
                </anchor>
              </controlPr>
            </control>
          </mc:Choice>
        </mc:AlternateContent>
        <mc:AlternateContent xmlns:mc="http://schemas.openxmlformats.org/markup-compatibility/2006">
          <mc:Choice Requires="x14">
            <control shapeId="16438" r:id="rId35" name="Spinner 54">
              <controlPr defaultSize="0" autoPict="0">
                <anchor moveWithCells="1" sizeWithCells="1">
                  <from>
                    <xdr:col>3</xdr:col>
                    <xdr:colOff>533400</xdr:colOff>
                    <xdr:row>0</xdr:row>
                    <xdr:rowOff>0</xdr:rowOff>
                  </from>
                  <to>
                    <xdr:col>3</xdr:col>
                    <xdr:colOff>736600</xdr:colOff>
                    <xdr:row>0</xdr:row>
                    <xdr:rowOff>0</xdr:rowOff>
                  </to>
                </anchor>
              </controlPr>
            </control>
          </mc:Choice>
        </mc:AlternateContent>
        <mc:AlternateContent xmlns:mc="http://schemas.openxmlformats.org/markup-compatibility/2006">
          <mc:Choice Requires="x14">
            <control shapeId="16439" r:id="rId36" name="Spinner 55">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6440" r:id="rId37" name="Spinner 56">
              <controlPr defaultSize="0" autoPict="0">
                <anchor moveWithCells="1" sizeWithCells="1">
                  <from>
                    <xdr:col>6</xdr:col>
                    <xdr:colOff>533400</xdr:colOff>
                    <xdr:row>0</xdr:row>
                    <xdr:rowOff>0</xdr:rowOff>
                  </from>
                  <to>
                    <xdr:col>6</xdr:col>
                    <xdr:colOff>736600</xdr:colOff>
                    <xdr:row>0</xdr:row>
                    <xdr:rowOff>0</xdr:rowOff>
                  </to>
                </anchor>
              </controlPr>
            </control>
          </mc:Choice>
        </mc:AlternateContent>
        <mc:AlternateContent xmlns:mc="http://schemas.openxmlformats.org/markup-compatibility/2006">
          <mc:Choice Requires="x14">
            <control shapeId="16447" r:id="rId38" name="Drop Down 63">
              <controlPr defaultSize="0" autoLine="0" autoPict="0">
                <anchor moveWithCells="1">
                  <from>
                    <xdr:col>5</xdr:col>
                    <xdr:colOff>114300</xdr:colOff>
                    <xdr:row>2</xdr:row>
                    <xdr:rowOff>25400</xdr:rowOff>
                  </from>
                  <to>
                    <xdr:col>5</xdr:col>
                    <xdr:colOff>863600</xdr:colOff>
                    <xdr:row>3</xdr:row>
                    <xdr:rowOff>0</xdr:rowOff>
                  </to>
                </anchor>
              </controlPr>
            </control>
          </mc:Choice>
        </mc:AlternateContent>
        <mc:AlternateContent xmlns:mc="http://schemas.openxmlformats.org/markup-compatibility/2006">
          <mc:Choice Requires="x14">
            <control shapeId="16448" r:id="rId39" name="Spinner 64">
              <controlPr defaultSize="0" autoPict="0">
                <anchor moveWithCells="1" sizeWithCells="1">
                  <from>
                    <xdr:col>7</xdr:col>
                    <xdr:colOff>482600</xdr:colOff>
                    <xdr:row>21</xdr:row>
                    <xdr:rowOff>76200</xdr:rowOff>
                  </from>
                  <to>
                    <xdr:col>7</xdr:col>
                    <xdr:colOff>685800</xdr:colOff>
                    <xdr:row>23</xdr:row>
                    <xdr:rowOff>101600</xdr:rowOff>
                  </to>
                </anchor>
              </controlPr>
            </control>
          </mc:Choice>
        </mc:AlternateContent>
        <mc:AlternateContent xmlns:mc="http://schemas.openxmlformats.org/markup-compatibility/2006">
          <mc:Choice Requires="x14">
            <control shapeId="16449" r:id="rId40" name="Spinner 65">
              <controlPr defaultSize="0" autoPict="0">
                <anchor moveWithCells="1" sizeWithCells="1">
                  <from>
                    <xdr:col>8</xdr:col>
                    <xdr:colOff>533400</xdr:colOff>
                    <xdr:row>21</xdr:row>
                    <xdr:rowOff>50800</xdr:rowOff>
                  </from>
                  <to>
                    <xdr:col>8</xdr:col>
                    <xdr:colOff>736600</xdr:colOff>
                    <xdr:row>23</xdr:row>
                    <xdr:rowOff>76200</xdr:rowOff>
                  </to>
                </anchor>
              </controlPr>
            </control>
          </mc:Choice>
        </mc:AlternateContent>
        <mc:AlternateContent xmlns:mc="http://schemas.openxmlformats.org/markup-compatibility/2006">
          <mc:Choice Requires="x14">
            <control shapeId="16450" r:id="rId41" name="Spinner 66">
              <controlPr defaultSize="0" autoPict="0">
                <anchor moveWithCells="1" sizeWithCells="1">
                  <from>
                    <xdr:col>5</xdr:col>
                    <xdr:colOff>546100</xdr:colOff>
                    <xdr:row>21</xdr:row>
                    <xdr:rowOff>63500</xdr:rowOff>
                  </from>
                  <to>
                    <xdr:col>5</xdr:col>
                    <xdr:colOff>749300</xdr:colOff>
                    <xdr:row>23</xdr:row>
                    <xdr:rowOff>88900</xdr:rowOff>
                  </to>
                </anchor>
              </controlPr>
            </control>
          </mc:Choice>
        </mc:AlternateContent>
        <mc:AlternateContent xmlns:mc="http://schemas.openxmlformats.org/markup-compatibility/2006">
          <mc:Choice Requires="x14">
            <control shapeId="16451" r:id="rId42" name="Spinner 67">
              <controlPr defaultSize="0" autoPict="0">
                <anchor moveWithCells="1" sizeWithCells="1">
                  <from>
                    <xdr:col>3</xdr:col>
                    <xdr:colOff>546100</xdr:colOff>
                    <xdr:row>21</xdr:row>
                    <xdr:rowOff>50800</xdr:rowOff>
                  </from>
                  <to>
                    <xdr:col>3</xdr:col>
                    <xdr:colOff>749300</xdr:colOff>
                    <xdr:row>23</xdr:row>
                    <xdr:rowOff>101600</xdr:rowOff>
                  </to>
                </anchor>
              </controlPr>
            </control>
          </mc:Choice>
        </mc:AlternateContent>
        <mc:AlternateContent xmlns:mc="http://schemas.openxmlformats.org/markup-compatibility/2006">
          <mc:Choice Requires="x14">
            <control shapeId="16452" r:id="rId43" name="Spinner 68">
              <controlPr defaultSize="0" autoPict="0">
                <anchor moveWithCells="1" sizeWithCells="1">
                  <from>
                    <xdr:col>4</xdr:col>
                    <xdr:colOff>508000</xdr:colOff>
                    <xdr:row>21</xdr:row>
                    <xdr:rowOff>25400</xdr:rowOff>
                  </from>
                  <to>
                    <xdr:col>4</xdr:col>
                    <xdr:colOff>711200</xdr:colOff>
                    <xdr:row>23</xdr:row>
                    <xdr:rowOff>76200</xdr:rowOff>
                  </to>
                </anchor>
              </controlPr>
            </control>
          </mc:Choice>
        </mc:AlternateContent>
        <mc:AlternateContent xmlns:mc="http://schemas.openxmlformats.org/markup-compatibility/2006">
          <mc:Choice Requires="x14">
            <control shapeId="16453" r:id="rId44" name="Spinner 69">
              <controlPr defaultSize="0" autoPict="0">
                <anchor moveWithCells="1" sizeWithCells="1">
                  <from>
                    <xdr:col>6</xdr:col>
                    <xdr:colOff>508000</xdr:colOff>
                    <xdr:row>21</xdr:row>
                    <xdr:rowOff>50800</xdr:rowOff>
                  </from>
                  <to>
                    <xdr:col>6</xdr:col>
                    <xdr:colOff>711200</xdr:colOff>
                    <xdr:row>23</xdr:row>
                    <xdr:rowOff>101600</xdr:rowOff>
                  </to>
                </anchor>
              </controlPr>
            </control>
          </mc:Choice>
        </mc:AlternateContent>
        <mc:AlternateContent xmlns:mc="http://schemas.openxmlformats.org/markup-compatibility/2006">
          <mc:Choice Requires="x14">
            <control shapeId="16454" r:id="rId45" name="Drop Down 70">
              <controlPr defaultSize="0" autoLine="0" autoPict="0">
                <anchor moveWithCells="1">
                  <from>
                    <xdr:col>3</xdr:col>
                    <xdr:colOff>114300</xdr:colOff>
                    <xdr:row>19</xdr:row>
                    <xdr:rowOff>25400</xdr:rowOff>
                  </from>
                  <to>
                    <xdr:col>3</xdr:col>
                    <xdr:colOff>863600</xdr:colOff>
                    <xdr:row>20</xdr:row>
                    <xdr:rowOff>50800</xdr:rowOff>
                  </to>
                </anchor>
              </controlPr>
            </control>
          </mc:Choice>
        </mc:AlternateContent>
        <mc:AlternateContent xmlns:mc="http://schemas.openxmlformats.org/markup-compatibility/2006">
          <mc:Choice Requires="x14">
            <control shapeId="16455" r:id="rId46" name="Drop Down 71">
              <controlPr defaultSize="0" autoLine="0" autoPict="0">
                <anchor moveWithCells="1">
                  <from>
                    <xdr:col>4</xdr:col>
                    <xdr:colOff>114300</xdr:colOff>
                    <xdr:row>19</xdr:row>
                    <xdr:rowOff>25400</xdr:rowOff>
                  </from>
                  <to>
                    <xdr:col>4</xdr:col>
                    <xdr:colOff>863600</xdr:colOff>
                    <xdr:row>20</xdr:row>
                    <xdr:rowOff>50800</xdr:rowOff>
                  </to>
                </anchor>
              </controlPr>
            </control>
          </mc:Choice>
        </mc:AlternateContent>
        <mc:AlternateContent xmlns:mc="http://schemas.openxmlformats.org/markup-compatibility/2006">
          <mc:Choice Requires="x14">
            <control shapeId="16456" r:id="rId47" name="Drop Down 72">
              <controlPr defaultSize="0" autoLine="0" autoPict="0">
                <anchor moveWithCells="1">
                  <from>
                    <xdr:col>5</xdr:col>
                    <xdr:colOff>114300</xdr:colOff>
                    <xdr:row>19</xdr:row>
                    <xdr:rowOff>25400</xdr:rowOff>
                  </from>
                  <to>
                    <xdr:col>5</xdr:col>
                    <xdr:colOff>863600</xdr:colOff>
                    <xdr:row>20</xdr:row>
                    <xdr:rowOff>50800</xdr:rowOff>
                  </to>
                </anchor>
              </controlPr>
            </control>
          </mc:Choice>
        </mc:AlternateContent>
        <mc:AlternateContent xmlns:mc="http://schemas.openxmlformats.org/markup-compatibility/2006">
          <mc:Choice Requires="x14">
            <control shapeId="16457" r:id="rId48" name="Drop Down 73">
              <controlPr defaultSize="0" autoLine="0" autoPict="0">
                <anchor moveWithCells="1">
                  <from>
                    <xdr:col>6</xdr:col>
                    <xdr:colOff>114300</xdr:colOff>
                    <xdr:row>19</xdr:row>
                    <xdr:rowOff>25400</xdr:rowOff>
                  </from>
                  <to>
                    <xdr:col>6</xdr:col>
                    <xdr:colOff>863600</xdr:colOff>
                    <xdr:row>20</xdr:row>
                    <xdr:rowOff>50800</xdr:rowOff>
                  </to>
                </anchor>
              </controlPr>
            </control>
          </mc:Choice>
        </mc:AlternateContent>
        <mc:AlternateContent xmlns:mc="http://schemas.openxmlformats.org/markup-compatibility/2006">
          <mc:Choice Requires="x14">
            <control shapeId="16458" r:id="rId49" name="Drop Down 74">
              <controlPr defaultSize="0" autoLine="0" autoPict="0">
                <anchor moveWithCells="1">
                  <from>
                    <xdr:col>7</xdr:col>
                    <xdr:colOff>114300</xdr:colOff>
                    <xdr:row>19</xdr:row>
                    <xdr:rowOff>25400</xdr:rowOff>
                  </from>
                  <to>
                    <xdr:col>7</xdr:col>
                    <xdr:colOff>863600</xdr:colOff>
                    <xdr:row>20</xdr:row>
                    <xdr:rowOff>50800</xdr:rowOff>
                  </to>
                </anchor>
              </controlPr>
            </control>
          </mc:Choice>
        </mc:AlternateContent>
        <mc:AlternateContent xmlns:mc="http://schemas.openxmlformats.org/markup-compatibility/2006">
          <mc:Choice Requires="x14">
            <control shapeId="16459" r:id="rId50" name="Drop Down 75">
              <controlPr defaultSize="0" autoLine="0" autoPict="0">
                <anchor moveWithCells="1">
                  <from>
                    <xdr:col>8</xdr:col>
                    <xdr:colOff>114300</xdr:colOff>
                    <xdr:row>19</xdr:row>
                    <xdr:rowOff>25400</xdr:rowOff>
                  </from>
                  <to>
                    <xdr:col>8</xdr:col>
                    <xdr:colOff>863600</xdr:colOff>
                    <xdr:row>20</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O60"/>
  <sheetViews>
    <sheetView zoomScale="75" zoomScaleNormal="75" workbookViewId="0">
      <selection activeCell="M28" sqref="M28"/>
    </sheetView>
  </sheetViews>
  <sheetFormatPr baseColWidth="10" defaultColWidth="0" defaultRowHeight="15" x14ac:dyDescent="0.2"/>
  <cols>
    <col min="1" max="1" width="9.1640625" style="22" customWidth="1"/>
    <col min="2" max="2" width="20.5" style="22" customWidth="1"/>
    <col min="3" max="3" width="3.5" style="22" customWidth="1"/>
    <col min="4" max="4" width="14" style="22" customWidth="1"/>
    <col min="5" max="5" width="13.6640625" style="22" customWidth="1"/>
    <col min="6" max="7" width="14.33203125" style="22" customWidth="1"/>
    <col min="8" max="8" width="13.33203125" style="22" customWidth="1"/>
    <col min="9" max="9" width="14" style="22" customWidth="1"/>
    <col min="10" max="10" width="13.33203125" style="22" customWidth="1"/>
    <col min="11" max="12" width="12.5" style="22" customWidth="1"/>
    <col min="13" max="13" width="14.6640625" style="22" customWidth="1"/>
    <col min="14" max="14" width="7.5" style="278" customWidth="1"/>
    <col min="15" max="15" width="18.6640625" style="278" customWidth="1"/>
    <col min="16" max="16384" width="9.1640625" style="278" hidden="1"/>
  </cols>
  <sheetData>
    <row r="1" spans="1:13" s="18" customFormat="1" x14ac:dyDescent="0.2">
      <c r="A1" s="316"/>
      <c r="B1" s="315" t="s">
        <v>421</v>
      </c>
      <c r="C1" s="316"/>
      <c r="D1" s="316"/>
      <c r="E1" s="316"/>
      <c r="F1" s="316"/>
      <c r="G1" s="316"/>
      <c r="H1" s="316"/>
      <c r="I1" s="316"/>
      <c r="J1" s="316"/>
      <c r="K1" s="316"/>
      <c r="L1" s="316"/>
      <c r="M1" s="316"/>
    </row>
    <row r="2" spans="1:13" s="18" customFormat="1" x14ac:dyDescent="0.2">
      <c r="A2" s="316"/>
      <c r="B2" s="317" t="str">
        <f>'Assumptions - General'!$E$26</f>
        <v>Ruritania Railway Infrastructure Company</v>
      </c>
      <c r="C2" s="316"/>
      <c r="D2" s="316"/>
      <c r="E2" s="316"/>
      <c r="F2" s="317" t="s">
        <v>420</v>
      </c>
      <c r="G2" s="316"/>
      <c r="H2" s="316"/>
      <c r="I2" s="316"/>
      <c r="J2" s="316"/>
      <c r="K2" s="316"/>
      <c r="L2" s="316"/>
      <c r="M2" s="316"/>
    </row>
    <row r="3" spans="1:13" s="18" customFormat="1" ht="18" customHeight="1" x14ac:dyDescent="0.2">
      <c r="A3" s="316"/>
      <c r="B3" s="317" t="str">
        <f>"All units in "  &amp;'Assumptions - General'!$E$27&amp;  " millions unless otherwise stated"</f>
        <v>All units in R$ millions unless otherwise stated</v>
      </c>
      <c r="C3" s="318"/>
      <c r="D3" s="316"/>
      <c r="E3" s="316"/>
      <c r="F3" s="337">
        <v>2</v>
      </c>
      <c r="G3" s="316"/>
      <c r="H3" s="316"/>
      <c r="I3" s="316"/>
      <c r="J3" s="316"/>
      <c r="K3" s="316"/>
      <c r="L3" s="316"/>
      <c r="M3" s="316"/>
    </row>
    <row r="4" spans="1:13" x14ac:dyDescent="0.2">
      <c r="A4" s="306" t="s">
        <v>33</v>
      </c>
    </row>
    <row r="5" spans="1:13" x14ac:dyDescent="0.2">
      <c r="A5" s="306" t="s">
        <v>211</v>
      </c>
    </row>
    <row r="19" spans="1:14" ht="16" thickBot="1" x14ac:dyDescent="0.25"/>
    <row r="20" spans="1:14" x14ac:dyDescent="0.2">
      <c r="B20" s="558" t="s">
        <v>462</v>
      </c>
      <c r="D20" s="392">
        <v>2</v>
      </c>
      <c r="E20" s="393">
        <v>2</v>
      </c>
      <c r="F20" s="393">
        <v>2</v>
      </c>
      <c r="G20" s="393">
        <v>2</v>
      </c>
      <c r="H20" s="393">
        <v>2</v>
      </c>
      <c r="I20" s="394">
        <v>2</v>
      </c>
    </row>
    <row r="21" spans="1:14" s="416" customFormat="1" ht="60" x14ac:dyDescent="0.2">
      <c r="A21" s="131"/>
      <c r="B21" s="559"/>
      <c r="C21" s="131"/>
      <c r="D21" s="395" t="s">
        <v>475</v>
      </c>
      <c r="E21" s="290" t="s">
        <v>648</v>
      </c>
      <c r="F21" s="290" t="s">
        <v>466</v>
      </c>
      <c r="G21" s="290" t="s">
        <v>469</v>
      </c>
      <c r="H21" s="290" t="s">
        <v>465</v>
      </c>
      <c r="I21" s="396" t="s">
        <v>464</v>
      </c>
      <c r="J21" s="131"/>
      <c r="K21" s="286" t="str">
        <f>IF(AND(K23=" ",K24=" ",K25=" ")," ","WARNINGS")</f>
        <v xml:space="preserve"> </v>
      </c>
      <c r="L21" s="131"/>
      <c r="M21" s="131"/>
    </row>
    <row r="22" spans="1:14" x14ac:dyDescent="0.2">
      <c r="D22" s="397"/>
      <c r="E22" s="234"/>
      <c r="F22" s="133" t="s">
        <v>33</v>
      </c>
      <c r="G22" s="133"/>
      <c r="H22" s="132"/>
      <c r="I22" s="398"/>
    </row>
    <row r="23" spans="1:14" x14ac:dyDescent="0.2">
      <c r="B23" s="235"/>
      <c r="D23" s="399"/>
      <c r="E23" s="132"/>
      <c r="F23" s="133" t="s">
        <v>211</v>
      </c>
      <c r="G23" s="133"/>
      <c r="H23" s="132"/>
      <c r="I23" s="398"/>
      <c r="K23" s="22" t="str">
        <f>IF('Results - Infrastructure'!F109&lt;'Assumptions - Infrastructure'!E341,"Low DSCR, below" &amp; 'Assumptions - Infrastructure'!E341," ")</f>
        <v xml:space="preserve"> </v>
      </c>
    </row>
    <row r="24" spans="1:14" x14ac:dyDescent="0.2">
      <c r="D24" s="399"/>
      <c r="E24" s="132"/>
      <c r="F24" s="132"/>
      <c r="G24" s="132"/>
      <c r="H24" s="132"/>
      <c r="I24" s="398"/>
      <c r="K24" s="22" t="str">
        <f>IF('Results - Infrastructure'!F101&lt;10%, "Low equity return (&lt;10%)", " ")</f>
        <v xml:space="preserve"> </v>
      </c>
    </row>
    <row r="25" spans="1:14" ht="16" thickBot="1" x14ac:dyDescent="0.25">
      <c r="D25" s="400">
        <f>IF(AND(F3=1,D20=1),D30/10,1)</f>
        <v>1</v>
      </c>
      <c r="E25" s="401">
        <f>IF(AND(F3=1,E20=1),E30/1000,'Results - Infrastructure'!G18)</f>
        <v>3.0000000000000027E-2</v>
      </c>
      <c r="F25" s="402">
        <f>IF(AND(F3=1,F20=1),F30/10,1)</f>
        <v>1</v>
      </c>
      <c r="G25" s="401">
        <f>IF(AND(F3=1,G20=1),G30/1000, 'Results - Infrastructure'!F11)</f>
        <v>1.9469174057293204E-2</v>
      </c>
      <c r="H25" s="402">
        <f>IF(AND(F3=1,H20=1),H30/100,1)</f>
        <v>1</v>
      </c>
      <c r="I25" s="403">
        <f>IF(AND(F3=1,I20=1),I30/100,1)</f>
        <v>1</v>
      </c>
      <c r="K25" s="22" t="str">
        <f>IF('Results - Infrastructure'!O113="NO", "Cash balance below zero", " ")</f>
        <v xml:space="preserve"> </v>
      </c>
    </row>
    <row r="26" spans="1:14" s="416" customFormat="1" ht="16" thickBot="1" x14ac:dyDescent="0.25">
      <c r="A26" s="131"/>
      <c r="B26" s="540" t="s">
        <v>511</v>
      </c>
      <c r="C26" s="131"/>
      <c r="D26" s="574" t="str">
        <f>'Results - Infrastructure'!F18&amp;" ("&amp;'Assumptions - General'!E27&amp;")"</f>
        <v>0.25 (R$)</v>
      </c>
      <c r="E26" s="576">
        <f>'Results - Infrastructure'!G18</f>
        <v>3.0000000000000027E-2</v>
      </c>
      <c r="F26" s="572" t="str">
        <f>'Results - Infrastructure'!F10&amp; " (GTK)"</f>
        <v>160000 (GTK)</v>
      </c>
      <c r="G26" s="576">
        <f>'Results - Infrastructure'!F11</f>
        <v>1.9469174057293204E-2</v>
      </c>
      <c r="H26" s="572">
        <f>'Results - Infrastructure'!F8</f>
        <v>19533.333333333332</v>
      </c>
      <c r="I26" s="572" t="str">
        <f>'Results - Infrastructure'!M31&amp;" ("&amp;'Results - Infrastructure'!N31&amp;")"</f>
        <v>8255 (R$ millions)</v>
      </c>
      <c r="J26" s="131"/>
      <c r="K26" s="131"/>
      <c r="L26" s="131"/>
      <c r="M26" s="131"/>
    </row>
    <row r="27" spans="1:14" ht="16" thickBot="1" x14ac:dyDescent="0.25">
      <c r="B27" s="535"/>
      <c r="D27" s="575"/>
      <c r="E27" s="577"/>
      <c r="F27" s="573"/>
      <c r="G27" s="577"/>
      <c r="H27" s="573"/>
      <c r="I27" s="573"/>
      <c r="J27" s="236">
        <v>1000</v>
      </c>
      <c r="K27" s="236">
        <v>20</v>
      </c>
      <c r="L27" s="236">
        <v>432</v>
      </c>
      <c r="M27" s="236">
        <v>7300</v>
      </c>
      <c r="N27" s="418"/>
    </row>
    <row r="28" spans="1:14" s="416" customFormat="1" ht="16" thickBot="1" x14ac:dyDescent="0.25">
      <c r="A28" s="131"/>
      <c r="B28" s="540" t="s">
        <v>463</v>
      </c>
      <c r="C28" s="131"/>
      <c r="D28" s="574">
        <v>0.25</v>
      </c>
      <c r="E28" s="576">
        <v>0</v>
      </c>
      <c r="F28" s="572" t="s">
        <v>535</v>
      </c>
      <c r="G28" s="576">
        <v>1.9641091629514218E-2</v>
      </c>
      <c r="H28" s="572" t="s">
        <v>536</v>
      </c>
      <c r="I28" s="572">
        <v>7965</v>
      </c>
      <c r="J28" s="131"/>
      <c r="K28" s="131"/>
      <c r="L28" s="131"/>
      <c r="M28" s="131"/>
    </row>
    <row r="29" spans="1:14" ht="16" thickBot="1" x14ac:dyDescent="0.25">
      <c r="B29" s="535"/>
      <c r="D29" s="575"/>
      <c r="E29" s="577"/>
      <c r="F29" s="573"/>
      <c r="G29" s="577"/>
      <c r="H29" s="573"/>
      <c r="I29" s="573"/>
      <c r="J29" s="236">
        <v>1000</v>
      </c>
      <c r="K29" s="236">
        <v>20</v>
      </c>
      <c r="L29" s="236">
        <v>432</v>
      </c>
      <c r="M29" s="236">
        <v>7300</v>
      </c>
      <c r="N29" s="418"/>
    </row>
    <row r="30" spans="1:14" x14ac:dyDescent="0.2">
      <c r="D30" s="236">
        <v>10</v>
      </c>
      <c r="E30" s="236">
        <v>11</v>
      </c>
      <c r="F30" s="236">
        <v>10</v>
      </c>
      <c r="G30" s="236">
        <v>10</v>
      </c>
      <c r="H30" s="236">
        <v>100</v>
      </c>
      <c r="I30" s="236">
        <v>100</v>
      </c>
      <c r="J30" s="235"/>
      <c r="K30" s="235"/>
      <c r="L30" s="235"/>
    </row>
    <row r="31" spans="1:14" x14ac:dyDescent="0.2">
      <c r="E31" s="235"/>
      <c r="F31" s="235"/>
      <c r="G31" s="235"/>
      <c r="H31" s="235"/>
      <c r="I31" s="235"/>
      <c r="J31" s="235"/>
      <c r="K31" s="235"/>
      <c r="L31" s="235"/>
    </row>
    <row r="59" spans="5:12" x14ac:dyDescent="0.2">
      <c r="E59" s="235"/>
      <c r="F59" s="235"/>
      <c r="G59" s="235"/>
      <c r="H59" s="235"/>
      <c r="I59" s="235"/>
      <c r="J59" s="235"/>
      <c r="K59" s="235"/>
      <c r="L59" s="235"/>
    </row>
    <row r="60" spans="5:12" x14ac:dyDescent="0.2">
      <c r="E60" s="235"/>
      <c r="F60" s="235"/>
      <c r="G60" s="235"/>
      <c r="H60" s="235"/>
      <c r="I60" s="235"/>
      <c r="J60" s="235"/>
      <c r="K60" s="235"/>
      <c r="L60" s="235"/>
    </row>
  </sheetData>
  <mergeCells count="15">
    <mergeCell ref="B20:B21"/>
    <mergeCell ref="B26:B27"/>
    <mergeCell ref="D26:D27"/>
    <mergeCell ref="E26:E27"/>
    <mergeCell ref="F26:F27"/>
    <mergeCell ref="H26:H27"/>
    <mergeCell ref="I26:I27"/>
    <mergeCell ref="B28:B29"/>
    <mergeCell ref="D28:D29"/>
    <mergeCell ref="E28:E29"/>
    <mergeCell ref="F28:F29"/>
    <mergeCell ref="G28:G29"/>
    <mergeCell ref="H28:H29"/>
    <mergeCell ref="I28:I29"/>
    <mergeCell ref="G26:G27"/>
  </mergeCells>
  <pageMargins left="0.7" right="0.7" top="0.75" bottom="0.75" header="0.3" footer="0.3"/>
  <pageSetup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Spinner 1">
              <controlPr defaultSize="0" autoPict="0">
                <anchor moveWithCells="1" sizeWithCells="1">
                  <from>
                    <xdr:col>5</xdr:col>
                    <xdr:colOff>533400</xdr:colOff>
                    <xdr:row>58</xdr:row>
                    <xdr:rowOff>0</xdr:rowOff>
                  </from>
                  <to>
                    <xdr:col>5</xdr:col>
                    <xdr:colOff>736600</xdr:colOff>
                    <xdr:row>58</xdr:row>
                    <xdr:rowOff>0</xdr:rowOff>
                  </to>
                </anchor>
              </controlPr>
            </control>
          </mc:Choice>
        </mc:AlternateContent>
        <mc:AlternateContent xmlns:mc="http://schemas.openxmlformats.org/markup-compatibility/2006">
          <mc:Choice Requires="x14">
            <control shapeId="19458" r:id="rId5" name="Spinner 2">
              <controlPr defaultSize="0" autoPict="0">
                <anchor moveWithCells="1" sizeWithCells="1">
                  <from>
                    <xdr:col>11</xdr:col>
                    <xdr:colOff>482600</xdr:colOff>
                    <xdr:row>58</xdr:row>
                    <xdr:rowOff>0</xdr:rowOff>
                  </from>
                  <to>
                    <xdr:col>11</xdr:col>
                    <xdr:colOff>685800</xdr:colOff>
                    <xdr:row>58</xdr:row>
                    <xdr:rowOff>0</xdr:rowOff>
                  </to>
                </anchor>
              </controlPr>
            </control>
          </mc:Choice>
        </mc:AlternateContent>
        <mc:AlternateContent xmlns:mc="http://schemas.openxmlformats.org/markup-compatibility/2006">
          <mc:Choice Requires="x14">
            <control shapeId="19459" r:id="rId6" name="Spinner 3">
              <controlPr defaultSize="0" autoPict="0">
                <anchor moveWithCells="1" sizeWithCells="1">
                  <from>
                    <xdr:col>12</xdr:col>
                    <xdr:colOff>571500</xdr:colOff>
                    <xdr:row>58</xdr:row>
                    <xdr:rowOff>0</xdr:rowOff>
                  </from>
                  <to>
                    <xdr:col>12</xdr:col>
                    <xdr:colOff>774700</xdr:colOff>
                    <xdr:row>58</xdr:row>
                    <xdr:rowOff>0</xdr:rowOff>
                  </to>
                </anchor>
              </controlPr>
            </control>
          </mc:Choice>
        </mc:AlternateContent>
        <mc:AlternateContent xmlns:mc="http://schemas.openxmlformats.org/markup-compatibility/2006">
          <mc:Choice Requires="x14">
            <control shapeId="19460" r:id="rId7" name="Spinner 4">
              <controlPr defaultSize="0" autoPict="0">
                <anchor moveWithCells="1" sizeWithCells="1">
                  <from>
                    <xdr:col>7</xdr:col>
                    <xdr:colOff>457200</xdr:colOff>
                    <xdr:row>58</xdr:row>
                    <xdr:rowOff>0</xdr:rowOff>
                  </from>
                  <to>
                    <xdr:col>7</xdr:col>
                    <xdr:colOff>660400</xdr:colOff>
                    <xdr:row>58</xdr:row>
                    <xdr:rowOff>0</xdr:rowOff>
                  </to>
                </anchor>
              </controlPr>
            </control>
          </mc:Choice>
        </mc:AlternateContent>
        <mc:AlternateContent xmlns:mc="http://schemas.openxmlformats.org/markup-compatibility/2006">
          <mc:Choice Requires="x14">
            <control shapeId="19461" r:id="rId8" name="Spinner 5">
              <controlPr defaultSize="0" autoPict="0">
                <anchor moveWithCells="1" sizeWithCells="1">
                  <from>
                    <xdr:col>3</xdr:col>
                    <xdr:colOff>609600</xdr:colOff>
                    <xdr:row>58</xdr:row>
                    <xdr:rowOff>0</xdr:rowOff>
                  </from>
                  <to>
                    <xdr:col>3</xdr:col>
                    <xdr:colOff>812800</xdr:colOff>
                    <xdr:row>58</xdr:row>
                    <xdr:rowOff>0</xdr:rowOff>
                  </to>
                </anchor>
              </controlPr>
            </control>
          </mc:Choice>
        </mc:AlternateContent>
        <mc:AlternateContent xmlns:mc="http://schemas.openxmlformats.org/markup-compatibility/2006">
          <mc:Choice Requires="x14">
            <control shapeId="19462" r:id="rId9" name="Spinner 6">
              <controlPr defaultSize="0" autoPict="0">
                <anchor moveWithCells="1" sizeWithCells="1">
                  <from>
                    <xdr:col>4</xdr:col>
                    <xdr:colOff>508000</xdr:colOff>
                    <xdr:row>58</xdr:row>
                    <xdr:rowOff>0</xdr:rowOff>
                  </from>
                  <to>
                    <xdr:col>4</xdr:col>
                    <xdr:colOff>711200</xdr:colOff>
                    <xdr:row>58</xdr:row>
                    <xdr:rowOff>0</xdr:rowOff>
                  </to>
                </anchor>
              </controlPr>
            </control>
          </mc:Choice>
        </mc:AlternateContent>
        <mc:AlternateContent xmlns:mc="http://schemas.openxmlformats.org/markup-compatibility/2006">
          <mc:Choice Requires="x14">
            <control shapeId="19463" r:id="rId10" name="Spinner 7">
              <controlPr defaultSize="0" autoPict="0">
                <anchor moveWithCells="1" sizeWithCells="1">
                  <from>
                    <xdr:col>6</xdr:col>
                    <xdr:colOff>520700</xdr:colOff>
                    <xdr:row>58</xdr:row>
                    <xdr:rowOff>0</xdr:rowOff>
                  </from>
                  <to>
                    <xdr:col>6</xdr:col>
                    <xdr:colOff>723900</xdr:colOff>
                    <xdr:row>58</xdr:row>
                    <xdr:rowOff>0</xdr:rowOff>
                  </to>
                </anchor>
              </controlPr>
            </control>
          </mc:Choice>
        </mc:AlternateContent>
        <mc:AlternateContent xmlns:mc="http://schemas.openxmlformats.org/markup-compatibility/2006">
          <mc:Choice Requires="x14">
            <control shapeId="19464" r:id="rId11" name="Spinner 8">
              <controlPr defaultSize="0" autoPict="0">
                <anchor moveWithCells="1" sizeWithCells="1">
                  <from>
                    <xdr:col>10</xdr:col>
                    <xdr:colOff>457200</xdr:colOff>
                    <xdr:row>58</xdr:row>
                    <xdr:rowOff>0</xdr:rowOff>
                  </from>
                  <to>
                    <xdr:col>10</xdr:col>
                    <xdr:colOff>660400</xdr:colOff>
                    <xdr:row>58</xdr:row>
                    <xdr:rowOff>0</xdr:rowOff>
                  </to>
                </anchor>
              </controlPr>
            </control>
          </mc:Choice>
        </mc:AlternateContent>
        <mc:AlternateContent xmlns:mc="http://schemas.openxmlformats.org/markup-compatibility/2006">
          <mc:Choice Requires="x14">
            <control shapeId="19465" r:id="rId12" name="Spinner 9">
              <controlPr defaultSize="0" autoPict="0">
                <anchor moveWithCells="1" sizeWithCells="1">
                  <from>
                    <xdr:col>8</xdr:col>
                    <xdr:colOff>533400</xdr:colOff>
                    <xdr:row>58</xdr:row>
                    <xdr:rowOff>0</xdr:rowOff>
                  </from>
                  <to>
                    <xdr:col>8</xdr:col>
                    <xdr:colOff>736600</xdr:colOff>
                    <xdr:row>58</xdr:row>
                    <xdr:rowOff>0</xdr:rowOff>
                  </to>
                </anchor>
              </controlPr>
            </control>
          </mc:Choice>
        </mc:AlternateContent>
        <mc:AlternateContent xmlns:mc="http://schemas.openxmlformats.org/markup-compatibility/2006">
          <mc:Choice Requires="x14">
            <control shapeId="19466" r:id="rId13" name="Spinner 10">
              <controlPr defaultSize="0" autoPict="0">
                <anchor moveWithCells="1" sizeWithCells="1">
                  <from>
                    <xdr:col>9</xdr:col>
                    <xdr:colOff>495300</xdr:colOff>
                    <xdr:row>58</xdr:row>
                    <xdr:rowOff>0</xdr:rowOff>
                  </from>
                  <to>
                    <xdr:col>9</xdr:col>
                    <xdr:colOff>698500</xdr:colOff>
                    <xdr:row>58</xdr:row>
                    <xdr:rowOff>0</xdr:rowOff>
                  </to>
                </anchor>
              </controlPr>
            </control>
          </mc:Choice>
        </mc:AlternateContent>
        <mc:AlternateContent xmlns:mc="http://schemas.openxmlformats.org/markup-compatibility/2006">
          <mc:Choice Requires="x14">
            <control shapeId="19468" r:id="rId14" name="Spinner 12">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9469" r:id="rId15" name="Spinner 13">
              <controlPr defaultSize="0" autoPict="0">
                <anchor moveWithCells="1" sizeWithCells="1">
                  <from>
                    <xdr:col>8</xdr:col>
                    <xdr:colOff>533400</xdr:colOff>
                    <xdr:row>0</xdr:row>
                    <xdr:rowOff>0</xdr:rowOff>
                  </from>
                  <to>
                    <xdr:col>8</xdr:col>
                    <xdr:colOff>736600</xdr:colOff>
                    <xdr:row>0</xdr:row>
                    <xdr:rowOff>0</xdr:rowOff>
                  </to>
                </anchor>
              </controlPr>
            </control>
          </mc:Choice>
        </mc:AlternateContent>
        <mc:AlternateContent xmlns:mc="http://schemas.openxmlformats.org/markup-compatibility/2006">
          <mc:Choice Requires="x14">
            <control shapeId="19470" r:id="rId16" name="Spinner 14">
              <controlPr defaultSize="0" autoPict="0">
                <anchor moveWithCells="1" sizeWithCells="1">
                  <from>
                    <xdr:col>5</xdr:col>
                    <xdr:colOff>546100</xdr:colOff>
                    <xdr:row>0</xdr:row>
                    <xdr:rowOff>0</xdr:rowOff>
                  </from>
                  <to>
                    <xdr:col>5</xdr:col>
                    <xdr:colOff>749300</xdr:colOff>
                    <xdr:row>0</xdr:row>
                    <xdr:rowOff>0</xdr:rowOff>
                  </to>
                </anchor>
              </controlPr>
            </control>
          </mc:Choice>
        </mc:AlternateContent>
        <mc:AlternateContent xmlns:mc="http://schemas.openxmlformats.org/markup-compatibility/2006">
          <mc:Choice Requires="x14">
            <control shapeId="19471" r:id="rId17" name="Spinner 15">
              <controlPr defaultSize="0" autoPict="0">
                <anchor moveWithCells="1" sizeWithCells="1">
                  <from>
                    <xdr:col>3</xdr:col>
                    <xdr:colOff>546100</xdr:colOff>
                    <xdr:row>0</xdr:row>
                    <xdr:rowOff>0</xdr:rowOff>
                  </from>
                  <to>
                    <xdr:col>3</xdr:col>
                    <xdr:colOff>749300</xdr:colOff>
                    <xdr:row>0</xdr:row>
                    <xdr:rowOff>0</xdr:rowOff>
                  </to>
                </anchor>
              </controlPr>
            </control>
          </mc:Choice>
        </mc:AlternateContent>
        <mc:AlternateContent xmlns:mc="http://schemas.openxmlformats.org/markup-compatibility/2006">
          <mc:Choice Requires="x14">
            <control shapeId="19472" r:id="rId18" name="Spinner 16">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9473" r:id="rId19" name="Spinner 17">
              <controlPr defaultSize="0" autoPict="0">
                <anchor moveWithCells="1" sizeWithCells="1">
                  <from>
                    <xdr:col>6</xdr:col>
                    <xdr:colOff>508000</xdr:colOff>
                    <xdr:row>0</xdr:row>
                    <xdr:rowOff>0</xdr:rowOff>
                  </from>
                  <to>
                    <xdr:col>6</xdr:col>
                    <xdr:colOff>711200</xdr:colOff>
                    <xdr:row>0</xdr:row>
                    <xdr:rowOff>0</xdr:rowOff>
                  </to>
                </anchor>
              </controlPr>
            </control>
          </mc:Choice>
        </mc:AlternateContent>
        <mc:AlternateContent xmlns:mc="http://schemas.openxmlformats.org/markup-compatibility/2006">
          <mc:Choice Requires="x14">
            <control shapeId="19481" r:id="rId20" name="Spinner 25">
              <controlPr defaultSize="0" autoPict="0">
                <anchor moveWithCells="1" sizeWithCells="1">
                  <from>
                    <xdr:col>7</xdr:col>
                    <xdr:colOff>482600</xdr:colOff>
                    <xdr:row>0</xdr:row>
                    <xdr:rowOff>0</xdr:rowOff>
                  </from>
                  <to>
                    <xdr:col>7</xdr:col>
                    <xdr:colOff>685800</xdr:colOff>
                    <xdr:row>0</xdr:row>
                    <xdr:rowOff>0</xdr:rowOff>
                  </to>
                </anchor>
              </controlPr>
            </control>
          </mc:Choice>
        </mc:AlternateContent>
        <mc:AlternateContent xmlns:mc="http://schemas.openxmlformats.org/markup-compatibility/2006">
          <mc:Choice Requires="x14">
            <control shapeId="19482" r:id="rId21" name="Spinner 26">
              <controlPr defaultSize="0" autoPict="0">
                <anchor moveWithCells="1" sizeWithCells="1">
                  <from>
                    <xdr:col>8</xdr:col>
                    <xdr:colOff>520700</xdr:colOff>
                    <xdr:row>0</xdr:row>
                    <xdr:rowOff>0</xdr:rowOff>
                  </from>
                  <to>
                    <xdr:col>8</xdr:col>
                    <xdr:colOff>723900</xdr:colOff>
                    <xdr:row>0</xdr:row>
                    <xdr:rowOff>0</xdr:rowOff>
                  </to>
                </anchor>
              </controlPr>
            </control>
          </mc:Choice>
        </mc:AlternateContent>
        <mc:AlternateContent xmlns:mc="http://schemas.openxmlformats.org/markup-compatibility/2006">
          <mc:Choice Requires="x14">
            <control shapeId="19483" r:id="rId22" name="Spinner 27">
              <controlPr defaultSize="0" autoPict="0">
                <anchor moveWithCells="1" sizeWithCells="1">
                  <from>
                    <xdr:col>5</xdr:col>
                    <xdr:colOff>533400</xdr:colOff>
                    <xdr:row>0</xdr:row>
                    <xdr:rowOff>0</xdr:rowOff>
                  </from>
                  <to>
                    <xdr:col>5</xdr:col>
                    <xdr:colOff>736600</xdr:colOff>
                    <xdr:row>0</xdr:row>
                    <xdr:rowOff>0</xdr:rowOff>
                  </to>
                </anchor>
              </controlPr>
            </control>
          </mc:Choice>
        </mc:AlternateContent>
        <mc:AlternateContent xmlns:mc="http://schemas.openxmlformats.org/markup-compatibility/2006">
          <mc:Choice Requires="x14">
            <control shapeId="19484" r:id="rId23" name="Spinner 28">
              <controlPr defaultSize="0" autoPict="0">
                <anchor moveWithCells="1" sizeWithCells="1">
                  <from>
                    <xdr:col>3</xdr:col>
                    <xdr:colOff>533400</xdr:colOff>
                    <xdr:row>0</xdr:row>
                    <xdr:rowOff>0</xdr:rowOff>
                  </from>
                  <to>
                    <xdr:col>3</xdr:col>
                    <xdr:colOff>736600</xdr:colOff>
                    <xdr:row>0</xdr:row>
                    <xdr:rowOff>0</xdr:rowOff>
                  </to>
                </anchor>
              </controlPr>
            </control>
          </mc:Choice>
        </mc:AlternateContent>
        <mc:AlternateContent xmlns:mc="http://schemas.openxmlformats.org/markup-compatibility/2006">
          <mc:Choice Requires="x14">
            <control shapeId="19485" r:id="rId24" name="Spinner 29">
              <controlPr defaultSize="0" autoPict="0">
                <anchor moveWithCells="1" sizeWithCells="1">
                  <from>
                    <xdr:col>4</xdr:col>
                    <xdr:colOff>508000</xdr:colOff>
                    <xdr:row>0</xdr:row>
                    <xdr:rowOff>0</xdr:rowOff>
                  </from>
                  <to>
                    <xdr:col>4</xdr:col>
                    <xdr:colOff>711200</xdr:colOff>
                    <xdr:row>0</xdr:row>
                    <xdr:rowOff>0</xdr:rowOff>
                  </to>
                </anchor>
              </controlPr>
            </control>
          </mc:Choice>
        </mc:AlternateContent>
        <mc:AlternateContent xmlns:mc="http://schemas.openxmlformats.org/markup-compatibility/2006">
          <mc:Choice Requires="x14">
            <control shapeId="19486" r:id="rId25" name="Spinner 30">
              <controlPr defaultSize="0" autoPict="0">
                <anchor moveWithCells="1" sizeWithCells="1">
                  <from>
                    <xdr:col>6</xdr:col>
                    <xdr:colOff>533400</xdr:colOff>
                    <xdr:row>0</xdr:row>
                    <xdr:rowOff>0</xdr:rowOff>
                  </from>
                  <to>
                    <xdr:col>6</xdr:col>
                    <xdr:colOff>736600</xdr:colOff>
                    <xdr:row>0</xdr:row>
                    <xdr:rowOff>0</xdr:rowOff>
                  </to>
                </anchor>
              </controlPr>
            </control>
          </mc:Choice>
        </mc:AlternateContent>
        <mc:AlternateContent xmlns:mc="http://schemas.openxmlformats.org/markup-compatibility/2006">
          <mc:Choice Requires="x14">
            <control shapeId="19493" r:id="rId26" name="Drop Down 37">
              <controlPr defaultSize="0" autoLine="0" autoPict="0">
                <anchor moveWithCells="1">
                  <from>
                    <xdr:col>5</xdr:col>
                    <xdr:colOff>114300</xdr:colOff>
                    <xdr:row>2</xdr:row>
                    <xdr:rowOff>25400</xdr:rowOff>
                  </from>
                  <to>
                    <xdr:col>5</xdr:col>
                    <xdr:colOff>863600</xdr:colOff>
                    <xdr:row>3</xdr:row>
                    <xdr:rowOff>0</xdr:rowOff>
                  </to>
                </anchor>
              </controlPr>
            </control>
          </mc:Choice>
        </mc:AlternateContent>
        <mc:AlternateContent xmlns:mc="http://schemas.openxmlformats.org/markup-compatibility/2006">
          <mc:Choice Requires="x14">
            <control shapeId="19494" r:id="rId27" name="Spinner 38">
              <controlPr defaultSize="0" autoPict="0">
                <anchor moveWithCells="1" sizeWithCells="1">
                  <from>
                    <xdr:col>7</xdr:col>
                    <xdr:colOff>482600</xdr:colOff>
                    <xdr:row>21</xdr:row>
                    <xdr:rowOff>76200</xdr:rowOff>
                  </from>
                  <to>
                    <xdr:col>7</xdr:col>
                    <xdr:colOff>685800</xdr:colOff>
                    <xdr:row>23</xdr:row>
                    <xdr:rowOff>101600</xdr:rowOff>
                  </to>
                </anchor>
              </controlPr>
            </control>
          </mc:Choice>
        </mc:AlternateContent>
        <mc:AlternateContent xmlns:mc="http://schemas.openxmlformats.org/markup-compatibility/2006">
          <mc:Choice Requires="x14">
            <control shapeId="19495" r:id="rId28" name="Spinner 39">
              <controlPr defaultSize="0" autoPict="0">
                <anchor moveWithCells="1" sizeWithCells="1">
                  <from>
                    <xdr:col>8</xdr:col>
                    <xdr:colOff>533400</xdr:colOff>
                    <xdr:row>21</xdr:row>
                    <xdr:rowOff>50800</xdr:rowOff>
                  </from>
                  <to>
                    <xdr:col>8</xdr:col>
                    <xdr:colOff>736600</xdr:colOff>
                    <xdr:row>23</xdr:row>
                    <xdr:rowOff>76200</xdr:rowOff>
                  </to>
                </anchor>
              </controlPr>
            </control>
          </mc:Choice>
        </mc:AlternateContent>
        <mc:AlternateContent xmlns:mc="http://schemas.openxmlformats.org/markup-compatibility/2006">
          <mc:Choice Requires="x14">
            <control shapeId="19496" r:id="rId29" name="Spinner 40">
              <controlPr defaultSize="0" autoPict="0">
                <anchor moveWithCells="1" sizeWithCells="1">
                  <from>
                    <xdr:col>5</xdr:col>
                    <xdr:colOff>546100</xdr:colOff>
                    <xdr:row>21</xdr:row>
                    <xdr:rowOff>63500</xdr:rowOff>
                  </from>
                  <to>
                    <xdr:col>5</xdr:col>
                    <xdr:colOff>749300</xdr:colOff>
                    <xdr:row>23</xdr:row>
                    <xdr:rowOff>88900</xdr:rowOff>
                  </to>
                </anchor>
              </controlPr>
            </control>
          </mc:Choice>
        </mc:AlternateContent>
        <mc:AlternateContent xmlns:mc="http://schemas.openxmlformats.org/markup-compatibility/2006">
          <mc:Choice Requires="x14">
            <control shapeId="19497" r:id="rId30" name="Spinner 41">
              <controlPr defaultSize="0" autoPict="0">
                <anchor moveWithCells="1" sizeWithCells="1">
                  <from>
                    <xdr:col>3</xdr:col>
                    <xdr:colOff>546100</xdr:colOff>
                    <xdr:row>21</xdr:row>
                    <xdr:rowOff>50800</xdr:rowOff>
                  </from>
                  <to>
                    <xdr:col>3</xdr:col>
                    <xdr:colOff>749300</xdr:colOff>
                    <xdr:row>23</xdr:row>
                    <xdr:rowOff>101600</xdr:rowOff>
                  </to>
                </anchor>
              </controlPr>
            </control>
          </mc:Choice>
        </mc:AlternateContent>
        <mc:AlternateContent xmlns:mc="http://schemas.openxmlformats.org/markup-compatibility/2006">
          <mc:Choice Requires="x14">
            <control shapeId="19498" r:id="rId31" name="Spinner 42">
              <controlPr defaultSize="0" autoPict="0">
                <anchor moveWithCells="1" sizeWithCells="1">
                  <from>
                    <xdr:col>4</xdr:col>
                    <xdr:colOff>508000</xdr:colOff>
                    <xdr:row>21</xdr:row>
                    <xdr:rowOff>25400</xdr:rowOff>
                  </from>
                  <to>
                    <xdr:col>4</xdr:col>
                    <xdr:colOff>711200</xdr:colOff>
                    <xdr:row>23</xdr:row>
                    <xdr:rowOff>76200</xdr:rowOff>
                  </to>
                </anchor>
              </controlPr>
            </control>
          </mc:Choice>
        </mc:AlternateContent>
        <mc:AlternateContent xmlns:mc="http://schemas.openxmlformats.org/markup-compatibility/2006">
          <mc:Choice Requires="x14">
            <control shapeId="19499" r:id="rId32" name="Spinner 43">
              <controlPr defaultSize="0" autoPict="0">
                <anchor moveWithCells="1" sizeWithCells="1">
                  <from>
                    <xdr:col>6</xdr:col>
                    <xdr:colOff>508000</xdr:colOff>
                    <xdr:row>21</xdr:row>
                    <xdr:rowOff>50800</xdr:rowOff>
                  </from>
                  <to>
                    <xdr:col>6</xdr:col>
                    <xdr:colOff>711200</xdr:colOff>
                    <xdr:row>23</xdr:row>
                    <xdr:rowOff>101600</xdr:rowOff>
                  </to>
                </anchor>
              </controlPr>
            </control>
          </mc:Choice>
        </mc:AlternateContent>
        <mc:AlternateContent xmlns:mc="http://schemas.openxmlformats.org/markup-compatibility/2006">
          <mc:Choice Requires="x14">
            <control shapeId="19500" r:id="rId33" name="Drop Down 44">
              <controlPr defaultSize="0" autoLine="0" autoPict="0">
                <anchor moveWithCells="1">
                  <from>
                    <xdr:col>3</xdr:col>
                    <xdr:colOff>114300</xdr:colOff>
                    <xdr:row>19</xdr:row>
                    <xdr:rowOff>25400</xdr:rowOff>
                  </from>
                  <to>
                    <xdr:col>3</xdr:col>
                    <xdr:colOff>863600</xdr:colOff>
                    <xdr:row>20</xdr:row>
                    <xdr:rowOff>50800</xdr:rowOff>
                  </to>
                </anchor>
              </controlPr>
            </control>
          </mc:Choice>
        </mc:AlternateContent>
        <mc:AlternateContent xmlns:mc="http://schemas.openxmlformats.org/markup-compatibility/2006">
          <mc:Choice Requires="x14">
            <control shapeId="19501" r:id="rId34" name="Drop Down 45">
              <controlPr defaultSize="0" autoLine="0" autoPict="0">
                <anchor moveWithCells="1">
                  <from>
                    <xdr:col>4</xdr:col>
                    <xdr:colOff>114300</xdr:colOff>
                    <xdr:row>19</xdr:row>
                    <xdr:rowOff>25400</xdr:rowOff>
                  </from>
                  <to>
                    <xdr:col>4</xdr:col>
                    <xdr:colOff>863600</xdr:colOff>
                    <xdr:row>20</xdr:row>
                    <xdr:rowOff>50800</xdr:rowOff>
                  </to>
                </anchor>
              </controlPr>
            </control>
          </mc:Choice>
        </mc:AlternateContent>
        <mc:AlternateContent xmlns:mc="http://schemas.openxmlformats.org/markup-compatibility/2006">
          <mc:Choice Requires="x14">
            <control shapeId="19502" r:id="rId35" name="Drop Down 46">
              <controlPr defaultSize="0" autoLine="0" autoPict="0">
                <anchor moveWithCells="1">
                  <from>
                    <xdr:col>5</xdr:col>
                    <xdr:colOff>114300</xdr:colOff>
                    <xdr:row>19</xdr:row>
                    <xdr:rowOff>25400</xdr:rowOff>
                  </from>
                  <to>
                    <xdr:col>5</xdr:col>
                    <xdr:colOff>863600</xdr:colOff>
                    <xdr:row>20</xdr:row>
                    <xdr:rowOff>50800</xdr:rowOff>
                  </to>
                </anchor>
              </controlPr>
            </control>
          </mc:Choice>
        </mc:AlternateContent>
        <mc:AlternateContent xmlns:mc="http://schemas.openxmlformats.org/markup-compatibility/2006">
          <mc:Choice Requires="x14">
            <control shapeId="19503" r:id="rId36" name="Drop Down 47">
              <controlPr defaultSize="0" autoLine="0" autoPict="0">
                <anchor moveWithCells="1">
                  <from>
                    <xdr:col>6</xdr:col>
                    <xdr:colOff>114300</xdr:colOff>
                    <xdr:row>19</xdr:row>
                    <xdr:rowOff>25400</xdr:rowOff>
                  </from>
                  <to>
                    <xdr:col>6</xdr:col>
                    <xdr:colOff>863600</xdr:colOff>
                    <xdr:row>20</xdr:row>
                    <xdr:rowOff>50800</xdr:rowOff>
                  </to>
                </anchor>
              </controlPr>
            </control>
          </mc:Choice>
        </mc:AlternateContent>
        <mc:AlternateContent xmlns:mc="http://schemas.openxmlformats.org/markup-compatibility/2006">
          <mc:Choice Requires="x14">
            <control shapeId="19504" r:id="rId37" name="Drop Down 48">
              <controlPr defaultSize="0" autoLine="0" autoPict="0">
                <anchor moveWithCells="1">
                  <from>
                    <xdr:col>7</xdr:col>
                    <xdr:colOff>114300</xdr:colOff>
                    <xdr:row>19</xdr:row>
                    <xdr:rowOff>25400</xdr:rowOff>
                  </from>
                  <to>
                    <xdr:col>7</xdr:col>
                    <xdr:colOff>863600</xdr:colOff>
                    <xdr:row>20</xdr:row>
                    <xdr:rowOff>50800</xdr:rowOff>
                  </to>
                </anchor>
              </controlPr>
            </control>
          </mc:Choice>
        </mc:AlternateContent>
        <mc:AlternateContent xmlns:mc="http://schemas.openxmlformats.org/markup-compatibility/2006">
          <mc:Choice Requires="x14">
            <control shapeId="19505" r:id="rId38" name="Drop Down 49">
              <controlPr defaultSize="0" autoLine="0" autoPict="0">
                <anchor moveWithCells="1">
                  <from>
                    <xdr:col>8</xdr:col>
                    <xdr:colOff>114300</xdr:colOff>
                    <xdr:row>19</xdr:row>
                    <xdr:rowOff>25400</xdr:rowOff>
                  </from>
                  <to>
                    <xdr:col>8</xdr:col>
                    <xdr:colOff>863600</xdr:colOff>
                    <xdr:row>20</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95</vt:i4>
      </vt:variant>
    </vt:vector>
  </HeadingPairs>
  <TitlesOfParts>
    <vt:vector size="117" baseType="lpstr">
      <vt:lpstr>Cover</vt:lpstr>
      <vt:lpstr>Assumptions - General</vt:lpstr>
      <vt:lpstr>Assumptions - Freight</vt:lpstr>
      <vt:lpstr>Assumptions - Passenger</vt:lpstr>
      <vt:lpstr>Assumptions - Infrastructure</vt:lpstr>
      <vt:lpstr>Assumptions - Consolidated</vt:lpstr>
      <vt:lpstr>Calculations</vt:lpstr>
      <vt:lpstr>Balance sheet</vt:lpstr>
      <vt:lpstr>Income statement</vt:lpstr>
      <vt:lpstr>Cash flow statement</vt:lpstr>
      <vt:lpstr>Charts - Consolidated</vt:lpstr>
      <vt:lpstr>Charts - Freight</vt:lpstr>
      <vt:lpstr>Charts - Passenger</vt:lpstr>
      <vt:lpstr>Charts - Infrastructure</vt:lpstr>
      <vt:lpstr>Results - Consolidated</vt:lpstr>
      <vt:lpstr>Results - Freight</vt:lpstr>
      <vt:lpstr>Results - Passenger</vt:lpstr>
      <vt:lpstr>Results - Infrastructure</vt:lpstr>
      <vt:lpstr>Scenarios - Consolidated</vt:lpstr>
      <vt:lpstr>Scenarios - Freight</vt:lpstr>
      <vt:lpstr>Scenarios - Passenger</vt:lpstr>
      <vt:lpstr>Scenarios - Infra</vt:lpstr>
      <vt:lpstr>Additional_non_operating_costs_of_Ruritania_Railways</vt:lpstr>
      <vt:lpstr>Additional_operating_costs_of_Ruritania_Railways</vt:lpstr>
      <vt:lpstr>'Assumptions - Freight'!AreaA</vt:lpstr>
      <vt:lpstr>'Assumptions - Infrastructure'!AreaA</vt:lpstr>
      <vt:lpstr>'Assumptions - Passenger'!AreaA</vt:lpstr>
      <vt:lpstr>Calculations!AreaA</vt:lpstr>
      <vt:lpstr>'Assumptions - Freight'!AreaB</vt:lpstr>
      <vt:lpstr>'Assumptions - Infrastructure'!AreaB</vt:lpstr>
      <vt:lpstr>'Assumptions - Passenger'!AreaB</vt:lpstr>
      <vt:lpstr>Calculations!AreaB</vt:lpstr>
      <vt:lpstr>'Assumptions - Freight'!AreaC</vt:lpstr>
      <vt:lpstr>'Assumptions - Infrastructure'!AreaC</vt:lpstr>
      <vt:lpstr>'Assumptions - Passenger'!AreaC</vt:lpstr>
      <vt:lpstr>Calculations!AreaC</vt:lpstr>
      <vt:lpstr>'Assumptions - Freight'!AreaD</vt:lpstr>
      <vt:lpstr>'Assumptions - Passenger'!AreaD</vt:lpstr>
      <vt:lpstr>Calculations!AreaD</vt:lpstr>
      <vt:lpstr>'Assumptions - Freight'!AreaE</vt:lpstr>
      <vt:lpstr>'Assumptions - Passenger'!AreaE</vt:lpstr>
      <vt:lpstr>Calculations!AreaE</vt:lpstr>
      <vt:lpstr>'Assumptions - Passenger'!AreaF</vt:lpstr>
      <vt:lpstr>Calculations!AreaF</vt:lpstr>
      <vt:lpstr>Calculations!AreaG</vt:lpstr>
      <vt:lpstr>Calculations!AreaH</vt:lpstr>
      <vt:lpstr>Calculations!AreaI</vt:lpstr>
      <vt:lpstr>Calculations!AreaJ</vt:lpstr>
      <vt:lpstr>Calculations!AreaK</vt:lpstr>
      <vt:lpstr>Calculations!AreaL</vt:lpstr>
      <vt:lpstr>Calculations!AreaM</vt:lpstr>
      <vt:lpstr>'Assumptions - Infrastructure'!AreaN</vt:lpstr>
      <vt:lpstr>'Assumptions - Passenger'!AreaO</vt:lpstr>
      <vt:lpstr>BalanceSheetAlwaysHide</vt:lpstr>
      <vt:lpstr>BalanceSheetConsolidated</vt:lpstr>
      <vt:lpstr>BalanceSheetFreight</vt:lpstr>
      <vt:lpstr>BalanceSheetInfrastructure</vt:lpstr>
      <vt:lpstr>BalanceSheetPassenger</vt:lpstr>
      <vt:lpstr>CashflowAlwaysHide</vt:lpstr>
      <vt:lpstr>CashflowConsolidated</vt:lpstr>
      <vt:lpstr>CashflowFreight</vt:lpstr>
      <vt:lpstr>CashflowInfrastructure</vt:lpstr>
      <vt:lpstr>CashflowPassenger</vt:lpstr>
      <vt:lpstr>Financing_assumptions_for_Ruritania_Freight_Rail_Company</vt:lpstr>
      <vt:lpstr>Financing_assumptions_for_Ruritania_Passenger_Rail_Company</vt:lpstr>
      <vt:lpstr>Financing_assumptions_for_Ruritania_Railway_Infrastructure_Company</vt:lpstr>
      <vt:lpstr>Fixed_asset_assumptions_for_Ruritania_Freight_Rail_Company</vt:lpstr>
      <vt:lpstr>Fixed_asset_assumptions_for_Ruritania_Passenger_Rail_Company</vt:lpstr>
      <vt:lpstr>Fixed_asset_assumptions_for_Ruritania_Railway_Infrastructure_Company</vt:lpstr>
      <vt:lpstr>IncomeStatementAlwaysHide</vt:lpstr>
      <vt:lpstr>IncomeStatementConsolidated</vt:lpstr>
      <vt:lpstr>IncomeStatementFreight</vt:lpstr>
      <vt:lpstr>IncomeStatementInfrastructure</vt:lpstr>
      <vt:lpstr>IncomeStatementPassenger</vt:lpstr>
      <vt:lpstr>Macroeconomic_assumptions</vt:lpstr>
      <vt:lpstr>Names__dates_and_timings</vt:lpstr>
      <vt:lpstr>Network_and_operational_assumptions_for_Ruritania_Freight_Rail_Company</vt:lpstr>
      <vt:lpstr>Network_and_operational_assumptions_for_Ruritania_Passenger_Rail_Company</vt:lpstr>
      <vt:lpstr>Network_and_operational_assumptions_for_Ruritania_Railway_Infrastructure_Company</vt:lpstr>
      <vt:lpstr>Network_and_operational_assumptions_for_Ruritania_Railways</vt:lpstr>
      <vt:lpstr>Non_operating_costs_of_Ruritania_Freight_Rail_Company</vt:lpstr>
      <vt:lpstr>Non_operating_costs_of_Ruritania_Passenger_Rail_Company</vt:lpstr>
      <vt:lpstr>Non_operating_costs_of_Ruritania_Railway_Infrastructure_Company</vt:lpstr>
      <vt:lpstr>Operating_costs_of_Ruritania_Freight_Rail_Company</vt:lpstr>
      <vt:lpstr>Operating_costs_of_Ruritania_Passenger_Rail_Company</vt:lpstr>
      <vt:lpstr>Operating_costs_of_Ruritania_Railway_Infrastructure_Company</vt:lpstr>
      <vt:lpstr>Other_long_term_assets_for_Ruritania_Freight_Rail_Company</vt:lpstr>
      <vt:lpstr>Other_long_term_assets_for_Ruritania_Passenger_Rail_Company</vt:lpstr>
      <vt:lpstr>Other_long_term_assets_for_Ruritania_Railway_Infrastructure_Company</vt:lpstr>
      <vt:lpstr>Other_long_term_liabilities_for_Ruritania_Freight_Rail_Company</vt:lpstr>
      <vt:lpstr>Other_long_term_liabilities_for_Ruritania_Passenger_Rail_Company</vt:lpstr>
      <vt:lpstr>Other_long_term_liabilities_for_Ruritania_Railway_Infrastructure_Company</vt:lpstr>
      <vt:lpstr>Other_revenue_for_Ruritania_Freight_Rail_Company</vt:lpstr>
      <vt:lpstr>Other_revenue_for_Ruritania_Passenger_Rail_Company</vt:lpstr>
      <vt:lpstr>Other_revenue_for_Ruritania_Railway_Infrastructure_Company</vt:lpstr>
      <vt:lpstr>'Balance sheet'!Print_Area</vt:lpstr>
      <vt:lpstr>'Cash flow statement'!Print_Area</vt:lpstr>
      <vt:lpstr>'Income statement'!Print_Area</vt:lpstr>
      <vt:lpstr>'Balance sheet'!Print_Titles</vt:lpstr>
      <vt:lpstr>'Cash flow statement'!Print_Titles</vt:lpstr>
      <vt:lpstr>'Income statement'!Print_Titles</vt:lpstr>
      <vt:lpstr>Public_subsidy_assumptions_for_Ruritania_Freight_Rail_Company</vt:lpstr>
      <vt:lpstr>Public_subsidy_assumptions_for_Ruritania_Passenger_Rail_Company</vt:lpstr>
      <vt:lpstr>Public_subsidy_assumptions_for_Ruritania_Railway_Infrastructure_Company</vt:lpstr>
      <vt:lpstr>Tariff_assumptions___Freight</vt:lpstr>
      <vt:lpstr>Tariff_assumptions___Passenger</vt:lpstr>
      <vt:lpstr>Taxes_and_dividends_for_Ruritania_Freight_Rail_Company</vt:lpstr>
      <vt:lpstr>Taxes_and_dividends_for_Ruritania_Passenger_Rail_Company</vt:lpstr>
      <vt:lpstr>Taxes_and_dividends_for_Ruritania_Railway_Infrastructure_Company</vt:lpstr>
      <vt:lpstr>Taxes_and_dividends_for_Ruritania_Railways</vt:lpstr>
      <vt:lpstr>Track_access_charge_assumptions</vt:lpstr>
      <vt:lpstr>Traffic_assumptions___Freight</vt:lpstr>
      <vt:lpstr>Traffic_assumptions___Passenger</vt:lpstr>
      <vt:lpstr>Working_capital_assumptions_for_Ruritania_Freight_Rail_Company</vt:lpstr>
      <vt:lpstr>Working_capital_assumptions_for_Ruritania_Passenger_Rail_Company</vt:lpstr>
      <vt:lpstr>Working_capital_assumptions_for_Ruritania_Railway_Infrastructure_Company</vt:lpstr>
      <vt:lpstr>Working_capital_assumptions_for_Ruritania_Railways</vt:lpstr>
    </vt:vector>
  </TitlesOfParts>
  <Company>The World Bank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Jukka-Pekka Strand</dc:creator>
  <cp:lastModifiedBy>Microsoft Office User</cp:lastModifiedBy>
  <cp:lastPrinted>2011-10-28T17:28:43Z</cp:lastPrinted>
  <dcterms:created xsi:type="dcterms:W3CDTF">2010-03-01T21:16:58Z</dcterms:created>
  <dcterms:modified xsi:type="dcterms:W3CDTF">2026-08-04T10:36:16Z</dcterms:modified>
</cp:coreProperties>
</file>